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24.xml" ContentType="application/vnd.openxmlformats-officedocument.spreadsheetml.comments+xml"/>
  <Override PartName="/xl/drawings/vmlDrawing13.vml" ContentType="application/vnd.openxmlformats-officedocument.vmlDrawing"/>
  <Override PartName="/xl/drawings/vmlDrawing12.vml" ContentType="application/vnd.openxmlformats-officedocument.vmlDrawing"/>
  <Override PartName="/xl/drawings/vmlDrawing11.vml" ContentType="application/vnd.openxmlformats-officedocument.vmlDrawing"/>
  <Override PartName="/xl/drawings/vmlDrawing17.vml" ContentType="application/vnd.openxmlformats-officedocument.vmlDrawing"/>
  <Override PartName="/xl/drawings/vmlDrawing3.vml" ContentType="application/vnd.openxmlformats-officedocument.vmlDrawing"/>
  <Override PartName="/xl/drawings/vmlDrawing16.vml" ContentType="application/vnd.openxmlformats-officedocument.vmlDrawing"/>
  <Override PartName="/xl/drawings/vmlDrawing2.vml" ContentType="application/vnd.openxmlformats-officedocument.vmlDrawing"/>
  <Override PartName="/xl/drawings/vmlDrawing15.vml" ContentType="application/vnd.openxmlformats-officedocument.vmlDrawing"/>
  <Override PartName="/xl/drawings/vmlDrawing1.vml" ContentType="application/vnd.openxmlformats-officedocument.vmlDrawing"/>
  <Override PartName="/xl/drawings/vmlDrawing14.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10.vml" ContentType="application/vnd.openxmlformats-officedocument.vmlDrawing"/>
  <Override PartName="/xl/drawings/vmlDrawing9.vml" ContentType="application/vnd.openxmlformats-officedocument.vmlDrawing"/>
  <Override PartName="/xl/comments23.xml" ContentType="application/vnd.openxmlformats-officedocument.spreadsheetml.comments+xml"/>
  <Override PartName="/xl/comments5.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comments39.xml" ContentType="application/vnd.openxmlformats-officedocument.spreadsheetml.comments+xml"/>
  <Override PartName="/xl/comments20.xml" ContentType="application/vnd.openxmlformats-officedocument.spreadsheetml.comments+xml"/>
  <Override PartName="/xl/theme/theme1.xml" ContentType="application/vnd.openxmlformats-officedocument.theme+xml"/>
  <Override PartName="/xl/comments38.xml" ContentType="application/vnd.openxmlformats-officedocument.spreadsheetml.comments+xml"/>
  <Override PartName="/xl/comments26.xml" ContentType="application/vnd.openxmlformats-officedocument.spreadsheetml.comments+xml"/>
  <Override PartName="/xl/comments37.xml" ContentType="application/vnd.openxmlformats-officedocument.spreadsheetml.comments+xml"/>
  <Override PartName="/xl/comments36.xml" ContentType="application/vnd.openxmlformats-officedocument.spreadsheetml.comments+xml"/>
  <Override PartName="/xl/comments35.xml" ContentType="application/vnd.openxmlformats-officedocument.spreadsheetml.comments+xml"/>
  <Override PartName="/xl/comments34.xml" ContentType="application/vnd.openxmlformats-officedocument.spreadsheetml.comments+xml"/>
  <Override PartName="/xl/comments31.xml" ContentType="application/vnd.openxmlformats-officedocument.spreadsheetml.comments+xml"/>
  <Override PartName="/xl/comments29.xml" ContentType="application/vnd.openxmlformats-officedocument.spreadsheetml.comments+xml"/>
  <Override PartName="/xl/comments28.xml" ContentType="application/vnd.openxmlformats-officedocument.spreadsheetml.comments+xml"/>
  <Override PartName="/xl/workbook.xml" ContentType="application/vnd.openxmlformats-officedocument.spreadsheetml.sheet.main+xml"/>
  <Override PartName="/xl/styles.xml" ContentType="application/vnd.openxmlformats-officedocument.spreadsheetml.styles+xml"/>
  <Override PartName="/xl/worksheets/_rels/sheet21.xml.rels" ContentType="application/vnd.openxmlformats-package.relationships+xml"/>
  <Override PartName="/xl/worksheets/_rels/sheet19.xml.rels" ContentType="application/vnd.openxmlformats-package.relationships+xml"/>
  <Override PartName="/xl/worksheets/_rels/sheet28.xml.rels" ContentType="application/vnd.openxmlformats-package.relationships+xml"/>
  <Override PartName="/xl/worksheets/_rels/sheet26.xml.rels" ContentType="application/vnd.openxmlformats-package.relationships+xml"/>
  <Override PartName="/xl/worksheets/_rels/sheet38.xml.rels" ContentType="application/vnd.openxmlformats-package.relationships+xml"/>
  <Override PartName="/xl/worksheets/_rels/sheet24.xml.rels" ContentType="application/vnd.openxmlformats-package.relationships+xml"/>
  <Override PartName="/xl/worksheets/_rels/sheet36.xml.rels" ContentType="application/vnd.openxmlformats-package.relationships+xml"/>
  <Override PartName="/xl/worksheets/_rels/sheet39.xml.rels" ContentType="application/vnd.openxmlformats-package.relationships+xml"/>
  <Override PartName="/xl/worksheets/_rels/sheet37.xml.rels" ContentType="application/vnd.openxmlformats-package.relationships+xml"/>
  <Override PartName="/xl/worksheets/_rels/sheet35.xml.rels" ContentType="application/vnd.openxmlformats-package.relationships+xml"/>
  <Override PartName="/xl/worksheets/_rels/sheet23.xml.rels" ContentType="application/vnd.openxmlformats-package.relationships+xml"/>
  <Override PartName="/xl/worksheets/_rels/sheet5.xml.rels" ContentType="application/vnd.openxmlformats-package.relationships+xml"/>
  <Override PartName="/xl/worksheets/_rels/sheet34.xml.rels" ContentType="application/vnd.openxmlformats-package.relationships+xml"/>
  <Override PartName="/xl/worksheets/_rels/sheet20.xml.rels" ContentType="application/vnd.openxmlformats-package.relationships+xml"/>
  <Override PartName="/xl/worksheets/_rels/sheet2.xml.rels" ContentType="application/vnd.openxmlformats-package.relationships+xml"/>
  <Override PartName="/xl/worksheets/_rels/sheet31.xml.rels" ContentType="application/vnd.openxmlformats-package.relationships+xml"/>
  <Override PartName="/xl/worksheets/_rels/sheet29.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comments19.xml" ContentType="application/vnd.openxmlformats-officedocument.spreadsheetml.comments+xml"/>
  <Override PartName="/xl/comments21.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0"/>
  </bookViews>
  <sheets>
    <sheet name="Index" sheetId="1" state="visible" r:id="rId3"/>
    <sheet name="TableDE1" sheetId="2" state="visible" r:id="rId4"/>
    <sheet name="TableDE2" sheetId="3" state="visible" r:id="rId5"/>
    <sheet name="TableDE3" sheetId="4" state="visible" r:id="rId6"/>
    <sheet name="TableDE3b" sheetId="5" state="visible" r:id="rId7"/>
    <sheet name="TableDE3c" sheetId="6" state="visible" r:id="rId8"/>
    <sheet name="TableDE3d" sheetId="7" state="visible" r:id="rId9"/>
    <sheet name="TableDE3e" sheetId="8" state="visible" r:id="rId10"/>
    <sheet name="TableDE4a" sheetId="9" state="visible" r:id="rId11"/>
    <sheet name="TableDE4b" sheetId="10" state="visible" r:id="rId12"/>
    <sheet name="TableDE4c" sheetId="11" state="visible" r:id="rId13"/>
    <sheet name="TableDE4e" sheetId="12" state="visible" r:id="rId14"/>
    <sheet name="TableDE4f" sheetId="13" state="visible" r:id="rId15"/>
    <sheet name="TableDE4g" sheetId="14" state="visible" r:id="rId16"/>
    <sheet name="TableDE5a" sheetId="15" state="visible" r:id="rId17"/>
    <sheet name="TableDE5b" sheetId="16" state="visible" r:id="rId18"/>
    <sheet name="TableDE5c" sheetId="17" state="visible" r:id="rId19"/>
    <sheet name="TableDE6a" sheetId="18" state="visible" r:id="rId20"/>
    <sheet name="TableDE6b" sheetId="19" state="visible" r:id="rId21"/>
    <sheet name="TableDE6c" sheetId="20" state="visible" r:id="rId22"/>
    <sheet name="TableDE6d" sheetId="21" state="visible" r:id="rId23"/>
    <sheet name="TableDE6e" sheetId="22" state="visible" r:id="rId24"/>
    <sheet name="TableDE6f" sheetId="23" state="visible" r:id="rId25"/>
    <sheet name="TableDE6g" sheetId="24" state="visible" r:id="rId26"/>
    <sheet name="TableDE8" sheetId="25" state="visible" r:id="rId27"/>
    <sheet name="TableDE9" sheetId="26" state="visible" r:id="rId28"/>
    <sheet name="TableDE10" sheetId="27" state="visible" r:id="rId29"/>
    <sheet name="TableDE11a" sheetId="28" state="visible" r:id="rId30"/>
    <sheet name="TableDE11b" sheetId="29" state="visible" r:id="rId31"/>
    <sheet name="TableDE12" sheetId="30" state="visible" r:id="rId32"/>
    <sheet name="TableDE12b" sheetId="31" state="visible" r:id="rId33"/>
    <sheet name="TableDE12c" sheetId="32" state="visible" r:id="rId34"/>
    <sheet name="TableDE13" sheetId="33" state="visible" r:id="rId35"/>
    <sheet name="TableDE15a" sheetId="34" state="visible" r:id="rId36"/>
    <sheet name="DataDE1" sheetId="35" state="visible" r:id="rId37"/>
    <sheet name="DateDE1b" sheetId="36" state="visible" r:id="rId38"/>
    <sheet name="DataDE1c" sheetId="37" state="visible" r:id="rId39"/>
    <sheet name="DataDE2" sheetId="38" state="visible" r:id="rId40"/>
    <sheet name="DataDE2b" sheetId="39" state="visible" r:id="rId41"/>
    <sheet name="Sources" sheetId="40" state="visible" r:id="rId42"/>
  </sheets>
  <definedNames>
    <definedName function="false" hidden="false" localSheetId="1" name="_xlnm.Print_Titles" vbProcedure="false">TableDE1!$5:$9</definedName>
    <definedName function="false" hidden="false" localSheetId="28" name="_xlnm.Print_Titles" vbProcedure="false">TableDE11b!$5:$8</definedName>
    <definedName function="false" hidden="false" localSheetId="30" name="_xlnm.Print_Titles" vbProcedure="false">TableDE12b!$5:$9</definedName>
    <definedName function="false" hidden="false" localSheetId="31" name="_xlnm.Print_Titles" vbProcedure="false">TableDE12c!$5:$9</definedName>
    <definedName function="false" hidden="false" localSheetId="33" name="_xlnm.Print_Titles" vbProcedure="false">TableDE15a!$5:$8</definedName>
    <definedName function="false" hidden="false" localSheetId="4" name="_xlnm.Print_Titles" vbProcedure="false">TableDE3b!$5:$9</definedName>
    <definedName function="false" hidden="false" localSheetId="6" name="_xlnm.Print_Titles" vbProcedure="false">TableDE3d!$5:$9</definedName>
    <definedName function="false" hidden="false" localSheetId="14" name="_xlnm.Print_Titles" vbProcedure="false">TableDE5a!$5:$9</definedName>
    <definedName function="false" hidden="false" localSheetId="15" name="_xlnm.Print_Titles" vbProcedure="false">TableDE5b!$5:$9</definedName>
    <definedName function="false" hidden="false" localSheetId="16" name="_xlnm.Print_Titles" vbProcedure="false">TableDE5c!$5:$9</definedName>
    <definedName function="false" hidden="false" localSheetId="17" name="_xlnm.Print_Titles" vbProcedure="false">TableDE6a!$5:$9</definedName>
    <definedName function="false" hidden="false" localSheetId="18" name="_xlnm.Print_Titles" vbProcedure="false">TableDE6b!$5:$9</definedName>
    <definedName function="false" hidden="false" localSheetId="24" name="_xlnm.Print_Titles" vbProcedure="false">TableDE8!$5:$7</definedName>
    <definedName function="false" hidden="false" localSheetId="25" name="_xlnm.Print_Titles" vbProcedure="false">TableDE9!$5:$8</definedName>
    <definedName function="false" hidden="false" name="Table_DE_4b__Sources_of_private_wealth_accumulation_in_Germany__1870_2010___Multiplicative_decomposition" vbProcedure="false">TableDE4b!$A$3</definedName>
    <definedName function="false" hidden="false" localSheetId="17" name="column_headings" vbProcedure="false">#REF!</definedName>
    <definedName function="false" hidden="false" localSheetId="17" name="column_numbers" vbProcedure="false">#REF!</definedName>
    <definedName function="false" hidden="false" localSheetId="17" name="data" vbProcedure="false">#REF!</definedName>
    <definedName function="false" hidden="false" localSheetId="17" name="ea_flux" vbProcedure="false">#REF!</definedName>
    <definedName function="false" hidden="false" localSheetId="17" name="Equilibre" vbProcedure="false">#REF!</definedName>
    <definedName function="false" hidden="false" localSheetId="17" name="footnotes" vbProcedure="false">#REF!</definedName>
    <definedName function="false" hidden="false" localSheetId="17" name="PIB" vbProcedure="false">#REF!</definedName>
    <definedName function="false" hidden="false" localSheetId="17" name="ressources" vbProcedure="false">#REF!</definedName>
    <definedName function="false" hidden="false" localSheetId="17" name="rpflux" vbProcedure="false">#REF!</definedName>
    <definedName function="false" hidden="false" localSheetId="17" name="rptof" vbProcedure="false">#REF!</definedName>
    <definedName function="false" hidden="false" localSheetId="17" name="spanners_level1" vbProcedure="false">#REF!</definedName>
    <definedName function="false" hidden="false" localSheetId="17" name="spanners_level2" vbProcedure="false">#REF!</definedName>
    <definedName function="false" hidden="false" localSheetId="17" name="spanners_level3" vbProcedure="false">#REF!</definedName>
    <definedName function="false" hidden="false" localSheetId="17" name="spanners_level4" vbProcedure="false">#REF!</definedName>
    <definedName function="false" hidden="false" localSheetId="17" name="spanners_level5" vbProcedure="false">#REF!</definedName>
    <definedName function="false" hidden="false" localSheetId="17" name="stub_lines" vbProcedure="false">#REF!</definedName>
    <definedName function="false" hidden="false" localSheetId="17" name="titles" vbProcedure="false">#REF!</definedName>
    <definedName function="false" hidden="false" localSheetId="17" name="totals" vbProcedure="false">#REF!</definedName>
    <definedName function="false" hidden="false" localSheetId="18" name="column_headings" vbProcedure="false">#REF!</definedName>
    <definedName function="false" hidden="false" localSheetId="18" name="column_numbers" vbProcedure="false">#REF!</definedName>
    <definedName function="false" hidden="false" localSheetId="18" name="data" vbProcedure="false">#REF!</definedName>
    <definedName function="false" hidden="false" localSheetId="18" name="ea_flux" vbProcedure="false">#REF!</definedName>
    <definedName function="false" hidden="false" localSheetId="18" name="Equilibre" vbProcedure="false">#REF!</definedName>
    <definedName function="false" hidden="false" localSheetId="18" name="footnotes" vbProcedure="false">#REF!</definedName>
    <definedName function="false" hidden="false" localSheetId="18" name="PIB" vbProcedure="false">#REF!</definedName>
    <definedName function="false" hidden="false" localSheetId="18" name="ressources" vbProcedure="false">#REF!</definedName>
    <definedName function="false" hidden="false" localSheetId="18" name="rpflux" vbProcedure="false">#REF!</definedName>
    <definedName function="false" hidden="false" localSheetId="18" name="rptof" vbProcedure="false">#REF!</definedName>
    <definedName function="false" hidden="false" localSheetId="18" name="spanners_level1" vbProcedure="false">#REF!</definedName>
    <definedName function="false" hidden="false" localSheetId="18" name="spanners_level2" vbProcedure="false">#REF!</definedName>
    <definedName function="false" hidden="false" localSheetId="18" name="spanners_level3" vbProcedure="false">#REF!</definedName>
    <definedName function="false" hidden="false" localSheetId="18" name="spanners_level4" vbProcedure="false">#REF!</definedName>
    <definedName function="false" hidden="false" localSheetId="18" name="spanners_level5" vbProcedure="false">#REF!</definedName>
    <definedName function="false" hidden="false" localSheetId="18" name="stub_lines" vbProcedure="false">#REF!</definedName>
    <definedName function="false" hidden="false" localSheetId="18" name="titles" vbProcedure="false">#REF!</definedName>
    <definedName function="false" hidden="false" localSheetId="18" name="totals" vbProcedure="false">#REF!</definedName>
    <definedName function="false" hidden="false" localSheetId="35" name="an" vbProcedure="false">#REF!</definedName>
    <definedName function="false" hidden="false" localSheetId="36" name="an" vbProcedure="false">#REF!</definedName>
  </definedNames>
  <calcPr iterateCount="100" refMode="A1" iterate="false" iterateDelta="0.001"/>
  <extLst>
    <ext xmlns:loext="http://schemas.libreoffice.org/" uri="{7626C862-2A13-11E5-B345-FEFF819CDC9F}">
      <loext:extCalcPr stringRefSyntax="CalcA1"/>
    </ext>
  </extLst>
</workbook>
</file>

<file path=xl/comments2.xml><?xml version="1.0" encoding="utf-8"?>
<comments xmlns="http://schemas.openxmlformats.org/spreadsheetml/2006/main" xmlns:xdr="http://schemas.openxmlformats.org/drawingml/2006/spreadsheetDrawing">
  <authors>
    <author>Unknown Author</author>
  </authors>
  <commentList>
    <comment ref="U11" authorId="0">
      <text>
        <r>
          <rPr>
            <b val="true"/>
            <sz val="9"/>
            <color rgb="FF000000"/>
            <rFont val="Arial"/>
            <family val="2"/>
          </rPr>
          <t xml:space="preserve">Gabriel Zucman:
</t>
        </r>
        <r>
          <rPr>
            <sz val="9"/>
            <color rgb="FF000000"/>
            <rFont val="Arial"/>
            <family val="0"/>
          </rPr>
          <t xml:space="preserve">Includes Alsace-Lorraine</t>
        </r>
      </text>
    </comment>
    <comment ref="U63" authorId="0">
      <text>
        <r>
          <rPr>
            <b val="true"/>
            <sz val="9"/>
            <color rgb="FF000000"/>
            <rFont val="Arial"/>
            <family val="2"/>
          </rPr>
          <t xml:space="preserve">Gabriel Zucman:
</t>
        </r>
        <r>
          <rPr>
            <sz val="9"/>
            <color rgb="FF000000"/>
            <rFont val="Arial"/>
            <family val="0"/>
          </rPr>
          <t xml:space="preserve">Loss of Alsace-Lorraine, Memel, Danzig, Eupen and Malmedy, Saarland, North Schleswig, and Eastern Upper Silesia (spread over 1919-1923)</t>
        </r>
      </text>
    </comment>
    <comment ref="U75" authorId="0">
      <text>
        <r>
          <rPr>
            <b val="true"/>
            <sz val="9"/>
            <color rgb="FF000000"/>
            <rFont val="Arial"/>
            <family val="2"/>
          </rPr>
          <t xml:space="preserve">Gabriel Zucman:
</t>
        </r>
        <r>
          <rPr>
            <sz val="9"/>
            <color rgb="FF000000"/>
            <rFont val="Arial"/>
            <family val="0"/>
          </rPr>
          <t xml:space="preserve">Includes Saarland</t>
        </r>
      </text>
    </comment>
    <comment ref="U78" authorId="0">
      <text>
        <r>
          <rPr>
            <b val="true"/>
            <sz val="9"/>
            <color rgb="FF000000"/>
            <rFont val="Arial"/>
            <family val="2"/>
          </rPr>
          <t xml:space="preserve">Gabriel Zucman:
</t>
        </r>
        <r>
          <rPr>
            <sz val="9"/>
            <color rgb="FF000000"/>
            <rFont val="Arial"/>
            <family val="0"/>
          </rPr>
          <t xml:space="preserve">October 1st 1938. Includes Austria and Sudetendland</t>
        </r>
      </text>
    </comment>
    <comment ref="U79" authorId="0">
      <text>
        <r>
          <rPr>
            <b val="true"/>
            <sz val="9"/>
            <color rgb="FF000000"/>
            <rFont val="Arial"/>
            <family val="2"/>
          </rPr>
          <t xml:space="preserve">Gabriel Zucman:
</t>
        </r>
        <r>
          <rPr>
            <sz val="9"/>
            <color rgb="FF000000"/>
            <rFont val="Arial"/>
            <family val="0"/>
          </rPr>
          <t xml:space="preserve">Includes invaded Polish territories (Wartheland + Dantzig West-Prussia + East Prussia + Silesia). Excludes Bohemia &amp; Moravia.</t>
        </r>
      </text>
    </comment>
    <comment ref="U80" authorId="0">
      <text>
        <r>
          <rPr>
            <b val="true"/>
            <sz val="9"/>
            <color rgb="FF000000"/>
            <rFont val="Arial"/>
            <family val="2"/>
          </rPr>
          <t xml:space="preserve">Gabriel Zucman:
</t>
        </r>
        <r>
          <rPr>
            <sz val="9"/>
            <color rgb="FF000000"/>
            <rFont val="Arial"/>
            <family val="0"/>
          </rPr>
          <t xml:space="preserve">Includes Bohemia &amp; Moravia</t>
        </r>
      </text>
    </comment>
    <comment ref="U85" authorId="0">
      <text>
        <r>
          <rPr>
            <b val="true"/>
            <sz val="9"/>
            <color rgb="FF000000"/>
            <rFont val="Arial"/>
            <family val="2"/>
          </rPr>
          <t xml:space="preserve">Gabriel Zucman:
</t>
        </r>
        <r>
          <rPr>
            <sz val="9"/>
            <color rgb="FF000000"/>
            <rFont val="Arial"/>
            <family val="0"/>
          </rPr>
          <t xml:space="preserve">Occupied Germany = 1937 territory minus territories annexed by Poland and USSR (= territories East of the Oder-Neisse line) = present-day Germany</t>
        </r>
      </text>
    </comment>
    <comment ref="U90" authorId="0">
      <text>
        <r>
          <rPr>
            <b val="true"/>
            <sz val="9"/>
            <color rgb="FF000000"/>
            <rFont val="Arial"/>
            <family val="2"/>
          </rPr>
          <t xml:space="preserve">Gabriel Zucman:
</t>
        </r>
        <r>
          <rPr>
            <sz val="9"/>
            <color rgb="FF000000"/>
            <rFont val="Arial"/>
            <family val="0"/>
          </rPr>
          <t xml:space="preserve">West-Germany only</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B11" authorId="0">
      <text>
        <r>
          <rPr>
            <b val="true"/>
            <sz val="9"/>
            <color rgb="FF000000"/>
            <rFont val="Arial"/>
            <family val="2"/>
          </rPr>
          <t xml:space="preserve">Gabriel Zucman:
</t>
        </r>
        <r>
          <rPr>
            <sz val="9"/>
            <color rgb="FF000000"/>
            <rFont val="Arial"/>
            <family val="0"/>
          </rPr>
          <t xml:space="preserve">Population growth excluding effect of inclusion of Alsace Lorraine. Source: Hoffmann 1965 Table 2</t>
        </r>
      </text>
    </comment>
    <comment ref="B59" authorId="0">
      <text>
        <r>
          <rPr>
            <b val="true"/>
            <sz val="9"/>
            <color rgb="FF000000"/>
            <rFont val="Arial"/>
            <family val="2"/>
          </rPr>
          <t xml:space="preserve">Gabriel Zucman:
</t>
        </r>
        <r>
          <rPr>
            <sz val="9"/>
            <color rgb="FF000000"/>
            <rFont val="Arial"/>
            <family val="0"/>
          </rPr>
          <t xml:space="preserve">Maddison 1995 p. 104</t>
        </r>
      </text>
    </comment>
    <comment ref="B60" authorId="0">
      <text>
        <r>
          <rPr>
            <b val="true"/>
            <sz val="9"/>
            <color rgb="FF000000"/>
            <rFont val="Arial"/>
            <family val="2"/>
          </rPr>
          <t xml:space="preserve">Gabriel Zucman:
</t>
        </r>
        <r>
          <rPr>
            <sz val="9"/>
            <color rgb="FF000000"/>
            <rFont val="Arial"/>
            <family val="0"/>
          </rPr>
          <t xml:space="preserve">Maddison 1995 p. 104</t>
        </r>
      </text>
    </comment>
    <comment ref="B61" authorId="0">
      <text>
        <r>
          <rPr>
            <b val="true"/>
            <sz val="9"/>
            <color rgb="FF000000"/>
            <rFont val="Arial"/>
            <family val="2"/>
          </rPr>
          <t xml:space="preserve">Gabriel Zucman:
</t>
        </r>
        <r>
          <rPr>
            <sz val="9"/>
            <color rgb="FF000000"/>
            <rFont val="Arial"/>
            <family val="0"/>
          </rPr>
          <t xml:space="preserve">Maddison 1995 p. 104</t>
        </r>
      </text>
    </comment>
    <comment ref="B62" authorId="0">
      <text>
        <r>
          <rPr>
            <b val="true"/>
            <sz val="9"/>
            <color rgb="FF000000"/>
            <rFont val="Arial"/>
            <family val="2"/>
          </rPr>
          <t xml:space="preserve">Gabriel Zucman:
</t>
        </r>
        <r>
          <rPr>
            <sz val="9"/>
            <color rgb="FF000000"/>
            <rFont val="Arial"/>
            <family val="0"/>
          </rPr>
          <t xml:space="preserve">Maddison 1995 p. 104 reports 0.5%, but this too low compared to the overall 1918-1923 evolution (which should be +3.8%)</t>
        </r>
      </text>
    </comment>
    <comment ref="B63" authorId="0">
      <text>
        <r>
          <rPr>
            <b val="true"/>
            <sz val="9"/>
            <color rgb="FF000000"/>
            <rFont val="Arial"/>
            <family val="2"/>
          </rPr>
          <t xml:space="preserve">Gabriel Zucman:
</t>
        </r>
        <r>
          <rPr>
            <sz val="9"/>
            <color rgb="FF000000"/>
            <rFont val="Arial"/>
            <family val="0"/>
          </rPr>
          <t xml:space="preserve">Maddison 1995 p. 104</t>
        </r>
      </text>
    </comment>
    <comment ref="B75" authorId="0">
      <text>
        <r>
          <rPr>
            <b val="true"/>
            <sz val="9"/>
            <color rgb="FF000000"/>
            <rFont val="Arial"/>
            <family val="2"/>
          </rPr>
          <t xml:space="preserve">Gabriel Zucman:
</t>
        </r>
        <r>
          <rPr>
            <sz val="9"/>
            <color rgb="FF000000"/>
            <rFont val="Arial"/>
            <family val="0"/>
          </rPr>
          <t xml:space="preserve">Maddison 1995 p. 104</t>
        </r>
      </text>
    </comment>
    <comment ref="B80" authorId="0">
      <text>
        <r>
          <rPr>
            <b val="true"/>
            <sz val="9"/>
            <color rgb="FF000000"/>
            <rFont val="Arial"/>
            <family val="2"/>
          </rPr>
          <t xml:space="preserve">Gabriel Zucman:
</t>
        </r>
        <r>
          <rPr>
            <sz val="9"/>
            <color rgb="FF000000"/>
            <rFont val="Arial"/>
            <family val="0"/>
          </rPr>
          <t xml:space="preserve"> Maddison 1995 p. 104</t>
        </r>
      </text>
    </comment>
    <comment ref="B85" authorId="0">
      <text>
        <r>
          <rPr>
            <b val="true"/>
            <sz val="9"/>
            <color rgb="FF000000"/>
            <rFont val="Arial"/>
            <family val="2"/>
          </rPr>
          <t xml:space="preserve">Gabriel Zucman:
</t>
        </r>
        <r>
          <rPr>
            <sz val="9"/>
            <color rgb="FF000000"/>
            <rFont val="Arial"/>
            <family val="0"/>
          </rPr>
          <t xml:space="preserve"> Maddison 1995 p. 104</t>
        </r>
      </text>
    </comment>
    <comment ref="B90" authorId="0">
      <text>
        <r>
          <rPr>
            <b val="true"/>
            <sz val="9"/>
            <color rgb="FF000000"/>
            <rFont val="Arial"/>
            <family val="2"/>
          </rPr>
          <t xml:space="preserve">Gabriel Zucman:
</t>
        </r>
        <r>
          <rPr>
            <sz val="9"/>
            <color rgb="FF000000"/>
            <rFont val="Arial"/>
            <family val="0"/>
          </rPr>
          <t xml:space="preserve">Ritschl &amp; Spoerer (1997 p. 53). Growth rate for West Germany</t>
        </r>
      </text>
    </comment>
    <comment ref="B131" authorId="0">
      <text>
        <r>
          <rPr>
            <b val="true"/>
            <sz val="9"/>
            <color rgb="FF000000"/>
            <rFont val="Arial"/>
            <family val="2"/>
          </rPr>
          <t xml:space="preserve">Gabriel Zucman:
</t>
        </r>
        <r>
          <rPr>
            <sz val="9"/>
            <color rgb="FF000000"/>
            <rFont val="Arial"/>
            <family val="0"/>
          </rPr>
          <t xml:space="preserve">Maddison (1995, p. 104)</t>
        </r>
      </text>
    </comment>
    <comment ref="D90" authorId="0">
      <text>
        <r>
          <rPr>
            <b val="true"/>
            <sz val="9"/>
            <color rgb="FF000000"/>
            <rFont val="Arial"/>
            <family val="2"/>
          </rPr>
          <t xml:space="preserve">Gabriel Zucman:
</t>
        </r>
        <r>
          <rPr>
            <sz val="9"/>
            <color rgb="FF000000"/>
            <rFont val="Arial"/>
            <family val="0"/>
          </rPr>
          <t xml:space="preserve">Ritschl &amp; Spoerer 1997 p. 53. Growth of BSP MP (p= 1913), Bundesrepublik</t>
        </r>
      </text>
    </comment>
    <comment ref="D131" authorId="0">
      <text>
        <r>
          <rPr>
            <b val="true"/>
            <sz val="9"/>
            <color rgb="FF000000"/>
            <rFont val="Arial"/>
            <family val="2"/>
          </rPr>
          <t xml:space="preserve">Gabriel Zucman:
</t>
        </r>
        <r>
          <rPr>
            <sz val="9"/>
            <color rgb="FF000000"/>
            <rFont val="Arial"/>
            <family val="0"/>
          </rPr>
          <t xml:space="preserve">Bundesbank real GDP growth</t>
        </r>
      </text>
    </comment>
    <comment ref="M131" authorId="0">
      <text>
        <r>
          <rPr>
            <b val="true"/>
            <sz val="9"/>
            <color rgb="FF000000"/>
            <rFont val="Arial"/>
            <family val="2"/>
          </rPr>
          <t xml:space="preserve">Gabriel Zucman:
</t>
        </r>
        <r>
          <rPr>
            <sz val="9"/>
            <color rgb="FF000000"/>
            <rFont val="Arial"/>
            <family val="0"/>
          </rPr>
          <t xml:space="preserve">Memo: Maddison has 8%.</t>
        </r>
      </text>
    </comment>
    <comment ref="N62" authorId="0">
      <text>
        <r>
          <rPr>
            <b val="true"/>
            <sz val="9"/>
            <color rgb="FF000000"/>
            <rFont val="Arial"/>
            <family val="2"/>
          </rPr>
          <t xml:space="preserve">Gabriel Zucman:
</t>
        </r>
        <r>
          <rPr>
            <sz val="9"/>
            <color rgb="FF000000"/>
            <rFont val="Arial"/>
            <family val="0"/>
          </rPr>
          <t xml:space="preserve">Easter Upper Silesia becomes part of Poland</t>
        </r>
      </text>
    </comment>
    <comment ref="N75" authorId="0">
      <text>
        <r>
          <rPr>
            <b val="true"/>
            <sz val="9"/>
            <color rgb="FF000000"/>
            <rFont val="Arial"/>
            <family val="2"/>
          </rPr>
          <t xml:space="preserve">Gabriel Zucman:
</t>
        </r>
        <r>
          <rPr>
            <sz val="9"/>
            <color rgb="FF000000"/>
            <rFont val="Arial"/>
            <family val="0"/>
          </rPr>
          <t xml:space="preserve">Inclusion of Saarland</t>
        </r>
      </text>
    </comment>
    <comment ref="N131" authorId="0">
      <text>
        <r>
          <rPr>
            <b val="true"/>
            <sz val="9"/>
            <color rgb="FF000000"/>
            <rFont val="Arial"/>
            <family val="2"/>
          </rPr>
          <t xml:space="preserve">Gabriel Zucman:
</t>
        </r>
        <r>
          <rPr>
            <sz val="9"/>
            <color rgb="FF000000"/>
            <rFont val="Arial"/>
            <family val="0"/>
          </rPr>
          <t xml:space="preserve">Maddison (2001, p. 178)
East Germany pop in 1991: 15910
West Germany: 63889</t>
        </r>
      </text>
    </comment>
  </commentList>
</comments>
</file>

<file path=xl/comments19.xml><?xml version="1.0" encoding="utf-8"?>
<comments xmlns="http://schemas.openxmlformats.org/spreadsheetml/2006/main" xmlns:xdr="http://schemas.openxmlformats.org/drawingml/2006/spreadsheetDrawing">
  <authors>
    <author>Unknown Author</author>
  </authors>
  <commentList>
    <comment ref="M8" authorId="0">
      <text>
        <r>
          <rPr>
            <b val="true"/>
            <sz val="9"/>
            <color rgb="FF000000"/>
            <rFont val="Arial"/>
            <family val="2"/>
          </rPr>
          <t xml:space="preserve">Gabriel Zucman:
</t>
        </r>
        <r>
          <rPr>
            <sz val="9"/>
            <color rgb="FF000000"/>
            <rFont val="Arial"/>
            <family val="0"/>
          </rPr>
          <t xml:space="preserve">Excluding WWI Reparations</t>
        </r>
      </text>
    </comment>
  </commentList>
</comments>
</file>

<file path=xl/comments20.xml><?xml version="1.0" encoding="utf-8"?>
<comments xmlns="http://schemas.openxmlformats.org/spreadsheetml/2006/main" xmlns:xdr="http://schemas.openxmlformats.org/drawingml/2006/spreadsheetDrawing">
  <authors>
    <author>Unknown Author</author>
  </authors>
  <commentList>
    <comment ref="N7" authorId="0">
      <text>
        <r>
          <rPr>
            <b val="true"/>
            <sz val="9"/>
            <color rgb="FF000000"/>
            <rFont val="Arial"/>
            <family val="2"/>
          </rPr>
          <t xml:space="preserve">Gabriel Zucman:
</t>
        </r>
        <r>
          <rPr>
            <sz val="9"/>
            <color rgb="FF000000"/>
            <rFont val="Arial"/>
            <family val="0"/>
          </rPr>
          <t xml:space="preserve">Includes other equities &amp; mutual funds before 1992</t>
        </r>
      </text>
    </comment>
  </commentList>
</comments>
</file>

<file path=xl/comments21.xml><?xml version="1.0" encoding="utf-8"?>
<comments xmlns="http://schemas.openxmlformats.org/spreadsheetml/2006/main" xmlns:xdr="http://schemas.openxmlformats.org/drawingml/2006/spreadsheetDrawing">
  <authors>
    <author>Unknown Author</author>
  </authors>
  <commentList>
    <comment ref="M7" authorId="0">
      <text>
        <r>
          <rPr>
            <b val="true"/>
            <sz val="9"/>
            <color rgb="FF000000"/>
            <rFont val="Arial"/>
            <family val="2"/>
          </rPr>
          <t xml:space="preserve">Gabriel Zucman:
</t>
        </r>
        <r>
          <rPr>
            <sz val="9"/>
            <color rgb="FF000000"/>
            <rFont val="Arial"/>
            <family val="0"/>
          </rPr>
          <t xml:space="preserve">Includes other equities &amp; mutual funds before 1992</t>
        </r>
      </text>
    </comment>
  </commentList>
</comments>
</file>

<file path=xl/comments23.xml><?xml version="1.0" encoding="utf-8"?>
<comments xmlns="http://schemas.openxmlformats.org/spreadsheetml/2006/main" xmlns:xdr="http://schemas.openxmlformats.org/drawingml/2006/spreadsheetDrawing">
  <authors>
    <author>Unknown Author</author>
  </authors>
  <commentList>
    <comment ref="A17" authorId="0">
      <text>
        <r>
          <rPr>
            <b val="true"/>
            <sz val="9"/>
            <color rgb="FF000000"/>
            <rFont val="Arial"/>
            <family val="2"/>
          </rPr>
          <t xml:space="preserve">Gabriel Zucman:
</t>
        </r>
        <r>
          <rPr>
            <sz val="9"/>
            <color rgb="FF000000"/>
            <rFont val="Arial"/>
            <family val="0"/>
          </rPr>
          <t xml:space="preserve">January 1st, 1928</t>
        </r>
      </text>
    </comment>
    <comment ref="D16" authorId="0">
      <text>
        <r>
          <rPr>
            <b val="true"/>
            <sz val="9"/>
            <color rgb="FF000000"/>
            <rFont val="Arial"/>
            <family val="2"/>
          </rPr>
          <t xml:space="preserve">Gabriel Zucman:
</t>
        </r>
        <r>
          <rPr>
            <sz val="9"/>
            <color rgb="FF000000"/>
            <rFont val="Arial"/>
            <family val="0"/>
          </rPr>
          <t xml:space="preserve">Stamp (1919) p. 467:  "I am of opinion that Helfferich's estimate is too low by at least 800,000,000 £"</t>
        </r>
      </text>
    </comment>
    <comment ref="M15" authorId="0">
      <text>
        <r>
          <rPr>
            <b val="true"/>
            <sz val="9"/>
            <color rgb="FF000000"/>
            <rFont val="Arial"/>
            <family val="2"/>
          </rPr>
          <t xml:space="preserve">Gabriel Zucman:
</t>
        </r>
        <r>
          <rPr>
            <sz val="9"/>
            <color rgb="FF000000"/>
            <rFont val="Arial"/>
            <family val="0"/>
          </rPr>
          <t xml:space="preserve">375 M per hear (Helfferich, p. 107)</t>
        </r>
      </text>
    </comment>
  </commentList>
</comments>
</file>

<file path=xl/comments24.xml><?xml version="1.0" encoding="utf-8"?>
<comments xmlns="http://schemas.openxmlformats.org/spreadsheetml/2006/main" xmlns:xdr="http://schemas.openxmlformats.org/drawingml/2006/spreadsheetDrawing">
  <authors>
    <author>Unknown Author</author>
  </authors>
  <commentList>
    <comment ref="A34" authorId="0">
      <text>
        <r>
          <rPr>
            <b val="true"/>
            <sz val="9"/>
            <color rgb="FF000000"/>
            <rFont val="Arial"/>
            <family val="2"/>
          </rPr>
          <t xml:space="preserve">Gabriel Zucman:
</t>
        </r>
        <r>
          <rPr>
            <sz val="9"/>
            <color rgb="FF000000"/>
            <rFont val="Arial"/>
            <family val="0"/>
          </rPr>
          <t xml:space="preserve">In 1991</t>
        </r>
      </text>
    </comment>
  </commentList>
</comments>
</file>

<file path=xl/comments26.xml><?xml version="1.0" encoding="utf-8"?>
<comments xmlns="http://schemas.openxmlformats.org/spreadsheetml/2006/main" xmlns:xdr="http://schemas.openxmlformats.org/drawingml/2006/spreadsheetDrawing">
  <authors>
    <author>Unknown Author</author>
  </authors>
  <commentList>
    <comment ref="H7" authorId="0">
      <text>
        <r>
          <rPr>
            <b val="true"/>
            <sz val="9"/>
            <color rgb="FF000000"/>
            <rFont val="Arial"/>
            <family val="2"/>
          </rPr>
          <t xml:space="preserve">Gabriel Zucman:
</t>
        </r>
        <r>
          <rPr>
            <sz val="9"/>
            <color rgb="FF000000"/>
            <rFont val="Arial"/>
            <family val="0"/>
          </rPr>
          <t xml:space="preserve">Including net foreign production taxes received</t>
        </r>
      </text>
    </comment>
    <comment ref="I7" authorId="0">
      <text>
        <r>
          <rPr>
            <b val="true"/>
            <sz val="9"/>
            <color rgb="FF000000"/>
            <rFont val="Arial"/>
            <family val="2"/>
          </rPr>
          <t xml:space="preserve">Gabriel Zucman:
</t>
        </r>
        <r>
          <rPr>
            <sz val="9"/>
            <color rgb="FF000000"/>
            <rFont val="Arial"/>
            <family val="0"/>
          </rPr>
          <t xml:space="preserve">Excluding net foreign production taxes received</t>
        </r>
      </text>
    </comment>
  </commentList>
</comments>
</file>

<file path=xl/comments28.xml><?xml version="1.0" encoding="utf-8"?>
<comments xmlns="http://schemas.openxmlformats.org/spreadsheetml/2006/main" xmlns:xdr="http://schemas.openxmlformats.org/drawingml/2006/spreadsheetDrawing">
  <authors>
    <author>Unknown Author</author>
  </authors>
  <commentList>
    <comment ref="G8" authorId="0">
      <text>
        <r>
          <rPr>
            <b val="true"/>
            <sz val="9"/>
            <color rgb="FF000000"/>
            <rFont val="Arial"/>
            <family val="2"/>
          </rPr>
          <t xml:space="preserve">Gabriel Zucman:
</t>
        </r>
        <r>
          <rPr>
            <sz val="9"/>
            <color rgb="FF000000"/>
            <rFont val="Arial"/>
            <family val="0"/>
          </rPr>
          <t xml:space="preserve">Gross before 1950</t>
        </r>
      </text>
    </comment>
  </commentList>
</comments>
</file>

<file path=xl/comments29.xml><?xml version="1.0" encoding="utf-8"?>
<comments xmlns="http://schemas.openxmlformats.org/spreadsheetml/2006/main" xmlns:xdr="http://schemas.openxmlformats.org/drawingml/2006/spreadsheetDrawing">
  <authors>
    <author>Unknown Author</author>
  </authors>
  <commentList>
    <comment ref="O53" authorId="0">
      <text>
        <r>
          <rPr>
            <b val="true"/>
            <sz val="9"/>
            <color rgb="FF000000"/>
            <rFont val="Arial"/>
            <family val="2"/>
          </rPr>
          <t xml:space="preserve">Gabriel Zucman:
</t>
        </r>
        <r>
          <rPr>
            <sz val="9"/>
            <color rgb="FF000000"/>
            <rFont val="Arial"/>
            <family val="0"/>
          </rPr>
          <t xml:space="preserve">1914-1917: Baten &amp; Schulz 2005, Table 6 p.47</t>
        </r>
      </text>
    </comment>
  </commentList>
</comments>
</file>

<file path=xl/comments31.xml><?xml version="1.0" encoding="utf-8"?>
<comments xmlns="http://schemas.openxmlformats.org/spreadsheetml/2006/main" xmlns:xdr="http://schemas.openxmlformats.org/drawingml/2006/spreadsheetDrawing">
  <authors>
    <author>Unknown Author</author>
  </authors>
  <commentList>
    <comment ref="L8" authorId="0">
      <text>
        <r>
          <rPr>
            <b val="true"/>
            <sz val="9"/>
            <color rgb="FF000000"/>
            <rFont val="Arial"/>
            <family val="2"/>
          </rPr>
          <t xml:space="preserve">Gabriel Zucman:
</t>
        </r>
        <r>
          <rPr>
            <sz val="9"/>
            <color rgb="FF000000"/>
            <rFont val="Arial"/>
            <family val="0"/>
          </rPr>
          <t xml:space="preserve">Note: FT includes all foreign taxes and transfers (including capital transfers), except product taxes and subsidies (the latter are included in FY and enter into the SNA95 definition of national income)</t>
        </r>
      </text>
    </comment>
  </commentList>
</comments>
</file>

<file path=xl/comments34.xml><?xml version="1.0" encoding="utf-8"?>
<comments xmlns="http://schemas.openxmlformats.org/spreadsheetml/2006/main" xmlns:xdr="http://schemas.openxmlformats.org/drawingml/2006/spreadsheetDrawing">
  <authors>
    <author>Unknown Author</author>
  </authors>
  <commentList>
    <comment ref="E7" authorId="0">
      <text>
        <r>
          <rPr>
            <b val="true"/>
            <sz val="9"/>
            <color rgb="FF000000"/>
            <rFont val="Arial"/>
            <family val="2"/>
          </rPr>
          <t xml:space="preserve">Gabriel Zucman:
</t>
        </r>
        <r>
          <rPr>
            <sz val="9"/>
            <color rgb="FF000000"/>
            <rFont val="Arial"/>
            <family val="0"/>
          </rPr>
          <t xml:space="preserve">All residential properties, per square meter, year-average (source: BIS)</t>
        </r>
      </text>
    </comment>
    <comment ref="F7" authorId="0">
      <text>
        <r>
          <rPr>
            <b val="true"/>
            <sz val="9"/>
            <color rgb="FF000000"/>
            <rFont val="Arial"/>
            <family val="2"/>
          </rPr>
          <t xml:space="preserve">Gabriel Zucman:
</t>
        </r>
        <r>
          <rPr>
            <sz val="9"/>
            <color rgb="FF000000"/>
            <rFont val="Arial"/>
            <family val="0"/>
          </rPr>
          <t xml:space="preserve">New residential properties, per square meter, year-average (source: BIS)</t>
        </r>
      </text>
    </comment>
    <comment ref="G7" authorId="0">
      <text>
        <r>
          <rPr>
            <b val="true"/>
            <sz val="9"/>
            <color rgb="FF000000"/>
            <rFont val="Arial"/>
            <family val="2"/>
          </rPr>
          <t xml:space="preserve">Gabriel Zucman:
</t>
        </r>
        <r>
          <rPr>
            <sz val="9"/>
            <color rgb="FF000000"/>
            <rFont val="Arial"/>
            <family val="0"/>
          </rPr>
          <t xml:space="preserve">1870-1992: Gielen (1994), Year averages. 1993-onwards: CDAX, year averages. Dec 1869=100</t>
        </r>
      </text>
    </comment>
    <comment ref="H7" authorId="0">
      <text>
        <r>
          <rPr>
            <b val="true"/>
            <sz val="9"/>
            <color rgb="FF000000"/>
            <rFont val="Arial"/>
            <family val="2"/>
          </rPr>
          <t xml:space="preserve">Gabriel Zucman:
</t>
        </r>
        <r>
          <rPr>
            <sz val="9"/>
            <color rgb="FF000000"/>
            <rFont val="Arial"/>
            <family val="0"/>
          </rPr>
          <t xml:space="preserve">1870-1992: Gielen (1994), Year averages. 1993-onwards: CDAX, year averages. Dec 1869=100</t>
        </r>
      </text>
    </comment>
  </commentList>
</comments>
</file>

<file path=xl/comments35.xml><?xml version="1.0" encoding="utf-8"?>
<comments xmlns="http://schemas.openxmlformats.org/spreadsheetml/2006/main" xmlns:xdr="http://schemas.openxmlformats.org/drawingml/2006/spreadsheetDrawing">
  <authors>
    <author>Unknown Author</author>
  </authors>
  <commentList>
    <comment ref="E8" authorId="0">
      <text>
        <r>
          <rPr>
            <b val="true"/>
            <sz val="9"/>
            <color rgb="FF000000"/>
            <rFont val="Arial"/>
            <family val="2"/>
          </rPr>
          <t xml:space="preserve">Gabriel Zucman:
</t>
        </r>
        <r>
          <rPr>
            <sz val="9"/>
            <color rgb="FF000000"/>
            <rFont val="Arial"/>
            <family val="0"/>
          </rPr>
          <t xml:space="preserve">In ESA95, net production taxes received from the rest of the world are included in national income. We follow ESA95 guidelines here.</t>
        </r>
      </text>
    </comment>
    <comment ref="R6" authorId="0">
      <text>
        <r>
          <rPr>
            <b val="true"/>
            <sz val="9"/>
            <color rgb="FF000000"/>
            <rFont val="Arial"/>
            <family val="2"/>
          </rPr>
          <t xml:space="preserve">Gabriel Zucman:
</t>
        </r>
        <r>
          <rPr>
            <sz val="9"/>
            <color rgb="FF000000"/>
            <rFont val="Arial"/>
            <family val="0"/>
          </rPr>
          <t xml:space="preserve">Before 1970, there is a tiny discrepancy between the expenditure and income approach of national income due to our retropolation</t>
        </r>
      </text>
    </comment>
    <comment ref="AJ8" authorId="0">
      <text>
        <r>
          <rPr>
            <b val="true"/>
            <sz val="9"/>
            <color rgb="FF000000"/>
            <rFont val="Arial"/>
            <family val="2"/>
          </rPr>
          <t xml:space="preserve">Gabriel Zucman:
</t>
        </r>
        <r>
          <rPr>
            <sz val="9"/>
            <color rgb="FF000000"/>
            <rFont val="Arial"/>
            <family val="0"/>
          </rPr>
          <t xml:space="preserve">This should be added to the net domestic product of the housing sector (= the net operating surplus of households) in order to obtain the rents earned by home owners gross of mortgage interest payments</t>
        </r>
      </text>
    </comment>
    <comment ref="BP8" authorId="0">
      <text>
        <r>
          <rPr>
            <b val="true"/>
            <sz val="9"/>
            <color rgb="FF000000"/>
            <rFont val="Arial"/>
            <family val="2"/>
          </rPr>
          <t xml:space="preserve">Gabriel Zucman:
</t>
        </r>
        <r>
          <rPr>
            <sz val="9"/>
            <color rgb="FF000000"/>
            <rFont val="Arial"/>
            <family val="0"/>
          </rPr>
          <t xml:space="preserve">Note that in the raw 1950-1970 series, capital depreciation is sensibly smaller, because statisticians did not estimate the depreciation on public buildings (Öffentlicher Tiefbau)</t>
        </r>
      </text>
    </comment>
    <comment ref="CO8" authorId="0">
      <text>
        <r>
          <rPr>
            <b val="true"/>
            <sz val="9"/>
            <color rgb="FF000000"/>
            <rFont val="Arial"/>
            <family val="2"/>
          </rPr>
          <t xml:space="preserve">Gabriel Zucman:
</t>
        </r>
        <r>
          <rPr>
            <sz val="9"/>
            <color rgb="FF000000"/>
            <rFont val="Arial"/>
            <family val="0"/>
          </rPr>
          <t xml:space="preserve">No data before 1970, I assume that net foreign production taxes are included in net foreign transfers</t>
        </r>
      </text>
    </comment>
    <comment ref="CU8" authorId="0">
      <text>
        <r>
          <rPr>
            <b val="true"/>
            <sz val="9"/>
            <color rgb="FF000000"/>
            <rFont val="Arial"/>
            <family val="2"/>
          </rPr>
          <t xml:space="preserve">Gabriel Zucman:
</t>
        </r>
        <r>
          <rPr>
            <sz val="9"/>
            <color rgb="FF000000"/>
            <rFont val="Arial"/>
            <family val="0"/>
          </rPr>
          <t xml:space="preserve">Raw 1950-1969 series pasted</t>
        </r>
      </text>
    </comment>
    <comment ref="DB8" authorId="0">
      <text>
        <r>
          <rPr>
            <b val="true"/>
            <sz val="9"/>
            <color rgb="FF000000"/>
            <rFont val="Arial"/>
            <family val="2"/>
          </rPr>
          <t xml:space="preserve">Gabriel Zucman:
</t>
        </r>
        <r>
          <rPr>
            <sz val="9"/>
            <color rgb="FF000000"/>
            <rFont val="Arial"/>
            <family val="0"/>
          </rPr>
          <t xml:space="preserve">1990-onwards: assuming same capital share as in corporate sector. Before,</t>
        </r>
      </text>
    </comment>
    <comment ref="DD8" authorId="0">
      <text>
        <r>
          <rPr>
            <b val="true"/>
            <sz val="9"/>
            <color rgb="FF000000"/>
            <rFont val="Arial"/>
            <family val="2"/>
          </rPr>
          <t xml:space="preserve">Gabriel Zucman:
</t>
        </r>
        <r>
          <rPr>
            <sz val="9"/>
            <color rgb="FF000000"/>
            <rFont val="Arial"/>
            <family val="0"/>
          </rPr>
          <t xml:space="preserve">1950-1969: pasted</t>
        </r>
      </text>
    </comment>
    <comment ref="DM8" authorId="0">
      <text>
        <r>
          <rPr>
            <b val="true"/>
            <sz val="9"/>
            <color rgb="FF000000"/>
            <rFont val="Arial"/>
            <family val="2"/>
          </rPr>
          <t xml:space="preserve">Gabriel Zucman:
</t>
        </r>
        <r>
          <rPr>
            <sz val="9"/>
            <color rgb="FF000000"/>
            <rFont val="Arial"/>
            <family val="0"/>
          </rPr>
          <t xml:space="preserve">This excludes wages in the noncorporate business sector, and only includes the labor income of non-salaried workers.
1990-: assuming same labor share in noncorporate sector as in corp sector.
Before: Assuming that non-salaried workers earn 90% of the average wage
Main limit of this method = secotral data suggest substantial shifts in the composition of non-salaried workers in the 70s (large decrease in agriculture), so we should probably impute a somewhat lower wage in the 50s 60s
Note that the very low self-employment labor income implied by this method in recent years is consistent with the the fact that many self-employed CEOs of SMEs receive dividends only (see Askenazy et al. p. 92). We could correct for this (part of these dividends do not really represent capital income in a way.</t>
        </r>
      </text>
    </comment>
    <comment ref="DV8" authorId="0">
      <text>
        <r>
          <rPr>
            <b val="true"/>
            <sz val="9"/>
            <color rgb="FF000000"/>
            <rFont val="Arial"/>
            <family val="2"/>
          </rPr>
          <t xml:space="preserve">Gabriel Zucman:
</t>
        </r>
        <r>
          <rPr>
            <sz val="9"/>
            <color rgb="FF000000"/>
            <rFont val="Arial"/>
            <family val="0"/>
          </rPr>
          <t xml:space="preserve">In 1970, the old German income accounts (Volkswirtschaftliche Gesamtrechnungen 1950-1990) give total taxes 8bn euros less than the revised accounts. No explanation so far as to why this is so (maybe they did not include D59 "other taxes on income?"). I link the old series to the new ones.</t>
        </r>
      </text>
    </comment>
    <comment ref="DX8" authorId="0">
      <text>
        <r>
          <rPr>
            <b val="true"/>
            <sz val="9"/>
            <color rgb="FF000000"/>
            <rFont val="Arial"/>
            <family val="2"/>
          </rPr>
          <t xml:space="preserve">Gabriel Zucman:
</t>
        </r>
        <r>
          <rPr>
            <sz val="9"/>
            <color rgb="FF000000"/>
            <rFont val="Arial"/>
            <family val="0"/>
          </rPr>
          <t xml:space="preserve">1980-onwards: Paid to domestic &amp; foreign government. 1970-1980: received by domestic gov</t>
        </r>
      </text>
    </comment>
    <comment ref="DY8" authorId="0">
      <text>
        <r>
          <rPr>
            <b val="true"/>
            <sz val="9"/>
            <color rgb="FF000000"/>
            <rFont val="Arial"/>
            <family val="2"/>
          </rPr>
          <t xml:space="preserve">Gabriel Zucman:
</t>
        </r>
        <r>
          <rPr>
            <sz val="9"/>
            <color rgb="FF000000"/>
            <rFont val="Arial"/>
            <family val="0"/>
          </rPr>
          <t xml:space="preserve">Paid to domestic &amp; foreign governments</t>
        </r>
      </text>
    </comment>
    <comment ref="EI8" authorId="0">
      <text>
        <r>
          <rPr>
            <b val="true"/>
            <sz val="9"/>
            <color rgb="FF000000"/>
            <rFont val="Arial"/>
            <family val="2"/>
          </rPr>
          <t xml:space="preserve">Gabriel Zucman:
</t>
        </r>
        <r>
          <rPr>
            <sz val="9"/>
            <color rgb="FF000000"/>
            <rFont val="Arial"/>
            <family val="0"/>
          </rPr>
          <t xml:space="preserve">Before 1980: assumes 18% of total monetary gov transfers. 1980-1989: series includes pure transfers received from rest of the world (negligible)</t>
        </r>
      </text>
    </comment>
    <comment ref="EQ8" authorId="0">
      <text>
        <r>
          <rPr>
            <b val="true"/>
            <sz val="9"/>
            <color rgb="FF000000"/>
            <rFont val="Arial"/>
            <family val="2"/>
          </rPr>
          <t xml:space="preserve">Gabriel Zucman:
</t>
        </r>
        <r>
          <rPr>
            <sz val="9"/>
            <color rgb="FF000000"/>
            <rFont val="Arial"/>
            <family val="0"/>
          </rPr>
          <t xml:space="preserve">1950-1969: pasted</t>
        </r>
      </text>
    </comment>
    <comment ref="FA8" authorId="0">
      <text>
        <r>
          <rPr>
            <b val="true"/>
            <sz val="9"/>
            <color rgb="FF000000"/>
            <rFont val="Arial"/>
            <family val="2"/>
          </rPr>
          <t xml:space="preserve">Gabriel Zucman:
</t>
        </r>
        <r>
          <rPr>
            <sz val="9"/>
            <color rgb="FF000000"/>
            <rFont val="Arial"/>
            <family val="0"/>
          </rPr>
          <t xml:space="preserve">Difference with extended disposable income due to a mixture of other transfers</t>
        </r>
      </text>
    </comment>
    <comment ref="FI8" authorId="0">
      <text>
        <r>
          <rPr>
            <b val="true"/>
            <sz val="9"/>
            <color rgb="FF000000"/>
            <rFont val="Arial"/>
            <family val="2"/>
          </rPr>
          <t xml:space="preserve">Gabriel Zucman:
</t>
        </r>
        <r>
          <rPr>
            <sz val="9"/>
            <color rgb="FF000000"/>
            <rFont val="Arial"/>
            <family val="0"/>
          </rPr>
          <t xml:space="preserve">Includes changes in pension fund assets (added to net savings). 1950-1980: excludes undistributed profits of noncorporate businesses</t>
        </r>
      </text>
    </comment>
    <comment ref="FJ8" authorId="0">
      <text>
        <r>
          <rPr>
            <b val="true"/>
            <sz val="9"/>
            <color rgb="FF000000"/>
            <rFont val="Arial"/>
            <family val="2"/>
          </rPr>
          <t xml:space="preserve">Gabriel Zucman:
</t>
        </r>
        <r>
          <rPr>
            <sz val="9"/>
            <color rgb="FF000000"/>
            <rFont val="Arial"/>
            <family val="0"/>
          </rPr>
          <t xml:space="preserve">Includes changes in pension fund liabilities (deducted from net savings). 1950-1980: includes undistributed profits of noncorporate businesses</t>
        </r>
      </text>
    </comment>
    <comment ref="FO8" authorId="0">
      <text>
        <r>
          <rPr>
            <b val="true"/>
            <sz val="9"/>
            <color rgb="FF000000"/>
            <rFont val="Arial"/>
            <family val="2"/>
          </rPr>
          <t xml:space="preserve">Gabriel Zucman:
</t>
        </r>
        <r>
          <rPr>
            <sz val="9"/>
            <color rgb="FF000000"/>
            <rFont val="Arial"/>
            <family val="0"/>
          </rPr>
          <t xml:space="preserve">1980-1990: includes changes in stocks (P52) &amp; net acquisitions of precious objects (P53)</t>
        </r>
      </text>
    </comment>
    <comment ref="FP8" authorId="0">
      <text>
        <r>
          <rPr>
            <b val="true"/>
            <sz val="9"/>
            <color rgb="FF000000"/>
            <rFont val="Arial"/>
            <family val="2"/>
          </rPr>
          <t xml:space="preserve">Gabriel Zucman:
</t>
        </r>
        <r>
          <rPr>
            <sz val="9"/>
            <color rgb="FF000000"/>
            <rFont val="Arial"/>
            <family val="0"/>
          </rPr>
          <t xml:space="preserve">Before 1990: only K2</t>
        </r>
      </text>
    </comment>
    <comment ref="GB52" authorId="0">
      <text>
        <r>
          <rPr>
            <b val="true"/>
            <sz val="9"/>
            <color rgb="FF000000"/>
            <rFont val="Arial"/>
            <family val="2"/>
          </rPr>
          <t xml:space="preserve">Gabriel Zucman:
</t>
        </r>
        <r>
          <rPr>
            <sz val="9"/>
            <color rgb="FF000000"/>
            <rFont val="Arial"/>
            <family val="0"/>
          </rPr>
          <t xml:space="preserve">Source: OECD main economic indicators</t>
        </r>
      </text>
    </comment>
    <comment ref="GD52" authorId="0">
      <text>
        <r>
          <rPr>
            <b val="true"/>
            <sz val="9"/>
            <color rgb="FF000000"/>
            <rFont val="Arial"/>
            <family val="2"/>
          </rPr>
          <t xml:space="preserve">Gabriel Zucman:
</t>
        </r>
        <r>
          <rPr>
            <sz val="9"/>
            <color rgb="FF000000"/>
            <rFont val="Arial"/>
            <family val="0"/>
          </rPr>
          <t xml:space="preserve">Source: WB WDI</t>
        </r>
      </text>
    </comment>
    <comment ref="GG8" authorId="0">
      <text>
        <r>
          <rPr>
            <b val="true"/>
            <sz val="9"/>
            <color rgb="FF000000"/>
            <rFont val="Arial"/>
            <family val="2"/>
          </rPr>
          <t xml:space="preserve">Gabriel Zucman:
</t>
        </r>
        <r>
          <rPr>
            <sz val="9"/>
            <color rgb="FF000000"/>
            <rFont val="Arial"/>
            <family val="0"/>
          </rPr>
          <t xml:space="preserve">Bruttoanlageninvestionen, Kettenindex</t>
        </r>
      </text>
    </comment>
    <comment ref="GH8" authorId="0">
      <text>
        <r>
          <rPr>
            <b val="true"/>
            <sz val="9"/>
            <color rgb="FF000000"/>
            <rFont val="Arial"/>
            <family val="2"/>
          </rPr>
          <t xml:space="preserve">Gabriel Zucman:
</t>
        </r>
        <r>
          <rPr>
            <sz val="9"/>
            <color rgb="FF000000"/>
            <rFont val="Arial"/>
            <family val="0"/>
          </rPr>
          <t xml:space="preserve">1950-1960: includes Saarland &amp; W Berlin
The 1970-2011 Germany income accounts give somewhat different figures, maybe because they give mid-year figures (whereas Bevölkerung und Erwerbtätigkeit gives year-end figures)</t>
        </r>
      </text>
    </comment>
    <comment ref="HC8" authorId="0">
      <text>
        <r>
          <rPr>
            <b val="true"/>
            <sz val="9"/>
            <color rgb="FF000000"/>
            <rFont val="Arial"/>
            <family val="2"/>
          </rPr>
          <t xml:space="preserve">Gabriel Zucman:
</t>
        </r>
        <r>
          <rPr>
            <sz val="9"/>
            <color rgb="FF000000"/>
            <rFont val="Arial"/>
            <family val="0"/>
          </rPr>
          <t xml:space="preserve">0 (probably no data) before 2005</t>
        </r>
      </text>
    </comment>
  </commentList>
</comments>
</file>

<file path=xl/comments36.xml><?xml version="1.0" encoding="utf-8"?>
<comments xmlns="http://schemas.openxmlformats.org/spreadsheetml/2006/main" xmlns:xdr="http://schemas.openxmlformats.org/drawingml/2006/spreadsheetDrawing">
  <authors>
    <author>Unknown Author</author>
  </authors>
  <commentList>
    <comment ref="AP8" authorId="0">
      <text>
        <r>
          <rPr>
            <b val="true"/>
            <sz val="9"/>
            <color rgb="FF000000"/>
            <rFont val="Arial"/>
            <family val="2"/>
          </rPr>
          <t xml:space="preserve">Gabriel Zucman:
</t>
        </r>
        <r>
          <rPr>
            <sz val="9"/>
            <color rgb="FF000000"/>
            <rFont val="Arial"/>
            <family val="0"/>
          </rPr>
          <t xml:space="preserve">Too low, probably because does not take into account depreciation on public works (since this statistic was apparently not collected)</t>
        </r>
      </text>
    </comment>
    <comment ref="AS8" authorId="0">
      <text>
        <r>
          <rPr>
            <b val="true"/>
            <sz val="9"/>
            <color rgb="FF000000"/>
            <rFont val="Arial"/>
            <family val="2"/>
          </rPr>
          <t xml:space="preserve">Gabriel Zucman:
</t>
        </r>
        <r>
          <rPr>
            <sz val="9"/>
            <color rgb="FF000000"/>
            <rFont val="Arial"/>
            <family val="0"/>
          </rPr>
          <t xml:space="preserve">Corporate income tax + other direct taxes</t>
        </r>
      </text>
    </comment>
    <comment ref="AW8" authorId="0">
      <text>
        <r>
          <rPr>
            <b val="true"/>
            <sz val="9"/>
            <color rgb="FF000000"/>
            <rFont val="Arial"/>
            <family val="2"/>
          </rPr>
          <t xml:space="preserve">Gabriel Zucman:
</t>
        </r>
        <r>
          <rPr>
            <sz val="9"/>
            <color rgb="FF000000"/>
            <rFont val="Arial"/>
            <family val="0"/>
          </rPr>
          <t xml:space="preserve">Including undistributed profits of unincorporated businesses</t>
        </r>
      </text>
    </comment>
    <comment ref="BV8" authorId="0">
      <text>
        <r>
          <rPr>
            <b val="true"/>
            <sz val="9"/>
            <color rgb="FF000000"/>
            <rFont val="Arial"/>
            <family val="2"/>
          </rPr>
          <t xml:space="preserve">Gabriel Zucman:
</t>
        </r>
        <r>
          <rPr>
            <sz val="9"/>
            <color rgb="FF000000"/>
            <rFont val="Arial"/>
            <family val="0"/>
          </rPr>
          <t xml:space="preserve">Gross government interest payments are available p. 77 col. 10</t>
        </r>
      </text>
    </comment>
    <comment ref="CQ8" authorId="0">
      <text>
        <r>
          <rPr>
            <b val="true"/>
            <sz val="9"/>
            <color rgb="FF000000"/>
            <rFont val="Arial"/>
            <family val="2"/>
          </rPr>
          <t xml:space="preserve">Gabriel Zucman:
</t>
        </r>
        <r>
          <rPr>
            <sz val="9"/>
            <color rgb="FF000000"/>
            <rFont val="Arial"/>
            <family val="0"/>
          </rPr>
          <t xml:space="preserve">Includes transfers from foreign governments</t>
        </r>
      </text>
    </comment>
    <comment ref="CV8" authorId="0">
      <text>
        <r>
          <rPr>
            <b val="true"/>
            <sz val="9"/>
            <color rgb="FF000000"/>
            <rFont val="Arial"/>
            <family val="2"/>
          </rPr>
          <t xml:space="preserve">Gabriel Zucman:
</t>
        </r>
        <r>
          <rPr>
            <sz val="9"/>
            <color rgb="FF000000"/>
            <rFont val="Arial"/>
            <family val="0"/>
          </rPr>
          <t xml:space="preserve">1953: London debt agreement</t>
        </r>
      </text>
    </comment>
    <comment ref="DB8" authorId="0">
      <text>
        <r>
          <rPr>
            <b val="true"/>
            <sz val="9"/>
            <color rgb="FF000000"/>
            <rFont val="Arial"/>
            <family val="2"/>
          </rPr>
          <t xml:space="preserve">Gabriel Zucman:
</t>
        </r>
        <r>
          <rPr>
            <sz val="9"/>
            <color rgb="FF000000"/>
            <rFont val="Arial"/>
            <family val="0"/>
          </rPr>
          <t xml:space="preserve">Excludes undistributed profits of noncorporate businesses</t>
        </r>
      </text>
    </comment>
    <comment ref="DC8" authorId="0">
      <text>
        <r>
          <rPr>
            <b val="true"/>
            <sz val="9"/>
            <color rgb="FF000000"/>
            <rFont val="Arial"/>
            <family val="2"/>
          </rPr>
          <t xml:space="preserve">Gabriel Zucman:
</t>
        </r>
        <r>
          <rPr>
            <sz val="9"/>
            <color rgb="FF000000"/>
            <rFont val="Arial"/>
            <family val="0"/>
          </rPr>
          <t xml:space="preserve">Excludes undistributed profits of noncorporate businesses
</t>
        </r>
      </text>
    </comment>
    <comment ref="DD8" authorId="0">
      <text>
        <r>
          <rPr>
            <b val="true"/>
            <sz val="9"/>
            <color rgb="FF000000"/>
            <rFont val="Arial"/>
            <family val="2"/>
          </rPr>
          <t xml:space="preserve">Gabriel Zucman:
</t>
        </r>
        <r>
          <rPr>
            <sz val="9"/>
            <color rgb="FF000000"/>
            <rFont val="Arial"/>
            <family val="0"/>
          </rPr>
          <t xml:space="preserve">Includes undistributed profits of noncorporate businesses
</t>
        </r>
      </text>
    </comment>
    <comment ref="DE8" authorId="0">
      <text>
        <r>
          <rPr>
            <b val="true"/>
            <sz val="9"/>
            <color rgb="FF000000"/>
            <rFont val="Arial"/>
            <family val="2"/>
          </rPr>
          <t xml:space="preserve">Gabriel Zucman:
</t>
        </r>
        <r>
          <rPr>
            <sz val="9"/>
            <color rgb="FF000000"/>
            <rFont val="Arial"/>
            <family val="0"/>
          </rPr>
          <t xml:space="preserve">Includes net increase in pension fund assets</t>
        </r>
      </text>
    </comment>
  </commentList>
</comments>
</file>

<file path=xl/comments37.xml><?xml version="1.0" encoding="utf-8"?>
<comments xmlns="http://schemas.openxmlformats.org/spreadsheetml/2006/main" xmlns:xdr="http://schemas.openxmlformats.org/drawingml/2006/spreadsheetDrawing">
  <authors>
    <author>Unknown Author</author>
  </authors>
  <commentList>
    <comment ref="C80" authorId="0">
      <text>
        <r>
          <rPr>
            <b val="true"/>
            <sz val="9"/>
            <color rgb="FF000000"/>
            <rFont val="Arial"/>
            <family val="2"/>
          </rPr>
          <t xml:space="preserve">Gabriel Zucman:
</t>
        </r>
        <r>
          <rPr>
            <sz val="9"/>
            <color rgb="FF000000"/>
            <rFont val="Arial"/>
            <family val="0"/>
          </rPr>
          <t xml:space="preserve">Note that Baten &amp; Schulz (2005) have bigger decline (-14%) in 1917 (Table 7 p. 51)). Barro-Ursua take the Baten &amp; Schulz datapoint</t>
        </r>
      </text>
    </comment>
    <comment ref="E108" authorId="0">
      <text>
        <r>
          <rPr>
            <b val="true"/>
            <sz val="9"/>
            <color rgb="FF000000"/>
            <rFont val="Arial"/>
            <family val="2"/>
          </rPr>
          <t xml:space="preserve">Gabriel Zucman:
</t>
        </r>
        <r>
          <rPr>
            <sz val="9"/>
            <color rgb="FF000000"/>
            <rFont val="Arial"/>
            <family val="0"/>
          </rPr>
          <t xml:space="preserve">Based on Barro-Ursua dataset who estimate a 15.8% real decline in per capita GDP in 1946 (as follows: "We used level-comparable anchor values for 1944 and 1946 (taken from Ritschl-Spoerer, referenced above) and then approximated the movement corresponding to 1945 with the change in industrial production (from "Sleifer..." below) and agricultural production (from "Piettre..."):"</t>
        </r>
      </text>
    </comment>
    <comment ref="AM113" authorId="0">
      <text>
        <r>
          <rPr>
            <b val="true"/>
            <sz val="9"/>
            <color rgb="FF000000"/>
            <rFont val="Arial"/>
            <family val="2"/>
          </rPr>
          <t xml:space="preserve">Gabriel Zucman:
</t>
        </r>
        <r>
          <rPr>
            <sz val="9"/>
            <color rgb="FF000000"/>
            <rFont val="Arial"/>
            <family val="0"/>
          </rPr>
          <t xml:space="preserve">Inconsistent with modern data from Destatis</t>
        </r>
      </text>
    </comment>
    <comment ref="BK102" authorId="0">
      <text>
        <r>
          <rPr>
            <b val="true"/>
            <sz val="9"/>
            <color rgb="FF000000"/>
            <rFont val="Arial"/>
            <family val="2"/>
          </rPr>
          <t xml:space="preserve">Gabriel Zucman:
</t>
        </r>
        <r>
          <rPr>
            <sz val="9"/>
            <color rgb="FF000000"/>
            <rFont val="Arial"/>
            <family val="0"/>
          </rPr>
          <t xml:space="preserve">Stat Jahrbuch has 90.03 (including invaded Polish territories &amp; Sudetenland)</t>
        </r>
      </text>
    </comment>
    <comment ref="BK108" authorId="0">
      <text>
        <r>
          <rPr>
            <b val="true"/>
            <sz val="9"/>
            <color rgb="FF000000"/>
            <rFont val="Arial"/>
            <family val="2"/>
          </rPr>
          <t xml:space="preserve">Gabriel Zucman:
</t>
        </r>
        <r>
          <rPr>
            <sz val="9"/>
            <color rgb="FF000000"/>
            <rFont val="Arial"/>
            <family val="0"/>
          </rPr>
          <t xml:space="preserve">Maddison has 45000 for West Germany in 1945 and 46190 in 1946</t>
        </r>
      </text>
    </comment>
    <comment ref="CB89" authorId="0">
      <text>
        <r>
          <rPr>
            <b val="true"/>
            <sz val="9"/>
            <color rgb="FF000000"/>
            <rFont val="Arial"/>
            <family val="2"/>
          </rPr>
          <t xml:space="preserve">Gabriel Zucman:
</t>
        </r>
        <r>
          <rPr>
            <sz val="9"/>
            <color rgb="FF000000"/>
            <rFont val="Arial"/>
            <family val="0"/>
          </rPr>
          <t xml:space="preserve">December 1926</t>
        </r>
      </text>
    </comment>
    <comment ref="CB90" authorId="0">
      <text>
        <r>
          <rPr>
            <b val="true"/>
            <sz val="9"/>
            <color rgb="FF000000"/>
            <rFont val="Arial"/>
            <family val="2"/>
          </rPr>
          <t xml:space="preserve">Gabriel Zucman:
</t>
        </r>
        <r>
          <rPr>
            <sz val="9"/>
            <color rgb="FF000000"/>
            <rFont val="Arial"/>
            <family val="0"/>
          </rPr>
          <t xml:space="preserve">December 1927</t>
        </r>
      </text>
    </comment>
    <comment ref="CB91" authorId="0">
      <text>
        <r>
          <rPr>
            <b val="true"/>
            <sz val="9"/>
            <color rgb="FF000000"/>
            <rFont val="Arial"/>
            <family val="2"/>
          </rPr>
          <t xml:space="preserve">Gabriel Zucman:
</t>
        </r>
        <r>
          <rPr>
            <sz val="9"/>
            <color rgb="FF000000"/>
            <rFont val="Arial"/>
            <family val="0"/>
          </rPr>
          <t xml:space="preserve">December 1928</t>
        </r>
      </text>
    </comment>
    <comment ref="CB92" authorId="0">
      <text>
        <r>
          <rPr>
            <b val="true"/>
            <sz val="9"/>
            <color rgb="FF000000"/>
            <rFont val="Arial"/>
            <family val="2"/>
          </rPr>
          <t xml:space="preserve">Gabriel Zucman:
</t>
        </r>
        <r>
          <rPr>
            <sz val="9"/>
            <color rgb="FF000000"/>
            <rFont val="Arial"/>
            <family val="0"/>
          </rPr>
          <t xml:space="preserve">December 1929</t>
        </r>
      </text>
    </comment>
    <comment ref="CB93" authorId="0">
      <text>
        <r>
          <rPr>
            <b val="true"/>
            <sz val="9"/>
            <color rgb="FF000000"/>
            <rFont val="Arial"/>
            <family val="2"/>
          </rPr>
          <t xml:space="preserve">Gabriel Zucman:
</t>
        </r>
        <r>
          <rPr>
            <sz val="9"/>
            <color rgb="FF000000"/>
            <rFont val="Arial"/>
            <family val="0"/>
          </rPr>
          <t xml:space="preserve">September 1930</t>
        </r>
      </text>
    </comment>
    <comment ref="CB94" authorId="0">
      <text>
        <r>
          <rPr>
            <b val="true"/>
            <sz val="9"/>
            <color rgb="FF000000"/>
            <rFont val="Arial"/>
            <family val="2"/>
          </rPr>
          <t xml:space="preserve">Gabriel Zucman:
</t>
        </r>
        <r>
          <rPr>
            <sz val="9"/>
            <color rgb="FF000000"/>
            <rFont val="Arial"/>
            <family val="0"/>
          </rPr>
          <t xml:space="preserve">1931 onwards: no data, I assume that NFA_{t+1}=NFA_{t}+CA_{t} to back out A_{t+1}</t>
        </r>
      </text>
    </comment>
    <comment ref="CC89" authorId="0">
      <text>
        <r>
          <rPr>
            <b val="true"/>
            <sz val="9"/>
            <color rgb="FF000000"/>
            <rFont val="Arial"/>
            <family val="2"/>
          </rPr>
          <t xml:space="preserve">Gabriel Zucman:
</t>
        </r>
        <r>
          <rPr>
            <sz val="9"/>
            <color rgb="FF000000"/>
            <rFont val="Arial"/>
            <family val="0"/>
          </rPr>
          <t xml:space="preserve">December 1926</t>
        </r>
      </text>
    </comment>
    <comment ref="CC90" authorId="0">
      <text>
        <r>
          <rPr>
            <b val="true"/>
            <sz val="9"/>
            <color rgb="FF000000"/>
            <rFont val="Arial"/>
            <family val="2"/>
          </rPr>
          <t xml:space="preserve">Gabriel Zucman:
</t>
        </r>
        <r>
          <rPr>
            <sz val="9"/>
            <color rgb="FF000000"/>
            <rFont val="Arial"/>
            <family val="0"/>
          </rPr>
          <t xml:space="preserve">December 1927
</t>
        </r>
      </text>
    </comment>
    <comment ref="CC91" authorId="0">
      <text>
        <r>
          <rPr>
            <b val="true"/>
            <sz val="9"/>
            <color rgb="FF000000"/>
            <rFont val="Arial"/>
            <family val="2"/>
          </rPr>
          <t xml:space="preserve">Gabriel Zucman:
</t>
        </r>
        <r>
          <rPr>
            <sz val="9"/>
            <color rgb="FF000000"/>
            <rFont val="Arial"/>
            <family val="0"/>
          </rPr>
          <t xml:space="preserve">December 1928</t>
        </r>
      </text>
    </comment>
    <comment ref="CC92" authorId="0">
      <text>
        <r>
          <rPr>
            <b val="true"/>
            <sz val="9"/>
            <color rgb="FF000000"/>
            <rFont val="Arial"/>
            <family val="2"/>
          </rPr>
          <t xml:space="preserve">Gabriel Zucman:
</t>
        </r>
        <r>
          <rPr>
            <sz val="9"/>
            <color rgb="FF000000"/>
            <rFont val="Arial"/>
            <family val="0"/>
          </rPr>
          <t xml:space="preserve">December 29</t>
        </r>
      </text>
    </comment>
    <comment ref="CC93" authorId="0">
      <text>
        <r>
          <rPr>
            <b val="true"/>
            <sz val="9"/>
            <color rgb="FF000000"/>
            <rFont val="Arial"/>
            <family val="2"/>
          </rPr>
          <t xml:space="preserve">Gabriel Zucman:
</t>
        </r>
        <r>
          <rPr>
            <sz val="9"/>
            <color rgb="FF000000"/>
            <rFont val="Arial"/>
            <family val="0"/>
          </rPr>
          <t xml:space="preserve">December 1930</t>
        </r>
      </text>
    </comment>
    <comment ref="CC94" authorId="0">
      <text>
        <r>
          <rPr>
            <b val="true"/>
            <sz val="9"/>
            <color rgb="FF000000"/>
            <rFont val="Arial"/>
            <family val="2"/>
          </rPr>
          <t xml:space="preserve">Gabriel Zucman:
</t>
        </r>
        <r>
          <rPr>
            <sz val="9"/>
            <color rgb="FF000000"/>
            <rFont val="Arial"/>
            <family val="0"/>
          </rPr>
          <t xml:space="preserve">November 1931</t>
        </r>
      </text>
    </comment>
    <comment ref="CC95" authorId="0">
      <text>
        <r>
          <rPr>
            <b val="true"/>
            <sz val="9"/>
            <color rgb="FF000000"/>
            <rFont val="Arial"/>
            <family val="2"/>
          </rPr>
          <t xml:space="preserve">Gabriel Zucman:
</t>
        </r>
        <r>
          <rPr>
            <sz val="9"/>
            <color rgb="FF000000"/>
            <rFont val="Arial"/>
            <family val="0"/>
          </rPr>
          <t xml:space="preserve">February 1933</t>
        </r>
      </text>
    </comment>
    <comment ref="CC96" authorId="0">
      <text>
        <r>
          <rPr>
            <b val="true"/>
            <sz val="9"/>
            <color rgb="FF000000"/>
            <rFont val="Arial"/>
            <family val="2"/>
          </rPr>
          <t xml:space="preserve">Gabriel Zucman:
</t>
        </r>
        <r>
          <rPr>
            <sz val="9"/>
            <color rgb="FF000000"/>
            <rFont val="Arial"/>
            <family val="0"/>
          </rPr>
          <t xml:space="preserve">February 1934</t>
        </r>
      </text>
    </comment>
    <comment ref="CC98" authorId="0">
      <text>
        <r>
          <rPr>
            <b val="true"/>
            <sz val="9"/>
            <color rgb="FF000000"/>
            <rFont val="Arial"/>
            <family val="2"/>
          </rPr>
          <t xml:space="preserve">Gabriel Zucman:
</t>
        </r>
        <r>
          <rPr>
            <sz val="9"/>
            <color rgb="FF000000"/>
            <rFont val="Arial"/>
            <family val="0"/>
          </rPr>
          <t xml:space="preserve">February 1936</t>
        </r>
      </text>
    </comment>
    <comment ref="CC99" authorId="0">
      <text>
        <r>
          <rPr>
            <b val="true"/>
            <sz val="9"/>
            <color rgb="FF000000"/>
            <rFont val="Arial"/>
            <family val="2"/>
          </rPr>
          <t xml:space="preserve">Gabriel Zucman:
</t>
        </r>
        <r>
          <rPr>
            <sz val="9"/>
            <color rgb="FF000000"/>
            <rFont val="Arial"/>
            <family val="0"/>
          </rPr>
          <t xml:space="preserve">February 1937</t>
        </r>
      </text>
    </comment>
    <comment ref="CC100" authorId="0">
      <text>
        <r>
          <rPr>
            <b val="true"/>
            <sz val="9"/>
            <color rgb="FF000000"/>
            <rFont val="Arial"/>
            <family val="2"/>
          </rPr>
          <t xml:space="preserve">Gabriel Zucman:
</t>
        </r>
        <r>
          <rPr>
            <sz val="9"/>
            <color rgb="FF000000"/>
            <rFont val="Arial"/>
            <family val="0"/>
          </rPr>
          <t xml:space="preserve">February 1938</t>
        </r>
      </text>
    </comment>
    <comment ref="CC103" authorId="0">
      <text>
        <r>
          <rPr>
            <b val="true"/>
            <sz val="9"/>
            <color rgb="FF000000"/>
            <rFont val="Arial"/>
            <family val="2"/>
          </rPr>
          <t xml:space="preserve">Gabriel Zucman:
</t>
        </r>
        <r>
          <rPr>
            <sz val="9"/>
            <color rgb="FF000000"/>
            <rFont val="Arial"/>
            <family val="0"/>
          </rPr>
          <t xml:space="preserve">Step 1940</t>
        </r>
      </text>
    </comment>
    <comment ref="CC108" authorId="0">
      <text>
        <r>
          <rPr>
            <b val="true"/>
            <sz val="9"/>
            <color rgb="FF000000"/>
            <rFont val="Arial"/>
            <family val="2"/>
          </rPr>
          <t xml:space="preserve">Gabriel Zucman:
</t>
        </r>
        <r>
          <rPr>
            <sz val="9"/>
            <color rgb="FF000000"/>
            <rFont val="Arial"/>
            <family val="0"/>
          </rPr>
          <t xml:space="preserve">Assumes full default here</t>
        </r>
      </text>
    </comment>
    <comment ref="CD84" authorId="0">
      <text>
        <r>
          <rPr>
            <b val="true"/>
            <sz val="9"/>
            <color rgb="FF000000"/>
            <rFont val="Arial"/>
            <family val="2"/>
          </rPr>
          <t xml:space="preserve">Gabriel Zucman:
</t>
        </r>
        <r>
          <rPr>
            <sz val="9"/>
            <color rgb="FF000000"/>
            <rFont val="Arial"/>
            <family val="0"/>
          </rPr>
          <t xml:space="preserve">Amount fixed by the Reparation Commission in 1921 (in Goldmarks). Of these, however, the German government was to begin service on two series of bonds (the so-called “A” and “B” bonds) totaling 50 billion Marks. "C" bonds (82bn) were never really expected to be serviced; see Guinnane (2004) p. 11</t>
        </r>
      </text>
    </comment>
    <comment ref="CD87" authorId="0">
      <text>
        <r>
          <rPr>
            <b val="true"/>
            <sz val="9"/>
            <color rgb="FF000000"/>
            <rFont val="Arial"/>
            <family val="2"/>
          </rPr>
          <t xml:space="preserve">Gabriel Zucman:
</t>
        </r>
        <r>
          <rPr>
            <sz val="9"/>
            <color rgb="FF000000"/>
            <rFont val="Arial"/>
            <family val="0"/>
          </rPr>
          <t xml:space="preserve">Dawes Plan</t>
        </r>
      </text>
    </comment>
    <comment ref="CD92" authorId="0">
      <text>
        <r>
          <rPr>
            <b val="true"/>
            <sz val="9"/>
            <color rgb="FF000000"/>
            <rFont val="Arial"/>
            <family val="2"/>
          </rPr>
          <t xml:space="preserve">Gabriel Zucman:
</t>
        </r>
        <r>
          <rPr>
            <sz val="9"/>
            <color rgb="FF000000"/>
            <rFont val="Arial"/>
            <family val="0"/>
          </rPr>
          <t xml:space="preserve">Young plan</t>
        </r>
      </text>
    </comment>
    <comment ref="CD95" authorId="0">
      <text>
        <r>
          <rPr>
            <b val="true"/>
            <sz val="9"/>
            <color rgb="FF000000"/>
            <rFont val="Arial"/>
            <family val="2"/>
          </rPr>
          <t xml:space="preserve">Gabriel Zucman:
</t>
        </r>
        <r>
          <rPr>
            <sz val="9"/>
            <color rgb="FF000000"/>
            <rFont val="Arial"/>
            <family val="0"/>
          </rPr>
          <t xml:space="preserve">Lausanne conference</t>
        </r>
      </text>
    </comment>
    <comment ref="CD111" authorId="0">
      <text>
        <r>
          <rPr>
            <b val="true"/>
            <sz val="9"/>
            <color rgb="FF000000"/>
            <rFont val="Arial"/>
            <family val="2"/>
          </rPr>
          <t xml:space="preserve">Gabriel Zucman:
</t>
        </r>
        <r>
          <rPr>
            <sz val="9"/>
            <color rgb="FF000000"/>
            <rFont val="Arial"/>
            <family val="0"/>
          </rPr>
          <t xml:space="preserve">The BIS burns the 3bn marks bond created in 1932 in the wake of the Lausanne conference (the bonds were never issued so one can consider as well that Germany's war debts are 0 after the Lausanne conf); see Guinnane 2004 p. 18</t>
        </r>
      </text>
    </comment>
    <comment ref="CP86" authorId="0">
      <text>
        <r>
          <rPr>
            <b val="true"/>
            <sz val="9"/>
            <color rgb="FF000000"/>
            <rFont val="Arial"/>
            <family val="2"/>
          </rPr>
          <t xml:space="preserve">Gabriel Zucman:
</t>
        </r>
        <r>
          <rPr>
            <sz val="9"/>
            <color rgb="FF000000"/>
            <rFont val="Arial"/>
            <family val="0"/>
          </rPr>
          <t xml:space="preserve">Short term debt as of November 15, 1923; see Bundesbank (1967, p. 313n ft 15)</t>
        </r>
      </text>
    </comment>
    <comment ref="DA108" authorId="0">
      <text>
        <r>
          <rPr>
            <b val="true"/>
            <sz val="9"/>
            <color rgb="FF000000"/>
            <rFont val="Arial"/>
            <family val="2"/>
          </rPr>
          <t xml:space="preserve">Gabriel Zucman:
</t>
        </r>
        <r>
          <rPr>
            <sz val="9"/>
            <color rgb="FF000000"/>
            <rFont val="Arial"/>
            <family val="0"/>
          </rPr>
          <t xml:space="preserve">as of 7 March 1945</t>
        </r>
      </text>
    </comment>
  </commentList>
</comments>
</file>

<file path=xl/comments38.xml><?xml version="1.0" encoding="utf-8"?>
<comments xmlns="http://schemas.openxmlformats.org/spreadsheetml/2006/main" xmlns:xdr="http://schemas.openxmlformats.org/drawingml/2006/spreadsheetDrawing">
  <authors>
    <author>Unknown Author</author>
  </authors>
  <commentList>
    <comment ref="C10" authorId="0">
      <text>
        <r>
          <rPr>
            <b val="true"/>
            <sz val="9"/>
            <color rgb="FF000000"/>
            <rFont val="Arial"/>
            <family val="2"/>
          </rPr>
          <t xml:space="preserve">Gabriel Zucman:
</t>
        </r>
        <r>
          <rPr>
            <sz val="9"/>
            <color rgb="FF000000"/>
            <rFont val="Arial"/>
            <family val="0"/>
          </rPr>
          <t xml:space="preserve">Assume agricultural land = 9 * cultivated assets</t>
        </r>
      </text>
    </comment>
    <comment ref="U10" authorId="0">
      <text>
        <r>
          <rPr>
            <b val="true"/>
            <sz val="9"/>
            <color rgb="FF000000"/>
            <rFont val="Arial"/>
            <family val="2"/>
          </rPr>
          <t xml:space="preserve">Gabriel Zucman:
</t>
        </r>
        <r>
          <rPr>
            <sz val="9"/>
            <color rgb="FF000000"/>
            <rFont val="Arial"/>
            <family val="0"/>
          </rPr>
          <t xml:space="preserve">Before 1991: assume 15% of fixed assets</t>
        </r>
      </text>
    </comment>
    <comment ref="AF10" authorId="0">
      <text>
        <r>
          <rPr>
            <b val="true"/>
            <sz val="9"/>
            <color rgb="FF000000"/>
            <rFont val="Arial"/>
            <family val="2"/>
          </rPr>
          <t xml:space="preserve">Gabriel Zucman:
</t>
        </r>
        <r>
          <rPr>
            <sz val="9"/>
            <color rgb="FF000000"/>
            <rFont val="Arial"/>
            <family val="0"/>
          </rPr>
          <t xml:space="preserve">Assume agricultural land = 9 * cultivated assets</t>
        </r>
      </text>
    </comment>
    <comment ref="AQ10" authorId="0">
      <text>
        <r>
          <rPr>
            <b val="true"/>
            <sz val="9"/>
            <color rgb="FF000000"/>
            <rFont val="Arial"/>
            <family val="2"/>
          </rPr>
          <t xml:space="preserve">Gabriel Zucman:
</t>
        </r>
        <r>
          <rPr>
            <sz val="9"/>
            <color rgb="FF000000"/>
            <rFont val="Arial"/>
            <family val="0"/>
          </rPr>
          <t xml:space="preserve">Includes other equities &amp; mutual funds before 1992, excludes them after</t>
        </r>
      </text>
    </comment>
  </commentList>
</comments>
</file>

<file path=xl/comments39.xml><?xml version="1.0" encoding="utf-8"?>
<comments xmlns="http://schemas.openxmlformats.org/spreadsheetml/2006/main" xmlns:xdr="http://schemas.openxmlformats.org/drawingml/2006/spreadsheetDrawing">
  <authors>
    <author>Unknown Author</author>
  </authors>
  <commentList>
    <comment ref="X9" authorId="0">
      <text>
        <r>
          <rPr>
            <b val="true"/>
            <sz val="9"/>
            <color rgb="FF000000"/>
            <rFont val="Calibri"/>
            <family val="2"/>
          </rPr>
          <t xml:space="preserve">Gabriel Zucman:
</t>
        </r>
        <r>
          <rPr>
            <sz val="9"/>
            <color rgb="FF000000"/>
            <rFont val="Calibri"/>
            <family val="2"/>
          </rPr>
          <t xml:space="preserve">Financial Accounts are more up-to-date than balance sheets, so for recent years there is a slight discrepancy between both sources</t>
        </r>
      </text>
    </comment>
  </commentList>
</comments>
</file>

<file path=xl/sharedStrings.xml><?xml version="1.0" encoding="utf-8"?>
<sst xmlns="http://schemas.openxmlformats.org/spreadsheetml/2006/main" count="3518" uniqueCount="1669">
  <si>
    <t xml:space="preserve">PIKETTY-ZUCMAN WEALTH-INCOME DATA SET</t>
  </si>
  <si>
    <t xml:space="preserve">This database supports our paper "Capital is Back: Wealth-Income Ratios in Rich Countries, 1700-2010"</t>
  </si>
  <si>
    <t xml:space="preserve">Germany, 1870-2010</t>
  </si>
  <si>
    <t xml:space="preserve">Last update: June 4, 2013</t>
  </si>
  <si>
    <t xml:space="preserve">Summary Macro Variables</t>
  </si>
  <si>
    <t xml:space="preserve">Wealth Accumulation</t>
  </si>
  <si>
    <t xml:space="preserve">Structure of National Wealth</t>
  </si>
  <si>
    <t xml:space="preserve">Structure of National Income</t>
  </si>
  <si>
    <t xml:space="preserve">Prices &amp; Returns</t>
  </si>
  <si>
    <t xml:space="preserve">Back to index</t>
  </si>
  <si>
    <t xml:space="preserve">Table DE.1: National income and private wealth in Germany, 1870-2011 (annual series)</t>
  </si>
  <si>
    <t xml:space="preserve">[1]</t>
  </si>
  <si>
    <t xml:space="preserve">[2]</t>
  </si>
  <si>
    <t xml:space="preserve">[3]</t>
  </si>
  <si>
    <t xml:space="preserve">[4]</t>
  </si>
  <si>
    <t xml:space="preserve">[5]</t>
  </si>
  <si>
    <t xml:space="preserve">[6]</t>
  </si>
  <si>
    <t xml:space="preserve">[7]</t>
  </si>
  <si>
    <t xml:space="preserve">[8]</t>
  </si>
  <si>
    <t xml:space="preserve">[9]</t>
  </si>
  <si>
    <t xml:space="preserve">[10]</t>
  </si>
  <si>
    <t xml:space="preserve">[11]</t>
  </si>
  <si>
    <t xml:space="preserve">[12]</t>
  </si>
  <si>
    <t xml:space="preserve">[13]</t>
  </si>
  <si>
    <t xml:space="preserve">[14]</t>
  </si>
  <si>
    <t xml:space="preserve">[15]</t>
  </si>
  <si>
    <t xml:space="preserve">[16]</t>
  </si>
  <si>
    <t xml:space="preserve">[17]</t>
  </si>
  <si>
    <t xml:space="preserve">[18]</t>
  </si>
  <si>
    <t xml:space="preserve">[19]</t>
  </si>
  <si>
    <t xml:space="preserve">[20]</t>
  </si>
  <si>
    <t xml:space="preserve">Boundaries: 1870-1944: German Empire (including Alsace-Lorraine from 1871 on, excluding territories lost in the wake of World War 1 from 1919-1923 on, including Saarland from 1935 on, and including annexed territories in 1938-1944); 1945-1949: territory occupied by the Allied powers and USSR; 1950-1990: West Germany (including Saarland &amp; West Berlin); 1991-onwards: reunified Germany.</t>
  </si>
  <si>
    <t xml:space="preserve">(1850-1949: current bn marks; 1950-onwards: current bn euros)             </t>
  </si>
  <si>
    <t xml:space="preserve">(2010 billions euros)</t>
  </si>
  <si>
    <t xml:space="preserve">(2010 euros)</t>
  </si>
  <si>
    <r>
      <rPr>
        <b val="true"/>
        <sz val="10"/>
        <rFont val="Arial"/>
        <family val="0"/>
      </rPr>
      <t xml:space="preserve">Ratio (private wealth)/ (national income)        β</t>
    </r>
    <r>
      <rPr>
        <b val="true"/>
        <vertAlign val="subscript"/>
        <sz val="10"/>
        <rFont val="Arial"/>
        <family val="2"/>
      </rPr>
      <t xml:space="preserve">t</t>
    </r>
    <r>
      <rPr>
        <b val="true"/>
        <sz val="10"/>
        <rFont val="Arial"/>
        <family val="0"/>
      </rPr>
      <t xml:space="preserve"> = W</t>
    </r>
    <r>
      <rPr>
        <b val="true"/>
        <vertAlign val="subscript"/>
        <sz val="10"/>
        <rFont val="Arial"/>
        <family val="2"/>
      </rPr>
      <t xml:space="preserve">t</t>
    </r>
    <r>
      <rPr>
        <b val="true"/>
        <sz val="10"/>
        <rFont val="Arial"/>
        <family val="0"/>
      </rPr>
      <t xml:space="preserve">/Y</t>
    </r>
    <r>
      <rPr>
        <b val="true"/>
        <vertAlign val="subscript"/>
        <sz val="10"/>
        <rFont val="Arial"/>
        <family val="2"/>
      </rPr>
      <t xml:space="preserve">t</t>
    </r>
  </si>
  <si>
    <t xml:space="preserve">memo: Ratio (dispos. income)/ (national income)</t>
  </si>
  <si>
    <t xml:space="preserve">memo:    Per adult dispos. income (2010 €)</t>
  </si>
  <si>
    <t xml:space="preserve">memo:    Ratio (private wealth)/ (dispos. income)</t>
  </si>
  <si>
    <t xml:space="preserve">Population (thousands, mid-year)</t>
  </si>
  <si>
    <t xml:space="preserve">Adult population (20-yr+)</t>
  </si>
  <si>
    <t xml:space="preserve">Employed population</t>
  </si>
  <si>
    <r>
      <rPr>
        <sz val="10"/>
        <rFont val="Arial"/>
        <family val="0"/>
      </rPr>
      <t xml:space="preserve">Land area (1000 km</t>
    </r>
    <r>
      <rPr>
        <vertAlign val="superscript"/>
        <sz val="10"/>
        <rFont val="Arial"/>
        <family val="2"/>
      </rPr>
      <t xml:space="preserve">2</t>
    </r>
    <r>
      <rPr>
        <sz val="10"/>
        <rFont val="Arial"/>
        <family val="0"/>
      </rPr>
      <t xml:space="preserve">)</t>
    </r>
  </si>
  <si>
    <r>
      <rPr>
        <sz val="10"/>
        <rFont val="Arial"/>
        <family val="0"/>
      </rPr>
      <t xml:space="preserve">National income Y</t>
    </r>
    <r>
      <rPr>
        <vertAlign val="subscript"/>
        <sz val="10"/>
        <rFont val="Arial"/>
        <family val="2"/>
      </rPr>
      <t xml:space="preserve">t</t>
    </r>
    <r>
      <rPr>
        <sz val="10"/>
        <rFont val="Arial"/>
        <family val="0"/>
      </rPr>
      <t xml:space="preserve">        </t>
    </r>
  </si>
  <si>
    <r>
      <rPr>
        <sz val="10"/>
        <rFont val="Arial"/>
        <family val="0"/>
      </rPr>
      <t xml:space="preserve">Private wealth W</t>
    </r>
    <r>
      <rPr>
        <vertAlign val="subscript"/>
        <sz val="10"/>
        <rFont val="Arial"/>
        <family val="2"/>
      </rPr>
      <t xml:space="preserve">t</t>
    </r>
    <r>
      <rPr>
        <sz val="10"/>
        <rFont val="Arial"/>
        <family val="0"/>
      </rPr>
      <t xml:space="preserve">        </t>
    </r>
  </si>
  <si>
    <t xml:space="preserve">Per capita national income      </t>
  </si>
  <si>
    <t xml:space="preserve">Per capita private wealth        </t>
  </si>
  <si>
    <r>
      <rPr>
        <b val="true"/>
        <sz val="10"/>
        <rFont val="Arial"/>
        <family val="0"/>
      </rPr>
      <t xml:space="preserve">Per adult  national income y</t>
    </r>
    <r>
      <rPr>
        <b val="true"/>
        <vertAlign val="subscript"/>
        <sz val="10"/>
        <rFont val="Arial"/>
        <family val="2"/>
      </rPr>
      <t xml:space="preserve">t</t>
    </r>
    <r>
      <rPr>
        <b val="true"/>
        <sz val="10"/>
        <rFont val="Arial"/>
        <family val="0"/>
      </rPr>
      <t xml:space="preserve">        </t>
    </r>
  </si>
  <si>
    <r>
      <rPr>
        <b val="true"/>
        <sz val="10"/>
        <rFont val="Arial"/>
        <family val="0"/>
      </rPr>
      <t xml:space="preserve">Per adult  private wealth w</t>
    </r>
    <r>
      <rPr>
        <b val="true"/>
        <vertAlign val="subscript"/>
        <sz val="10"/>
        <rFont val="Arial"/>
        <family val="2"/>
      </rPr>
      <t xml:space="preserve">t</t>
    </r>
    <r>
      <rPr>
        <b val="true"/>
        <sz val="10"/>
        <rFont val="Arial"/>
        <family val="0"/>
      </rPr>
      <t xml:space="preserve">        </t>
    </r>
  </si>
  <si>
    <t xml:space="preserve">Per capita national income        </t>
  </si>
  <si>
    <r>
      <rPr>
        <sz val="11"/>
        <rFont val="Arial"/>
        <family val="2"/>
      </rPr>
      <t xml:space="preserve">N</t>
    </r>
    <r>
      <rPr>
        <vertAlign val="subscript"/>
        <sz val="11"/>
        <rFont val="Arial"/>
        <family val="2"/>
      </rPr>
      <t xml:space="preserve">t</t>
    </r>
  </si>
  <si>
    <r>
      <rPr>
        <sz val="11"/>
        <rFont val="Arial"/>
        <family val="2"/>
      </rPr>
      <t xml:space="preserve">N</t>
    </r>
    <r>
      <rPr>
        <vertAlign val="subscript"/>
        <sz val="11"/>
        <rFont val="Arial"/>
        <family val="2"/>
      </rPr>
      <t xml:space="preserve">t</t>
    </r>
    <r>
      <rPr>
        <vertAlign val="superscript"/>
        <sz val="11"/>
        <rFont val="Arial"/>
        <family val="2"/>
      </rPr>
      <t xml:space="preserve">20+</t>
    </r>
  </si>
  <si>
    <r>
      <rPr>
        <sz val="11"/>
        <rFont val="Arial"/>
        <family val="2"/>
      </rPr>
      <t xml:space="preserve">L</t>
    </r>
    <r>
      <rPr>
        <vertAlign val="subscript"/>
        <sz val="11"/>
        <rFont val="Arial"/>
        <family val="2"/>
      </rPr>
      <t xml:space="preserve">t</t>
    </r>
  </si>
  <si>
    <t xml:space="preserve">Notes: (1) All wealth estimates on this and subsequent tables are mid-year estimates (they were computed as averages between January 1st and December 31st estimates, see formulas). (2) All real values on this and subsequent tables use the GDP deflator, unless otherwise noted.</t>
  </si>
  <si>
    <t xml:space="preserve">Table DE.2: National income and private wealth in Germany, 1870-2010 (decennial averages)</t>
  </si>
  <si>
    <t xml:space="preserve">(current billions euros 1950-2010; current billions marks 1850-1949)             </t>
  </si>
  <si>
    <t xml:space="preserve">(current euros 1950-2010; current marks 1850-1949) </t>
  </si>
  <si>
    <t xml:space="preserve">(2010 euros) </t>
  </si>
  <si>
    <t xml:space="preserve">Population (thousands)</t>
  </si>
  <si>
    <t xml:space="preserve">Note: 1870 refers to the decennial average 1870-1879, 1880 to 1880-1889, …, 2000 to 2000-2009, and 2010 to 2010-2011</t>
  </si>
  <si>
    <t xml:space="preserve">Table DE.3: Economic growth, population growth and price deflators in Germany (changing boundaries), 1870-2010 </t>
  </si>
  <si>
    <t xml:space="preserve">Real growth rate of national income       (GDP deflator)</t>
  </si>
  <si>
    <t xml:space="preserve">Real growth rate of private wealth        (GDP deflator)</t>
  </si>
  <si>
    <t xml:space="preserve">Real growth rate of per-capita national income        (GDP deflator) </t>
  </si>
  <si>
    <t xml:space="preserve">Real growth rate of per-capita national income       (CPI)</t>
  </si>
  <si>
    <t xml:space="preserve">Real growth rate of per-employed national income       (GDP deflator) </t>
  </si>
  <si>
    <t xml:space="preserve">Population growth rate</t>
  </si>
  <si>
    <t xml:space="preserve">Adult population growth rate (20-yr+)</t>
  </si>
  <si>
    <t xml:space="preserve">Employed population growth rate </t>
  </si>
  <si>
    <t xml:space="preserve">GDP price inflation </t>
  </si>
  <si>
    <t xml:space="preserve">Consumer price inflation </t>
  </si>
  <si>
    <t xml:space="preserve">Personal consumption expenditure inflation</t>
  </si>
  <si>
    <t xml:space="preserve">1870-2010</t>
  </si>
  <si>
    <t xml:space="preserve">1870-1910</t>
  </si>
  <si>
    <t xml:space="preserve">1910-2010</t>
  </si>
  <si>
    <t xml:space="preserve">1910-1950</t>
  </si>
  <si>
    <t xml:space="preserve">1950-2010</t>
  </si>
  <si>
    <t xml:space="preserve">1950-1980</t>
  </si>
  <si>
    <t xml:space="preserve">1980-2010</t>
  </si>
  <si>
    <t xml:space="preserve">1950-1970</t>
  </si>
  <si>
    <t xml:space="preserve">1970-2010</t>
  </si>
  <si>
    <t xml:space="preserve">1970-1990</t>
  </si>
  <si>
    <t xml:space="preserve">1990-2010</t>
  </si>
  <si>
    <t xml:space="preserve">1950-1960</t>
  </si>
  <si>
    <t xml:space="preserve">1960-1970</t>
  </si>
  <si>
    <t xml:space="preserve">1970-1980</t>
  </si>
  <si>
    <t xml:space="preserve">1980-1990</t>
  </si>
  <si>
    <t xml:space="preserve">1990-2000</t>
  </si>
  <si>
    <t xml:space="preserve">2000-2010</t>
  </si>
  <si>
    <t xml:space="preserve">Table DE.3b: Economic and population growth in Germany, 1870-2011: Corrections for frontier changes</t>
  </si>
  <si>
    <t xml:space="preserve">Boundaries: Reunified Germany (pre-1991 evolution based on growth rates in the boundaries of the time, and specific adjustments made for border change)</t>
  </si>
  <si>
    <t xml:space="preserve">Population and real income growth</t>
  </si>
  <si>
    <t xml:space="preserve">Population and real income levels</t>
  </si>
  <si>
    <t xml:space="preserve">Real per capita income growth</t>
  </si>
  <si>
    <t xml:space="preserve">Memo: effect of territorial change</t>
  </si>
  <si>
    <t xml:space="preserve">Memo</t>
  </si>
  <si>
    <t xml:space="preserve">Population growth</t>
  </si>
  <si>
    <t xml:space="preserve">Memo: Population growth, Maddison</t>
  </si>
  <si>
    <t xml:space="preserve">Real national income growth</t>
  </si>
  <si>
    <t xml:space="preserve">Adult population (thousands)</t>
  </si>
  <si>
    <t xml:space="preserve">Employed population (thousands)</t>
  </si>
  <si>
    <r>
      <rPr>
        <sz val="11"/>
        <rFont val="Arial"/>
        <family val="2"/>
      </rPr>
      <t xml:space="preserve">Real national income    Y</t>
    </r>
    <r>
      <rPr>
        <vertAlign val="subscript"/>
        <sz val="11"/>
        <rFont val="Arial"/>
        <family val="2"/>
      </rPr>
      <t xml:space="preserve">t</t>
    </r>
  </si>
  <si>
    <t xml:space="preserve">Real per capita national income</t>
  </si>
  <si>
    <t xml:space="preserve">Real per capita national income growth</t>
  </si>
  <si>
    <t xml:space="preserve">Memo: real per capita income growth, Barro-Ursua</t>
  </si>
  <si>
    <t xml:space="preserve">Memo: real per capita income growth, Maddison</t>
  </si>
  <si>
    <r>
      <rPr>
        <i val="true"/>
        <sz val="10"/>
        <rFont val="Arial Narrow"/>
        <family val="2"/>
      </rPr>
      <t xml:space="preserve">Real income loss/gain caused by frontier changes (% Y</t>
    </r>
    <r>
      <rPr>
        <i val="true"/>
        <vertAlign val="subscript"/>
        <sz val="10"/>
        <rFont val="Arial Narrow"/>
        <family val="2"/>
      </rPr>
      <t xml:space="preserve">t</t>
    </r>
    <r>
      <rPr>
        <i val="true"/>
        <sz val="10"/>
        <rFont val="Arial Narrow"/>
        <family val="2"/>
      </rPr>
      <t xml:space="preserve">)</t>
    </r>
  </si>
  <si>
    <t xml:space="preserve">Population loss/gain caused by frontier changes</t>
  </si>
  <si>
    <t xml:space="preserve">Income per capita Barro-Ursua</t>
  </si>
  <si>
    <t xml:space="preserve">Income per capita Maddison</t>
  </si>
  <si>
    <t xml:space="preserve">Population Maddison</t>
  </si>
  <si>
    <r>
      <rPr>
        <sz val="10"/>
        <rFont val="Arial"/>
        <family val="0"/>
      </rPr>
      <t xml:space="preserve">1+g</t>
    </r>
    <r>
      <rPr>
        <vertAlign val="subscript"/>
        <sz val="10"/>
        <rFont val="Arial"/>
        <family val="2"/>
      </rPr>
      <t xml:space="preserve">t</t>
    </r>
    <r>
      <rPr>
        <sz val="10"/>
        <rFont val="Arial"/>
        <family val="0"/>
      </rPr>
      <t xml:space="preserve"> = Y</t>
    </r>
    <r>
      <rPr>
        <vertAlign val="subscript"/>
        <sz val="10"/>
        <rFont val="Arial"/>
        <family val="2"/>
      </rPr>
      <t xml:space="preserve">t</t>
    </r>
    <r>
      <rPr>
        <sz val="10"/>
        <rFont val="Arial"/>
        <family val="0"/>
      </rPr>
      <t xml:space="preserve">/Y</t>
    </r>
    <r>
      <rPr>
        <vertAlign val="subscript"/>
        <sz val="10"/>
        <rFont val="Arial"/>
        <family val="2"/>
      </rPr>
      <t xml:space="preserve">t-1</t>
    </r>
  </si>
  <si>
    <t xml:space="preserve">bn 2010 euros</t>
  </si>
  <si>
    <t xml:space="preserve">Table DE.3c: Economic growth, population growth and price deflators in Germany (fixed boundaries), 1870-2010 </t>
  </si>
  <si>
    <t xml:space="preserve">Memo: real growth rate of per capita GDP (Barro-Ursua)</t>
  </si>
  <si>
    <t xml:space="preserve">Memo: real growth rate of per capita GDP (Maddison)</t>
  </si>
  <si>
    <t xml:space="preserve">Memo: real growth rate of population (Maddison)</t>
  </si>
  <si>
    <t xml:space="preserve">Table DE.3d: Summary macro variables, 1870-2011 (annual series)</t>
  </si>
  <si>
    <t xml:space="preserve">Boundaries: Reunified Germany (pre-1991 data based on evolution in the boundaries of the time)</t>
  </si>
  <si>
    <t xml:space="preserve">Ratio (Private wealth)/ (National income)        </t>
  </si>
  <si>
    <t xml:space="preserve">Capital share (exc. govt interest)</t>
  </si>
  <si>
    <t xml:space="preserve">Labor share </t>
  </si>
  <si>
    <t xml:space="preserve">Capital share (inc. govt interest)</t>
  </si>
  <si>
    <t xml:space="preserve">Rate of return</t>
  </si>
  <si>
    <t xml:space="preserve">Tax rate </t>
  </si>
  <si>
    <t xml:space="preserve">Capital tax rate </t>
  </si>
  <si>
    <t xml:space="preserve">Labor tax rate </t>
  </si>
  <si>
    <t xml:space="preserve">Correct. tax rate </t>
  </si>
  <si>
    <t xml:space="preserve">Correct. labor tax rate  (exc. replac. taxes)</t>
  </si>
  <si>
    <t xml:space="preserve">After-tax capital share </t>
  </si>
  <si>
    <t xml:space="preserve">After-tax rate of return</t>
  </si>
  <si>
    <t xml:space="preserve">Personal savings rate</t>
  </si>
  <si>
    <t xml:space="preserve">Private savings (person. savings + retained earnings)</t>
  </si>
  <si>
    <t xml:space="preserve">Rate of war destruction on private wealth</t>
  </si>
  <si>
    <r>
      <rPr>
        <sz val="10"/>
        <rFont val="Arial"/>
        <family val="0"/>
      </rPr>
      <t xml:space="preserve">β</t>
    </r>
    <r>
      <rPr>
        <vertAlign val="subscript"/>
        <sz val="10"/>
        <rFont val="Arial"/>
        <family val="2"/>
      </rPr>
      <t xml:space="preserve">t</t>
    </r>
    <r>
      <rPr>
        <sz val="10"/>
        <rFont val="Arial"/>
        <family val="0"/>
      </rPr>
      <t xml:space="preserve"> = W</t>
    </r>
    <r>
      <rPr>
        <vertAlign val="subscript"/>
        <sz val="10"/>
        <rFont val="Arial"/>
        <family val="2"/>
      </rPr>
      <t xml:space="preserve">t</t>
    </r>
    <r>
      <rPr>
        <sz val="10"/>
        <rFont val="Arial"/>
        <family val="0"/>
      </rPr>
      <t xml:space="preserve">/Y</t>
    </r>
    <r>
      <rPr>
        <vertAlign val="subscript"/>
        <sz val="10"/>
        <rFont val="Arial"/>
        <family val="2"/>
      </rPr>
      <t xml:space="preserve">t</t>
    </r>
  </si>
  <si>
    <r>
      <rPr>
        <sz val="10"/>
        <rFont val="Arial"/>
        <family val="0"/>
      </rPr>
      <t xml:space="preserve">α</t>
    </r>
    <r>
      <rPr>
        <vertAlign val="subscript"/>
        <sz val="10"/>
        <rFont val="Arial"/>
        <family val="2"/>
      </rPr>
      <t xml:space="preserve">t</t>
    </r>
  </si>
  <si>
    <r>
      <rPr>
        <sz val="10"/>
        <rFont val="Arial"/>
        <family val="0"/>
      </rPr>
      <t xml:space="preserve">1-α</t>
    </r>
    <r>
      <rPr>
        <vertAlign val="subscript"/>
        <sz val="10"/>
        <rFont val="Arial"/>
        <family val="2"/>
      </rPr>
      <t xml:space="preserve">t</t>
    </r>
  </si>
  <si>
    <r>
      <rPr>
        <sz val="10"/>
        <rFont val="Arial"/>
        <family val="0"/>
      </rPr>
      <t xml:space="preserve">α</t>
    </r>
    <r>
      <rPr>
        <vertAlign val="subscript"/>
        <sz val="10"/>
        <rFont val="Arial"/>
        <family val="2"/>
      </rPr>
      <t xml:space="preserve">t</t>
    </r>
    <r>
      <rPr>
        <sz val="10"/>
        <rFont val="Arial"/>
        <family val="0"/>
      </rPr>
      <t xml:space="preserve">*</t>
    </r>
  </si>
  <si>
    <r>
      <rPr>
        <sz val="10"/>
        <rFont val="Arial"/>
        <family val="0"/>
      </rPr>
      <t xml:space="preserve">r</t>
    </r>
    <r>
      <rPr>
        <vertAlign val="subscript"/>
        <sz val="10"/>
        <rFont val="Arial"/>
        <family val="2"/>
      </rPr>
      <t xml:space="preserve">t</t>
    </r>
    <r>
      <rPr>
        <sz val="10"/>
        <rFont val="Arial"/>
        <family val="0"/>
      </rPr>
      <t xml:space="preserve"> = α</t>
    </r>
    <r>
      <rPr>
        <vertAlign val="subscript"/>
        <sz val="10"/>
        <rFont val="Arial"/>
        <family val="2"/>
      </rPr>
      <t xml:space="preserve">t</t>
    </r>
    <r>
      <rPr>
        <sz val="10"/>
        <rFont val="Arial"/>
        <family val="0"/>
      </rPr>
      <t xml:space="preserve">*/β</t>
    </r>
    <r>
      <rPr>
        <vertAlign val="subscript"/>
        <sz val="10"/>
        <rFont val="Arial"/>
        <family val="2"/>
      </rPr>
      <t xml:space="preserve">t</t>
    </r>
    <r>
      <rPr>
        <sz val="10"/>
        <rFont val="Arial"/>
        <family val="0"/>
      </rPr>
      <t xml:space="preserve"> </t>
    </r>
  </si>
  <si>
    <r>
      <rPr>
        <sz val="10"/>
        <rFont val="Arial"/>
        <family val="0"/>
      </rPr>
      <t xml:space="preserve">τ</t>
    </r>
    <r>
      <rPr>
        <vertAlign val="subscript"/>
        <sz val="10"/>
        <rFont val="Arial"/>
        <family val="2"/>
      </rPr>
      <t xml:space="preserve">t</t>
    </r>
  </si>
  <si>
    <r>
      <rPr>
        <sz val="10"/>
        <rFont val="Arial"/>
        <family val="0"/>
      </rPr>
      <t xml:space="preserve">τ</t>
    </r>
    <r>
      <rPr>
        <vertAlign val="subscript"/>
        <sz val="10"/>
        <rFont val="Arial"/>
        <family val="2"/>
      </rPr>
      <t xml:space="preserve">Kt</t>
    </r>
  </si>
  <si>
    <r>
      <rPr>
        <sz val="10"/>
        <rFont val="Arial"/>
        <family val="0"/>
      </rPr>
      <t xml:space="preserve">τ</t>
    </r>
    <r>
      <rPr>
        <vertAlign val="subscript"/>
        <sz val="10"/>
        <rFont val="Arial"/>
        <family val="2"/>
      </rPr>
      <t xml:space="preserve">Lt</t>
    </r>
  </si>
  <si>
    <r>
      <rPr>
        <sz val="10"/>
        <rFont val="Arial"/>
        <family val="0"/>
      </rPr>
      <t xml:space="preserve">τ</t>
    </r>
    <r>
      <rPr>
        <vertAlign val="subscript"/>
        <sz val="10"/>
        <rFont val="Arial"/>
        <family val="2"/>
      </rPr>
      <t xml:space="preserve">t</t>
    </r>
    <r>
      <rPr>
        <sz val="10"/>
        <rFont val="Arial"/>
        <family val="0"/>
      </rPr>
      <t xml:space="preserve">*</t>
    </r>
  </si>
  <si>
    <r>
      <rPr>
        <sz val="10"/>
        <rFont val="Arial"/>
        <family val="0"/>
      </rPr>
      <t xml:space="preserve">τ</t>
    </r>
    <r>
      <rPr>
        <vertAlign val="subscript"/>
        <sz val="10"/>
        <rFont val="Arial"/>
        <family val="2"/>
      </rPr>
      <t xml:space="preserve">Lt</t>
    </r>
    <r>
      <rPr>
        <sz val="10"/>
        <rFont val="Arial"/>
        <family val="0"/>
      </rPr>
      <t xml:space="preserve">*</t>
    </r>
  </si>
  <si>
    <r>
      <rPr>
        <sz val="10"/>
        <rFont val="Arial"/>
        <family val="0"/>
      </rPr>
      <t xml:space="preserve">α</t>
    </r>
    <r>
      <rPr>
        <vertAlign val="subscript"/>
        <sz val="10"/>
        <rFont val="Arial"/>
        <family val="2"/>
      </rPr>
      <t xml:space="preserve">dt</t>
    </r>
    <r>
      <rPr>
        <sz val="10"/>
        <rFont val="Arial"/>
        <family val="0"/>
      </rPr>
      <t xml:space="preserve"> </t>
    </r>
  </si>
  <si>
    <r>
      <rPr>
        <sz val="10"/>
        <rFont val="Arial"/>
        <family val="0"/>
      </rPr>
      <t xml:space="preserve">r</t>
    </r>
    <r>
      <rPr>
        <vertAlign val="subscript"/>
        <sz val="10"/>
        <rFont val="Arial"/>
        <family val="2"/>
      </rPr>
      <t xml:space="preserve">dt</t>
    </r>
    <r>
      <rPr>
        <sz val="10"/>
        <rFont val="Arial"/>
        <family val="0"/>
      </rPr>
      <t xml:space="preserve"> =    α</t>
    </r>
    <r>
      <rPr>
        <vertAlign val="subscript"/>
        <sz val="10"/>
        <rFont val="Arial"/>
        <family val="2"/>
      </rPr>
      <t xml:space="preserve">dt</t>
    </r>
    <r>
      <rPr>
        <sz val="10"/>
        <rFont val="Arial"/>
        <family val="0"/>
      </rPr>
      <t xml:space="preserve"> /β</t>
    </r>
    <r>
      <rPr>
        <vertAlign val="subscript"/>
        <sz val="10"/>
        <rFont val="Arial"/>
        <family val="2"/>
      </rPr>
      <t xml:space="preserve">t</t>
    </r>
    <r>
      <rPr>
        <sz val="10"/>
        <rFont val="Arial"/>
        <family val="0"/>
      </rPr>
      <t xml:space="preserve"> = (1-τ</t>
    </r>
    <r>
      <rPr>
        <vertAlign val="subscript"/>
        <sz val="10"/>
        <rFont val="Arial"/>
        <family val="2"/>
      </rPr>
      <t xml:space="preserve">Kt</t>
    </r>
    <r>
      <rPr>
        <sz val="10"/>
        <rFont val="Arial"/>
        <family val="0"/>
      </rPr>
      <t xml:space="preserve">)r</t>
    </r>
    <r>
      <rPr>
        <vertAlign val="subscript"/>
        <sz val="10"/>
        <rFont val="Arial"/>
        <family val="2"/>
      </rPr>
      <t xml:space="preserve">t</t>
    </r>
  </si>
  <si>
    <r>
      <rPr>
        <sz val="10"/>
        <rFont val="Arial"/>
        <family val="0"/>
      </rPr>
      <t xml:space="preserve">s</t>
    </r>
    <r>
      <rPr>
        <vertAlign val="subscript"/>
        <sz val="10"/>
        <rFont val="Arial"/>
        <family val="2"/>
      </rPr>
      <t xml:space="preserve">ot</t>
    </r>
  </si>
  <si>
    <r>
      <rPr>
        <sz val="10"/>
        <rFont val="Arial"/>
        <family val="0"/>
      </rPr>
      <t xml:space="preserve">s</t>
    </r>
    <r>
      <rPr>
        <vertAlign val="subscript"/>
        <sz val="10"/>
        <rFont val="Arial"/>
        <family val="2"/>
      </rPr>
      <t xml:space="preserve">t</t>
    </r>
  </si>
  <si>
    <r>
      <rPr>
        <sz val="10"/>
        <rFont val="Arial"/>
        <family val="0"/>
      </rPr>
      <t xml:space="preserve">d</t>
    </r>
    <r>
      <rPr>
        <vertAlign val="subscript"/>
        <sz val="10"/>
        <rFont val="Arial"/>
        <family val="2"/>
      </rPr>
      <t xml:space="preserve">yt</t>
    </r>
  </si>
  <si>
    <t xml:space="preserve">Table DE.3e: Summary macro variables, 1870-2010 (decennial averages)</t>
  </si>
  <si>
    <t xml:space="preserve">Private savings minus war destruct.</t>
  </si>
  <si>
    <t xml:space="preserve">Real rate of capital gains on private wealth</t>
  </si>
  <si>
    <t xml:space="preserve">Real rate of capital destruc. (wars)</t>
  </si>
  <si>
    <t xml:space="preserve">After-tax rate of return (incl. capital gains &amp; losses)</t>
  </si>
  <si>
    <r>
      <rPr>
        <b val="true"/>
        <sz val="10"/>
        <rFont val="Arial"/>
        <family val="0"/>
      </rPr>
      <t xml:space="preserve">r</t>
    </r>
    <r>
      <rPr>
        <b val="true"/>
        <vertAlign val="subscript"/>
        <sz val="10"/>
        <rFont val="Arial"/>
        <family val="2"/>
      </rPr>
      <t xml:space="preserve">t</t>
    </r>
    <r>
      <rPr>
        <b val="true"/>
        <sz val="10"/>
        <rFont val="Arial"/>
        <family val="0"/>
      </rPr>
      <t xml:space="preserve"> = α</t>
    </r>
    <r>
      <rPr>
        <b val="true"/>
        <vertAlign val="subscript"/>
        <sz val="10"/>
        <rFont val="Arial"/>
        <family val="2"/>
      </rPr>
      <t xml:space="preserve">t</t>
    </r>
    <r>
      <rPr>
        <b val="true"/>
        <sz val="10"/>
        <rFont val="Arial"/>
        <family val="0"/>
      </rPr>
      <t xml:space="preserve">*/β</t>
    </r>
    <r>
      <rPr>
        <b val="true"/>
        <vertAlign val="subscript"/>
        <sz val="10"/>
        <rFont val="Arial"/>
        <family val="2"/>
      </rPr>
      <t xml:space="preserve">t</t>
    </r>
    <r>
      <rPr>
        <b val="true"/>
        <sz val="10"/>
        <rFont val="Arial"/>
        <family val="0"/>
      </rPr>
      <t xml:space="preserve"> </t>
    </r>
  </si>
  <si>
    <r>
      <rPr>
        <sz val="10"/>
        <rFont val="Arial"/>
        <family val="0"/>
      </rPr>
      <t xml:space="preserve">r</t>
    </r>
    <r>
      <rPr>
        <vertAlign val="subscript"/>
        <sz val="10"/>
        <rFont val="Arial"/>
        <family val="2"/>
      </rPr>
      <t xml:space="preserve">dt</t>
    </r>
    <r>
      <rPr>
        <sz val="10"/>
        <rFont val="Arial"/>
        <family val="0"/>
      </rPr>
      <t xml:space="preserve"> =    α</t>
    </r>
    <r>
      <rPr>
        <vertAlign val="subscript"/>
        <sz val="10"/>
        <rFont val="Arial"/>
        <family val="2"/>
      </rPr>
      <t xml:space="preserve">dt</t>
    </r>
    <r>
      <rPr>
        <sz val="10"/>
        <rFont val="Arial"/>
        <family val="0"/>
      </rPr>
      <t xml:space="preserve"> /β</t>
    </r>
    <r>
      <rPr>
        <vertAlign val="subscript"/>
        <sz val="10"/>
        <rFont val="Arial"/>
        <family val="2"/>
      </rPr>
      <t xml:space="preserve">t</t>
    </r>
    <r>
      <rPr>
        <sz val="10"/>
        <rFont val="Arial"/>
        <family val="0"/>
      </rPr>
      <t xml:space="preserve"> = (1-τ</t>
    </r>
    <r>
      <rPr>
        <vertAlign val="subscript"/>
        <sz val="10"/>
        <rFont val="Arial"/>
        <family val="2"/>
      </rPr>
      <t xml:space="preserve">Kt</t>
    </r>
    <r>
      <rPr>
        <sz val="10"/>
        <rFont val="Arial"/>
        <family val="0"/>
      </rPr>
      <t xml:space="preserve">*)r</t>
    </r>
    <r>
      <rPr>
        <vertAlign val="subscript"/>
        <sz val="10"/>
        <rFont val="Arial"/>
        <family val="2"/>
      </rPr>
      <t xml:space="preserve">t</t>
    </r>
  </si>
  <si>
    <r>
      <rPr>
        <sz val="10"/>
        <rFont val="Arial"/>
        <family val="0"/>
      </rPr>
      <t xml:space="preserve">s</t>
    </r>
    <r>
      <rPr>
        <vertAlign val="subscript"/>
        <sz val="10"/>
        <rFont val="Arial"/>
        <family val="2"/>
      </rPr>
      <t xml:space="preserve">t</t>
    </r>
    <r>
      <rPr>
        <sz val="10"/>
        <rFont val="Arial"/>
        <family val="0"/>
      </rPr>
      <t xml:space="preserve">+d</t>
    </r>
    <r>
      <rPr>
        <vertAlign val="subscript"/>
        <sz val="10"/>
        <rFont val="Arial"/>
        <family val="2"/>
      </rPr>
      <t xml:space="preserve">yt</t>
    </r>
  </si>
  <si>
    <r>
      <rPr>
        <sz val="10"/>
        <rFont val="Arial"/>
        <family val="0"/>
      </rPr>
      <t xml:space="preserve">q</t>
    </r>
    <r>
      <rPr>
        <vertAlign val="subscript"/>
        <sz val="10"/>
        <rFont val="Arial"/>
        <family val="2"/>
      </rPr>
      <t xml:space="preserve">t</t>
    </r>
  </si>
  <si>
    <r>
      <rPr>
        <sz val="10"/>
        <rFont val="Arial"/>
        <family val="0"/>
      </rPr>
      <t xml:space="preserve">d</t>
    </r>
    <r>
      <rPr>
        <vertAlign val="subscript"/>
        <sz val="10"/>
        <rFont val="Arial"/>
        <family val="2"/>
      </rPr>
      <t xml:space="preserve">t</t>
    </r>
  </si>
  <si>
    <r>
      <rPr>
        <sz val="10"/>
        <rFont val="Arial"/>
        <family val="0"/>
      </rPr>
      <t xml:space="preserve">r</t>
    </r>
    <r>
      <rPr>
        <vertAlign val="subscript"/>
        <sz val="10"/>
        <rFont val="Arial"/>
        <family val="2"/>
      </rPr>
      <t xml:space="preserve">dt</t>
    </r>
    <r>
      <rPr>
        <sz val="10"/>
        <rFont val="Arial"/>
        <family val="0"/>
      </rPr>
      <t xml:space="preserve">* = r</t>
    </r>
    <r>
      <rPr>
        <vertAlign val="subscript"/>
        <sz val="10"/>
        <rFont val="Arial"/>
        <family val="2"/>
      </rPr>
      <t xml:space="preserve">dt</t>
    </r>
    <r>
      <rPr>
        <sz val="10"/>
        <rFont val="Arial"/>
        <family val="0"/>
      </rPr>
      <t xml:space="preserve">+q</t>
    </r>
    <r>
      <rPr>
        <vertAlign val="subscript"/>
        <sz val="10"/>
        <rFont val="Arial"/>
        <family val="2"/>
      </rPr>
      <t xml:space="preserve">t</t>
    </r>
    <r>
      <rPr>
        <sz val="10"/>
        <rFont val="Arial"/>
        <family val="0"/>
      </rPr>
      <t xml:space="preserve">+d</t>
    </r>
    <r>
      <rPr>
        <vertAlign val="subscript"/>
        <sz val="10"/>
        <rFont val="Arial"/>
        <family val="2"/>
      </rPr>
      <t xml:space="preserve">t</t>
    </r>
  </si>
  <si>
    <t xml:space="preserve">1870-79</t>
  </si>
  <si>
    <t xml:space="preserve">1880-89</t>
  </si>
  <si>
    <t xml:space="preserve">1890-99</t>
  </si>
  <si>
    <t xml:space="preserve">1900-09</t>
  </si>
  <si>
    <t xml:space="preserve">1910-19</t>
  </si>
  <si>
    <t xml:space="preserve">1920-29</t>
  </si>
  <si>
    <t xml:space="preserve">1930-39</t>
  </si>
  <si>
    <t xml:space="preserve">1940-49</t>
  </si>
  <si>
    <t xml:space="preserve">1950-59</t>
  </si>
  <si>
    <t xml:space="preserve">1960-69</t>
  </si>
  <si>
    <t xml:space="preserve">1970-79</t>
  </si>
  <si>
    <t xml:space="preserve">1980-89</t>
  </si>
  <si>
    <t xml:space="preserve">1990-99</t>
  </si>
  <si>
    <t xml:space="preserve">2000-09</t>
  </si>
  <si>
    <t xml:space="preserve">2010-11</t>
  </si>
  <si>
    <t xml:space="preserve">Table DE.4a: Sources of private wealth accumulation in Germany, 1870-2010 - Additive decomposition</t>
  </si>
  <si>
    <t xml:space="preserve">Method n°1: savings = private savings</t>
  </si>
  <si>
    <t xml:space="preserve">Method n°2: savings = personal savings</t>
  </si>
  <si>
    <t xml:space="preserve">Private wealth-national income ratios</t>
  </si>
  <si>
    <t xml:space="preserve">Decomposition of private wealth-national income ratio at time t+n</t>
  </si>
  <si>
    <r>
      <rPr>
        <sz val="12"/>
        <rFont val="Arial"/>
        <family val="0"/>
      </rPr>
      <t xml:space="preserve">β</t>
    </r>
    <r>
      <rPr>
        <vertAlign val="subscript"/>
        <sz val="12"/>
        <rFont val="Arial"/>
        <family val="2"/>
      </rPr>
      <t xml:space="preserve">t</t>
    </r>
  </si>
  <si>
    <r>
      <rPr>
        <sz val="12"/>
        <rFont val="Arial"/>
        <family val="0"/>
      </rPr>
      <t xml:space="preserve">β</t>
    </r>
    <r>
      <rPr>
        <vertAlign val="subscript"/>
        <sz val="12"/>
        <rFont val="Arial"/>
        <family val="2"/>
      </rPr>
      <t xml:space="preserve">t+n</t>
    </r>
  </si>
  <si>
    <t xml:space="preserve">Initial wealth effect</t>
  </si>
  <si>
    <t xml:space="preserve">Cumulated new savings</t>
  </si>
  <si>
    <t xml:space="preserve">Cumulated war destructions</t>
  </si>
  <si>
    <t xml:space="preserve">Capital gains or losses</t>
  </si>
  <si>
    <t xml:space="preserve">Table DE.4b: Sources of private wealth accumulation in Germany, 1870-2010 - Multiplicative decomposition</t>
  </si>
  <si>
    <t xml:space="preserve">Method n°1: saving = private saving</t>
  </si>
  <si>
    <t xml:space="preserve">Method n°2: saving = personal saving</t>
  </si>
  <si>
    <t xml:space="preserve">Real growth rate of national income</t>
  </si>
  <si>
    <t xml:space="preserve">Real growth rate of private wealth</t>
  </si>
  <si>
    <t xml:space="preserve">Private saving rate (personal saving + net retained earnings) </t>
  </si>
  <si>
    <t xml:space="preserve">Rate of war destructions</t>
  </si>
  <si>
    <t xml:space="preserve">Savings-induced wealth growth rate</t>
  </si>
  <si>
    <t xml:space="preserve">War destructions-induced wealth growth rate</t>
  </si>
  <si>
    <t xml:space="preserve">Real rate of capital gains</t>
  </si>
  <si>
    <t xml:space="preserve">Personal saving rate </t>
  </si>
  <si>
    <t xml:space="preserve">savings-induced wealth growth rate</t>
  </si>
  <si>
    <t xml:space="preserve">Check</t>
  </si>
  <si>
    <t xml:space="preserve">g</t>
  </si>
  <si>
    <r>
      <rPr>
        <sz val="12"/>
        <rFont val="Arial"/>
        <family val="0"/>
      </rPr>
      <t xml:space="preserve">g</t>
    </r>
    <r>
      <rPr>
        <vertAlign val="subscript"/>
        <sz val="12"/>
        <rFont val="Arial"/>
        <family val="2"/>
      </rPr>
      <t xml:space="preserve">w</t>
    </r>
  </si>
  <si>
    <t xml:space="preserve">s = S/Y</t>
  </si>
  <si>
    <r>
      <rPr>
        <sz val="12"/>
        <rFont val="Arial"/>
        <family val="0"/>
      </rPr>
      <t xml:space="preserve">d</t>
    </r>
    <r>
      <rPr>
        <vertAlign val="subscript"/>
        <sz val="12"/>
        <rFont val="Arial"/>
        <family val="2"/>
      </rPr>
      <t xml:space="preserve">y</t>
    </r>
    <r>
      <rPr>
        <sz val="12"/>
        <rFont val="Arial"/>
        <family val="0"/>
      </rPr>
      <t xml:space="preserve">=D/Y</t>
    </r>
  </si>
  <si>
    <r>
      <rPr>
        <sz val="12"/>
        <rFont val="Arial"/>
        <family val="0"/>
      </rPr>
      <t xml:space="preserve">g</t>
    </r>
    <r>
      <rPr>
        <vertAlign val="subscript"/>
        <sz val="12"/>
        <rFont val="Arial"/>
        <family val="2"/>
      </rPr>
      <t xml:space="preserve">ws</t>
    </r>
    <r>
      <rPr>
        <sz val="12"/>
        <rFont val="Arial"/>
        <family val="0"/>
      </rPr>
      <t xml:space="preserve"> = s/β     </t>
    </r>
  </si>
  <si>
    <t xml:space="preserve">q</t>
  </si>
  <si>
    <t xml:space="preserve">Table DE.4c: Sources of market value national wealth accumulation in Germany, 1870-2010</t>
  </si>
  <si>
    <t xml:space="preserve">Real growth rate of national wealth</t>
  </si>
  <si>
    <t xml:space="preserve">Market-value national wealth-national income ratios</t>
  </si>
  <si>
    <t xml:space="preserve">Additive decomposition</t>
  </si>
  <si>
    <t xml:space="preserve">Multiplicative decomposition</t>
  </si>
  <si>
    <t xml:space="preserve">National saving rate</t>
  </si>
  <si>
    <t xml:space="preserve">War-destructions-induced wealth growth rate</t>
  </si>
  <si>
    <t xml:space="preserve">Table DE.4e: Sources of government wealth accumulation in Germany, 1870-2010</t>
  </si>
  <si>
    <t xml:space="preserve">Government saving</t>
  </si>
  <si>
    <t xml:space="preserve">Government investment</t>
  </si>
  <si>
    <t xml:space="preserve">Government budget deficit (saving - investment)</t>
  </si>
  <si>
    <t xml:space="preserve">incl. primary deficit</t>
  </si>
  <si>
    <t xml:space="preserve">incl. net interest paid</t>
  </si>
  <si>
    <t xml:space="preserve">Government wealth-national income ratios</t>
  </si>
  <si>
    <t xml:space="preserve">incl. net interest payments</t>
  </si>
  <si>
    <t xml:space="preserve">War destructions</t>
  </si>
  <si>
    <t xml:space="preserve">Table DE.4f: Sources of foreign wealth accumulation in Germany, 1870-2010</t>
  </si>
  <si>
    <t xml:space="preserve">Foreign saving</t>
  </si>
  <si>
    <t xml:space="preserve">incl. trade balance</t>
  </si>
  <si>
    <t xml:space="preserve">incl. transfers</t>
  </si>
  <si>
    <t xml:space="preserve">incl. net investment income</t>
  </si>
  <si>
    <t xml:space="preserve">Foreign wealth-national income ratios</t>
  </si>
  <si>
    <t xml:space="preserve">Decomposition of foreign wealth-national income ratio at time t+n</t>
  </si>
  <si>
    <t xml:space="preserve">incl. net exports &amp; transfers</t>
  </si>
  <si>
    <t xml:space="preserve">Table DE.4g: Sources of book value national wealth accumulation in Germany, 1970-2010</t>
  </si>
  <si>
    <t xml:space="preserve">Book-value national wealth-national income ratios</t>
  </si>
  <si>
    <t xml:space="preserve">Savings-induced wealth growth rate (incl. war destructions)</t>
  </si>
  <si>
    <t xml:space="preserve">Table DE.5a: Accumulation equation for private wealth in Germany, 1870-2010 (annual series)</t>
  </si>
  <si>
    <r>
      <rPr>
        <sz val="10"/>
        <rFont val="Arial"/>
        <family val="0"/>
      </rPr>
      <t xml:space="preserve">National income Y</t>
    </r>
    <r>
      <rPr>
        <vertAlign val="subscript"/>
        <sz val="10"/>
        <rFont val="Arial"/>
        <family val="2"/>
      </rPr>
      <t xml:space="preserve">t</t>
    </r>
    <r>
      <rPr>
        <vertAlign val="superscript"/>
        <sz val="10"/>
        <rFont val="Arial"/>
        <family val="2"/>
      </rPr>
      <t xml:space="preserve">f</t>
    </r>
  </si>
  <si>
    <r>
      <rPr>
        <sz val="10"/>
        <rFont val="Arial"/>
        <family val="0"/>
      </rPr>
      <t xml:space="preserve">Private wealth W</t>
    </r>
    <r>
      <rPr>
        <vertAlign val="subscript"/>
        <sz val="10"/>
        <rFont val="Arial"/>
        <family val="2"/>
      </rPr>
      <t xml:space="preserve">t</t>
    </r>
    <r>
      <rPr>
        <vertAlign val="superscript"/>
        <sz val="10"/>
        <rFont val="Arial"/>
        <family val="2"/>
      </rPr>
      <t xml:space="preserve">f</t>
    </r>
  </si>
  <si>
    <r>
      <rPr>
        <b val="true"/>
        <sz val="10"/>
        <rFont val="Arial"/>
        <family val="0"/>
      </rPr>
      <t xml:space="preserve">Method n°1: saving = private saving</t>
    </r>
    <r>
      <rPr>
        <sz val="10"/>
        <rFont val="Arial"/>
        <family val="0"/>
      </rPr>
      <t xml:space="preserve"> (personal saving + corporate retained earnings)</t>
    </r>
  </si>
  <si>
    <t xml:space="preserve">Uniform q estimates (method 1b)</t>
  </si>
  <si>
    <t xml:space="preserve">Uniform q estimates (method 2b)</t>
  </si>
  <si>
    <r>
      <rPr>
        <sz val="9"/>
        <rFont val="Arial"/>
        <family val="2"/>
      </rPr>
      <t xml:space="preserve">Real growth rate of private wealth g</t>
    </r>
    <r>
      <rPr>
        <vertAlign val="subscript"/>
        <sz val="9"/>
        <rFont val="Arial"/>
        <family val="2"/>
      </rPr>
      <t xml:space="preserve">wt</t>
    </r>
  </si>
  <si>
    <t xml:space="preserve">Ratio (private wealth)/ (national income)</t>
  </si>
  <si>
    <t xml:space="preserve">Private saving rate</t>
  </si>
  <si>
    <t xml:space="preserve">War destructions induced wealth growth rate</t>
  </si>
  <si>
    <t xml:space="preserve">Personal savings rate </t>
  </si>
  <si>
    <r>
      <rPr>
        <i val="true"/>
        <sz val="10"/>
        <rFont val="Arial Narrow"/>
        <family val="2"/>
      </rPr>
      <t xml:space="preserve">memo: War destructions d</t>
    </r>
    <r>
      <rPr>
        <i val="true"/>
        <vertAlign val="subscript"/>
        <sz val="10"/>
        <rFont val="Arial Narrow"/>
        <family val="2"/>
      </rPr>
      <t xml:space="preserve">yt </t>
    </r>
    <r>
      <rPr>
        <i val="true"/>
        <sz val="10"/>
        <rFont val="Arial Narrow"/>
        <family val="2"/>
      </rPr>
      <t xml:space="preserve">= D</t>
    </r>
    <r>
      <rPr>
        <i val="true"/>
        <vertAlign val="subscript"/>
        <sz val="10"/>
        <rFont val="Arial Narrow"/>
        <family val="2"/>
      </rPr>
      <t xml:space="preserve">t</t>
    </r>
    <r>
      <rPr>
        <i val="true"/>
        <sz val="10"/>
        <rFont val="Arial Narrow"/>
        <family val="2"/>
      </rPr>
      <t xml:space="preserve">/ Y</t>
    </r>
    <r>
      <rPr>
        <i val="true"/>
        <vertAlign val="subscript"/>
        <sz val="10"/>
        <rFont val="Arial Narrow"/>
        <family val="2"/>
      </rPr>
      <t xml:space="preserve">t</t>
    </r>
  </si>
  <si>
    <t xml:space="preserve">Simulated ratio (private wealth)/ (national income)</t>
  </si>
  <si>
    <t xml:space="preserve">Uniform real rate of capital gains</t>
  </si>
  <si>
    <t xml:space="preserve">method 1</t>
  </si>
  <si>
    <t xml:space="preserve">method 2</t>
  </si>
  <si>
    <r>
      <rPr>
        <sz val="10"/>
        <rFont val="Arial"/>
        <family val="0"/>
      </rPr>
      <t xml:space="preserve">1+g</t>
    </r>
    <r>
      <rPr>
        <vertAlign val="subscript"/>
        <sz val="10"/>
        <rFont val="Arial"/>
        <family val="2"/>
      </rPr>
      <t xml:space="preserve">wt</t>
    </r>
    <r>
      <rPr>
        <sz val="10"/>
        <rFont val="Arial"/>
        <family val="0"/>
      </rPr>
      <t xml:space="preserve"> = W</t>
    </r>
    <r>
      <rPr>
        <vertAlign val="subscript"/>
        <sz val="10"/>
        <rFont val="Arial"/>
        <family val="2"/>
      </rPr>
      <t xml:space="preserve">t</t>
    </r>
    <r>
      <rPr>
        <sz val="10"/>
        <rFont val="Arial"/>
        <family val="0"/>
      </rPr>
      <t xml:space="preserve">/W</t>
    </r>
    <r>
      <rPr>
        <vertAlign val="superscript"/>
        <sz val="10"/>
        <rFont val="Arial"/>
        <family val="2"/>
      </rPr>
      <t xml:space="preserve">f</t>
    </r>
    <r>
      <rPr>
        <vertAlign val="subscript"/>
        <sz val="10"/>
        <rFont val="Arial"/>
        <family val="2"/>
      </rPr>
      <t xml:space="preserve">-1</t>
    </r>
  </si>
  <si>
    <r>
      <rPr>
        <sz val="10"/>
        <rFont val="Arial"/>
        <family val="0"/>
      </rPr>
      <t xml:space="preserve">s</t>
    </r>
    <r>
      <rPr>
        <vertAlign val="subscript"/>
        <sz val="10"/>
        <rFont val="Arial"/>
        <family val="2"/>
      </rPr>
      <t xml:space="preserve">t</t>
    </r>
    <r>
      <rPr>
        <sz val="10"/>
        <rFont val="Arial"/>
        <family val="0"/>
      </rPr>
      <t xml:space="preserve"> = S</t>
    </r>
    <r>
      <rPr>
        <vertAlign val="subscript"/>
        <sz val="10"/>
        <rFont val="Arial"/>
        <family val="2"/>
      </rPr>
      <t xml:space="preserve">t</t>
    </r>
    <r>
      <rPr>
        <sz val="10"/>
        <rFont val="Arial"/>
        <family val="0"/>
      </rPr>
      <t xml:space="preserve">/Y</t>
    </r>
    <r>
      <rPr>
        <vertAlign val="subscript"/>
        <sz val="10"/>
        <rFont val="Arial"/>
        <family val="2"/>
      </rPr>
      <t xml:space="preserve">t</t>
    </r>
  </si>
  <si>
    <r>
      <rPr>
        <sz val="10"/>
        <rFont val="Arial"/>
        <family val="0"/>
      </rPr>
      <t xml:space="preserve">g</t>
    </r>
    <r>
      <rPr>
        <vertAlign val="subscript"/>
        <sz val="10"/>
        <rFont val="Arial"/>
        <family val="2"/>
      </rPr>
      <t xml:space="preserve">wst</t>
    </r>
    <r>
      <rPr>
        <sz val="10"/>
        <rFont val="Arial"/>
        <family val="0"/>
      </rPr>
      <t xml:space="preserve"> =        s</t>
    </r>
    <r>
      <rPr>
        <vertAlign val="subscript"/>
        <sz val="10"/>
        <rFont val="Arial"/>
        <family val="2"/>
      </rPr>
      <t xml:space="preserve">t-1</t>
    </r>
    <r>
      <rPr>
        <sz val="10"/>
        <rFont val="Arial"/>
        <family val="0"/>
      </rPr>
      <t xml:space="preserve">/β</t>
    </r>
    <r>
      <rPr>
        <vertAlign val="subscript"/>
        <sz val="10"/>
        <rFont val="Arial"/>
        <family val="2"/>
      </rPr>
      <t xml:space="preserve">t-1</t>
    </r>
  </si>
  <si>
    <r>
      <rPr>
        <sz val="10"/>
        <rFont val="Arial"/>
        <family val="0"/>
      </rPr>
      <t xml:space="preserve">s</t>
    </r>
    <r>
      <rPr>
        <vertAlign val="subscript"/>
        <sz val="10"/>
        <rFont val="Arial"/>
        <family val="2"/>
      </rPr>
      <t xml:space="preserve">0t</t>
    </r>
    <r>
      <rPr>
        <sz val="10"/>
        <rFont val="Arial"/>
        <family val="0"/>
      </rPr>
      <t xml:space="preserve"> = S</t>
    </r>
    <r>
      <rPr>
        <vertAlign val="subscript"/>
        <sz val="10"/>
        <rFont val="Arial"/>
        <family val="2"/>
      </rPr>
      <t xml:space="preserve">0t</t>
    </r>
    <r>
      <rPr>
        <sz val="10"/>
        <rFont val="Arial"/>
        <family val="0"/>
      </rPr>
      <t xml:space="preserve">/Y</t>
    </r>
    <r>
      <rPr>
        <vertAlign val="subscript"/>
        <sz val="10"/>
        <rFont val="Arial"/>
        <family val="2"/>
      </rPr>
      <t xml:space="preserve">t</t>
    </r>
  </si>
  <si>
    <r>
      <rPr>
        <sz val="10"/>
        <rFont val="Arial"/>
        <family val="0"/>
      </rPr>
      <t xml:space="preserve">g</t>
    </r>
    <r>
      <rPr>
        <vertAlign val="subscript"/>
        <sz val="10"/>
        <rFont val="Arial"/>
        <family val="2"/>
      </rPr>
      <t xml:space="preserve">wst</t>
    </r>
    <r>
      <rPr>
        <sz val="10"/>
        <rFont val="Arial"/>
        <family val="0"/>
      </rPr>
      <t xml:space="preserve"> =      s</t>
    </r>
    <r>
      <rPr>
        <vertAlign val="subscript"/>
        <sz val="10"/>
        <rFont val="Arial"/>
        <family val="2"/>
      </rPr>
      <t xml:space="preserve">0t-1</t>
    </r>
    <r>
      <rPr>
        <sz val="10"/>
        <rFont val="Arial"/>
        <family val="0"/>
      </rPr>
      <t xml:space="preserve">/β</t>
    </r>
    <r>
      <rPr>
        <vertAlign val="subscript"/>
        <sz val="10"/>
        <rFont val="Arial"/>
        <family val="2"/>
      </rPr>
      <t xml:space="preserve">t-1</t>
    </r>
  </si>
  <si>
    <r>
      <rPr>
        <sz val="10"/>
        <rFont val="Arial"/>
        <family val="0"/>
      </rPr>
      <t xml:space="preserve">1+g</t>
    </r>
    <r>
      <rPr>
        <vertAlign val="subscript"/>
        <sz val="10"/>
        <rFont val="Arial"/>
        <family val="2"/>
      </rPr>
      <t xml:space="preserve">t</t>
    </r>
  </si>
  <si>
    <r>
      <rPr>
        <sz val="10"/>
        <rFont val="Arial"/>
        <family val="0"/>
      </rPr>
      <t xml:space="preserve">1+g</t>
    </r>
    <r>
      <rPr>
        <vertAlign val="subscript"/>
        <sz val="10"/>
        <rFont val="Arial"/>
        <family val="2"/>
      </rPr>
      <t xml:space="preserve">wt</t>
    </r>
  </si>
  <si>
    <r>
      <rPr>
        <sz val="10"/>
        <rFont val="Arial"/>
        <family val="0"/>
      </rPr>
      <t xml:space="preserve">1+g</t>
    </r>
    <r>
      <rPr>
        <vertAlign val="subscript"/>
        <sz val="10"/>
        <rFont val="Arial"/>
        <family val="2"/>
      </rPr>
      <t xml:space="preserve">wst</t>
    </r>
  </si>
  <si>
    <r>
      <rPr>
        <sz val="10"/>
        <rFont val="Arial"/>
        <family val="0"/>
      </rPr>
      <t xml:space="preserve">1+q</t>
    </r>
    <r>
      <rPr>
        <vertAlign val="subscript"/>
        <sz val="10"/>
        <rFont val="Arial"/>
        <family val="2"/>
      </rPr>
      <t xml:space="preserve">t</t>
    </r>
  </si>
  <si>
    <r>
      <rPr>
        <sz val="10"/>
        <rFont val="Arial"/>
        <family val="0"/>
      </rPr>
      <t xml:space="preserve">1+o</t>
    </r>
    <r>
      <rPr>
        <vertAlign val="subscript"/>
        <sz val="10"/>
        <rFont val="Arial"/>
        <family val="2"/>
      </rPr>
      <t xml:space="preserve">t-1</t>
    </r>
  </si>
  <si>
    <r>
      <rPr>
        <sz val="10"/>
        <rFont val="Arial"/>
        <family val="0"/>
      </rPr>
      <t xml:space="preserve">g</t>
    </r>
    <r>
      <rPr>
        <vertAlign val="subscript"/>
        <sz val="10"/>
        <rFont val="Arial"/>
        <family val="2"/>
      </rPr>
      <t xml:space="preserve">t</t>
    </r>
  </si>
  <si>
    <r>
      <rPr>
        <sz val="10"/>
        <rFont val="Arial"/>
        <family val="0"/>
      </rPr>
      <t xml:space="preserve">g</t>
    </r>
    <r>
      <rPr>
        <vertAlign val="subscript"/>
        <sz val="10"/>
        <rFont val="Arial"/>
        <family val="2"/>
      </rPr>
      <t xml:space="preserve">wt</t>
    </r>
  </si>
  <si>
    <r>
      <rPr>
        <sz val="10"/>
        <rFont val="Arial"/>
        <family val="0"/>
      </rPr>
      <t xml:space="preserve">g</t>
    </r>
    <r>
      <rPr>
        <vertAlign val="subscript"/>
        <sz val="10"/>
        <rFont val="Arial"/>
        <family val="2"/>
      </rPr>
      <t xml:space="preserve">wst</t>
    </r>
  </si>
  <si>
    <t xml:space="preserve">Uniform q estimates</t>
  </si>
  <si>
    <t xml:space="preserve">Method 1b</t>
  </si>
  <si>
    <t xml:space="preserve">Method 2b</t>
  </si>
  <si>
    <t xml:space="preserve">1870-1949</t>
  </si>
  <si>
    <t xml:space="preserve">pred./obs.</t>
  </si>
  <si>
    <t xml:space="preserve">(Memo: equities)</t>
  </si>
  <si>
    <t xml:space="preserve">1949-2010</t>
  </si>
  <si>
    <t xml:space="preserve">1913-1924</t>
  </si>
  <si>
    <t xml:space="preserve">1870-1913</t>
  </si>
  <si>
    <t xml:space="preserve">1927-1950</t>
  </si>
  <si>
    <t xml:space="preserve">1913-1949</t>
  </si>
  <si>
    <t xml:space="preserve">1925-1927</t>
  </si>
  <si>
    <t xml:space="preserve">1949-1991</t>
  </si>
  <si>
    <t xml:space="preserve">1991-2010</t>
  </si>
  <si>
    <t xml:space="preserve">1950-1990</t>
  </si>
  <si>
    <t xml:space="preserve">Table DE.5b: Accumulation equation for national wealth in Germany, 1870-2010 (annual series)</t>
  </si>
  <si>
    <r>
      <rPr>
        <sz val="10"/>
        <rFont val="Arial"/>
        <family val="0"/>
      </rPr>
      <t xml:space="preserve">National income    Y</t>
    </r>
    <r>
      <rPr>
        <vertAlign val="subscript"/>
        <sz val="10"/>
        <rFont val="Arial"/>
        <family val="2"/>
      </rPr>
      <t xml:space="preserve">t</t>
    </r>
  </si>
  <si>
    <t xml:space="preserve">Market-value national wealth</t>
  </si>
  <si>
    <t xml:space="preserve">Book-value national wealth</t>
  </si>
  <si>
    <t xml:space="preserve">Market value</t>
  </si>
  <si>
    <t xml:space="preserve">Book value</t>
  </si>
  <si>
    <t xml:space="preserve">National wealth / national income ratio</t>
  </si>
  <si>
    <r>
      <rPr>
        <sz val="9"/>
        <rFont val="Arial"/>
        <family val="2"/>
      </rPr>
      <t xml:space="preserve">Real growth rate of national wealth g</t>
    </r>
    <r>
      <rPr>
        <vertAlign val="subscript"/>
        <sz val="9"/>
        <rFont val="Arial"/>
        <family val="2"/>
      </rPr>
      <t xml:space="preserve">wt</t>
    </r>
  </si>
  <si>
    <r>
      <rPr>
        <sz val="10"/>
        <rFont val="Arial Narrow"/>
        <family val="2"/>
      </rPr>
      <t xml:space="preserve">Real growth rate of national wealth g</t>
    </r>
    <r>
      <rPr>
        <vertAlign val="subscript"/>
        <sz val="10"/>
        <rFont val="Arial Narrow"/>
        <family val="0"/>
      </rPr>
      <t xml:space="preserve">wt</t>
    </r>
  </si>
  <si>
    <t xml:space="preserve">Ratio (national wealth)/ (national income)</t>
  </si>
  <si>
    <t xml:space="preserve">National saving rate </t>
  </si>
  <si>
    <r>
      <rPr>
        <i val="true"/>
        <sz val="10"/>
        <rFont val="Arial Narrow"/>
        <family val="2"/>
      </rPr>
      <t xml:space="preserve">memo: War destructions o</t>
    </r>
    <r>
      <rPr>
        <i val="true"/>
        <vertAlign val="subscript"/>
        <sz val="10"/>
        <rFont val="Arial Narrow"/>
        <family val="2"/>
      </rPr>
      <t xml:space="preserve">yt </t>
    </r>
    <r>
      <rPr>
        <i val="true"/>
        <sz val="10"/>
        <rFont val="Arial Narrow"/>
        <family val="2"/>
      </rPr>
      <t xml:space="preserve">= O</t>
    </r>
    <r>
      <rPr>
        <i val="true"/>
        <vertAlign val="subscript"/>
        <sz val="10"/>
        <rFont val="Arial Narrow"/>
        <family val="2"/>
      </rPr>
      <t xml:space="preserve">t</t>
    </r>
    <r>
      <rPr>
        <i val="true"/>
        <sz val="10"/>
        <rFont val="Arial Narrow"/>
        <family val="2"/>
      </rPr>
      <t xml:space="preserve">/ Y</t>
    </r>
    <r>
      <rPr>
        <i val="true"/>
        <vertAlign val="subscript"/>
        <sz val="10"/>
        <rFont val="Arial Narrow"/>
        <family val="2"/>
      </rPr>
      <t xml:space="preserve">t</t>
    </r>
  </si>
  <si>
    <t xml:space="preserve">Simulated ratio (gov wealth)/ (national income)</t>
  </si>
  <si>
    <t xml:space="preserve">Simulated ratio (national wealth)/ (national income)</t>
  </si>
  <si>
    <t xml:space="preserve">NW market value</t>
  </si>
  <si>
    <t xml:space="preserve">NW book value</t>
  </si>
  <si>
    <r>
      <rPr>
        <sz val="10"/>
        <rFont val="Arial"/>
        <family val="0"/>
      </rPr>
      <t xml:space="preserve">1+g</t>
    </r>
    <r>
      <rPr>
        <vertAlign val="subscript"/>
        <sz val="10"/>
        <rFont val="Arial"/>
        <family val="2"/>
      </rPr>
      <t xml:space="preserve">wt</t>
    </r>
    <r>
      <rPr>
        <sz val="10"/>
        <rFont val="Arial"/>
        <family val="0"/>
      </rPr>
      <t xml:space="preserve"> = W</t>
    </r>
    <r>
      <rPr>
        <vertAlign val="subscript"/>
        <sz val="10"/>
        <rFont val="Arial"/>
        <family val="2"/>
      </rPr>
      <t xml:space="preserve">t</t>
    </r>
    <r>
      <rPr>
        <sz val="10"/>
        <rFont val="Arial"/>
        <family val="0"/>
      </rPr>
      <t xml:space="preserve">/W</t>
    </r>
    <r>
      <rPr>
        <vertAlign val="subscript"/>
        <sz val="10"/>
        <rFont val="Arial"/>
        <family val="2"/>
      </rPr>
      <t xml:space="preserve">t-1</t>
    </r>
  </si>
  <si>
    <r>
      <rPr>
        <sz val="10"/>
        <rFont val="Arial"/>
        <family val="0"/>
      </rPr>
      <t xml:space="preserve">o</t>
    </r>
    <r>
      <rPr>
        <vertAlign val="subscript"/>
        <sz val="10"/>
        <rFont val="Arial"/>
        <family val="2"/>
      </rPr>
      <t xml:space="preserve">t</t>
    </r>
  </si>
  <si>
    <t xml:space="preserve">Market</t>
  </si>
  <si>
    <t xml:space="preserve">Book</t>
  </si>
  <si>
    <t xml:space="preserve">1913-1925</t>
  </si>
  <si>
    <t xml:space="preserve">1925-1950</t>
  </si>
  <si>
    <t xml:space="preserve">Table DE.5c: Accumulation equation for government wealth in Germany, 1870-2010 (annual series)</t>
  </si>
  <si>
    <t xml:space="preserve">Net public wealth</t>
  </si>
  <si>
    <t xml:space="preserve">Government non-financial assets</t>
  </si>
  <si>
    <t xml:space="preserve">Government debt</t>
  </si>
  <si>
    <r>
      <rPr>
        <sz val="10"/>
        <rFont val="Arial Narrow"/>
        <family val="2"/>
      </rPr>
      <t xml:space="preserve">memo: War destructions o</t>
    </r>
    <r>
      <rPr>
        <i val="true"/>
        <vertAlign val="subscript"/>
        <sz val="10"/>
        <rFont val="Arial Narrow"/>
        <family val="2"/>
      </rPr>
      <t xml:space="preserve">yt </t>
    </r>
    <r>
      <rPr>
        <i val="true"/>
        <sz val="10"/>
        <rFont val="Arial Narrow"/>
        <family val="2"/>
      </rPr>
      <t xml:space="preserve">= O</t>
    </r>
    <r>
      <rPr>
        <i val="true"/>
        <vertAlign val="subscript"/>
        <sz val="10"/>
        <rFont val="Arial Narrow"/>
        <family val="2"/>
      </rPr>
      <t xml:space="preserve">t</t>
    </r>
    <r>
      <rPr>
        <i val="true"/>
        <sz val="10"/>
        <rFont val="Arial Narrow"/>
        <family val="2"/>
      </rPr>
      <t xml:space="preserve">/ Y</t>
    </r>
    <r>
      <rPr>
        <i val="true"/>
        <vertAlign val="subscript"/>
        <sz val="10"/>
        <rFont val="Arial Narrow"/>
        <family val="2"/>
      </rPr>
      <t xml:space="preserve">t</t>
    </r>
  </si>
  <si>
    <t xml:space="preserve">Ratio (public wealth)/ (national income)</t>
  </si>
  <si>
    <t xml:space="preserve">Government saving rate </t>
  </si>
  <si>
    <t xml:space="preserve">Government non-financial assets / national income</t>
  </si>
  <si>
    <t xml:space="preserve">Investment-induced growth rate</t>
  </si>
  <si>
    <t xml:space="preserve">War-destruction induced growth rate</t>
  </si>
  <si>
    <t xml:space="preserve">Total government debt</t>
  </si>
  <si>
    <t xml:space="preserve">Of which: central government</t>
  </si>
  <si>
    <t xml:space="preserve">Of which: MEFO-bills</t>
  </si>
  <si>
    <t xml:space="preserve">Of which: Länder</t>
  </si>
  <si>
    <t xml:space="preserve">Of which: municipalities</t>
  </si>
  <si>
    <t xml:space="preserve">Memo: Fraction of public debt held by central bank (year-end)</t>
  </si>
  <si>
    <t xml:space="preserve">Checks</t>
  </si>
  <si>
    <r>
      <rPr>
        <sz val="10"/>
        <rFont val="Arial"/>
        <family val="0"/>
      </rPr>
      <t xml:space="preserve">1+g</t>
    </r>
    <r>
      <rPr>
        <vertAlign val="subscript"/>
        <sz val="10"/>
        <rFont val="Arial"/>
        <family val="2"/>
      </rPr>
      <t xml:space="preserve">t</t>
    </r>
    <r>
      <rPr>
        <sz val="10"/>
        <rFont val="Arial"/>
        <family val="0"/>
      </rPr>
      <t xml:space="preserve">= Y</t>
    </r>
    <r>
      <rPr>
        <vertAlign val="subscript"/>
        <sz val="10"/>
        <rFont val="Arial"/>
        <family val="2"/>
      </rPr>
      <t xml:space="preserve">t</t>
    </r>
    <r>
      <rPr>
        <sz val="10"/>
        <rFont val="Arial"/>
        <family val="0"/>
      </rPr>
      <t xml:space="preserve">/Y</t>
    </r>
    <r>
      <rPr>
        <vertAlign val="subscript"/>
        <sz val="10"/>
        <rFont val="Arial"/>
        <family val="2"/>
      </rPr>
      <t xml:space="preserve">t-1</t>
    </r>
  </si>
  <si>
    <r>
      <rPr>
        <sz val="10"/>
        <rFont val="Arial"/>
        <family val="0"/>
      </rPr>
      <t xml:space="preserve">β</t>
    </r>
    <r>
      <rPr>
        <vertAlign val="subscript"/>
        <sz val="10"/>
        <rFont val="Arial"/>
        <family val="2"/>
      </rPr>
      <t xml:space="preserve">t</t>
    </r>
    <r>
      <rPr>
        <vertAlign val="superscript"/>
        <sz val="10"/>
        <rFont val="Arial"/>
        <family val="2"/>
      </rPr>
      <t xml:space="preserve">f</t>
    </r>
    <r>
      <rPr>
        <sz val="10"/>
        <rFont val="Arial"/>
        <family val="0"/>
      </rPr>
      <t xml:space="preserve"> = W</t>
    </r>
    <r>
      <rPr>
        <vertAlign val="subscript"/>
        <sz val="10"/>
        <rFont val="Arial"/>
        <family val="2"/>
      </rPr>
      <t xml:space="preserve">t</t>
    </r>
    <r>
      <rPr>
        <vertAlign val="superscript"/>
        <sz val="10"/>
        <rFont val="Arial"/>
        <family val="2"/>
      </rPr>
      <t xml:space="preserve">f</t>
    </r>
    <r>
      <rPr>
        <sz val="10"/>
        <rFont val="Arial"/>
        <family val="0"/>
      </rPr>
      <t xml:space="preserve">/Y</t>
    </r>
    <r>
      <rPr>
        <vertAlign val="subscript"/>
        <sz val="10"/>
        <rFont val="Arial"/>
        <family val="2"/>
      </rPr>
      <t xml:space="preserve">t</t>
    </r>
    <r>
      <rPr>
        <vertAlign val="superscript"/>
        <sz val="10"/>
        <rFont val="Arial"/>
        <family val="2"/>
      </rPr>
      <t xml:space="preserve">f</t>
    </r>
  </si>
  <si>
    <t xml:space="preserve">Simulated investment rates</t>
  </si>
  <si>
    <t xml:space="preserve">i</t>
  </si>
  <si>
    <t xml:space="preserve">1914-1925</t>
  </si>
  <si>
    <t xml:space="preserve">pred./obs</t>
  </si>
  <si>
    <r>
      <rPr>
        <i val="true"/>
        <sz val="10"/>
        <rFont val="Arial"/>
        <family val="0"/>
      </rPr>
      <t xml:space="preserve">p</t>
    </r>
    <r>
      <rPr>
        <i val="true"/>
        <vertAlign val="subscript"/>
        <sz val="10"/>
        <rFont val="Arial"/>
        <family val="2"/>
      </rPr>
      <t xml:space="preserve">t</t>
    </r>
  </si>
  <si>
    <t xml:space="preserve">d</t>
  </si>
  <si>
    <t xml:space="preserve">1939-1950</t>
  </si>
  <si>
    <t xml:space="preserve">Table DE.6a: Structure of national wealth in Germany, 1870-2011: private wealth vs government wealth</t>
  </si>
  <si>
    <t xml:space="preserve">Private wealth (individuals)</t>
  </si>
  <si>
    <t xml:space="preserve">Government wealth (all govt levels)</t>
  </si>
  <si>
    <t xml:space="preserve">National wealth (private + government)</t>
  </si>
  <si>
    <r>
      <rPr>
        <sz val="10"/>
        <rFont val="Arial"/>
        <family val="0"/>
      </rPr>
      <t xml:space="preserve">(% national income Y</t>
    </r>
    <r>
      <rPr>
        <vertAlign val="subscript"/>
        <sz val="10"/>
        <rFont val="Arial"/>
        <family val="2"/>
      </rPr>
      <t xml:space="preserve">t</t>
    </r>
    <r>
      <rPr>
        <sz val="12"/>
        <color rgb="FF000000"/>
        <rFont val="Arial"/>
        <family val="2"/>
      </rPr>
      <t xml:space="preserve">)</t>
    </r>
  </si>
  <si>
    <t xml:space="preserve">% (Private wealth)/ (National wealth)</t>
  </si>
  <si>
    <t xml:space="preserve">% (Govt wealth)/ (National wealth)</t>
  </si>
  <si>
    <t xml:space="preserve">Private wealth</t>
  </si>
  <si>
    <t xml:space="preserve">Nonfinancial assets</t>
  </si>
  <si>
    <t xml:space="preserve">Financial assets</t>
  </si>
  <si>
    <t xml:space="preserve">Financial liabilities</t>
  </si>
  <si>
    <t xml:space="preserve">Govt wealth</t>
  </si>
  <si>
    <t xml:space="preserve">National wealth</t>
  </si>
  <si>
    <t xml:space="preserve">Memo: agricultural land (incl. In private wealth)</t>
  </si>
  <si>
    <t xml:space="preserve">Memo: subsoil assets (excl. from wealth)</t>
  </si>
  <si>
    <t xml:space="preserve">Memo: forest (excl. from wealth)</t>
  </si>
  <si>
    <r>
      <rPr>
        <b val="true"/>
        <sz val="10"/>
        <rFont val="Arial"/>
        <family val="0"/>
      </rPr>
      <t xml:space="preserve">W</t>
    </r>
    <r>
      <rPr>
        <b val="true"/>
        <vertAlign val="subscript"/>
        <sz val="10"/>
        <rFont val="Arial"/>
        <family val="2"/>
      </rPr>
      <t xml:space="preserve">t</t>
    </r>
  </si>
  <si>
    <r>
      <rPr>
        <sz val="10"/>
        <rFont val="Arial"/>
        <family val="0"/>
      </rPr>
      <t xml:space="preserve">K</t>
    </r>
    <r>
      <rPr>
        <vertAlign val="subscript"/>
        <sz val="10"/>
        <rFont val="Arial"/>
        <family val="2"/>
      </rPr>
      <t xml:space="preserve">pt</t>
    </r>
  </si>
  <si>
    <r>
      <rPr>
        <sz val="10"/>
        <rFont val="Arial"/>
        <family val="0"/>
      </rPr>
      <t xml:space="preserve">A</t>
    </r>
    <r>
      <rPr>
        <vertAlign val="subscript"/>
        <sz val="10"/>
        <rFont val="Arial"/>
        <family val="2"/>
      </rPr>
      <t xml:space="preserve">pt</t>
    </r>
  </si>
  <si>
    <r>
      <rPr>
        <sz val="10"/>
        <rFont val="Arial"/>
        <family val="0"/>
      </rPr>
      <t xml:space="preserve">L</t>
    </r>
    <r>
      <rPr>
        <vertAlign val="subscript"/>
        <sz val="10"/>
        <rFont val="Arial"/>
        <family val="2"/>
      </rPr>
      <t xml:space="preserve">pt</t>
    </r>
  </si>
  <si>
    <r>
      <rPr>
        <b val="true"/>
        <sz val="10"/>
        <rFont val="Arial"/>
        <family val="0"/>
      </rPr>
      <t xml:space="preserve">W</t>
    </r>
    <r>
      <rPr>
        <b val="true"/>
        <vertAlign val="subscript"/>
        <sz val="10"/>
        <rFont val="Arial"/>
        <family val="2"/>
      </rPr>
      <t xml:space="preserve">gt</t>
    </r>
  </si>
  <si>
    <r>
      <rPr>
        <sz val="10"/>
        <rFont val="Arial"/>
        <family val="0"/>
      </rPr>
      <t xml:space="preserve">K</t>
    </r>
    <r>
      <rPr>
        <vertAlign val="subscript"/>
        <sz val="10"/>
        <rFont val="Arial"/>
        <family val="2"/>
      </rPr>
      <t xml:space="preserve">gt</t>
    </r>
  </si>
  <si>
    <r>
      <rPr>
        <sz val="10"/>
        <rFont val="Arial"/>
        <family val="0"/>
      </rPr>
      <t xml:space="preserve">A</t>
    </r>
    <r>
      <rPr>
        <vertAlign val="subscript"/>
        <sz val="10"/>
        <rFont val="Arial"/>
        <family val="2"/>
      </rPr>
      <t xml:space="preserve">gt</t>
    </r>
  </si>
  <si>
    <r>
      <rPr>
        <sz val="10"/>
        <rFont val="Arial"/>
        <family val="0"/>
      </rPr>
      <t xml:space="preserve">L</t>
    </r>
    <r>
      <rPr>
        <vertAlign val="subscript"/>
        <sz val="10"/>
        <rFont val="Arial"/>
        <family val="2"/>
      </rPr>
      <t xml:space="preserve">gt</t>
    </r>
  </si>
  <si>
    <r>
      <rPr>
        <b val="true"/>
        <sz val="10"/>
        <rFont val="Arial"/>
        <family val="0"/>
      </rPr>
      <t xml:space="preserve">W</t>
    </r>
    <r>
      <rPr>
        <b val="true"/>
        <vertAlign val="subscript"/>
        <sz val="10"/>
        <rFont val="Arial"/>
        <family val="2"/>
      </rPr>
      <t xml:space="preserve">nt</t>
    </r>
  </si>
  <si>
    <r>
      <rPr>
        <sz val="10"/>
        <rFont val="Arial"/>
        <family val="0"/>
      </rPr>
      <t xml:space="preserve">K</t>
    </r>
    <r>
      <rPr>
        <vertAlign val="subscript"/>
        <sz val="10"/>
        <rFont val="Arial"/>
        <family val="2"/>
      </rPr>
      <t xml:space="preserve">nt</t>
    </r>
  </si>
  <si>
    <r>
      <rPr>
        <sz val="10"/>
        <rFont val="Arial"/>
        <family val="0"/>
      </rPr>
      <t xml:space="preserve">A</t>
    </r>
    <r>
      <rPr>
        <vertAlign val="subscript"/>
        <sz val="10"/>
        <rFont val="Arial"/>
        <family val="2"/>
      </rPr>
      <t xml:space="preserve">nt</t>
    </r>
  </si>
  <si>
    <r>
      <rPr>
        <sz val="10"/>
        <rFont val="Arial"/>
        <family val="0"/>
      </rPr>
      <t xml:space="preserve">L</t>
    </r>
    <r>
      <rPr>
        <vertAlign val="subscript"/>
        <sz val="10"/>
        <rFont val="Arial"/>
        <family val="2"/>
      </rPr>
      <t xml:space="preserve">nt</t>
    </r>
  </si>
  <si>
    <t xml:space="preserve">Table DE.6b: Structure of national wealth in Germany, 1870-2011: corporate wealth and net foreign asset position</t>
  </si>
  <si>
    <t xml:space="preserve">Corporate wealth (non-financial + financial corporations)                                                 </t>
  </si>
  <si>
    <t xml:space="preserve">Net foreign asset position                                                                      (Germany vis-a-vis rest of the world)</t>
  </si>
  <si>
    <r>
      <rPr>
        <sz val="10"/>
        <rFont val="Arial"/>
        <family val="0"/>
      </rPr>
      <t xml:space="preserve">(% national income Y</t>
    </r>
    <r>
      <rPr>
        <vertAlign val="subscript"/>
        <sz val="10"/>
        <rFont val="Arial"/>
        <family val="2"/>
      </rPr>
      <t xml:space="preserve">t</t>
    </r>
    <r>
      <rPr>
        <sz val="12"/>
        <color rgb="FF000000"/>
        <rFont val="Calibri"/>
        <family val="2"/>
      </rPr>
      <t xml:space="preserve">)</t>
    </r>
  </si>
  <si>
    <r>
      <rPr>
        <b val="true"/>
        <i val="true"/>
        <sz val="10"/>
        <rFont val="Arial"/>
        <family val="0"/>
      </rPr>
      <t xml:space="preserve">Tobin's Q   </t>
    </r>
    <r>
      <rPr>
        <i val="true"/>
        <sz val="10"/>
        <rFont val="Arial"/>
        <family val="0"/>
      </rPr>
      <t xml:space="preserve">(L</t>
    </r>
    <r>
      <rPr>
        <i val="true"/>
        <vertAlign val="subscript"/>
        <sz val="10"/>
        <rFont val="Arial"/>
        <family val="2"/>
      </rPr>
      <t xml:space="preserve">ct</t>
    </r>
    <r>
      <rPr>
        <i val="true"/>
        <vertAlign val="superscript"/>
        <sz val="10"/>
        <rFont val="Arial"/>
        <family val="2"/>
      </rPr>
      <t xml:space="preserve">e</t>
    </r>
    <r>
      <rPr>
        <i val="true"/>
        <sz val="10"/>
        <rFont val="Arial"/>
        <family val="0"/>
      </rPr>
      <t xml:space="preserve">/NW</t>
    </r>
    <r>
      <rPr>
        <i val="true"/>
        <vertAlign val="subscript"/>
        <sz val="10"/>
        <rFont val="Arial"/>
        <family val="2"/>
      </rPr>
      <t xml:space="preserve">ct</t>
    </r>
    <r>
      <rPr>
        <i val="true"/>
        <sz val="10"/>
        <rFont val="Arial"/>
        <family val="0"/>
      </rPr>
      <t xml:space="preserve">) (Equity value/Net worth)</t>
    </r>
  </si>
  <si>
    <t xml:space="preserve">Net worth minus Equity value (% National wealth)</t>
  </si>
  <si>
    <t xml:space="preserve">Net foreign wealth (% National wealth)</t>
  </si>
  <si>
    <t xml:space="preserve">Net worth</t>
  </si>
  <si>
    <t xml:space="preserve">Financial  (non-equity) liabilities</t>
  </si>
  <si>
    <r>
      <rPr>
        <b val="true"/>
        <sz val="10"/>
        <rFont val="Arial"/>
        <family val="0"/>
      </rPr>
      <t xml:space="preserve">Equity value L</t>
    </r>
    <r>
      <rPr>
        <b val="true"/>
        <vertAlign val="subscript"/>
        <sz val="10"/>
        <rFont val="Arial"/>
        <family val="2"/>
      </rPr>
      <t xml:space="preserve">ct</t>
    </r>
    <r>
      <rPr>
        <b val="true"/>
        <vertAlign val="superscript"/>
        <sz val="10"/>
        <rFont val="Arial"/>
        <family val="2"/>
      </rPr>
      <t xml:space="preserve">e</t>
    </r>
  </si>
  <si>
    <t xml:space="preserve">Net worth minus Equity value </t>
  </si>
  <si>
    <t xml:space="preserve">Net foreign wealth</t>
  </si>
  <si>
    <t xml:space="preserve">Foreign assets owned by German residents</t>
  </si>
  <si>
    <t xml:space="preserve">German assets owned by foreign residents</t>
  </si>
  <si>
    <t xml:space="preserve">Memo: Versailles-treaty debts</t>
  </si>
  <si>
    <r>
      <rPr>
        <b val="true"/>
        <sz val="10"/>
        <rFont val="Arial"/>
        <family val="0"/>
      </rPr>
      <t xml:space="preserve">NW</t>
    </r>
    <r>
      <rPr>
        <b val="true"/>
        <vertAlign val="subscript"/>
        <sz val="10"/>
        <rFont val="Arial"/>
        <family val="2"/>
      </rPr>
      <t xml:space="preserve">ct</t>
    </r>
  </si>
  <si>
    <r>
      <rPr>
        <sz val="10"/>
        <rFont val="Arial"/>
        <family val="0"/>
      </rPr>
      <t xml:space="preserve">K</t>
    </r>
    <r>
      <rPr>
        <vertAlign val="subscript"/>
        <sz val="10"/>
        <rFont val="Arial"/>
        <family val="2"/>
      </rPr>
      <t xml:space="preserve">ct</t>
    </r>
  </si>
  <si>
    <r>
      <rPr>
        <sz val="10"/>
        <rFont val="Arial"/>
        <family val="0"/>
      </rPr>
      <t xml:space="preserve">A</t>
    </r>
    <r>
      <rPr>
        <vertAlign val="subscript"/>
        <sz val="10"/>
        <rFont val="Arial"/>
        <family val="2"/>
      </rPr>
      <t xml:space="preserve">ct</t>
    </r>
  </si>
  <si>
    <r>
      <rPr>
        <sz val="10"/>
        <rFont val="Arial"/>
        <family val="0"/>
      </rPr>
      <t xml:space="preserve">L</t>
    </r>
    <r>
      <rPr>
        <vertAlign val="subscript"/>
        <sz val="10"/>
        <rFont val="Arial"/>
        <family val="2"/>
      </rPr>
      <t xml:space="preserve">ct</t>
    </r>
    <r>
      <rPr>
        <vertAlign val="superscript"/>
        <sz val="10"/>
        <rFont val="Arial"/>
        <family val="2"/>
      </rPr>
      <t xml:space="preserve">d</t>
    </r>
  </si>
  <si>
    <r>
      <rPr>
        <b val="true"/>
        <sz val="10"/>
        <rFont val="Arial"/>
        <family val="0"/>
      </rPr>
      <t xml:space="preserve">W</t>
    </r>
    <r>
      <rPr>
        <b val="true"/>
        <vertAlign val="subscript"/>
        <sz val="10"/>
        <rFont val="Arial"/>
        <family val="2"/>
      </rPr>
      <t xml:space="preserve">Ft</t>
    </r>
  </si>
  <si>
    <r>
      <rPr>
        <sz val="10"/>
        <rFont val="Arial"/>
        <family val="0"/>
      </rPr>
      <t xml:space="preserve">FA</t>
    </r>
    <r>
      <rPr>
        <vertAlign val="subscript"/>
        <sz val="10"/>
        <rFont val="Arial"/>
        <family val="2"/>
      </rPr>
      <t xml:space="preserve">t</t>
    </r>
  </si>
  <si>
    <r>
      <rPr>
        <sz val="10"/>
        <rFont val="Arial"/>
        <family val="0"/>
      </rPr>
      <t xml:space="preserve">FL</t>
    </r>
    <r>
      <rPr>
        <vertAlign val="subscript"/>
        <sz val="10"/>
        <rFont val="Arial"/>
        <family val="2"/>
      </rPr>
      <t xml:space="preserve">t</t>
    </r>
  </si>
  <si>
    <t xml:space="preserve">Table DE.6c: Composition of private wealth in Germany, 1950-2011, % of national income</t>
  </si>
  <si>
    <r>
      <rPr>
        <sz val="10"/>
        <rFont val="Arial"/>
        <family val="0"/>
      </rPr>
      <t xml:space="preserve">(% national income Y</t>
    </r>
    <r>
      <rPr>
        <vertAlign val="subscript"/>
        <sz val="10"/>
        <rFont val="Arial"/>
        <family val="2"/>
      </rPr>
      <t xml:space="preserve">t</t>
    </r>
    <r>
      <rPr>
        <sz val="10"/>
        <rFont val="Arial"/>
        <family val="0"/>
      </rPr>
      <t xml:space="preserve">)</t>
    </r>
  </si>
  <si>
    <r>
      <rPr>
        <b val="true"/>
        <sz val="10"/>
        <rFont val="Arial"/>
        <family val="0"/>
      </rPr>
      <t xml:space="preserve">Private wealth W</t>
    </r>
    <r>
      <rPr>
        <b val="true"/>
        <vertAlign val="subscript"/>
        <sz val="10"/>
        <rFont val="Arial"/>
        <family val="2"/>
      </rPr>
      <t xml:space="preserve">t</t>
    </r>
  </si>
  <si>
    <r>
      <rPr>
        <b val="true"/>
        <sz val="10"/>
        <rFont val="Arial"/>
        <family val="0"/>
      </rPr>
      <t xml:space="preserve">Housing (net value) (K</t>
    </r>
    <r>
      <rPr>
        <b val="true"/>
        <vertAlign val="subscript"/>
        <sz val="10"/>
        <rFont val="Arial"/>
        <family val="2"/>
      </rPr>
      <t xml:space="preserve">t</t>
    </r>
    <r>
      <rPr>
        <b val="true"/>
        <vertAlign val="superscript"/>
        <sz val="10"/>
        <rFont val="Arial"/>
        <family val="2"/>
      </rPr>
      <t xml:space="preserve">h</t>
    </r>
    <r>
      <rPr>
        <b val="true"/>
        <sz val="10"/>
        <rFont val="Arial"/>
        <family val="0"/>
      </rPr>
      <t xml:space="preserve"> - L</t>
    </r>
    <r>
      <rPr>
        <b val="true"/>
        <vertAlign val="subscript"/>
        <sz val="10"/>
        <rFont val="Arial"/>
        <family val="2"/>
      </rPr>
      <t xml:space="preserve">t</t>
    </r>
    <r>
      <rPr>
        <b val="true"/>
        <sz val="10"/>
        <rFont val="Arial"/>
        <family val="0"/>
      </rPr>
      <t xml:space="preserve">)</t>
    </r>
  </si>
  <si>
    <r>
      <rPr>
        <sz val="10"/>
        <rFont val="Arial"/>
        <family val="0"/>
      </rPr>
      <t xml:space="preserve">inc. housing assets K</t>
    </r>
    <r>
      <rPr>
        <vertAlign val="subscript"/>
        <sz val="10"/>
        <rFont val="Arial"/>
        <family val="2"/>
      </rPr>
      <t xml:space="preserve">t</t>
    </r>
    <r>
      <rPr>
        <vertAlign val="superscript"/>
        <sz val="10"/>
        <rFont val="Arial"/>
        <family val="2"/>
      </rPr>
      <t xml:space="preserve">h</t>
    </r>
  </si>
  <si>
    <r>
      <rPr>
        <sz val="10"/>
        <rFont val="Arial"/>
        <family val="0"/>
      </rPr>
      <t xml:space="preserve">inc. financial liabilities L</t>
    </r>
    <r>
      <rPr>
        <vertAlign val="subscript"/>
        <sz val="10"/>
        <rFont val="Arial"/>
        <family val="2"/>
      </rPr>
      <t xml:space="preserve">t</t>
    </r>
  </si>
  <si>
    <r>
      <rPr>
        <b val="true"/>
        <sz val="10"/>
        <rFont val="Arial"/>
        <family val="0"/>
      </rPr>
      <t xml:space="preserve">Non-housing nonfinancial assets K</t>
    </r>
    <r>
      <rPr>
        <b val="true"/>
        <vertAlign val="subscript"/>
        <sz val="10"/>
        <rFont val="Arial"/>
        <family val="2"/>
      </rPr>
      <t xml:space="preserve">t</t>
    </r>
    <r>
      <rPr>
        <b val="true"/>
        <vertAlign val="superscript"/>
        <sz val="10"/>
        <rFont val="Arial"/>
        <family val="2"/>
      </rPr>
      <t xml:space="preserve">n             </t>
    </r>
    <r>
      <rPr>
        <sz val="10"/>
        <rFont val="Arial"/>
        <family val="0"/>
      </rPr>
      <t xml:space="preserve">(unincorp. business assets, land,.)</t>
    </r>
  </si>
  <si>
    <t xml:space="preserve">Of which: agricultural land</t>
  </si>
  <si>
    <r>
      <rPr>
        <b val="true"/>
        <sz val="10"/>
        <rFont val="Arial"/>
        <family val="0"/>
      </rPr>
      <t xml:space="preserve">Financial assets A</t>
    </r>
    <r>
      <rPr>
        <b val="true"/>
        <vertAlign val="subscript"/>
        <sz val="10"/>
        <rFont val="Arial"/>
        <family val="2"/>
      </rPr>
      <t xml:space="preserve">t</t>
    </r>
    <r>
      <rPr>
        <b val="true"/>
        <sz val="10"/>
        <rFont val="Arial"/>
        <family val="0"/>
      </rPr>
      <t xml:space="preserve"> (A</t>
    </r>
    <r>
      <rPr>
        <b val="true"/>
        <vertAlign val="subscript"/>
        <sz val="10"/>
        <rFont val="Arial"/>
        <family val="2"/>
      </rPr>
      <t xml:space="preserve">t</t>
    </r>
    <r>
      <rPr>
        <b val="true"/>
        <vertAlign val="superscript"/>
        <sz val="10"/>
        <rFont val="Arial"/>
        <family val="2"/>
      </rPr>
      <t xml:space="preserve">e</t>
    </r>
    <r>
      <rPr>
        <b val="true"/>
        <sz val="10"/>
        <rFont val="Arial"/>
        <family val="0"/>
      </rPr>
      <t xml:space="preserve">+A</t>
    </r>
    <r>
      <rPr>
        <b val="true"/>
        <vertAlign val="subscript"/>
        <sz val="10"/>
        <rFont val="Arial"/>
        <family val="2"/>
      </rPr>
      <t xml:space="preserve">t</t>
    </r>
    <r>
      <rPr>
        <b val="true"/>
        <vertAlign val="superscript"/>
        <sz val="10"/>
        <rFont val="Arial"/>
        <family val="2"/>
      </rPr>
      <t xml:space="preserve">d</t>
    </r>
    <r>
      <rPr>
        <b val="true"/>
        <sz val="10"/>
        <rFont val="Arial"/>
        <family val="0"/>
      </rPr>
      <t xml:space="preserve">)</t>
    </r>
  </si>
  <si>
    <r>
      <rPr>
        <sz val="10"/>
        <rFont val="Arial"/>
        <family val="0"/>
      </rPr>
      <t xml:space="preserve">inc. equity assets A</t>
    </r>
    <r>
      <rPr>
        <vertAlign val="subscript"/>
        <sz val="10"/>
        <rFont val="Arial"/>
        <family val="2"/>
      </rPr>
      <t xml:space="preserve">t</t>
    </r>
    <r>
      <rPr>
        <vertAlign val="superscript"/>
        <sz val="10"/>
        <rFont val="Arial"/>
        <family val="2"/>
      </rPr>
      <t xml:space="preserve">e</t>
    </r>
  </si>
  <si>
    <t xml:space="preserve">inc. Shares</t>
  </si>
  <si>
    <t xml:space="preserve">inc. other equities &amp; mutual funds</t>
  </si>
  <si>
    <r>
      <rPr>
        <sz val="10"/>
        <rFont val="Arial"/>
        <family val="0"/>
      </rPr>
      <t xml:space="preserve">inc. other assets A</t>
    </r>
    <r>
      <rPr>
        <vertAlign val="subscript"/>
        <sz val="10"/>
        <rFont val="Arial"/>
        <family val="2"/>
      </rPr>
      <t xml:space="preserve">t</t>
    </r>
    <r>
      <rPr>
        <vertAlign val="superscript"/>
        <sz val="10"/>
        <rFont val="Arial"/>
        <family val="2"/>
      </rPr>
      <t xml:space="preserve">d</t>
    </r>
  </si>
  <si>
    <t xml:space="preserve">inc. life-insurance assets </t>
  </si>
  <si>
    <t xml:space="preserve">inc. other assets (bonds, savings &amp; checking accounts,..)</t>
  </si>
  <si>
    <t xml:space="preserve">Table DE.6d: Composition of private wealth in Germany, 1950-2011, % of private wealth</t>
  </si>
  <si>
    <r>
      <rPr>
        <sz val="10"/>
        <rFont val="Arial"/>
        <family val="0"/>
      </rPr>
      <t xml:space="preserve">(% private wealth W</t>
    </r>
    <r>
      <rPr>
        <vertAlign val="subscript"/>
        <sz val="10"/>
        <rFont val="Arial"/>
        <family val="2"/>
      </rPr>
      <t xml:space="preserve">t</t>
    </r>
    <r>
      <rPr>
        <sz val="10"/>
        <rFont val="Arial"/>
        <family val="0"/>
      </rPr>
      <t xml:space="preserve">)</t>
    </r>
  </si>
  <si>
    <r>
      <rPr>
        <b val="true"/>
        <sz val="10"/>
        <rFont val="Arial"/>
        <family val="0"/>
      </rPr>
      <t xml:space="preserve">Non-housing tangible assets K</t>
    </r>
    <r>
      <rPr>
        <b val="true"/>
        <vertAlign val="subscript"/>
        <sz val="10"/>
        <rFont val="Arial"/>
        <family val="2"/>
      </rPr>
      <t xml:space="preserve">t</t>
    </r>
    <r>
      <rPr>
        <b val="true"/>
        <vertAlign val="superscript"/>
        <sz val="10"/>
        <rFont val="Arial"/>
        <family val="2"/>
      </rPr>
      <t xml:space="preserve">n             </t>
    </r>
    <r>
      <rPr>
        <sz val="10"/>
        <rFont val="Arial"/>
        <family val="0"/>
      </rPr>
      <t xml:space="preserve">(unincorp. business assets, land,.)</t>
    </r>
  </si>
  <si>
    <t xml:space="preserve">Table DE.6e: The structure of national wealth in Germany, 1870-2010 (decenial averages)</t>
  </si>
  <si>
    <t xml:space="preserve">% national income</t>
  </si>
  <si>
    <t xml:space="preserve">Government wealth</t>
  </si>
  <si>
    <t xml:space="preserve">Govt assets </t>
  </si>
  <si>
    <t xml:space="preserve">Govt     debt</t>
  </si>
  <si>
    <t xml:space="preserve">Net foreign assets</t>
  </si>
  <si>
    <t xml:space="preserve">Foreign assets</t>
  </si>
  <si>
    <t xml:space="preserve">Foreign liabilities</t>
  </si>
  <si>
    <t xml:space="preserve">Gov wealth / national wealth</t>
  </si>
  <si>
    <t xml:space="preserve">Foreign wealth / national wealth</t>
  </si>
  <si>
    <t xml:space="preserve">Table DE.6f: The changing nature of national wealth in Germany, 1870-2010</t>
  </si>
  <si>
    <t xml:space="preserve">Source</t>
  </si>
  <si>
    <t xml:space="preserve">National income</t>
  </si>
  <si>
    <t xml:space="preserve">incl. Agricultural land</t>
  </si>
  <si>
    <t xml:space="preserve">incl. Housing</t>
  </si>
  <si>
    <t xml:space="preserve">incl. Other domestic capital assets</t>
  </si>
  <si>
    <t xml:space="preserve">incl. Net foreign assets</t>
  </si>
  <si>
    <t xml:space="preserve">Govt assets</t>
  </si>
  <si>
    <t xml:space="preserve">Memo: Household durable goods (excluded from wealth)</t>
  </si>
  <si>
    <r>
      <rPr>
        <b val="true"/>
        <sz val="10"/>
        <rFont val="Arial"/>
        <family val="0"/>
      </rPr>
      <t xml:space="preserve">Y</t>
    </r>
    <r>
      <rPr>
        <b val="true"/>
        <vertAlign val="subscript"/>
        <sz val="10"/>
        <rFont val="Arial"/>
        <family val="2"/>
      </rPr>
      <t xml:space="preserve">t</t>
    </r>
  </si>
  <si>
    <t xml:space="preserve">Our estimate</t>
  </si>
  <si>
    <t xml:space="preserve">1910-13</t>
  </si>
  <si>
    <t xml:space="preserve">Steinmann Bücher (1909)</t>
  </si>
  <si>
    <t xml:space="preserve">Helfferich (1913)</t>
  </si>
  <si>
    <t xml:space="preserve">Stamp (1919)</t>
  </si>
  <si>
    <t xml:space="preserve">Stat. Jahrbuch 1930</t>
  </si>
  <si>
    <t xml:space="preserve">Destatis</t>
  </si>
  <si>
    <t xml:space="preserve">(% national income Y)</t>
  </si>
  <si>
    <t xml:space="preserve">Note: Current billion euros after 1950, current billion marks before. Before World War I, 1£=20.45 marks</t>
  </si>
  <si>
    <t xml:space="preserve">World War 2 destructions (% of 1939 domestic capital stock):</t>
  </si>
  <si>
    <t xml:space="preserve">Housing</t>
  </si>
  <si>
    <t xml:space="preserve">Other domestic capital</t>
  </si>
  <si>
    <t xml:space="preserve">Land</t>
  </si>
  <si>
    <t xml:space="preserve">Total</t>
  </si>
  <si>
    <t xml:space="preserve">Table DE.6g: Assets and liabilities in Eastern Germany as of 1991 and 1998</t>
  </si>
  <si>
    <t xml:space="preserve">bn DM</t>
  </si>
  <si>
    <t xml:space="preserve">bn EUR</t>
  </si>
  <si>
    <t xml:space="preserve">Households</t>
  </si>
  <si>
    <t xml:space="preserve">Gross assets</t>
  </si>
  <si>
    <t xml:space="preserve">Property assets</t>
  </si>
  <si>
    <t xml:space="preserve">Stock of durables</t>
  </si>
  <si>
    <t xml:space="preserve">Liabilities</t>
  </si>
  <si>
    <t xml:space="preserve">Building loans</t>
  </si>
  <si>
    <t xml:space="preserve">Consumer loans</t>
  </si>
  <si>
    <t xml:space="preserve">Net assets</t>
  </si>
  <si>
    <t xml:space="preserve">Excl. Durables</t>
  </si>
  <si>
    <t xml:space="preserve">Government</t>
  </si>
  <si>
    <t xml:space="preserve">Nonfinancial corporations</t>
  </si>
  <si>
    <r>
      <rPr>
        <b val="true"/>
        <sz val="12"/>
        <color rgb="FF000000"/>
        <rFont val="Arial"/>
        <family val="2"/>
      </rPr>
      <t xml:space="preserve">Net private Wealth </t>
    </r>
    <r>
      <rPr>
        <sz val="12"/>
        <color rgb="FF000000"/>
        <rFont val="Arial"/>
        <family val="2"/>
      </rPr>
      <t xml:space="preserve">(excl. durables) / national income ratio</t>
    </r>
  </si>
  <si>
    <r>
      <rPr>
        <b val="true"/>
        <sz val="12"/>
        <color rgb="FF000000"/>
        <rFont val="Arial"/>
        <family val="2"/>
      </rPr>
      <t xml:space="preserve">Net corporate wealth</t>
    </r>
    <r>
      <rPr>
        <sz val="12"/>
        <color rgb="FF000000"/>
        <rFont val="Arial"/>
        <family val="2"/>
      </rPr>
      <t xml:space="preserve"> / national income ratio</t>
    </r>
  </si>
  <si>
    <r>
      <rPr>
        <b val="true"/>
        <sz val="12"/>
        <color rgb="FF000000"/>
        <rFont val="Arial"/>
        <family val="2"/>
      </rPr>
      <t xml:space="preserve">Net public wealth</t>
    </r>
    <r>
      <rPr>
        <sz val="12"/>
        <rFont val="Arial"/>
        <family val="0"/>
      </rPr>
      <t xml:space="preserve"> / national income ratio</t>
    </r>
  </si>
  <si>
    <r>
      <rPr>
        <u val="single"/>
        <sz val="10"/>
        <color rgb="FF000000"/>
        <rFont val="Arial"/>
        <family val="0"/>
      </rPr>
      <t xml:space="preserve">Notes</t>
    </r>
    <r>
      <rPr>
        <sz val="10"/>
        <rFont val="Arial"/>
        <family val="0"/>
      </rPr>
      <t xml:space="preserve">: Households include NPISH and housing-related liabilities</t>
    </r>
  </si>
  <si>
    <r>
      <rPr>
        <u val="single"/>
        <sz val="10"/>
        <color rgb="FF000000"/>
        <rFont val="Arial"/>
        <family val="0"/>
      </rPr>
      <t xml:space="preserve">Source:</t>
    </r>
    <r>
      <rPr>
        <sz val="10"/>
        <color rgb="FF000000"/>
        <rFont val="Arial"/>
        <family val="0"/>
      </rPr>
      <t xml:space="preserve"> For households: "Changes in households' asset situation since the beginning of the nineties", Deutsche Bundesbank Monthly Report, January 1999, Table p.45</t>
    </r>
  </si>
  <si>
    <t xml:space="preserve">http://www.bundesbank.de/download/volkswirtschaft/mba/1999/199901mba_art02_chghhassets.pdf</t>
  </si>
  <si>
    <t xml:space="preserve">For Government and corporations: "Overall financial flows in 1997" (Bundesbank May 1998 Monthly Report) p. 33</t>
  </si>
  <si>
    <t xml:space="preserve">gives the 1990 assets and liabilities of East+West Germany. Subtracting the assets/liab of West Germany</t>
  </si>
  <si>
    <t xml:space="preserve">at market value from Bundesbank60 (p. 134) gives the assets/liab of East Germany</t>
  </si>
  <si>
    <t xml:space="preserve">We have checked that the two publications are fully consistent for the year 1980</t>
  </si>
  <si>
    <t xml:space="preserve">Memo: 1 eur =</t>
  </si>
  <si>
    <t xml:space="preserve">DM</t>
  </si>
  <si>
    <t xml:space="preserve">Table DE.8: Structure of national income in Germany, 1950-2011: national income vs gross domestic product</t>
  </si>
  <si>
    <t xml:space="preserve">(current billions euro)</t>
  </si>
  <si>
    <t xml:space="preserve">Net domestic product</t>
  </si>
  <si>
    <t xml:space="preserve">Net foreign factor income &amp; production taxes</t>
  </si>
  <si>
    <r>
      <rPr>
        <b val="true"/>
        <sz val="10"/>
        <rFont val="Arial"/>
        <family val="0"/>
      </rPr>
      <t xml:space="preserve">% FY</t>
    </r>
    <r>
      <rPr>
        <b val="true"/>
        <vertAlign val="subscript"/>
        <sz val="10"/>
        <rFont val="Arial"/>
        <family val="2"/>
      </rPr>
      <t xml:space="preserve">t</t>
    </r>
    <r>
      <rPr>
        <b val="true"/>
        <sz val="10"/>
        <rFont val="Arial"/>
        <family val="0"/>
      </rPr>
      <t xml:space="preserve">/Y</t>
    </r>
    <r>
      <rPr>
        <b val="true"/>
        <vertAlign val="subscript"/>
        <sz val="10"/>
        <rFont val="Arial"/>
        <family val="2"/>
      </rPr>
      <t xml:space="preserve">t</t>
    </r>
  </si>
  <si>
    <r>
      <rPr>
        <sz val="10"/>
        <rFont val="Arial"/>
        <family val="0"/>
      </rPr>
      <t xml:space="preserve">including net foreign capital income FY</t>
    </r>
    <r>
      <rPr>
        <vertAlign val="subscript"/>
        <sz val="10"/>
        <rFont val="Arial"/>
        <family val="2"/>
      </rPr>
      <t xml:space="preserve">Kt</t>
    </r>
    <r>
      <rPr>
        <sz val="10"/>
        <rFont val="Arial"/>
        <family val="0"/>
      </rPr>
      <t xml:space="preserve"> (% Y</t>
    </r>
    <r>
      <rPr>
        <vertAlign val="subscript"/>
        <sz val="10"/>
        <rFont val="Arial"/>
        <family val="2"/>
      </rPr>
      <t xml:space="preserve">t</t>
    </r>
    <r>
      <rPr>
        <sz val="10"/>
        <rFont val="Arial"/>
        <family val="0"/>
      </rPr>
      <t xml:space="preserve">)</t>
    </r>
  </si>
  <si>
    <r>
      <rPr>
        <i val="true"/>
        <sz val="9"/>
        <rFont val="Arial"/>
        <family val="2"/>
      </rPr>
      <t xml:space="preserve">including gross capital income inflow (% Y</t>
    </r>
    <r>
      <rPr>
        <i val="true"/>
        <vertAlign val="subscript"/>
        <sz val="9"/>
        <rFont val="Arial"/>
        <family val="2"/>
      </rPr>
      <t xml:space="preserve">t</t>
    </r>
    <r>
      <rPr>
        <i val="true"/>
        <sz val="9"/>
        <rFont val="Arial"/>
        <family val="2"/>
      </rPr>
      <t xml:space="preserve">)</t>
    </r>
  </si>
  <si>
    <r>
      <rPr>
        <i val="true"/>
        <sz val="9"/>
        <rFont val="Arial"/>
        <family val="2"/>
      </rPr>
      <t xml:space="preserve">including gross capital income outflow     (% Y</t>
    </r>
    <r>
      <rPr>
        <i val="true"/>
        <vertAlign val="subscript"/>
        <sz val="9"/>
        <rFont val="Arial"/>
        <family val="2"/>
      </rPr>
      <t xml:space="preserve">t</t>
    </r>
    <r>
      <rPr>
        <i val="true"/>
        <sz val="9"/>
        <rFont val="Arial"/>
        <family val="2"/>
      </rPr>
      <t xml:space="preserve">)</t>
    </r>
  </si>
  <si>
    <r>
      <rPr>
        <sz val="10"/>
        <rFont val="Arial"/>
        <family val="0"/>
      </rPr>
      <t xml:space="preserve">including net foreign labor income FY</t>
    </r>
    <r>
      <rPr>
        <vertAlign val="subscript"/>
        <sz val="10"/>
        <rFont val="Arial"/>
        <family val="2"/>
      </rPr>
      <t xml:space="preserve">Lt</t>
    </r>
    <r>
      <rPr>
        <sz val="10"/>
        <rFont val="Arial"/>
        <family val="0"/>
      </rPr>
      <t xml:space="preserve"> (% Y</t>
    </r>
    <r>
      <rPr>
        <vertAlign val="subscript"/>
        <sz val="10"/>
        <rFont val="Arial"/>
        <family val="2"/>
      </rPr>
      <t xml:space="preserve">t</t>
    </r>
    <r>
      <rPr>
        <sz val="10"/>
        <rFont val="Arial"/>
        <family val="0"/>
      </rPr>
      <t xml:space="preserve">)</t>
    </r>
  </si>
  <si>
    <r>
      <rPr>
        <sz val="10"/>
        <rFont val="Arial"/>
        <family val="0"/>
      </rPr>
      <t xml:space="preserve">including net foreign production taxes (% Y</t>
    </r>
    <r>
      <rPr>
        <vertAlign val="subscript"/>
        <sz val="10"/>
        <rFont val="Arial"/>
        <family val="2"/>
      </rPr>
      <t xml:space="preserve">t</t>
    </r>
    <r>
      <rPr>
        <sz val="10"/>
        <rFont val="Arial"/>
        <family val="0"/>
      </rPr>
      <t xml:space="preserve">)</t>
    </r>
  </si>
  <si>
    <r>
      <rPr>
        <i val="true"/>
        <sz val="10"/>
        <rFont val="Arial"/>
        <family val="0"/>
      </rPr>
      <t xml:space="preserve">memo: net foreign current transfers FT</t>
    </r>
    <r>
      <rPr>
        <i val="true"/>
        <vertAlign val="subscript"/>
        <sz val="10"/>
        <rFont val="Arial"/>
        <family val="2"/>
      </rPr>
      <t xml:space="preserve">t</t>
    </r>
    <r>
      <rPr>
        <i val="true"/>
        <sz val="10"/>
        <rFont val="Arial"/>
        <family val="0"/>
      </rPr>
      <t xml:space="preserve"> (% Y</t>
    </r>
    <r>
      <rPr>
        <i val="true"/>
        <vertAlign val="subscript"/>
        <sz val="10"/>
        <rFont val="Arial"/>
        <family val="2"/>
      </rPr>
      <t xml:space="preserve">t</t>
    </r>
    <r>
      <rPr>
        <i val="true"/>
        <sz val="10"/>
        <rFont val="Arial"/>
        <family val="0"/>
      </rPr>
      <t xml:space="preserve">)</t>
    </r>
  </si>
  <si>
    <r>
      <rPr>
        <i val="true"/>
        <sz val="10"/>
        <rFont val="Arial"/>
        <family val="0"/>
      </rPr>
      <t xml:space="preserve">memo: net foreign capital transfers (% Y</t>
    </r>
    <r>
      <rPr>
        <i val="true"/>
        <vertAlign val="subscript"/>
        <sz val="10"/>
        <rFont val="Arial"/>
        <family val="2"/>
      </rPr>
      <t xml:space="preserve">t</t>
    </r>
    <r>
      <rPr>
        <i val="true"/>
        <sz val="10"/>
        <rFont val="Arial"/>
        <family val="0"/>
      </rPr>
      <t xml:space="preserve">)</t>
    </r>
  </si>
  <si>
    <t xml:space="preserve">Gross domestic product</t>
  </si>
  <si>
    <t xml:space="preserve">Capital depreciat. (CFC)</t>
  </si>
  <si>
    <r>
      <rPr>
        <b val="true"/>
        <sz val="10"/>
        <rFont val="Arial"/>
        <family val="0"/>
      </rPr>
      <t xml:space="preserve">% KD</t>
    </r>
    <r>
      <rPr>
        <b val="true"/>
        <vertAlign val="subscript"/>
        <sz val="10"/>
        <rFont val="Arial"/>
        <family val="2"/>
      </rPr>
      <t xml:space="preserve">t</t>
    </r>
    <r>
      <rPr>
        <b val="true"/>
        <sz val="10"/>
        <rFont val="Arial"/>
        <family val="0"/>
      </rPr>
      <t xml:space="preserve">/GDP</t>
    </r>
    <r>
      <rPr>
        <b val="true"/>
        <vertAlign val="subscript"/>
        <sz val="10"/>
        <rFont val="Arial"/>
        <family val="2"/>
      </rPr>
      <t xml:space="preserve">t</t>
    </r>
  </si>
  <si>
    <r>
      <rPr>
        <b val="true"/>
        <sz val="10"/>
        <rFont val="Arial"/>
        <family val="0"/>
      </rPr>
      <t xml:space="preserve">%    Y</t>
    </r>
    <r>
      <rPr>
        <b val="true"/>
        <vertAlign val="subscript"/>
        <sz val="10"/>
        <rFont val="Arial"/>
        <family val="2"/>
      </rPr>
      <t xml:space="preserve">t</t>
    </r>
    <r>
      <rPr>
        <b val="true"/>
        <sz val="10"/>
        <rFont val="Arial"/>
        <family val="0"/>
      </rPr>
      <t xml:space="preserve">/GDP</t>
    </r>
    <r>
      <rPr>
        <b val="true"/>
        <vertAlign val="subscript"/>
        <sz val="10"/>
        <rFont val="Arial"/>
        <family val="2"/>
      </rPr>
      <t xml:space="preserve">t</t>
    </r>
  </si>
  <si>
    <r>
      <rPr>
        <b val="true"/>
        <sz val="10"/>
        <rFont val="Arial"/>
        <family val="0"/>
      </rPr>
      <t xml:space="preserve">Y</t>
    </r>
    <r>
      <rPr>
        <b val="true"/>
        <vertAlign val="subscript"/>
        <sz val="10"/>
        <rFont val="Arial"/>
        <family val="2"/>
      </rPr>
      <t xml:space="preserve">t</t>
    </r>
    <r>
      <rPr>
        <b val="true"/>
        <sz val="10"/>
        <rFont val="Arial"/>
        <family val="0"/>
      </rPr>
      <t xml:space="preserve">        </t>
    </r>
  </si>
  <si>
    <r>
      <rPr>
        <sz val="10"/>
        <rFont val="Arial"/>
        <family val="0"/>
      </rPr>
      <t xml:space="preserve">Y</t>
    </r>
    <r>
      <rPr>
        <vertAlign val="subscript"/>
        <sz val="10"/>
        <rFont val="Arial"/>
        <family val="2"/>
      </rPr>
      <t xml:space="preserve">pt</t>
    </r>
    <r>
      <rPr>
        <sz val="10"/>
        <rFont val="Arial"/>
        <family val="0"/>
      </rPr>
      <t xml:space="preserve"> </t>
    </r>
  </si>
  <si>
    <r>
      <rPr>
        <sz val="10"/>
        <rFont val="Arial"/>
        <family val="0"/>
      </rPr>
      <t xml:space="preserve">FY</t>
    </r>
    <r>
      <rPr>
        <vertAlign val="subscript"/>
        <sz val="10"/>
        <rFont val="Arial"/>
        <family val="2"/>
      </rPr>
      <t xml:space="preserve">t</t>
    </r>
  </si>
  <si>
    <r>
      <rPr>
        <sz val="10"/>
        <rFont val="Arial"/>
        <family val="0"/>
      </rPr>
      <t xml:space="preserve">GDP</t>
    </r>
    <r>
      <rPr>
        <vertAlign val="subscript"/>
        <sz val="10"/>
        <rFont val="Arial"/>
        <family val="2"/>
      </rPr>
      <t xml:space="preserve">t</t>
    </r>
  </si>
  <si>
    <r>
      <rPr>
        <sz val="10"/>
        <rFont val="Arial"/>
        <family val="0"/>
      </rPr>
      <t xml:space="preserve">KD</t>
    </r>
    <r>
      <rPr>
        <vertAlign val="subscript"/>
        <sz val="10"/>
        <rFont val="Arial"/>
        <family val="2"/>
      </rPr>
      <t xml:space="preserve">t</t>
    </r>
  </si>
  <si>
    <t xml:space="preserve">Table DE.9: Structure of national income in Germany, 1950-2011: decomposition by production sectors</t>
  </si>
  <si>
    <r>
      <rPr>
        <b val="true"/>
        <sz val="10"/>
        <rFont val="Arial"/>
        <family val="0"/>
      </rPr>
      <t xml:space="preserve">% national income Y</t>
    </r>
    <r>
      <rPr>
        <b val="true"/>
        <vertAlign val="subscript"/>
        <sz val="10"/>
        <rFont val="Arial"/>
        <family val="2"/>
      </rPr>
      <t xml:space="preserve">t</t>
    </r>
  </si>
  <si>
    <r>
      <rPr>
        <b val="true"/>
        <sz val="10"/>
        <rFont val="Arial"/>
        <family val="0"/>
      </rPr>
      <t xml:space="preserve">% factor-price national income Y</t>
    </r>
    <r>
      <rPr>
        <b val="true"/>
        <vertAlign val="subscript"/>
        <sz val="10"/>
        <rFont val="Arial"/>
        <family val="2"/>
      </rPr>
      <t xml:space="preserve">t </t>
    </r>
    <r>
      <rPr>
        <b val="true"/>
        <sz val="10"/>
        <rFont val="Arial"/>
        <family val="0"/>
      </rPr>
      <t xml:space="preserve">- T</t>
    </r>
    <r>
      <rPr>
        <b val="true"/>
        <vertAlign val="subscript"/>
        <sz val="10"/>
        <rFont val="Arial"/>
        <family val="2"/>
      </rPr>
      <t xml:space="preserve">pt</t>
    </r>
  </si>
  <si>
    <t xml:space="preserve">Private sector</t>
  </si>
  <si>
    <t xml:space="preserve">Housing sector</t>
  </si>
  <si>
    <t xml:space="preserve">Memo: Rents gross of mortgage interests</t>
  </si>
  <si>
    <t xml:space="preserve">Noncorporate businesses</t>
  </si>
  <si>
    <t xml:space="preserve">Corporate sector</t>
  </si>
  <si>
    <t xml:space="preserve">Govt sector</t>
  </si>
  <si>
    <t xml:space="preserve">Foreign sector</t>
  </si>
  <si>
    <t xml:space="preserve">Production taxes</t>
  </si>
  <si>
    <t xml:space="preserve">memo: Production taxes, including net production taxes received from abroad</t>
  </si>
  <si>
    <t xml:space="preserve">Production tax rate</t>
  </si>
  <si>
    <r>
      <rPr>
        <sz val="10"/>
        <rFont val="Arial"/>
        <family val="0"/>
      </rPr>
      <t xml:space="preserve">Y</t>
    </r>
    <r>
      <rPr>
        <vertAlign val="subscript"/>
        <sz val="10"/>
        <rFont val="Arial"/>
        <family val="2"/>
      </rPr>
      <t xml:space="preserve">ht</t>
    </r>
  </si>
  <si>
    <r>
      <rPr>
        <sz val="10"/>
        <rFont val="Arial"/>
        <family val="0"/>
      </rPr>
      <t xml:space="preserve">Y</t>
    </r>
    <r>
      <rPr>
        <vertAlign val="subscript"/>
        <sz val="10"/>
        <rFont val="Arial"/>
        <family val="2"/>
      </rPr>
      <t xml:space="preserve">ht</t>
    </r>
    <r>
      <rPr>
        <vertAlign val="superscript"/>
        <sz val="10"/>
        <rFont val="Arial"/>
        <family val="2"/>
      </rPr>
      <t xml:space="preserve">*</t>
    </r>
  </si>
  <si>
    <r>
      <rPr>
        <sz val="10"/>
        <rFont val="Arial"/>
        <family val="0"/>
      </rPr>
      <t xml:space="preserve">Y</t>
    </r>
    <r>
      <rPr>
        <vertAlign val="subscript"/>
        <sz val="10"/>
        <rFont val="Arial"/>
        <family val="2"/>
      </rPr>
      <t xml:space="preserve">set</t>
    </r>
  </si>
  <si>
    <r>
      <rPr>
        <sz val="10"/>
        <rFont val="Arial"/>
        <family val="0"/>
      </rPr>
      <t xml:space="preserve">Y</t>
    </r>
    <r>
      <rPr>
        <vertAlign val="subscript"/>
        <sz val="10"/>
        <rFont val="Arial"/>
        <family val="2"/>
      </rPr>
      <t xml:space="preserve">ct</t>
    </r>
  </si>
  <si>
    <r>
      <rPr>
        <sz val="10"/>
        <rFont val="Arial"/>
        <family val="0"/>
      </rPr>
      <t xml:space="preserve">Y</t>
    </r>
    <r>
      <rPr>
        <vertAlign val="subscript"/>
        <sz val="10"/>
        <rFont val="Arial"/>
        <family val="2"/>
      </rPr>
      <t xml:space="preserve">gt</t>
    </r>
  </si>
  <si>
    <r>
      <rPr>
        <sz val="10"/>
        <rFont val="Arial"/>
        <family val="0"/>
      </rPr>
      <t xml:space="preserve">T</t>
    </r>
    <r>
      <rPr>
        <vertAlign val="subscript"/>
        <sz val="10"/>
        <rFont val="Arial"/>
        <family val="2"/>
      </rPr>
      <t xml:space="preserve">pt</t>
    </r>
  </si>
  <si>
    <t xml:space="preserve">Table DE.10: Structure of national income in Germany, 1980-2011: profits &amp; wages in the corporate sector</t>
  </si>
  <si>
    <r>
      <rPr>
        <b val="true"/>
        <sz val="10"/>
        <rFont val="Arial"/>
        <family val="0"/>
      </rPr>
      <t xml:space="preserve">% net corporate product Y</t>
    </r>
    <r>
      <rPr>
        <b val="true"/>
        <vertAlign val="subscript"/>
        <sz val="10"/>
        <rFont val="Arial"/>
        <family val="2"/>
      </rPr>
      <t xml:space="preserve">ct</t>
    </r>
  </si>
  <si>
    <r>
      <rPr>
        <b val="true"/>
        <sz val="10"/>
        <rFont val="Arial"/>
        <family val="0"/>
      </rPr>
      <t xml:space="preserve">Wage    share   </t>
    </r>
    <r>
      <rPr>
        <sz val="8"/>
        <rFont val="Arial"/>
        <family val="2"/>
      </rPr>
      <t xml:space="preserve">(wages &amp; social contributions)</t>
    </r>
  </si>
  <si>
    <r>
      <rPr>
        <b val="true"/>
        <sz val="10"/>
        <rFont val="Arial"/>
        <family val="0"/>
      </rPr>
      <t xml:space="preserve">Profit share    </t>
    </r>
    <r>
      <rPr>
        <sz val="8"/>
        <rFont val="Arial"/>
        <family val="2"/>
      </rPr>
      <t xml:space="preserve">(net profits)</t>
    </r>
  </si>
  <si>
    <t xml:space="preserve">including corporate income taxes</t>
  </si>
  <si>
    <t xml:space="preserve">including distributed profits (interest &amp; dividend payments)</t>
  </si>
  <si>
    <t xml:space="preserve">including retained earnings</t>
  </si>
  <si>
    <t xml:space="preserve">including other corporate transfers</t>
  </si>
  <si>
    <t xml:space="preserve">memo: Wage share in gross corporate product</t>
  </si>
  <si>
    <t xml:space="preserve">memo: Gross profit share in gross corporate product</t>
  </si>
  <si>
    <t xml:space="preserve"> Corporate wages &amp; social contribut.</t>
  </si>
  <si>
    <t xml:space="preserve">Net corporate profits</t>
  </si>
  <si>
    <t xml:space="preserve">including distributed profits (net interest &amp; dividend)</t>
  </si>
  <si>
    <r>
      <rPr>
        <b val="true"/>
        <sz val="10"/>
        <rFont val="Arial"/>
        <family val="0"/>
      </rPr>
      <t xml:space="preserve">Y</t>
    </r>
    <r>
      <rPr>
        <b val="true"/>
        <vertAlign val="subscript"/>
        <sz val="10"/>
        <rFont val="Arial"/>
        <family val="2"/>
      </rPr>
      <t xml:space="preserve">Lct</t>
    </r>
  </si>
  <si>
    <r>
      <rPr>
        <b val="true"/>
        <sz val="10"/>
        <rFont val="Arial"/>
        <family val="0"/>
      </rPr>
      <t xml:space="preserve">Y</t>
    </r>
    <r>
      <rPr>
        <b val="true"/>
        <vertAlign val="subscript"/>
        <sz val="10"/>
        <rFont val="Arial"/>
        <family val="2"/>
      </rPr>
      <t xml:space="preserve">Kct</t>
    </r>
  </si>
  <si>
    <t xml:space="preserve">Table DE.11a: Structure of national income in Germany, 1950-2010: capital &amp; labor shares in national income</t>
  </si>
  <si>
    <r>
      <rPr>
        <sz val="10"/>
        <rFont val="Arial"/>
        <family val="0"/>
      </rPr>
      <t xml:space="preserve">% national income Y</t>
    </r>
    <r>
      <rPr>
        <vertAlign val="subscript"/>
        <sz val="10"/>
        <rFont val="Arial"/>
        <family val="2"/>
      </rPr>
      <t xml:space="preserve">t</t>
    </r>
  </si>
  <si>
    <t xml:space="preserve">Total capital income</t>
  </si>
  <si>
    <t xml:space="preserve">including corporate capital income (net corporate profits)</t>
  </si>
  <si>
    <t xml:space="preserve">including housing capital income (net rents)</t>
  </si>
  <si>
    <t xml:space="preserve">including capital share of self-employmt net income </t>
  </si>
  <si>
    <t xml:space="preserve">including net foreign capital income</t>
  </si>
  <si>
    <t xml:space="preserve">plus: net govt interest payments</t>
  </si>
  <si>
    <t xml:space="preserve">memo: personal interest payments </t>
  </si>
  <si>
    <t xml:space="preserve">Total labor income</t>
  </si>
  <si>
    <t xml:space="preserve">including labor income paid by corporations &amp; housheolds</t>
  </si>
  <si>
    <t xml:space="preserve">including labor income paid by govt </t>
  </si>
  <si>
    <t xml:space="preserve">including labor share of self-employmt net income </t>
  </si>
  <si>
    <t xml:space="preserve">including net foreign labor income </t>
  </si>
  <si>
    <t xml:space="preserve">EU Commission 2007</t>
  </si>
  <si>
    <t xml:space="preserve">Bentolila &amp; Saint Paul</t>
  </si>
  <si>
    <r>
      <rPr>
        <b val="true"/>
        <sz val="10"/>
        <rFont val="Arial"/>
        <family val="0"/>
      </rPr>
      <t xml:space="preserve">Y</t>
    </r>
    <r>
      <rPr>
        <b val="true"/>
        <vertAlign val="subscript"/>
        <sz val="10"/>
        <rFont val="Arial"/>
        <family val="2"/>
      </rPr>
      <t xml:space="preserve">Kt</t>
    </r>
    <r>
      <rPr>
        <b val="true"/>
        <sz val="10"/>
        <rFont val="Arial"/>
        <family val="0"/>
      </rPr>
      <t xml:space="preserve">*</t>
    </r>
  </si>
  <si>
    <r>
      <rPr>
        <sz val="10"/>
        <rFont val="Arial"/>
        <family val="0"/>
      </rPr>
      <t xml:space="preserve">Y</t>
    </r>
    <r>
      <rPr>
        <vertAlign val="subscript"/>
        <sz val="10"/>
        <rFont val="Arial"/>
        <family val="2"/>
      </rPr>
      <t xml:space="preserve">Kct</t>
    </r>
  </si>
  <si>
    <r>
      <rPr>
        <sz val="10"/>
        <rFont val="Arial"/>
        <family val="0"/>
      </rPr>
      <t xml:space="preserve">Y</t>
    </r>
    <r>
      <rPr>
        <vertAlign val="subscript"/>
        <sz val="10"/>
        <rFont val="Arial"/>
        <family val="2"/>
      </rPr>
      <t xml:space="preserve">Kset</t>
    </r>
  </si>
  <si>
    <r>
      <rPr>
        <sz val="10"/>
        <rFont val="Arial"/>
        <family val="0"/>
      </rPr>
      <t xml:space="preserve">FY</t>
    </r>
    <r>
      <rPr>
        <vertAlign val="subscript"/>
        <sz val="10"/>
        <rFont val="Arial"/>
        <family val="2"/>
      </rPr>
      <t xml:space="preserve">Kt</t>
    </r>
  </si>
  <si>
    <r>
      <rPr>
        <sz val="10"/>
        <rFont val="Arial"/>
        <family val="0"/>
      </rPr>
      <t xml:space="preserve">Y</t>
    </r>
    <r>
      <rPr>
        <vertAlign val="subscript"/>
        <sz val="10"/>
        <rFont val="Arial"/>
        <family val="2"/>
      </rPr>
      <t xml:space="preserve">Kgt</t>
    </r>
  </si>
  <si>
    <r>
      <rPr>
        <b val="true"/>
        <sz val="10"/>
        <rFont val="Arial"/>
        <family val="0"/>
      </rPr>
      <t xml:space="preserve">Y</t>
    </r>
    <r>
      <rPr>
        <b val="true"/>
        <vertAlign val="subscript"/>
        <sz val="10"/>
        <rFont val="Arial"/>
        <family val="2"/>
      </rPr>
      <t xml:space="preserve">Lt</t>
    </r>
  </si>
  <si>
    <r>
      <rPr>
        <sz val="10"/>
        <rFont val="Arial"/>
        <family val="0"/>
      </rPr>
      <t xml:space="preserve">Y</t>
    </r>
    <r>
      <rPr>
        <vertAlign val="subscript"/>
        <sz val="10"/>
        <rFont val="Arial"/>
        <family val="2"/>
      </rPr>
      <t xml:space="preserve">Lct</t>
    </r>
  </si>
  <si>
    <r>
      <rPr>
        <sz val="10"/>
        <rFont val="Arial"/>
        <family val="0"/>
      </rPr>
      <t xml:space="preserve">Y</t>
    </r>
    <r>
      <rPr>
        <vertAlign val="subscript"/>
        <sz val="10"/>
        <rFont val="Arial"/>
        <family val="2"/>
      </rPr>
      <t xml:space="preserve">Lset</t>
    </r>
  </si>
  <si>
    <r>
      <rPr>
        <sz val="10"/>
        <rFont val="Arial"/>
        <family val="0"/>
      </rPr>
      <t xml:space="preserve">FY</t>
    </r>
    <r>
      <rPr>
        <vertAlign val="subscript"/>
        <sz val="10"/>
        <rFont val="Arial"/>
        <family val="2"/>
      </rPr>
      <t xml:space="preserve">Lt</t>
    </r>
  </si>
  <si>
    <t xml:space="preserve">(Total compensation of employees paid + imputed wage of self employed)/ GDP at market price</t>
  </si>
  <si>
    <t xml:space="preserve">(Total compensation of employees paid + imputed wage of self employed)/ GDP at factor cost</t>
  </si>
  <si>
    <t xml:space="preserve">Table DE.11b: Structure of national income in Germany, 1950-2011: capital &amp; labor shares in factor-price national income</t>
  </si>
  <si>
    <r>
      <rPr>
        <sz val="10"/>
        <rFont val="Arial"/>
        <family val="0"/>
      </rPr>
      <t xml:space="preserve">% factor-price national  income Y</t>
    </r>
    <r>
      <rPr>
        <vertAlign val="subscript"/>
        <sz val="10"/>
        <rFont val="Arial"/>
        <family val="2"/>
      </rPr>
      <t xml:space="preserve">t</t>
    </r>
    <r>
      <rPr>
        <sz val="10"/>
        <rFont val="Arial"/>
        <family val="0"/>
      </rPr>
      <t xml:space="preserve"> - T</t>
    </r>
    <r>
      <rPr>
        <vertAlign val="subscript"/>
        <sz val="10"/>
        <rFont val="Arial"/>
        <family val="2"/>
      </rPr>
      <t xml:space="preserve">pt</t>
    </r>
  </si>
  <si>
    <t xml:space="preserve">Total labour income</t>
  </si>
  <si>
    <t xml:space="preserve">including labor income paid by corporati.</t>
  </si>
  <si>
    <r>
      <rPr>
        <b val="true"/>
        <sz val="10"/>
        <rFont val="Arial"/>
        <family val="0"/>
      </rPr>
      <t xml:space="preserve">Capital share</t>
    </r>
    <r>
      <rPr>
        <sz val="10"/>
        <rFont val="Arial"/>
        <family val="0"/>
      </rPr>
      <t xml:space="preserve"> (excl. govt interest)</t>
    </r>
  </si>
  <si>
    <t xml:space="preserve">Labour share</t>
  </si>
  <si>
    <r>
      <rPr>
        <b val="true"/>
        <sz val="10"/>
        <rFont val="Arial"/>
        <family val="0"/>
      </rPr>
      <t xml:space="preserve">Y</t>
    </r>
    <r>
      <rPr>
        <b val="true"/>
        <vertAlign val="subscript"/>
        <sz val="10"/>
        <rFont val="Arial"/>
        <family val="2"/>
      </rPr>
      <t xml:space="preserve">Kt</t>
    </r>
    <r>
      <rPr>
        <b val="true"/>
        <sz val="10"/>
        <rFont val="Arial"/>
        <family val="0"/>
      </rPr>
      <t xml:space="preserve"> </t>
    </r>
  </si>
  <si>
    <t xml:space="preserve">Table DE.12: Structure of national income in Germany, 1950-2010: disposable income &amp; savings</t>
  </si>
  <si>
    <r>
      <rPr>
        <b val="true"/>
        <sz val="10"/>
        <rFont val="Arial"/>
        <family val="0"/>
      </rPr>
      <t xml:space="preserve">% disposable income Y</t>
    </r>
    <r>
      <rPr>
        <b val="true"/>
        <vertAlign val="subscript"/>
        <sz val="10"/>
        <rFont val="Arial"/>
        <family val="2"/>
      </rPr>
      <t xml:space="preserve">dt</t>
    </r>
  </si>
  <si>
    <r>
      <rPr>
        <b val="true"/>
        <sz val="10"/>
        <rFont val="Arial Narrow"/>
        <family val="2"/>
      </rPr>
      <t xml:space="preserve">Disposable income Y</t>
    </r>
    <r>
      <rPr>
        <b val="true"/>
        <vertAlign val="subscript"/>
        <sz val="10"/>
        <rFont val="Arial Narrow"/>
        <family val="0"/>
      </rPr>
      <t xml:space="preserve">dt</t>
    </r>
    <r>
      <rPr>
        <b val="true"/>
        <sz val="10"/>
        <rFont val="Arial Narrow"/>
        <family val="2"/>
      </rPr>
      <t xml:space="preserve"> = national income - taxes + replacement income + net govt interest</t>
    </r>
  </si>
  <si>
    <t xml:space="preserve">incl. after-tax capital income</t>
  </si>
  <si>
    <t xml:space="preserve">incl. after-tax labor income</t>
  </si>
  <si>
    <t xml:space="preserve">incl.  after-tax replac. income</t>
  </si>
  <si>
    <r>
      <rPr>
        <b val="true"/>
        <sz val="10"/>
        <rFont val="Arial Narrow"/>
        <family val="2"/>
      </rPr>
      <t xml:space="preserve">Extended disposable income = disposable income Y</t>
    </r>
    <r>
      <rPr>
        <b val="true"/>
        <vertAlign val="subscript"/>
        <sz val="10"/>
        <rFont val="Arial Narrow"/>
        <family val="0"/>
      </rPr>
      <t xml:space="preserve">dt</t>
    </r>
    <r>
      <rPr>
        <b val="true"/>
        <sz val="10"/>
        <rFont val="Arial Narrow"/>
        <family val="2"/>
      </rPr>
      <t xml:space="preserve"> + pure transfers</t>
    </r>
  </si>
  <si>
    <t xml:space="preserve">memo: after-tax capital income excl. retained earnings</t>
  </si>
  <si>
    <t xml:space="preserve">memo: corporate savings</t>
  </si>
  <si>
    <t xml:space="preserve">Personal savings</t>
  </si>
  <si>
    <r>
      <rPr>
        <b val="true"/>
        <sz val="10"/>
        <rFont val="Arial"/>
        <family val="0"/>
      </rPr>
      <t xml:space="preserve">Private savings </t>
    </r>
    <r>
      <rPr>
        <sz val="10"/>
        <rFont val="Arial"/>
        <family val="0"/>
      </rPr>
      <t xml:space="preserve">(personal savings + retained earnings)</t>
    </r>
  </si>
  <si>
    <t xml:space="preserve">Memo: private savings excluding capital transfers</t>
  </si>
  <si>
    <t xml:space="preserve">Disposable income = national income - taxes + replacement income + net govt interest</t>
  </si>
  <si>
    <t xml:space="preserve">memo: retained earnings</t>
  </si>
  <si>
    <r>
      <rPr>
        <sz val="10"/>
        <rFont val="Arial"/>
        <family val="0"/>
      </rPr>
      <t xml:space="preserve">S</t>
    </r>
    <r>
      <rPr>
        <vertAlign val="subscript"/>
        <sz val="10"/>
        <rFont val="Arial"/>
        <family val="2"/>
      </rPr>
      <t xml:space="preserve">0t</t>
    </r>
    <r>
      <rPr>
        <sz val="10"/>
        <rFont val="Arial"/>
        <family val="0"/>
      </rPr>
      <t xml:space="preserve"> </t>
    </r>
  </si>
  <si>
    <r>
      <rPr>
        <b val="true"/>
        <sz val="10"/>
        <rFont val="Arial"/>
        <family val="0"/>
      </rPr>
      <t xml:space="preserve">S</t>
    </r>
    <r>
      <rPr>
        <b val="true"/>
        <vertAlign val="subscript"/>
        <sz val="10"/>
        <rFont val="Arial"/>
        <family val="2"/>
      </rPr>
      <t xml:space="preserve">t</t>
    </r>
    <r>
      <rPr>
        <b val="true"/>
        <sz val="10"/>
        <rFont val="Arial"/>
        <family val="0"/>
      </rPr>
      <t xml:space="preserve"> </t>
    </r>
  </si>
  <si>
    <t xml:space="preserve">Table DE12b: Structure of national income in Germany, 1870-2010: savings, investment and external balance</t>
  </si>
  <si>
    <t xml:space="preserve">% national income Y</t>
  </si>
  <si>
    <t xml:space="preserve">National disposable income Y + FT = C + S = C + I + FI</t>
  </si>
  <si>
    <t xml:space="preserve">Current external balance FI = X-M + FY + FT</t>
  </si>
  <si>
    <t xml:space="preserve">Final consumption expenditure</t>
  </si>
  <si>
    <t xml:space="preserve">incl. household consumption expenditure</t>
  </si>
  <si>
    <t xml:space="preserve">incl. government consumption expenditure</t>
  </si>
  <si>
    <t xml:space="preserve">Net national savings</t>
  </si>
  <si>
    <t xml:space="preserve">incl. domestic investment             (net capital formation)</t>
  </si>
  <si>
    <t xml:space="preserve">incl. foreign investment  (current external balance)</t>
  </si>
  <si>
    <t xml:space="preserve">Net exports</t>
  </si>
  <si>
    <t xml:space="preserve"> Exports</t>
  </si>
  <si>
    <t xml:space="preserve">Imports</t>
  </si>
  <si>
    <t xml:space="preserve">Net foreign income</t>
  </si>
  <si>
    <t xml:space="preserve">Net foreign taxes &amp; transfers</t>
  </si>
  <si>
    <t xml:space="preserve">Discrepancy expenditure/income approach</t>
  </si>
  <si>
    <t xml:space="preserve">C</t>
  </si>
  <si>
    <t xml:space="preserve">S</t>
  </si>
  <si>
    <t xml:space="preserve">I</t>
  </si>
  <si>
    <t xml:space="preserve">FI</t>
  </si>
  <si>
    <t xml:space="preserve">X-M</t>
  </si>
  <si>
    <t xml:space="preserve">X</t>
  </si>
  <si>
    <t xml:space="preserve">M</t>
  </si>
  <si>
    <t xml:space="preserve">FY</t>
  </si>
  <si>
    <t xml:space="preserve">FT</t>
  </si>
  <si>
    <t xml:space="preserve">Table DE12c: Structure of national income in Germany, 1870-2010: private vs government saving, investment, and depreciation</t>
  </si>
  <si>
    <t xml:space="preserve">[21]</t>
  </si>
  <si>
    <t xml:space="preserve">Decomposition of saving flows</t>
  </si>
  <si>
    <t xml:space="preserve">Decomposition of domestic investment</t>
  </si>
  <si>
    <t xml:space="preserve">Decomposition of depreciation</t>
  </si>
  <si>
    <t xml:space="preserve">Decomposition of net lending/borrowing (capital account)</t>
  </si>
  <si>
    <t xml:space="preserve">Net national saving</t>
  </si>
  <si>
    <t xml:space="preserve">Private saving (personal + corporate)</t>
  </si>
  <si>
    <t xml:space="preserve">incl. personal (household) savings</t>
  </si>
  <si>
    <t xml:space="preserve">incl. corporate saving</t>
  </si>
  <si>
    <t xml:space="preserve">Domestic investment (net capital formation)</t>
  </si>
  <si>
    <t xml:space="preserve">Private investment (personal + corporate)</t>
  </si>
  <si>
    <t xml:space="preserve">incl. personal (household) investment</t>
  </si>
  <si>
    <t xml:space="preserve">incl. corporate investment</t>
  </si>
  <si>
    <t xml:space="preserve">Domestic depreciation</t>
  </si>
  <si>
    <t xml:space="preserve">Private depreciation (personal + corporate)</t>
  </si>
  <si>
    <t xml:space="preserve">incl. personal (household &amp; NPISH) depreciation</t>
  </si>
  <si>
    <t xml:space="preserve">incl. Corporate depreciation</t>
  </si>
  <si>
    <t xml:space="preserve">Government depreciation</t>
  </si>
  <si>
    <t xml:space="preserve">Net national lending</t>
  </si>
  <si>
    <t xml:space="preserve">Net private lending</t>
  </si>
  <si>
    <t xml:space="preserve">incl. personal (household &amp; NPISH) lending</t>
  </si>
  <si>
    <t xml:space="preserve">incl. corporations' lending</t>
  </si>
  <si>
    <t xml:space="preserve">Government lending</t>
  </si>
  <si>
    <t xml:space="preserve">Discrepency savings</t>
  </si>
  <si>
    <t xml:space="preserve">Discrepency investment</t>
  </si>
  <si>
    <t xml:space="preserve">Discrepancy depreciation</t>
  </si>
  <si>
    <t xml:space="preserve">Discrepancy national net lending</t>
  </si>
  <si>
    <t xml:space="preserve">KD</t>
  </si>
  <si>
    <t xml:space="preserve">Table DE.13: Structure of national income in Germany, 1950-2010: taxes &amp; transfers</t>
  </si>
  <si>
    <r>
      <rPr>
        <b val="true"/>
        <sz val="10"/>
        <rFont val="Arial"/>
        <family val="0"/>
      </rPr>
      <t xml:space="preserve"> Tax revenues (% national income Y</t>
    </r>
    <r>
      <rPr>
        <b val="true"/>
        <vertAlign val="subscript"/>
        <sz val="10"/>
        <rFont val="Arial"/>
        <family val="2"/>
      </rPr>
      <t xml:space="preserve">t</t>
    </r>
    <r>
      <rPr>
        <b val="true"/>
        <sz val="10"/>
        <rFont val="Arial"/>
        <family val="0"/>
      </rPr>
      <t xml:space="preserve">)</t>
    </r>
  </si>
  <si>
    <r>
      <rPr>
        <b val="true"/>
        <sz val="10"/>
        <rFont val="Arial"/>
        <family val="0"/>
      </rPr>
      <t xml:space="preserve">Tax rates (% factor income Y</t>
    </r>
    <r>
      <rPr>
        <b val="true"/>
        <vertAlign val="subscript"/>
        <sz val="10"/>
        <rFont val="Arial"/>
        <family val="2"/>
      </rPr>
      <t xml:space="preserve">Kt</t>
    </r>
    <r>
      <rPr>
        <b val="true"/>
        <sz val="10"/>
        <rFont val="Arial"/>
        <family val="0"/>
      </rPr>
      <t xml:space="preserve"> &amp; Y</t>
    </r>
    <r>
      <rPr>
        <b val="true"/>
        <vertAlign val="subscript"/>
        <sz val="10"/>
        <rFont val="Arial"/>
        <family val="2"/>
      </rPr>
      <t xml:space="preserve">Lt</t>
    </r>
    <r>
      <rPr>
        <b val="true"/>
        <sz val="10"/>
        <rFont val="Arial"/>
        <family val="0"/>
      </rPr>
      <t xml:space="preserve">) </t>
    </r>
  </si>
  <si>
    <r>
      <rPr>
        <b val="true"/>
        <sz val="10"/>
        <rFont val="Arial"/>
        <family val="0"/>
      </rPr>
      <t xml:space="preserve">Transfers (% national income Y</t>
    </r>
    <r>
      <rPr>
        <b val="true"/>
        <vertAlign val="subscript"/>
        <sz val="10"/>
        <rFont val="Arial"/>
        <family val="2"/>
      </rPr>
      <t xml:space="preserve">t</t>
    </r>
    <r>
      <rPr>
        <b val="true"/>
        <sz val="10"/>
        <rFont val="Arial"/>
        <family val="0"/>
      </rPr>
      <t xml:space="preserve">)  </t>
    </r>
  </si>
  <si>
    <t xml:space="preserve">Total taxes</t>
  </si>
  <si>
    <t xml:space="preserve">Corporate  taxes</t>
  </si>
  <si>
    <t xml:space="preserve">Personal taxes</t>
  </si>
  <si>
    <t xml:space="preserve">Social contributions </t>
  </si>
  <si>
    <t xml:space="preserve">Total taxes on capital</t>
  </si>
  <si>
    <t xml:space="preserve">inc. beq. &amp; gift tax</t>
  </si>
  <si>
    <t xml:space="preserve">Total taxes on labor</t>
  </si>
  <si>
    <t xml:space="preserve">Tax rate on capital </t>
  </si>
  <si>
    <t xml:space="preserve">Tax rate on labor </t>
  </si>
  <si>
    <t xml:space="preserve">Tax rate on labor (exc. replac. taxes)</t>
  </si>
  <si>
    <t xml:space="preserve">Total cash transfers</t>
  </si>
  <si>
    <t xml:space="preserve">inc. replac. income (pensions &amp; UI)</t>
  </si>
  <si>
    <t xml:space="preserve">inc. pure transfers</t>
  </si>
  <si>
    <t xml:space="preserve">memo: in-kind govt transfers: health, educ.</t>
  </si>
  <si>
    <r>
      <rPr>
        <b val="true"/>
        <sz val="10"/>
        <rFont val="Arial"/>
        <family val="0"/>
      </rPr>
      <t xml:space="preserve">T</t>
    </r>
    <r>
      <rPr>
        <b val="true"/>
        <vertAlign val="subscript"/>
        <sz val="10"/>
        <rFont val="Arial"/>
        <family val="2"/>
      </rPr>
      <t xml:space="preserve">t</t>
    </r>
  </si>
  <si>
    <r>
      <rPr>
        <sz val="10"/>
        <rFont val="Arial"/>
        <family val="0"/>
      </rPr>
      <t xml:space="preserve">T</t>
    </r>
    <r>
      <rPr>
        <vertAlign val="subscript"/>
        <sz val="10"/>
        <rFont val="Arial"/>
        <family val="2"/>
      </rPr>
      <t xml:space="preserve">ct</t>
    </r>
  </si>
  <si>
    <r>
      <rPr>
        <sz val="10"/>
        <rFont val="Arial"/>
        <family val="0"/>
      </rPr>
      <t xml:space="preserve">T</t>
    </r>
    <r>
      <rPr>
        <vertAlign val="subscript"/>
        <sz val="10"/>
        <rFont val="Arial"/>
        <family val="2"/>
      </rPr>
      <t xml:space="preserve">it</t>
    </r>
  </si>
  <si>
    <r>
      <rPr>
        <sz val="10"/>
        <rFont val="Arial"/>
        <family val="0"/>
      </rPr>
      <t xml:space="preserve">SC</t>
    </r>
    <r>
      <rPr>
        <vertAlign val="subscript"/>
        <sz val="10"/>
        <rFont val="Arial"/>
        <family val="2"/>
      </rPr>
      <t xml:space="preserve">t</t>
    </r>
  </si>
  <si>
    <r>
      <rPr>
        <sz val="10"/>
        <rFont val="Arial"/>
        <family val="0"/>
      </rPr>
      <t xml:space="preserve">T</t>
    </r>
    <r>
      <rPr>
        <vertAlign val="subscript"/>
        <sz val="10"/>
        <rFont val="Arial"/>
        <family val="2"/>
      </rPr>
      <t xml:space="preserve">Kt</t>
    </r>
    <r>
      <rPr>
        <sz val="10"/>
        <rFont val="Arial"/>
        <family val="0"/>
      </rPr>
      <t xml:space="preserve"> </t>
    </r>
  </si>
  <si>
    <r>
      <rPr>
        <i val="true"/>
        <sz val="10"/>
        <rFont val="Arial"/>
        <family val="0"/>
      </rPr>
      <t xml:space="preserve">T</t>
    </r>
    <r>
      <rPr>
        <i val="true"/>
        <vertAlign val="subscript"/>
        <sz val="10"/>
        <rFont val="Arial"/>
        <family val="2"/>
      </rPr>
      <t xml:space="preserve">Bt</t>
    </r>
    <r>
      <rPr>
        <i val="true"/>
        <sz val="10"/>
        <rFont val="Arial"/>
        <family val="0"/>
      </rPr>
      <t xml:space="preserve"> </t>
    </r>
  </si>
  <si>
    <r>
      <rPr>
        <sz val="10"/>
        <rFont val="Arial"/>
        <family val="0"/>
      </rPr>
      <t xml:space="preserve">T</t>
    </r>
    <r>
      <rPr>
        <vertAlign val="subscript"/>
        <sz val="10"/>
        <rFont val="Arial"/>
        <family val="2"/>
      </rPr>
      <t xml:space="preserve">Lt</t>
    </r>
    <r>
      <rPr>
        <sz val="10"/>
        <rFont val="Arial"/>
        <family val="0"/>
      </rPr>
      <t xml:space="preserve"> </t>
    </r>
  </si>
  <si>
    <t xml:space="preserve">(excluding production taxes)</t>
  </si>
  <si>
    <t xml:space="preserve">(including production taxes)</t>
  </si>
  <si>
    <r>
      <rPr>
        <b val="true"/>
        <sz val="10"/>
        <rFont val="Arial"/>
        <family val="0"/>
      </rPr>
      <t xml:space="preserve">TR</t>
    </r>
    <r>
      <rPr>
        <b val="true"/>
        <vertAlign val="subscript"/>
        <sz val="10"/>
        <rFont val="Arial"/>
        <family val="2"/>
      </rPr>
      <t xml:space="preserve">t</t>
    </r>
  </si>
  <si>
    <r>
      <rPr>
        <sz val="10"/>
        <rFont val="Arial"/>
        <family val="0"/>
      </rPr>
      <t xml:space="preserve">Y</t>
    </r>
    <r>
      <rPr>
        <vertAlign val="subscript"/>
        <sz val="10"/>
        <rFont val="Arial"/>
        <family val="2"/>
      </rPr>
      <t xml:space="preserve">Rt</t>
    </r>
    <r>
      <rPr>
        <sz val="10"/>
        <rFont val="Arial"/>
        <family val="0"/>
      </rPr>
      <t xml:space="preserve"> </t>
    </r>
  </si>
  <si>
    <r>
      <rPr>
        <sz val="10"/>
        <rFont val="Arial"/>
        <family val="0"/>
      </rPr>
      <t xml:space="preserve">TR</t>
    </r>
    <r>
      <rPr>
        <vertAlign val="subscript"/>
        <sz val="10"/>
        <rFont val="Arial"/>
        <family val="2"/>
      </rPr>
      <t xml:space="preserve">0t</t>
    </r>
  </si>
  <si>
    <t xml:space="preserve">Table DE.15a: Price indices in Germany, 1870-2011 (annual series)</t>
  </si>
  <si>
    <t xml:space="preserve">Price and return indexes</t>
  </si>
  <si>
    <t xml:space="preserve">Annual inflation rates and return rates</t>
  </si>
  <si>
    <t xml:space="preserve">Consumer price index (1950=100)</t>
  </si>
  <si>
    <t xml:space="preserve">GDP price index (1950=100)</t>
  </si>
  <si>
    <t xml:space="preserve">PCE index (1950=100)</t>
  </si>
  <si>
    <t xml:space="preserve">Real estate price index (whole country)</t>
  </si>
  <si>
    <t xml:space="preserve">Real estate price index (West Germany)</t>
  </si>
  <si>
    <t xml:space="preserve">Equity price index </t>
  </si>
  <si>
    <t xml:space="preserve">Equity total return index (dividend reinvested)</t>
  </si>
  <si>
    <t xml:space="preserve">Equity total real return index (CPI)</t>
  </si>
  <si>
    <t xml:space="preserve">Consumer price inflation</t>
  </si>
  <si>
    <t xml:space="preserve">GDP price inflation</t>
  </si>
  <si>
    <t xml:space="preserve">PCE inflation</t>
  </si>
  <si>
    <t xml:space="preserve">Equity price inflation</t>
  </si>
  <si>
    <t xml:space="preserve">Equity total return (incl. dividend)</t>
  </si>
  <si>
    <t xml:space="preserve">Equity total real return (CPI)</t>
  </si>
  <si>
    <r>
      <rPr>
        <sz val="10"/>
        <rFont val="Arial"/>
        <family val="0"/>
      </rPr>
      <t xml:space="preserve">P</t>
    </r>
    <r>
      <rPr>
        <vertAlign val="subscript"/>
        <sz val="10"/>
        <rFont val="Arial"/>
        <family val="2"/>
      </rPr>
      <t xml:space="preserve">t</t>
    </r>
  </si>
  <si>
    <r>
      <rPr>
        <sz val="10"/>
        <rFont val="Arial"/>
        <family val="0"/>
      </rPr>
      <t xml:space="preserve">p</t>
    </r>
    <r>
      <rPr>
        <vertAlign val="subscript"/>
        <sz val="10"/>
        <rFont val="Arial"/>
        <family val="2"/>
      </rPr>
      <t xml:space="preserve">t</t>
    </r>
    <r>
      <rPr>
        <sz val="10"/>
        <rFont val="Arial"/>
        <family val="0"/>
      </rPr>
      <t xml:space="preserve">             </t>
    </r>
  </si>
  <si>
    <t xml:space="preserve">DataDE1: Raw national income accounts series for Germany 1970-today, linked with 1950-1970 income accounts from DateDE1b</t>
  </si>
  <si>
    <t xml:space="preserve">1991-onwards: reunified Germany, data from 2012 Destatis Annual Sectoral Accounts, released Feb. 2012</t>
  </si>
  <si>
    <t xml:space="preserve">1950-1990: West Germany (including Sarre &amp; West Berlin over 1950-1960)</t>
  </si>
  <si>
    <t xml:space="preserve">All values are in current billions €</t>
  </si>
  <si>
    <t xml:space="preserve">1 euro =</t>
  </si>
  <si>
    <t xml:space="preserve">Product taxes</t>
  </si>
  <si>
    <t xml:space="preserve">Expenditure approach of GDP</t>
  </si>
  <si>
    <t xml:space="preserve">Private sector (corporations, households &amp; NPISH)</t>
  </si>
  <si>
    <t xml:space="preserve">Household &amp; NPISH sector</t>
  </si>
  <si>
    <t xml:space="preserve">Household sector (housing)</t>
  </si>
  <si>
    <t xml:space="preserve">Household &amp; NPISH sector (non-corporate businesses)</t>
  </si>
  <si>
    <t xml:space="preserve">Corporate business sector</t>
  </si>
  <si>
    <t xml:space="preserve">Non-financial corporations</t>
  </si>
  <si>
    <t xml:space="preserve">Financial corporations</t>
  </si>
  <si>
    <t xml:space="preserve">Government sector</t>
  </si>
  <si>
    <t xml:space="preserve">Distribution of corporate profits</t>
  </si>
  <si>
    <t xml:space="preserve">Income flows with the rest of the world (inflows = flows from rest of the world to Germany)</t>
  </si>
  <si>
    <t xml:space="preserve">Total factor income </t>
  </si>
  <si>
    <t xml:space="preserve">Government taxes and transfers </t>
  </si>
  <si>
    <t xml:space="preserve">Government disposable income, saving, and investment</t>
  </si>
  <si>
    <t xml:space="preserve">Households net investment (during year t)</t>
  </si>
  <si>
    <t xml:space="preserve">Corporate investment</t>
  </si>
  <si>
    <t xml:space="preserve">CPI and population</t>
  </si>
  <si>
    <t xml:space="preserve">Supplementary series on capital income earned by households</t>
  </si>
  <si>
    <t xml:space="preserve">Notations</t>
  </si>
  <si>
    <r>
      <rPr>
        <b val="true"/>
        <sz val="10"/>
        <rFont val="Arial"/>
        <family val="0"/>
      </rPr>
      <t xml:space="preserve">Y</t>
    </r>
    <r>
      <rPr>
        <b val="true"/>
        <vertAlign val="subscript"/>
        <sz val="10"/>
        <rFont val="Arial"/>
        <family val="2"/>
      </rPr>
      <t xml:space="preserve">t </t>
    </r>
    <r>
      <rPr>
        <b val="true"/>
        <sz val="10"/>
        <rFont val="Arial"/>
        <family val="0"/>
      </rPr>
      <t xml:space="preserve">+ FT</t>
    </r>
    <r>
      <rPr>
        <b val="true"/>
        <vertAlign val="subscript"/>
        <sz val="10"/>
        <rFont val="Arial"/>
        <family val="2"/>
      </rPr>
      <t xml:space="preserve">t</t>
    </r>
  </si>
  <si>
    <r>
      <rPr>
        <b val="true"/>
        <sz val="10"/>
        <rFont val="Arial"/>
        <family val="0"/>
      </rPr>
      <t xml:space="preserve">Y</t>
    </r>
    <r>
      <rPr>
        <b val="true"/>
        <vertAlign val="subscript"/>
        <sz val="10"/>
        <rFont val="Arial"/>
        <family val="2"/>
      </rPr>
      <t xml:space="preserve">t</t>
    </r>
    <r>
      <rPr>
        <b val="true"/>
        <sz val="10"/>
        <rFont val="Arial"/>
        <family val="0"/>
      </rPr>
      <t xml:space="preserve"> - T</t>
    </r>
    <r>
      <rPr>
        <b val="true"/>
        <vertAlign val="subscript"/>
        <sz val="10"/>
        <rFont val="Arial"/>
        <family val="2"/>
      </rPr>
      <t xml:space="preserve">pt</t>
    </r>
  </si>
  <si>
    <r>
      <rPr>
        <b val="true"/>
        <sz val="10"/>
        <rFont val="Arial"/>
        <family val="0"/>
      </rPr>
      <t xml:space="preserve">Y</t>
    </r>
    <r>
      <rPr>
        <b val="true"/>
        <vertAlign val="subscript"/>
        <sz val="10"/>
        <rFont val="Arial"/>
        <family val="2"/>
      </rPr>
      <t xml:space="preserve">dt</t>
    </r>
  </si>
  <si>
    <r>
      <rPr>
        <b val="true"/>
        <sz val="10"/>
        <rFont val="Arial"/>
        <family val="0"/>
      </rPr>
      <t xml:space="preserve">T</t>
    </r>
    <r>
      <rPr>
        <b val="true"/>
        <vertAlign val="subscript"/>
        <sz val="10"/>
        <rFont val="Arial"/>
        <family val="2"/>
      </rPr>
      <t xml:space="preserve">pt</t>
    </r>
  </si>
  <si>
    <r>
      <rPr>
        <b val="true"/>
        <sz val="10"/>
        <rFont val="Arial"/>
        <family val="0"/>
      </rPr>
      <t xml:space="preserve">Y</t>
    </r>
    <r>
      <rPr>
        <b val="true"/>
        <vertAlign val="subscript"/>
        <sz val="10"/>
        <rFont val="Arial"/>
        <family val="2"/>
      </rPr>
      <t xml:space="preserve">ht</t>
    </r>
  </si>
  <si>
    <r>
      <rPr>
        <b val="true"/>
        <sz val="10"/>
        <rFont val="Arial"/>
        <family val="0"/>
      </rPr>
      <t xml:space="preserve">Y</t>
    </r>
    <r>
      <rPr>
        <b val="true"/>
        <vertAlign val="subscript"/>
        <sz val="10"/>
        <rFont val="Arial"/>
        <family val="2"/>
      </rPr>
      <t xml:space="preserve">set</t>
    </r>
  </si>
  <si>
    <r>
      <rPr>
        <b val="true"/>
        <sz val="10"/>
        <rFont val="Arial"/>
        <family val="0"/>
      </rPr>
      <t xml:space="preserve">Y</t>
    </r>
    <r>
      <rPr>
        <b val="true"/>
        <vertAlign val="subscript"/>
        <sz val="10"/>
        <rFont val="Arial"/>
        <family val="2"/>
      </rPr>
      <t xml:space="preserve">ct</t>
    </r>
  </si>
  <si>
    <r>
      <rPr>
        <b val="true"/>
        <sz val="10"/>
        <rFont val="Arial"/>
        <family val="0"/>
      </rPr>
      <t xml:space="preserve">Y</t>
    </r>
    <r>
      <rPr>
        <b val="true"/>
        <vertAlign val="subscript"/>
        <sz val="10"/>
        <rFont val="Arial"/>
        <family val="2"/>
      </rPr>
      <t xml:space="preserve">gt</t>
    </r>
  </si>
  <si>
    <r>
      <rPr>
        <b val="true"/>
        <sz val="10"/>
        <rFont val="Arial"/>
        <family val="0"/>
      </rPr>
      <t xml:space="preserve">FY</t>
    </r>
    <r>
      <rPr>
        <b val="true"/>
        <vertAlign val="subscript"/>
        <sz val="10"/>
        <rFont val="Arial"/>
        <family val="2"/>
      </rPr>
      <t xml:space="preserve">t</t>
    </r>
    <r>
      <rPr>
        <b val="true"/>
        <sz val="10"/>
        <rFont val="Arial"/>
        <family val="0"/>
      </rPr>
      <t xml:space="preserve"> </t>
    </r>
  </si>
  <si>
    <r>
      <rPr>
        <b val="true"/>
        <sz val="10"/>
        <rFont val="Arial"/>
        <family val="0"/>
      </rPr>
      <t xml:space="preserve">FY</t>
    </r>
    <r>
      <rPr>
        <b val="true"/>
        <vertAlign val="subscript"/>
        <sz val="10"/>
        <rFont val="Arial"/>
        <family val="2"/>
      </rPr>
      <t xml:space="preserve">Kt</t>
    </r>
    <r>
      <rPr>
        <b val="true"/>
        <sz val="10"/>
        <rFont val="Arial"/>
        <family val="0"/>
      </rPr>
      <t xml:space="preserve"> </t>
    </r>
  </si>
  <si>
    <r>
      <rPr>
        <b val="true"/>
        <sz val="10"/>
        <rFont val="Arial"/>
        <family val="0"/>
      </rPr>
      <t xml:space="preserve">FY</t>
    </r>
    <r>
      <rPr>
        <b val="true"/>
        <vertAlign val="subscript"/>
        <sz val="10"/>
        <rFont val="Arial"/>
        <family val="2"/>
      </rPr>
      <t xml:space="preserve">Lt</t>
    </r>
    <r>
      <rPr>
        <b val="true"/>
        <sz val="10"/>
        <rFont val="Arial"/>
        <family val="0"/>
      </rPr>
      <t xml:space="preserve"> </t>
    </r>
  </si>
  <si>
    <r>
      <rPr>
        <b val="true"/>
        <sz val="10"/>
        <rFont val="Arial"/>
        <family val="0"/>
      </rPr>
      <t xml:space="preserve">FT</t>
    </r>
    <r>
      <rPr>
        <b val="true"/>
        <vertAlign val="subscript"/>
        <sz val="10"/>
        <rFont val="Arial"/>
        <family val="2"/>
      </rPr>
      <t xml:space="preserve">t</t>
    </r>
    <r>
      <rPr>
        <b val="true"/>
        <sz val="10"/>
        <rFont val="Arial"/>
        <family val="0"/>
      </rPr>
      <t xml:space="preserve"> </t>
    </r>
  </si>
  <si>
    <r>
      <rPr>
        <sz val="10"/>
        <rFont val="Arial"/>
        <family val="0"/>
      </rPr>
      <t xml:space="preserve">FY</t>
    </r>
    <r>
      <rPr>
        <vertAlign val="subscript"/>
        <sz val="10"/>
        <rFont val="Arial"/>
        <family val="2"/>
      </rPr>
      <t xml:space="preserve">Kt</t>
    </r>
    <r>
      <rPr>
        <sz val="10"/>
        <rFont val="Arial"/>
        <family val="0"/>
      </rPr>
      <t xml:space="preserve"> </t>
    </r>
  </si>
  <si>
    <r>
      <rPr>
        <i val="true"/>
        <sz val="10"/>
        <rFont val="Arial"/>
        <family val="0"/>
      </rPr>
      <t xml:space="preserve">Y</t>
    </r>
    <r>
      <rPr>
        <i val="true"/>
        <vertAlign val="subscript"/>
        <sz val="10"/>
        <rFont val="Arial"/>
        <family val="2"/>
      </rPr>
      <t xml:space="preserve">Kpt</t>
    </r>
  </si>
  <si>
    <r>
      <rPr>
        <sz val="10"/>
        <rFont val="Arial"/>
        <family val="0"/>
      </rPr>
      <t xml:space="preserve">Y</t>
    </r>
    <r>
      <rPr>
        <vertAlign val="subscript"/>
        <sz val="10"/>
        <rFont val="Arial"/>
        <family val="2"/>
      </rPr>
      <t xml:space="preserve">Lset</t>
    </r>
    <r>
      <rPr>
        <vertAlign val="superscript"/>
        <sz val="10"/>
        <rFont val="Arial"/>
        <family val="2"/>
      </rPr>
      <t xml:space="preserve">1</t>
    </r>
  </si>
  <si>
    <r>
      <rPr>
        <sz val="10"/>
        <rFont val="Arial"/>
        <family val="0"/>
      </rPr>
      <t xml:space="preserve">Y</t>
    </r>
    <r>
      <rPr>
        <vertAlign val="subscript"/>
        <sz val="10"/>
        <rFont val="Arial"/>
        <family val="2"/>
      </rPr>
      <t xml:space="preserve">Lset</t>
    </r>
    <r>
      <rPr>
        <vertAlign val="superscript"/>
        <sz val="10"/>
        <rFont val="Arial"/>
        <family val="2"/>
      </rPr>
      <t xml:space="preserve">2</t>
    </r>
  </si>
  <si>
    <t xml:space="preserve">Four other methods for YLset2</t>
  </si>
  <si>
    <r>
      <rPr>
        <sz val="10"/>
        <rFont val="Arial"/>
        <family val="0"/>
      </rPr>
      <t xml:space="preserve">FY</t>
    </r>
    <r>
      <rPr>
        <vertAlign val="subscript"/>
        <sz val="10"/>
        <rFont val="Arial"/>
        <family val="2"/>
      </rPr>
      <t xml:space="preserve">Lt</t>
    </r>
    <r>
      <rPr>
        <sz val="10"/>
        <rFont val="Arial"/>
        <family val="0"/>
      </rPr>
      <t xml:space="preserve"> </t>
    </r>
  </si>
  <si>
    <r>
      <rPr>
        <i val="true"/>
        <sz val="10"/>
        <rFont val="Arial"/>
        <family val="0"/>
      </rPr>
      <t xml:space="preserve">T</t>
    </r>
    <r>
      <rPr>
        <i val="true"/>
        <vertAlign val="subscript"/>
        <sz val="10"/>
        <rFont val="Arial"/>
        <family val="2"/>
      </rPr>
      <t xml:space="preserve">Kt</t>
    </r>
    <r>
      <rPr>
        <i val="true"/>
        <sz val="10"/>
        <rFont val="Arial"/>
        <family val="0"/>
      </rPr>
      <t xml:space="preserve"> </t>
    </r>
  </si>
  <si>
    <r>
      <rPr>
        <i val="true"/>
        <sz val="10"/>
        <rFont val="Arial"/>
        <family val="0"/>
      </rPr>
      <t xml:space="preserve">T</t>
    </r>
    <r>
      <rPr>
        <i val="true"/>
        <vertAlign val="subscript"/>
        <sz val="10"/>
        <rFont val="Arial"/>
        <family val="2"/>
      </rPr>
      <t xml:space="preserve">Lt</t>
    </r>
    <r>
      <rPr>
        <i val="true"/>
        <sz val="10"/>
        <rFont val="Arial"/>
        <family val="0"/>
      </rPr>
      <t xml:space="preserve"> </t>
    </r>
  </si>
  <si>
    <r>
      <rPr>
        <b val="true"/>
        <sz val="10"/>
        <rFont val="Arial"/>
        <family val="0"/>
      </rPr>
      <t xml:space="preserve">TTR</t>
    </r>
    <r>
      <rPr>
        <b val="true"/>
        <vertAlign val="subscript"/>
        <sz val="10"/>
        <rFont val="Arial"/>
        <family val="2"/>
      </rPr>
      <t xml:space="preserve">t</t>
    </r>
  </si>
  <si>
    <r>
      <rPr>
        <b val="true"/>
        <sz val="10"/>
        <rFont val="Arial"/>
        <family val="0"/>
      </rPr>
      <t xml:space="preserve">S</t>
    </r>
    <r>
      <rPr>
        <b val="true"/>
        <vertAlign val="subscript"/>
        <sz val="10"/>
        <rFont val="Arial"/>
        <family val="2"/>
      </rPr>
      <t xml:space="preserve">t</t>
    </r>
    <r>
      <rPr>
        <b val="true"/>
        <vertAlign val="superscript"/>
        <sz val="10"/>
        <rFont val="Arial"/>
        <family val="2"/>
      </rPr>
      <t xml:space="preserve">0</t>
    </r>
  </si>
  <si>
    <r>
      <rPr>
        <b val="true"/>
        <sz val="10"/>
        <rFont val="Arial"/>
        <family val="0"/>
      </rPr>
      <t xml:space="preserve">S</t>
    </r>
    <r>
      <rPr>
        <b val="true"/>
        <vertAlign val="subscript"/>
        <sz val="10"/>
        <rFont val="Arial"/>
        <family val="2"/>
      </rPr>
      <t xml:space="preserve">t</t>
    </r>
  </si>
  <si>
    <r>
      <rPr>
        <sz val="10"/>
        <rFont val="Arial"/>
        <family val="0"/>
      </rPr>
      <t xml:space="preserve">WD</t>
    </r>
    <r>
      <rPr>
        <vertAlign val="subscript"/>
        <sz val="10"/>
        <rFont val="Arial"/>
        <family val="2"/>
      </rPr>
      <t xml:space="preserve">t</t>
    </r>
  </si>
  <si>
    <r>
      <rPr>
        <sz val="10"/>
        <rFont val="Arial"/>
        <family val="0"/>
      </rPr>
      <t xml:space="preserve">p</t>
    </r>
    <r>
      <rPr>
        <vertAlign val="subscript"/>
        <sz val="10"/>
        <rFont val="Arial"/>
        <family val="2"/>
      </rPr>
      <t xml:space="preserve">t </t>
    </r>
    <r>
      <rPr>
        <sz val="10"/>
        <rFont val="Arial"/>
        <family val="0"/>
      </rPr>
      <t xml:space="preserve">   </t>
    </r>
  </si>
  <si>
    <r>
      <rPr>
        <i val="true"/>
        <sz val="10"/>
        <rFont val="Arial"/>
        <family val="0"/>
      </rPr>
      <t xml:space="preserve">Y</t>
    </r>
    <r>
      <rPr>
        <i val="true"/>
        <vertAlign val="subscript"/>
        <sz val="10"/>
        <rFont val="Arial"/>
        <family val="2"/>
      </rPr>
      <t xml:space="preserve">kpt</t>
    </r>
    <r>
      <rPr>
        <i val="true"/>
        <sz val="10"/>
        <rFont val="Arial"/>
        <family val="0"/>
      </rPr>
      <t xml:space="preserve">/L</t>
    </r>
    <r>
      <rPr>
        <i val="true"/>
        <vertAlign val="subscript"/>
        <sz val="10"/>
        <rFont val="Arial"/>
        <family val="2"/>
      </rPr>
      <t xml:space="preserve">t</t>
    </r>
  </si>
  <si>
    <t xml:space="preserve">National disposable income</t>
  </si>
  <si>
    <t xml:space="preserve">Factor-cost national income</t>
  </si>
  <si>
    <t xml:space="preserve">Capital depreciation (CFC)</t>
  </si>
  <si>
    <t xml:space="preserve">Product taxes paid net of subsidies (incl. net taxes received from foreigners)</t>
  </si>
  <si>
    <t xml:space="preserve">Total product taxes paid net of subsidies (excl. net taxes received from foreigners)</t>
  </si>
  <si>
    <t xml:space="preserve">Total taxes on products (net of subsidies) </t>
  </si>
  <si>
    <t xml:space="preserve">Total other taxes on production (net of subsidies) </t>
  </si>
  <si>
    <t xml:space="preserve">Other taxes on production (net of subsidies) (household &amp; NPISH sector)</t>
  </si>
  <si>
    <t xml:space="preserve">Other taxes on production (net of subsidies) (nonfinancial corporate sector)</t>
  </si>
  <si>
    <t xml:space="preserve">Other taxes on production (net of subsidies) (financial corporate sector)</t>
  </si>
  <si>
    <t xml:space="preserve">Other taxes on production (net of subsidies) (govt sector)</t>
  </si>
  <si>
    <t xml:space="preserve">Other taxes on production (net profit of govt sector) </t>
  </si>
  <si>
    <t xml:space="preserve">Private consumption expenditures</t>
  </si>
  <si>
    <t xml:space="preserve">Public consumption expenditures</t>
  </si>
  <si>
    <t xml:space="preserve">Gross capital formation</t>
  </si>
  <si>
    <t xml:space="preserve">Exports</t>
  </si>
  <si>
    <t xml:space="preserve">Net domestic product (private sector)</t>
  </si>
  <si>
    <t xml:space="preserve">Gross value added (private sector)</t>
  </si>
  <si>
    <t xml:space="preserve"> Wages &amp; social contributionspaid by private sector</t>
  </si>
  <si>
    <t xml:space="preserve">Net profits &amp; mixed income (private sector)</t>
  </si>
  <si>
    <t xml:space="preserve">Capital depreciation (private sector)</t>
  </si>
  <si>
    <t xml:space="preserve">CFC/Gross value added</t>
  </si>
  <si>
    <t xml:space="preserve">Net domestic product (households &amp; NPISH)</t>
  </si>
  <si>
    <t xml:space="preserve">Gross value added (households &amp; NPISH)</t>
  </si>
  <si>
    <t xml:space="preserve"> Wages &amp; social contributionspaid by non-corporate business (&amp; households)</t>
  </si>
  <si>
    <t xml:space="preserve">Net operating surplus &amp; mixed income</t>
  </si>
  <si>
    <t xml:space="preserve">Capital depreciation (households &amp; NPISH)</t>
  </si>
  <si>
    <t xml:space="preserve">Net domestic product (housing sector)</t>
  </si>
  <si>
    <t xml:space="preserve">Memo: Intermediate consumption of FISIM</t>
  </si>
  <si>
    <t xml:space="preserve">Gross housing value added  </t>
  </si>
  <si>
    <t xml:space="preserve">Capital depreciation (CFC, housing sector)</t>
  </si>
  <si>
    <t xml:space="preserve">CFC/ Housing wealth</t>
  </si>
  <si>
    <t xml:space="preserve">Net domestic product (non-corporate business sector)</t>
  </si>
  <si>
    <t xml:space="preserve">Gross value added (non-corporate busines sector)</t>
  </si>
  <si>
    <t xml:space="preserve">Net mixed income (self-employment)</t>
  </si>
  <si>
    <t xml:space="preserve">Gross mixed income (self-employment)</t>
  </si>
  <si>
    <t xml:space="preserve">Capital depreciation (CFC, non-corporate business sector)</t>
  </si>
  <si>
    <t xml:space="preserve">Net domestic product (corporate business sector)</t>
  </si>
  <si>
    <t xml:space="preserve">Gross value added (corporate sector)</t>
  </si>
  <si>
    <t xml:space="preserve">Gross corporate profits </t>
  </si>
  <si>
    <t xml:space="preserve">Wages &amp; social contributions paid by corporations</t>
  </si>
  <si>
    <t xml:space="preserve">Capital depreciation (CFC, corporate sector)</t>
  </si>
  <si>
    <t xml:space="preserve">Gross value added </t>
  </si>
  <si>
    <t xml:space="preserve">Net profits</t>
  </si>
  <si>
    <t xml:space="preserve">Gross profits</t>
  </si>
  <si>
    <t xml:space="preserve">Wages &amp; social contributions</t>
  </si>
  <si>
    <t xml:space="preserve">Net domestic product (govt sector)</t>
  </si>
  <si>
    <t xml:space="preserve">Gross value added (govt sector)</t>
  </si>
  <si>
    <t xml:space="preserve">Wages &amp; social contributions paid by govt </t>
  </si>
  <si>
    <t xml:space="preserve">Capital depreciation (CFC, govt sector)</t>
  </si>
  <si>
    <t xml:space="preserve">Net-of-depreciation corporate profits</t>
  </si>
  <si>
    <t xml:space="preserve">Corporate income taxes</t>
  </si>
  <si>
    <t xml:space="preserve">Distributed profits (net outflow of interest, dividend and other property income)</t>
  </si>
  <si>
    <t xml:space="preserve">Retained earnings</t>
  </si>
  <si>
    <t xml:space="preserve">Adjustment for the change in net equity of households in pension funds</t>
  </si>
  <si>
    <t xml:space="preserve">Other net transfers (insurance, benefits, transfers to non-profit,.)</t>
  </si>
  <si>
    <t xml:space="preserve"> Outflow of interest, dividend and other property income</t>
  </si>
  <si>
    <t xml:space="preserve"> Inflow of interest, dividend and other property income</t>
  </si>
  <si>
    <t xml:space="preserve">Net foreign capital income</t>
  </si>
  <si>
    <t xml:space="preserve">Foreign capital income inflow (interest, dividend and other property income)</t>
  </si>
  <si>
    <t xml:space="preserve">Foreign capital income outflow (interest, dividend and other property income)</t>
  </si>
  <si>
    <t xml:space="preserve">Net foreign labor income </t>
  </si>
  <si>
    <t xml:space="preserve">Foreign labor income inflow </t>
  </si>
  <si>
    <t xml:space="preserve">Foreign labor income outflow </t>
  </si>
  <si>
    <t xml:space="preserve">Net foreign production taxes (net of subsidies) </t>
  </si>
  <si>
    <t xml:space="preserve">Production subsidies received from foreigners</t>
  </si>
  <si>
    <t xml:space="preserve">Production taxes paid to foreigners</t>
  </si>
  <si>
    <t xml:space="preserve">Net foreign current transfers</t>
  </si>
  <si>
    <t xml:space="preserve">Foreign current transfers inflow</t>
  </si>
  <si>
    <t xml:space="preserve">Foreign current transfers outflow</t>
  </si>
  <si>
    <t xml:space="preserve">Net foreign capital transfers</t>
  </si>
  <si>
    <t xml:space="preserve">Foreign capital transfers inflows</t>
  </si>
  <si>
    <t xml:space="preserve">Foreign capital transfers outflows</t>
  </si>
  <si>
    <t xml:space="preserve">Domestic capital income</t>
  </si>
  <si>
    <t xml:space="preserve">Corporate capital income (net-of-deprec. corporate  profits)</t>
  </si>
  <si>
    <t xml:space="preserve">Housing capital income (net product of housing sector)</t>
  </si>
  <si>
    <t xml:space="preserve">Self-employment capital income</t>
  </si>
  <si>
    <t xml:space="preserve">Net foreign capital income </t>
  </si>
  <si>
    <t xml:space="preserve"> Plus:       Net government interest payments</t>
  </si>
  <si>
    <t xml:space="preserve"> Memo: Personal interest &amp; rent payments</t>
  </si>
  <si>
    <t xml:space="preserve">Wages &amp; social contributions received by domestic sectors</t>
  </si>
  <si>
    <t xml:space="preserve">Wages &amp; social contributions  paid by domestic sectors</t>
  </si>
  <si>
    <t xml:space="preserve">Wages &amp; social contributions paid by private sector</t>
  </si>
  <si>
    <t xml:space="preserve">Wages &amp; social contributions paid by households</t>
  </si>
  <si>
    <t xml:space="preserve">Self-employment labor income</t>
  </si>
  <si>
    <t xml:space="preserve">Average wage of self-employed workers / average wage of salaried workers</t>
  </si>
  <si>
    <t xml:space="preserve">2/3 of gross mixed income</t>
  </si>
  <si>
    <t xml:space="preserve">Attribute 100% of the economy average wage</t>
  </si>
  <si>
    <t xml:space="preserve">Attribute 2/3 of the economy average wage</t>
  </si>
  <si>
    <t xml:space="preserve">Attribute the average wage in the economy as predicted by sectoral data</t>
  </si>
  <si>
    <t xml:space="preserve">Average wage of self-employed (as predicted by sectoral data) / average wage in the economy</t>
  </si>
  <si>
    <t xml:space="preserve">Memo: estimated wage bill of self-employed based on sectoral data</t>
  </si>
  <si>
    <t xml:space="preserve">Personal income taxes (inc. bequest &amp; gift taxes)</t>
  </si>
  <si>
    <t xml:space="preserve">Personal income taxes (estimated capital share)</t>
  </si>
  <si>
    <t xml:space="preserve">Personal income taxes   (estimated labor share)</t>
  </si>
  <si>
    <t xml:space="preserve">Social contributions (payroll taxes)</t>
  </si>
  <si>
    <t xml:space="preserve">Estimated total taxes on capital</t>
  </si>
  <si>
    <t xml:space="preserve">Estimated total taxes on labor</t>
  </si>
  <si>
    <t xml:space="preserve">Personal income taxes (exc. bequest &amp; gift taxes)</t>
  </si>
  <si>
    <t xml:space="preserve">Bequest &amp; gift taxes</t>
  </si>
  <si>
    <t xml:space="preserve">Total monetary govt transfers </t>
  </si>
  <si>
    <r>
      <rPr>
        <sz val="10"/>
        <rFont val="Arial"/>
        <family val="0"/>
      </rPr>
      <t xml:space="preserve">incl. replacem. income Y</t>
    </r>
    <r>
      <rPr>
        <vertAlign val="subscript"/>
        <sz val="10"/>
        <rFont val="Arial"/>
        <family val="2"/>
      </rPr>
      <t xml:space="preserve">Rt</t>
    </r>
    <r>
      <rPr>
        <sz val="10"/>
        <rFont val="Arial"/>
        <family val="0"/>
      </rPr>
      <t xml:space="preserve"> </t>
    </r>
  </si>
  <si>
    <r>
      <rPr>
        <sz val="10"/>
        <rFont val="Arial"/>
        <family val="0"/>
      </rPr>
      <t xml:space="preserve">incl. pure govt transfers TR</t>
    </r>
    <r>
      <rPr>
        <vertAlign val="subscript"/>
        <sz val="10"/>
        <rFont val="Arial"/>
        <family val="2"/>
      </rPr>
      <t xml:space="preserve">t</t>
    </r>
    <r>
      <rPr>
        <sz val="10"/>
        <rFont val="Arial"/>
        <family val="0"/>
      </rPr>
      <t xml:space="preserve"> </t>
    </r>
  </si>
  <si>
    <t xml:space="preserve">Transfers in kind</t>
  </si>
  <si>
    <t xml:space="preserve">Other current transfers paid</t>
  </si>
  <si>
    <t xml:space="preserve">Net income taxes paid by foreigners</t>
  </si>
  <si>
    <t xml:space="preserve">Total taxes received by government (excl. Bequest &amp; gifts)</t>
  </si>
  <si>
    <t xml:space="preserve">Net current transfers paid by government</t>
  </si>
  <si>
    <t xml:space="preserve">Disposable income of government = taxes received by government - transfers paid - gov interest</t>
  </si>
  <si>
    <t xml:space="preserve">Government net savings</t>
  </si>
  <si>
    <t xml:space="preserve">Net capital transfers received by government</t>
  </si>
  <si>
    <t xml:space="preserve">Government net savings, plus net capital transfers received</t>
  </si>
  <si>
    <t xml:space="preserve">Acquisitions less disposals of non-produced non financial assets</t>
  </si>
  <si>
    <t xml:space="preserve">Net lending/net borrowing</t>
  </si>
  <si>
    <t xml:space="preserve">Disposable income = national income - taxes + transfers (replacement income) + govt interest</t>
  </si>
  <si>
    <t xml:space="preserve">including estimated after-tax capital income</t>
  </si>
  <si>
    <t xml:space="preserve">including estimated after-tax labor income</t>
  </si>
  <si>
    <t xml:space="preserve">including estimated after-tax replacement income</t>
  </si>
  <si>
    <t xml:space="preserve">Extended disposable income = disposable income + pure transfers</t>
  </si>
  <si>
    <t xml:space="preserve">Memo: private (househods + NPISH + corp) net disposable income</t>
  </si>
  <si>
    <t xml:space="preserve">Net personal savings</t>
  </si>
  <si>
    <t xml:space="preserve">Gross personal savings</t>
  </si>
  <si>
    <t xml:space="preserve">Net savings of the private sector (households + corporations), expenditure approach</t>
  </si>
  <si>
    <t xml:space="preserve">Net capital transfers received by households</t>
  </si>
  <si>
    <t xml:space="preserve">Net capital transfers received by corporations</t>
  </si>
  <si>
    <t xml:space="preserve">Net capital transfers received by corporations + households</t>
  </si>
  <si>
    <t xml:space="preserve">Net personal savings, plus net capital transfers received</t>
  </si>
  <si>
    <t xml:space="preserve">Retained earnings, plus net capital transfers received</t>
  </si>
  <si>
    <t xml:space="preserve">Extended private savings = private savings + retained earnings + plus net capital transfers received</t>
  </si>
  <si>
    <t xml:space="preserve">Total net investments</t>
  </si>
  <si>
    <t xml:space="preserve">Gross fixed capital formation</t>
  </si>
  <si>
    <t xml:space="preserve">Net fixed capital formation</t>
  </si>
  <si>
    <t xml:space="preserve">Changes in stocks + net acquisitions of precious objects + net acquisiations of nonproduced assets</t>
  </si>
  <si>
    <t xml:space="preserve">Net lending/borrowing</t>
  </si>
  <si>
    <t xml:space="preserve">Statistical discrepancy between real &amp; financial accounts</t>
  </si>
  <si>
    <t xml:space="preserve">Net investment in financial assets</t>
  </si>
  <si>
    <t xml:space="preserve">Investment in financial assets At </t>
  </si>
  <si>
    <t xml:space="preserve">Of which: equities (shares+other equities+mutual funds)</t>
  </si>
  <si>
    <t xml:space="preserve">Of which:insurance</t>
  </si>
  <si>
    <t xml:space="preserve">Incurrence of liabilities</t>
  </si>
  <si>
    <t xml:space="preserve">Estimates of war destructions of wealth (physical capital &amp; foreign portfolio)</t>
  </si>
  <si>
    <t xml:space="preserve">Consumer price inflation (mid-year/mid-year)</t>
  </si>
  <si>
    <t xml:space="preserve">Memo: CPI OECD</t>
  </si>
  <si>
    <t xml:space="preserve">GDP Price inflation (1950-1970: constant base-year prices; after 1970: chain-linked indices )</t>
  </si>
  <si>
    <t xml:space="preserve">Real GDP growth rate, official Bundesbank data (1950-1970: constant base-year prices; after 1970: chain-linked indices )</t>
  </si>
  <si>
    <t xml:space="preserve">Private consumption price inflation (1990-2010: chain-linked; before: constant-base year prices)</t>
  </si>
  <si>
    <t xml:space="preserve">Investment price deflator (2005=100), chain-linked</t>
  </si>
  <si>
    <t xml:space="preserve">Population (thousands), mid-year</t>
  </si>
  <si>
    <t xml:space="preserve">Salaried workers</t>
  </si>
  <si>
    <t xml:space="preserve">Self-employed</t>
  </si>
  <si>
    <t xml:space="preserve">Share 0-19-yr-old in living population</t>
  </si>
  <si>
    <t xml:space="preserve">Share self-employed in employed pop</t>
  </si>
  <si>
    <t xml:space="preserve">Population West Germany (year-average)</t>
  </si>
  <si>
    <t xml:space="preserve">Minus: corporate retained earnings</t>
  </si>
  <si>
    <t xml:space="preserve">Minus: corporate other transfers</t>
  </si>
  <si>
    <t xml:space="preserve">Minus: capital income, self employment</t>
  </si>
  <si>
    <t xml:space="preserve">Equals:</t>
  </si>
  <si>
    <t xml:space="preserve">Total capital income earned by households &amp; NPISH (net of interest payments)</t>
  </si>
  <si>
    <t xml:space="preserve">Income from life (and other) insurance</t>
  </si>
  <si>
    <t xml:space="preserve">Rents on houses</t>
  </si>
  <si>
    <t xml:space="preserve">Rents on land</t>
  </si>
  <si>
    <t xml:space="preserve">Dividends received by households (before corporate income taxes)</t>
  </si>
  <si>
    <t xml:space="preserve">Directly received from corporations</t>
  </si>
  <si>
    <t xml:space="preserve">Memo: Corporate income taxes</t>
  </si>
  <si>
    <t xml:space="preserve">Interest received by households</t>
  </si>
  <si>
    <t xml:space="preserve">Of which: Interest directly received</t>
  </si>
  <si>
    <t xml:space="preserve">Of which: imputed interest received (FISIM consumed on deposits)</t>
  </si>
  <si>
    <t xml:space="preserve">Interest paid by households</t>
  </si>
  <si>
    <t xml:space="preserve">Of which: interest</t>
  </si>
  <si>
    <t xml:space="preserve">Memo: Personal interest payments before FISIM allocation</t>
  </si>
  <si>
    <t xml:space="preserve">FISIM allocated to households &amp; NPISH</t>
  </si>
  <si>
    <t xml:space="preserve">Of which: on morgages</t>
  </si>
  <si>
    <t xml:space="preserve">Of which: on other households &amp; NPISH debt</t>
  </si>
  <si>
    <t xml:space="preserve"> Memo: Personal interest payments after FISIM/ Personal debt</t>
  </si>
  <si>
    <t xml:space="preserve"> Memo: Personal interest payments before FISIM/ Personal debt</t>
  </si>
  <si>
    <t xml:space="preserve">Code ESA95</t>
  </si>
  <si>
    <t xml:space="preserve">B5n</t>
  </si>
  <si>
    <t xml:space="preserve">D6n</t>
  </si>
  <si>
    <t xml:space="preserve">B1n</t>
  </si>
  <si>
    <t xml:space="preserve">B1</t>
  </si>
  <si>
    <t xml:space="preserve">K1</t>
  </si>
  <si>
    <t xml:space="preserve">D21+D31+D29+D39</t>
  </si>
  <si>
    <t xml:space="preserve">D21+D31</t>
  </si>
  <si>
    <t xml:space="preserve">D29+D39</t>
  </si>
  <si>
    <t xml:space="preserve">B2n</t>
  </si>
  <si>
    <t xml:space="preserve">P3</t>
  </si>
  <si>
    <t xml:space="preserve">P5</t>
  </si>
  <si>
    <t xml:space="preserve">P6</t>
  </si>
  <si>
    <t xml:space="preserve">B2n=B2-K1</t>
  </si>
  <si>
    <t xml:space="preserve">B2</t>
  </si>
  <si>
    <t xml:space="preserve">D1</t>
  </si>
  <si>
    <t xml:space="preserve">B2n+B3n</t>
  </si>
  <si>
    <t xml:space="preserve">D1+B2n+B3n</t>
  </si>
  <si>
    <t xml:space="preserve">B2 (from OECD)</t>
  </si>
  <si>
    <t xml:space="preserve">K1=B2n-B2</t>
  </si>
  <si>
    <t xml:space="preserve">B3+D1-K1</t>
  </si>
  <si>
    <t xml:space="preserve">B3+D1</t>
  </si>
  <si>
    <t xml:space="preserve">B3n</t>
  </si>
  <si>
    <t xml:space="preserve">B3 + K1</t>
  </si>
  <si>
    <t xml:space="preserve">B2+D1-K1</t>
  </si>
  <si>
    <t xml:space="preserve">B2+D1</t>
  </si>
  <si>
    <t xml:space="preserve">D1+K1</t>
  </si>
  <si>
    <t xml:space="preserve">D5</t>
  </si>
  <si>
    <t xml:space="preserve">D4 (net)</t>
  </si>
  <si>
    <t xml:space="preserve">B6n (=B8n)</t>
  </si>
  <si>
    <t xml:space="preserve">D8</t>
  </si>
  <si>
    <t xml:space="preserve">D7+D61+D62</t>
  </si>
  <si>
    <t xml:space="preserve">D4 </t>
  </si>
  <si>
    <t xml:space="preserve">D1+D2+D3+D4</t>
  </si>
  <si>
    <t xml:space="preserve">D4</t>
  </si>
  <si>
    <t xml:space="preserve">D1 (net)</t>
  </si>
  <si>
    <t xml:space="preserve">D2+D3 (net)</t>
  </si>
  <si>
    <t xml:space="preserve">D3</t>
  </si>
  <si>
    <t xml:space="preserve">D2</t>
  </si>
  <si>
    <t xml:space="preserve">D5+D6+D7 (net)</t>
  </si>
  <si>
    <t xml:space="preserve">D5+D6+D7</t>
  </si>
  <si>
    <t xml:space="preserve">D9</t>
  </si>
  <si>
    <t xml:space="preserve">D0</t>
  </si>
  <si>
    <t xml:space="preserve">D41+D45</t>
  </si>
  <si>
    <t xml:space="preserve">EU KLEMS</t>
  </si>
  <si>
    <t xml:space="preserve">D51 </t>
  </si>
  <si>
    <t xml:space="preserve">D51+D59+D91D</t>
  </si>
  <si>
    <t xml:space="preserve">D61 (rec. by govt)</t>
  </si>
  <si>
    <t xml:space="preserve">D51+D59</t>
  </si>
  <si>
    <t xml:space="preserve">D91D</t>
  </si>
  <si>
    <t xml:space="preserve">D62 (paid by gov)</t>
  </si>
  <si>
    <t xml:space="preserve">D621+D623</t>
  </si>
  <si>
    <t xml:space="preserve">D624</t>
  </si>
  <si>
    <t xml:space="preserve">D63</t>
  </si>
  <si>
    <t xml:space="preserve">D7 (net)</t>
  </si>
  <si>
    <t xml:space="preserve">D5 (net)</t>
  </si>
  <si>
    <t xml:space="preserve">B6n</t>
  </si>
  <si>
    <t xml:space="preserve">B8n</t>
  </si>
  <si>
    <t xml:space="preserve">D9 (net)</t>
  </si>
  <si>
    <t xml:space="preserve">B.10.1n</t>
  </si>
  <si>
    <t xml:space="preserve">K2</t>
  </si>
  <si>
    <t xml:space="preserve">B.9</t>
  </si>
  <si>
    <t xml:space="preserve">B8=B8n+K1</t>
  </si>
  <si>
    <t xml:space="preserve">D9C + D9D</t>
  </si>
  <si>
    <t xml:space="preserve">B8-K1+D9C+D9D</t>
  </si>
  <si>
    <t xml:space="preserve">P51</t>
  </si>
  <si>
    <t xml:space="preserve">P51-K1</t>
  </si>
  <si>
    <t xml:space="preserve">P52+P53+K2</t>
  </si>
  <si>
    <t xml:space="preserve">B9A</t>
  </si>
  <si>
    <t xml:space="preserve">B9B</t>
  </si>
  <si>
    <t xml:space="preserve">F</t>
  </si>
  <si>
    <t xml:space="preserve">NETD (Ameco)</t>
  </si>
  <si>
    <t xml:space="preserve">NWTD (Ameco)</t>
  </si>
  <si>
    <t xml:space="preserve">NSTD (Ameco)</t>
  </si>
  <si>
    <t xml:space="preserve">D44</t>
  </si>
  <si>
    <t xml:space="preserve">D45</t>
  </si>
  <si>
    <t xml:space="preserve">D42+D51</t>
  </si>
  <si>
    <t xml:space="preserve">D42</t>
  </si>
  <si>
    <t xml:space="preserve">D41</t>
  </si>
  <si>
    <t xml:space="preserve">D41 (before FISIM)</t>
  </si>
  <si>
    <t xml:space="preserve">DataDE2: Raw 1950-1970 national accounts series for Germany from Statistiche Bundesamt (1991), Volkswirtschaftliche Gesamtrechnungen Facheserie 18 Reihe S.15 Revidierte Ergebnisse 1950 bis 1990</t>
  </si>
  <si>
    <t xml:space="preserve">1950-1960: West Germany without Sarre &amp; West Berlin</t>
  </si>
  <si>
    <t xml:space="preserve">1960-onwards: West Germany including Sarre and West Berlin</t>
  </si>
  <si>
    <t xml:space="preserve">All values are in current billions DM</t>
  </si>
  <si>
    <t xml:space="preserve">"Häusliche Dienste une private Organisationen ohen Erwerbszeck"</t>
  </si>
  <si>
    <t xml:space="preserve">Domestic services &amp; NPISH</t>
  </si>
  <si>
    <t xml:space="preserve">Private disposable income and savings</t>
  </si>
  <si>
    <t xml:space="preserve">Population</t>
  </si>
  <si>
    <t xml:space="preserve">Gross national income</t>
  </si>
  <si>
    <t xml:space="preserve">Net foreign factor income</t>
  </si>
  <si>
    <t xml:space="preserve">CFC/GDP</t>
  </si>
  <si>
    <t xml:space="preserve">Product taxes paid net of subsidies</t>
  </si>
  <si>
    <t xml:space="preserve">Of which: gross fixed capital formation</t>
  </si>
  <si>
    <t xml:space="preserve">Of which: change in inventories</t>
  </si>
  <si>
    <t xml:space="preserve">Exports &amp; foreign factor income inflows</t>
  </si>
  <si>
    <t xml:space="preserve">Imports &amp; foreign factor income outflows</t>
  </si>
  <si>
    <t xml:space="preserve">Net domestic product (domestic services &amp; NPISH)</t>
  </si>
  <si>
    <t xml:space="preserve">Gross value added (domestic services &amp; NPISH)</t>
  </si>
  <si>
    <t xml:space="preserve"> Wages &amp; social contributions paid</t>
  </si>
  <si>
    <t xml:space="preserve">Capital depreciation (domestic services &amp; NPISH)</t>
  </si>
  <si>
    <t xml:space="preserve">Direct taxes</t>
  </si>
  <si>
    <t xml:space="preserve">Memo: undistributed profits of unincorporated enterprises</t>
  </si>
  <si>
    <t xml:space="preserve">Memo: net capital income received by domestic sectors</t>
  </si>
  <si>
    <t xml:space="preserve">Net foreign non-K transfers</t>
  </si>
  <si>
    <t xml:space="preserve">Foreign non-K transfers inflow</t>
  </si>
  <si>
    <t xml:space="preserve">Foreign non-K transfers outflow</t>
  </si>
  <si>
    <t xml:space="preserve">Net foreign K transfers</t>
  </si>
  <si>
    <t xml:space="preserve">Foreign K transfers inflows</t>
  </si>
  <si>
    <t xml:space="preserve">Foreign K transfers outflows</t>
  </si>
  <si>
    <t xml:space="preserve">Self-employment capital income (capital share of s.e. net product)</t>
  </si>
  <si>
    <t xml:space="preserve">Memo: Total compensation of employees  paid by domestic sectors</t>
  </si>
  <si>
    <t xml:space="preserve">Memo: Total compensation of employees received by domestic sectors</t>
  </si>
  <si>
    <t xml:space="preserve">Self-employment labor income (labor share of s.e. net product)</t>
  </si>
  <si>
    <t xml:space="preserve">Taxes received by gov, excl. Bequest &amp; gifts &amp; social contrib</t>
  </si>
  <si>
    <t xml:space="preserve">Memo: households and NPISH net disposable income</t>
  </si>
  <si>
    <t xml:space="preserve">Net personal savings, as per the Bundesbank</t>
  </si>
  <si>
    <t xml:space="preserve">Net savings of households + corporations</t>
  </si>
  <si>
    <t xml:space="preserve">Undistributid profits of noncorporate businesses</t>
  </si>
  <si>
    <t xml:space="preserve">Self-employed (including unpaid family workers)</t>
  </si>
  <si>
    <t xml:space="preserve">p. 46 col. 5</t>
  </si>
  <si>
    <t xml:space="preserve">p. 46 col. 3</t>
  </si>
  <si>
    <t xml:space="preserve">P. 46 col. 7</t>
  </si>
  <si>
    <t xml:space="preserve">P. 45 col. 2</t>
  </si>
  <si>
    <t xml:space="preserve">p. 46 col. 1</t>
  </si>
  <si>
    <t xml:space="preserve">p. 46 col. 4</t>
  </si>
  <si>
    <t xml:space="preserve">p. 46 col. 6</t>
  </si>
  <si>
    <t xml:space="preserve">p. 52 col. 4</t>
  </si>
  <si>
    <t xml:space="preserve">p. 52 col. 5</t>
  </si>
  <si>
    <t xml:space="preserve">p. 53 col. 6</t>
  </si>
  <si>
    <t xml:space="preserve">p. 53 col. 7</t>
  </si>
  <si>
    <t xml:space="preserve">P. 53 col. 12</t>
  </si>
  <si>
    <t xml:space="preserve">P. 53 col. 13</t>
  </si>
  <si>
    <t xml:space="preserve">p. 75 col. 1</t>
  </si>
  <si>
    <t xml:space="preserve">p. 47 col. 7</t>
  </si>
  <si>
    <t xml:space="preserve">p. 75 col. 7</t>
  </si>
  <si>
    <t xml:space="preserve">p. 73 col. 1</t>
  </si>
  <si>
    <t xml:space="preserve">p. 73 col. 3</t>
  </si>
  <si>
    <t xml:space="preserve">p. 73 col. 2</t>
  </si>
  <si>
    <t xml:space="preserve">p. 74 col. 1</t>
  </si>
  <si>
    <t xml:space="preserve">p. 47 col. 6</t>
  </si>
  <si>
    <t xml:space="preserve">p. 74 col. 6</t>
  </si>
  <si>
    <t xml:space="preserve">p. 77 col. 2</t>
  </si>
  <si>
    <t xml:space="preserve">p. 73 col. 7</t>
  </si>
  <si>
    <t xml:space="preserve">p. 80 col. 1</t>
  </si>
  <si>
    <t xml:space="preserve">p. 75 col. 5</t>
  </si>
  <si>
    <t xml:space="preserve">p. 77 col. 4</t>
  </si>
  <si>
    <t xml:space="preserve">p. 72 col. 5</t>
  </si>
  <si>
    <t xml:space="preserve">p. 72 col. 7</t>
  </si>
  <si>
    <t xml:space="preserve">p. 72 col. 4</t>
  </si>
  <si>
    <t xml:space="preserve">p. 72 col. 6</t>
  </si>
  <si>
    <t xml:space="preserve">p. 70 col. 5</t>
  </si>
  <si>
    <t xml:space="preserve">p. 70 col. 6</t>
  </si>
  <si>
    <t xml:space="preserve">p. 74 col. 8</t>
  </si>
  <si>
    <t xml:space="preserve">p. 72 col. 2</t>
  </si>
  <si>
    <t xml:space="preserve">p. 72 col. 9</t>
  </si>
  <si>
    <t xml:space="preserve">p. 83 col. 2 + 3</t>
  </si>
  <si>
    <t xml:space="preserve">p. 83 col. 2</t>
  </si>
  <si>
    <t xml:space="preserve">p. 83 col. 3</t>
  </si>
  <si>
    <t xml:space="preserve">p. 84 col. 5</t>
  </si>
  <si>
    <t xml:space="preserve">p. 80 col. 2</t>
  </si>
  <si>
    <t xml:space="preserve">p.81 col. 10</t>
  </si>
  <si>
    <t xml:space="preserve">p. 83 col. 7</t>
  </si>
  <si>
    <t xml:space="preserve">p. 80 col. 3</t>
  </si>
  <si>
    <t xml:space="preserve">p. 80 col. 8</t>
  </si>
  <si>
    <t xml:space="preserve">p. 85, col. 9</t>
  </si>
  <si>
    <t xml:space="preserve">p. 81 col. 11</t>
  </si>
  <si>
    <t xml:space="preserve">p. 80 col. 9</t>
  </si>
  <si>
    <t xml:space="preserve">p. 87 col. 8</t>
  </si>
  <si>
    <t xml:space="preserve">p. 87 col. 9</t>
  </si>
  <si>
    <t xml:space="preserve">German name</t>
  </si>
  <si>
    <t xml:space="preserve">Nettosozialprodukt zu Marketpreisen</t>
  </si>
  <si>
    <t xml:space="preserve">Bruttosozialprodukt</t>
  </si>
  <si>
    <t xml:space="preserve">Nettosozialprodukt zu Faktorkosten</t>
  </si>
  <si>
    <t xml:space="preserve">Bruttoinlandsprodukt</t>
  </si>
  <si>
    <t xml:space="preserve">Abschreibungen</t>
  </si>
  <si>
    <t xml:space="preserve">Indirekte Steuern abzüglich Subventionen</t>
  </si>
  <si>
    <t xml:space="preserve">Nettowertschöpfung</t>
  </si>
  <si>
    <t xml:space="preserve">Entstandene Einkommen aus Unternehmertätigkeit und Vermögen</t>
  </si>
  <si>
    <t xml:space="preserve">Entstandene Einkommen aus unselbständiger Arbeit</t>
  </si>
  <si>
    <t xml:space="preserve">Verfügbares Einkommen</t>
  </si>
  <si>
    <t xml:space="preserve">Nichtentnommene Gewinne der Unternehmen ohen eigene Rechtspersönlichkeit</t>
  </si>
  <si>
    <t xml:space="preserve">Entnommene Gewinne und Vermögenseinkommen</t>
  </si>
  <si>
    <t xml:space="preserve">laufende übertragungen</t>
  </si>
  <si>
    <t xml:space="preserve">Vermögensübertragungen</t>
  </si>
  <si>
    <t xml:space="preserve">Steuern</t>
  </si>
  <si>
    <t xml:space="preserve">Sozialbeiträge</t>
  </si>
  <si>
    <t xml:space="preserve">Soziale Leistungen</t>
  </si>
  <si>
    <t xml:space="preserve">Bruttoinvestitionen</t>
  </si>
  <si>
    <t xml:space="preserve">P52</t>
  </si>
  <si>
    <t xml:space="preserve">D4+D1</t>
  </si>
  <si>
    <t xml:space="preserve">D9 net</t>
  </si>
  <si>
    <t xml:space="preserve">D62</t>
  </si>
  <si>
    <t xml:space="preserve">DataDE1c: Raw 1850-1950 national accounts series for Germany</t>
  </si>
  <si>
    <t xml:space="preserve">1850-1913: Hoffmann (1965) [NB: 1850-1870 data unreliable, too large discrepancy between various estimates]</t>
  </si>
  <si>
    <t xml:space="preserve">1925-1938: Ritschl (2002)</t>
  </si>
  <si>
    <t xml:space="preserve">1914-1924 &amp; 1939-1950: Ritschl &amp; Spoerer (1997); Ritschl (2003)</t>
  </si>
  <si>
    <t xml:space="preserve">Expenditure approach of national income</t>
  </si>
  <si>
    <t xml:space="preserve">Income approach of national income</t>
  </si>
  <si>
    <t xml:space="preserve">Agricultural sector (all data from Hoffmann)</t>
  </si>
  <si>
    <t xml:space="preserve">Taxes, government disposable income, saving, and investment</t>
  </si>
  <si>
    <t xml:space="preserve">Private wealth (mid-year estimate)</t>
  </si>
  <si>
    <t xml:space="preserve">Foreign assets (1850-1913: mid-year; interwar: see notes)</t>
  </si>
  <si>
    <t xml:space="preserve">Government wealth (mid-year estimate)</t>
  </si>
  <si>
    <r>
      <rPr>
        <b val="true"/>
        <sz val="10"/>
        <rFont val="Arial"/>
        <family val="0"/>
      </rPr>
      <t xml:space="preserve">Y</t>
    </r>
    <r>
      <rPr>
        <b val="true"/>
        <vertAlign val="subscript"/>
        <sz val="10"/>
        <rFont val="Arial"/>
        <family val="2"/>
      </rPr>
      <t xml:space="preserve">kt</t>
    </r>
  </si>
  <si>
    <t xml:space="preserve">Memo: national income (constant 1913 prices)</t>
  </si>
  <si>
    <t xml:space="preserve">Gross national product</t>
  </si>
  <si>
    <t xml:space="preserve">Gross national product (constant 1913 prices)</t>
  </si>
  <si>
    <t xml:space="preserve">Product taxe (net of subsidies)</t>
  </si>
  <si>
    <t xml:space="preserve">National income, expenditure approach</t>
  </si>
  <si>
    <t xml:space="preserve">Of which: public gross fixed capital formation</t>
  </si>
  <si>
    <t xml:space="preserve">Inventory change</t>
  </si>
  <si>
    <t xml:space="preserve">Depreciation</t>
  </si>
  <si>
    <t xml:space="preserve">Net capital formation</t>
  </si>
  <si>
    <t xml:space="preserve">Of which: public net fixed capital formation</t>
  </si>
  <si>
    <t xml:space="preserve">Net foreign trasnfers &amp; reparation payments</t>
  </si>
  <si>
    <t xml:space="preserve">Current account balance = net investment abroad</t>
  </si>
  <si>
    <t xml:space="preserve">Factor-cost national income, income approach</t>
  </si>
  <si>
    <t xml:space="preserve">Business capital income</t>
  </si>
  <si>
    <t xml:space="preserve">Housing capital income</t>
  </si>
  <si>
    <t xml:space="preserve">Agricultural capital income</t>
  </si>
  <si>
    <t xml:space="preserve">Government gross interest payments</t>
  </si>
  <si>
    <t xml:space="preserve">Business &amp; government labor income</t>
  </si>
  <si>
    <t xml:space="preserve">Agricultural labor income</t>
  </si>
  <si>
    <t xml:space="preserve">Total capital income + self-employment income</t>
  </si>
  <si>
    <t xml:space="preserve">Labor income (excluding self-emplyment)</t>
  </si>
  <si>
    <t xml:space="preserve">Memo: correction employer contributions, Hoffmann &amp; Muller</t>
  </si>
  <si>
    <t xml:space="preserve">Agricultural net product</t>
  </si>
  <si>
    <t xml:space="preserve">Number of workers in agricultural sector</t>
  </si>
  <si>
    <t xml:space="preserve">Ofwhich: self-employed</t>
  </si>
  <si>
    <t xml:space="preserve">Memo: total number of self-employed</t>
  </si>
  <si>
    <t xml:space="preserve">Taxes</t>
  </si>
  <si>
    <t xml:space="preserve">Social contributions received</t>
  </si>
  <si>
    <t xml:space="preserve">Government current transfers paid</t>
  </si>
  <si>
    <t xml:space="preserve">Net capital transfers received by government (incl. Reparations)</t>
  </si>
  <si>
    <t xml:space="preserve">Capital income of the government sector</t>
  </si>
  <si>
    <t xml:space="preserve">Government net savings, including net capital transfers received</t>
  </si>
  <si>
    <t xml:space="preserve">Extended disposable income = national income - taxes + transfers  + govt interest</t>
  </si>
  <si>
    <t xml:space="preserve">National savings = net domestic + foreign investments</t>
  </si>
  <si>
    <t xml:space="preserve">CPI (year-average) (1985=100)</t>
  </si>
  <si>
    <t xml:space="preserve">Memo: Goldmark/Papermark exchange rate during hyperinflation</t>
  </si>
  <si>
    <t xml:space="preserve">Price index for national income</t>
  </si>
  <si>
    <t xml:space="preserve">Price index for GNP; 1913=100</t>
  </si>
  <si>
    <t xml:space="preserve">National income, constant 1913 prices, Ritschl 2002</t>
  </si>
  <si>
    <t xml:space="preserve">Per capita national income, constant 1913 prices, Ritschl 2002</t>
  </si>
  <si>
    <t xml:space="preserve">Implied GDP deflator (1913=100) of Ritschl 2002</t>
  </si>
  <si>
    <t xml:space="preserve">Price index for C</t>
  </si>
  <si>
    <t xml:space="preserve">Price index for C+I</t>
  </si>
  <si>
    <t xml:space="preserve">Population (thousands), excl. Invaded territories 38-39</t>
  </si>
  <si>
    <t xml:space="preserve">Adult population (thousands), excl. Invaded territories 38-39</t>
  </si>
  <si>
    <t xml:space="preserve">Population (thousands), includind invaded territories 38-44</t>
  </si>
  <si>
    <t xml:space="preserve">Population Saarland and Berlin West</t>
  </si>
  <si>
    <t xml:space="preserve">Adult population (thousands), includind invaded territories 38-44</t>
  </si>
  <si>
    <t xml:space="preserve">Share self-employed</t>
  </si>
  <si>
    <t xml:space="preserve">Net private wealth</t>
  </si>
  <si>
    <t xml:space="preserve">(Land as a % of national income)</t>
  </si>
  <si>
    <t xml:space="preserve">Agricultural fixed assets</t>
  </si>
  <si>
    <t xml:space="preserve">Business assets</t>
  </si>
  <si>
    <t xml:space="preserve">Houses</t>
  </si>
  <si>
    <t xml:space="preserve">(Houses as a % of national income)</t>
  </si>
  <si>
    <t xml:space="preserve">Financial claims on the government</t>
  </si>
  <si>
    <t xml:space="preserve">Foreign liabilities (excl. WWI Reparations)</t>
  </si>
  <si>
    <t xml:space="preserve">WWI Reparations</t>
  </si>
  <si>
    <t xml:space="preserve">Net foreign asset position (excluding WWI Reparations)</t>
  </si>
  <si>
    <t xml:space="preserve">Net foreign asset position (including WWI reparations)</t>
  </si>
  <si>
    <t xml:space="preserve">Net government wealth</t>
  </si>
  <si>
    <t xml:space="preserve">Government fixed assets</t>
  </si>
  <si>
    <t xml:space="preserve">Public buildings</t>
  </si>
  <si>
    <t xml:space="preserve">Public railways at market value</t>
  </si>
  <si>
    <t xml:space="preserve">Memo: total railways</t>
  </si>
  <si>
    <t xml:space="preserve">Memo: share of railways publicly owned</t>
  </si>
  <si>
    <t xml:space="preserve">Memo: market/book ratio for railways</t>
  </si>
  <si>
    <t xml:space="preserve">Public constructions</t>
  </si>
  <si>
    <t xml:space="preserve">Government net financial wealth, year-end</t>
  </si>
  <si>
    <t xml:space="preserve">Government debt (excluding Versailles treaty debts), year-end</t>
  </si>
  <si>
    <t xml:space="preserve">Government debt (excluding Versailles treaty debts), March 31st</t>
  </si>
  <si>
    <t xml:space="preserve">Central government</t>
  </si>
  <si>
    <t xml:space="preserve">Regions</t>
  </si>
  <si>
    <t xml:space="preserve">Municipalities</t>
  </si>
  <si>
    <t xml:space="preserve">Mefo-Wechsel und Steuergutscheine der Reichs</t>
  </si>
  <si>
    <t xml:space="preserve">Memo: domestic public debt, Hoffmann</t>
  </si>
  <si>
    <t xml:space="preserve">Memo: foreign public debt, Hoffmann</t>
  </si>
  <si>
    <t xml:space="preserve">Government financial assets, year-end</t>
  </si>
  <si>
    <t xml:space="preserve">Public debt held by the Reichsbank</t>
  </si>
  <si>
    <t xml:space="preserve">Darlehnskassenscheine</t>
  </si>
  <si>
    <t xml:space="preserve">Treasury bills and treasury bonds</t>
  </si>
  <si>
    <t xml:space="preserve">Total assets held by the Bundesbank</t>
  </si>
  <si>
    <t xml:space="preserve">East Germany GDP, constant 1913 prices</t>
  </si>
  <si>
    <t xml:space="preserve">Deflator</t>
  </si>
  <si>
    <t xml:space="preserve">East Germany GDP, current prices</t>
  </si>
  <si>
    <t xml:space="preserve">East Germany national income, current prices</t>
  </si>
  <si>
    <t xml:space="preserve">East Germay national income, constant 2010 euros</t>
  </si>
  <si>
    <t xml:space="preserve">Population East Germany</t>
  </si>
  <si>
    <t xml:space="preserve">East Germany wealth income ratio</t>
  </si>
  <si>
    <t xml:space="preserve">East Germany wealth, constant 2010 euros</t>
  </si>
  <si>
    <t xml:space="preserve">East Germany GDP, constant 1989 prices</t>
  </si>
  <si>
    <t xml:space="preserve">West Gremany gross national constant 1913 prices</t>
  </si>
  <si>
    <t xml:space="preserve">1870-1913: Hoffmann Tab. 252; 1925-1938: Ritschl  b5-d</t>
  </si>
  <si>
    <t xml:space="preserve">1850-1913: Hoffmann Tab. 249; 1914-onwards: using % change of Ritschl &amp; Spoerer (1997), Table A1, "BSP zu Marketpreisen"</t>
  </si>
  <si>
    <t xml:space="preserve">Ritschl &amp; Spoerer (1997) Table A1</t>
  </si>
  <si>
    <t xml:space="preserve">1850-1913: Burhop &amp; Wolff JEH (2005), Table A3; 1925-1938: Ritschl (2002)</t>
  </si>
  <si>
    <t xml:space="preserve">1850-1913: Hoffmann  Tab. 252); 1925-1938: Ritschl (2002) b5-d</t>
  </si>
  <si>
    <t xml:space="preserve">Hoffmann Tab. 248; Ritschl b5-d</t>
  </si>
  <si>
    <t xml:space="preserve">Hoffmann Tab. 250; Ritschl b5-d</t>
  </si>
  <si>
    <t xml:space="preserve">Ritschl b3-d</t>
  </si>
  <si>
    <t xml:space="preserve">Hoffman T. 248, col. 2; Ritschl b3-D</t>
  </si>
  <si>
    <t xml:space="preserve">Based on Hoffmann Table 41, assuming same deflator for public investment as for overall investment</t>
  </si>
  <si>
    <t xml:space="preserve">Hoffmann tab. 241; WW1: Ritschl (2003, Table 7); interwar: Ritschl 2002 b-4d</t>
  </si>
  <si>
    <t xml:space="preserve">Hoffmann tab. 241; WW1: Ritschl (2003, Table 7); interwar: Ritschl b-4d</t>
  </si>
  <si>
    <t xml:space="preserve">Hoffmann tab. 241; WWI: Ritschl (2005, Table7); WW1: Ritschl b-4d</t>
  </si>
  <si>
    <t xml:space="preserve">Hoffmann tab. 241; Ritschl b-4d</t>
  </si>
  <si>
    <t xml:space="preserve">Hoffmann Tab. 231; Ritschl tab b-4d</t>
  </si>
  <si>
    <t xml:space="preserve">Hoffman Tab. 251; Ritschl b4-d</t>
  </si>
  <si>
    <t xml:space="preserve">Hoffmann Tab. 122; Ritschl b1-d</t>
  </si>
  <si>
    <t xml:space="preserve">Hoffmann Tab. 122</t>
  </si>
  <si>
    <t xml:space="preserve">Hoffmann Tab. 229; Ritschl a-12</t>
  </si>
  <si>
    <t xml:space="preserve">Hoffmann &amp; Muller (1959)</t>
  </si>
  <si>
    <t xml:space="preserve">Ritschl (2002)</t>
  </si>
  <si>
    <t xml:space="preserve">Hoffmann Tab. 65</t>
  </si>
  <si>
    <t xml:space="preserve">Hoffmann Tab. 20</t>
  </si>
  <si>
    <t xml:space="preserve">Hoffmann Tab. 22</t>
  </si>
  <si>
    <t xml:space="preserve">Hoffmann Tab. 230 (Reich+Länder+Gemeinden); Ritschl b-2d</t>
  </si>
  <si>
    <t xml:space="preserve">Hoffmann Tab. 230 (Sonstige laufende Einnahmen, Reich+Länder+Gemeinden) ; Ritschl b-2d</t>
  </si>
  <si>
    <t xml:space="preserve">Hoffmann Tab. 230 (Reich+Bundesstaaten+Gemeinden+Verteidigung (defense);  Ritschl b-2d</t>
  </si>
  <si>
    <t xml:space="preserve">Ritschl A.12.7+A.12.7</t>
  </si>
  <si>
    <t xml:space="preserve">Ritschl A.6.27+A.12.19+A.12.20a+A.12.20b</t>
  </si>
  <si>
    <t xml:space="preserve">Gross disposable income - depreciation - consumption</t>
  </si>
  <si>
    <t xml:space="preserve">Ritschl b-3d</t>
  </si>
  <si>
    <t xml:space="preserve">1925-1938: Ritschl Tab. A12 line 22; 1914-1918: Ritschl (2003, Table 14)</t>
  </si>
  <si>
    <t xml:space="preserve">See formula</t>
  </si>
  <si>
    <t xml:space="preserve">Gielen (1994), based on Bundesbank and Stat Jahrbuch data (see Gielen 1994 and Bittlingmayer 1998 p. 2256)</t>
  </si>
  <si>
    <t xml:space="preserve">Wirtschaft und Statistik, 1923 p.413 ("Monthly average exchange rate of the Gold Mark expressed in paper Mark")</t>
  </si>
  <si>
    <t xml:space="preserve">Hoffmann Tab. 148</t>
  </si>
  <si>
    <t xml:space="preserve">Ritschl &amp; Spoerer (1997)</t>
  </si>
  <si>
    <t xml:space="preserve">1850-1913: Hoffmann Tab 148; 1925-1938: Ritschl b-8d</t>
  </si>
  <si>
    <t xml:space="preserve">Statistisches Jahrbuch (1871-1939: taken from Hoffmann &amp; Muller 1957; 1850-1870: taken from Hoffmann, excluding Alsace-Lorraine)</t>
  </si>
  <si>
    <t xml:space="preserve">Statistiches Jahrbuch (taken from Ritschl &amp; Spoerer (1997)).</t>
  </si>
  <si>
    <t xml:space="preserve">My computations</t>
  </si>
  <si>
    <t xml:space="preserve">Histat (Kaiserliches Statistisches Amt)</t>
  </si>
  <si>
    <t xml:space="preserve">Hoffmann Table 20</t>
  </si>
  <si>
    <t xml:space="preserve">Hoffmann Table 22</t>
  </si>
  <si>
    <t xml:space="preserve">Hoffmann (1965), p. 234</t>
  </si>
  <si>
    <t xml:space="preserve">Hoffmann Tab 40</t>
  </si>
  <si>
    <t xml:space="preserve">Hoffmann (1965), Table 43; 1926-1930: Bundesbank (1976) p. 331, excluding gold (and foreign currency)</t>
  </si>
  <si>
    <t xml:space="preserve">1850-1913: 0 (Hoffmann's foreign asset figures are net of foreign liabilities); 1926-1940: Bundesbank (1976) p. 331; 1941-1944: 1940 data point + flow of clearing debt from Ritschl 2001 Table 4 p. 330</t>
  </si>
  <si>
    <t xml:space="preserve">See e.g. Guinnane (2004, p. 11), Ristschl (2012, p.2-3)</t>
  </si>
  <si>
    <t xml:space="preserve">Wengenroth 2000 p. 106.</t>
  </si>
  <si>
    <r>
      <rPr>
        <sz val="8"/>
        <rFont val="Arial"/>
        <family val="2"/>
      </rPr>
      <t xml:space="preserve">Bundesbank (1976), </t>
    </r>
    <r>
      <rPr>
        <i val="true"/>
        <sz val="8"/>
        <rFont val="Arial"/>
        <family val="2"/>
      </rPr>
      <t xml:space="preserve">Deutsche Geld- und Bankwesen in Zahlen 1876-1975</t>
    </r>
  </si>
  <si>
    <t xml:space="preserve">Hoffmann Tab. 225</t>
  </si>
  <si>
    <t xml:space="preserve">Hoffmann Tab. 226</t>
  </si>
  <si>
    <t xml:space="preserve">Ritschl &amp; Spoerer (1997) Tab A2</t>
  </si>
  <si>
    <t xml:space="preserve">Ritschl &amp; Spoerer (1997) Tab A2 col. 2</t>
  </si>
  <si>
    <t xml:space="preserve">BSP zu Marketpreisen</t>
  </si>
  <si>
    <t xml:space="preserve">Nettoinvestitionen</t>
  </si>
  <si>
    <t xml:space="preserve">Saldo der Leistungsbilanz.</t>
  </si>
  <si>
    <t xml:space="preserve">Einkommen aus Unternehmertätigkeit und Vermögen</t>
  </si>
  <si>
    <t xml:space="preserve">Sonstige laufende Einnahmen</t>
  </si>
  <si>
    <t xml:space="preserve">Vermögens- und Unternehmenseinkommen</t>
  </si>
  <si>
    <t xml:space="preserve">Verfügbares Einkommen der privaten Haushalte</t>
  </si>
  <si>
    <t xml:space="preserve">Die Beschäftigten nach Wirtschaftsbereichen </t>
  </si>
  <si>
    <t xml:space="preserve">Landwirtschaft</t>
  </si>
  <si>
    <t xml:space="preserve">Gewerbe</t>
  </si>
  <si>
    <t xml:space="preserve">Nicht landwirtschaftliehe Wonhungen</t>
  </si>
  <si>
    <t xml:space="preserve">öffentliche Gabäude</t>
  </si>
  <si>
    <t xml:space="preserve">Einsenbahnen</t>
  </si>
  <si>
    <t xml:space="preserve">öffentlicher Tiefbau</t>
  </si>
  <si>
    <t xml:space="preserve">Reich</t>
  </si>
  <si>
    <t xml:space="preserve">Länder</t>
  </si>
  <si>
    <t xml:space="preserve">Gemeinden </t>
  </si>
  <si>
    <t xml:space="preserve">Note</t>
  </si>
  <si>
    <t xml:space="preserve">At current market prices</t>
  </si>
  <si>
    <t xml:space="preserve">Post 1945: East+W Germany</t>
  </si>
  <si>
    <t xml:space="preserve">1925-1938: same as Ritschl (2002). Post 1945: East+W Germany</t>
  </si>
  <si>
    <t xml:space="preserve">1850-1913: susbsidies assumed to be equal to 0</t>
  </si>
  <si>
    <t xml:space="preserve">This is very slightly different from the national income figure given by Hoffmann Tab. 249 because I use a slightly different current account balance (based on Hoffmann's own BoP data: there is a small discrepancy between the current account balance given by Hoffmann in Tab 251 (which enters into his computation of national income) and in tab. 241 (which I use here).</t>
  </si>
  <si>
    <t xml:space="preserve">Data include stocks</t>
  </si>
  <si>
    <t xml:space="preserve">Public investment = öffentliche Gebäude + Eisenbahnen + öffentlicher Tiefbau</t>
  </si>
  <si>
    <t xml:space="preserve">Net foreign labor income = 0</t>
  </si>
  <si>
    <t xml:space="preserve">Hoffman: large discrepancy between income and expenditure national income until 1890s. Gap between Hoffman income-based NI and Burhop &amp; Wolff "compromise estimate " of national income &gt; 10% until 1890. See Burhop &amp; Wolff (JEH, 2005, p. 616) and Appendix Table 2 p. 651. Ritschl: expenditure = income (no separate income series; factor income decomposition comes from Hoffmann &amp; Muller (1957) and is fully consistent with expenditure-based national income of Ritschl)</t>
  </si>
  <si>
    <t xml:space="preserve">Includes capital icome from railways &amp; post</t>
  </si>
  <si>
    <t xml:space="preserve">Assume 0 before 1873</t>
  </si>
  <si>
    <t xml:space="preserve">Both series include central gov+regions+municipalites. Note that Hoffmann &amp; Muller's (1959) series exclude municipal debt. </t>
  </si>
  <si>
    <t xml:space="preserve">Includes labor income in railways &amp; post</t>
  </si>
  <si>
    <t xml:space="preserve">Interwar: start from Hoffmann's agricultural net product, and assume same facotr income distribution as in 1913 (2/3-1/3). Could be improved.</t>
  </si>
  <si>
    <t xml:space="preserve">Includes retained earnings, and capital income from government companies (öffentliche Vermögens- und Unternehmereinkommen)</t>
  </si>
  <si>
    <t xml:space="preserve">Not consistent with Destatis accounts 1950-1990: Hoffmann's figures are significantly lower. Why? </t>
  </si>
  <si>
    <t xml:space="preserve">1850-1913: all taxes; interwer: direct taxes only</t>
  </si>
  <si>
    <t xml:space="preserve">Huge increase in transfer payments = pensions after WW1</t>
  </si>
  <si>
    <t xml:space="preserve">1850-1913: The very small discrepancy with (disposable income - consumption) comes from the fact that Hoffmann has 2 slightly different public expenditure series in table 249 and 232</t>
  </si>
  <si>
    <t xml:space="preserve">Apparently no data on depreciation in Hoffmann</t>
  </si>
  <si>
    <t xml:space="preserve">Data for WW1 refer to fiscal years, 1 April to 31 March</t>
  </si>
  <si>
    <t xml:space="preserve">Deflator used (apparently) by Burhhop &amp; Wolff (see p. 626)</t>
  </si>
  <si>
    <t xml:space="preserve">Mid-year data (see for instance for year 1925 Stat Yearbook 1931 p. 5 col. 2)</t>
  </si>
  <si>
    <t xml:space="preserve">Mid-year data. Jeweiliger Gebietsstand, d.h. ab 1938 einschlieﬂlich annektierter Gebiete. 1919-34 ohne Saargebiet, 1946-50 ohne Saarland und Berlin (West). Werte für 1942-44 geschätzt.</t>
  </si>
  <si>
    <t xml:space="preserve">See formula for missing years</t>
  </si>
  <si>
    <t xml:space="preserve">Not clear whether this fully includes self-employed (&amp; soldiers) and how unpaid family workers are counted</t>
  </si>
  <si>
    <t xml:space="preserve">This breakdown between salaried workers/self-employed is not consistent with official Destatis data for the 1950s (one potential pb = unpaid family workers)</t>
  </si>
  <si>
    <t xml:space="preserve">Assume tha 100% of gov debt is owned by households (including debt of municipalities). Assume that Tobin's Q is = 1 before 1913 but = 0.55 after 1925 (a figure that comes from Baron, for 1935); and land prices depressed by similar factor</t>
  </si>
  <si>
    <t xml:space="preserve">No data in Hoffmann after 1913; assumes 1913 fixed fraction of agricultural fixed assets</t>
  </si>
  <si>
    <t xml:space="preserve">I assume that before 1913 100% of public debt (including municipal debt) is held by the domestic private sector</t>
  </si>
  <si>
    <t xml:space="preserve">1882 backwards using % change of foreign income. Assumes that 100% of foreign portfolio is lost during the war 1914-1918. No data after 1930, see formula</t>
  </si>
  <si>
    <t xml:space="preserve">Interwar: assumes railways are worth 55% their book value  (just like for the private sector); public buildings &amp; constructions at book value</t>
  </si>
  <si>
    <t xml:space="preserve">About 50% of railways publicly owned in 1860s; 56% were publicly owned in 1870, 82% in 1880 and &gt;90% at the end of the century. They were managed like private businesses by the States --&gt; the railway assets should be counted as equity holdings of the government on private corporations. Note also that because they were run like private businesses, they made profits, which explains why in the national accounts of the time the government earns capital income.</t>
  </si>
  <si>
    <t xml:space="preserve">Data for March 31 of year n. 1850-1879: based on Hoffmann (1965)</t>
  </si>
  <si>
    <t xml:space="preserve">Data for March 31 n+1</t>
  </si>
  <si>
    <t xml:space="preserve">Until 1920: data for March n; after 1928: data for March n+1. Before 1928, includes a ("relatively small") amount of debt held by central gov and municipalities, see note 7 in Bundesbank (1976)</t>
  </si>
  <si>
    <t xml:space="preserve">Seels too low just before WW1 and during interwar. I assume that before 1913 100% of public debt is domestically owned</t>
  </si>
  <si>
    <t xml:space="preserve">I assume that before 1913 100% of public debt is domestically owned</t>
  </si>
  <si>
    <t xml:space="preserve">year-end</t>
  </si>
  <si>
    <t xml:space="preserve">In DM</t>
  </si>
  <si>
    <t xml:space="preserve">In DM. Assuming same GDP/national income ratio as in the West</t>
  </si>
  <si>
    <t xml:space="preserve">DataDE2: Raw national wealth accounts series for Germany 1991-today, linked with 1950-1990 financial wealth &amp; fixed assets accounts from DateDE2b</t>
  </si>
  <si>
    <t xml:space="preserve">1950-1990: West Germany (including Sarre &amp; West Berlin over 1950-1960): 1991-onwards: reunified Germany</t>
  </si>
  <si>
    <t xml:space="preserve">1 eur =</t>
  </si>
  <si>
    <t xml:space="preserve">Corporate Wealth (January 1st of each year)</t>
  </si>
  <si>
    <t xml:space="preserve">Foreign Wealth (January 1st of each year)</t>
  </si>
  <si>
    <t xml:space="preserve">Household &amp; NPISH Wealth (January 1st of each year)</t>
  </si>
  <si>
    <t xml:space="preserve">Government Wealth (January 1st of each year)</t>
  </si>
  <si>
    <t xml:space="preserve">Notation</t>
  </si>
  <si>
    <r>
      <rPr>
        <sz val="10"/>
        <rFont val="Arial"/>
        <family val="0"/>
      </rPr>
      <t xml:space="preserve"> L</t>
    </r>
    <r>
      <rPr>
        <vertAlign val="subscript"/>
        <sz val="10"/>
        <rFont val="Arial"/>
        <family val="2"/>
      </rPr>
      <t xml:space="preserve">ct</t>
    </r>
    <r>
      <rPr>
        <vertAlign val="superscript"/>
        <sz val="10"/>
        <rFont val="Arial"/>
        <family val="2"/>
      </rPr>
      <t xml:space="preserve">e</t>
    </r>
  </si>
  <si>
    <r>
      <rPr>
        <sz val="10"/>
        <rFont val="Arial"/>
        <family val="0"/>
      </rPr>
      <t xml:space="preserve">K</t>
    </r>
    <r>
      <rPr>
        <vertAlign val="subscript"/>
        <sz val="10"/>
        <rFont val="Arial"/>
        <family val="2"/>
      </rPr>
      <t xml:space="preserve">t</t>
    </r>
  </si>
  <si>
    <r>
      <rPr>
        <sz val="10"/>
        <rFont val="Arial"/>
        <family val="0"/>
      </rPr>
      <t xml:space="preserve">A</t>
    </r>
    <r>
      <rPr>
        <vertAlign val="subscript"/>
        <sz val="10"/>
        <rFont val="Arial"/>
        <family val="2"/>
      </rPr>
      <t xml:space="preserve">t</t>
    </r>
  </si>
  <si>
    <r>
      <rPr>
        <sz val="10"/>
        <rFont val="Arial"/>
        <family val="0"/>
      </rPr>
      <t xml:space="preserve">A</t>
    </r>
    <r>
      <rPr>
        <vertAlign val="subscript"/>
        <sz val="10"/>
        <rFont val="Arial"/>
        <family val="2"/>
      </rPr>
      <t xml:space="preserve">t</t>
    </r>
    <r>
      <rPr>
        <vertAlign val="superscript"/>
        <sz val="10"/>
        <rFont val="Arial"/>
        <family val="2"/>
      </rPr>
      <t xml:space="preserve">e</t>
    </r>
  </si>
  <si>
    <r>
      <rPr>
        <sz val="10"/>
        <rFont val="Arial"/>
        <family val="0"/>
      </rPr>
      <t xml:space="preserve">L</t>
    </r>
    <r>
      <rPr>
        <vertAlign val="subscript"/>
        <sz val="10"/>
        <rFont val="Arial"/>
        <family val="2"/>
      </rPr>
      <t xml:space="preserve">t</t>
    </r>
  </si>
  <si>
    <t xml:space="preserve">Cultivated assets + agricultural land</t>
  </si>
  <si>
    <t xml:space="preserve">Machinery &amp; equipment</t>
  </si>
  <si>
    <t xml:space="preserve">Dwellings</t>
  </si>
  <si>
    <t xml:space="preserve">Other buildings and structures</t>
  </si>
  <si>
    <t xml:space="preserve">Land underlying buildings and structures</t>
  </si>
  <si>
    <t xml:space="preserve">Intangible fixed assets</t>
  </si>
  <si>
    <t xml:space="preserve">Net financial assets</t>
  </si>
  <si>
    <t xml:space="preserve">Gross financial assets</t>
  </si>
  <si>
    <t xml:space="preserve">(Of which: equity liabilities)</t>
  </si>
  <si>
    <t xml:space="preserve">Net wealth</t>
  </si>
  <si>
    <t xml:space="preserve">Fixed assets</t>
  </si>
  <si>
    <t xml:space="preserve">Cultivated assets</t>
  </si>
  <si>
    <t xml:space="preserve">Net foreign asset position</t>
  </si>
  <si>
    <t xml:space="preserve">Memo: estimated housing wealth</t>
  </si>
  <si>
    <t xml:space="preserve">Memo: estimated non-housing real assets</t>
  </si>
  <si>
    <t xml:space="preserve">(Shares, excluding other equities &amp; mutual funds)</t>
  </si>
  <si>
    <t xml:space="preserve">(Other equities &amp; mutual funds)</t>
  </si>
  <si>
    <t xml:space="preserve">(Insurance assets)</t>
  </si>
  <si>
    <t xml:space="preserve">(Other assets)</t>
  </si>
  <si>
    <t xml:space="preserve">Memo: consumer durables (year-end)</t>
  </si>
  <si>
    <t xml:space="preserve">Memo: consumer durables of households (mid-year)</t>
  </si>
  <si>
    <t xml:space="preserve">(housing wealth, % of national income)</t>
  </si>
  <si>
    <t xml:space="preserve">% of dwellings held by households</t>
  </si>
  <si>
    <t xml:space="preserve">% of dwellings held by corporations</t>
  </si>
  <si>
    <t xml:space="preserve">Code</t>
  </si>
  <si>
    <t xml:space="preserve">PF.</t>
  </si>
  <si>
    <t xml:space="preserve">PF.5</t>
  </si>
  <si>
    <t xml:space="preserve">AN.</t>
  </si>
  <si>
    <t xml:space="preserve">AF.</t>
  </si>
  <si>
    <t xml:space="preserve">IIP data</t>
  </si>
  <si>
    <t xml:space="preserve">AN.1111</t>
  </si>
  <si>
    <t xml:space="preserve">AN.1112</t>
  </si>
  <si>
    <t xml:space="preserve">AN.2111</t>
  </si>
  <si>
    <t xml:space="preserve">AF.511+AF.512</t>
  </si>
  <si>
    <t xml:space="preserve">AF.6</t>
  </si>
  <si>
    <t xml:space="preserve">AF.2+AF.3+AF.4+AF.513.AF.52+AF.7</t>
  </si>
  <si>
    <t xml:space="preserve">B.90</t>
  </si>
  <si>
    <t xml:space="preserve">DataDE2b: Raw financial accounts for Germany, 1950-2011</t>
  </si>
  <si>
    <t xml:space="preserve">And raw non-financial assets series for Germany, 1950-2010, from various sources (see following sheet "Source")</t>
  </si>
  <si>
    <t xml:space="preserve">1950-1990: West Germany (including Sarre &amp; West Berlin in 1950-1960, except for financial assets): 1991-onwards: reunified Germany</t>
  </si>
  <si>
    <t xml:space="preserve">Households' Financial wealth</t>
  </si>
  <si>
    <t xml:space="preserve">Total building &amp; structures</t>
  </si>
  <si>
    <t xml:space="preserve">Other building and structures</t>
  </si>
  <si>
    <t xml:space="preserve">Machinery and equipment</t>
  </si>
  <si>
    <t xml:space="preserve">Land underlying dwellings and structures</t>
  </si>
  <si>
    <t xml:space="preserve">Land prices</t>
  </si>
  <si>
    <t xml:space="preserve">Land surfaces (Destatis confirmed that no official data exist before 1992)</t>
  </si>
  <si>
    <t xml:space="preserve">Governments' Financial wealth</t>
  </si>
  <si>
    <t xml:space="preserve">Governments' Fixed assets</t>
  </si>
  <si>
    <t xml:space="preserve">Corporations' Financial wealth</t>
  </si>
  <si>
    <t xml:space="preserve">Assets of the rest of the world on Germany</t>
  </si>
  <si>
    <t xml:space="preserve">Unit</t>
  </si>
  <si>
    <t xml:space="preserve">EUR / m2</t>
  </si>
  <si>
    <t xml:space="preserve">km2</t>
  </si>
  <si>
    <t xml:space="preserve">Series</t>
  </si>
  <si>
    <t xml:space="preserve">Household total financial assets (securities at book value)</t>
  </si>
  <si>
    <t xml:space="preserve">Household total financial assets (securities at market value)</t>
  </si>
  <si>
    <t xml:space="preserve">Of which: shares (AF.511+512, but excludes 513: other equities)</t>
  </si>
  <si>
    <t xml:space="preserve">Of which: insurance assets (AF.6)</t>
  </si>
  <si>
    <t xml:space="preserve">Household lliabilities, consumer credit</t>
  </si>
  <si>
    <t xml:space="preserve">Household net financial wealth (securities at book value)</t>
  </si>
  <si>
    <t xml:space="preserve">Household net financial wealth (securities at market value)</t>
  </si>
  <si>
    <t xml:space="preserve">Housing liabilities, bank loans</t>
  </si>
  <si>
    <t xml:space="preserve">Housing liabilities, loans from building societes</t>
  </si>
  <si>
    <t xml:space="preserve">Housing liabilities, other</t>
  </si>
  <si>
    <t xml:space="preserve">Housing liabilities, total</t>
  </si>
  <si>
    <t xml:space="preserve">Household total liabilities (consumer credit + housing-related liabilities)</t>
  </si>
  <si>
    <t xml:space="preserve">Corrected household net financial wealth (market values + housing related liab)</t>
  </si>
  <si>
    <t xml:space="preserve">Household net financial wealth</t>
  </si>
  <si>
    <t xml:space="preserve">Corrected household net financial wealth (securities at market value + housing-related liab included)</t>
  </si>
  <si>
    <t xml:space="preserve">Household total financial assets</t>
  </si>
  <si>
    <t xml:space="preserve">Of which: equities &amp; mutual fund shares: AF.5</t>
  </si>
  <si>
    <t xml:space="preserve">(Shares (AF.511+512)</t>
  </si>
  <si>
    <t xml:space="preserve">(Other equities &amp; mutual funds: AF.513+AF.52)</t>
  </si>
  <si>
    <t xml:space="preserve">Of which: claims on insurance companies: AF.6</t>
  </si>
  <si>
    <t xml:space="preserve">Of which: other</t>
  </si>
  <si>
    <t xml:space="preserve">Household total lliabilities</t>
  </si>
  <si>
    <t xml:space="preserve">Net stock of total building &amp; structures (dwellings + other), total economy</t>
  </si>
  <si>
    <t xml:space="preserve">Memo: Net stock of total buildings (dwellings + other) excluding public constructions (öffentlicher Tiefbau), total economy</t>
  </si>
  <si>
    <t xml:space="preserve">Memo: estimated net stock of public constructions (öffentlicher Tiefbau)</t>
  </si>
  <si>
    <t xml:space="preserve">Net stock of dwellings, total economy</t>
  </si>
  <si>
    <t xml:space="preserve">Memo: Net stock of dwellings, total economy, other source</t>
  </si>
  <si>
    <t xml:space="preserve">Net stock of dwellings, households &amp; NPISH</t>
  </si>
  <si>
    <t xml:space="preserve">Net stock of dwellings, government</t>
  </si>
  <si>
    <t xml:space="preserve">Net stock of dwellings, corporations</t>
  </si>
  <si>
    <t xml:space="preserve">Net stock of dwellings,non-financial corporations</t>
  </si>
  <si>
    <t xml:space="preserve">Net stock of dwellings, financial corporations</t>
  </si>
  <si>
    <t xml:space="preserve">Other building and structures, total economy</t>
  </si>
  <si>
    <t xml:space="preserve">Other building and structures, households &amp; NPISH</t>
  </si>
  <si>
    <t xml:space="preserve">Other building and structures, Government</t>
  </si>
  <si>
    <t xml:space="preserve">Other building and structures, corporations</t>
  </si>
  <si>
    <t xml:space="preserve">Other building and structures, nonfinancial corporations</t>
  </si>
  <si>
    <t xml:space="preserve">Other building and structures, financial corporations</t>
  </si>
  <si>
    <t xml:space="preserve">Machinery and equipment, total economy</t>
  </si>
  <si>
    <t xml:space="preserve">Machinery and equipment, households &amp; NPISH</t>
  </si>
  <si>
    <t xml:space="preserve">Machinery and equipment, Government</t>
  </si>
  <si>
    <t xml:space="preserve">Machinery and equipment, corporations</t>
  </si>
  <si>
    <t xml:space="preserve">Machinery and equipment, nonfinancial corporations</t>
  </si>
  <si>
    <t xml:space="preserve">Machinery and equipment, financial corporations</t>
  </si>
  <si>
    <t xml:space="preserve">Cultivated assets, total economy</t>
  </si>
  <si>
    <t xml:space="preserve">Cultivated assets, households &amp; NPISH</t>
  </si>
  <si>
    <t xml:space="preserve">Cultivated assets, Government</t>
  </si>
  <si>
    <t xml:space="preserve">Cultivated assets, corporations</t>
  </si>
  <si>
    <t xml:space="preserve">Cultivated assets, nonfinancial corporations</t>
  </si>
  <si>
    <t xml:space="preserve">Cultivated assets, financial corporations</t>
  </si>
  <si>
    <t xml:space="preserve">Intangible fixed assets, total economy</t>
  </si>
  <si>
    <t xml:space="preserve">Intangible fixed assets, households &amp; NPISH</t>
  </si>
  <si>
    <t xml:space="preserve">Intangible fixed assets, Government</t>
  </si>
  <si>
    <t xml:space="preserve">Intangible fixed assets, corporations</t>
  </si>
  <si>
    <t xml:space="preserve">Intangible fixed assets, nonfinancial corporations</t>
  </si>
  <si>
    <t xml:space="preserve">Intangible fixed assets, financial corporations</t>
  </si>
  <si>
    <t xml:space="preserve">Land underlying dwellings and structures, total economy</t>
  </si>
  <si>
    <t xml:space="preserve">Land underlying dwellings and structures, households &amp; NPISH</t>
  </si>
  <si>
    <t xml:space="preserve">Land underlying dwellings and structures, Government</t>
  </si>
  <si>
    <t xml:space="preserve">Land underlying dwellings and structures, Corporations</t>
  </si>
  <si>
    <t xml:space="preserve">Land underlying dwellings and structures, non financial corporations</t>
  </si>
  <si>
    <t xml:space="preserve">Land underlying dwellings and structures, financial Corporations</t>
  </si>
  <si>
    <t xml:space="preserve">Average transaction price for total building land</t>
  </si>
  <si>
    <t xml:space="preserve">Average transaction price for readily constructible land</t>
  </si>
  <si>
    <t xml:space="preserve">Total population (East + West)</t>
  </si>
  <si>
    <t xml:space="preserve">Population, West Germany only</t>
  </si>
  <si>
    <t xml:space="preserve">Number of tax units</t>
  </si>
  <si>
    <t xml:space="preserve">Total Germany territory</t>
  </si>
  <si>
    <t xml:space="preserve">Surface built</t>
  </si>
  <si>
    <t xml:space="preserve">Of which: Dwellings</t>
  </si>
  <si>
    <t xml:space="preserve">Of which: industries, commercial areas</t>
  </si>
  <si>
    <t xml:space="preserve">Other agricultural land</t>
  </si>
  <si>
    <t xml:space="preserve">Recreational land</t>
  </si>
  <si>
    <t xml:space="preserve">Traffic areas</t>
  </si>
  <si>
    <t xml:space="preserve">Agricultural land</t>
  </si>
  <si>
    <t xml:space="preserve">Woodland</t>
  </si>
  <si>
    <t xml:space="preserve">Water surfaces</t>
  </si>
  <si>
    <t xml:space="preserve">Land with other uses</t>
  </si>
  <si>
    <t xml:space="preserve">Government's total financial asset (securities at book value)</t>
  </si>
  <si>
    <t xml:space="preserve">Government's liabilities (securities at book value)</t>
  </si>
  <si>
    <t xml:space="preserve">Government's net financial wealth (securities at book value)</t>
  </si>
  <si>
    <t xml:space="preserve">Government total financial assets</t>
  </si>
  <si>
    <t xml:space="preserve">Government lliabilities</t>
  </si>
  <si>
    <t xml:space="preserve">Government net financial wealth</t>
  </si>
  <si>
    <t xml:space="preserve">Government's foreign debt</t>
  </si>
  <si>
    <t xml:space="preserve">Government's gross foreign debt</t>
  </si>
  <si>
    <t xml:space="preserve">Government's net stock of fixed assets, excluding öffentlichen Tiefbau</t>
  </si>
  <si>
    <t xml:space="preserve">Government's (estimated) net stock of öffentlichen Tiefbau</t>
  </si>
  <si>
    <t xml:space="preserve">Corporations total financial assets (securities at market value)</t>
  </si>
  <si>
    <t xml:space="preserve">Nonfinancial corporations (securities at market value)</t>
  </si>
  <si>
    <t xml:space="preserve">Financial corporations (securities at market value)</t>
  </si>
  <si>
    <t xml:space="preserve">Corporations non-equity liabilities (securities at market values)</t>
  </si>
  <si>
    <t xml:space="preserve">Nonfinancial corporations (securities at book value)</t>
  </si>
  <si>
    <t xml:space="preserve">Corporations equity liabilities (market values)</t>
  </si>
  <si>
    <t xml:space="preserve">Nonfinancial corporations (equities at book value)</t>
  </si>
  <si>
    <t xml:space="preserve">Nonfinancial corporations (equities at market value)</t>
  </si>
  <si>
    <t xml:space="preserve">Financial corporations (equities at market value)</t>
  </si>
  <si>
    <t xml:space="preserve">Corporations total liabilities (securities at market values)</t>
  </si>
  <si>
    <t xml:space="preserve">Nonfinancial corporations (securities at book values)</t>
  </si>
  <si>
    <t xml:space="preserve">Nonfinancial corporations (securities at market values)</t>
  </si>
  <si>
    <t xml:space="preserve">Financial corporations (securities at market values)</t>
  </si>
  <si>
    <t xml:space="preserve">Corporations total financial assets</t>
  </si>
  <si>
    <t xml:space="preserve">Corporations non-equity liabilities</t>
  </si>
  <si>
    <t xml:space="preserve">Corporations equity liabilities</t>
  </si>
  <si>
    <t xml:space="preserve">Financial assets of the rest of the world (securities at market value)</t>
  </si>
  <si>
    <t xml:space="preserve">Liabilities of the rest of the world (securities at market value)</t>
  </si>
  <si>
    <t xml:space="preserve">Net assets of the rest of the world (securities at market value)</t>
  </si>
  <si>
    <t xml:space="preserve">Foreign assets of Germany</t>
  </si>
  <si>
    <t xml:space="preserve">Foreign liabilities of Germany</t>
  </si>
  <si>
    <t xml:space="preserve">Net foreign asset position of Germany</t>
  </si>
  <si>
    <t xml:space="preserve">Year-End Values. Includes NPISH. Excludes households as producers. 1950-1959: excludes Saarland &amp; W Berlin</t>
  </si>
  <si>
    <t xml:space="preserve">Year-End Values. Includes NPISH. Excludes households as producers</t>
  </si>
  <si>
    <t xml:space="preserve">Year-End Values</t>
  </si>
  <si>
    <t xml:space="preserve">Year-End Values. Baron excludes this, and he also excludes housing-related liabilities of the corp + gov + NPISH sectors (see Table 21 p. 136)</t>
  </si>
  <si>
    <t xml:space="preserve">Year-End Values. Includes NPISH. Includes households as purchasers of private residential properties</t>
  </si>
  <si>
    <t xml:space="preserve">Year-End Values. Secs at market values. Includes NPISH. Includes households as purchasers of private residential properties</t>
  </si>
  <si>
    <t xml:space="preserve">West Germany only. Beginning of year data. Raw series exclude Saarland and Berlin before 1960, but I recompute them to include Berlin and Saarland using the 1960 value including Saarland &amp; Berlin, and % change of the raw series backwards.</t>
  </si>
  <si>
    <t xml:space="preserve">West Germany only. Beginning of year data</t>
  </si>
  <si>
    <t xml:space="preserve">Beginning of year values</t>
  </si>
  <si>
    <t xml:space="preserve">Not perfectly equal to balance sheet data</t>
  </si>
  <si>
    <t xml:space="preserve">Reunified Germany. Beginning of year data. Fully consistent with balance sheet data (but no data for 1991 in BalanceSheet92)</t>
  </si>
  <si>
    <t xml:space="preserve">1962-1991: West Germany; 1992-onwards: Germany</t>
  </si>
  <si>
    <t xml:space="preserve">Single individuals aged 20+ plus one half of married individuals. Series has the following breaks in coverage: from 1891, Prussia; from 1925, the Republic of Weimar; from 1935, Saarland is included; from 1950, the Federal Republic of Germany; from 1960, West Berlin and Saarland are included; from 1991, reunification.</t>
  </si>
  <si>
    <t xml:space="preserve">No official data before 1992</t>
  </si>
  <si>
    <t xml:space="preserve">The bulk of which = streets, places, etc.</t>
  </si>
  <si>
    <t xml:space="preserve">Year-End Values. NB: I make no correction for market values (discrepancy book/market very small)</t>
  </si>
  <si>
    <t xml:space="preserve">Year-End Values. Before 1953, apparently the data do not include interwar public debts that were (partially) assumed by the gov from the 1953 London agreement on; we add them back</t>
  </si>
  <si>
    <t xml:space="preserve">Year-End Values.</t>
  </si>
  <si>
    <t xml:space="preserve">Year-End Values. Large increase in assets compared to previous Bundesbank series for West Germany mostly because apparition of a 100bn "other equity" asset --&gt; most probably participations of East German government</t>
  </si>
  <si>
    <t xml:space="preserve">Year-End Values.  Before 1953, apparently the data do not include interwar public debts that were (partially) assumed by the gov from the 1953 London agreement on; we add them back</t>
  </si>
  <si>
    <t xml:space="preserve">Beginning of year data. Includes Saarland &amp; West Berlin</t>
  </si>
  <si>
    <t xml:space="preserve">Beginning of year data</t>
  </si>
  <si>
    <t xml:space="preserve">Year-end values. "Other equities" (GMBH) are not estimated.</t>
  </si>
  <si>
    <t xml:space="preserve">Year-End Values. Other equities (GMBH) are not estimated.</t>
  </si>
  <si>
    <t xml:space="preserve">Year-end values. Data only every 5 years (except yearly from 1989 onwards). Other equities (GMBH) are not estimated.</t>
  </si>
  <si>
    <t xml:space="preserve">Year-End Values. I exclude housing sector from non-financial sector (i.e., focus on "Produktionsunternhemen")</t>
  </si>
  <si>
    <t xml:space="preserve">Year-End Values. </t>
  </si>
  <si>
    <t xml:space="preserve">FinWealth50 p. 8 &amp; FinWealth60 p. 60</t>
  </si>
  <si>
    <t xml:space="preserve"> FinWealth60 p. 60</t>
  </si>
  <si>
    <t xml:space="preserve">FinWealth60 p. 80</t>
  </si>
  <si>
    <t xml:space="preserve">FinWealth50 p. 12-10 &amp; FinWealth60 p. 80</t>
  </si>
  <si>
    <t xml:space="preserve">FinWealth60 p. 60</t>
  </si>
  <si>
    <t xml:space="preserve">FinWealth91</t>
  </si>
  <si>
    <t xml:space="preserve">FixedAssets50 (1950-1970), Table 1</t>
  </si>
  <si>
    <t xml:space="preserve">FixedAssets50 (1950-1970), Table 2</t>
  </si>
  <si>
    <t xml:space="preserve">FixedAssets70 (1970-1991), </t>
  </si>
  <si>
    <t xml:space="preserve">BalanceSheet92 (1991: use 1992-1993 growth rate)</t>
  </si>
  <si>
    <t xml:space="preserve">DetailedAccts91</t>
  </si>
  <si>
    <t xml:space="preserve">FixedAssets91 (1991-2010)</t>
  </si>
  <si>
    <t xml:space="preserve">BalanceSheet92</t>
  </si>
  <si>
    <t xml:space="preserve">LandPrice62 p. 43</t>
  </si>
  <si>
    <t xml:space="preserve">Population50 (see Excel link)</t>
  </si>
  <si>
    <t xml:space="preserve">World Top Income Database</t>
  </si>
  <si>
    <t xml:space="preserve">LandCensus92 (see Excel link)</t>
  </si>
  <si>
    <t xml:space="preserve">FinWealth60 p. 88; FinWealth50 p. 14</t>
  </si>
  <si>
    <t xml:space="preserve">FinWealth60 p. 88</t>
  </si>
  <si>
    <t xml:space="preserve">Bundesbank (1976), p. 314 last col. Before 1952: 1953 value + debt forgiven at the London 1953 London agreement</t>
  </si>
  <si>
    <t xml:space="preserve">Bundesbank IIP series BBK01.EG1160</t>
  </si>
  <si>
    <t xml:space="preserve">Statistiche Bundesamt (1991), Volkswirtschaftliche Gesamtrechnungen Facheserie 18 Reihese S.15 Revidierte Ergebnisse 1950 bis 1990 p. 91 col. 8</t>
  </si>
  <si>
    <t xml:space="preserve">FinWealth60 p. 76</t>
  </si>
  <si>
    <t xml:space="preserve">FinWealth60 p. 121 sq</t>
  </si>
  <si>
    <t xml:space="preserve">FinWealth60 p. 120 sq</t>
  </si>
  <si>
    <t xml:space="preserve">FinWealth50 p. 38-59 &amp; FinWealth60 p. 100-139</t>
  </si>
  <si>
    <t xml:space="preserve">Bundesbank IIP series EG1099 and EG1098</t>
  </si>
  <si>
    <t xml:space="preserve">Bundesbank IIP series EG1198 and EG1199</t>
  </si>
  <si>
    <t xml:space="preserve">Bundesbank IIP series EG1298 and EG 1299</t>
  </si>
  <si>
    <t xml:space="preserve">Private Haushalte ("households") Geldvermögen ("asset stock"), insgesamt ("total")</t>
  </si>
  <si>
    <t xml:space="preserve">Private Haushalte ("households") Geldvermögen ("asset stock"), insgesamt ("total"), Nachrichtlich zu Tageskursen (i.e. market values at year-end)</t>
  </si>
  <si>
    <t xml:space="preserve">Aktien (Nachrichtlich zu Tageskursen)</t>
  </si>
  <si>
    <t xml:space="preserve">Goldanlage bei Versicherungen</t>
  </si>
  <si>
    <t xml:space="preserve">Private Haushalte ("households") Verpflichtungen ("liabilities"), insgesamt ("total")</t>
  </si>
  <si>
    <t xml:space="preserve">Private Haushalte ("households") Nettogeldvermögen ("net wealth"), insgesamt ("total")</t>
  </si>
  <si>
    <t xml:space="preserve">Wohnungswirtschaft ("housing industry"), Verpflichtungen ("liabilities"), Bankkredite ("bank loans")</t>
  </si>
  <si>
    <t xml:space="preserve">Wohnungswirtschaft ("housing industry"), Verpflichtungen ("liabilities"), Darlehen der Bausparkassen ("loans from building societies")</t>
  </si>
  <si>
    <t xml:space="preserve">Wohnungswirtschaft ("housing industry"), Verpflichtungen ("liabilities"), Sonstige Verpflichtungen ("other liabilities")</t>
  </si>
  <si>
    <t xml:space="preserve">Bauten (einsch. Öffentlicher Tiefbau)</t>
  </si>
  <si>
    <t xml:space="preserve">Bauten (ohne öffentlicher Tiefbau)</t>
  </si>
  <si>
    <t xml:space="preserve">Öffentlicher Tiefbau</t>
  </si>
  <si>
    <t xml:space="preserve">Anlagevermögen ("fixed assets") nach Vermögensarten ("by asset class"), Sachanlagen ("Tangible assets"), Wohnbauten ("Dwellings")</t>
  </si>
  <si>
    <t xml:space="preserve">Nettoanlagevermögen zu Wiederbeschaffungspreisen nach Sektoren, Private Haushalte u. Private Organisationen o.E.       </t>
  </si>
  <si>
    <t xml:space="preserve">Nettoanlagevermögen zu Wiederbeschaffungspreisen nach Sektoren, Staat</t>
  </si>
  <si>
    <t xml:space="preserve">Nichtfinanzielle Kapitalgesellschaften</t>
  </si>
  <si>
    <t xml:space="preserve">Finanzielle Kapitalgesellschaften</t>
  </si>
  <si>
    <t xml:space="preserve">Ausrüstungen </t>
  </si>
  <si>
    <t xml:space="preserve">Nutztiere und Nutzpflanzungen</t>
  </si>
  <si>
    <t xml:space="preserve">Immaterielle Anlagegüter</t>
  </si>
  <si>
    <t xml:space="preserve">Bauland insgesamt ("Total building land"), Kaufwert ("Transaction Price"), EUR/m2</t>
  </si>
  <si>
    <t xml:space="preserve">Baureifes Land ("Readily constructible land"), Kaufwert ("Transaction price"), EUR/m2</t>
  </si>
  <si>
    <t xml:space="preserve">Bevölkerung (Population)</t>
  </si>
  <si>
    <t xml:space="preserve">Boden-flächen insgesmat</t>
  </si>
  <si>
    <t xml:space="preserve">Gabäude und Freifläche ("buildings and free space"), zusammen</t>
  </si>
  <si>
    <t xml:space="preserve">Wohnen</t>
  </si>
  <si>
    <t xml:space="preserve">Gewerbe ("commercial areas"), Industrie</t>
  </si>
  <si>
    <t xml:space="preserve">Betriebsfläche ("Operational areas"), zusammen</t>
  </si>
  <si>
    <t xml:space="preserve">Erholungsfläche ("Recreational land"), zusammen</t>
  </si>
  <si>
    <t xml:space="preserve">Verkehrsfläche (Traffic area), zusammen</t>
  </si>
  <si>
    <t xml:space="preserve">Landwirtschaftsfläche</t>
  </si>
  <si>
    <t xml:space="preserve">Waldfläche</t>
  </si>
  <si>
    <t xml:space="preserve">Wasserfläche</t>
  </si>
  <si>
    <t xml:space="preserve">Flächen anderer Nutzung</t>
  </si>
  <si>
    <t xml:space="preserve">Public Sector ("Öffentliche Haushalte") Geldvermögen ("asset stock"), insgesamt ("total")</t>
  </si>
  <si>
    <t xml:space="preserve">Public Sector ("Öffentliche Haushalte") Verpflichtungen ("liabilities"), insgesamt ("total")</t>
  </si>
  <si>
    <t xml:space="preserve">Public Sector ("Öffentliche Haushalte") Nettogeldvermögen ("net wealth"), insgesamt ("total")</t>
  </si>
  <si>
    <t xml:space="preserve">Produktionsunternhemen, Geldvermögen, Nachrichtlich zu Tageskursen, Insgesamt</t>
  </si>
  <si>
    <t xml:space="preserve">Finanzielle Sektoren insgesamt, Geldvermögen, Insgesamt, Nachrichtlich zu Tageskursen</t>
  </si>
  <si>
    <t xml:space="preserve">Produktionsunternehmen, Verflichtungen, Umlauf von Aktien</t>
  </si>
  <si>
    <t xml:space="preserve">Produktionsunternehmen, Verflichtungen, Aktien, Nachrichtlich zu Tageskursen</t>
  </si>
  <si>
    <t xml:space="preserve">Finanzielle Sektoren insgesamt, Verpflichtungen, Aktien, Nachrichtlich zu Tageskursen</t>
  </si>
  <si>
    <t xml:space="preserve">.</t>
  </si>
  <si>
    <t xml:space="preserve">Raw sources for 1950-1991 German income &amp; wealth</t>
  </si>
  <si>
    <t xml:space="preserve">Short name</t>
  </si>
  <si>
    <t xml:space="preserve">Content</t>
  </si>
  <si>
    <t xml:space="preserve">Paper/electronic</t>
  </si>
  <si>
    <t xml:space="preserve">Data producer</t>
  </si>
  <si>
    <t xml:space="preserve">Notes</t>
  </si>
  <si>
    <t xml:space="preserve">Direct source</t>
  </si>
  <si>
    <t xml:space="preserve">FinWealth50</t>
  </si>
  <si>
    <t xml:space="preserve">Financial accounts 1950-1959</t>
  </si>
  <si>
    <t xml:space="preserve">Revidierte Ergebnisse der gesamtwirtschaftlichen Finanzierungs- und Geldvermögensrechnung für die Jahre 1950 bis 1959, Deutsche Bundesbank 1983</t>
  </si>
  <si>
    <t xml:space="preserve">Paper</t>
  </si>
  <si>
    <t xml:space="preserve">Bundesbank</t>
  </si>
  <si>
    <t xml:space="preserve">Same publication for 1960-1969 (in the same Bundesbank 1983 volume apparently)</t>
  </si>
  <si>
    <t xml:space="preserve">Sent by Christoph Schinke (scanned PDF from Bundesbank)</t>
  </si>
  <si>
    <t xml:space="preserve">FinWealth60</t>
  </si>
  <si>
    <t xml:space="preserve">Financial accounts 1960-1992</t>
  </si>
  <si>
    <t xml:space="preserve">Ergebnisse der gesamtwirtschaftlichen Finanzierungsrechnung für Westdeutschland 1960 bis 1992, Deutsche Bundesbank 1994 </t>
  </si>
  <si>
    <t xml:space="preserve">Includes a separate "real estate" sector with mortgage debt (to be added to hhold sector)</t>
  </si>
  <si>
    <t xml:space="preserve">Financial accounts 1991-2011</t>
  </si>
  <si>
    <t xml:space="preserve">Electronic</t>
  </si>
  <si>
    <t xml:space="preserve">http://www.bundesbank.de/statistik/statistik_zeitreihen.en.php?lang=en&amp;open=wirtschaftsdaten&amp;open_node_id=253425</t>
  </si>
  <si>
    <t xml:space="preserve">LandCensus92</t>
  </si>
  <si>
    <t xml:space="preserve">Land Census, 1992-2010</t>
  </si>
  <si>
    <t xml:space="preserve">Land- und Forstwirtschaft, Fischerei, Fachserie 3 Reihe 5.1, 2010 </t>
  </si>
  <si>
    <t xml:space="preserve">https://www.destatis.de/DE/Publikationen/Thematisch/UmweltoekonomischeGesamtrechnungen/Flaechennutzung/Bodenflaechennutzung.html</t>
  </si>
  <si>
    <t xml:space="preserve">LandPrice62</t>
  </si>
  <si>
    <t xml:space="preserve">Transaction prices for land, 1962-2010</t>
  </si>
  <si>
    <t xml:space="preserve">Preise Kaufwerte für Bauland, Fachserie 17 Reihe 5, 2010 </t>
  </si>
  <si>
    <t xml:space="preserve">https://www.destatis.de/DE/Publikationen/Thematisch/Preise/Baupreise/KaufwerteBaulandJ.html?nn=71978</t>
  </si>
  <si>
    <t xml:space="preserve">Population50</t>
  </si>
  <si>
    <t xml:space="preserve">Population and labor force, 1950-2010</t>
  </si>
  <si>
    <t xml:space="preserve">Bevölkerung und Erwerbstätigkeit, Fachserie 1 Reihe 1.3, 2010
</t>
  </si>
  <si>
    <t xml:space="preserve">https://www.destatis.de/DE/Publikationen/Thematisch/Bevoelkerung/Bevoelkerungsstand/Bevoelkerungsfortschreibung2010130107004.html?nn=71252</t>
  </si>
  <si>
    <t xml:space="preserve">Detailed Anuual National Accounts, 1991-2011</t>
  </si>
  <si>
    <t xml:space="preserve">Inlandsproduktsberechnung - Detaillierte Jahresergebnisse - Fachserie 18 Reihe 1.4 - 2011</t>
  </si>
  <si>
    <t xml:space="preserve">https://www.destatis.de/DE/Publikationen/Thematisch/VolkswirtschaftlicheGesamtrechnungen/Inlandsprodukt/InlandsproduktsberechnungVorlaeufig2180140118004.html</t>
  </si>
  <si>
    <t xml:space="preserve">FixedAssets50</t>
  </si>
  <si>
    <t xml:space="preserve">Fixed assets 1950-1991 by sector</t>
  </si>
  <si>
    <t xml:space="preserve">Vermögensrechnung 1950 bis 1991, Fachserie 18, Volkswirtschaftliche Gesamtrechnungen, Reihe S. 17. </t>
  </si>
  <si>
    <t xml:space="preserve">Description of change of break-in-series here: </t>
  </si>
  <si>
    <t xml:space="preserve">Main problem = no breakdown between corporations and households</t>
  </si>
  <si>
    <t xml:space="preserve">FixedAssets70</t>
  </si>
  <si>
    <t xml:space="preserve">Fixed assets, total economy, by asset class, 1970-1991</t>
  </si>
  <si>
    <t xml:space="preserve">Anlagevermögen nach Vermögensarten</t>
  </si>
  <si>
    <t xml:space="preserve">https://www.destatis.de/DE/Publikationen/Thematisch/VolkswirtschaftlicheGesamtrechnungen/Inlandsprodukt/InlandsproduktsberechnungRevidiertJ.html?nn=69170</t>
  </si>
  <si>
    <t xml:space="preserve">StatYearbook78</t>
  </si>
  <si>
    <t xml:space="preserve">Reproducible tangible assets by asset class and sector, 1970-1977 (from the 1978 Statistical Yearbook, chapter on national accounts). Excel file available from Destatis?</t>
  </si>
  <si>
    <t xml:space="preserve">Reproduzierbares Sachvermögen nach Vermögensarten bzw. Zusammengefaßten Wirtschaftsbereichen</t>
  </si>
  <si>
    <t xml:space="preserve">Paper (scanned)</t>
  </si>
  <si>
    <t xml:space="preserve">Statistical Yearbook scanned, available here https://www.destatis.de/DE/Publikationen/StatistischesJahrbuch/StatistischesJahrbuch_AeltereAusgaben.html?nn=64562</t>
  </si>
  <si>
    <t xml:space="preserve">http://www.digizeitschriften.de/dms/img/?PPN=PPN514402342_1978&amp;DMDID=dmdlog79</t>
  </si>
  <si>
    <t xml:space="preserve">FixedAssets91</t>
  </si>
  <si>
    <t xml:space="preserve">Fixed assets, by asset class and sector, 1991-2010</t>
  </si>
  <si>
    <t xml:space="preserve">Anlagevermögen nach Sektoren ab 1991 bis 2009 - Stand: August 2010 (bi-langual)</t>
  </si>
  <si>
    <t xml:space="preserve">https://www.destatis.de/DE/Publikationen/Thematisch/VolkswirtschaftlicheGesamtrechnungen/Vermoegensrechnung/AnlagevermoegenSektoren.html</t>
  </si>
  <si>
    <t xml:space="preserve">Balance sheets by sector, 1992-2010</t>
  </si>
  <si>
    <t xml:space="preserve">Sektorale und gesamtwirtschaftliche Vermögensbilanzen 1992-2010 – Stand: Oktober 2010</t>
  </si>
  <si>
    <t xml:space="preserve">ReportOct93</t>
  </si>
  <si>
    <t xml:space="preserve">Households' asset situation in Germany, Deutsche Bundesbank Monthly Report October 1993</t>
  </si>
  <si>
    <t xml:space="preserve">Availabe at Insee: http://www.sudoc.abes.fr/xslt/DB=2.1/SET=1/TTL=1/PRS=HOL/SHW?FRST=1&amp;HLIB=751145102#751145102</t>
  </si>
  <si>
    <t xml:space="preserve">ReportApr92</t>
  </si>
  <si>
    <t xml:space="preserve"> West German households' acquisition of financial assets and capital formation over the past 20 years, Deutsche Bundesbank Monthly Report April 1992</t>
  </si>
  <si>
    <t xml:space="preserve">ReportJan99</t>
  </si>
  <si>
    <t xml:space="preserve">Households' balance sheet 1990-1997; East Germany/West Germany 1990 &amp; 1997</t>
  </si>
  <si>
    <t xml:space="preserve">Changes in households' asset situation since the beginning of the nineties, Deutsche Bundesbank Monthly Report January 1999</t>
  </si>
  <si>
    <t xml:space="preserve">Partial transition to ESA95: starting in 1998, financial accounts include mortgages in household debt (= big change)</t>
  </si>
  <si>
    <t xml:space="preserve">http://www.bundesbank.de/volkswirtschaft/vo_mba_archiv.en.php</t>
  </si>
  <si>
    <t xml:space="preserve">ReportJun99</t>
  </si>
  <si>
    <t xml:space="preserve">Financial balance sheets 92-99, flows of funds</t>
  </si>
  <si>
    <t xml:space="preserve">Overall financial flows in 1998</t>
  </si>
  <si>
    <t xml:space="preserve">More details on transition to ESA95</t>
  </si>
  <si>
    <t xml:space="preserve">ReportJun00</t>
  </si>
  <si>
    <t xml:space="preserve">Financial balance sheets 92-99, flows of funds, description of changes due to ESA95</t>
  </si>
  <si>
    <t xml:space="preserve">Overall financial flows in 1999</t>
  </si>
  <si>
    <t xml:space="preserve">Transition to ESA95: starting in 2000 (CHECK), partnerships and sole prop are included in household sector (= limited change)</t>
  </si>
  <si>
    <t xml:space="preserve">Goldsmith76</t>
  </si>
  <si>
    <t xml:space="preserve">Balance sheet 1850-1950</t>
  </si>
  <si>
    <t xml:space="preserve">The national balance sheet of Germany, 1850-1972, Konjunkturpolitik, vol. 22</t>
  </si>
  <si>
    <t xml:space="preserve">Goldsmith</t>
  </si>
  <si>
    <t xml:space="preserve">More detailed discussion of the German balance sheet constructed by Goldsmith whose abridged version is in Goldsmith (1985) p. 221</t>
  </si>
  <si>
    <t xml:space="preserve">Memo: Konjunkturpolitk is the former name of Applied Economics Quarterly. Available at BNF: http://catalogue.bnf.fr/servlet/RechercheEquation;jsessionid=BECF2CE9B6742654764CE4B35E90DD25?TexteCollection=HGARSTUVWXYZ1DIECBMJNQLOKP&amp;TexteTypeDoc=DESNFPIBTMCJOV&amp;Equation=IDP%3Dcb37575081p&amp;host=catalogue</t>
  </si>
  <si>
    <t xml:space="preserve">History of Germany National accounts (volume 4= Bundesbank financial accounts)</t>
  </si>
  <si>
    <t xml:space="preserve">E. Stoess: Gesamtwirtschaftliche Finanzierungs- rechnung der Deutschen Bundesbank in Kategorien der Volkswirtschaftlichen Gesamtrechnungen Band 4, pp 50, Marburg 2009. </t>
  </si>
  <si>
    <t xml:space="preserve">E. Stoeess</t>
  </si>
  <si>
    <t xml:space="preserve">Includes yearly data 1960-1989?</t>
  </si>
  <si>
    <t xml:space="preserve">Economic development in Germany since 1950</t>
  </si>
  <si>
    <t xml:space="preserve">Tabellen zur Wirtschaftsentwicklung in Deutschland seit 1950</t>
  </si>
  <si>
    <t xml:space="preserve">http://www.bundesbank.de/statistik/statistik_wirtschaftsdaten_tabellen.php</t>
  </si>
  <si>
    <t xml:space="preserve">Baron88</t>
  </si>
  <si>
    <t xml:space="preserve">Personal Distribution of Wealth in the Federal Republic of Germany</t>
  </si>
  <si>
    <t xml:space="preserve">Die personelle Vermögensverteilung in der Bundesrepublik Deutschland und ihre Bestimmungsgründe</t>
  </si>
  <si>
    <t xml:space="preserve">Includes estimates of total personal wealth (see Dell PhD Thesis, p. 178)</t>
  </si>
  <si>
    <t xml:space="preserve">Destatis50</t>
  </si>
  <si>
    <t xml:space="preserve">National Accounts 1950-1990</t>
  </si>
  <si>
    <t xml:space="preserve">Volkswirtschaftliche Gesamtrechnungen : 1950-1990 : revidierte Ergebnisse</t>
  </si>
  <si>
    <t xml:space="preserve">Sciences Po library: http://www.sudoc.abes.fr/xslt/DB=2.1/SET=1/TTL=1/PRS=HOL/SHW?FRST=1&amp;HLIB=751072303#751072303</t>
  </si>
</sst>
</file>

<file path=xl/styles.xml><?xml version="1.0" encoding="utf-8"?>
<styleSheet xmlns="http://schemas.openxmlformats.org/spreadsheetml/2006/main">
  <numFmts count="30">
    <numFmt numFmtId="164" formatCode="General"/>
    <numFmt numFmtId="165" formatCode="#,##0"/>
    <numFmt numFmtId="166" formatCode="\$#,##0\ ;&quot;($&quot;#,##0\)"/>
    <numFmt numFmtId="167" formatCode="0\ %"/>
    <numFmt numFmtId="168" formatCode="0.00"/>
    <numFmt numFmtId="169" formatCode="General"/>
    <numFmt numFmtId="170" formatCode="[$-409]mmmm\ d&quot;, &quot;yyyy;@"/>
    <numFmt numFmtId="171" formatCode="0.0%"/>
    <numFmt numFmtId="172" formatCode="0.0"/>
    <numFmt numFmtId="173" formatCode="0.00\ %"/>
    <numFmt numFmtId="174" formatCode="#,##0.0"/>
    <numFmt numFmtId="175" formatCode="0.0E+00"/>
    <numFmt numFmtId="176" formatCode="0.0000"/>
    <numFmt numFmtId="177" formatCode="0.000%"/>
    <numFmt numFmtId="178" formatCode="#,##0.00000"/>
    <numFmt numFmtId="179" formatCode="0.00000%"/>
    <numFmt numFmtId="180" formatCode="0.000000000000000000%"/>
    <numFmt numFmtId="181" formatCode="0"/>
    <numFmt numFmtId="182" formatCode="0.0000%"/>
    <numFmt numFmtId="183" formatCode="#,##0.0000"/>
    <numFmt numFmtId="184" formatCode="0.00000000000000%"/>
    <numFmt numFmtId="185" formatCode="#,##0.00"/>
    <numFmt numFmtId="186" formatCode="#,##0.000"/>
    <numFmt numFmtId="187" formatCode="dd/mm/yyyy"/>
    <numFmt numFmtId="188" formatCode="0.000000000000000%"/>
    <numFmt numFmtId="189" formatCode="#,##0.000000"/>
    <numFmt numFmtId="190" formatCode="0.E+00"/>
    <numFmt numFmtId="191" formatCode="0.000"/>
    <numFmt numFmtId="192" formatCode="0.00E+00"/>
    <numFmt numFmtId="193" formatCode="0.000000000000%"/>
  </numFmts>
  <fonts count="96">
    <font>
      <sz val="10"/>
      <name val="Arial"/>
      <family val="0"/>
    </font>
    <font>
      <sz val="10"/>
      <name val="Arial"/>
      <family val="0"/>
    </font>
    <font>
      <sz val="10"/>
      <name val="Arial"/>
      <family val="0"/>
    </font>
    <font>
      <sz val="10"/>
      <name val="Arial"/>
      <family val="0"/>
    </font>
    <font>
      <sz val="11"/>
      <color rgb="FF000000"/>
      <name val="Calibri"/>
      <family val="2"/>
    </font>
    <font>
      <sz val="11"/>
      <color rgb="FFFFFFFF"/>
      <name val="Calibri"/>
      <family val="2"/>
    </font>
    <font>
      <sz val="11"/>
      <color rgb="FF4600A5"/>
      <name val="Calibri"/>
      <family val="2"/>
    </font>
    <font>
      <b val="true"/>
      <sz val="11"/>
      <color rgb="FFFF9900"/>
      <name val="Calibri"/>
      <family val="2"/>
    </font>
    <font>
      <b val="true"/>
      <sz val="11"/>
      <color rgb="FFFFFFFF"/>
      <name val="Calibri"/>
      <family val="2"/>
    </font>
    <font>
      <b val="true"/>
      <sz val="8"/>
      <color rgb="FF9999FF"/>
      <name val="Times New Roman"/>
      <family val="0"/>
    </font>
    <font>
      <sz val="8"/>
      <color rgb="FF9999FF"/>
      <name val="Times New Roman"/>
      <family val="0"/>
    </font>
    <font>
      <i val="true"/>
      <sz val="11"/>
      <color rgb="FF808080"/>
      <name val="Calibri"/>
      <family val="2"/>
    </font>
    <font>
      <sz val="11"/>
      <color rgb="FF006411"/>
      <name val="Calibri"/>
      <family val="2"/>
    </font>
    <font>
      <b val="true"/>
      <sz val="15"/>
      <color rgb="FF003366"/>
      <name val="Calibri"/>
      <family val="2"/>
    </font>
    <font>
      <b val="true"/>
      <sz val="13"/>
      <color rgb="FF003366"/>
      <name val="Calibri"/>
      <family val="2"/>
    </font>
    <font>
      <b val="true"/>
      <sz val="11"/>
      <color rgb="FF003366"/>
      <name val="Calibri"/>
      <family val="2"/>
    </font>
    <font>
      <sz val="11"/>
      <color rgb="FF333399"/>
      <name val="Calibri"/>
      <family val="2"/>
    </font>
    <font>
      <sz val="11"/>
      <color rgb="FFFF9900"/>
      <name val="Calibri"/>
      <family val="2"/>
    </font>
    <font>
      <sz val="11"/>
      <color rgb="FF993300"/>
      <name val="Calibri"/>
      <family val="2"/>
    </font>
    <font>
      <sz val="12"/>
      <color rgb="FF000000"/>
      <name val="Calibri"/>
      <family val="2"/>
    </font>
    <font>
      <b val="true"/>
      <sz val="11"/>
      <color rgb="FF333333"/>
      <name val="Calibri"/>
      <family val="2"/>
    </font>
    <font>
      <sz val="7"/>
      <name val="Arial"/>
      <family val="0"/>
    </font>
    <font>
      <b val="true"/>
      <sz val="18"/>
      <color rgb="FF003366"/>
      <name val="Cambria"/>
      <family val="2"/>
    </font>
    <font>
      <sz val="11"/>
      <color rgb="FFDD0806"/>
      <name val="Calibri"/>
      <family val="2"/>
    </font>
    <font>
      <sz val="12"/>
      <name val="Arial"/>
      <family val="0"/>
    </font>
    <font>
      <b val="true"/>
      <sz val="24"/>
      <name val="Arial"/>
      <family val="0"/>
    </font>
    <font>
      <sz val="14"/>
      <name val="Arial"/>
      <family val="0"/>
    </font>
    <font>
      <b val="true"/>
      <sz val="20"/>
      <name val="Arial"/>
      <family val="0"/>
    </font>
    <font>
      <b val="true"/>
      <sz val="12"/>
      <name val="Arial"/>
      <family val="2"/>
    </font>
    <font>
      <u val="single"/>
      <sz val="10"/>
      <color rgb="FF0066CC"/>
      <name val="Arial"/>
      <family val="0"/>
    </font>
    <font>
      <u val="single"/>
      <sz val="12"/>
      <name val="Arial"/>
      <family val="0"/>
    </font>
    <font>
      <sz val="10"/>
      <color rgb="FFDD0806"/>
      <name val="Arial"/>
      <family val="0"/>
    </font>
    <font>
      <sz val="10"/>
      <name val="Arial Narrow"/>
      <family val="2"/>
    </font>
    <font>
      <sz val="8"/>
      <name val="Arial"/>
      <family val="2"/>
    </font>
    <font>
      <b val="true"/>
      <sz val="10"/>
      <name val="Arial"/>
      <family val="0"/>
    </font>
    <font>
      <b val="true"/>
      <vertAlign val="subscript"/>
      <sz val="10"/>
      <name val="Arial"/>
      <family val="2"/>
    </font>
    <font>
      <i val="true"/>
      <sz val="10"/>
      <name val="Arial Narrow"/>
      <family val="2"/>
    </font>
    <font>
      <i val="true"/>
      <sz val="10"/>
      <name val="Arial"/>
      <family val="0"/>
    </font>
    <font>
      <b val="true"/>
      <i val="true"/>
      <sz val="10"/>
      <name val="Arial"/>
      <family val="0"/>
    </font>
    <font>
      <sz val="8.5"/>
      <name val="Arial"/>
      <family val="0"/>
    </font>
    <font>
      <vertAlign val="superscript"/>
      <sz val="10"/>
      <name val="Arial"/>
      <family val="2"/>
    </font>
    <font>
      <vertAlign val="subscript"/>
      <sz val="10"/>
      <name val="Arial"/>
      <family val="2"/>
    </font>
    <font>
      <sz val="11"/>
      <name val="Arial"/>
      <family val="2"/>
    </font>
    <font>
      <vertAlign val="subscript"/>
      <sz val="11"/>
      <name val="Arial"/>
      <family val="2"/>
    </font>
    <font>
      <vertAlign val="superscript"/>
      <sz val="11"/>
      <name val="Arial"/>
      <family val="2"/>
    </font>
    <font>
      <b val="true"/>
      <sz val="9"/>
      <color rgb="FF000000"/>
      <name val="Arial"/>
      <family val="2"/>
    </font>
    <font>
      <sz val="9"/>
      <color rgb="FF000000"/>
      <name val="Arial"/>
      <family val="0"/>
    </font>
    <font>
      <sz val="12"/>
      <name val="Arial Narrow"/>
      <family val="2"/>
    </font>
    <font>
      <b val="true"/>
      <i val="true"/>
      <sz val="12"/>
      <name val="Arial"/>
      <family val="2"/>
    </font>
    <font>
      <i val="true"/>
      <sz val="12"/>
      <name val="Arial"/>
      <family val="0"/>
    </font>
    <font>
      <sz val="11"/>
      <name val="Arial Narrow"/>
      <family val="2"/>
    </font>
    <font>
      <i val="true"/>
      <vertAlign val="subscript"/>
      <sz val="10"/>
      <name val="Arial Narrow"/>
      <family val="2"/>
    </font>
    <font>
      <sz val="9"/>
      <name val="Arial"/>
      <family val="2"/>
    </font>
    <font>
      <b val="true"/>
      <sz val="9"/>
      <name val="Arial"/>
      <family val="2"/>
    </font>
    <font>
      <b val="true"/>
      <sz val="11"/>
      <name val="Arial"/>
      <family val="0"/>
    </font>
    <font>
      <vertAlign val="subscript"/>
      <sz val="12"/>
      <name val="Arial"/>
      <family val="2"/>
    </font>
    <font>
      <vertAlign val="subscript"/>
      <sz val="9"/>
      <name val="Arial"/>
      <family val="2"/>
    </font>
    <font>
      <sz val="10"/>
      <color rgb="FF000000"/>
      <name val="Arial"/>
      <family val="0"/>
    </font>
    <font>
      <vertAlign val="subscript"/>
      <sz val="10"/>
      <name val="Arial Narrow"/>
      <family val="0"/>
    </font>
    <font>
      <i val="true"/>
      <vertAlign val="subscript"/>
      <sz val="10"/>
      <name val="Arial"/>
      <family val="2"/>
    </font>
    <font>
      <sz val="6"/>
      <name val="Calibri"/>
      <family val="0"/>
    </font>
    <font>
      <sz val="12"/>
      <color rgb="FF000000"/>
      <name val="Arial"/>
      <family val="2"/>
    </font>
    <font>
      <i val="true"/>
      <vertAlign val="superscript"/>
      <sz val="10"/>
      <name val="Arial"/>
      <family val="2"/>
    </font>
    <font>
      <b val="true"/>
      <vertAlign val="superscript"/>
      <sz val="10"/>
      <name val="Arial"/>
      <family val="2"/>
    </font>
    <font>
      <sz val="10"/>
      <color rgb="FF3366FF"/>
      <name val="Arial"/>
      <family val="0"/>
    </font>
    <font>
      <i val="true"/>
      <sz val="8"/>
      <name val="Arial"/>
      <family val="2"/>
    </font>
    <font>
      <b val="true"/>
      <sz val="10"/>
      <name val="Arial Narrow"/>
      <family val="2"/>
    </font>
    <font>
      <sz val="9"/>
      <name val="Arial Narrow"/>
      <family val="0"/>
    </font>
    <font>
      <b val="true"/>
      <sz val="12"/>
      <color rgb="FF000000"/>
      <name val="Arial"/>
      <family val="2"/>
    </font>
    <font>
      <b val="true"/>
      <u val="single"/>
      <sz val="12"/>
      <color rgb="FF000000"/>
      <name val="Arial"/>
      <family val="0"/>
    </font>
    <font>
      <u val="single"/>
      <sz val="10"/>
      <color rgb="FF000000"/>
      <name val="Arial"/>
      <family val="0"/>
    </font>
    <font>
      <i val="true"/>
      <sz val="9"/>
      <name val="Arial"/>
      <family val="2"/>
    </font>
    <font>
      <i val="true"/>
      <vertAlign val="subscript"/>
      <sz val="9"/>
      <name val="Arial"/>
      <family val="2"/>
    </font>
    <font>
      <b val="true"/>
      <sz val="9.5"/>
      <name val="Arial"/>
      <family val="0"/>
    </font>
    <font>
      <b val="true"/>
      <sz val="10"/>
      <color rgb="FFDD0806"/>
      <name val="Arial"/>
      <family val="2"/>
    </font>
    <font>
      <b val="true"/>
      <vertAlign val="subscript"/>
      <sz val="10"/>
      <name val="Arial Narrow"/>
      <family val="0"/>
    </font>
    <font>
      <b val="true"/>
      <sz val="10"/>
      <color rgb="FF000000"/>
      <name val="Arial"/>
      <family val="2"/>
    </font>
    <font>
      <i val="true"/>
      <sz val="10"/>
      <color rgb="FF000000"/>
      <name val="Arial"/>
      <family val="2"/>
    </font>
    <font>
      <sz val="10"/>
      <color rgb="FF000000"/>
      <name val="Arial Narrow"/>
      <family val="2"/>
    </font>
    <font>
      <sz val="8"/>
      <color rgb="FF000000"/>
      <name val="Arial"/>
      <family val="2"/>
    </font>
    <font>
      <u val="single"/>
      <sz val="10"/>
      <name val="Arial"/>
      <family val="0"/>
    </font>
    <font>
      <i val="true"/>
      <sz val="10"/>
      <color rgb="FFFF6600"/>
      <name val="Arial"/>
      <family val="0"/>
    </font>
    <font>
      <b val="true"/>
      <sz val="10"/>
      <color rgb="FFDD0806"/>
      <name val="Arial"/>
      <family val="0"/>
    </font>
    <font>
      <sz val="10"/>
      <color rgb="FFFF6600"/>
      <name val="Arial"/>
      <family val="0"/>
    </font>
    <font>
      <sz val="10"/>
      <color rgb="FF99CCFF"/>
      <name val="Arial"/>
      <family val="0"/>
    </font>
    <font>
      <i val="true"/>
      <sz val="10"/>
      <color rgb="FFDD0806"/>
      <name val="Arial"/>
      <family val="0"/>
    </font>
    <font>
      <b val="true"/>
      <sz val="8"/>
      <name val="Arial"/>
      <family val="2"/>
    </font>
    <font>
      <i val="true"/>
      <sz val="12"/>
      <name val="TimesNewRomanPS"/>
      <family val="0"/>
    </font>
    <font>
      <sz val="10"/>
      <color rgb="FF33CCCC"/>
      <name val="Arial"/>
      <family val="0"/>
    </font>
    <font>
      <i val="true"/>
      <sz val="8"/>
      <color rgb="FF000000"/>
      <name val="Arial"/>
      <family val="0"/>
    </font>
    <font>
      <b val="true"/>
      <sz val="9"/>
      <color rgb="FF000000"/>
      <name val="Calibri"/>
      <family val="2"/>
    </font>
    <font>
      <sz val="9"/>
      <color rgb="FF000000"/>
      <name val="Calibri"/>
      <family val="2"/>
    </font>
    <font>
      <b val="true"/>
      <sz val="12"/>
      <color rgb="FF000000"/>
      <name val="Calibri"/>
      <family val="2"/>
    </font>
    <font>
      <b val="true"/>
      <sz val="10"/>
      <color rgb="FF000000"/>
      <name val="Calibri (Corps)"/>
      <family val="0"/>
    </font>
    <font>
      <sz val="10"/>
      <color rgb="FF000000"/>
      <name val="Calibri (Corps)"/>
      <family val="0"/>
    </font>
    <font>
      <sz val="10"/>
      <name val="Calibri (Corps)"/>
      <family val="0"/>
    </font>
  </fonts>
  <fills count="22">
    <fill>
      <patternFill patternType="none"/>
    </fill>
    <fill>
      <patternFill patternType="gray125"/>
    </fill>
    <fill>
      <patternFill patternType="solid">
        <fgColor rgb="FFCCCCFF"/>
        <bgColor rgb="FFC0C0C0"/>
      </patternFill>
    </fill>
    <fill>
      <patternFill patternType="solid">
        <fgColor rgb="FFFF99CC"/>
        <bgColor rgb="FFFF8080"/>
      </patternFill>
    </fill>
    <fill>
      <patternFill patternType="solid">
        <fgColor rgb="FFCCFFCC"/>
        <bgColor rgb="FFCCFFFF"/>
      </patternFill>
    </fill>
    <fill>
      <patternFill patternType="solid">
        <fgColor rgb="FFCC99FF"/>
        <bgColor rgb="FF9999FF"/>
      </patternFill>
    </fill>
    <fill>
      <patternFill patternType="solid">
        <fgColor rgb="FFCCFFFF"/>
        <bgColor rgb="FFCCFFFF"/>
      </patternFill>
    </fill>
    <fill>
      <patternFill patternType="solid">
        <fgColor rgb="FFFFCC99"/>
        <bgColor rgb="FFC0C0C0"/>
      </patternFill>
    </fill>
    <fill>
      <patternFill patternType="solid">
        <fgColor rgb="FF99CCFF"/>
        <bgColor rgb="FFCCCCFF"/>
      </patternFill>
    </fill>
    <fill>
      <patternFill patternType="solid">
        <fgColor rgb="FFFF8080"/>
        <bgColor rgb="FFFF99CC"/>
      </patternFill>
    </fill>
    <fill>
      <patternFill patternType="solid">
        <fgColor rgb="FF1FB714"/>
        <bgColor rgb="FF008080"/>
      </patternFill>
    </fill>
    <fill>
      <patternFill patternType="solid">
        <fgColor rgb="FFFFCC00"/>
        <bgColor rgb="FFFFFF00"/>
      </patternFill>
    </fill>
    <fill>
      <patternFill patternType="solid">
        <fgColor rgb="FF0066CC"/>
        <bgColor rgb="FF008080"/>
      </patternFill>
    </fill>
    <fill>
      <patternFill patternType="solid">
        <fgColor rgb="FF800080"/>
        <bgColor rgb="FF800080"/>
      </patternFill>
    </fill>
    <fill>
      <patternFill patternType="solid">
        <fgColor rgb="FF33CCCC"/>
        <bgColor rgb="FF00CCFF"/>
      </patternFill>
    </fill>
    <fill>
      <patternFill patternType="solid">
        <fgColor rgb="FFFF9900"/>
        <bgColor rgb="FFFFCC00"/>
      </patternFill>
    </fill>
    <fill>
      <patternFill patternType="solid">
        <fgColor rgb="FFC0C0C0"/>
        <bgColor rgb="FFCCCCFF"/>
      </patternFill>
    </fill>
    <fill>
      <patternFill patternType="solid">
        <fgColor rgb="FF969696"/>
        <bgColor rgb="FF808080"/>
      </patternFill>
    </fill>
    <fill>
      <patternFill patternType="solid">
        <fgColor rgb="FFFFFF99"/>
        <bgColor rgb="FFFFFFCC"/>
      </patternFill>
    </fill>
    <fill>
      <patternFill patternType="solid">
        <fgColor rgb="FFFFFFCC"/>
        <bgColor rgb="FFFFFFFF"/>
      </patternFill>
    </fill>
    <fill>
      <patternFill patternType="solid">
        <fgColor rgb="FFFFFFFF"/>
        <bgColor rgb="FFFFFFCC"/>
      </patternFill>
    </fill>
    <fill>
      <patternFill patternType="solid">
        <fgColor rgb="FFFFFF00"/>
        <bgColor rgb="FFFFFF00"/>
      </patternFill>
    </fill>
  </fills>
  <borders count="127">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double">
        <color rgb="FF333333"/>
      </left>
      <right style="double">
        <color rgb="FF333333"/>
      </right>
      <top style="double">
        <color rgb="FF333333"/>
      </top>
      <bottom style="double">
        <color rgb="FF333333"/>
      </bottom>
      <diagonal/>
    </border>
    <border diagonalUp="false" diagonalDown="false">
      <left/>
      <right/>
      <top/>
      <bottom style="thick">
        <color rgb="FF333399"/>
      </bottom>
      <diagonal/>
    </border>
    <border diagonalUp="false" diagonalDown="false">
      <left/>
      <right/>
      <top/>
      <bottom style="thick">
        <color rgb="FFC0C0C0"/>
      </bottom>
      <diagonal/>
    </border>
    <border diagonalUp="false" diagonalDown="false">
      <left/>
      <right/>
      <top/>
      <bottom style="medium">
        <color rgb="FF0066CC"/>
      </bottom>
      <diagonal/>
    </border>
    <border diagonalUp="false" diagonalDown="false">
      <left/>
      <right/>
      <top/>
      <bottom style="double">
        <color rgb="FFFF9900"/>
      </bottom>
      <diagonal/>
    </border>
    <border diagonalUp="false" diagonalDown="false">
      <left style="thin">
        <color rgb="FFC0C0C0"/>
      </left>
      <right style="thin">
        <color rgb="FFC0C0C0"/>
      </right>
      <top style="thin">
        <color rgb="FFC0C0C0"/>
      </top>
      <bottom style="thin">
        <color rgb="FFC0C0C0"/>
      </bottom>
      <diagonal/>
    </border>
    <border diagonalUp="false" diagonalDown="false">
      <left style="thin">
        <color rgb="FF333333"/>
      </left>
      <right style="thin">
        <color rgb="FF333333"/>
      </right>
      <top style="thin">
        <color rgb="FF333333"/>
      </top>
      <bottom style="thin">
        <color rgb="FF333333"/>
      </bottom>
      <diagonal/>
    </border>
    <border diagonalUp="false" diagonalDown="false">
      <left style="thin"/>
      <right/>
      <top/>
      <bottom/>
      <diagonal/>
    </border>
    <border diagonalUp="false" diagonalDown="false">
      <left/>
      <right/>
      <top/>
      <bottom style="double"/>
      <diagonal/>
    </border>
    <border diagonalUp="false" diagonalDown="false">
      <left style="thick"/>
      <right style="thick"/>
      <top style="thick"/>
      <bottom/>
      <diagonal/>
    </border>
    <border diagonalUp="false" diagonalDown="false">
      <left style="thick"/>
      <right/>
      <top/>
      <bottom/>
      <diagonal/>
    </border>
    <border diagonalUp="false" diagonalDown="false">
      <left/>
      <right style="thick"/>
      <top/>
      <bottom/>
      <diagonal/>
    </border>
    <border diagonalUp="false" diagonalDown="false">
      <left/>
      <right style="thick"/>
      <top style="thin"/>
      <bottom style="thin"/>
      <diagonal/>
    </border>
    <border diagonalUp="false" diagonalDown="false">
      <left style="thick"/>
      <right style="thin"/>
      <top/>
      <bottom style="thin"/>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medium"/>
      <top style="thin"/>
      <bottom style="thin"/>
      <diagonal/>
    </border>
    <border diagonalUp="false" diagonalDown="false">
      <left style="medium"/>
      <right/>
      <top style="thin"/>
      <bottom/>
      <diagonal/>
    </border>
    <border diagonalUp="false" diagonalDown="false">
      <left/>
      <right/>
      <top style="thin"/>
      <bottom/>
      <diagonal/>
    </border>
    <border diagonalUp="false" diagonalDown="false">
      <left/>
      <right style="medium"/>
      <top style="thin"/>
      <bottom/>
      <diagonal/>
    </border>
    <border diagonalUp="false" diagonalDown="false">
      <left style="medium"/>
      <right style="thick"/>
      <top style="thin"/>
      <bottom style="thin"/>
      <diagonal/>
    </border>
    <border diagonalUp="false" diagonalDown="false">
      <left style="medium"/>
      <right/>
      <top style="thin"/>
      <bottom style="thin"/>
      <diagonal/>
    </border>
    <border diagonalUp="false" diagonalDown="false">
      <left/>
      <right style="thin"/>
      <top/>
      <bottom/>
      <diagonal/>
    </border>
    <border diagonalUp="false" diagonalDown="false">
      <left style="medium"/>
      <right/>
      <top/>
      <bottom/>
      <diagonal/>
    </border>
    <border diagonalUp="false" diagonalDown="false">
      <left style="thick"/>
      <right/>
      <top style="thin"/>
      <bottom/>
      <diagonal/>
    </border>
    <border diagonalUp="false" diagonalDown="false">
      <left style="thin"/>
      <right/>
      <top style="thin"/>
      <bottom/>
      <diagonal/>
    </border>
    <border diagonalUp="false" diagonalDown="false">
      <left/>
      <right style="thin"/>
      <top style="thin"/>
      <bottom/>
      <diagonal/>
    </border>
    <border diagonalUp="false" diagonalDown="false">
      <left style="medium"/>
      <right style="thick"/>
      <top style="thin"/>
      <bottom/>
      <diagonal/>
    </border>
    <border diagonalUp="false" diagonalDown="false">
      <left/>
      <right style="medium"/>
      <top/>
      <bottom/>
      <diagonal/>
    </border>
    <border diagonalUp="false" diagonalDown="false">
      <left style="medium"/>
      <right style="thick"/>
      <top/>
      <bottom/>
      <diagonal/>
    </border>
    <border diagonalUp="false" diagonalDown="false">
      <left style="thick"/>
      <right/>
      <top/>
      <bottom style="dashed"/>
      <diagonal/>
    </border>
    <border diagonalUp="false" diagonalDown="false">
      <left style="thin"/>
      <right/>
      <top/>
      <bottom style="dashed"/>
      <diagonal/>
    </border>
    <border diagonalUp="false" diagonalDown="false">
      <left/>
      <right style="thin"/>
      <top/>
      <bottom style="dashed"/>
      <diagonal/>
    </border>
    <border diagonalUp="false" diagonalDown="false">
      <left/>
      <right/>
      <top/>
      <bottom style="dashed"/>
      <diagonal/>
    </border>
    <border diagonalUp="false" diagonalDown="false">
      <left style="medium"/>
      <right/>
      <top/>
      <bottom style="dashed"/>
      <diagonal/>
    </border>
    <border diagonalUp="false" diagonalDown="false">
      <left/>
      <right style="medium"/>
      <top/>
      <bottom style="dashed"/>
      <diagonal/>
    </border>
    <border diagonalUp="false" diagonalDown="false">
      <left style="medium"/>
      <right style="thick"/>
      <top style="dashed"/>
      <bottom/>
      <diagonal/>
    </border>
    <border diagonalUp="false" diagonalDown="false">
      <left style="thick"/>
      <right/>
      <top style="dashed"/>
      <bottom/>
      <diagonal/>
    </border>
    <border diagonalUp="false" diagonalDown="false">
      <left style="thin"/>
      <right/>
      <top style="dashed"/>
      <bottom/>
      <diagonal/>
    </border>
    <border diagonalUp="false" diagonalDown="false">
      <left/>
      <right style="thin"/>
      <top style="dashed"/>
      <bottom/>
      <diagonal/>
    </border>
    <border diagonalUp="false" diagonalDown="false">
      <left/>
      <right/>
      <top style="dashed"/>
      <bottom/>
      <diagonal/>
    </border>
    <border diagonalUp="false" diagonalDown="false">
      <left style="medium"/>
      <right/>
      <top style="dashed"/>
      <bottom/>
      <diagonal/>
    </border>
    <border diagonalUp="false" diagonalDown="false">
      <left/>
      <right style="medium"/>
      <top style="dashed"/>
      <bottom/>
      <diagonal/>
    </border>
    <border diagonalUp="false" diagonalDown="false">
      <left style="thick"/>
      <right/>
      <top/>
      <bottom style="thick"/>
      <diagonal/>
    </border>
    <border diagonalUp="false" diagonalDown="false">
      <left style="thin"/>
      <right/>
      <top/>
      <bottom style="thick"/>
      <diagonal/>
    </border>
    <border diagonalUp="false" diagonalDown="false">
      <left/>
      <right style="thin"/>
      <top/>
      <bottom style="thick"/>
      <diagonal/>
    </border>
    <border diagonalUp="false" diagonalDown="false">
      <left/>
      <right/>
      <top/>
      <bottom style="thick"/>
      <diagonal/>
    </border>
    <border diagonalUp="false" diagonalDown="false">
      <left style="medium"/>
      <right/>
      <top/>
      <bottom style="thick"/>
      <diagonal/>
    </border>
    <border diagonalUp="false" diagonalDown="false">
      <left/>
      <right style="medium"/>
      <top/>
      <bottom style="thick"/>
      <diagonal/>
    </border>
    <border diagonalUp="false" diagonalDown="false">
      <left style="medium"/>
      <right style="thick"/>
      <top/>
      <bottom style="thick"/>
      <diagonal/>
    </border>
    <border diagonalUp="false" diagonalDown="false">
      <left style="thin"/>
      <right style="thin"/>
      <top style="thin"/>
      <bottom/>
      <diagonal/>
    </border>
    <border diagonalUp="false" diagonalDown="false">
      <left/>
      <right style="thick"/>
      <top style="thin"/>
      <bottom/>
      <diagonal/>
    </border>
    <border diagonalUp="false" diagonalDown="false">
      <left style="thin"/>
      <right/>
      <top/>
      <bottom style="thin"/>
      <diagonal/>
    </border>
    <border diagonalUp="false" diagonalDown="false">
      <left/>
      <right style="thin"/>
      <top/>
      <bottom style="thin"/>
      <diagonal/>
    </border>
    <border diagonalUp="false" diagonalDown="false">
      <left style="thin"/>
      <right style="thin"/>
      <top/>
      <bottom/>
      <diagonal/>
    </border>
    <border diagonalUp="false" diagonalDown="false">
      <left style="thin"/>
      <right style="thin"/>
      <top/>
      <bottom style="dashed"/>
      <diagonal/>
    </border>
    <border diagonalUp="false" diagonalDown="false">
      <left/>
      <right style="thick"/>
      <top/>
      <bottom style="dashed"/>
      <diagonal/>
    </border>
    <border diagonalUp="false" diagonalDown="false">
      <left style="thin"/>
      <right style="thin"/>
      <top style="dashed"/>
      <bottom/>
      <diagonal/>
    </border>
    <border diagonalUp="false" diagonalDown="false">
      <left/>
      <right style="thick"/>
      <top style="dashed"/>
      <bottom/>
      <diagonal/>
    </border>
    <border diagonalUp="false" diagonalDown="false">
      <left style="thin"/>
      <right style="medium"/>
      <top/>
      <bottom style="thick"/>
      <diagonal/>
    </border>
    <border diagonalUp="false" diagonalDown="false">
      <left style="thin"/>
      <right style="thin"/>
      <top/>
      <bottom style="thick"/>
      <diagonal/>
    </border>
    <border diagonalUp="false" diagonalDown="false">
      <left/>
      <right style="thick"/>
      <top/>
      <bottom style="thick"/>
      <diagonal/>
    </border>
    <border diagonalUp="false" diagonalDown="false">
      <left/>
      <right/>
      <top/>
      <bottom style="thin"/>
      <diagonal/>
    </border>
    <border diagonalUp="false" diagonalDown="false">
      <left/>
      <right style="thick"/>
      <top/>
      <bottom style="thin"/>
      <diagonal/>
    </border>
    <border diagonalUp="false" diagonalDown="false">
      <left style="thick"/>
      <right/>
      <top/>
      <bottom style="thin"/>
      <diagonal/>
    </border>
    <border diagonalUp="false" diagonalDown="false">
      <left style="thin"/>
      <right style="medium"/>
      <top style="thin"/>
      <bottom style="thin"/>
      <diagonal/>
    </border>
    <border diagonalUp="false" diagonalDown="false">
      <left style="medium"/>
      <right style="medium"/>
      <top style="thin"/>
      <bottom style="thin"/>
      <diagonal/>
    </border>
    <border diagonalUp="false" diagonalDown="false">
      <left style="medium"/>
      <right style="thin"/>
      <top style="thin"/>
      <bottom style="thin"/>
      <diagonal/>
    </border>
    <border diagonalUp="false" diagonalDown="false">
      <left style="medium"/>
      <right style="medium"/>
      <top/>
      <bottom/>
      <diagonal/>
    </border>
    <border diagonalUp="false" diagonalDown="false">
      <left style="thin"/>
      <right style="medium"/>
      <top/>
      <bottom/>
      <diagonal/>
    </border>
    <border diagonalUp="false" diagonalDown="false">
      <left style="medium"/>
      <right style="medium"/>
      <top/>
      <bottom style="thick"/>
      <diagonal/>
    </border>
    <border diagonalUp="false" diagonalDown="false">
      <left style="thin"/>
      <right style="thick"/>
      <top style="thin"/>
      <bottom style="thin"/>
      <diagonal/>
    </border>
    <border diagonalUp="false" diagonalDown="false">
      <left style="medium"/>
      <right style="medium"/>
      <top style="thin"/>
      <bottom/>
      <diagonal/>
    </border>
    <border diagonalUp="false" diagonalDown="false">
      <left/>
      <right style="medium"/>
      <top/>
      <bottom style="thin"/>
      <diagonal/>
    </border>
    <border diagonalUp="false" diagonalDown="false">
      <left style="medium"/>
      <right/>
      <top/>
      <bottom style="thin"/>
      <diagonal/>
    </border>
    <border diagonalUp="false" diagonalDown="false">
      <left/>
      <right style="dotted"/>
      <top style="thin"/>
      <bottom/>
      <diagonal/>
    </border>
    <border diagonalUp="false" diagonalDown="false">
      <left/>
      <right style="dotted"/>
      <top/>
      <bottom style="thin"/>
      <diagonal/>
    </border>
    <border diagonalUp="false" diagonalDown="false">
      <left style="dotted"/>
      <right/>
      <top/>
      <bottom/>
      <diagonal/>
    </border>
    <border diagonalUp="false" diagonalDown="false">
      <left style="dotted"/>
      <right/>
      <top/>
      <bottom style="thick"/>
      <diagonal/>
    </border>
    <border diagonalUp="false" diagonalDown="false">
      <left style="thin"/>
      <right style="medium"/>
      <top style="thin"/>
      <bottom/>
      <diagonal/>
    </border>
    <border diagonalUp="false" diagonalDown="false">
      <left style="thick"/>
      <right style="thin"/>
      <top/>
      <bottom/>
      <diagonal/>
    </border>
    <border diagonalUp="false" diagonalDown="false">
      <left/>
      <right style="thick"/>
      <top style="thin"/>
      <bottom style="medium"/>
      <diagonal/>
    </border>
    <border diagonalUp="false" diagonalDown="false">
      <left style="medium"/>
      <right style="medium"/>
      <top/>
      <bottom style="thin"/>
      <diagonal/>
    </border>
    <border diagonalUp="false" diagonalDown="false">
      <left style="medium"/>
      <right style="thick"/>
      <top style="medium"/>
      <bottom/>
      <diagonal/>
    </border>
    <border diagonalUp="false" diagonalDown="false">
      <left style="medium"/>
      <right/>
      <top style="medium"/>
      <bottom style="thin"/>
      <diagonal/>
    </border>
    <border diagonalUp="false" diagonalDown="false">
      <left/>
      <right/>
      <top style="medium"/>
      <bottom/>
      <diagonal/>
    </border>
    <border diagonalUp="false" diagonalDown="false">
      <left/>
      <right style="medium"/>
      <top style="medium"/>
      <bottom/>
      <diagonal/>
    </border>
    <border diagonalUp="false" diagonalDown="false">
      <left style="medium"/>
      <right style="medium"/>
      <top style="medium"/>
      <bottom style="thin"/>
      <diagonal/>
    </border>
    <border diagonalUp="false" diagonalDown="false">
      <left style="medium"/>
      <right style="thick"/>
      <top style="medium"/>
      <bottom style="thin"/>
      <diagonal/>
    </border>
    <border diagonalUp="false" diagonalDown="false">
      <left/>
      <right style="medium"/>
      <top style="medium"/>
      <bottom style="thin"/>
      <diagonal/>
    </border>
    <border diagonalUp="false" diagonalDown="false">
      <left style="thin"/>
      <right style="thick"/>
      <top style="thin"/>
      <bottom/>
      <diagonal/>
    </border>
    <border diagonalUp="false" diagonalDown="false">
      <left style="thin"/>
      <right style="thick"/>
      <top/>
      <bottom/>
      <diagonal/>
    </border>
    <border diagonalUp="false" diagonalDown="false">
      <left style="thin"/>
      <right style="thick"/>
      <top/>
      <bottom style="dashed"/>
      <diagonal/>
    </border>
    <border diagonalUp="false" diagonalDown="false">
      <left style="thin"/>
      <right style="thick"/>
      <top style="dashed"/>
      <bottom/>
      <diagonal/>
    </border>
    <border diagonalUp="false" diagonalDown="false">
      <left style="medium"/>
      <right/>
      <top/>
      <bottom style="medium"/>
      <diagonal/>
    </border>
    <border diagonalUp="false" diagonalDown="false">
      <left/>
      <right style="thin"/>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thin"/>
      <right style="thick"/>
      <top/>
      <bottom style="thick"/>
      <diagonal/>
    </border>
    <border diagonalUp="false" diagonalDown="false">
      <left style="medium"/>
      <right/>
      <top style="medium"/>
      <bottom/>
      <diagonal/>
    </border>
    <border diagonalUp="false" diagonalDown="false">
      <left style="thin"/>
      <right/>
      <top/>
      <bottom style="medium"/>
      <diagonal/>
    </border>
    <border diagonalUp="false" diagonalDown="false">
      <left style="medium"/>
      <right style="medium"/>
      <top style="medium"/>
      <bottom/>
      <diagonal/>
    </border>
    <border diagonalUp="false" diagonalDown="false">
      <left style="thin"/>
      <right style="thin"/>
      <top/>
      <bottom style="thin"/>
      <diagonal/>
    </border>
    <border diagonalUp="false" diagonalDown="false">
      <left style="thick"/>
      <right style="thin"/>
      <top/>
      <bottom style="dashed"/>
      <diagonal/>
    </border>
    <border diagonalUp="false" diagonalDown="false">
      <left style="thick"/>
      <right style="thin"/>
      <top/>
      <bottom style="thick"/>
      <diagonal/>
    </border>
    <border diagonalUp="false" diagonalDown="false">
      <left/>
      <right style="thick"/>
      <top/>
      <bottom style="medium"/>
      <diagonal/>
    </border>
    <border diagonalUp="false" diagonalDown="false">
      <left/>
      <right style="thick"/>
      <top style="medium"/>
      <bottom style="thin"/>
      <diagonal/>
    </border>
    <border diagonalUp="false" diagonalDown="false">
      <left style="thin"/>
      <right style="thick"/>
      <top/>
      <bottom style="thin"/>
      <diagonal/>
    </border>
    <border diagonalUp="false" diagonalDown="false">
      <left style="medium"/>
      <right style="medium"/>
      <top style="dashed"/>
      <bottom/>
      <diagonal/>
    </border>
    <border diagonalUp="false" diagonalDown="false">
      <left style="medium"/>
      <right style="medium"/>
      <top/>
      <bottom style="dashed"/>
      <diagonal/>
    </border>
    <border diagonalUp="false" diagonalDown="false">
      <left style="thin"/>
      <right style="thin"/>
      <top/>
      <bottom style="medium"/>
      <diagonal/>
    </border>
    <border diagonalUp="false" diagonalDown="false">
      <left style="thick"/>
      <right style="thick"/>
      <top style="medium"/>
      <bottom style="medium"/>
      <diagonal/>
    </border>
    <border diagonalUp="false" diagonalDown="false">
      <left style="thin"/>
      <right style="thin"/>
      <top style="medium"/>
      <bottom/>
      <diagonal/>
    </border>
    <border diagonalUp="false" diagonalDown="false">
      <left style="thin"/>
      <right/>
      <top style="medium"/>
      <bottom/>
      <diagonal/>
    </border>
    <border diagonalUp="false" diagonalDown="false">
      <left style="thick"/>
      <right style="medium"/>
      <top/>
      <bottom/>
      <diagonal/>
    </border>
    <border diagonalUp="false" diagonalDown="false">
      <left style="medium"/>
      <right style="thin"/>
      <top style="thin"/>
      <bottom/>
      <diagonal/>
    </border>
    <border diagonalUp="false" diagonalDown="false">
      <left style="medium"/>
      <right style="thin"/>
      <top/>
      <bottom/>
      <diagonal/>
    </border>
    <border diagonalUp="false" diagonalDown="false">
      <left style="medium"/>
      <right style="thin"/>
      <top/>
      <bottom style="dashed"/>
      <diagonal/>
    </border>
    <border diagonalUp="false" diagonalDown="false">
      <left style="thin"/>
      <right style="medium"/>
      <top/>
      <bottom style="dashed"/>
      <diagonal/>
    </border>
    <border diagonalUp="false" diagonalDown="false">
      <left style="medium"/>
      <right style="thin"/>
      <top style="dashed"/>
      <bottom/>
      <diagonal/>
    </border>
    <border diagonalUp="false" diagonalDown="false">
      <left style="thin"/>
      <right style="medium"/>
      <top style="dashed"/>
      <bottom/>
      <diagonal/>
    </border>
    <border diagonalUp="false" diagonalDown="false">
      <left style="medium"/>
      <right style="thin"/>
      <top/>
      <bottom style="thick"/>
      <diagonal/>
    </border>
    <border diagonalUp="false" diagonalDown="false">
      <left style="dashed"/>
      <right/>
      <top/>
      <bottom/>
      <diagonal/>
    </border>
  </borders>
  <cellStyleXfs count="78">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7" fontId="0" fillId="0" borderId="0" applyFont="true" applyBorder="false" applyAlignment="false" applyProtection="false"/>
    <xf numFmtId="164" fontId="29" fillId="0" borderId="0" applyFont="true" applyBorder="false" applyAlignment="false" applyProtection="false"/>
    <xf numFmtId="164" fontId="4" fillId="2" borderId="0" applyFont="true" applyBorder="false" applyAlignment="false" applyProtection="false"/>
    <xf numFmtId="164" fontId="4" fillId="3" borderId="0" applyFont="true" applyBorder="false" applyAlignment="false" applyProtection="false"/>
    <xf numFmtId="164" fontId="4" fillId="4" borderId="0" applyFont="true" applyBorder="false" applyAlignment="false" applyProtection="false"/>
    <xf numFmtId="164" fontId="4" fillId="5" borderId="0" applyFont="true" applyBorder="false" applyAlignment="false" applyProtection="false"/>
    <xf numFmtId="164" fontId="4" fillId="6" borderId="0" applyFont="true" applyBorder="false" applyAlignment="false" applyProtection="false"/>
    <xf numFmtId="164" fontId="4" fillId="7" borderId="0" applyFont="true" applyBorder="false" applyAlignment="false" applyProtection="false"/>
    <xf numFmtId="164" fontId="4" fillId="8" borderId="0" applyFont="true" applyBorder="false" applyAlignment="false" applyProtection="false"/>
    <xf numFmtId="164" fontId="4" fillId="9" borderId="0" applyFont="true" applyBorder="false" applyAlignment="false" applyProtection="false"/>
    <xf numFmtId="164" fontId="4" fillId="10" borderId="0" applyFont="true" applyBorder="false" applyAlignment="false" applyProtection="false"/>
    <xf numFmtId="164" fontId="4" fillId="5" borderId="0" applyFont="true" applyBorder="false" applyAlignment="false" applyProtection="false"/>
    <xf numFmtId="164" fontId="4" fillId="8" borderId="0" applyFont="true" applyBorder="false" applyAlignment="false" applyProtection="false"/>
    <xf numFmtId="164" fontId="4" fillId="11" borderId="0" applyFont="true" applyBorder="false" applyAlignment="false" applyProtection="false"/>
    <xf numFmtId="164" fontId="5" fillId="12" borderId="0" applyFont="true" applyBorder="false" applyAlignment="false" applyProtection="false"/>
    <xf numFmtId="164" fontId="5" fillId="9" borderId="0" applyFont="true" applyBorder="false" applyAlignment="false" applyProtection="false"/>
    <xf numFmtId="164" fontId="5" fillId="10" borderId="0" applyFont="true" applyBorder="false" applyAlignment="false" applyProtection="false"/>
    <xf numFmtId="164" fontId="5" fillId="13" borderId="0" applyFont="true" applyBorder="false" applyAlignment="false" applyProtection="false"/>
    <xf numFmtId="164" fontId="5" fillId="14" borderId="0" applyFont="true" applyBorder="false" applyAlignment="false" applyProtection="false"/>
    <xf numFmtId="164" fontId="5" fillId="15" borderId="0" applyFont="true" applyBorder="false" applyAlignment="false" applyProtection="false"/>
    <xf numFmtId="164" fontId="6" fillId="3" borderId="0" applyFont="true" applyBorder="false" applyAlignment="false" applyProtection="false"/>
    <xf numFmtId="164" fontId="7" fillId="16" borderId="1" applyFont="true" applyBorder="true" applyAlignment="false" applyProtection="false"/>
    <xf numFmtId="164" fontId="8" fillId="17" borderId="2" applyFont="true" applyBorder="true" applyAlignment="false" applyProtection="false"/>
    <xf numFmtId="164" fontId="0" fillId="0" borderId="0" applyFont="true" applyBorder="false" applyAlignment="false" applyProtection="false"/>
    <xf numFmtId="164" fontId="9" fillId="0" borderId="0" applyFont="true" applyBorder="false" applyAlignment="false" applyProtection="false"/>
    <xf numFmtId="164" fontId="10" fillId="0" borderId="0" applyFont="true" applyBorder="false" applyAlignment="false" applyProtection="false"/>
    <xf numFmtId="164" fontId="11" fillId="0" borderId="0" applyFont="true" applyBorder="false" applyAlignment="false" applyProtection="false"/>
    <xf numFmtId="165" fontId="0" fillId="0" borderId="0" applyFont="true" applyBorder="false" applyAlignment="false" applyProtection="false"/>
    <xf numFmtId="164" fontId="12" fillId="4" borderId="0" applyFont="true" applyBorder="false" applyAlignment="false" applyProtection="false"/>
    <xf numFmtId="164" fontId="13" fillId="0" borderId="3" applyFont="true" applyBorder="true" applyAlignment="false" applyProtection="false"/>
    <xf numFmtId="164" fontId="14" fillId="0" borderId="4" applyFont="true" applyBorder="true" applyAlignment="false" applyProtection="false"/>
    <xf numFmtId="164" fontId="15" fillId="0" borderId="5" applyFont="true" applyBorder="true" applyAlignment="false" applyProtection="false"/>
    <xf numFmtId="164" fontId="15" fillId="0" borderId="0" applyFont="true" applyBorder="false" applyAlignment="false" applyProtection="false"/>
    <xf numFmtId="164" fontId="16" fillId="7" borderId="1" applyFont="true" applyBorder="true" applyAlignment="false" applyProtection="false"/>
    <xf numFmtId="164" fontId="17" fillId="0" borderId="6" applyFont="true" applyBorder="true" applyAlignment="false" applyProtection="false"/>
    <xf numFmtId="166" fontId="0" fillId="0"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xf numFmtId="164" fontId="18" fillId="18"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9" fillId="0" borderId="0" applyFont="true" applyBorder="true" applyAlignment="true" applyProtection="true">
      <alignment horizontal="general" vertical="bottom" textRotation="0" wrapText="false" indent="0" shrinkToFit="false"/>
      <protection locked="true" hidden="false"/>
    </xf>
    <xf numFmtId="164" fontId="19" fillId="0" borderId="0" applyFont="true" applyBorder="true" applyAlignment="true" applyProtection="true">
      <alignment horizontal="general" vertical="bottom" textRotation="0" wrapText="false" indent="0" shrinkToFit="false"/>
      <protection locked="true" hidden="false"/>
    </xf>
    <xf numFmtId="164" fontId="19"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9" fillId="0" borderId="0" applyFont="true" applyBorder="true" applyAlignment="true" applyProtection="true">
      <alignment horizontal="general" vertical="bottom" textRotation="0" wrapText="false" indent="0" shrinkToFit="false"/>
      <protection locked="true" hidden="false"/>
    </xf>
    <xf numFmtId="164" fontId="0" fillId="19" borderId="7" applyFont="true" applyBorder="true" applyAlignment="false" applyProtection="false"/>
    <xf numFmtId="164" fontId="20" fillId="16" borderId="8" applyFont="true" applyBorder="true" applyAlignment="false" applyProtection="false"/>
    <xf numFmtId="167" fontId="0" fillId="0" borderId="0" applyFont="true" applyBorder="false" applyAlignment="false" applyProtection="false"/>
    <xf numFmtId="167" fontId="0" fillId="0" borderId="0" applyFont="true" applyBorder="false" applyAlignment="false" applyProtection="false"/>
    <xf numFmtId="167" fontId="0" fillId="0"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xf numFmtId="164" fontId="21" fillId="0" borderId="9" applyFont="true" applyBorder="true" applyAlignment="true" applyProtection="true">
      <alignment horizontal="center" vertical="bottom" textRotation="0" wrapText="false" indent="0" shrinkToFit="false"/>
      <protection locked="true" hidden="false"/>
    </xf>
    <xf numFmtId="164" fontId="22" fillId="0" borderId="0" applyFont="true" applyBorder="false" applyAlignment="false" applyProtection="false"/>
    <xf numFmtId="168" fontId="0" fillId="0" borderId="0" applyFont="true" applyBorder="false" applyAlignment="false" applyProtection="false"/>
    <xf numFmtId="164" fontId="23" fillId="0" borderId="0" applyFont="true" applyBorder="false" applyAlignment="false" applyProtection="false"/>
  </cellStyleXfs>
  <cellXfs count="2379">
    <xf numFmtId="164" fontId="0" fillId="0" borderId="0" xfId="0" applyFont="false" applyBorder="false" applyAlignment="false" applyProtection="false">
      <alignment horizontal="general" vertical="bottom" textRotation="0" wrapText="false" indent="0" shrinkToFit="false"/>
      <protection locked="true" hidden="false"/>
    </xf>
    <xf numFmtId="164" fontId="24" fillId="20" borderId="0" xfId="0" applyFont="true" applyBorder="false" applyAlignment="false" applyProtection="false">
      <alignment horizontal="general" vertical="bottom" textRotation="0" wrapText="false" indent="0" shrinkToFit="false"/>
      <protection locked="true" hidden="false"/>
    </xf>
    <xf numFmtId="164" fontId="25" fillId="20" borderId="0" xfId="0" applyFont="true" applyBorder="true" applyAlignment="true" applyProtection="false">
      <alignment horizontal="center" vertical="bottom" textRotation="0" wrapText="false" indent="0" shrinkToFit="false"/>
      <protection locked="true" hidden="false"/>
    </xf>
    <xf numFmtId="164" fontId="26" fillId="20" borderId="0" xfId="0" applyFont="true" applyBorder="false" applyAlignment="true" applyProtection="false">
      <alignment horizontal="center" vertical="bottom" textRotation="0" wrapText="false" indent="0" shrinkToFit="false"/>
      <protection locked="true" hidden="false"/>
    </xf>
    <xf numFmtId="164" fontId="24" fillId="20" borderId="0" xfId="0" applyFont="true" applyBorder="true" applyAlignment="false" applyProtection="false">
      <alignment horizontal="general" vertical="bottom" textRotation="0" wrapText="false" indent="0" shrinkToFit="false"/>
      <protection locked="true" hidden="false"/>
    </xf>
    <xf numFmtId="164" fontId="27" fillId="20" borderId="0" xfId="0" applyFont="true" applyBorder="true" applyAlignment="true" applyProtection="false">
      <alignment horizontal="center" vertical="bottom" textRotation="0" wrapText="false" indent="0" shrinkToFit="false"/>
      <protection locked="true" hidden="false"/>
    </xf>
    <xf numFmtId="164" fontId="24" fillId="20" borderId="10" xfId="0" applyFont="true" applyBorder="true" applyAlignment="true" applyProtection="false">
      <alignment horizontal="center" vertical="center" textRotation="0" wrapText="false" indent="0" shrinkToFit="false"/>
      <protection locked="true" hidden="false"/>
    </xf>
    <xf numFmtId="164" fontId="24" fillId="20" borderId="0" xfId="0" applyFont="true" applyBorder="true" applyAlignment="true" applyProtection="false">
      <alignment horizontal="center" vertical="center" textRotation="0" wrapText="false" indent="0" shrinkToFit="false"/>
      <protection locked="true" hidden="false"/>
    </xf>
    <xf numFmtId="164" fontId="28" fillId="8" borderId="0" xfId="0" applyFont="true" applyBorder="true" applyAlignment="true" applyProtection="false">
      <alignment horizontal="center" vertical="center" textRotation="0" wrapText="false" indent="0" shrinkToFit="false"/>
      <protection locked="true" hidden="false"/>
    </xf>
    <xf numFmtId="169" fontId="30" fillId="8" borderId="0" xfId="20" applyFont="true" applyBorder="true" applyAlignment="true" applyProtection="true">
      <alignment horizontal="general" vertical="bottom" textRotation="0" wrapText="false" indent="0" shrinkToFit="false"/>
      <protection locked="true" hidden="false"/>
    </xf>
    <xf numFmtId="164" fontId="28" fillId="7" borderId="0" xfId="20" applyFont="true" applyBorder="true" applyAlignment="true" applyProtection="true">
      <alignment horizontal="center" vertical="center" textRotation="0" wrapText="false" indent="0" shrinkToFit="false"/>
      <protection locked="true" hidden="false"/>
    </xf>
    <xf numFmtId="169" fontId="30" fillId="7" borderId="0" xfId="20" applyFont="true" applyBorder="true" applyAlignment="true" applyProtection="true">
      <alignment horizontal="general" vertical="bottom" textRotation="0" wrapText="false" indent="0" shrinkToFit="false"/>
      <protection locked="true" hidden="false"/>
    </xf>
    <xf numFmtId="164" fontId="28" fillId="20" borderId="0" xfId="20" applyFont="true" applyBorder="true" applyAlignment="true" applyProtection="true">
      <alignment horizontal="center" vertical="center" textRotation="0" wrapText="false" indent="0" shrinkToFit="false"/>
      <protection locked="true" hidden="false"/>
    </xf>
    <xf numFmtId="169" fontId="30" fillId="20" borderId="0" xfId="20" applyFont="true" applyBorder="true" applyAlignment="true" applyProtection="true">
      <alignment horizontal="general" vertical="bottom" textRotation="0" wrapText="false" indent="0" shrinkToFit="false"/>
      <protection locked="true" hidden="false"/>
    </xf>
    <xf numFmtId="164" fontId="28" fillId="19" borderId="0" xfId="20" applyFont="true" applyBorder="true" applyAlignment="true" applyProtection="true">
      <alignment horizontal="center" vertical="center" textRotation="0" wrapText="false" indent="0" shrinkToFit="false"/>
      <protection locked="true" hidden="false"/>
    </xf>
    <xf numFmtId="169" fontId="30" fillId="19" borderId="0" xfId="20" applyFont="true" applyBorder="true" applyAlignment="true" applyProtection="true">
      <alignment horizontal="general" vertical="bottom" textRotation="0" wrapText="false" indent="0" shrinkToFit="false"/>
      <protection locked="true" hidden="false"/>
    </xf>
    <xf numFmtId="164" fontId="28" fillId="6" borderId="0" xfId="20" applyFont="true" applyBorder="true" applyAlignment="true" applyProtection="true">
      <alignment horizontal="center" vertical="center" textRotation="0" wrapText="false" indent="0" shrinkToFit="false"/>
      <protection locked="true" hidden="false"/>
    </xf>
    <xf numFmtId="169" fontId="30" fillId="6" borderId="0" xfId="20" applyFont="true" applyBorder="true" applyAlignment="true" applyProtection="true">
      <alignment horizontal="general" vertical="bottom" textRotation="0" wrapText="false" indent="0" shrinkToFit="false"/>
      <protection locked="true" hidden="false"/>
    </xf>
    <xf numFmtId="164" fontId="0" fillId="20" borderId="0" xfId="0" applyFont="false" applyBorder="false" applyAlignment="false" applyProtection="false">
      <alignment horizontal="general" vertical="bottom" textRotation="0" wrapText="false" indent="0" shrinkToFit="false"/>
      <protection locked="true" hidden="false"/>
    </xf>
    <xf numFmtId="170" fontId="0" fillId="2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29" fillId="0" borderId="0" xfId="20" applyFont="true" applyBorder="true" applyAlignment="true" applyProtection="true">
      <alignment horizontal="general" vertical="bottom" textRotation="0" wrapText="false" indent="0" shrinkToFit="false"/>
      <protection locked="true" hidden="false"/>
    </xf>
    <xf numFmtId="164" fontId="31" fillId="0" borderId="0" xfId="0" applyFont="true" applyBorder="true" applyAlignment="true" applyProtection="false">
      <alignment horizontal="center" vertical="bottom" textRotation="0" wrapText="false" indent="0" shrinkToFit="false"/>
      <protection locked="true" hidden="false"/>
    </xf>
    <xf numFmtId="171" fontId="31" fillId="0" borderId="0" xfId="19" applyFont="true" applyBorder="true" applyAlignment="true" applyProtection="tru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19" applyFont="true" applyBorder="true" applyAlignment="true" applyProtection="true">
      <alignment horizontal="general" vertical="bottom" textRotation="0" wrapText="false" indent="0" shrinkToFit="false"/>
      <protection locked="true" hidden="false"/>
    </xf>
    <xf numFmtId="173" fontId="0" fillId="0" borderId="0" xfId="19" applyFont="true" applyBorder="true" applyAlignment="true" applyProtection="true">
      <alignment horizontal="general" vertical="bottom" textRotation="0" wrapText="false" indent="0" shrinkToFit="false"/>
      <protection locked="true" hidden="false"/>
    </xf>
    <xf numFmtId="164" fontId="28" fillId="0" borderId="11" xfId="0" applyFont="true" applyBorder="true" applyAlignment="true" applyProtection="false">
      <alignment horizontal="center" vertical="center" textRotation="0" wrapText="true" indent="0" shrinkToFit="false"/>
      <protection locked="true" hidden="false"/>
    </xf>
    <xf numFmtId="164" fontId="0" fillId="0" borderId="12"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74" fontId="0" fillId="0" borderId="13" xfId="0" applyFont="fals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74" fontId="0" fillId="0" borderId="13" xfId="0" applyFont="true" applyBorder="true" applyAlignment="true" applyProtection="false">
      <alignment horizontal="center" vertical="bottom" textRotation="0" wrapText="false" indent="0" shrinkToFit="false"/>
      <protection locked="true" hidden="false"/>
    </xf>
    <xf numFmtId="164" fontId="32" fillId="0" borderId="14" xfId="0" applyFont="true" applyBorder="true" applyAlignment="true" applyProtection="false">
      <alignment horizontal="center" vertical="center" textRotation="0" wrapText="true" indent="0" shrinkToFit="false"/>
      <protection locked="true" hidden="false"/>
    </xf>
    <xf numFmtId="164" fontId="33" fillId="0" borderId="15" xfId="0" applyFont="true" applyBorder="true" applyAlignment="true" applyProtection="false">
      <alignment horizontal="center" vertical="center" textRotation="0" wrapText="true" indent="0" shrinkToFit="false"/>
      <protection locked="true" hidden="false"/>
    </xf>
    <xf numFmtId="164" fontId="33" fillId="0" borderId="16" xfId="0" applyFont="true" applyBorder="true" applyAlignment="true" applyProtection="false">
      <alignment horizontal="center" vertical="center" textRotation="0" wrapText="true" indent="0" shrinkToFit="false"/>
      <protection locked="true" hidden="false"/>
    </xf>
    <xf numFmtId="164" fontId="33" fillId="0" borderId="16" xfId="0" applyFont="true" applyBorder="true" applyAlignment="true" applyProtection="false">
      <alignment horizontal="center" vertical="center" textRotation="0" wrapText="true" indent="0" shrinkToFit="false"/>
      <protection locked="true" hidden="false"/>
    </xf>
    <xf numFmtId="164" fontId="34" fillId="0" borderId="17" xfId="0" applyFont="true" applyBorder="true" applyAlignment="true" applyProtection="false">
      <alignment horizontal="center" vertical="center" textRotation="0" wrapText="true" indent="0" shrinkToFit="false"/>
      <protection locked="true" hidden="false"/>
    </xf>
    <xf numFmtId="164" fontId="36" fillId="0" borderId="18" xfId="0" applyFont="true" applyBorder="true" applyAlignment="true" applyProtection="false">
      <alignment horizontal="center" vertical="center" textRotation="0" wrapText="true" indent="0" shrinkToFit="false"/>
      <protection locked="true" hidden="false"/>
    </xf>
    <xf numFmtId="164" fontId="37" fillId="0" borderId="19" xfId="0" applyFont="true" applyBorder="true" applyAlignment="true" applyProtection="false">
      <alignment horizontal="center" vertical="center" textRotation="0" wrapText="true" indent="0" shrinkToFit="false"/>
      <protection locked="true" hidden="false"/>
    </xf>
    <xf numFmtId="164" fontId="38" fillId="0" borderId="20" xfId="0" applyFont="true" applyBorder="true" applyAlignment="true" applyProtection="false">
      <alignment horizontal="center" vertical="center" textRotation="0" wrapText="true" indent="0" shrinkToFit="false"/>
      <protection locked="true" hidden="false"/>
    </xf>
    <xf numFmtId="164" fontId="39" fillId="0" borderId="21" xfId="0" applyFont="true" applyBorder="true" applyAlignment="true" applyProtection="false">
      <alignment horizontal="center" vertical="center" textRotation="0" wrapText="true" indent="0" shrinkToFit="false"/>
      <protection locked="true" hidden="false"/>
    </xf>
    <xf numFmtId="164" fontId="39" fillId="0" borderId="22" xfId="0" applyFont="true" applyBorder="true" applyAlignment="true" applyProtection="false">
      <alignment horizontal="center" vertical="center" textRotation="0" wrapText="true" indent="0" shrinkToFit="false"/>
      <protection locked="true" hidden="false"/>
    </xf>
    <xf numFmtId="164" fontId="39" fillId="0" borderId="23" xfId="0" applyFont="true" applyBorder="true" applyAlignment="true" applyProtection="false">
      <alignment horizontal="center" vertical="center" textRotation="0" wrapText="true" indent="0" shrinkToFit="false"/>
      <protection locked="true" hidden="false"/>
    </xf>
    <xf numFmtId="174" fontId="0" fillId="0" borderId="24" xfId="0" applyFont="true" applyBorder="true" applyAlignment="true" applyProtection="false">
      <alignment horizontal="center" vertical="center" textRotation="0" wrapText="true" indent="0" shrinkToFit="false"/>
      <protection locked="true" hidden="false"/>
    </xf>
    <xf numFmtId="164" fontId="0" fillId="0" borderId="18" xfId="0" applyFont="true" applyBorder="true" applyAlignment="true" applyProtection="false">
      <alignment horizontal="center" vertical="center" textRotation="0" wrapText="true" indent="0" shrinkToFit="false"/>
      <protection locked="true" hidden="false"/>
    </xf>
    <xf numFmtId="164" fontId="0" fillId="0" borderId="17" xfId="0" applyFont="true" applyBorder="true" applyAlignment="true" applyProtection="false">
      <alignment horizontal="center" vertical="center" textRotation="0" wrapText="true" indent="0" shrinkToFit="false"/>
      <protection locked="true" hidden="false"/>
    </xf>
    <xf numFmtId="164" fontId="0" fillId="0" borderId="20" xfId="0" applyFont="true" applyBorder="true" applyAlignment="true" applyProtection="false">
      <alignment horizontal="center" vertical="center" textRotation="0" wrapText="true" indent="0" shrinkToFit="false"/>
      <protection locked="true" hidden="false"/>
    </xf>
    <xf numFmtId="164" fontId="34" fillId="0" borderId="25" xfId="0" applyFont="true" applyBorder="true" applyAlignment="true" applyProtection="false">
      <alignment horizontal="center" vertical="center" textRotation="0" wrapText="true" indent="0" shrinkToFit="false"/>
      <protection locked="true" hidden="false"/>
    </xf>
    <xf numFmtId="164" fontId="34" fillId="0" borderId="20" xfId="0" applyFont="true" applyBorder="true" applyAlignment="true" applyProtection="false">
      <alignment horizontal="center" vertical="center" textRotation="0" wrapText="true" indent="0" shrinkToFit="false"/>
      <protection locked="true" hidden="false"/>
    </xf>
    <xf numFmtId="164" fontId="0" fillId="0" borderId="25" xfId="0" applyFont="true" applyBorder="true" applyAlignment="true" applyProtection="false">
      <alignment horizontal="center" vertical="center" textRotation="0" wrapText="true" indent="0" shrinkToFit="false"/>
      <protection locked="true" hidden="false"/>
    </xf>
    <xf numFmtId="164" fontId="0" fillId="0" borderId="9" xfId="0" applyFont="true" applyBorder="true" applyAlignment="true" applyProtection="false">
      <alignment horizontal="center" vertical="center" textRotation="0" wrapText="true" indent="0" shrinkToFit="false"/>
      <protection locked="true" hidden="false"/>
    </xf>
    <xf numFmtId="164" fontId="0" fillId="0" borderId="26" xfId="0" applyFont="true" applyBorder="true" applyAlignment="true" applyProtection="false">
      <alignment horizontal="center" vertical="center" textRotation="0" wrapText="true" indent="0" shrinkToFit="false"/>
      <protection locked="true" hidden="false"/>
    </xf>
    <xf numFmtId="164" fontId="42" fillId="0" borderId="27" xfId="0" applyFont="true" applyBorder="true" applyAlignment="true" applyProtection="false">
      <alignment horizontal="center" vertical="center" textRotation="0" wrapText="false" indent="0" shrinkToFit="false"/>
      <protection locked="true" hidden="false"/>
    </xf>
    <xf numFmtId="164" fontId="42" fillId="0" borderId="0"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false" applyBorder="true" applyAlignment="true" applyProtection="false">
      <alignment horizontal="general" vertical="bottom" textRotation="0" wrapText="true" indent="0" shrinkToFit="false"/>
      <protection locked="true" hidden="false"/>
    </xf>
    <xf numFmtId="164" fontId="0" fillId="0" borderId="28" xfId="0" applyFont="true" applyBorder="true" applyAlignment="true" applyProtection="false">
      <alignment horizontal="center" vertical="center" textRotation="0" wrapText="true" indent="0" shrinkToFit="false"/>
      <protection locked="true" hidden="false"/>
    </xf>
    <xf numFmtId="172" fontId="0" fillId="0" borderId="29" xfId="0" applyFont="true" applyBorder="true" applyAlignment="true" applyProtection="false">
      <alignment horizontal="center" vertical="center" textRotation="0" wrapText="true" indent="0" shrinkToFit="false"/>
      <protection locked="true" hidden="false"/>
    </xf>
    <xf numFmtId="174" fontId="0" fillId="0" borderId="30" xfId="0" applyFont="true" applyBorder="true" applyAlignment="true" applyProtection="false">
      <alignment horizontal="center" vertical="center" textRotation="0" wrapText="true" indent="0" shrinkToFit="false"/>
      <protection locked="true" hidden="false"/>
    </xf>
    <xf numFmtId="174" fontId="0" fillId="0" borderId="29" xfId="0" applyFont="true" applyBorder="true" applyAlignment="true" applyProtection="false">
      <alignment horizontal="center" vertical="center" textRotation="0" wrapText="true" indent="0" shrinkToFit="false"/>
      <protection locked="true" hidden="false"/>
    </xf>
    <xf numFmtId="174" fontId="0" fillId="0" borderId="22" xfId="0" applyFont="true" applyBorder="true" applyAlignment="true" applyProtection="false">
      <alignment horizontal="center" vertical="center" textRotation="0" wrapText="true" indent="0" shrinkToFit="false"/>
      <protection locked="true" hidden="false"/>
    </xf>
    <xf numFmtId="165" fontId="0" fillId="0" borderId="29" xfId="0" applyFont="true" applyBorder="true" applyAlignment="true" applyProtection="false">
      <alignment horizontal="center" vertical="center" textRotation="0" wrapText="true" indent="0" shrinkToFit="false"/>
      <protection locked="true" hidden="false"/>
    </xf>
    <xf numFmtId="165" fontId="0" fillId="0" borderId="22" xfId="0" applyFont="true" applyBorder="true" applyAlignment="true" applyProtection="false">
      <alignment horizontal="center" vertical="center" textRotation="0" wrapText="true" indent="0" shrinkToFit="false"/>
      <protection locked="true" hidden="false"/>
    </xf>
    <xf numFmtId="165" fontId="34" fillId="0" borderId="21" xfId="0" applyFont="true" applyBorder="true" applyAlignment="true" applyProtection="false">
      <alignment horizontal="center" vertical="center" textRotation="0" wrapText="true" indent="0" shrinkToFit="false"/>
      <protection locked="true" hidden="false"/>
    </xf>
    <xf numFmtId="165" fontId="34" fillId="0" borderId="23" xfId="0" applyFont="true" applyBorder="true" applyAlignment="true" applyProtection="false">
      <alignment horizontal="center" vertical="center" textRotation="0" wrapText="true" indent="0" shrinkToFit="false"/>
      <protection locked="true" hidden="false"/>
    </xf>
    <xf numFmtId="167" fontId="34" fillId="0" borderId="30" xfId="0" applyFont="true" applyBorder="true" applyAlignment="true" applyProtection="false">
      <alignment horizontal="center" vertical="center" textRotation="0" wrapText="true" indent="0" shrinkToFit="false"/>
      <protection locked="true" hidden="false"/>
    </xf>
    <xf numFmtId="167" fontId="37" fillId="0" borderId="22" xfId="19" applyFont="true" applyBorder="true" applyAlignment="true" applyProtection="true">
      <alignment horizontal="center" vertical="center" textRotation="0" wrapText="true" indent="0" shrinkToFit="false"/>
      <protection locked="true" hidden="false"/>
    </xf>
    <xf numFmtId="165" fontId="37" fillId="0" borderId="22" xfId="0" applyFont="true" applyBorder="true" applyAlignment="true" applyProtection="false">
      <alignment horizontal="center" vertical="center" textRotation="0" wrapText="true" indent="0" shrinkToFit="false"/>
      <protection locked="true" hidden="false"/>
    </xf>
    <xf numFmtId="167" fontId="38" fillId="0" borderId="22" xfId="19" applyFont="true" applyBorder="true" applyAlignment="true" applyProtection="true">
      <alignment horizontal="center" vertical="center" textRotation="0" wrapText="true" indent="0" shrinkToFit="false"/>
      <protection locked="true" hidden="false"/>
    </xf>
    <xf numFmtId="165" fontId="0" fillId="0" borderId="21" xfId="0" applyFont="true" applyBorder="true" applyAlignment="true" applyProtection="false">
      <alignment horizontal="center" vertical="center" textRotation="0" wrapText="false" indent="0" shrinkToFit="false"/>
      <protection locked="true" hidden="false"/>
    </xf>
    <xf numFmtId="165" fontId="0" fillId="0" borderId="22" xfId="0" applyFont="true" applyBorder="true" applyAlignment="true" applyProtection="false">
      <alignment horizontal="center" vertical="center" textRotation="0" wrapText="false" indent="0" shrinkToFit="false"/>
      <protection locked="true" hidden="false"/>
    </xf>
    <xf numFmtId="165" fontId="0" fillId="0" borderId="23" xfId="0" applyFont="true" applyBorder="true" applyAlignment="true" applyProtection="false">
      <alignment horizontal="center" vertical="center" textRotation="0" wrapText="false" indent="0" shrinkToFit="false"/>
      <protection locked="true" hidden="false"/>
    </xf>
    <xf numFmtId="174" fontId="0" fillId="0" borderId="31" xfId="0" applyFont="false" applyBorder="true" applyAlignment="true" applyProtection="false">
      <alignment horizontal="center"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0" fillId="0" borderId="12" xfId="0" applyFont="true" applyBorder="true" applyAlignment="true" applyProtection="false">
      <alignment horizontal="center" vertical="center" textRotation="0" wrapText="true" indent="0" shrinkToFit="false"/>
      <protection locked="true" hidden="false"/>
    </xf>
    <xf numFmtId="172" fontId="0" fillId="0" borderId="9" xfId="0" applyFont="true" applyBorder="true" applyAlignment="true" applyProtection="false">
      <alignment horizontal="center" vertical="center" textRotation="0" wrapText="true" indent="0" shrinkToFit="false"/>
      <protection locked="true" hidden="false"/>
    </xf>
    <xf numFmtId="174" fontId="0" fillId="0" borderId="26" xfId="0" applyFont="true" applyBorder="true" applyAlignment="true" applyProtection="false">
      <alignment horizontal="center" vertical="center" textRotation="0" wrapText="true" indent="0" shrinkToFit="false"/>
      <protection locked="true" hidden="false"/>
    </xf>
    <xf numFmtId="174" fontId="0" fillId="0" borderId="9" xfId="0" applyFont="true" applyBorder="true" applyAlignment="true" applyProtection="false">
      <alignment horizontal="center" vertical="center" textRotation="0" wrapText="true" indent="0" shrinkToFit="false"/>
      <protection locked="true" hidden="false"/>
    </xf>
    <xf numFmtId="174" fontId="0" fillId="0" borderId="0" xfId="0" applyFont="true" applyBorder="true" applyAlignment="true" applyProtection="false">
      <alignment horizontal="center" vertical="center" textRotation="0" wrapText="true" indent="0" shrinkToFit="false"/>
      <protection locked="true" hidden="false"/>
    </xf>
    <xf numFmtId="165" fontId="0" fillId="0" borderId="9" xfId="0" applyFont="true" applyBorder="true" applyAlignment="true" applyProtection="false">
      <alignment horizontal="center" vertical="center" textRotation="0" wrapText="true" indent="0" shrinkToFit="false"/>
      <protection locked="true" hidden="false"/>
    </xf>
    <xf numFmtId="165" fontId="0" fillId="0" borderId="0" xfId="0" applyFont="true" applyBorder="true" applyAlignment="true" applyProtection="false">
      <alignment horizontal="center" vertical="center" textRotation="0" wrapText="true" indent="0" shrinkToFit="false"/>
      <protection locked="true" hidden="false"/>
    </xf>
    <xf numFmtId="165" fontId="34" fillId="0" borderId="27" xfId="0" applyFont="true" applyBorder="true" applyAlignment="true" applyProtection="false">
      <alignment horizontal="center" vertical="center" textRotation="0" wrapText="true" indent="0" shrinkToFit="false"/>
      <protection locked="true" hidden="false"/>
    </xf>
    <xf numFmtId="165" fontId="34" fillId="0" borderId="32" xfId="0" applyFont="true" applyBorder="true" applyAlignment="true" applyProtection="false">
      <alignment horizontal="center" vertical="center" textRotation="0" wrapText="true" indent="0" shrinkToFit="false"/>
      <protection locked="true" hidden="false"/>
    </xf>
    <xf numFmtId="167" fontId="34" fillId="0" borderId="26" xfId="0" applyFont="true" applyBorder="true" applyAlignment="true" applyProtection="false">
      <alignment horizontal="center" vertical="center" textRotation="0" wrapText="true" indent="0" shrinkToFit="false"/>
      <protection locked="true" hidden="false"/>
    </xf>
    <xf numFmtId="167" fontId="37" fillId="0" borderId="0" xfId="19" applyFont="true" applyBorder="true" applyAlignment="true" applyProtection="true">
      <alignment horizontal="center" vertical="center" textRotation="0" wrapText="true" indent="0" shrinkToFit="false"/>
      <protection locked="true" hidden="false"/>
    </xf>
    <xf numFmtId="165" fontId="37" fillId="0" borderId="0" xfId="0" applyFont="true" applyBorder="true" applyAlignment="true" applyProtection="false">
      <alignment horizontal="center" vertical="center" textRotation="0" wrapText="true" indent="0" shrinkToFit="false"/>
      <protection locked="true" hidden="false"/>
    </xf>
    <xf numFmtId="167" fontId="38" fillId="0" borderId="0" xfId="19" applyFont="true" applyBorder="true" applyAlignment="true" applyProtection="true">
      <alignment horizontal="center" vertical="center" textRotation="0" wrapText="true" indent="0" shrinkToFit="false"/>
      <protection locked="true" hidden="false"/>
    </xf>
    <xf numFmtId="165" fontId="0" fillId="0" borderId="27" xfId="0" applyFont="true" applyBorder="true" applyAlignment="true" applyProtection="false">
      <alignment horizontal="center" vertical="center" textRotation="0" wrapText="false" indent="0" shrinkToFit="false"/>
      <protection locked="true" hidden="false"/>
    </xf>
    <xf numFmtId="165" fontId="0" fillId="0" borderId="0" xfId="0" applyFont="true" applyBorder="true" applyAlignment="true" applyProtection="false">
      <alignment horizontal="center" vertical="center" textRotation="0" wrapText="false" indent="0" shrinkToFit="false"/>
      <protection locked="true" hidden="false"/>
    </xf>
    <xf numFmtId="165" fontId="0" fillId="0" borderId="0" xfId="0" applyFont="true" applyBorder="true" applyAlignment="true" applyProtection="false">
      <alignment horizontal="center" vertical="center" textRotation="0" wrapText="false" indent="0" shrinkToFit="false"/>
      <protection locked="true" hidden="false"/>
    </xf>
    <xf numFmtId="174" fontId="0" fillId="0" borderId="33" xfId="0" applyFont="false" applyBorder="true" applyAlignment="true" applyProtection="false">
      <alignment horizontal="center"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4" fontId="0" fillId="0" borderId="34" xfId="0" applyFont="true" applyBorder="true" applyAlignment="true" applyProtection="false">
      <alignment horizontal="center" vertical="center" textRotation="0" wrapText="true" indent="0" shrinkToFit="false"/>
      <protection locked="true" hidden="false"/>
    </xf>
    <xf numFmtId="172" fontId="0" fillId="0" borderId="35" xfId="0" applyFont="true" applyBorder="true" applyAlignment="true" applyProtection="false">
      <alignment horizontal="center" vertical="center" textRotation="0" wrapText="true" indent="0" shrinkToFit="false"/>
      <protection locked="true" hidden="false"/>
    </xf>
    <xf numFmtId="174" fontId="0" fillId="0" borderId="36" xfId="0" applyFont="true" applyBorder="true" applyAlignment="true" applyProtection="false">
      <alignment horizontal="center" vertical="center" textRotation="0" wrapText="true" indent="0" shrinkToFit="false"/>
      <protection locked="true" hidden="false"/>
    </xf>
    <xf numFmtId="174" fontId="0" fillId="0" borderId="35" xfId="0" applyFont="true" applyBorder="true" applyAlignment="true" applyProtection="false">
      <alignment horizontal="center" vertical="center" textRotation="0" wrapText="true" indent="0" shrinkToFit="false"/>
      <protection locked="true" hidden="false"/>
    </xf>
    <xf numFmtId="174" fontId="0" fillId="0" borderId="37" xfId="0" applyFont="true" applyBorder="true" applyAlignment="true" applyProtection="false">
      <alignment horizontal="center" vertical="center" textRotation="0" wrapText="true" indent="0" shrinkToFit="false"/>
      <protection locked="true" hidden="false"/>
    </xf>
    <xf numFmtId="165" fontId="0" fillId="0" borderId="35" xfId="0" applyFont="true" applyBorder="true" applyAlignment="true" applyProtection="false">
      <alignment horizontal="center" vertical="center" textRotation="0" wrapText="true" indent="0" shrinkToFit="false"/>
      <protection locked="true" hidden="false"/>
    </xf>
    <xf numFmtId="165" fontId="0" fillId="0" borderId="37" xfId="0" applyFont="true" applyBorder="true" applyAlignment="true" applyProtection="false">
      <alignment horizontal="center" vertical="center" textRotation="0" wrapText="true" indent="0" shrinkToFit="false"/>
      <protection locked="true" hidden="false"/>
    </xf>
    <xf numFmtId="165" fontId="34" fillId="0" borderId="38" xfId="0" applyFont="true" applyBorder="true" applyAlignment="true" applyProtection="false">
      <alignment horizontal="center" vertical="center" textRotation="0" wrapText="true" indent="0" shrinkToFit="false"/>
      <protection locked="true" hidden="false"/>
    </xf>
    <xf numFmtId="165" fontId="34" fillId="0" borderId="39" xfId="0" applyFont="true" applyBorder="true" applyAlignment="true" applyProtection="false">
      <alignment horizontal="center" vertical="center" textRotation="0" wrapText="true" indent="0" shrinkToFit="false"/>
      <protection locked="true" hidden="false"/>
    </xf>
    <xf numFmtId="167" fontId="34" fillId="0" borderId="36" xfId="0" applyFont="true" applyBorder="true" applyAlignment="true" applyProtection="false">
      <alignment horizontal="center" vertical="center" textRotation="0" wrapText="true" indent="0" shrinkToFit="false"/>
      <protection locked="true" hidden="false"/>
    </xf>
    <xf numFmtId="167" fontId="37" fillId="0" borderId="37" xfId="19" applyFont="true" applyBorder="true" applyAlignment="true" applyProtection="true">
      <alignment horizontal="center" vertical="center" textRotation="0" wrapText="true" indent="0" shrinkToFit="false"/>
      <protection locked="true" hidden="false"/>
    </xf>
    <xf numFmtId="165" fontId="37" fillId="0" borderId="37" xfId="0" applyFont="true" applyBorder="true" applyAlignment="true" applyProtection="false">
      <alignment horizontal="center" vertical="center" textRotation="0" wrapText="true" indent="0" shrinkToFit="false"/>
      <protection locked="true" hidden="false"/>
    </xf>
    <xf numFmtId="167" fontId="38" fillId="0" borderId="37" xfId="19" applyFont="true" applyBorder="true" applyAlignment="true" applyProtection="true">
      <alignment horizontal="center" vertical="center" textRotation="0" wrapText="true" indent="0" shrinkToFit="false"/>
      <protection locked="true" hidden="false"/>
    </xf>
    <xf numFmtId="165" fontId="0" fillId="0" borderId="38" xfId="0" applyFont="true" applyBorder="true" applyAlignment="true" applyProtection="false">
      <alignment horizontal="center" vertical="center" textRotation="0" wrapText="false" indent="0" shrinkToFit="false"/>
      <protection locked="true" hidden="false"/>
    </xf>
    <xf numFmtId="165" fontId="0" fillId="0" borderId="37" xfId="0" applyFont="true" applyBorder="true" applyAlignment="true" applyProtection="false">
      <alignment horizontal="center" vertical="center" textRotation="0" wrapText="false" indent="0" shrinkToFit="false"/>
      <protection locked="true" hidden="false"/>
    </xf>
    <xf numFmtId="165" fontId="0" fillId="0" borderId="39" xfId="0" applyFont="true" applyBorder="true" applyAlignment="true" applyProtection="false">
      <alignment horizontal="center" vertical="center" textRotation="0" wrapText="false" indent="0" shrinkToFit="false"/>
      <protection locked="true" hidden="false"/>
    </xf>
    <xf numFmtId="174" fontId="0" fillId="0" borderId="40" xfId="0" applyFont="false" applyBorder="true" applyAlignment="true" applyProtection="false">
      <alignment horizontal="center" vertical="bottom" textRotation="0" wrapText="false" indent="0" shrinkToFit="false"/>
      <protection locked="true" hidden="false"/>
    </xf>
    <xf numFmtId="165" fontId="0" fillId="0" borderId="0" xfId="0" applyFont="false" applyBorder="true" applyAlignment="true" applyProtection="false">
      <alignment horizontal="center" vertical="bottom" textRotation="0" wrapText="false" indent="0" shrinkToFit="false"/>
      <protection locked="true" hidden="false"/>
    </xf>
    <xf numFmtId="167" fontId="34" fillId="0" borderId="0" xfId="19" applyFont="true" applyBorder="true" applyAlignment="true" applyProtection="true">
      <alignment horizontal="center" vertical="center" textRotation="0" wrapText="true" indent="0" shrinkToFit="false"/>
      <protection locked="true" hidden="false"/>
    </xf>
    <xf numFmtId="171" fontId="0" fillId="0" borderId="0"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center" vertical="bottom" textRotation="0" wrapText="false" indent="0" shrinkToFit="false"/>
      <protection locked="true" hidden="false"/>
    </xf>
    <xf numFmtId="165" fontId="0" fillId="0" borderId="37" xfId="0" applyFont="false" applyBorder="true" applyAlignment="true" applyProtection="false">
      <alignment horizontal="center" vertical="bottom" textRotation="0" wrapText="false" indent="0" shrinkToFit="false"/>
      <protection locked="true" hidden="false"/>
    </xf>
    <xf numFmtId="167" fontId="34" fillId="0" borderId="39" xfId="19" applyFont="true" applyBorder="true" applyAlignment="true" applyProtection="true">
      <alignment horizontal="center" vertical="center" textRotation="0" wrapText="true" indent="0" shrinkToFit="false"/>
      <protection locked="true" hidden="false"/>
    </xf>
    <xf numFmtId="167" fontId="37" fillId="0" borderId="0" xfId="0" applyFont="true" applyBorder="true" applyAlignment="true" applyProtection="false">
      <alignment horizontal="center" vertical="center" textRotation="0" wrapText="true" indent="0" shrinkToFit="false"/>
      <protection locked="true" hidden="false"/>
    </xf>
    <xf numFmtId="175" fontId="0" fillId="0" borderId="0" xfId="0" applyFont="true" applyBorder="true" applyAlignment="true" applyProtection="false">
      <alignment horizontal="center" vertical="center" textRotation="0" wrapText="true" indent="0" shrinkToFit="false"/>
      <protection locked="true" hidden="false"/>
    </xf>
    <xf numFmtId="175" fontId="34" fillId="0" borderId="32" xfId="0" applyFont="true" applyBorder="true" applyAlignment="true" applyProtection="false">
      <alignment horizontal="center" vertical="center" textRotation="0" wrapText="true" indent="0" shrinkToFit="false"/>
      <protection locked="true" hidden="false"/>
    </xf>
    <xf numFmtId="175" fontId="0" fillId="0" borderId="9" xfId="0" applyFont="true" applyBorder="true" applyAlignment="true" applyProtection="false">
      <alignment horizontal="center" vertical="center" textRotation="0" wrapText="true" indent="0" shrinkToFit="false"/>
      <protection locked="true" hidden="false"/>
    </xf>
    <xf numFmtId="175" fontId="34" fillId="0" borderId="27" xfId="0" applyFont="true" applyBorder="true" applyAlignment="true" applyProtection="false">
      <alignment horizontal="center" vertical="center" textRotation="0" wrapText="tru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xf numFmtId="167" fontId="34" fillId="0" borderId="37" xfId="19" applyFont="true" applyBorder="true" applyAlignment="true" applyProtection="true">
      <alignment horizontal="center" vertical="center" textRotation="0" wrapText="true" indent="0" shrinkToFit="false"/>
      <protection locked="true" hidden="false"/>
    </xf>
    <xf numFmtId="174" fontId="0" fillId="0" borderId="33" xfId="0" applyFont="false" applyBorder="true" applyAlignment="true" applyProtection="false">
      <alignment horizontal="center" vertical="bottom" textRotation="0" wrapText="false" indent="0" shrinkToFit="false"/>
      <protection locked="true" hidden="false"/>
    </xf>
    <xf numFmtId="165" fontId="0" fillId="0" borderId="38" xfId="0" applyFont="true" applyBorder="true" applyAlignment="true" applyProtection="false">
      <alignment horizontal="center" vertical="center" textRotation="0" wrapText="false" indent="0" shrinkToFit="false"/>
      <protection locked="true" hidden="false"/>
    </xf>
    <xf numFmtId="165" fontId="0" fillId="0" borderId="37" xfId="0" applyFont="true" applyBorder="true" applyAlignment="true" applyProtection="false">
      <alignment horizontal="center" vertical="center" textRotation="0" wrapText="false" indent="0" shrinkToFit="false"/>
      <protection locked="true" hidden="false"/>
    </xf>
    <xf numFmtId="165" fontId="0" fillId="0" borderId="27" xfId="0" applyFont="true" applyBorder="true" applyAlignment="true" applyProtection="false">
      <alignment horizontal="center" vertical="center" textRotation="0" wrapText="false" indent="0" shrinkToFit="false"/>
      <protection locked="true" hidden="false"/>
    </xf>
    <xf numFmtId="174" fontId="0" fillId="0" borderId="40" xfId="0" applyFont="false" applyBorder="true" applyAlignment="true" applyProtection="false">
      <alignment horizontal="center"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41" xfId="0" applyFont="true" applyBorder="true" applyAlignment="true" applyProtection="false">
      <alignment horizontal="center" vertical="center" textRotation="0" wrapText="false" indent="0" shrinkToFit="false"/>
      <protection locked="true" hidden="false"/>
    </xf>
    <xf numFmtId="174" fontId="0" fillId="0" borderId="42" xfId="0" applyFont="true" applyBorder="true" applyAlignment="true" applyProtection="false">
      <alignment horizontal="center" vertical="center" textRotation="0" wrapText="false" indent="0" shrinkToFit="false"/>
      <protection locked="true" hidden="false"/>
    </xf>
    <xf numFmtId="174" fontId="0" fillId="0" borderId="43" xfId="0" applyFont="false" applyBorder="true" applyAlignment="true" applyProtection="false">
      <alignment horizontal="center" vertical="center" textRotation="0" wrapText="false" indent="0" shrinkToFit="false"/>
      <protection locked="true" hidden="false"/>
    </xf>
    <xf numFmtId="174" fontId="0" fillId="0" borderId="42" xfId="0" applyFont="false" applyBorder="true" applyAlignment="true" applyProtection="false">
      <alignment horizontal="center" vertical="center" textRotation="0" wrapText="false" indent="0" shrinkToFit="false"/>
      <protection locked="true" hidden="false"/>
    </xf>
    <xf numFmtId="174" fontId="0" fillId="0" borderId="44" xfId="0" applyFont="false" applyBorder="true" applyAlignment="true" applyProtection="false">
      <alignment horizontal="center" vertical="center" textRotation="0" wrapText="false" indent="0" shrinkToFit="false"/>
      <protection locked="true" hidden="false"/>
    </xf>
    <xf numFmtId="165" fontId="0" fillId="0" borderId="42" xfId="0" applyFont="true" applyBorder="true" applyAlignment="true" applyProtection="false">
      <alignment horizontal="center" vertical="center" textRotation="0" wrapText="false" indent="0" shrinkToFit="false"/>
      <protection locked="true" hidden="false"/>
    </xf>
    <xf numFmtId="165" fontId="0" fillId="0" borderId="44" xfId="0" applyFont="true" applyBorder="true" applyAlignment="true" applyProtection="false">
      <alignment horizontal="center" vertical="center" textRotation="0" wrapText="false" indent="0" shrinkToFit="false"/>
      <protection locked="true" hidden="false"/>
    </xf>
    <xf numFmtId="165" fontId="34" fillId="0" borderId="45" xfId="0" applyFont="true" applyBorder="true" applyAlignment="true" applyProtection="false">
      <alignment horizontal="center" vertical="center" textRotation="0" wrapText="false" indent="0" shrinkToFit="false"/>
      <protection locked="true" hidden="false"/>
    </xf>
    <xf numFmtId="165" fontId="34" fillId="0" borderId="46" xfId="0" applyFont="true" applyBorder="true" applyAlignment="true" applyProtection="false">
      <alignment horizontal="center" vertical="center" textRotation="0" wrapText="false" indent="0" shrinkToFit="false"/>
      <protection locked="true" hidden="false"/>
    </xf>
    <xf numFmtId="167" fontId="34" fillId="0" borderId="43" xfId="0" applyFont="true" applyBorder="true" applyAlignment="true" applyProtection="false">
      <alignment horizontal="center" vertical="center" textRotation="0" wrapText="false" indent="0" shrinkToFit="false"/>
      <protection locked="true" hidden="false"/>
    </xf>
    <xf numFmtId="167" fontId="0" fillId="0" borderId="44" xfId="0" applyFont="false" applyBorder="true" applyAlignment="true" applyProtection="false">
      <alignment horizontal="center" vertical="center" textRotation="0" wrapText="false" indent="0" shrinkToFit="false"/>
      <protection locked="true" hidden="false"/>
    </xf>
    <xf numFmtId="165" fontId="0" fillId="0" borderId="44" xfId="0" applyFont="false" applyBorder="true" applyAlignment="true" applyProtection="false">
      <alignment horizontal="center" vertical="center" textRotation="0" wrapText="false" indent="0" shrinkToFit="false"/>
      <protection locked="true" hidden="false"/>
    </xf>
    <xf numFmtId="167" fontId="34" fillId="0" borderId="44" xfId="19" applyFont="true" applyBorder="true" applyAlignment="true" applyProtection="true">
      <alignment horizontal="center" vertical="center" textRotation="0" wrapText="false" indent="0" shrinkToFit="false"/>
      <protection locked="true" hidden="false"/>
    </xf>
    <xf numFmtId="165" fontId="0" fillId="0" borderId="45" xfId="0" applyFont="false" applyBorder="true" applyAlignment="true" applyProtection="false">
      <alignment horizontal="center" vertical="center" textRotation="0" wrapText="false" indent="0" shrinkToFit="false"/>
      <protection locked="true" hidden="false"/>
    </xf>
    <xf numFmtId="169" fontId="0" fillId="0" borderId="12" xfId="0" applyFont="true" applyBorder="true" applyAlignment="true" applyProtection="false">
      <alignment horizontal="center" vertical="center" textRotation="0" wrapText="false" indent="0" shrinkToFit="false"/>
      <protection locked="true" hidden="false"/>
    </xf>
    <xf numFmtId="174" fontId="0" fillId="0" borderId="9" xfId="0" applyFont="true" applyBorder="true" applyAlignment="true" applyProtection="false">
      <alignment horizontal="center" vertical="center" textRotation="0" wrapText="false" indent="0" shrinkToFit="false"/>
      <protection locked="true" hidden="false"/>
    </xf>
    <xf numFmtId="174" fontId="0" fillId="0" borderId="26" xfId="0" applyFont="false" applyBorder="true" applyAlignment="true" applyProtection="false">
      <alignment horizontal="center" vertical="center" textRotation="0" wrapText="false" indent="0" shrinkToFit="false"/>
      <protection locked="true" hidden="false"/>
    </xf>
    <xf numFmtId="174" fontId="0" fillId="0" borderId="9" xfId="0" applyFont="false" applyBorder="true" applyAlignment="true" applyProtection="false">
      <alignment horizontal="center" vertical="center" textRotation="0" wrapText="false" indent="0" shrinkToFit="false"/>
      <protection locked="true" hidden="false"/>
    </xf>
    <xf numFmtId="174" fontId="0" fillId="0" borderId="0" xfId="0" applyFont="false" applyBorder="true" applyAlignment="true" applyProtection="false">
      <alignment horizontal="center" vertical="center" textRotation="0" wrapText="false" indent="0" shrinkToFit="false"/>
      <protection locked="true" hidden="false"/>
    </xf>
    <xf numFmtId="165" fontId="0" fillId="0" borderId="9" xfId="0" applyFont="true" applyBorder="true" applyAlignment="true" applyProtection="false">
      <alignment horizontal="center" vertical="center" textRotation="0" wrapText="false" indent="0" shrinkToFit="false"/>
      <protection locked="true" hidden="false"/>
    </xf>
    <xf numFmtId="165" fontId="34" fillId="0" borderId="27" xfId="0" applyFont="true" applyBorder="true" applyAlignment="true" applyProtection="false">
      <alignment horizontal="center" vertical="center" textRotation="0" wrapText="false" indent="0" shrinkToFit="false"/>
      <protection locked="true" hidden="false"/>
    </xf>
    <xf numFmtId="165" fontId="34" fillId="0" borderId="32" xfId="0" applyFont="true" applyBorder="true" applyAlignment="true" applyProtection="false">
      <alignment horizontal="center" vertical="center" textRotation="0" wrapText="false" indent="0" shrinkToFit="false"/>
      <protection locked="true" hidden="false"/>
    </xf>
    <xf numFmtId="167" fontId="34" fillId="0" borderId="26" xfId="0" applyFont="true" applyBorder="true" applyAlignment="true" applyProtection="false">
      <alignment horizontal="center" vertical="center" textRotation="0" wrapText="false" indent="0" shrinkToFit="false"/>
      <protection locked="true" hidden="false"/>
    </xf>
    <xf numFmtId="167" fontId="0" fillId="0" borderId="0" xfId="0" applyFont="false" applyBorder="true" applyAlignment="true" applyProtection="false">
      <alignment horizontal="center" vertical="center" textRotation="0" wrapText="false" indent="0" shrinkToFit="false"/>
      <protection locked="true" hidden="false"/>
    </xf>
    <xf numFmtId="165" fontId="0" fillId="0" borderId="0" xfId="0" applyFont="false" applyBorder="true" applyAlignment="true" applyProtection="false">
      <alignment horizontal="center" vertical="center" textRotation="0" wrapText="false" indent="0" shrinkToFit="false"/>
      <protection locked="true" hidden="false"/>
    </xf>
    <xf numFmtId="167" fontId="34" fillId="0" borderId="0" xfId="0" applyFont="true" applyBorder="true" applyAlignment="true" applyProtection="false">
      <alignment horizontal="center" vertical="center" textRotation="0" wrapText="false" indent="0" shrinkToFit="false"/>
      <protection locked="true" hidden="false"/>
    </xf>
    <xf numFmtId="165" fontId="0" fillId="0" borderId="27" xfId="0" applyFont="false" applyBorder="true" applyAlignment="true" applyProtection="false">
      <alignment horizontal="center" vertical="center" textRotation="0" wrapText="false" indent="0" shrinkToFit="false"/>
      <protection locked="true" hidden="false"/>
    </xf>
    <xf numFmtId="167" fontId="0" fillId="0" borderId="0" xfId="19" applyFont="true" applyBorder="true" applyAlignment="true" applyProtection="true">
      <alignment horizontal="general" vertical="bottom" textRotation="0" wrapText="false" indent="0" shrinkToFit="false"/>
      <protection locked="true" hidden="false"/>
    </xf>
    <xf numFmtId="167" fontId="34" fillId="0" borderId="44" xfId="0" applyFont="true" applyBorder="true" applyAlignment="true" applyProtection="false">
      <alignment horizontal="center" vertical="center" textRotation="0" wrapText="false" indent="0" shrinkToFit="false"/>
      <protection locked="true" hidden="false"/>
    </xf>
    <xf numFmtId="169" fontId="0" fillId="0" borderId="34" xfId="0" applyFont="true" applyBorder="true" applyAlignment="true" applyProtection="false">
      <alignment horizontal="center" vertical="center" textRotation="0" wrapText="false" indent="0" shrinkToFit="false"/>
      <protection locked="true" hidden="false"/>
    </xf>
    <xf numFmtId="174" fontId="0" fillId="0" borderId="35" xfId="0" applyFont="true" applyBorder="true" applyAlignment="true" applyProtection="false">
      <alignment horizontal="center" vertical="center" textRotation="0" wrapText="false" indent="0" shrinkToFit="false"/>
      <protection locked="true" hidden="false"/>
    </xf>
    <xf numFmtId="174" fontId="0" fillId="0" borderId="36" xfId="0" applyFont="false" applyBorder="true" applyAlignment="true" applyProtection="false">
      <alignment horizontal="center" vertical="center" textRotation="0" wrapText="false" indent="0" shrinkToFit="false"/>
      <protection locked="true" hidden="false"/>
    </xf>
    <xf numFmtId="174" fontId="0" fillId="0" borderId="35" xfId="0" applyFont="false" applyBorder="true" applyAlignment="true" applyProtection="false">
      <alignment horizontal="center" vertical="center" textRotation="0" wrapText="false" indent="0" shrinkToFit="false"/>
      <protection locked="true" hidden="false"/>
    </xf>
    <xf numFmtId="174" fontId="0" fillId="0" borderId="37" xfId="0" applyFont="false" applyBorder="true" applyAlignment="true" applyProtection="false">
      <alignment horizontal="center" vertical="center" textRotation="0" wrapText="false" indent="0" shrinkToFit="false"/>
      <protection locked="true" hidden="false"/>
    </xf>
    <xf numFmtId="165" fontId="0" fillId="0" borderId="35" xfId="0" applyFont="true" applyBorder="true" applyAlignment="true" applyProtection="false">
      <alignment horizontal="center" vertical="center" textRotation="0" wrapText="false" indent="0" shrinkToFit="false"/>
      <protection locked="true" hidden="false"/>
    </xf>
    <xf numFmtId="165" fontId="34" fillId="0" borderId="38" xfId="0" applyFont="true" applyBorder="true" applyAlignment="true" applyProtection="false">
      <alignment horizontal="center" vertical="center" textRotation="0" wrapText="false" indent="0" shrinkToFit="false"/>
      <protection locked="true" hidden="false"/>
    </xf>
    <xf numFmtId="165" fontId="34" fillId="0" borderId="39" xfId="0" applyFont="true" applyBorder="true" applyAlignment="true" applyProtection="false">
      <alignment horizontal="center" vertical="center" textRotation="0" wrapText="false" indent="0" shrinkToFit="false"/>
      <protection locked="true" hidden="false"/>
    </xf>
    <xf numFmtId="167" fontId="34" fillId="0" borderId="36" xfId="0" applyFont="true" applyBorder="true" applyAlignment="true" applyProtection="false">
      <alignment horizontal="center" vertical="center" textRotation="0" wrapText="false" indent="0" shrinkToFit="false"/>
      <protection locked="true" hidden="false"/>
    </xf>
    <xf numFmtId="167" fontId="0" fillId="0" borderId="37" xfId="0" applyFont="false" applyBorder="true" applyAlignment="true" applyProtection="false">
      <alignment horizontal="center" vertical="center" textRotation="0" wrapText="false" indent="0" shrinkToFit="false"/>
      <protection locked="true" hidden="false"/>
    </xf>
    <xf numFmtId="165" fontId="0" fillId="0" borderId="37" xfId="0" applyFont="false" applyBorder="true" applyAlignment="true" applyProtection="false">
      <alignment horizontal="center" vertical="center" textRotation="0" wrapText="false" indent="0" shrinkToFit="false"/>
      <protection locked="true" hidden="false"/>
    </xf>
    <xf numFmtId="167" fontId="34" fillId="0" borderId="37" xfId="0" applyFont="true" applyBorder="true" applyAlignment="true" applyProtection="false">
      <alignment horizontal="center" vertical="center" textRotation="0" wrapText="false" indent="0" shrinkToFit="false"/>
      <protection locked="true" hidden="false"/>
    </xf>
    <xf numFmtId="165" fontId="0" fillId="0" borderId="27" xfId="0" applyFont="false" applyBorder="true" applyAlignment="true" applyProtection="false">
      <alignment horizontal="center" vertical="center" textRotation="0" wrapText="false" indent="0" shrinkToFit="false"/>
      <protection locked="true" hidden="false"/>
    </xf>
    <xf numFmtId="165" fontId="0" fillId="0" borderId="45" xfId="0" applyFont="false" applyBorder="true" applyAlignment="true" applyProtection="false">
      <alignment horizontal="center" vertical="center" textRotation="0" wrapText="false" indent="0" shrinkToFit="false"/>
      <protection locked="true" hidden="false"/>
    </xf>
    <xf numFmtId="169" fontId="0" fillId="0" borderId="12" xfId="0" applyFont="false" applyBorder="true" applyAlignment="true" applyProtection="false">
      <alignment horizontal="center" vertical="center" textRotation="0" wrapText="false" indent="0" shrinkToFit="false"/>
      <protection locked="true" hidden="false"/>
    </xf>
    <xf numFmtId="169" fontId="0" fillId="0" borderId="41" xfId="0" applyFont="false" applyBorder="true" applyAlignment="true" applyProtection="false">
      <alignment horizontal="center" vertical="center" textRotation="0" wrapText="false" indent="0" shrinkToFit="false"/>
      <protection locked="true" hidden="false"/>
    </xf>
    <xf numFmtId="165" fontId="0" fillId="0" borderId="0" xfId="19" applyFont="true" applyBorder="true" applyAlignment="true" applyProtection="true">
      <alignment horizontal="general" vertical="bottom" textRotation="0" wrapText="false" indent="0" shrinkToFit="false"/>
      <protection locked="true" hidden="false"/>
    </xf>
    <xf numFmtId="169" fontId="0" fillId="0" borderId="47" xfId="0" applyFont="false" applyBorder="true" applyAlignment="true" applyProtection="false">
      <alignment horizontal="center" vertical="center" textRotation="0" wrapText="false" indent="0" shrinkToFit="false"/>
      <protection locked="true" hidden="false"/>
    </xf>
    <xf numFmtId="174" fontId="0" fillId="0" borderId="48" xfId="0" applyFont="true" applyBorder="true" applyAlignment="true" applyProtection="false">
      <alignment horizontal="center" vertical="center" textRotation="0" wrapText="false" indent="0" shrinkToFit="false"/>
      <protection locked="true" hidden="false"/>
    </xf>
    <xf numFmtId="174" fontId="0" fillId="0" borderId="49" xfId="0" applyFont="false" applyBorder="true" applyAlignment="true" applyProtection="false">
      <alignment horizontal="center" vertical="center" textRotation="0" wrapText="false" indent="0" shrinkToFit="false"/>
      <protection locked="true" hidden="false"/>
    </xf>
    <xf numFmtId="174" fontId="0" fillId="0" borderId="48" xfId="0" applyFont="false" applyBorder="true" applyAlignment="true" applyProtection="false">
      <alignment horizontal="center" vertical="center" textRotation="0" wrapText="false" indent="0" shrinkToFit="false"/>
      <protection locked="true" hidden="false"/>
    </xf>
    <xf numFmtId="165" fontId="0" fillId="0" borderId="48" xfId="0" applyFont="true" applyBorder="true" applyAlignment="true" applyProtection="false">
      <alignment horizontal="center" vertical="center" textRotation="0" wrapText="false" indent="0" shrinkToFit="false"/>
      <protection locked="true" hidden="false"/>
    </xf>
    <xf numFmtId="165" fontId="0" fillId="0" borderId="50" xfId="0" applyFont="true" applyBorder="true" applyAlignment="true" applyProtection="false">
      <alignment horizontal="center" vertical="center" textRotation="0" wrapText="false" indent="0" shrinkToFit="false"/>
      <protection locked="true" hidden="false"/>
    </xf>
    <xf numFmtId="165" fontId="34" fillId="0" borderId="51" xfId="0" applyFont="true" applyBorder="true" applyAlignment="true" applyProtection="false">
      <alignment horizontal="center" vertical="center" textRotation="0" wrapText="false" indent="0" shrinkToFit="false"/>
      <protection locked="true" hidden="false"/>
    </xf>
    <xf numFmtId="165" fontId="34" fillId="0" borderId="52" xfId="0" applyFont="true" applyBorder="true" applyAlignment="true" applyProtection="false">
      <alignment horizontal="center" vertical="center" textRotation="0" wrapText="false" indent="0" shrinkToFit="false"/>
      <protection locked="true" hidden="false"/>
    </xf>
    <xf numFmtId="167" fontId="34" fillId="0" borderId="49" xfId="0" applyFont="true" applyBorder="true" applyAlignment="true" applyProtection="false">
      <alignment horizontal="center" vertical="center" textRotation="0" wrapText="false" indent="0" shrinkToFit="false"/>
      <protection locked="true" hidden="false"/>
    </xf>
    <xf numFmtId="167" fontId="0" fillId="0" borderId="50" xfId="0" applyFont="false" applyBorder="true" applyAlignment="true" applyProtection="false">
      <alignment horizontal="center" vertical="center" textRotation="0" wrapText="false" indent="0" shrinkToFit="false"/>
      <protection locked="true" hidden="false"/>
    </xf>
    <xf numFmtId="165" fontId="0" fillId="0" borderId="50" xfId="0" applyFont="false" applyBorder="true" applyAlignment="true" applyProtection="false">
      <alignment horizontal="center" vertical="center" textRotation="0" wrapText="false" indent="0" shrinkToFit="false"/>
      <protection locked="true" hidden="false"/>
    </xf>
    <xf numFmtId="167" fontId="34" fillId="0" borderId="50" xfId="0" applyFont="true" applyBorder="true" applyAlignment="true" applyProtection="false">
      <alignment horizontal="center" vertical="center" textRotation="0" wrapText="false" indent="0" shrinkToFit="false"/>
      <protection locked="true" hidden="false"/>
    </xf>
    <xf numFmtId="165" fontId="0" fillId="0" borderId="51" xfId="0" applyFont="false" applyBorder="true" applyAlignment="true" applyProtection="false">
      <alignment horizontal="center" vertical="center" textRotation="0" wrapText="false" indent="0" shrinkToFit="false"/>
      <protection locked="true" hidden="false"/>
    </xf>
    <xf numFmtId="174" fontId="0" fillId="0" borderId="53"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74" fontId="0" fillId="0" borderId="0" xfId="0" applyFont="true" applyBorder="true" applyAlignment="true" applyProtection="false">
      <alignment horizontal="center" vertical="center" textRotation="0" wrapText="false" indent="0" shrinkToFit="false"/>
      <protection locked="true" hidden="false"/>
    </xf>
    <xf numFmtId="165" fontId="34" fillId="0" borderId="0" xfId="0" applyFont="true" applyBorder="true" applyAlignment="true" applyProtection="false">
      <alignment horizontal="center" vertical="center" textRotation="0" wrapText="false" indent="0" shrinkToFit="false"/>
      <protection locked="true" hidden="false"/>
    </xf>
    <xf numFmtId="164" fontId="0" fillId="0" borderId="16" xfId="66" applyFont="true" applyBorder="true" applyAlignment="true" applyProtection="false">
      <alignment horizontal="left" vertical="center" textRotation="0" wrapText="true" indent="0" shrinkToFit="false"/>
      <protection locked="true" hidden="false"/>
    </xf>
    <xf numFmtId="177" fontId="0" fillId="0" borderId="0" xfId="19" applyFont="true" applyBorder="true" applyAlignment="true" applyProtection="true">
      <alignment horizontal="general" vertical="bottom" textRotation="0" wrapText="false" indent="0" shrinkToFit="false"/>
      <protection locked="true" hidden="false"/>
    </xf>
    <xf numFmtId="178"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0" fillId="0" borderId="13" xfId="0" applyFont="false" applyBorder="true" applyAlignment="false" applyProtection="false">
      <alignment horizontal="general" vertical="bottom" textRotation="0" wrapText="false" indent="0" shrinkToFit="false"/>
      <protection locked="true" hidden="false"/>
    </xf>
    <xf numFmtId="164" fontId="0" fillId="0" borderId="13" xfId="0" applyFont="true" applyBorder="true" applyAlignment="true" applyProtection="false">
      <alignment horizontal="center" vertical="bottom" textRotation="0" wrapText="false" indent="0" shrinkToFit="false"/>
      <protection locked="true" hidden="false"/>
    </xf>
    <xf numFmtId="164" fontId="33" fillId="0" borderId="54" xfId="0" applyFont="true" applyBorder="true" applyAlignment="true" applyProtection="false">
      <alignment horizontal="center" vertical="center" textRotation="0" wrapText="true" indent="0" shrinkToFit="false"/>
      <protection locked="true" hidden="false"/>
    </xf>
    <xf numFmtId="164" fontId="34" fillId="0" borderId="54" xfId="0" applyFont="true" applyBorder="true" applyAlignment="true" applyProtection="false">
      <alignment horizontal="center" vertical="center" textRotation="0" wrapText="true" indent="0" shrinkToFit="false"/>
      <protection locked="true" hidden="false"/>
    </xf>
    <xf numFmtId="164" fontId="38" fillId="0" borderId="17" xfId="0" applyFont="true" applyBorder="true" applyAlignment="true" applyProtection="false">
      <alignment horizontal="center" vertical="center" textRotation="0" wrapText="true" indent="0" shrinkToFit="false"/>
      <protection locked="true" hidden="false"/>
    </xf>
    <xf numFmtId="164" fontId="39" fillId="0" borderId="29" xfId="0" applyFont="true" applyBorder="true" applyAlignment="true" applyProtection="false">
      <alignment horizontal="center" vertical="center" textRotation="0" wrapText="true" indent="0" shrinkToFit="false"/>
      <protection locked="true" hidden="false"/>
    </xf>
    <xf numFmtId="164" fontId="39" fillId="0" borderId="55" xfId="0" applyFont="true" applyBorder="true" applyAlignment="true" applyProtection="false">
      <alignment horizontal="center" vertical="center" textRotation="0" wrapText="true" indent="0" shrinkToFit="false"/>
      <protection locked="true" hidden="false"/>
    </xf>
    <xf numFmtId="164" fontId="0" fillId="0" borderId="56" xfId="0" applyFont="true" applyBorder="true" applyAlignment="true" applyProtection="false">
      <alignment horizontal="center" vertical="center" textRotation="0" wrapText="true" indent="0" shrinkToFit="false"/>
      <protection locked="true" hidden="false"/>
    </xf>
    <xf numFmtId="164" fontId="0" fillId="0" borderId="57" xfId="0" applyFont="true" applyBorder="true" applyAlignment="true" applyProtection="false">
      <alignment horizontal="center" vertical="center" textRotation="0" wrapText="true" indent="0" shrinkToFit="false"/>
      <protection locked="true" hidden="false"/>
    </xf>
    <xf numFmtId="164" fontId="42" fillId="0" borderId="13" xfId="0" applyFont="true" applyBorder="true" applyAlignment="true" applyProtection="false">
      <alignment horizontal="center" vertical="center" textRotation="0" wrapText="false" indent="0" shrinkToFit="false"/>
      <protection locked="true" hidden="false"/>
    </xf>
    <xf numFmtId="174" fontId="0" fillId="0" borderId="9" xfId="0" applyFont="true" applyBorder="true" applyAlignment="true" applyProtection="false">
      <alignment horizontal="center" vertical="center" textRotation="0" wrapText="false" indent="0" shrinkToFit="false"/>
      <protection locked="true" hidden="false"/>
    </xf>
    <xf numFmtId="174" fontId="0" fillId="0" borderId="30" xfId="0" applyFont="true" applyBorder="true" applyAlignment="true" applyProtection="false">
      <alignment horizontal="center" vertical="center" textRotation="0" wrapText="false" indent="0" shrinkToFit="false"/>
      <protection locked="true" hidden="false"/>
    </xf>
    <xf numFmtId="174" fontId="0" fillId="0" borderId="29" xfId="0" applyFont="true" applyBorder="true" applyAlignment="true" applyProtection="false">
      <alignment horizontal="center" vertical="center" textRotation="0" wrapText="false" indent="0" shrinkToFit="false"/>
      <protection locked="true" hidden="false"/>
    </xf>
    <xf numFmtId="174" fontId="0" fillId="0" borderId="30" xfId="0" applyFont="true" applyBorder="true" applyAlignment="true" applyProtection="false">
      <alignment horizontal="center" vertical="center" textRotation="0" wrapText="false" indent="0" shrinkToFit="false"/>
      <protection locked="true" hidden="false"/>
    </xf>
    <xf numFmtId="165" fontId="0" fillId="0" borderId="32" xfId="0" applyFont="true" applyBorder="true" applyAlignment="true" applyProtection="false">
      <alignment horizontal="center" vertical="center" textRotation="0" wrapText="false" indent="0" shrinkToFit="false"/>
      <protection locked="true" hidden="false"/>
    </xf>
    <xf numFmtId="167" fontId="34" fillId="0" borderId="58" xfId="0" applyFont="true" applyBorder="true" applyAlignment="true" applyProtection="false">
      <alignment horizontal="center" vertical="center" textRotation="0" wrapText="false" indent="0" shrinkToFit="false"/>
      <protection locked="true" hidden="false"/>
    </xf>
    <xf numFmtId="167" fontId="0" fillId="0" borderId="0" xfId="0" applyFont="false" applyBorder="true" applyAlignment="true" applyProtection="false">
      <alignment horizontal="center" vertical="center" textRotation="0" wrapText="false" indent="0" shrinkToFit="false"/>
      <protection locked="true" hidden="false"/>
    </xf>
    <xf numFmtId="165" fontId="0" fillId="0" borderId="0" xfId="0" applyFont="false" applyBorder="true" applyAlignment="true" applyProtection="false">
      <alignment horizontal="center" vertical="center" textRotation="0" wrapText="false" indent="0" shrinkToFit="false"/>
      <protection locked="true" hidden="false"/>
    </xf>
    <xf numFmtId="167" fontId="34" fillId="0" borderId="26" xfId="0" applyFont="true" applyBorder="true" applyAlignment="true" applyProtection="false">
      <alignment horizontal="center" vertical="center" textRotation="0" wrapText="false" indent="0" shrinkToFit="false"/>
      <protection locked="true" hidden="false"/>
    </xf>
    <xf numFmtId="165" fontId="0" fillId="0" borderId="0" xfId="0" applyFont="false" applyBorder="true" applyAlignment="true" applyProtection="false">
      <alignment horizontal="center" vertical="bottom" textRotation="0" wrapText="false" indent="0" shrinkToFit="false"/>
      <protection locked="true" hidden="false"/>
    </xf>
    <xf numFmtId="165" fontId="0" fillId="0" borderId="13" xfId="0" applyFont="false" applyBorder="true" applyAlignment="true" applyProtection="false">
      <alignment horizontal="center" vertical="bottom" textRotation="0" wrapText="false" indent="0" shrinkToFit="false"/>
      <protection locked="true" hidden="false"/>
    </xf>
    <xf numFmtId="174" fontId="0" fillId="0" borderId="26" xfId="0" applyFont="false" applyBorder="true" applyAlignment="true" applyProtection="false">
      <alignment horizontal="center" vertical="center" textRotation="0" wrapText="false" indent="0" shrinkToFit="false"/>
      <protection locked="true" hidden="false"/>
    </xf>
    <xf numFmtId="174" fontId="0" fillId="0" borderId="9" xfId="0" applyFont="false" applyBorder="true" applyAlignment="true" applyProtection="false">
      <alignment horizontal="center" vertical="center" textRotation="0" wrapText="false" indent="0" shrinkToFit="false"/>
      <protection locked="true" hidden="false"/>
    </xf>
    <xf numFmtId="165" fontId="0" fillId="0" borderId="9" xfId="0" applyFont="true" applyBorder="true" applyAlignment="true" applyProtection="false">
      <alignment horizontal="center" vertical="center" textRotation="0" wrapText="false" indent="0" shrinkToFit="false"/>
      <protection locked="true" hidden="false"/>
    </xf>
    <xf numFmtId="165" fontId="0" fillId="0" borderId="32" xfId="0" applyFont="true" applyBorder="true" applyAlignment="true" applyProtection="false">
      <alignment horizontal="center" vertical="center" textRotation="0" wrapText="false" indent="0" shrinkToFit="false"/>
      <protection locked="true" hidden="false"/>
    </xf>
    <xf numFmtId="165" fontId="34" fillId="0" borderId="27" xfId="0" applyFont="true" applyBorder="true" applyAlignment="true" applyProtection="false">
      <alignment horizontal="center" vertical="center" textRotation="0" wrapText="false" indent="0" shrinkToFit="false"/>
      <protection locked="true" hidden="false"/>
    </xf>
    <xf numFmtId="165" fontId="34" fillId="0" borderId="32" xfId="0" applyFont="true" applyBorder="true" applyAlignment="true" applyProtection="false">
      <alignment horizontal="center" vertical="center" textRotation="0" wrapText="false" indent="0" shrinkToFit="false"/>
      <protection locked="true" hidden="false"/>
    </xf>
    <xf numFmtId="165" fontId="34" fillId="0" borderId="0" xfId="0" applyFont="true" applyBorder="true" applyAlignment="true" applyProtection="false">
      <alignment horizontal="center" vertical="center" textRotation="0" wrapText="false" indent="0" shrinkToFit="false"/>
      <protection locked="true" hidden="false"/>
    </xf>
    <xf numFmtId="174" fontId="0" fillId="0" borderId="26" xfId="0" applyFont="true" applyBorder="true" applyAlignment="true" applyProtection="false">
      <alignment horizontal="center" vertical="center" textRotation="0" wrapText="false" indent="0" shrinkToFit="false"/>
      <protection locked="true" hidden="false"/>
    </xf>
    <xf numFmtId="174" fontId="0" fillId="0" borderId="26" xfId="0" applyFont="true" applyBorder="true" applyAlignment="true" applyProtection="false">
      <alignment horizontal="center" vertical="center" textRotation="0" wrapText="false" indent="0" shrinkToFit="false"/>
      <protection locked="true" hidden="false"/>
    </xf>
    <xf numFmtId="174" fontId="0" fillId="0" borderId="35" xfId="0" applyFont="true" applyBorder="true" applyAlignment="true" applyProtection="false">
      <alignment horizontal="center" vertical="center" textRotation="0" wrapText="false" indent="0" shrinkToFit="false"/>
      <protection locked="true" hidden="false"/>
    </xf>
    <xf numFmtId="174" fontId="0" fillId="0" borderId="36" xfId="0" applyFont="true" applyBorder="true" applyAlignment="true" applyProtection="false">
      <alignment horizontal="center" vertical="center" textRotation="0" wrapText="false" indent="0" shrinkToFit="false"/>
      <protection locked="true" hidden="false"/>
    </xf>
    <xf numFmtId="174" fontId="0" fillId="0" borderId="36" xfId="0" applyFont="true" applyBorder="true" applyAlignment="true" applyProtection="false">
      <alignment horizontal="center" vertical="center" textRotation="0" wrapText="false" indent="0" shrinkToFit="false"/>
      <protection locked="true" hidden="false"/>
    </xf>
    <xf numFmtId="165" fontId="0" fillId="0" borderId="39" xfId="0" applyFont="true" applyBorder="true" applyAlignment="true" applyProtection="false">
      <alignment horizontal="center" vertical="center" textRotation="0" wrapText="false" indent="0" shrinkToFit="false"/>
      <protection locked="true" hidden="false"/>
    </xf>
    <xf numFmtId="165" fontId="34" fillId="0" borderId="37" xfId="0" applyFont="true" applyBorder="true" applyAlignment="true" applyProtection="false">
      <alignment horizontal="center" vertical="center" textRotation="0" wrapText="false" indent="0" shrinkToFit="false"/>
      <protection locked="true" hidden="false"/>
    </xf>
    <xf numFmtId="167" fontId="34" fillId="0" borderId="59" xfId="0" applyFont="true" applyBorder="true" applyAlignment="true" applyProtection="false">
      <alignment horizontal="center" vertical="center" textRotation="0" wrapText="false" indent="0" shrinkToFit="false"/>
      <protection locked="true" hidden="false"/>
    </xf>
    <xf numFmtId="167" fontId="0" fillId="0" borderId="37" xfId="0" applyFont="false" applyBorder="true" applyAlignment="true" applyProtection="false">
      <alignment horizontal="center" vertical="center" textRotation="0" wrapText="false" indent="0" shrinkToFit="false"/>
      <protection locked="true" hidden="false"/>
    </xf>
    <xf numFmtId="165" fontId="0" fillId="0" borderId="37" xfId="0" applyFont="false" applyBorder="true" applyAlignment="true" applyProtection="false">
      <alignment horizontal="center" vertical="center" textRotation="0" wrapText="false" indent="0" shrinkToFit="false"/>
      <protection locked="true" hidden="false"/>
    </xf>
    <xf numFmtId="167" fontId="34" fillId="0" borderId="36" xfId="0" applyFont="true" applyBorder="true" applyAlignment="true" applyProtection="false">
      <alignment horizontal="center" vertical="center" textRotation="0" wrapText="false" indent="0" shrinkToFit="false"/>
      <protection locked="true" hidden="false"/>
    </xf>
    <xf numFmtId="165" fontId="0" fillId="0" borderId="37" xfId="0" applyFont="false" applyBorder="true" applyAlignment="true" applyProtection="false">
      <alignment horizontal="center" vertical="bottom" textRotation="0" wrapText="false" indent="0" shrinkToFit="false"/>
      <protection locked="true" hidden="false"/>
    </xf>
    <xf numFmtId="165" fontId="0" fillId="0" borderId="60" xfId="0" applyFont="false" applyBorder="true" applyAlignment="true" applyProtection="false">
      <alignment horizontal="center" vertical="bottom" textRotation="0" wrapText="false" indent="0" shrinkToFit="false"/>
      <protection locked="true" hidden="false"/>
    </xf>
    <xf numFmtId="174" fontId="0" fillId="0" borderId="42" xfId="0" applyFont="true" applyBorder="true" applyAlignment="true" applyProtection="false">
      <alignment horizontal="center" vertical="center" textRotation="0" wrapText="false" indent="0" shrinkToFit="false"/>
      <protection locked="true" hidden="false"/>
    </xf>
    <xf numFmtId="174" fontId="0" fillId="0" borderId="43" xfId="0" applyFont="true" applyBorder="true" applyAlignment="true" applyProtection="false">
      <alignment horizontal="center" vertical="center" textRotation="0" wrapText="false" indent="0" shrinkToFit="false"/>
      <protection locked="true" hidden="false"/>
    </xf>
    <xf numFmtId="174" fontId="0" fillId="0" borderId="43" xfId="0" applyFont="true" applyBorder="true" applyAlignment="true" applyProtection="false">
      <alignment horizontal="center" vertical="center" textRotation="0" wrapText="false" indent="0" shrinkToFit="false"/>
      <protection locked="true" hidden="false"/>
    </xf>
    <xf numFmtId="165" fontId="0" fillId="0" borderId="46" xfId="0" applyFont="true" applyBorder="true" applyAlignment="true" applyProtection="false">
      <alignment horizontal="center" vertical="center" textRotation="0" wrapText="false" indent="0" shrinkToFit="false"/>
      <protection locked="true" hidden="false"/>
    </xf>
    <xf numFmtId="165" fontId="34" fillId="0" borderId="44" xfId="0" applyFont="true" applyBorder="true" applyAlignment="true" applyProtection="false">
      <alignment horizontal="center" vertical="center" textRotation="0" wrapText="false" indent="0" shrinkToFit="false"/>
      <protection locked="true" hidden="false"/>
    </xf>
    <xf numFmtId="167" fontId="34" fillId="0" borderId="61" xfId="0" applyFont="true" applyBorder="true" applyAlignment="true" applyProtection="false">
      <alignment horizontal="center" vertical="center" textRotation="0" wrapText="false" indent="0" shrinkToFit="false"/>
      <protection locked="true" hidden="false"/>
    </xf>
    <xf numFmtId="167" fontId="0" fillId="0" borderId="44" xfId="0" applyFont="false" applyBorder="true" applyAlignment="true" applyProtection="false">
      <alignment horizontal="center" vertical="center" textRotation="0" wrapText="false" indent="0" shrinkToFit="false"/>
      <protection locked="true" hidden="false"/>
    </xf>
    <xf numFmtId="165" fontId="0" fillId="0" borderId="44" xfId="0" applyFont="false" applyBorder="true" applyAlignment="true" applyProtection="false">
      <alignment horizontal="center" vertical="center" textRotation="0" wrapText="false" indent="0" shrinkToFit="false"/>
      <protection locked="true" hidden="false"/>
    </xf>
    <xf numFmtId="165" fontId="0" fillId="0" borderId="42" xfId="0" applyFont="false" applyBorder="true" applyAlignment="true" applyProtection="false">
      <alignment horizontal="center" vertical="bottom" textRotation="0" wrapText="false" indent="0" shrinkToFit="false"/>
      <protection locked="true" hidden="false"/>
    </xf>
    <xf numFmtId="165" fontId="0" fillId="0" borderId="44" xfId="0" applyFont="false" applyBorder="true" applyAlignment="true" applyProtection="false">
      <alignment horizontal="center" vertical="bottom" textRotation="0" wrapText="false" indent="0" shrinkToFit="false"/>
      <protection locked="true" hidden="false"/>
    </xf>
    <xf numFmtId="165" fontId="0" fillId="0" borderId="62" xfId="0" applyFont="false" applyBorder="true" applyAlignment="true" applyProtection="false">
      <alignment horizontal="center" vertical="bottom" textRotation="0" wrapText="false" indent="0" shrinkToFit="false"/>
      <protection locked="true" hidden="false"/>
    </xf>
    <xf numFmtId="167" fontId="0" fillId="0" borderId="22" xfId="0" applyFont="false" applyBorder="true" applyAlignment="true" applyProtection="false">
      <alignment horizontal="center" vertical="center" textRotation="0" wrapText="false" indent="0" shrinkToFit="false"/>
      <protection locked="true" hidden="false"/>
    </xf>
    <xf numFmtId="165" fontId="0" fillId="0" borderId="22" xfId="0" applyFont="false" applyBorder="true" applyAlignment="true" applyProtection="false">
      <alignment horizontal="center" vertical="center" textRotation="0" wrapText="false" indent="0" shrinkToFit="false"/>
      <protection locked="true" hidden="false"/>
    </xf>
    <xf numFmtId="165" fontId="0" fillId="0" borderId="9" xfId="0" applyFont="false" applyBorder="true" applyAlignment="true" applyProtection="false">
      <alignment horizontal="center" vertical="bottom" textRotation="0" wrapText="false" indent="0" shrinkToFit="false"/>
      <protection locked="true" hidden="false"/>
    </xf>
    <xf numFmtId="164" fontId="0" fillId="0" borderId="12" xfId="0" applyFont="true" applyBorder="true" applyAlignment="true" applyProtection="false">
      <alignment horizontal="center" vertical="center" textRotation="0" wrapText="false" indent="0" shrinkToFit="false"/>
      <protection locked="true" hidden="false"/>
    </xf>
    <xf numFmtId="165" fontId="0" fillId="0" borderId="9" xfId="0" applyFont="false" applyBorder="true" applyAlignment="true" applyProtection="false">
      <alignment horizontal="center" vertical="bottom" textRotation="0" wrapText="false" indent="0" shrinkToFit="false"/>
      <protection locked="true" hidden="false"/>
    </xf>
    <xf numFmtId="175" fontId="0" fillId="0" borderId="9" xfId="0" applyFont="true" applyBorder="true" applyAlignment="true" applyProtection="false">
      <alignment horizontal="center" vertical="center" textRotation="0" wrapText="false" indent="0" shrinkToFit="false"/>
      <protection locked="true" hidden="false"/>
    </xf>
    <xf numFmtId="175" fontId="0" fillId="0" borderId="26" xfId="0" applyFont="false" applyBorder="true" applyAlignment="true" applyProtection="false">
      <alignment horizontal="center" vertical="center" textRotation="0" wrapText="false" indent="0" shrinkToFit="false"/>
      <protection locked="true" hidden="false"/>
    </xf>
    <xf numFmtId="175" fontId="0" fillId="0" borderId="32" xfId="0" applyFont="true" applyBorder="true" applyAlignment="true" applyProtection="false">
      <alignment horizontal="center" vertical="center" textRotation="0" wrapText="false" indent="0" shrinkToFit="false"/>
      <protection locked="true" hidden="false"/>
    </xf>
    <xf numFmtId="175" fontId="34" fillId="0" borderId="27" xfId="0" applyFont="true" applyBorder="true" applyAlignment="true" applyProtection="false">
      <alignment horizontal="center" vertical="center" textRotation="0" wrapText="false" indent="0" shrinkToFit="false"/>
      <protection locked="true" hidden="false"/>
    </xf>
    <xf numFmtId="175" fontId="34" fillId="0" borderId="32" xfId="0" applyFont="true" applyBorder="true" applyAlignment="true" applyProtection="false">
      <alignment horizontal="center" vertical="center" textRotation="0" wrapText="false" indent="0" shrinkToFit="false"/>
      <protection locked="true" hidden="false"/>
    </xf>
    <xf numFmtId="167" fontId="0" fillId="21" borderId="0" xfId="0" applyFont="false" applyBorder="true" applyAlignment="true" applyProtection="false">
      <alignment horizontal="center" vertical="center" textRotation="0" wrapText="false" indent="0" shrinkToFit="false"/>
      <protection locked="true" hidden="false"/>
    </xf>
    <xf numFmtId="165" fontId="0" fillId="0" borderId="9" xfId="0" applyFont="false" applyBorder="true" applyAlignment="true" applyProtection="false">
      <alignment horizontal="center" vertical="center" textRotation="0" wrapText="false" indent="0" shrinkToFit="false"/>
      <protection locked="true" hidden="false"/>
    </xf>
    <xf numFmtId="165" fontId="0" fillId="0" borderId="26" xfId="0" applyFont="false" applyBorder="true" applyAlignment="true" applyProtection="false">
      <alignment horizontal="center" vertical="center" textRotation="0" wrapText="false" indent="0" shrinkToFit="false"/>
      <protection locked="true" hidden="false"/>
    </xf>
    <xf numFmtId="165" fontId="0" fillId="0" borderId="32" xfId="0" applyFont="false" applyBorder="true" applyAlignment="true" applyProtection="false">
      <alignment horizontal="center" vertical="center" textRotation="0" wrapText="false" indent="0" shrinkToFit="false"/>
      <protection locked="true" hidden="false"/>
    </xf>
    <xf numFmtId="165" fontId="0" fillId="0" borderId="58" xfId="0" applyFont="false" applyBorder="true" applyAlignment="true" applyProtection="false">
      <alignment horizontal="center" vertical="center" textRotation="0" wrapText="false" indent="0" shrinkToFit="false"/>
      <protection locked="true" hidden="false"/>
    </xf>
    <xf numFmtId="165" fontId="0" fillId="21" borderId="0" xfId="0" applyFont="false" applyBorder="true" applyAlignment="true" applyProtection="false">
      <alignment horizontal="center" vertical="center" textRotation="0" wrapText="false" indent="0" shrinkToFit="false"/>
      <protection locked="true" hidden="false"/>
    </xf>
    <xf numFmtId="164" fontId="0" fillId="0" borderId="34" xfId="0" applyFont="true" applyBorder="true" applyAlignment="true" applyProtection="false">
      <alignment horizontal="center" vertical="center" textRotation="0" wrapText="false" indent="0" shrinkToFit="false"/>
      <protection locked="true" hidden="false"/>
    </xf>
    <xf numFmtId="174" fontId="0" fillId="0" borderId="36" xfId="0" applyFont="false" applyBorder="true" applyAlignment="true" applyProtection="false">
      <alignment horizontal="center" vertical="center" textRotation="0" wrapText="false" indent="0" shrinkToFit="false"/>
      <protection locked="true" hidden="false"/>
    </xf>
    <xf numFmtId="165" fontId="0" fillId="0" borderId="35" xfId="0" applyFont="true" applyBorder="true" applyAlignment="true" applyProtection="false">
      <alignment horizontal="center" vertical="center" textRotation="0" wrapText="false" indent="0" shrinkToFit="false"/>
      <protection locked="true" hidden="false"/>
    </xf>
    <xf numFmtId="165" fontId="34" fillId="0" borderId="38" xfId="0" applyFont="true" applyBorder="true" applyAlignment="true" applyProtection="false">
      <alignment horizontal="center" vertical="center" textRotation="0" wrapText="false" indent="0" shrinkToFit="false"/>
      <protection locked="true" hidden="false"/>
    </xf>
    <xf numFmtId="165" fontId="34" fillId="0" borderId="39" xfId="0" applyFont="true" applyBorder="true" applyAlignment="true" applyProtection="false">
      <alignment horizontal="center" vertical="center" textRotation="0" wrapText="false" indent="0" shrinkToFit="false"/>
      <protection locked="true" hidden="false"/>
    </xf>
    <xf numFmtId="167" fontId="34" fillId="0" borderId="43" xfId="0" applyFont="true" applyBorder="true" applyAlignment="true" applyProtection="false">
      <alignment horizontal="center" vertical="center" textRotation="0" wrapText="false" indent="0" shrinkToFit="false"/>
      <protection locked="true" hidden="false"/>
    </xf>
    <xf numFmtId="165" fontId="0" fillId="0" borderId="9" xfId="0" applyFont="false" applyBorder="true" applyAlignment="true" applyProtection="false">
      <alignment horizontal="center" vertical="center" textRotation="0" wrapText="false" indent="0" shrinkToFit="false"/>
      <protection locked="true" hidden="false"/>
    </xf>
    <xf numFmtId="165" fontId="0" fillId="0" borderId="26" xfId="0" applyFont="false" applyBorder="true" applyAlignment="true" applyProtection="false">
      <alignment horizontal="center" vertical="center" textRotation="0" wrapText="false" indent="0" shrinkToFit="false"/>
      <protection locked="true" hidden="false"/>
    </xf>
    <xf numFmtId="165" fontId="0" fillId="0" borderId="32" xfId="0" applyFont="false" applyBorder="true" applyAlignment="true" applyProtection="false">
      <alignment horizontal="center" vertical="center" textRotation="0" wrapText="false" indent="0" shrinkToFit="false"/>
      <protection locked="true" hidden="false"/>
    </xf>
    <xf numFmtId="165" fontId="0" fillId="0" borderId="44" xfId="0" applyFont="false" applyBorder="true" applyAlignment="true" applyProtection="false">
      <alignment horizontal="center" vertical="bottom" textRotation="0" wrapText="false" indent="0" shrinkToFit="false"/>
      <protection locked="true" hidden="false"/>
    </xf>
    <xf numFmtId="174" fontId="0" fillId="0" borderId="49" xfId="0" applyFont="true" applyBorder="true" applyAlignment="true" applyProtection="false">
      <alignment horizontal="center" vertical="center" textRotation="0" wrapText="false" indent="0" shrinkToFit="false"/>
      <protection locked="true" hidden="false"/>
    </xf>
    <xf numFmtId="165" fontId="0" fillId="0" borderId="48" xfId="0" applyFont="false" applyBorder="true" applyAlignment="true" applyProtection="false">
      <alignment horizontal="center" vertical="center" textRotation="0" wrapText="false" indent="0" shrinkToFit="false"/>
      <protection locked="true" hidden="false"/>
    </xf>
    <xf numFmtId="165" fontId="0" fillId="0" borderId="52" xfId="0" applyFont="false" applyBorder="true" applyAlignment="true" applyProtection="false">
      <alignment horizontal="center" vertical="center" textRotation="0" wrapText="false" indent="0" shrinkToFit="false"/>
      <protection locked="true" hidden="false"/>
    </xf>
    <xf numFmtId="165" fontId="0" fillId="0" borderId="63" xfId="0" applyFont="false" applyBorder="true" applyAlignment="true" applyProtection="false">
      <alignment horizontal="center" vertical="center" textRotation="0" wrapText="false" indent="0" shrinkToFit="false"/>
      <protection locked="true" hidden="false"/>
    </xf>
    <xf numFmtId="165" fontId="34" fillId="0" borderId="50" xfId="0" applyFont="true" applyBorder="true" applyAlignment="true" applyProtection="false">
      <alignment horizontal="center" vertical="center" textRotation="0" wrapText="false" indent="0" shrinkToFit="false"/>
      <protection locked="true" hidden="false"/>
    </xf>
    <xf numFmtId="167" fontId="34" fillId="0" borderId="64" xfId="19" applyFont="true" applyBorder="true" applyAlignment="true" applyProtection="true">
      <alignment horizontal="center" vertical="center" textRotation="0" wrapText="false" indent="0" shrinkToFit="false"/>
      <protection locked="true" hidden="false"/>
    </xf>
    <xf numFmtId="167" fontId="0" fillId="0" borderId="50" xfId="19" applyFont="true" applyBorder="true" applyAlignment="true" applyProtection="true">
      <alignment horizontal="center" vertical="center" textRotation="0" wrapText="false" indent="0" shrinkToFit="false"/>
      <protection locked="true" hidden="false"/>
    </xf>
    <xf numFmtId="167" fontId="34" fillId="0" borderId="49" xfId="19" applyFont="true" applyBorder="true" applyAlignment="true" applyProtection="true">
      <alignment horizontal="center" vertical="center" textRotation="0" wrapText="false" indent="0" shrinkToFit="false"/>
      <protection locked="true" hidden="false"/>
    </xf>
    <xf numFmtId="165" fontId="0" fillId="0" borderId="50" xfId="19" applyFont="true" applyBorder="true" applyAlignment="true" applyProtection="true">
      <alignment horizontal="center" vertical="center" textRotation="0" wrapText="false" indent="0" shrinkToFit="false"/>
      <protection locked="true" hidden="false"/>
    </xf>
    <xf numFmtId="165" fontId="0" fillId="0" borderId="65" xfId="19" applyFont="true" applyBorder="true" applyAlignment="true" applyProtection="true">
      <alignment horizontal="center" vertical="center" textRotation="0" wrapText="false" indent="0" shrinkToFit="false"/>
      <protection locked="true" hidden="false"/>
    </xf>
    <xf numFmtId="164" fontId="0" fillId="0" borderId="16" xfId="0" applyFont="true" applyBorder="tru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0" fillId="0" borderId="0" xfId="60" applyFont="false" applyBorder="false" applyAlignment="false" applyProtection="false">
      <alignment horizontal="general" vertical="bottom" textRotation="0" wrapText="false" indent="0" shrinkToFit="false"/>
      <protection locked="true" hidden="false"/>
    </xf>
    <xf numFmtId="164" fontId="0" fillId="0" borderId="0" xfId="60" applyFont="true" applyBorder="false" applyAlignment="false" applyProtection="false">
      <alignment horizontal="general" vertical="bottom" textRotation="0" wrapText="false" indent="0" shrinkToFit="false"/>
      <protection locked="true" hidden="false"/>
    </xf>
    <xf numFmtId="164" fontId="34" fillId="0" borderId="0" xfId="60" applyFont="true" applyBorder="false" applyAlignment="false" applyProtection="false">
      <alignment horizontal="general" vertical="bottom" textRotation="0" wrapText="false" indent="0" shrinkToFit="false"/>
      <protection locked="true" hidden="false"/>
    </xf>
    <xf numFmtId="164" fontId="28" fillId="0" borderId="11" xfId="60" applyFont="true" applyBorder="true" applyAlignment="true" applyProtection="false">
      <alignment horizontal="center" vertical="center" textRotation="0" wrapText="true" indent="0" shrinkToFit="false"/>
      <protection locked="true" hidden="false"/>
    </xf>
    <xf numFmtId="164" fontId="0" fillId="0" borderId="12" xfId="60" applyFont="false" applyBorder="true" applyAlignment="false" applyProtection="false">
      <alignment horizontal="general" vertical="bottom" textRotation="0" wrapText="false" indent="0" shrinkToFit="false"/>
      <protection locked="true" hidden="false"/>
    </xf>
    <xf numFmtId="164" fontId="0" fillId="0" borderId="0" xfId="60" applyFont="false" applyBorder="true" applyAlignment="false" applyProtection="false">
      <alignment horizontal="general" vertical="bottom" textRotation="0" wrapText="false" indent="0" shrinkToFit="false"/>
      <protection locked="true" hidden="false"/>
    </xf>
    <xf numFmtId="164" fontId="0" fillId="0" borderId="13" xfId="60" applyFont="false" applyBorder="true" applyAlignment="false" applyProtection="false">
      <alignment horizontal="general" vertical="bottom" textRotation="0" wrapText="false" indent="0" shrinkToFit="false"/>
      <protection locked="true" hidden="false"/>
    </xf>
    <xf numFmtId="164" fontId="0" fillId="0" borderId="66" xfId="60" applyFont="true" applyBorder="true" applyAlignment="true" applyProtection="false">
      <alignment horizontal="center" vertical="bottom" textRotation="0" wrapText="false" indent="0" shrinkToFit="false"/>
      <protection locked="true" hidden="false"/>
    </xf>
    <xf numFmtId="164" fontId="0" fillId="0" borderId="67" xfId="60" applyFont="true" applyBorder="true" applyAlignment="true" applyProtection="false">
      <alignment horizontal="center" vertical="bottom" textRotation="0" wrapText="false" indent="0" shrinkToFit="false"/>
      <protection locked="true" hidden="false"/>
    </xf>
    <xf numFmtId="164" fontId="32" fillId="0" borderId="14" xfId="60" applyFont="true" applyBorder="true" applyAlignment="true" applyProtection="false">
      <alignment horizontal="center" vertical="center" textRotation="0" wrapText="true" indent="0" shrinkToFit="false"/>
      <protection locked="true" hidden="false"/>
    </xf>
    <xf numFmtId="164" fontId="24" fillId="0" borderId="12" xfId="60" applyFont="true" applyBorder="true" applyAlignment="true" applyProtection="false">
      <alignment horizontal="general" vertical="bottom" textRotation="0" wrapText="true" indent="0" shrinkToFit="false"/>
      <protection locked="true" hidden="false"/>
    </xf>
    <xf numFmtId="164" fontId="47" fillId="0" borderId="18" xfId="60" applyFont="true" applyBorder="true" applyAlignment="true" applyProtection="false">
      <alignment horizontal="center" vertical="center" textRotation="0" wrapText="true" indent="0" shrinkToFit="false"/>
      <protection locked="true" hidden="false"/>
    </xf>
    <xf numFmtId="164" fontId="47" fillId="0" borderId="20" xfId="60" applyFont="true" applyBorder="true" applyAlignment="true" applyProtection="false">
      <alignment horizontal="center" vertical="center" textRotation="0" wrapText="true" indent="0" shrinkToFit="false"/>
      <protection locked="true" hidden="false"/>
    </xf>
    <xf numFmtId="164" fontId="47" fillId="0" borderId="19" xfId="60" applyFont="true" applyBorder="true" applyAlignment="true" applyProtection="false">
      <alignment horizontal="center" vertical="center" textRotation="0" wrapText="true" indent="0" shrinkToFit="false"/>
      <protection locked="true" hidden="false"/>
    </xf>
    <xf numFmtId="164" fontId="47" fillId="0" borderId="25" xfId="60" applyFont="true" applyBorder="true" applyAlignment="true" applyProtection="false">
      <alignment horizontal="center" vertical="center" textRotation="0" wrapText="true" indent="0" shrinkToFit="false"/>
      <protection locked="true" hidden="false"/>
    </xf>
    <xf numFmtId="164" fontId="47" fillId="0" borderId="17" xfId="60" applyFont="true" applyBorder="true" applyAlignment="true" applyProtection="false">
      <alignment horizontal="center" vertical="center" textRotation="0" wrapText="true" indent="0" shrinkToFit="false"/>
      <protection locked="true" hidden="false"/>
    </xf>
    <xf numFmtId="164" fontId="47" fillId="0" borderId="19" xfId="60" applyFont="true" applyBorder="true" applyAlignment="true" applyProtection="false">
      <alignment horizontal="center" vertical="center" textRotation="0" wrapText="true" indent="0" shrinkToFit="false"/>
      <protection locked="true" hidden="false"/>
    </xf>
    <xf numFmtId="164" fontId="47" fillId="0" borderId="14" xfId="60" applyFont="true" applyBorder="true" applyAlignment="true" applyProtection="false">
      <alignment horizontal="center" vertical="center" textRotation="0" wrapText="true" indent="0" shrinkToFit="false"/>
      <protection locked="true" hidden="false"/>
    </xf>
    <xf numFmtId="164" fontId="28" fillId="0" borderId="12" xfId="60" applyFont="true" applyBorder="true" applyAlignment="true" applyProtection="false">
      <alignment horizontal="center" vertical="bottom" textRotation="0" wrapText="false" indent="0" shrinkToFit="false"/>
      <protection locked="true" hidden="false"/>
    </xf>
    <xf numFmtId="171" fontId="28" fillId="0" borderId="9" xfId="60" applyFont="true" applyBorder="true" applyAlignment="true" applyProtection="false">
      <alignment horizontal="center" vertical="bottom" textRotation="0" wrapText="false" indent="0" shrinkToFit="false"/>
      <protection locked="true" hidden="false"/>
    </xf>
    <xf numFmtId="171" fontId="28" fillId="0" borderId="32" xfId="60" applyFont="true" applyBorder="true" applyAlignment="true" applyProtection="false">
      <alignment horizontal="center" vertical="bottom" textRotation="0" wrapText="false" indent="0" shrinkToFit="false"/>
      <protection locked="true" hidden="false"/>
    </xf>
    <xf numFmtId="171" fontId="48" fillId="0" borderId="27" xfId="60" applyFont="true" applyBorder="true" applyAlignment="true" applyProtection="false">
      <alignment horizontal="center" vertical="bottom" textRotation="0" wrapText="false" indent="0" shrinkToFit="false"/>
      <protection locked="true" hidden="false"/>
    </xf>
    <xf numFmtId="171" fontId="48" fillId="0" borderId="0" xfId="60" applyFont="true" applyBorder="true" applyAlignment="true" applyProtection="false">
      <alignment horizontal="center" vertical="bottom" textRotation="0" wrapText="false" indent="0" shrinkToFit="false"/>
      <protection locked="true" hidden="false"/>
    </xf>
    <xf numFmtId="171" fontId="28" fillId="0" borderId="0" xfId="60" applyFont="true" applyBorder="true" applyAlignment="true" applyProtection="false">
      <alignment horizontal="center" vertical="bottom" textRotation="0" wrapText="false" indent="0" shrinkToFit="false"/>
      <protection locked="true" hidden="false"/>
    </xf>
    <xf numFmtId="171" fontId="48" fillId="0" borderId="26" xfId="60" applyFont="true" applyBorder="true" applyAlignment="true" applyProtection="false">
      <alignment horizontal="center" vertical="bottom" textRotation="0" wrapText="false" indent="0" shrinkToFit="false"/>
      <protection locked="true" hidden="false"/>
    </xf>
    <xf numFmtId="171" fontId="48" fillId="0" borderId="13" xfId="60" applyFont="true" applyBorder="true" applyAlignment="true" applyProtection="false">
      <alignment horizontal="center" vertical="bottom" textRotation="0" wrapText="false" indent="0" shrinkToFit="false"/>
      <protection locked="true" hidden="false"/>
    </xf>
    <xf numFmtId="164" fontId="24" fillId="0" borderId="12" xfId="60" applyFont="true" applyBorder="true" applyAlignment="false" applyProtection="false">
      <alignment horizontal="general" vertical="bottom" textRotation="0" wrapText="false" indent="0" shrinkToFit="false"/>
      <protection locked="true" hidden="false"/>
    </xf>
    <xf numFmtId="165" fontId="24" fillId="0" borderId="9" xfId="60" applyFont="true" applyBorder="true" applyAlignment="false" applyProtection="false">
      <alignment horizontal="general" vertical="bottom" textRotation="0" wrapText="false" indent="0" shrinkToFit="false"/>
      <protection locked="true" hidden="false"/>
    </xf>
    <xf numFmtId="165" fontId="24" fillId="0" borderId="32" xfId="60" applyFont="true" applyBorder="true" applyAlignment="false" applyProtection="false">
      <alignment horizontal="general" vertical="bottom" textRotation="0" wrapText="false" indent="0" shrinkToFit="false"/>
      <protection locked="true" hidden="false"/>
    </xf>
    <xf numFmtId="165" fontId="49" fillId="0" borderId="0" xfId="60" applyFont="true" applyBorder="true" applyAlignment="false" applyProtection="false">
      <alignment horizontal="general" vertical="bottom" textRotation="0" wrapText="false" indent="0" shrinkToFit="false"/>
      <protection locked="true" hidden="false"/>
    </xf>
    <xf numFmtId="164" fontId="37" fillId="0" borderId="0" xfId="60" applyFont="true" applyBorder="true" applyAlignment="false" applyProtection="false">
      <alignment horizontal="general" vertical="bottom" textRotation="0" wrapText="false" indent="0" shrinkToFit="false"/>
      <protection locked="true" hidden="false"/>
    </xf>
    <xf numFmtId="164" fontId="37" fillId="0" borderId="27" xfId="60" applyFont="true" applyBorder="true" applyAlignment="false" applyProtection="false">
      <alignment horizontal="general" vertical="bottom" textRotation="0" wrapText="false" indent="0" shrinkToFit="false"/>
      <protection locked="true" hidden="false"/>
    </xf>
    <xf numFmtId="164" fontId="37" fillId="0" borderId="26" xfId="60" applyFont="true" applyBorder="true" applyAlignment="false" applyProtection="false">
      <alignment horizontal="general" vertical="bottom" textRotation="0" wrapText="false" indent="0" shrinkToFit="false"/>
      <protection locked="true" hidden="false"/>
    </xf>
    <xf numFmtId="171" fontId="49" fillId="0" borderId="0" xfId="60" applyFont="true" applyBorder="true" applyAlignment="false" applyProtection="false">
      <alignment horizontal="general" vertical="bottom" textRotation="0" wrapText="false" indent="0" shrinkToFit="false"/>
      <protection locked="true" hidden="false"/>
    </xf>
    <xf numFmtId="171" fontId="49" fillId="0" borderId="13" xfId="60" applyFont="true" applyBorder="true" applyAlignment="false" applyProtection="false">
      <alignment horizontal="general" vertical="bottom" textRotation="0" wrapText="false" indent="0" shrinkToFit="false"/>
      <protection locked="true" hidden="false"/>
    </xf>
    <xf numFmtId="164" fontId="24" fillId="0" borderId="9" xfId="60" applyFont="true" applyBorder="true" applyAlignment="true" applyProtection="false">
      <alignment horizontal="center" vertical="center" textRotation="0" wrapText="true" indent="0" shrinkToFit="false"/>
      <protection locked="true" hidden="false"/>
    </xf>
    <xf numFmtId="164" fontId="24" fillId="0" borderId="32" xfId="60" applyFont="true" applyBorder="true" applyAlignment="true" applyProtection="false">
      <alignment horizontal="center" vertical="center" textRotation="0" wrapText="true" indent="0" shrinkToFit="false"/>
      <protection locked="true" hidden="false"/>
    </xf>
    <xf numFmtId="164" fontId="49" fillId="0" borderId="0" xfId="60" applyFont="true" applyBorder="true" applyAlignment="true" applyProtection="false">
      <alignment horizontal="center" vertical="center" textRotation="0" wrapText="true" indent="0" shrinkToFit="false"/>
      <protection locked="true" hidden="false"/>
    </xf>
    <xf numFmtId="164" fontId="24" fillId="0" borderId="0" xfId="60" applyFont="true" applyBorder="true" applyAlignment="true" applyProtection="false">
      <alignment horizontal="center" vertical="center" textRotation="0" wrapText="true" indent="0" shrinkToFit="false"/>
      <protection locked="true" hidden="false"/>
    </xf>
    <xf numFmtId="164" fontId="24" fillId="0" borderId="27" xfId="60" applyFont="true" applyBorder="true" applyAlignment="true" applyProtection="false">
      <alignment horizontal="center" vertical="center" textRotation="0" wrapText="true" indent="0" shrinkToFit="false"/>
      <protection locked="true" hidden="false"/>
    </xf>
    <xf numFmtId="164" fontId="24" fillId="0" borderId="26" xfId="60" applyFont="true" applyBorder="true" applyAlignment="true" applyProtection="false">
      <alignment horizontal="center" vertical="center" textRotation="0" wrapText="true" indent="0" shrinkToFit="false"/>
      <protection locked="true" hidden="false"/>
    </xf>
    <xf numFmtId="164" fontId="49" fillId="0" borderId="13" xfId="60" applyFont="true" applyBorder="true" applyAlignment="true" applyProtection="false">
      <alignment horizontal="center" vertical="center" textRotation="0" wrapText="true" indent="0" shrinkToFit="false"/>
      <protection locked="true" hidden="false"/>
    </xf>
    <xf numFmtId="164" fontId="0" fillId="0" borderId="13" xfId="60" applyFont="false" applyBorder="true" applyAlignment="false" applyProtection="false">
      <alignment horizontal="general" vertical="bottom" textRotation="0" wrapText="false" indent="0" shrinkToFit="false"/>
      <protection locked="true" hidden="false"/>
    </xf>
    <xf numFmtId="179" fontId="24" fillId="0" borderId="9" xfId="19" applyFont="true" applyBorder="true" applyAlignment="true" applyProtection="true">
      <alignment horizontal="general" vertical="bottom" textRotation="0" wrapText="false" indent="0" shrinkToFit="false"/>
      <protection locked="true" hidden="false"/>
    </xf>
    <xf numFmtId="168" fontId="28" fillId="0" borderId="12" xfId="60" applyFont="true" applyBorder="true" applyAlignment="true" applyProtection="false">
      <alignment horizontal="center" vertical="bottom" textRotation="0" wrapText="false" indent="0" shrinkToFit="false"/>
      <protection locked="true" hidden="false"/>
    </xf>
    <xf numFmtId="168" fontId="24" fillId="0" borderId="12" xfId="60" applyFont="true" applyBorder="true" applyAlignment="true" applyProtection="false">
      <alignment horizontal="center" vertical="bottom" textRotation="0" wrapText="false" indent="0" shrinkToFit="false"/>
      <protection locked="true" hidden="false"/>
    </xf>
    <xf numFmtId="171" fontId="49" fillId="0" borderId="9" xfId="60" applyFont="true" applyBorder="true" applyAlignment="true" applyProtection="false">
      <alignment horizontal="center" vertical="bottom" textRotation="0" wrapText="false" indent="0" shrinkToFit="false"/>
      <protection locked="true" hidden="false"/>
    </xf>
    <xf numFmtId="171" fontId="49" fillId="0" borderId="32" xfId="60" applyFont="true" applyBorder="true" applyAlignment="true" applyProtection="false">
      <alignment horizontal="center" vertical="bottom" textRotation="0" wrapText="false" indent="0" shrinkToFit="false"/>
      <protection locked="true" hidden="false"/>
    </xf>
    <xf numFmtId="171" fontId="49" fillId="0" borderId="0" xfId="60" applyFont="true" applyBorder="true" applyAlignment="true" applyProtection="false">
      <alignment horizontal="center" vertical="bottom" textRotation="0" wrapText="false" indent="0" shrinkToFit="false"/>
      <protection locked="true" hidden="false"/>
    </xf>
    <xf numFmtId="168" fontId="0" fillId="0" borderId="12" xfId="60" applyFont="false" applyBorder="true" applyAlignment="true" applyProtection="false">
      <alignment horizontal="center" vertical="bottom" textRotation="0" wrapText="false" indent="0" shrinkToFit="false"/>
      <protection locked="true" hidden="false"/>
    </xf>
    <xf numFmtId="164" fontId="24" fillId="0" borderId="12" xfId="60" applyFont="true" applyBorder="true" applyAlignment="true" applyProtection="false">
      <alignment horizontal="center" vertical="bottom" textRotation="0" wrapText="false" indent="0" shrinkToFit="false"/>
      <protection locked="true" hidden="false"/>
    </xf>
    <xf numFmtId="171" fontId="24" fillId="0" borderId="9" xfId="60" applyFont="true" applyBorder="true" applyAlignment="true" applyProtection="false">
      <alignment horizontal="center" vertical="bottom" textRotation="0" wrapText="false" indent="0" shrinkToFit="false"/>
      <protection locked="true" hidden="false"/>
    </xf>
    <xf numFmtId="171" fontId="24" fillId="0" borderId="32" xfId="60" applyFont="true" applyBorder="true" applyAlignment="true" applyProtection="false">
      <alignment horizontal="center" vertical="bottom" textRotation="0" wrapText="false" indent="0" shrinkToFit="false"/>
      <protection locked="true" hidden="false"/>
    </xf>
    <xf numFmtId="171" fontId="49" fillId="0" borderId="27" xfId="60" applyFont="true" applyBorder="true" applyAlignment="true" applyProtection="false">
      <alignment horizontal="center" vertical="bottom" textRotation="0" wrapText="false" indent="0" shrinkToFit="false"/>
      <protection locked="true" hidden="false"/>
    </xf>
    <xf numFmtId="171" fontId="49" fillId="0" borderId="26" xfId="60" applyFont="true" applyBorder="true" applyAlignment="true" applyProtection="false">
      <alignment horizontal="center" vertical="bottom" textRotation="0" wrapText="false" indent="0" shrinkToFit="false"/>
      <protection locked="true" hidden="false"/>
    </xf>
    <xf numFmtId="171" fontId="49" fillId="0" borderId="13" xfId="60" applyFont="true" applyBorder="true" applyAlignment="true" applyProtection="false">
      <alignment horizontal="center" vertical="bottom" textRotation="0" wrapText="false" indent="0" shrinkToFit="false"/>
      <protection locked="true" hidden="false"/>
    </xf>
    <xf numFmtId="164" fontId="49" fillId="0" borderId="12" xfId="60" applyFont="true" applyBorder="true" applyAlignment="true" applyProtection="false">
      <alignment horizontal="center" vertical="bottom" textRotation="0" wrapText="false" indent="0" shrinkToFit="false"/>
      <protection locked="true" hidden="false"/>
    </xf>
    <xf numFmtId="171" fontId="24" fillId="0" borderId="9" xfId="60" applyFont="true" applyBorder="true" applyAlignment="false" applyProtection="false">
      <alignment horizontal="general" vertical="bottom" textRotation="0" wrapText="false" indent="0" shrinkToFit="false"/>
      <protection locked="true" hidden="false"/>
    </xf>
    <xf numFmtId="164" fontId="0" fillId="0" borderId="47" xfId="60" applyFont="false" applyBorder="true" applyAlignment="false" applyProtection="false">
      <alignment horizontal="general" vertical="bottom" textRotation="0" wrapText="false" indent="0" shrinkToFit="false"/>
      <protection locked="true" hidden="false"/>
    </xf>
    <xf numFmtId="165" fontId="0" fillId="0" borderId="48" xfId="60" applyFont="false" applyBorder="true" applyAlignment="false" applyProtection="false">
      <alignment horizontal="general" vertical="bottom" textRotation="0" wrapText="false" indent="0" shrinkToFit="false"/>
      <protection locked="true" hidden="false"/>
    </xf>
    <xf numFmtId="165" fontId="0" fillId="0" borderId="52" xfId="60" applyFont="false" applyBorder="true" applyAlignment="false" applyProtection="false">
      <alignment horizontal="general" vertical="bottom" textRotation="0" wrapText="false" indent="0" shrinkToFit="false"/>
      <protection locked="true" hidden="false"/>
    </xf>
    <xf numFmtId="164" fontId="0" fillId="0" borderId="50" xfId="60" applyFont="false" applyBorder="true" applyAlignment="false" applyProtection="false">
      <alignment horizontal="general" vertical="bottom" textRotation="0" wrapText="false" indent="0" shrinkToFit="false"/>
      <protection locked="true" hidden="false"/>
    </xf>
    <xf numFmtId="164" fontId="0" fillId="0" borderId="51" xfId="60" applyFont="false" applyBorder="true" applyAlignment="false" applyProtection="false">
      <alignment horizontal="general" vertical="bottom" textRotation="0" wrapText="false" indent="0" shrinkToFit="false"/>
      <protection locked="true" hidden="false"/>
    </xf>
    <xf numFmtId="164" fontId="0" fillId="0" borderId="49" xfId="60" applyFont="false" applyBorder="true" applyAlignment="false" applyProtection="false">
      <alignment horizontal="general" vertical="bottom" textRotation="0" wrapText="false" indent="0" shrinkToFit="false"/>
      <protection locked="true" hidden="false"/>
    </xf>
    <xf numFmtId="164" fontId="0" fillId="0" borderId="50" xfId="60" applyFont="true" applyBorder="true" applyAlignment="false" applyProtection="false">
      <alignment horizontal="general" vertical="bottom" textRotation="0" wrapText="false" indent="0" shrinkToFit="false"/>
      <protection locked="true" hidden="false"/>
    </xf>
    <xf numFmtId="164" fontId="0" fillId="0" borderId="65" xfId="60" applyFont="true" applyBorder="true" applyAlignment="false" applyProtection="false">
      <alignment horizontal="general" vertical="bottom" textRotation="0" wrapText="false" indent="0" shrinkToFit="false"/>
      <protection locked="true" hidden="false"/>
    </xf>
    <xf numFmtId="165" fontId="0" fillId="0" borderId="0" xfId="60" applyFont="fals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28" fillId="0" borderId="11" xfId="0" applyFont="true" applyBorder="true" applyAlignment="true" applyProtection="false">
      <alignment horizontal="center" vertical="center" textRotation="0" wrapText="false" indent="0" shrinkToFit="false"/>
      <protection locked="true" hidden="false"/>
    </xf>
    <xf numFmtId="164" fontId="0" fillId="0" borderId="12" xfId="0" applyFont="false" applyBorder="true" applyAlignment="false" applyProtection="false">
      <alignment horizontal="general" vertical="bottom" textRotation="0" wrapText="false" indent="0" shrinkToFit="false"/>
      <protection locked="true" hidden="false"/>
    </xf>
    <xf numFmtId="164" fontId="0" fillId="0" borderId="13" xfId="0" applyFont="false" applyBorder="true" applyAlignment="false" applyProtection="false">
      <alignment horizontal="general" vertical="bottom" textRotation="0" wrapText="false" indent="0" shrinkToFit="false"/>
      <protection locked="true" hidden="false"/>
    </xf>
    <xf numFmtId="164" fontId="0" fillId="0" borderId="66" xfId="0" applyFont="true" applyBorder="true" applyAlignment="true" applyProtection="false">
      <alignment horizontal="center" vertical="center" textRotation="0" wrapText="false" indent="0" shrinkToFit="false"/>
      <protection locked="true" hidden="false"/>
    </xf>
    <xf numFmtId="164" fontId="0" fillId="0" borderId="66" xfId="0" applyFont="true" applyBorder="true" applyAlignment="true" applyProtection="false">
      <alignment horizontal="center" vertical="center" textRotation="0" wrapText="false" indent="0" shrinkToFit="false"/>
      <protection locked="true" hidden="false"/>
    </xf>
    <xf numFmtId="164" fontId="0" fillId="0" borderId="67" xfId="0" applyFont="true" applyBorder="true" applyAlignment="true" applyProtection="false">
      <alignment horizontal="center" vertical="center" textRotation="0" wrapText="false" indent="0" shrinkToFit="false"/>
      <protection locked="true" hidden="false"/>
    </xf>
    <xf numFmtId="164" fontId="32" fillId="0" borderId="13" xfId="0" applyFont="true" applyBorder="true" applyAlignment="true" applyProtection="false">
      <alignment horizontal="center" vertical="center" textRotation="0" wrapText="true" indent="0" shrinkToFit="false"/>
      <protection locked="true" hidden="false"/>
    </xf>
    <xf numFmtId="164" fontId="0" fillId="0" borderId="12" xfId="0" applyFont="false" applyBorder="true" applyAlignment="true" applyProtection="false">
      <alignment horizontal="center" vertical="center" textRotation="0" wrapText="true" indent="0" shrinkToFit="false"/>
      <protection locked="true" hidden="false"/>
    </xf>
    <xf numFmtId="164" fontId="34" fillId="0" borderId="19" xfId="0" applyFont="true" applyBorder="true" applyAlignment="true" applyProtection="false">
      <alignment horizontal="center" vertical="center" textRotation="0" wrapText="true" indent="0" shrinkToFit="false"/>
      <protection locked="true" hidden="false"/>
    </xf>
    <xf numFmtId="164" fontId="34" fillId="0" borderId="16" xfId="0" applyFont="true" applyBorder="true" applyAlignment="true" applyProtection="false">
      <alignment horizontal="center" vertical="center" textRotation="0" wrapText="true" indent="0" shrinkToFit="false"/>
      <protection locked="true" hidden="false"/>
    </xf>
    <xf numFmtId="164" fontId="34" fillId="0" borderId="14"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true" applyAlignment="true" applyProtection="false">
      <alignment horizontal="center" vertical="center" textRotation="0" wrapText="false" indent="0" shrinkToFit="false"/>
      <protection locked="true" hidden="false"/>
    </xf>
    <xf numFmtId="164" fontId="50" fillId="0" borderId="19" xfId="0" applyFont="true" applyBorder="true" applyAlignment="true" applyProtection="false">
      <alignment horizontal="center" vertical="center" textRotation="0" wrapText="true" indent="0" shrinkToFit="false"/>
      <protection locked="true" hidden="false"/>
    </xf>
    <xf numFmtId="164" fontId="42" fillId="0" borderId="30" xfId="0" applyFont="true" applyBorder="true" applyAlignment="true" applyProtection="false">
      <alignment horizontal="center" vertical="center" textRotation="0" wrapText="true" indent="0" shrinkToFit="false"/>
      <protection locked="true" hidden="false"/>
    </xf>
    <xf numFmtId="164" fontId="42" fillId="0" borderId="22" xfId="0" applyFont="true" applyBorder="true" applyAlignment="true" applyProtection="false">
      <alignment horizontal="center" vertical="center" textRotation="0" wrapText="true" indent="0" shrinkToFit="false"/>
      <protection locked="true" hidden="false"/>
    </xf>
    <xf numFmtId="164" fontId="0" fillId="0" borderId="30" xfId="0" applyFont="true" applyBorder="true" applyAlignment="true" applyProtection="false">
      <alignment horizontal="center" vertical="center" textRotation="0" wrapText="true" indent="0" shrinkToFit="false"/>
      <protection locked="true" hidden="false"/>
    </xf>
    <xf numFmtId="164" fontId="32" fillId="0" borderId="19" xfId="0" applyFont="true" applyBorder="true" applyAlignment="true" applyProtection="false">
      <alignment horizontal="center" vertical="center" textRotation="0" wrapText="true" indent="0" shrinkToFit="false"/>
      <protection locked="true" hidden="false"/>
    </xf>
    <xf numFmtId="164" fontId="32" fillId="0" borderId="17" xfId="0" applyFont="true" applyBorder="true" applyAlignment="true" applyProtection="false">
      <alignment horizontal="center" vertical="center" textRotation="0" wrapText="true" indent="0" shrinkToFit="false"/>
      <protection locked="true" hidden="false"/>
    </xf>
    <xf numFmtId="164" fontId="36" fillId="0" borderId="19" xfId="0" applyFont="true" applyBorder="true" applyAlignment="true" applyProtection="false">
      <alignment horizontal="center" vertical="center" textRotation="0" wrapText="true" indent="0" shrinkToFit="false"/>
      <protection locked="true" hidden="false"/>
    </xf>
    <xf numFmtId="164" fontId="36" fillId="0" borderId="14"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4" fontId="0" fillId="0" borderId="57" xfId="0" applyFont="true" applyBorder="true" applyAlignment="true" applyProtection="false">
      <alignment horizontal="center" vertical="center" textRotation="0" wrapText="true" indent="0" shrinkToFit="false"/>
      <protection locked="true" hidden="false"/>
    </xf>
    <xf numFmtId="164" fontId="33" fillId="0" borderId="57" xfId="0" applyFont="true" applyBorder="true" applyAlignment="true" applyProtection="false">
      <alignment horizontal="center" vertical="center" textRotation="0" wrapText="true" indent="0" shrinkToFit="false"/>
      <protection locked="true" hidden="false"/>
    </xf>
    <xf numFmtId="164" fontId="0" fillId="0" borderId="12" xfId="0" applyFont="false" applyBorder="true" applyAlignment="true" applyProtection="false">
      <alignment horizontal="center" vertical="bottom" textRotation="0" wrapText="true" indent="0" shrinkToFit="false"/>
      <protection locked="true" hidden="false"/>
    </xf>
    <xf numFmtId="165" fontId="34" fillId="0" borderId="0" xfId="0" applyFont="true" applyBorder="true" applyAlignment="true" applyProtection="false">
      <alignment horizontal="center" vertical="bottom" textRotation="0" wrapText="false" indent="0" shrinkToFit="false"/>
      <protection locked="true" hidden="false"/>
    </xf>
    <xf numFmtId="171" fontId="0" fillId="0" borderId="26" xfId="0" applyFont="true" applyBorder="true" applyAlignment="true" applyProtection="false">
      <alignment horizontal="center" vertical="bottom" textRotation="0" wrapText="false" indent="0" shrinkToFit="false"/>
      <protection locked="true" hidden="false"/>
    </xf>
    <xf numFmtId="165" fontId="0" fillId="0" borderId="0" xfId="0" applyFont="true" applyBorder="true" applyAlignment="true" applyProtection="false">
      <alignment horizontal="center" vertical="bottom" textRotation="0" wrapText="false" indent="0" shrinkToFit="false"/>
      <protection locked="true" hidden="false"/>
    </xf>
    <xf numFmtId="174" fontId="0" fillId="0" borderId="0" xfId="0" applyFont="true" applyBorder="true" applyAlignment="true" applyProtection="false">
      <alignment horizontal="center" vertical="bottom" textRotation="0" wrapText="false" indent="0" shrinkToFit="false"/>
      <protection locked="true" hidden="false"/>
    </xf>
    <xf numFmtId="165" fontId="0" fillId="0" borderId="26" xfId="19" applyFont="true" applyBorder="true" applyAlignment="true" applyProtection="true">
      <alignment horizontal="center" vertical="bottom" textRotation="0" wrapText="false" indent="0" shrinkToFit="false"/>
      <protection locked="true" hidden="false"/>
    </xf>
    <xf numFmtId="167" fontId="0" fillId="0" borderId="9" xfId="19" applyFont="true" applyBorder="true" applyAlignment="true" applyProtection="true">
      <alignment horizontal="center" vertical="bottom" textRotation="0" wrapText="false" indent="0" shrinkToFit="false"/>
      <protection locked="true" hidden="false"/>
    </xf>
    <xf numFmtId="171" fontId="0" fillId="0" borderId="0" xfId="19" applyFont="true" applyBorder="true" applyAlignment="true" applyProtection="true">
      <alignment horizontal="center" vertical="bottom" textRotation="0" wrapText="false" indent="0" shrinkToFit="false"/>
      <protection locked="true" hidden="false"/>
    </xf>
    <xf numFmtId="171" fontId="0" fillId="0" borderId="26" xfId="19" applyFont="true" applyBorder="true" applyAlignment="true" applyProtection="true">
      <alignment horizontal="center" vertical="bottom" textRotation="0" wrapText="false" indent="0" shrinkToFit="false"/>
      <protection locked="true" hidden="false"/>
    </xf>
    <xf numFmtId="171" fontId="37" fillId="0" borderId="0" xfId="19" applyFont="true" applyBorder="true" applyAlignment="true" applyProtection="true">
      <alignment horizontal="center" vertical="center" textRotation="0" wrapText="true" indent="0" shrinkToFit="false"/>
      <protection locked="true" hidden="false"/>
    </xf>
    <xf numFmtId="171" fontId="37" fillId="0" borderId="13" xfId="19" applyFont="true" applyBorder="true" applyAlignment="true" applyProtection="true">
      <alignment horizontal="center" vertical="center" textRotation="0" wrapText="true" indent="0" shrinkToFit="false"/>
      <protection locked="true" hidden="false"/>
    </xf>
    <xf numFmtId="164" fontId="34" fillId="0" borderId="12" xfId="0" applyFont="true" applyBorder="true" applyAlignment="true" applyProtection="false">
      <alignment horizontal="center" vertical="bottom" textRotation="0" wrapText="true" indent="0" shrinkToFit="false"/>
      <protection locked="true" hidden="false"/>
    </xf>
    <xf numFmtId="171" fontId="34" fillId="0" borderId="0" xfId="19" applyFont="true" applyBorder="true" applyAlignment="true" applyProtection="true">
      <alignment horizontal="center" vertical="bottom" textRotation="0" wrapText="false" indent="0" shrinkToFit="false"/>
      <protection locked="true" hidden="false"/>
    </xf>
    <xf numFmtId="171" fontId="34" fillId="0" borderId="26" xfId="0" applyFont="true" applyBorder="true" applyAlignment="true" applyProtection="false">
      <alignment horizontal="center" vertical="bottom" textRotation="0" wrapText="false" indent="0" shrinkToFit="false"/>
      <protection locked="true" hidden="false"/>
    </xf>
    <xf numFmtId="165" fontId="34" fillId="0" borderId="0" xfId="19" applyFont="true" applyBorder="true" applyAlignment="true" applyProtection="true">
      <alignment horizontal="center" vertical="bottom" textRotation="0" wrapText="false" indent="0" shrinkToFit="false"/>
      <protection locked="true" hidden="false"/>
    </xf>
    <xf numFmtId="174" fontId="34" fillId="0" borderId="0" xfId="0" applyFont="true" applyBorder="true" applyAlignment="true" applyProtection="false">
      <alignment horizontal="center" vertical="bottom" textRotation="0" wrapText="false" indent="0" shrinkToFit="false"/>
      <protection locked="true" hidden="false"/>
    </xf>
    <xf numFmtId="165" fontId="34" fillId="0" borderId="26" xfId="19" applyFont="true" applyBorder="true" applyAlignment="true" applyProtection="true">
      <alignment horizontal="center" vertical="bottom" textRotation="0" wrapText="false" indent="0" shrinkToFit="false"/>
      <protection locked="true" hidden="false"/>
    </xf>
    <xf numFmtId="171" fontId="34" fillId="0" borderId="9" xfId="19" applyFont="true" applyBorder="true" applyAlignment="true" applyProtection="true">
      <alignment horizontal="center" vertical="bottom" textRotation="0" wrapText="false" indent="0" shrinkToFit="false"/>
      <protection locked="true" hidden="false"/>
    </xf>
    <xf numFmtId="171" fontId="34" fillId="0" borderId="26" xfId="19" applyFont="true" applyBorder="true" applyAlignment="true" applyProtection="true">
      <alignment horizontal="center" vertical="bottom" textRotation="0" wrapText="false" indent="0" shrinkToFit="false"/>
      <protection locked="true" hidden="false"/>
    </xf>
    <xf numFmtId="171" fontId="34" fillId="0" borderId="0" xfId="19" applyFont="true" applyBorder="true" applyAlignment="true" applyProtection="true">
      <alignment horizontal="center" vertical="center" textRotation="0" wrapText="true" indent="0" shrinkToFit="false"/>
      <protection locked="true" hidden="false"/>
    </xf>
    <xf numFmtId="171" fontId="34" fillId="0" borderId="13" xfId="19" applyFont="true" applyBorder="true" applyAlignment="true" applyProtection="true">
      <alignment horizontal="center" vertical="center" textRotation="0" wrapText="true" indent="0" shrinkToFit="false"/>
      <protection locked="true" hidden="false"/>
    </xf>
    <xf numFmtId="165" fontId="0" fillId="0" borderId="0" xfId="19" applyFont="true" applyBorder="true" applyAlignment="true" applyProtection="true">
      <alignment horizontal="center" vertical="bottom" textRotation="0" wrapText="false" indent="0" shrinkToFit="false"/>
      <protection locked="true" hidden="false"/>
    </xf>
    <xf numFmtId="171" fontId="0" fillId="0" borderId="9" xfId="19" applyFont="true" applyBorder="true" applyAlignment="true" applyProtection="true">
      <alignment horizontal="center" vertical="bottom" textRotation="0" wrapText="false" indent="0" shrinkToFit="false"/>
      <protection locked="true" hidden="false"/>
    </xf>
    <xf numFmtId="171" fontId="0" fillId="0" borderId="0" xfId="19" applyFont="true" applyBorder="true" applyAlignment="true" applyProtection="true">
      <alignment horizontal="center" vertical="center" textRotation="0" wrapText="true" indent="0" shrinkToFit="false"/>
      <protection locked="true" hidden="false"/>
    </xf>
    <xf numFmtId="171" fontId="0" fillId="0" borderId="13" xfId="19" applyFont="true" applyBorder="true" applyAlignment="true" applyProtection="true">
      <alignment horizontal="center" vertical="center" textRotation="0" wrapText="true" indent="0" shrinkToFit="false"/>
      <protection locked="true" hidden="false"/>
    </xf>
    <xf numFmtId="164" fontId="0" fillId="0" borderId="34" xfId="0" applyFont="false" applyBorder="true" applyAlignment="true" applyProtection="false">
      <alignment horizontal="center" vertical="bottom" textRotation="0" wrapText="true" indent="0" shrinkToFit="false"/>
      <protection locked="true" hidden="false"/>
    </xf>
    <xf numFmtId="171" fontId="0" fillId="0" borderId="37" xfId="19" applyFont="true" applyBorder="true" applyAlignment="true" applyProtection="true">
      <alignment horizontal="center" vertical="bottom" textRotation="0" wrapText="false" indent="0" shrinkToFit="false"/>
      <protection locked="true" hidden="false"/>
    </xf>
    <xf numFmtId="171" fontId="0" fillId="0" borderId="36" xfId="0" applyFont="true" applyBorder="true" applyAlignment="true" applyProtection="false">
      <alignment horizontal="center" vertical="bottom" textRotation="0" wrapText="false" indent="0" shrinkToFit="false"/>
      <protection locked="true" hidden="false"/>
    </xf>
    <xf numFmtId="165" fontId="0" fillId="0" borderId="37" xfId="0" applyFont="true" applyBorder="true" applyAlignment="true" applyProtection="false">
      <alignment horizontal="center" vertical="bottom" textRotation="0" wrapText="false" indent="0" shrinkToFit="false"/>
      <protection locked="true" hidden="false"/>
    </xf>
    <xf numFmtId="165" fontId="0" fillId="0" borderId="37" xfId="19" applyFont="true" applyBorder="true" applyAlignment="true" applyProtection="true">
      <alignment horizontal="center" vertical="bottom" textRotation="0" wrapText="false" indent="0" shrinkToFit="false"/>
      <protection locked="true" hidden="false"/>
    </xf>
    <xf numFmtId="174" fontId="0" fillId="0" borderId="37" xfId="0" applyFont="true" applyBorder="true" applyAlignment="true" applyProtection="false">
      <alignment horizontal="center" vertical="bottom" textRotation="0" wrapText="false" indent="0" shrinkToFit="false"/>
      <protection locked="true" hidden="false"/>
    </xf>
    <xf numFmtId="165" fontId="0" fillId="0" borderId="36" xfId="19" applyFont="true" applyBorder="true" applyAlignment="true" applyProtection="true">
      <alignment horizontal="center" vertical="bottom" textRotation="0" wrapText="false" indent="0" shrinkToFit="false"/>
      <protection locked="true" hidden="false"/>
    </xf>
    <xf numFmtId="171" fontId="0" fillId="0" borderId="35" xfId="19" applyFont="true" applyBorder="true" applyAlignment="true" applyProtection="true">
      <alignment horizontal="center" vertical="bottom" textRotation="0" wrapText="false" indent="0" shrinkToFit="false"/>
      <protection locked="true" hidden="false"/>
    </xf>
    <xf numFmtId="171" fontId="0" fillId="0" borderId="36" xfId="19" applyFont="true" applyBorder="true" applyAlignment="true" applyProtection="true">
      <alignment horizontal="center" vertical="bottom" textRotation="0" wrapText="false" indent="0" shrinkToFit="false"/>
      <protection locked="true" hidden="false"/>
    </xf>
    <xf numFmtId="171" fontId="0" fillId="0" borderId="37" xfId="19" applyFont="true" applyBorder="true" applyAlignment="true" applyProtection="true">
      <alignment horizontal="center" vertical="center" textRotation="0" wrapText="true" indent="0" shrinkToFit="false"/>
      <protection locked="true" hidden="false"/>
    </xf>
    <xf numFmtId="171" fontId="0" fillId="0" borderId="60" xfId="19" applyFont="true" applyBorder="true" applyAlignment="true" applyProtection="true">
      <alignment horizontal="center" vertical="center" textRotation="0" wrapText="true" indent="0" shrinkToFit="false"/>
      <protection locked="true" hidden="false"/>
    </xf>
    <xf numFmtId="164" fontId="0" fillId="0" borderId="12" xfId="0" applyFont="true" applyBorder="true" applyAlignment="true" applyProtection="false">
      <alignment horizontal="center" vertical="bottom" textRotation="0" wrapText="true" indent="0" shrinkToFit="false"/>
      <protection locked="true" hidden="false"/>
    </xf>
    <xf numFmtId="171" fontId="0" fillId="0" borderId="13" xfId="19" applyFont="true" applyBorder="true" applyAlignment="true" applyProtection="true">
      <alignment horizontal="center" vertical="bottom" textRotation="0" wrapText="false" indent="0" shrinkToFit="false"/>
      <protection locked="true" hidden="false"/>
    </xf>
    <xf numFmtId="171" fontId="0" fillId="0" borderId="0" xfId="0" applyFont="true" applyBorder="true" applyAlignment="true" applyProtection="false">
      <alignment horizontal="center" vertical="bottom" textRotation="0" wrapText="false" indent="0" shrinkToFit="false"/>
      <protection locked="true" hidden="false"/>
    </xf>
    <xf numFmtId="171" fontId="0" fillId="0" borderId="13" xfId="0" applyFont="true" applyBorder="true" applyAlignment="true" applyProtection="false">
      <alignment horizontal="center" vertical="bottom" textRotation="0" wrapText="false" indent="0" shrinkToFit="false"/>
      <protection locked="true" hidden="false"/>
    </xf>
    <xf numFmtId="169" fontId="34" fillId="0" borderId="34" xfId="0" applyFont="true" applyBorder="true" applyAlignment="true" applyProtection="false">
      <alignment horizontal="center" vertical="bottom" textRotation="0" wrapText="true" indent="0" shrinkToFit="false"/>
      <protection locked="true" hidden="false"/>
    </xf>
    <xf numFmtId="171" fontId="34" fillId="0" borderId="37" xfId="19" applyFont="true" applyBorder="true" applyAlignment="true" applyProtection="true">
      <alignment horizontal="center" vertical="bottom" textRotation="0" wrapText="false" indent="0" shrinkToFit="false"/>
      <protection locked="true" hidden="false"/>
    </xf>
    <xf numFmtId="171" fontId="34" fillId="0" borderId="36" xfId="0" applyFont="true" applyBorder="true" applyAlignment="true" applyProtection="false">
      <alignment horizontal="center" vertical="bottom" textRotation="0" wrapText="false" indent="0" shrinkToFit="false"/>
      <protection locked="true" hidden="false"/>
    </xf>
    <xf numFmtId="165" fontId="34" fillId="0" borderId="37" xfId="0" applyFont="true" applyBorder="true" applyAlignment="true" applyProtection="false">
      <alignment horizontal="center" vertical="bottom" textRotation="0" wrapText="false" indent="0" shrinkToFit="false"/>
      <protection locked="true" hidden="false"/>
    </xf>
    <xf numFmtId="165" fontId="34" fillId="0" borderId="37" xfId="19" applyFont="true" applyBorder="true" applyAlignment="true" applyProtection="true">
      <alignment horizontal="center" vertical="bottom" textRotation="0" wrapText="false" indent="0" shrinkToFit="false"/>
      <protection locked="true" hidden="false"/>
    </xf>
    <xf numFmtId="174" fontId="34" fillId="0" borderId="37" xfId="0" applyFont="true" applyBorder="true" applyAlignment="true" applyProtection="false">
      <alignment horizontal="center" vertical="bottom" textRotation="0" wrapText="false" indent="0" shrinkToFit="false"/>
      <protection locked="true" hidden="false"/>
    </xf>
    <xf numFmtId="165" fontId="34" fillId="0" borderId="36" xfId="19" applyFont="true" applyBorder="true" applyAlignment="true" applyProtection="true">
      <alignment horizontal="center" vertical="bottom" textRotation="0" wrapText="false" indent="0" shrinkToFit="false"/>
      <protection locked="true" hidden="false"/>
    </xf>
    <xf numFmtId="171" fontId="34" fillId="0" borderId="35" xfId="19" applyFont="true" applyBorder="true" applyAlignment="true" applyProtection="true">
      <alignment horizontal="center" vertical="bottom" textRotation="0" wrapText="false" indent="0" shrinkToFit="false"/>
      <protection locked="true" hidden="false"/>
    </xf>
    <xf numFmtId="171" fontId="34" fillId="0" borderId="36" xfId="19" applyFont="true" applyBorder="true" applyAlignment="true" applyProtection="true">
      <alignment horizontal="center" vertical="bottom" textRotation="0" wrapText="false" indent="0" shrinkToFit="false"/>
      <protection locked="true" hidden="false"/>
    </xf>
    <xf numFmtId="171" fontId="34" fillId="0" borderId="37" xfId="0" applyFont="true" applyBorder="true" applyAlignment="true" applyProtection="false">
      <alignment horizontal="center" vertical="bottom" textRotation="0" wrapText="false" indent="0" shrinkToFit="false"/>
      <protection locked="true" hidden="false"/>
    </xf>
    <xf numFmtId="171" fontId="34" fillId="0" borderId="60" xfId="0" applyFont="true" applyBorder="true" applyAlignment="true" applyProtection="false">
      <alignment horizontal="center" vertical="bottom" textRotation="0" wrapText="false" indent="0" shrinkToFit="false"/>
      <protection locked="true" hidden="false"/>
    </xf>
    <xf numFmtId="169" fontId="34" fillId="0" borderId="12" xfId="0" applyFont="true" applyBorder="true" applyAlignment="true" applyProtection="false">
      <alignment horizontal="center" vertical="bottom" textRotation="0" wrapText="true" indent="0" shrinkToFit="false"/>
      <protection locked="true" hidden="false"/>
    </xf>
    <xf numFmtId="165" fontId="34" fillId="0" borderId="0" xfId="0" applyFont="true" applyBorder="true" applyAlignment="true" applyProtection="false">
      <alignment horizontal="center" vertical="bottom" textRotation="0" wrapText="false" indent="0" shrinkToFit="false"/>
      <protection locked="true" hidden="false"/>
    </xf>
    <xf numFmtId="171" fontId="34" fillId="0" borderId="0" xfId="0" applyFont="true" applyBorder="true" applyAlignment="true" applyProtection="false">
      <alignment horizontal="center" vertical="bottom" textRotation="0" wrapText="false" indent="0" shrinkToFit="false"/>
      <protection locked="true" hidden="false"/>
    </xf>
    <xf numFmtId="171" fontId="34" fillId="0" borderId="13" xfId="0" applyFont="true" applyBorder="true" applyAlignment="true" applyProtection="false">
      <alignment horizontal="center"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9" fontId="0" fillId="0" borderId="34" xfId="0" applyFont="true" applyBorder="true" applyAlignment="true" applyProtection="false">
      <alignment horizontal="center" vertical="bottom" textRotation="0" wrapText="true" indent="0" shrinkToFit="false"/>
      <protection locked="true" hidden="false"/>
    </xf>
    <xf numFmtId="171" fontId="0" fillId="0" borderId="37" xfId="0" applyFont="true" applyBorder="true" applyAlignment="true" applyProtection="false">
      <alignment horizontal="center" vertical="bottom" textRotation="0" wrapText="false" indent="0" shrinkToFit="false"/>
      <protection locked="true" hidden="false"/>
    </xf>
    <xf numFmtId="171" fontId="0" fillId="0" borderId="60" xfId="0" applyFont="true" applyBorder="true" applyAlignment="true" applyProtection="false">
      <alignment horizontal="center" vertical="bottom" textRotation="0" wrapText="false" indent="0" shrinkToFit="false"/>
      <protection locked="true" hidden="false"/>
    </xf>
    <xf numFmtId="169" fontId="0" fillId="0" borderId="12" xfId="0" applyFont="true" applyBorder="true" applyAlignment="true" applyProtection="false">
      <alignment horizontal="center" vertical="bottom" textRotation="0" wrapText="true" indent="0" shrinkToFit="false"/>
      <protection locked="true" hidden="false"/>
    </xf>
    <xf numFmtId="165" fontId="0" fillId="0" borderId="0" xfId="0" applyFont="true" applyBorder="true" applyAlignment="true" applyProtection="false">
      <alignment horizontal="center" vertical="bottom" textRotation="0" wrapText="false" indent="0" shrinkToFit="false"/>
      <protection locked="true" hidden="false"/>
    </xf>
    <xf numFmtId="169" fontId="34" fillId="0" borderId="12" xfId="0" applyFont="true" applyBorder="true" applyAlignment="true" applyProtection="false">
      <alignment horizontal="center" vertical="bottom" textRotation="0" wrapText="true" indent="0" shrinkToFit="false"/>
      <protection locked="true" hidden="false"/>
    </xf>
    <xf numFmtId="169" fontId="34" fillId="0" borderId="34" xfId="0" applyFont="true" applyBorder="true" applyAlignment="true" applyProtection="false">
      <alignment horizontal="center" vertical="bottom" textRotation="0" wrapText="true" indent="0" shrinkToFit="false"/>
      <protection locked="true" hidden="false"/>
    </xf>
    <xf numFmtId="164" fontId="0" fillId="0" borderId="34" xfId="0" applyFont="true" applyBorder="true" applyAlignment="true" applyProtection="false">
      <alignment horizontal="center" vertical="bottom" textRotation="0" wrapText="true" indent="0" shrinkToFit="false"/>
      <protection locked="true" hidden="false"/>
    </xf>
    <xf numFmtId="165" fontId="0" fillId="0" borderId="37" xfId="0" applyFont="true" applyBorder="true" applyAlignment="true" applyProtection="false">
      <alignment horizontal="center" vertical="bottom" textRotation="0" wrapText="false" indent="0" shrinkToFit="false"/>
      <protection locked="true" hidden="false"/>
    </xf>
    <xf numFmtId="169" fontId="0" fillId="0" borderId="34" xfId="0" applyFont="false" applyBorder="true" applyAlignment="true" applyProtection="false">
      <alignment horizontal="center" vertical="bottom" textRotation="0" wrapText="false" indent="0" shrinkToFit="false"/>
      <protection locked="true" hidden="false"/>
    </xf>
    <xf numFmtId="169" fontId="0" fillId="0" borderId="12" xfId="0" applyFont="false" applyBorder="true" applyAlignment="true" applyProtection="false">
      <alignment horizontal="center" vertical="bottom" textRotation="0" wrapText="false" indent="0" shrinkToFit="false"/>
      <protection locked="true" hidden="false"/>
    </xf>
    <xf numFmtId="169" fontId="0" fillId="0" borderId="12" xfId="0" applyFont="true" applyBorder="true" applyAlignment="true" applyProtection="false">
      <alignment horizontal="center" vertical="bottom" textRotation="0" wrapText="false" indent="0" shrinkToFit="false"/>
      <protection locked="true" hidden="false"/>
    </xf>
    <xf numFmtId="171" fontId="0" fillId="0" borderId="44" xfId="19" applyFont="true" applyBorder="true" applyAlignment="true" applyProtection="true">
      <alignment horizontal="center" vertical="bottom" textRotation="0" wrapText="false" indent="0" shrinkToFit="false"/>
      <protection locked="true" hidden="false"/>
    </xf>
    <xf numFmtId="169" fontId="0" fillId="0" borderId="47" xfId="0" applyFont="false" applyBorder="true" applyAlignment="true" applyProtection="false">
      <alignment horizontal="center" vertical="bottom" textRotation="0" wrapText="false" indent="0" shrinkToFit="false"/>
      <protection locked="true" hidden="false"/>
    </xf>
    <xf numFmtId="171" fontId="0" fillId="0" borderId="50" xfId="19" applyFont="true" applyBorder="true" applyAlignment="true" applyProtection="true">
      <alignment horizontal="center" vertical="bottom" textRotation="0" wrapText="false" indent="0" shrinkToFit="false"/>
      <protection locked="true" hidden="false"/>
    </xf>
    <xf numFmtId="171" fontId="0" fillId="0" borderId="49" xfId="0" applyFont="true" applyBorder="true" applyAlignment="true" applyProtection="false">
      <alignment horizontal="center" vertical="bottom" textRotation="0" wrapText="false" indent="0" shrinkToFit="false"/>
      <protection locked="true" hidden="false"/>
    </xf>
    <xf numFmtId="165" fontId="0" fillId="0" borderId="50" xfId="0" applyFont="true" applyBorder="true" applyAlignment="true" applyProtection="false">
      <alignment horizontal="center" vertical="bottom" textRotation="0" wrapText="false" indent="0" shrinkToFit="false"/>
      <protection locked="true" hidden="false"/>
    </xf>
    <xf numFmtId="165" fontId="0" fillId="0" borderId="50" xfId="19" applyFont="true" applyBorder="true" applyAlignment="true" applyProtection="true">
      <alignment horizontal="center" vertical="bottom" textRotation="0" wrapText="false" indent="0" shrinkToFit="false"/>
      <protection locked="true" hidden="false"/>
    </xf>
    <xf numFmtId="174" fontId="0" fillId="0" borderId="50" xfId="0" applyFont="true" applyBorder="true" applyAlignment="true" applyProtection="false">
      <alignment horizontal="center" vertical="bottom" textRotation="0" wrapText="false" indent="0" shrinkToFit="false"/>
      <protection locked="true" hidden="false"/>
    </xf>
    <xf numFmtId="165" fontId="0" fillId="0" borderId="49" xfId="19" applyFont="true" applyBorder="true" applyAlignment="true" applyProtection="true">
      <alignment horizontal="center" vertical="bottom" textRotation="0" wrapText="false" indent="0" shrinkToFit="false"/>
      <protection locked="true" hidden="false"/>
    </xf>
    <xf numFmtId="171" fontId="0" fillId="0" borderId="48" xfId="19" applyFont="true" applyBorder="true" applyAlignment="true" applyProtection="true">
      <alignment horizontal="center" vertical="bottom" textRotation="0" wrapText="false" indent="0" shrinkToFit="false"/>
      <protection locked="true" hidden="false"/>
    </xf>
    <xf numFmtId="180" fontId="0" fillId="0" borderId="49" xfId="19" applyFont="true" applyBorder="true" applyAlignment="true" applyProtection="true">
      <alignment horizontal="center" vertical="bottom" textRotation="0" wrapText="false" indent="0" shrinkToFit="false"/>
      <protection locked="true" hidden="false"/>
    </xf>
    <xf numFmtId="171" fontId="0" fillId="0" borderId="50" xfId="0" applyFont="true" applyBorder="true" applyAlignment="true" applyProtection="false">
      <alignment horizontal="center" vertical="bottom" textRotation="0" wrapText="false" indent="0" shrinkToFit="false"/>
      <protection locked="true" hidden="false"/>
    </xf>
    <xf numFmtId="171" fontId="0" fillId="0" borderId="65" xfId="0" applyFont="true" applyBorder="true" applyAlignment="true" applyProtection="false">
      <alignment horizontal="center" vertical="bottom" textRotation="0" wrapText="false" indent="0" shrinkToFit="false"/>
      <protection locked="true" hidden="false"/>
    </xf>
    <xf numFmtId="181" fontId="0" fillId="0" borderId="0" xfId="0" applyFont="false" applyBorder="false" applyAlignment="false" applyProtection="false">
      <alignment horizontal="general" vertical="bottom" textRotation="0" wrapText="false" indent="0" shrinkToFit="false"/>
      <protection locked="true" hidden="false"/>
    </xf>
    <xf numFmtId="165" fontId="37" fillId="0" borderId="0" xfId="0" applyFont="true" applyBorder="true" applyAlignment="false" applyProtection="false">
      <alignment horizontal="general" vertical="bottom" textRotation="0" wrapText="false" indent="0" shrinkToFit="false"/>
      <protection locked="true" hidden="false"/>
    </xf>
    <xf numFmtId="171" fontId="37" fillId="0" borderId="0" xfId="0" applyFont="true" applyBorder="true" applyAlignment="true" applyProtection="false">
      <alignment horizontal="center" vertical="bottom" textRotation="0" wrapText="false" indent="0" shrinkToFit="false"/>
      <protection locked="true" hidden="false"/>
    </xf>
    <xf numFmtId="171" fontId="34" fillId="0" borderId="0" xfId="0" applyFont="true" applyBorder="true" applyAlignment="true" applyProtection="false">
      <alignment horizontal="center" vertical="bottom" textRotation="0" wrapText="false" indent="0" shrinkToFit="false"/>
      <protection locked="true" hidden="false"/>
    </xf>
    <xf numFmtId="164" fontId="37" fillId="0" borderId="0" xfId="0" applyFont="true" applyBorder="true" applyAlignment="false" applyProtection="false">
      <alignment horizontal="general" vertical="bottom" textRotation="0" wrapText="false" indent="0" shrinkToFit="false"/>
      <protection locked="true" hidden="false"/>
    </xf>
    <xf numFmtId="165" fontId="0" fillId="0" borderId="0" xfId="0" applyFont="false" applyBorder="true" applyAlignment="false" applyProtection="false">
      <alignment horizontal="general" vertical="bottom" textRotation="0" wrapText="false" indent="0" shrinkToFit="false"/>
      <protection locked="true" hidden="false"/>
    </xf>
    <xf numFmtId="165" fontId="0" fillId="0" borderId="0" xfId="0" applyFont="false" applyBorder="true" applyAlignment="false" applyProtection="false">
      <alignment horizontal="general" vertical="bottom" textRotation="0" wrapText="false" indent="0" shrinkToFit="false"/>
      <protection locked="true" hidden="false"/>
    </xf>
    <xf numFmtId="164" fontId="47" fillId="0" borderId="22" xfId="60" applyFont="true" applyBorder="true" applyAlignment="true" applyProtection="false">
      <alignment horizontal="center" vertical="center" textRotation="0" wrapText="true" indent="0" shrinkToFit="false"/>
      <protection locked="true" hidden="false"/>
    </xf>
    <xf numFmtId="171" fontId="0" fillId="0" borderId="0" xfId="60" applyFont="false" applyBorder="false" applyAlignment="false" applyProtection="false">
      <alignment horizontal="general" vertical="bottom" textRotation="0" wrapText="false" indent="0" shrinkToFit="false"/>
      <protection locked="true" hidden="false"/>
    </xf>
    <xf numFmtId="182" fontId="24" fillId="0" borderId="9" xfId="19" applyFont="true" applyBorder="true" applyAlignment="true" applyProtection="true">
      <alignment horizontal="general" vertical="bottom" textRotation="0" wrapText="false" indent="0" shrinkToFit="false"/>
      <protection locked="true" hidden="false"/>
    </xf>
    <xf numFmtId="164" fontId="37" fillId="0" borderId="0" xfId="60" applyFont="true" applyBorder="true" applyAlignment="false" applyProtection="false">
      <alignment horizontal="general" vertical="bottom" textRotation="0" wrapText="false" indent="0" shrinkToFit="false"/>
      <protection locked="true" hidden="false"/>
    </xf>
    <xf numFmtId="171" fontId="24" fillId="0" borderId="0" xfId="19" applyFont="true" applyBorder="true" applyAlignment="true" applyProtection="true">
      <alignment horizontal="general" vertical="bottom" textRotation="0" wrapText="false" indent="0" shrinkToFit="false"/>
      <protection locked="true" hidden="false"/>
    </xf>
    <xf numFmtId="164" fontId="37" fillId="0" borderId="26" xfId="60" applyFont="true" applyBorder="true" applyAlignment="false" applyProtection="false">
      <alignment horizontal="general" vertical="bottom" textRotation="0" wrapText="false" indent="0" shrinkToFit="false"/>
      <protection locked="true" hidden="false"/>
    </xf>
    <xf numFmtId="165" fontId="24" fillId="0" borderId="0" xfId="60" applyFont="true" applyBorder="true" applyAlignment="false" applyProtection="false">
      <alignment horizontal="general" vertical="bottom" textRotation="0" wrapText="false" indent="0" shrinkToFit="false"/>
      <protection locked="true" hidden="false"/>
    </xf>
    <xf numFmtId="171" fontId="24" fillId="0" borderId="0" xfId="60" applyFont="true" applyBorder="true" applyAlignment="true" applyProtection="false">
      <alignment horizontal="center" vertical="center" textRotation="0" wrapText="true" indent="0" shrinkToFit="false"/>
      <protection locked="true" hidden="false"/>
    </xf>
    <xf numFmtId="171" fontId="24" fillId="0" borderId="0" xfId="60" applyFont="true" applyBorder="true" applyAlignment="false" applyProtection="false">
      <alignment horizontal="general" vertical="bottom" textRotation="0" wrapText="false" indent="0" shrinkToFit="false"/>
      <protection locked="true" hidden="false"/>
    </xf>
    <xf numFmtId="171" fontId="24" fillId="0" borderId="0" xfId="60" applyFont="true" applyBorder="true" applyAlignment="true" applyProtection="false">
      <alignment horizontal="center" vertical="bottom" textRotation="0" wrapText="false" indent="0" shrinkToFit="false"/>
      <protection locked="true" hidden="false"/>
    </xf>
    <xf numFmtId="165" fontId="0" fillId="0" borderId="48" xfId="60" applyFont="false" applyBorder="true" applyAlignment="false" applyProtection="false">
      <alignment horizontal="general" vertical="bottom" textRotation="0" wrapText="false" indent="0" shrinkToFit="false"/>
      <protection locked="true" hidden="false"/>
    </xf>
    <xf numFmtId="165" fontId="0" fillId="0" borderId="52" xfId="60" applyFont="false" applyBorder="true" applyAlignment="false" applyProtection="false">
      <alignment horizontal="general" vertical="bottom" textRotation="0" wrapText="false" indent="0" shrinkToFit="false"/>
      <protection locked="true" hidden="false"/>
    </xf>
    <xf numFmtId="164" fontId="0" fillId="0" borderId="50" xfId="60" applyFont="false" applyBorder="true" applyAlignment="false" applyProtection="false">
      <alignment horizontal="general" vertical="bottom" textRotation="0" wrapText="false" indent="0" shrinkToFit="false"/>
      <protection locked="true" hidden="false"/>
    </xf>
    <xf numFmtId="171" fontId="0" fillId="0" borderId="50" xfId="60" applyFont="false" applyBorder="true" applyAlignment="false" applyProtection="false">
      <alignment horizontal="general" vertical="bottom" textRotation="0" wrapText="false" indent="0" shrinkToFit="false"/>
      <protection locked="true" hidden="false"/>
    </xf>
    <xf numFmtId="164" fontId="0" fillId="0" borderId="49" xfId="60" applyFont="false" applyBorder="true" applyAlignment="false" applyProtection="false">
      <alignment horizontal="general" vertical="bottom" textRotation="0" wrapText="false" indent="0" shrinkToFit="false"/>
      <protection locked="true" hidden="false"/>
    </xf>
    <xf numFmtId="164" fontId="0" fillId="0" borderId="50" xfId="60" applyFont="true" applyBorder="true" applyAlignment="false" applyProtection="false">
      <alignment horizontal="general" vertical="bottom" textRotation="0" wrapText="false" indent="0" shrinkToFit="false"/>
      <protection locked="true" hidden="false"/>
    </xf>
    <xf numFmtId="164" fontId="0" fillId="0" borderId="65" xfId="60" applyFont="true" applyBorder="true" applyAlignment="false" applyProtection="false">
      <alignment horizontal="general" vertical="bottom" textRotation="0" wrapText="false" indent="0" shrinkToFit="false"/>
      <protection locked="true" hidden="false"/>
    </xf>
    <xf numFmtId="165" fontId="0" fillId="0" borderId="0" xfId="60" applyFont="fals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0" fillId="0" borderId="13" xfId="0" applyFont="true" applyBorder="true" applyAlignment="true" applyProtection="false">
      <alignment horizontal="center" vertical="bottom" textRotation="0" wrapText="false" indent="0" shrinkToFit="false"/>
      <protection locked="true" hidden="false"/>
    </xf>
    <xf numFmtId="164" fontId="52" fillId="0" borderId="16" xfId="0" applyFont="true" applyBorder="true" applyAlignment="true" applyProtection="false">
      <alignment horizontal="center" vertical="center" textRotation="0" wrapText="true" indent="0" shrinkToFit="false"/>
      <protection locked="true" hidden="false"/>
    </xf>
    <xf numFmtId="164" fontId="52" fillId="0" borderId="18" xfId="0" applyFont="true" applyBorder="true" applyAlignment="true" applyProtection="false">
      <alignment horizontal="center" vertical="center" textRotation="0" wrapText="true" indent="0" shrinkToFit="false"/>
      <protection locked="true" hidden="false"/>
    </xf>
    <xf numFmtId="164" fontId="52" fillId="0" borderId="14" xfId="0" applyFont="true" applyBorder="true" applyAlignment="true" applyProtection="false">
      <alignment horizontal="center" vertical="center" textRotation="0" wrapText="true" indent="0" shrinkToFit="false"/>
      <protection locked="true" hidden="false"/>
    </xf>
    <xf numFmtId="164" fontId="0" fillId="0" borderId="16" xfId="0" applyFont="true" applyBorder="true" applyAlignment="true" applyProtection="false">
      <alignment horizontal="center" vertical="center" textRotation="0" wrapText="true" indent="0" shrinkToFit="false"/>
      <protection locked="true" hidden="false"/>
    </xf>
    <xf numFmtId="164" fontId="0" fillId="0" borderId="14" xfId="0" applyFont="true" applyBorder="true" applyAlignment="true" applyProtection="false">
      <alignment horizontal="center" vertical="center" textRotation="0" wrapText="true" indent="0" shrinkToFit="false"/>
      <protection locked="true" hidden="false"/>
    </xf>
    <xf numFmtId="167" fontId="34" fillId="0" borderId="58" xfId="0" applyFont="true" applyBorder="true" applyAlignment="true" applyProtection="false">
      <alignment horizontal="center" vertical="center" textRotation="0" wrapText="true" indent="0" shrinkToFit="false"/>
      <protection locked="true" hidden="false"/>
    </xf>
    <xf numFmtId="167" fontId="0" fillId="0" borderId="58" xfId="19" applyFont="true" applyBorder="true" applyAlignment="true" applyProtection="true">
      <alignment horizontal="center" vertical="center" textRotation="0" wrapText="true" indent="0" shrinkToFit="false"/>
      <protection locked="true" hidden="false"/>
    </xf>
    <xf numFmtId="171" fontId="0" fillId="0" borderId="58" xfId="19" applyFont="true" applyBorder="true" applyAlignment="true" applyProtection="true">
      <alignment horizontal="center" vertical="center" textRotation="0" wrapText="true" indent="0" shrinkToFit="false"/>
      <protection locked="true" hidden="false"/>
    </xf>
    <xf numFmtId="167" fontId="37" fillId="0" borderId="58" xfId="0" applyFont="true" applyBorder="true" applyAlignment="true" applyProtection="false">
      <alignment horizontal="center" vertical="center" textRotation="0" wrapText="true" indent="0" shrinkToFit="false"/>
      <protection locked="true" hidden="false"/>
    </xf>
    <xf numFmtId="164" fontId="0" fillId="0" borderId="58" xfId="0" applyFont="false" applyBorder="true" applyAlignment="true" applyProtection="false">
      <alignment horizontal="center" vertical="center" textRotation="0" wrapText="true" indent="0" shrinkToFit="false"/>
      <protection locked="true" hidden="false"/>
    </xf>
    <xf numFmtId="167" fontId="0" fillId="0" borderId="58" xfId="0" applyFont="true" applyBorder="true" applyAlignment="true" applyProtection="false">
      <alignment horizontal="center" vertical="center" textRotation="0" wrapText="false" indent="0" shrinkToFit="false"/>
      <protection locked="true" hidden="false"/>
    </xf>
    <xf numFmtId="171" fontId="0" fillId="0" borderId="58" xfId="0" applyFont="true" applyBorder="true" applyAlignment="true" applyProtection="false">
      <alignment horizontal="center" vertical="bottom" textRotation="0" wrapText="false" indent="0" shrinkToFit="false"/>
      <protection locked="true" hidden="false"/>
    </xf>
    <xf numFmtId="164" fontId="0" fillId="0" borderId="58" xfId="0" applyFont="true" applyBorder="true" applyAlignment="true" applyProtection="false">
      <alignment horizontal="center" vertical="center" textRotation="0" wrapText="true" indent="0" shrinkToFit="false"/>
      <protection locked="true" hidden="false"/>
    </xf>
    <xf numFmtId="167" fontId="0" fillId="0" borderId="9" xfId="0" applyFont="true" applyBorder="true" applyAlignment="true" applyProtection="false">
      <alignment horizontal="center" vertical="center" textRotation="0" wrapText="true" indent="0" shrinkToFit="false"/>
      <protection locked="true" hidden="false"/>
    </xf>
    <xf numFmtId="167" fontId="0" fillId="0" borderId="13" xfId="0" applyFont="true" applyBorder="true" applyAlignment="true" applyProtection="false">
      <alignment horizontal="center" vertical="center" textRotation="0" wrapText="true" indent="0" shrinkToFit="false"/>
      <protection locked="true" hidden="false"/>
    </xf>
    <xf numFmtId="177" fontId="0" fillId="0" borderId="0" xfId="0" applyFont="false" applyBorder="false" applyAlignment="false" applyProtection="false">
      <alignment horizontal="general" vertical="bottom" textRotation="0" wrapText="false" indent="0" shrinkToFit="false"/>
      <protection locked="true" hidden="false"/>
    </xf>
    <xf numFmtId="167" fontId="34" fillId="0" borderId="59" xfId="0" applyFont="true" applyBorder="true" applyAlignment="true" applyProtection="false">
      <alignment horizontal="center" vertical="center" textRotation="0" wrapText="true" indent="0" shrinkToFit="false"/>
      <protection locked="true" hidden="false"/>
    </xf>
    <xf numFmtId="167" fontId="0" fillId="0" borderId="59" xfId="19" applyFont="true" applyBorder="true" applyAlignment="true" applyProtection="true">
      <alignment horizontal="center" vertical="center" textRotation="0" wrapText="true" indent="0" shrinkToFit="false"/>
      <protection locked="true" hidden="false"/>
    </xf>
    <xf numFmtId="171" fontId="0" fillId="0" borderId="59" xfId="19" applyFont="true" applyBorder="true" applyAlignment="true" applyProtection="true">
      <alignment horizontal="center" vertical="center" textRotation="0" wrapText="true" indent="0" shrinkToFit="false"/>
      <protection locked="true" hidden="false"/>
    </xf>
    <xf numFmtId="167" fontId="37" fillId="0" borderId="59" xfId="0" applyFont="true" applyBorder="true" applyAlignment="true" applyProtection="false">
      <alignment horizontal="center" vertical="center" textRotation="0" wrapText="true" indent="0" shrinkToFit="false"/>
      <protection locked="true" hidden="false"/>
    </xf>
    <xf numFmtId="164" fontId="0" fillId="0" borderId="59" xfId="0" applyFont="false" applyBorder="true" applyAlignment="true" applyProtection="false">
      <alignment horizontal="center" vertical="center" textRotation="0" wrapText="true" indent="0" shrinkToFit="false"/>
      <protection locked="true" hidden="false"/>
    </xf>
    <xf numFmtId="167" fontId="0" fillId="0" borderId="59" xfId="0" applyFont="true" applyBorder="true" applyAlignment="true" applyProtection="false">
      <alignment horizontal="center" vertical="center" textRotation="0" wrapText="false" indent="0" shrinkToFit="false"/>
      <protection locked="true" hidden="false"/>
    </xf>
    <xf numFmtId="171" fontId="0" fillId="0" borderId="59" xfId="0" applyFont="true" applyBorder="true" applyAlignment="true" applyProtection="false">
      <alignment horizontal="center" vertical="bottom" textRotation="0" wrapText="false" indent="0" shrinkToFit="false"/>
      <protection locked="true" hidden="false"/>
    </xf>
    <xf numFmtId="164" fontId="0" fillId="0" borderId="59" xfId="0" applyFont="true" applyBorder="true" applyAlignment="true" applyProtection="false">
      <alignment horizontal="center" vertical="center" textRotation="0" wrapText="true" indent="0" shrinkToFit="false"/>
      <protection locked="true" hidden="false"/>
    </xf>
    <xf numFmtId="167" fontId="0" fillId="0" borderId="35" xfId="0" applyFont="true" applyBorder="true" applyAlignment="true" applyProtection="false">
      <alignment horizontal="center" vertical="center" textRotation="0" wrapText="true" indent="0" shrinkToFit="false"/>
      <protection locked="true" hidden="false"/>
    </xf>
    <xf numFmtId="167" fontId="0" fillId="0" borderId="60" xfId="0" applyFont="true" applyBorder="true" applyAlignment="true" applyProtection="false">
      <alignment horizontal="center" vertical="center" textRotation="0" wrapText="true" indent="0" shrinkToFit="false"/>
      <protection locked="true" hidden="false"/>
    </xf>
    <xf numFmtId="167" fontId="0" fillId="0" borderId="58" xfId="0" applyFont="false" applyBorder="true" applyAlignment="true" applyProtection="false">
      <alignment horizontal="center" vertical="center" textRotation="0" wrapText="true" indent="0" shrinkToFit="false"/>
      <protection locked="true" hidden="false"/>
    </xf>
    <xf numFmtId="167" fontId="0" fillId="0" borderId="0" xfId="19" applyFont="true" applyBorder="true" applyAlignment="true" applyProtection="true">
      <alignment horizontal="center" vertical="bottom" textRotation="0" wrapText="false" indent="0" shrinkToFit="false"/>
      <protection locked="true" hidden="false"/>
    </xf>
    <xf numFmtId="164" fontId="37" fillId="0" borderId="58" xfId="0" applyFont="true" applyBorder="true" applyAlignment="true" applyProtection="false">
      <alignment horizontal="center" vertical="center" textRotation="0" wrapText="true" indent="0" shrinkToFit="false"/>
      <protection locked="true" hidden="false"/>
    </xf>
    <xf numFmtId="164" fontId="37" fillId="0" borderId="59" xfId="0" applyFont="true" applyBorder="true" applyAlignment="true" applyProtection="false">
      <alignment horizontal="center" vertical="center" textRotation="0" wrapText="true" indent="0" shrinkToFit="false"/>
      <protection locked="true" hidden="false"/>
    </xf>
    <xf numFmtId="167" fontId="34" fillId="0" borderId="58" xfId="0" applyFont="true" applyBorder="true" applyAlignment="true" applyProtection="false">
      <alignment horizontal="center" vertical="center" textRotation="0" wrapText="false" indent="0" shrinkToFit="false"/>
      <protection locked="true" hidden="false"/>
    </xf>
    <xf numFmtId="167" fontId="0" fillId="0" borderId="58" xfId="0" applyFont="true" applyBorder="true" applyAlignment="true" applyProtection="false">
      <alignment horizontal="center" vertical="bottom" textRotation="0" wrapText="false" indent="0" shrinkToFit="false"/>
      <protection locked="true" hidden="false"/>
    </xf>
    <xf numFmtId="167" fontId="34" fillId="0" borderId="58" xfId="0" applyFont="true" applyBorder="true" applyAlignment="true" applyProtection="false">
      <alignment horizontal="center" vertical="bottom" textRotation="0" wrapText="false" indent="0" shrinkToFit="false"/>
      <protection locked="true" hidden="false"/>
    </xf>
    <xf numFmtId="171" fontId="34" fillId="0" borderId="58" xfId="0" applyFont="true" applyBorder="true" applyAlignment="true" applyProtection="false">
      <alignment horizontal="center" vertical="bottom" textRotation="0" wrapText="false" indent="0" shrinkToFit="false"/>
      <protection locked="true" hidden="false"/>
    </xf>
    <xf numFmtId="167" fontId="0" fillId="0" borderId="58" xfId="0" applyFont="false" applyBorder="true" applyAlignment="true" applyProtection="false">
      <alignment horizontal="center" vertical="center" textRotation="0" wrapText="false" indent="0" shrinkToFit="false"/>
      <protection locked="true" hidden="false"/>
    </xf>
    <xf numFmtId="167" fontId="0" fillId="0" borderId="9" xfId="0" applyFont="false" applyBorder="true" applyAlignment="true" applyProtection="false">
      <alignment horizontal="center" vertical="center" textRotation="0" wrapText="false" indent="0" shrinkToFit="false"/>
      <protection locked="true" hidden="false"/>
    </xf>
    <xf numFmtId="167" fontId="0" fillId="0" borderId="13" xfId="0" applyFont="false" applyBorder="true" applyAlignment="true" applyProtection="false">
      <alignment horizontal="center" vertical="center" textRotation="0" wrapText="false" indent="0" shrinkToFit="false"/>
      <protection locked="true" hidden="false"/>
    </xf>
    <xf numFmtId="167" fontId="34" fillId="0" borderId="61" xfId="0" applyFont="true" applyBorder="true" applyAlignment="true" applyProtection="false">
      <alignment horizontal="center" vertical="center" textRotation="0" wrapText="false" indent="0" shrinkToFit="false"/>
      <protection locked="true" hidden="false"/>
    </xf>
    <xf numFmtId="167" fontId="0" fillId="0" borderId="61" xfId="0" applyFont="true" applyBorder="true" applyAlignment="true" applyProtection="false">
      <alignment horizontal="center" vertical="bottom" textRotation="0" wrapText="false" indent="0" shrinkToFit="false"/>
      <protection locked="true" hidden="false"/>
    </xf>
    <xf numFmtId="167" fontId="34" fillId="0" borderId="61" xfId="0" applyFont="true" applyBorder="true" applyAlignment="true" applyProtection="false">
      <alignment horizontal="center" vertical="bottom" textRotation="0" wrapText="false" indent="0" shrinkToFit="false"/>
      <protection locked="true" hidden="false"/>
    </xf>
    <xf numFmtId="171" fontId="34" fillId="0" borderId="61" xfId="0" applyFont="true" applyBorder="true" applyAlignment="true" applyProtection="false">
      <alignment horizontal="center" vertical="bottom" textRotation="0" wrapText="false" indent="0" shrinkToFit="false"/>
      <protection locked="true" hidden="false"/>
    </xf>
    <xf numFmtId="167" fontId="0" fillId="0" borderId="61" xfId="0" applyFont="true" applyBorder="true" applyAlignment="true" applyProtection="false">
      <alignment horizontal="center" vertical="center" textRotation="0" wrapText="false" indent="0" shrinkToFit="false"/>
      <protection locked="true" hidden="false"/>
    </xf>
    <xf numFmtId="167" fontId="0" fillId="0" borderId="61" xfId="0" applyFont="false" applyBorder="true" applyAlignment="true" applyProtection="false">
      <alignment horizontal="center" vertical="center" textRotation="0" wrapText="false" indent="0" shrinkToFit="false"/>
      <protection locked="true" hidden="false"/>
    </xf>
    <xf numFmtId="167" fontId="0" fillId="0" borderId="42" xfId="0" applyFont="false" applyBorder="true" applyAlignment="true" applyProtection="false">
      <alignment horizontal="center" vertical="center" textRotation="0" wrapText="false" indent="0" shrinkToFit="false"/>
      <protection locked="true" hidden="false"/>
    </xf>
    <xf numFmtId="167" fontId="0" fillId="0" borderId="62" xfId="0" applyFont="false" applyBorder="true" applyAlignment="true" applyProtection="false">
      <alignment horizontal="center" vertical="center" textRotation="0" wrapText="false" indent="0" shrinkToFit="false"/>
      <protection locked="true" hidden="false"/>
    </xf>
    <xf numFmtId="167" fontId="34" fillId="0" borderId="59" xfId="0" applyFont="true" applyBorder="true" applyAlignment="true" applyProtection="false">
      <alignment horizontal="center" vertical="center" textRotation="0" wrapText="false" indent="0" shrinkToFit="false"/>
      <protection locked="true" hidden="false"/>
    </xf>
    <xf numFmtId="167" fontId="0" fillId="0" borderId="59" xfId="0" applyFont="true" applyBorder="true" applyAlignment="true" applyProtection="false">
      <alignment horizontal="center" vertical="bottom" textRotation="0" wrapText="false" indent="0" shrinkToFit="false"/>
      <protection locked="true" hidden="false"/>
    </xf>
    <xf numFmtId="167" fontId="34" fillId="0" borderId="59" xfId="0" applyFont="true" applyBorder="true" applyAlignment="true" applyProtection="false">
      <alignment horizontal="center" vertical="bottom" textRotation="0" wrapText="false" indent="0" shrinkToFit="false"/>
      <protection locked="true" hidden="false"/>
    </xf>
    <xf numFmtId="171" fontId="34" fillId="0" borderId="59" xfId="0" applyFont="true" applyBorder="true" applyAlignment="true" applyProtection="false">
      <alignment horizontal="center" vertical="bottom" textRotation="0" wrapText="false" indent="0" shrinkToFit="false"/>
      <protection locked="true" hidden="false"/>
    </xf>
    <xf numFmtId="167" fontId="0" fillId="0" borderId="59" xfId="0" applyFont="false" applyBorder="true" applyAlignment="true" applyProtection="false">
      <alignment horizontal="center" vertical="center" textRotation="0" wrapText="false" indent="0" shrinkToFit="false"/>
      <protection locked="true" hidden="false"/>
    </xf>
    <xf numFmtId="167" fontId="0" fillId="0" borderId="35" xfId="0" applyFont="false" applyBorder="true" applyAlignment="true" applyProtection="false">
      <alignment horizontal="center" vertical="center" textRotation="0" wrapText="false" indent="0" shrinkToFit="false"/>
      <protection locked="true" hidden="false"/>
    </xf>
    <xf numFmtId="167" fontId="0" fillId="0" borderId="60" xfId="0" applyFont="false" applyBorder="true" applyAlignment="true" applyProtection="false">
      <alignment horizontal="center" vertical="center" textRotation="0" wrapText="false" indent="0" shrinkToFit="false"/>
      <protection locked="true" hidden="false"/>
    </xf>
    <xf numFmtId="167" fontId="0" fillId="0" borderId="58" xfId="0" applyFont="false" applyBorder="true" applyAlignment="true" applyProtection="false">
      <alignment horizontal="center" vertical="bottom" textRotation="0" wrapText="false" indent="0" shrinkToFit="false"/>
      <protection locked="true" hidden="false"/>
    </xf>
    <xf numFmtId="167" fontId="0" fillId="0" borderId="9" xfId="0" applyFont="false" applyBorder="true" applyAlignment="true" applyProtection="false">
      <alignment horizontal="center" vertical="bottom" textRotation="0" wrapText="false" indent="0" shrinkToFit="false"/>
      <protection locked="true" hidden="false"/>
    </xf>
    <xf numFmtId="167" fontId="0" fillId="0" borderId="13" xfId="0" applyFont="false" applyBorder="true" applyAlignment="true" applyProtection="false">
      <alignment horizontal="center" vertical="bottom" textRotation="0" wrapText="false" indent="0" shrinkToFit="false"/>
      <protection locked="true" hidden="false"/>
    </xf>
    <xf numFmtId="164" fontId="0" fillId="0" borderId="41" xfId="0" applyFont="false" applyBorder="true" applyAlignment="true" applyProtection="false">
      <alignment horizontal="center" vertical="bottom" textRotation="0" wrapText="false" indent="0" shrinkToFit="false"/>
      <protection locked="true" hidden="false"/>
    </xf>
    <xf numFmtId="167" fontId="0" fillId="0" borderId="61" xfId="0" applyFont="false" applyBorder="true" applyAlignment="true" applyProtection="false">
      <alignment horizontal="center" vertical="bottom" textRotation="0" wrapText="false" indent="0" shrinkToFit="false"/>
      <protection locked="true" hidden="false"/>
    </xf>
    <xf numFmtId="167" fontId="0" fillId="0" borderId="42" xfId="0" applyFont="false" applyBorder="true" applyAlignment="true" applyProtection="false">
      <alignment horizontal="center" vertical="bottom" textRotation="0" wrapText="false" indent="0" shrinkToFit="false"/>
      <protection locked="true" hidden="false"/>
    </xf>
    <xf numFmtId="167" fontId="0" fillId="0" borderId="62" xfId="0" applyFont="false" applyBorder="true" applyAlignment="true" applyProtection="false">
      <alignment horizontal="center" vertical="bottom" textRotation="0" wrapText="false" indent="0" shrinkToFit="false"/>
      <protection locked="true" hidden="false"/>
    </xf>
    <xf numFmtId="167" fontId="34" fillId="0" borderId="64" xfId="0" applyFont="true" applyBorder="true" applyAlignment="true" applyProtection="false">
      <alignment horizontal="center" vertical="center" textRotation="0" wrapText="false" indent="0" shrinkToFit="false"/>
      <protection locked="true" hidden="false"/>
    </xf>
    <xf numFmtId="167" fontId="0" fillId="0" borderId="64" xfId="0" applyFont="false" applyBorder="true" applyAlignment="true" applyProtection="false">
      <alignment horizontal="center" vertical="bottom" textRotation="0" wrapText="false" indent="0" shrinkToFit="false"/>
      <protection locked="true" hidden="false"/>
    </xf>
    <xf numFmtId="167" fontId="34" fillId="0" borderId="64" xfId="0" applyFont="true" applyBorder="true" applyAlignment="true" applyProtection="false">
      <alignment horizontal="center" vertical="bottom" textRotation="0" wrapText="false" indent="0" shrinkToFit="false"/>
      <protection locked="true" hidden="false"/>
    </xf>
    <xf numFmtId="171" fontId="34" fillId="0" borderId="64" xfId="0" applyFont="true" applyBorder="true" applyAlignment="true" applyProtection="false">
      <alignment horizontal="center" vertical="bottom" textRotation="0" wrapText="false" indent="0" shrinkToFit="false"/>
      <protection locked="true" hidden="false"/>
    </xf>
    <xf numFmtId="167" fontId="0" fillId="0" borderId="64" xfId="0" applyFont="true" applyBorder="true" applyAlignment="true" applyProtection="false">
      <alignment horizontal="center" vertical="center" textRotation="0" wrapText="false" indent="0" shrinkToFit="false"/>
      <protection locked="true" hidden="false"/>
    </xf>
    <xf numFmtId="167" fontId="0" fillId="0" borderId="48" xfId="0" applyFont="false" applyBorder="true" applyAlignment="true" applyProtection="false">
      <alignment horizontal="center" vertical="bottom" textRotation="0" wrapText="false" indent="0" shrinkToFit="false"/>
      <protection locked="true" hidden="false"/>
    </xf>
    <xf numFmtId="167" fontId="0" fillId="0" borderId="65" xfId="0" applyFont="false" applyBorder="true" applyAlignment="true" applyProtection="false">
      <alignment horizontal="center" vertical="bottom" textRotation="0" wrapText="false" indent="0" shrinkToFit="false"/>
      <protection locked="true" hidden="false"/>
    </xf>
    <xf numFmtId="164" fontId="0" fillId="0" borderId="66" xfId="0" applyFont="true" applyBorder="true" applyAlignment="true" applyProtection="false">
      <alignment horizontal="center" vertical="bottom" textRotation="0" wrapText="false" indent="0" shrinkToFit="false"/>
      <protection locked="true" hidden="false"/>
    </xf>
    <xf numFmtId="164" fontId="0" fillId="0" borderId="66" xfId="0" applyFont="true" applyBorder="true" applyAlignment="true" applyProtection="false">
      <alignment horizontal="center" vertical="bottom" textRotation="0" wrapText="false" indent="0" shrinkToFit="false"/>
      <protection locked="true" hidden="false"/>
    </xf>
    <xf numFmtId="164" fontId="0" fillId="0" borderId="67" xfId="0" applyFont="true" applyBorder="true" applyAlignment="true" applyProtection="false">
      <alignment horizontal="center" vertical="bottom" textRotation="0" wrapText="false" indent="0" shrinkToFit="false"/>
      <protection locked="true" hidden="false"/>
    </xf>
    <xf numFmtId="164" fontId="33" fillId="0" borderId="68" xfId="0" applyFont="true" applyBorder="true" applyAlignment="true" applyProtection="false">
      <alignment horizontal="center" vertical="center" textRotation="0" wrapText="true" indent="0" shrinkToFit="false"/>
      <protection locked="true" hidden="false"/>
    </xf>
    <xf numFmtId="164" fontId="52" fillId="0" borderId="69" xfId="0" applyFont="true" applyBorder="true" applyAlignment="true" applyProtection="false">
      <alignment horizontal="center" vertical="center" textRotation="0" wrapText="true" indent="0" shrinkToFit="false"/>
      <protection locked="true" hidden="false"/>
    </xf>
    <xf numFmtId="164" fontId="53" fillId="0" borderId="70" xfId="0" applyFont="true" applyBorder="true" applyAlignment="true" applyProtection="false">
      <alignment horizontal="center" vertical="center" textRotation="0" wrapText="true" indent="0" shrinkToFit="false"/>
      <protection locked="true" hidden="false"/>
    </xf>
    <xf numFmtId="164" fontId="52" fillId="0" borderId="71" xfId="0" applyFont="true" applyBorder="true" applyAlignment="true" applyProtection="false">
      <alignment horizontal="center" vertical="center" textRotation="0" wrapText="true" indent="0" shrinkToFit="false"/>
      <protection locked="true" hidden="false"/>
    </xf>
    <xf numFmtId="164" fontId="52" fillId="0" borderId="16" xfId="0" applyFont="true" applyBorder="true" applyAlignment="true" applyProtection="false">
      <alignment horizontal="center" vertical="center" textRotation="0" wrapText="true" indent="0" shrinkToFit="false"/>
      <protection locked="true" hidden="false"/>
    </xf>
    <xf numFmtId="164" fontId="52" fillId="0" borderId="69" xfId="0" applyFont="true" applyBorder="true" applyAlignment="true" applyProtection="false">
      <alignment horizontal="center" vertical="center" textRotation="0" wrapText="true" indent="0" shrinkToFit="false"/>
      <protection locked="true" hidden="false"/>
    </xf>
    <xf numFmtId="164" fontId="53" fillId="0" borderId="24" xfId="0" applyFont="true" applyBorder="true" applyAlignment="true" applyProtection="false">
      <alignment horizontal="center" vertical="center" textRotation="0" wrapText="true" indent="0" shrinkToFit="false"/>
      <protection locked="true" hidden="false"/>
    </xf>
    <xf numFmtId="164" fontId="0" fillId="0" borderId="12" xfId="0" applyFont="false" applyBorder="true" applyAlignment="true" applyProtection="false">
      <alignment horizontal="general" vertical="center" textRotation="0" wrapText="true" indent="0" shrinkToFit="false"/>
      <protection locked="true" hidden="false"/>
    </xf>
    <xf numFmtId="164" fontId="52" fillId="0" borderId="0" xfId="0" applyFont="true" applyBorder="true" applyAlignment="true" applyProtection="false">
      <alignment horizontal="general" vertical="center" textRotation="0" wrapText="true" indent="0" shrinkToFit="false"/>
      <protection locked="true" hidden="false"/>
    </xf>
    <xf numFmtId="164" fontId="34" fillId="0" borderId="70" xfId="0" applyFont="true" applyBorder="true" applyAlignment="true" applyProtection="false">
      <alignment horizontal="center" vertical="center" textRotation="0" wrapText="true" indent="0" shrinkToFit="false"/>
      <protection locked="true" hidden="false"/>
    </xf>
    <xf numFmtId="164" fontId="0" fillId="0" borderId="70" xfId="0" applyFont="true" applyBorder="true" applyAlignment="true" applyProtection="false">
      <alignment horizontal="center" vertical="center" textRotation="0" wrapText="true" indent="0" shrinkToFit="false"/>
      <protection locked="true" hidden="false"/>
    </xf>
    <xf numFmtId="164" fontId="0" fillId="0" borderId="16" xfId="0" applyFont="true" applyBorder="true" applyAlignment="true" applyProtection="false">
      <alignment horizontal="center" vertical="center" textRotation="0" wrapText="true" indent="0" shrinkToFit="false"/>
      <protection locked="true" hidden="false"/>
    </xf>
    <xf numFmtId="164" fontId="0" fillId="0" borderId="18" xfId="0" applyFont="true" applyBorder="true" applyAlignment="true" applyProtection="false">
      <alignment horizontal="center" vertical="center" textRotation="0" wrapText="true" indent="0" shrinkToFit="false"/>
      <protection locked="true" hidden="false"/>
    </xf>
    <xf numFmtId="164" fontId="0" fillId="0" borderId="24" xfId="0" applyFont="true" applyBorder="true" applyAlignment="true" applyProtection="false">
      <alignment horizontal="center" vertical="center" textRotation="0" wrapText="true" indent="0" shrinkToFit="false"/>
      <protection locked="true" hidden="false"/>
    </xf>
    <xf numFmtId="167" fontId="0" fillId="0" borderId="58" xfId="0" applyFont="true" applyBorder="true" applyAlignment="true" applyProtection="false">
      <alignment horizontal="center" vertical="center" textRotation="0" wrapText="false" indent="0" shrinkToFit="false"/>
      <protection locked="true" hidden="false"/>
    </xf>
    <xf numFmtId="167" fontId="0" fillId="0" borderId="9" xfId="0" applyFont="true" applyBorder="true" applyAlignment="true" applyProtection="false">
      <alignment horizontal="center" vertical="bottom" textRotation="0" wrapText="false" indent="0" shrinkToFit="false"/>
      <protection locked="true" hidden="false"/>
    </xf>
    <xf numFmtId="171" fontId="34" fillId="0" borderId="72" xfId="0" applyFont="true" applyBorder="true" applyAlignment="true" applyProtection="false">
      <alignment horizontal="center" vertical="bottom" textRotation="0" wrapText="false" indent="0" shrinkToFit="false"/>
      <protection locked="true" hidden="false"/>
    </xf>
    <xf numFmtId="167" fontId="0" fillId="0" borderId="26" xfId="0" applyFont="true" applyBorder="true" applyAlignment="true" applyProtection="false">
      <alignment horizontal="center" vertical="center" textRotation="0" wrapText="false" indent="0" shrinkToFit="false"/>
      <protection locked="true" hidden="false"/>
    </xf>
    <xf numFmtId="167" fontId="0" fillId="0" borderId="9" xfId="0" applyFont="true" applyBorder="true" applyAlignment="true" applyProtection="false">
      <alignment horizontal="center" vertical="center" textRotation="0" wrapText="false" indent="0" shrinkToFit="false"/>
      <protection locked="true" hidden="false"/>
    </xf>
    <xf numFmtId="171" fontId="34" fillId="0" borderId="72" xfId="0" applyFont="true" applyBorder="true" applyAlignment="true" applyProtection="false">
      <alignment horizontal="center" vertical="center" textRotation="0" wrapText="false" indent="0" shrinkToFit="false"/>
      <protection locked="true" hidden="false"/>
    </xf>
    <xf numFmtId="167" fontId="0" fillId="0" borderId="26" xfId="0" applyFont="false" applyBorder="true" applyAlignment="true" applyProtection="false">
      <alignment horizontal="center" vertical="center" textRotation="0" wrapText="false" indent="0" shrinkToFit="false"/>
      <protection locked="true" hidden="false"/>
    </xf>
    <xf numFmtId="171" fontId="0" fillId="0" borderId="58" xfId="0" applyFont="false" applyBorder="true" applyAlignment="true" applyProtection="false">
      <alignment horizontal="center" vertical="bottom" textRotation="0" wrapText="false" indent="0" shrinkToFit="false"/>
      <protection locked="true" hidden="false"/>
    </xf>
    <xf numFmtId="171" fontId="0" fillId="0" borderId="9" xfId="0" applyFont="false" applyBorder="true" applyAlignment="true" applyProtection="false">
      <alignment horizontal="center" vertical="bottom" textRotation="0" wrapText="false" indent="0" shrinkToFit="false"/>
      <protection locked="true" hidden="false"/>
    </xf>
    <xf numFmtId="171" fontId="34" fillId="0" borderId="33" xfId="0" applyFont="true" applyBorder="true" applyAlignment="true" applyProtection="false">
      <alignment horizontal="center"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74" fontId="0" fillId="0" borderId="58" xfId="0" applyFont="true" applyBorder="true" applyAlignment="true" applyProtection="false">
      <alignment horizontal="center" vertical="center" textRotation="0" wrapText="false" indent="0" shrinkToFit="false"/>
      <protection locked="true" hidden="false"/>
    </xf>
    <xf numFmtId="174" fontId="0" fillId="0" borderId="58" xfId="0" applyFont="true" applyBorder="true" applyAlignment="true" applyProtection="false">
      <alignment horizontal="center" vertical="center" textRotation="0" wrapText="false" indent="0" shrinkToFit="false"/>
      <protection locked="true" hidden="false"/>
    </xf>
    <xf numFmtId="174" fontId="34" fillId="0" borderId="72" xfId="0" applyFont="true" applyBorder="true" applyAlignment="true" applyProtection="false">
      <alignment horizontal="center" vertical="center" textRotation="0" wrapText="false" indent="0" shrinkToFit="false"/>
      <protection locked="true" hidden="false"/>
    </xf>
    <xf numFmtId="167" fontId="0" fillId="21" borderId="26" xfId="0" applyFont="true" applyBorder="true" applyAlignment="true" applyProtection="false">
      <alignment horizontal="center" vertical="center" textRotation="0" wrapText="false" indent="0" shrinkToFit="false"/>
      <protection locked="true" hidden="false"/>
    </xf>
    <xf numFmtId="167" fontId="0" fillId="0" borderId="73" xfId="0" applyFont="true" applyBorder="true" applyAlignment="true" applyProtection="false">
      <alignment horizontal="center" vertical="center" textRotation="0" wrapText="false" indent="0" shrinkToFit="false"/>
      <protection locked="true" hidden="false"/>
    </xf>
    <xf numFmtId="174" fontId="0" fillId="0" borderId="72" xfId="0" applyFont="true" applyBorder="true" applyAlignment="true" applyProtection="false">
      <alignment horizontal="center" vertical="center" textRotation="0" wrapText="false" indent="0" shrinkToFit="false"/>
      <protection locked="true" hidden="false"/>
    </xf>
    <xf numFmtId="167" fontId="0" fillId="0" borderId="26" xfId="0" applyFont="true" applyBorder="true" applyAlignment="true" applyProtection="false">
      <alignment horizontal="center" vertical="center" textRotation="0" wrapText="false" indent="0" shrinkToFit="false"/>
      <protection locked="true" hidden="false"/>
    </xf>
    <xf numFmtId="174" fontId="0" fillId="0" borderId="33" xfId="0" applyFont="true" applyBorder="true" applyAlignment="true" applyProtection="false">
      <alignment horizontal="center" vertical="center" textRotation="0" wrapText="false" indent="0" shrinkToFit="false"/>
      <protection locked="true" hidden="false"/>
    </xf>
    <xf numFmtId="171" fontId="34" fillId="0" borderId="72" xfId="0" applyFont="true" applyBorder="true" applyAlignment="true" applyProtection="false">
      <alignment horizontal="center" vertical="center" textRotation="0" wrapText="false" indent="0" shrinkToFit="false"/>
      <protection locked="true" hidden="false"/>
    </xf>
    <xf numFmtId="174" fontId="0" fillId="0" borderId="72" xfId="0" applyFont="true" applyBorder="true" applyAlignment="true" applyProtection="false">
      <alignment horizontal="center" vertical="center" textRotation="0" wrapText="false" indent="0" shrinkToFit="false"/>
      <protection locked="true" hidden="false"/>
    </xf>
    <xf numFmtId="171" fontId="0" fillId="0" borderId="58" xfId="0" applyFont="true" applyBorder="true" applyAlignment="true" applyProtection="false">
      <alignment horizontal="center" vertical="center" textRotation="0" wrapText="false" indent="0" shrinkToFit="false"/>
      <protection locked="true" hidden="false"/>
    </xf>
    <xf numFmtId="174" fontId="0" fillId="21" borderId="58" xfId="0" applyFont="true" applyBorder="true" applyAlignment="true" applyProtection="false">
      <alignment horizontal="center" vertical="center" textRotation="0" wrapText="false" indent="0" shrinkToFit="false"/>
      <protection locked="true" hidden="false"/>
    </xf>
    <xf numFmtId="174" fontId="34" fillId="0" borderId="72" xfId="0" applyFont="true" applyBorder="true" applyAlignment="true" applyProtection="false">
      <alignment horizontal="center" vertical="center" textRotation="0" wrapText="false" indent="0" shrinkToFit="false"/>
      <protection locked="true" hidden="false"/>
    </xf>
    <xf numFmtId="167" fontId="0" fillId="0" borderId="58" xfId="0" applyFont="true" applyBorder="true" applyAlignment="true" applyProtection="false">
      <alignment horizontal="center" vertical="bottom" textRotation="0" wrapText="false" indent="0" shrinkToFit="false"/>
      <protection locked="true" hidden="false"/>
    </xf>
    <xf numFmtId="167" fontId="0" fillId="0" borderId="9" xfId="0" applyFont="true" applyBorder="true" applyAlignment="true" applyProtection="false">
      <alignment horizontal="center" vertical="center" textRotation="0" wrapText="false" indent="0" shrinkToFit="false"/>
      <protection locked="true" hidden="false"/>
    </xf>
    <xf numFmtId="171" fontId="34" fillId="0" borderId="72" xfId="0" applyFont="true" applyBorder="true" applyAlignment="true" applyProtection="false">
      <alignment horizontal="center" vertical="bottom" textRotation="0" wrapText="false" indent="0" shrinkToFit="false"/>
      <protection locked="true" hidden="false"/>
    </xf>
    <xf numFmtId="167" fontId="0" fillId="0" borderId="9" xfId="0" applyFont="true" applyBorder="true" applyAlignment="true" applyProtection="false">
      <alignment horizontal="center" vertical="bottom" textRotation="0" wrapText="false" indent="0" shrinkToFit="false"/>
      <protection locked="true" hidden="false"/>
    </xf>
    <xf numFmtId="167" fontId="0" fillId="0" borderId="58" xfId="0" applyFont="false" applyBorder="true" applyAlignment="true" applyProtection="false">
      <alignment horizontal="center" vertical="center" textRotation="0" wrapText="false" indent="0" shrinkToFit="false"/>
      <protection locked="true" hidden="false"/>
    </xf>
    <xf numFmtId="167" fontId="0" fillId="0" borderId="26" xfId="0" applyFont="false" applyBorder="true" applyAlignment="true" applyProtection="false">
      <alignment horizontal="center" vertical="center" textRotation="0" wrapText="false" indent="0" shrinkToFit="false"/>
      <protection locked="true" hidden="false"/>
    </xf>
    <xf numFmtId="165" fontId="0" fillId="0" borderId="58" xfId="0" applyFont="true" applyBorder="true" applyAlignment="true" applyProtection="false">
      <alignment horizontal="center" vertical="center" textRotation="0" wrapText="false" indent="0" shrinkToFit="false"/>
      <protection locked="true" hidden="false"/>
    </xf>
    <xf numFmtId="165" fontId="0" fillId="0" borderId="58" xfId="0" applyFont="true" applyBorder="true" applyAlignment="true" applyProtection="false">
      <alignment horizontal="center" vertical="center" textRotation="0" wrapText="false" indent="0" shrinkToFit="false"/>
      <protection locked="true" hidden="false"/>
    </xf>
    <xf numFmtId="165" fontId="34" fillId="0" borderId="58" xfId="0" applyFont="true" applyBorder="true" applyAlignment="true" applyProtection="false">
      <alignment horizontal="center" vertical="center" textRotation="0" wrapText="false" indent="0" shrinkToFit="false"/>
      <protection locked="true" hidden="false"/>
    </xf>
    <xf numFmtId="165" fontId="34" fillId="0" borderId="26" xfId="0" applyFont="true" applyBorder="true" applyAlignment="true" applyProtection="false">
      <alignment horizontal="center" vertical="center" textRotation="0" wrapText="false" indent="0" shrinkToFit="false"/>
      <protection locked="true" hidden="false"/>
    </xf>
    <xf numFmtId="167" fontId="0" fillId="0" borderId="64" xfId="0" applyFont="true" applyBorder="true" applyAlignment="true" applyProtection="false">
      <alignment horizontal="center" vertical="center" textRotation="0" wrapText="false" indent="0" shrinkToFit="false"/>
      <protection locked="true" hidden="false"/>
    </xf>
    <xf numFmtId="167" fontId="0" fillId="0" borderId="64" xfId="0" applyFont="true" applyBorder="true" applyAlignment="true" applyProtection="false">
      <alignment horizontal="center" vertical="bottom" textRotation="0" wrapText="false" indent="0" shrinkToFit="false"/>
      <protection locked="true" hidden="false"/>
    </xf>
    <xf numFmtId="167" fontId="0" fillId="0" borderId="48" xfId="0" applyFont="true" applyBorder="true" applyAlignment="true" applyProtection="false">
      <alignment horizontal="center" vertical="bottom" textRotation="0" wrapText="false" indent="0" shrinkToFit="false"/>
      <protection locked="true" hidden="false"/>
    </xf>
    <xf numFmtId="171" fontId="34" fillId="0" borderId="74" xfId="0" applyFont="true" applyBorder="true" applyAlignment="true" applyProtection="false">
      <alignment horizontal="center" vertical="bottom" textRotation="0" wrapText="false" indent="0" shrinkToFit="false"/>
      <protection locked="true" hidden="false"/>
    </xf>
    <xf numFmtId="167" fontId="0" fillId="0" borderId="49" xfId="0" applyFont="true" applyBorder="true" applyAlignment="true" applyProtection="false">
      <alignment horizontal="center" vertical="center" textRotation="0" wrapText="false" indent="0" shrinkToFit="false"/>
      <protection locked="true" hidden="false"/>
    </xf>
    <xf numFmtId="167" fontId="0" fillId="0" borderId="48" xfId="0" applyFont="true" applyBorder="true" applyAlignment="true" applyProtection="false">
      <alignment horizontal="center" vertical="center" textRotation="0" wrapText="false" indent="0" shrinkToFit="false"/>
      <protection locked="true" hidden="false"/>
    </xf>
    <xf numFmtId="171" fontId="34" fillId="0" borderId="74" xfId="0" applyFont="true" applyBorder="true" applyAlignment="true" applyProtection="false">
      <alignment horizontal="center" vertical="center" textRotation="0" wrapText="false" indent="0" shrinkToFit="false"/>
      <protection locked="true" hidden="false"/>
    </xf>
    <xf numFmtId="167" fontId="0" fillId="0" borderId="49" xfId="0" applyFont="false" applyBorder="true" applyAlignment="true" applyProtection="false">
      <alignment horizontal="center" vertical="center" textRotation="0" wrapText="false" indent="0" shrinkToFit="false"/>
      <protection locked="true" hidden="false"/>
    </xf>
    <xf numFmtId="167" fontId="0" fillId="0" borderId="64" xfId="0" applyFont="false" applyBorder="true" applyAlignment="true" applyProtection="false">
      <alignment horizontal="center" vertical="center" textRotation="0" wrapText="false" indent="0" shrinkToFit="false"/>
      <protection locked="true" hidden="false"/>
    </xf>
    <xf numFmtId="171" fontId="0" fillId="0" borderId="64" xfId="0" applyFont="false" applyBorder="true" applyAlignment="true" applyProtection="false">
      <alignment horizontal="center" vertical="bottom" textRotation="0" wrapText="false" indent="0" shrinkToFit="false"/>
      <protection locked="true" hidden="false"/>
    </xf>
    <xf numFmtId="171" fontId="0" fillId="0" borderId="63" xfId="0" applyFont="false" applyBorder="true" applyAlignment="true" applyProtection="false">
      <alignment horizontal="center" vertical="bottom" textRotation="0" wrapText="false" indent="0" shrinkToFit="false"/>
      <protection locked="true" hidden="false"/>
    </xf>
    <xf numFmtId="171" fontId="34" fillId="0" borderId="53" xfId="0" applyFont="true" applyBorder="true" applyAlignment="true" applyProtection="false">
      <alignment horizontal="center" vertical="bottom" textRotation="0" wrapText="false" indent="0" shrinkToFit="false"/>
      <protection locked="true" hidden="false"/>
    </xf>
    <xf numFmtId="183" fontId="0" fillId="0" borderId="0" xfId="0" applyFont="false" applyBorder="true" applyAlignment="false" applyProtection="false">
      <alignment horizontal="general" vertical="bottom" textRotation="0" wrapText="false" indent="0" shrinkToFit="false"/>
      <protection locked="true" hidden="false"/>
    </xf>
    <xf numFmtId="183"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true" applyBorder="true" applyAlignment="true" applyProtection="false">
      <alignment horizontal="center" vertical="center" textRotation="0" wrapText="false" indent="0" shrinkToFit="false"/>
      <protection locked="true" hidden="false"/>
    </xf>
    <xf numFmtId="164" fontId="0" fillId="0" borderId="0" xfId="60" applyFont="true" applyBorder="false" applyAlignment="true" applyProtection="false">
      <alignment horizontal="center" vertical="bottom" textRotation="0" wrapText="false" indent="0" shrinkToFit="false"/>
      <protection locked="true" hidden="false"/>
    </xf>
    <xf numFmtId="164" fontId="32" fillId="0" borderId="75" xfId="0" applyFont="true" applyBorder="true" applyAlignment="true" applyProtection="false">
      <alignment horizontal="center" vertical="center" textRotation="0" wrapText="true" indent="0" shrinkToFit="false"/>
      <protection locked="true" hidden="false"/>
    </xf>
    <xf numFmtId="164" fontId="32" fillId="0" borderId="12" xfId="0" applyFont="true" applyBorder="true" applyAlignment="true" applyProtection="false">
      <alignment horizontal="general" vertical="center" textRotation="0" wrapText="true" indent="0" shrinkToFit="false"/>
      <protection locked="true" hidden="false"/>
    </xf>
    <xf numFmtId="164" fontId="32" fillId="0" borderId="0" xfId="0" applyFont="true" applyBorder="true" applyAlignment="true" applyProtection="false">
      <alignment horizontal="general" vertical="center" textRotation="0" wrapText="true" indent="0" shrinkToFit="false"/>
      <protection locked="true" hidden="false"/>
    </xf>
    <xf numFmtId="164" fontId="24" fillId="0" borderId="29" xfId="60" applyFont="true" applyBorder="true" applyAlignment="true" applyProtection="false">
      <alignment horizontal="center" vertical="bottom" textRotation="0" wrapText="false" indent="0" shrinkToFit="false"/>
      <protection locked="true" hidden="false"/>
    </xf>
    <xf numFmtId="164" fontId="24" fillId="0" borderId="23" xfId="60" applyFont="true" applyBorder="true" applyAlignment="true" applyProtection="false">
      <alignment horizontal="center" vertical="bottom" textRotation="0" wrapText="false" indent="0" shrinkToFit="false"/>
      <protection locked="true" hidden="false"/>
    </xf>
    <xf numFmtId="164" fontId="54" fillId="0" borderId="70" xfId="60" applyFont="true" applyBorder="true" applyAlignment="true" applyProtection="false">
      <alignment horizontal="center" vertical="center" textRotation="0" wrapText="true" indent="0" shrinkToFit="false"/>
      <protection locked="true" hidden="false"/>
    </xf>
    <xf numFmtId="164" fontId="54" fillId="0" borderId="24" xfId="60" applyFont="true" applyBorder="true" applyAlignment="true" applyProtection="false">
      <alignment horizontal="center" vertical="center" textRotation="0" wrapText="true" indent="0" shrinkToFit="false"/>
      <protection locked="true" hidden="false"/>
    </xf>
    <xf numFmtId="164" fontId="28" fillId="0" borderId="73" xfId="60" applyFont="true" applyBorder="true" applyAlignment="true" applyProtection="false">
      <alignment horizontal="center" vertical="center" textRotation="0" wrapText="true" indent="0" shrinkToFit="false"/>
      <protection locked="true" hidden="false"/>
    </xf>
    <xf numFmtId="164" fontId="28" fillId="0" borderId="76" xfId="60" applyFont="true" applyBorder="true" applyAlignment="true" applyProtection="false">
      <alignment horizontal="center" vertical="center" textRotation="0" wrapText="true" indent="0" shrinkToFit="false"/>
      <protection locked="true" hidden="false"/>
    </xf>
    <xf numFmtId="164" fontId="28" fillId="0" borderId="31" xfId="60" applyFont="true" applyBorder="true" applyAlignment="true" applyProtection="false">
      <alignment horizontal="center" vertical="center" textRotation="0" wrapText="true" indent="0" shrinkToFit="false"/>
      <protection locked="true" hidden="false"/>
    </xf>
    <xf numFmtId="164" fontId="24" fillId="0" borderId="56" xfId="60" applyFont="true" applyBorder="true" applyAlignment="true" applyProtection="false">
      <alignment horizontal="center" vertical="center" textRotation="0" wrapText="true" indent="0" shrinkToFit="false"/>
      <protection locked="true" hidden="false"/>
    </xf>
    <xf numFmtId="164" fontId="24" fillId="0" borderId="77" xfId="60" applyFont="true" applyBorder="true" applyAlignment="true" applyProtection="false">
      <alignment horizontal="center" vertical="center" textRotation="0" wrapText="true" indent="0" shrinkToFit="false"/>
      <protection locked="true" hidden="false"/>
    </xf>
    <xf numFmtId="164" fontId="24" fillId="0" borderId="78" xfId="60" applyFont="true" applyBorder="true" applyAlignment="true" applyProtection="false">
      <alignment horizontal="center" vertical="center" textRotation="0" wrapText="true" indent="0" shrinkToFit="false"/>
      <protection locked="true" hidden="false"/>
    </xf>
    <xf numFmtId="164" fontId="24" fillId="0" borderId="66" xfId="60" applyFont="true" applyBorder="true" applyAlignment="true" applyProtection="false">
      <alignment horizontal="center" vertical="center" textRotation="0" wrapText="true" indent="0" shrinkToFit="false"/>
      <protection locked="true" hidden="false"/>
    </xf>
    <xf numFmtId="164" fontId="24" fillId="0" borderId="67" xfId="60" applyFont="true" applyBorder="true" applyAlignment="true" applyProtection="false">
      <alignment horizontal="center" vertical="center" textRotation="0" wrapText="true" indent="0" shrinkToFit="false"/>
      <protection locked="true" hidden="false"/>
    </xf>
    <xf numFmtId="167" fontId="28" fillId="0" borderId="9" xfId="60" applyFont="true" applyBorder="true" applyAlignment="true" applyProtection="false">
      <alignment horizontal="center" vertical="bottom" textRotation="0" wrapText="false" indent="0" shrinkToFit="false"/>
      <protection locked="true" hidden="false"/>
    </xf>
    <xf numFmtId="167" fontId="28" fillId="0" borderId="0" xfId="60" applyFont="true" applyBorder="true" applyAlignment="true" applyProtection="false">
      <alignment horizontal="center" vertical="bottom" textRotation="0" wrapText="false" indent="0" shrinkToFit="false"/>
      <protection locked="true" hidden="false"/>
    </xf>
    <xf numFmtId="167" fontId="28" fillId="0" borderId="27" xfId="60" applyFont="true" applyBorder="true" applyAlignment="true" applyProtection="false">
      <alignment horizontal="center" vertical="bottom" textRotation="0" wrapText="false" indent="0" shrinkToFit="false"/>
      <protection locked="true" hidden="false"/>
    </xf>
    <xf numFmtId="167" fontId="28" fillId="0" borderId="13" xfId="60" applyFont="true" applyBorder="true" applyAlignment="true" applyProtection="false">
      <alignment horizontal="center" vertical="bottom" textRotation="0" wrapText="false" indent="0" shrinkToFit="false"/>
      <protection locked="true" hidden="false"/>
    </xf>
    <xf numFmtId="167" fontId="24" fillId="0" borderId="9" xfId="60" applyFont="true" applyBorder="true" applyAlignment="false" applyProtection="false">
      <alignment horizontal="general" vertical="bottom" textRotation="0" wrapText="false" indent="0" shrinkToFit="false"/>
      <protection locked="true" hidden="false"/>
    </xf>
    <xf numFmtId="167" fontId="24" fillId="0" borderId="0" xfId="60" applyFont="true" applyBorder="true" applyAlignment="false" applyProtection="false">
      <alignment horizontal="general" vertical="bottom" textRotation="0" wrapText="false" indent="0" shrinkToFit="false"/>
      <protection locked="true" hidden="false"/>
    </xf>
    <xf numFmtId="167" fontId="42" fillId="0" borderId="27" xfId="60" applyFont="true" applyBorder="true" applyAlignment="true" applyProtection="false">
      <alignment horizontal="center" vertical="bottom" textRotation="0" wrapText="false" indent="0" shrinkToFit="false"/>
      <protection locked="true" hidden="false"/>
    </xf>
    <xf numFmtId="167" fontId="42" fillId="0" borderId="0" xfId="60" applyFont="true" applyBorder="true" applyAlignment="true" applyProtection="false">
      <alignment horizontal="center" vertical="bottom" textRotation="0" wrapText="false" indent="0" shrinkToFit="false"/>
      <protection locked="true" hidden="false"/>
    </xf>
    <xf numFmtId="167" fontId="42" fillId="0" borderId="32" xfId="60" applyFont="true" applyBorder="true" applyAlignment="true" applyProtection="false">
      <alignment horizontal="center" vertical="bottom" textRotation="0" wrapText="false" indent="0" shrinkToFit="false"/>
      <protection locked="true" hidden="false"/>
    </xf>
    <xf numFmtId="167" fontId="42" fillId="0" borderId="13" xfId="60" applyFont="true" applyBorder="true" applyAlignment="true" applyProtection="false">
      <alignment horizontal="center" vertical="bottom" textRotation="0" wrapText="false" indent="0" shrinkToFit="false"/>
      <protection locked="true" hidden="false"/>
    </xf>
    <xf numFmtId="167" fontId="24" fillId="0" borderId="9" xfId="60" applyFont="true" applyBorder="true" applyAlignment="true" applyProtection="false">
      <alignment horizontal="center" vertical="center" textRotation="0" wrapText="true" indent="0" shrinkToFit="false"/>
      <protection locked="true" hidden="false"/>
    </xf>
    <xf numFmtId="167" fontId="24" fillId="0" borderId="0" xfId="60" applyFont="true" applyBorder="true" applyAlignment="true" applyProtection="false">
      <alignment horizontal="center" vertical="center" textRotation="0" wrapText="true" indent="0" shrinkToFit="false"/>
      <protection locked="true" hidden="false"/>
    </xf>
    <xf numFmtId="164" fontId="24" fillId="0" borderId="13" xfId="60" applyFont="true" applyBorder="true" applyAlignment="true" applyProtection="false">
      <alignment horizontal="center" vertical="center" textRotation="0" wrapText="true" indent="0" shrinkToFit="false"/>
      <protection locked="true" hidden="false"/>
    </xf>
    <xf numFmtId="165" fontId="24" fillId="0" borderId="27" xfId="60" applyFont="true" applyBorder="true" applyAlignment="false" applyProtection="false">
      <alignment horizontal="general" vertical="bottom" textRotation="0" wrapText="false" indent="0" shrinkToFit="false"/>
      <protection locked="true" hidden="false"/>
    </xf>
    <xf numFmtId="165" fontId="24" fillId="0" borderId="13" xfId="60" applyFont="true" applyBorder="true" applyAlignment="false" applyProtection="false">
      <alignment horizontal="general" vertical="bottom" textRotation="0" wrapText="false" indent="0" shrinkToFit="false"/>
      <protection locked="true" hidden="false"/>
    </xf>
    <xf numFmtId="177" fontId="0" fillId="0" borderId="0" xfId="60" applyFont="false" applyBorder="false" applyAlignment="false" applyProtection="false">
      <alignment horizontal="general" vertical="bottom" textRotation="0" wrapText="false" indent="0" shrinkToFit="false"/>
      <protection locked="true" hidden="false"/>
    </xf>
    <xf numFmtId="167" fontId="49" fillId="0" borderId="9" xfId="60" applyFont="true" applyBorder="true" applyAlignment="true" applyProtection="false">
      <alignment horizontal="center" vertical="bottom" textRotation="0" wrapText="false" indent="0" shrinkToFit="false"/>
      <protection locked="true" hidden="false"/>
    </xf>
    <xf numFmtId="167" fontId="49" fillId="0" borderId="0" xfId="60" applyFont="true" applyBorder="true" applyAlignment="true" applyProtection="false">
      <alignment horizontal="center" vertical="bottom" textRotation="0" wrapText="false" indent="0" shrinkToFit="false"/>
      <protection locked="true" hidden="false"/>
    </xf>
    <xf numFmtId="171" fontId="24" fillId="0" borderId="27" xfId="60" applyFont="true" applyBorder="true" applyAlignment="false" applyProtection="false">
      <alignment horizontal="general" vertical="bottom" textRotation="0" wrapText="false" indent="0" shrinkToFit="false"/>
      <protection locked="true" hidden="false"/>
    </xf>
    <xf numFmtId="164" fontId="24" fillId="0" borderId="27" xfId="60" applyFont="true" applyBorder="true" applyAlignment="false" applyProtection="false">
      <alignment horizontal="general" vertical="bottom" textRotation="0" wrapText="false" indent="0" shrinkToFit="false"/>
      <protection locked="true" hidden="false"/>
    </xf>
    <xf numFmtId="167" fontId="49" fillId="0" borderId="13" xfId="60" applyFont="true" applyBorder="true" applyAlignment="true" applyProtection="false">
      <alignment horizontal="center" vertical="bottom" textRotation="0" wrapText="false" indent="0" shrinkToFit="false"/>
      <protection locked="true" hidden="false"/>
    </xf>
    <xf numFmtId="167" fontId="24" fillId="0" borderId="9" xfId="60" applyFont="true" applyBorder="true" applyAlignment="true" applyProtection="false">
      <alignment horizontal="center" vertical="bottom" textRotation="0" wrapText="false" indent="0" shrinkToFit="false"/>
      <protection locked="true" hidden="false"/>
    </xf>
    <xf numFmtId="167" fontId="24" fillId="0" borderId="0" xfId="60" applyFont="true" applyBorder="true" applyAlignment="true" applyProtection="false">
      <alignment horizontal="center" vertical="bottom" textRotation="0" wrapText="false" indent="0" shrinkToFit="false"/>
      <protection locked="true" hidden="false"/>
    </xf>
    <xf numFmtId="167" fontId="24" fillId="0" borderId="27" xfId="60" applyFont="true" applyBorder="true" applyAlignment="true" applyProtection="false">
      <alignment horizontal="center" vertical="bottom" textRotation="0" wrapText="false" indent="0" shrinkToFit="false"/>
      <protection locked="true" hidden="false"/>
    </xf>
    <xf numFmtId="167" fontId="24" fillId="0" borderId="13" xfId="60" applyFont="true" applyBorder="true" applyAlignment="true" applyProtection="false">
      <alignment horizontal="center" vertical="bottom" textRotation="0" wrapText="false" indent="0" shrinkToFit="false"/>
      <protection locked="true" hidden="false"/>
    </xf>
    <xf numFmtId="164" fontId="0" fillId="0" borderId="47" xfId="60" applyFont="false" applyBorder="true" applyAlignment="false" applyProtection="false">
      <alignment horizontal="general" vertical="bottom" textRotation="0" wrapText="false" indent="0" shrinkToFit="false"/>
      <protection locked="true" hidden="false"/>
    </xf>
    <xf numFmtId="165" fontId="0" fillId="0" borderId="50" xfId="60" applyFont="false" applyBorder="true" applyAlignment="false" applyProtection="false">
      <alignment horizontal="general" vertical="bottom" textRotation="0" wrapText="false" indent="0" shrinkToFit="false"/>
      <protection locked="true" hidden="false"/>
    </xf>
    <xf numFmtId="167" fontId="42" fillId="0" borderId="51" xfId="60" applyFont="true" applyBorder="true" applyAlignment="true" applyProtection="false">
      <alignment horizontal="center" vertical="bottom" textRotation="0" wrapText="false" indent="0" shrinkToFit="false"/>
      <protection locked="true" hidden="false"/>
    </xf>
    <xf numFmtId="167" fontId="42" fillId="0" borderId="50" xfId="60" applyFont="true" applyBorder="true" applyAlignment="true" applyProtection="false">
      <alignment horizontal="center" vertical="bottom" textRotation="0" wrapText="false" indent="0" shrinkToFit="false"/>
      <protection locked="true" hidden="false"/>
    </xf>
    <xf numFmtId="167" fontId="42" fillId="0" borderId="52" xfId="60" applyFont="true" applyBorder="true" applyAlignment="true" applyProtection="false">
      <alignment horizontal="center" vertical="bottom" textRotation="0" wrapText="false" indent="0" shrinkToFit="false"/>
      <protection locked="true" hidden="false"/>
    </xf>
    <xf numFmtId="167" fontId="42" fillId="0" borderId="65" xfId="60" applyFont="true" applyBorder="true" applyAlignment="true" applyProtection="false">
      <alignment horizontal="center" vertical="bottom" textRotation="0" wrapText="false" indent="0" shrinkToFit="false"/>
      <protection locked="true" hidden="false"/>
    </xf>
    <xf numFmtId="164" fontId="0" fillId="0" borderId="0" xfId="60" applyFont="false" applyBorder="false" applyAlignment="false" applyProtection="false">
      <alignment horizontal="general" vertical="bottom" textRotation="0" wrapText="false" indent="0" shrinkToFit="false"/>
      <protection locked="true" hidden="false"/>
    </xf>
    <xf numFmtId="164" fontId="34" fillId="0" borderId="0" xfId="60" applyFont="true" applyBorder="false" applyAlignment="false" applyProtection="false">
      <alignment horizontal="general" vertical="bottom" textRotation="0" wrapText="false" indent="0" shrinkToFit="false"/>
      <protection locked="true" hidden="false"/>
    </xf>
    <xf numFmtId="164" fontId="0" fillId="0" borderId="0" xfId="60" applyFont="true" applyBorder="true" applyAlignment="true" applyProtection="false">
      <alignment horizontal="center" vertical="bottom" textRotation="0" wrapText="false" indent="0" shrinkToFit="false"/>
      <protection locked="true" hidden="false"/>
    </xf>
    <xf numFmtId="164" fontId="24" fillId="0" borderId="18" xfId="60" applyFont="true" applyBorder="true" applyAlignment="true" applyProtection="false">
      <alignment horizontal="center" vertical="bottom" textRotation="0" wrapText="false" indent="0" shrinkToFit="false"/>
      <protection locked="true" hidden="false"/>
    </xf>
    <xf numFmtId="164" fontId="24" fillId="0" borderId="19" xfId="60" applyFont="true" applyBorder="true" applyAlignment="true" applyProtection="false">
      <alignment horizontal="center" vertical="bottom" textRotation="0" wrapText="false" indent="0" shrinkToFit="false"/>
      <protection locked="true" hidden="false"/>
    </xf>
    <xf numFmtId="164" fontId="24" fillId="0" borderId="68" xfId="60" applyFont="true" applyBorder="true" applyAlignment="true" applyProtection="false">
      <alignment horizontal="general" vertical="bottom" textRotation="0" wrapText="true" indent="0" shrinkToFit="false"/>
      <protection locked="true" hidden="false"/>
    </xf>
    <xf numFmtId="164" fontId="47" fillId="0" borderId="29" xfId="60" applyFont="true" applyBorder="true" applyAlignment="true" applyProtection="false">
      <alignment horizontal="center" vertical="center" textRotation="0" wrapText="true" indent="0" shrinkToFit="false"/>
      <protection locked="true" hidden="false"/>
    </xf>
    <xf numFmtId="164" fontId="50" fillId="0" borderId="21" xfId="60" applyFont="true" applyBorder="true" applyAlignment="true" applyProtection="false">
      <alignment horizontal="center" vertical="center" textRotation="0" wrapText="true" indent="0" shrinkToFit="false"/>
      <protection locked="true" hidden="false"/>
    </xf>
    <xf numFmtId="164" fontId="47" fillId="0" borderId="79" xfId="60" applyFont="true" applyBorder="true" applyAlignment="true" applyProtection="false">
      <alignment horizontal="center" vertical="center" textRotation="0" wrapText="true" indent="0" shrinkToFit="false"/>
      <protection locked="true" hidden="false"/>
    </xf>
    <xf numFmtId="164" fontId="47" fillId="0" borderId="21" xfId="60" applyFont="true" applyBorder="true" applyAlignment="true" applyProtection="false">
      <alignment horizontal="center" vertical="center" textRotation="0" wrapText="true" indent="0" shrinkToFit="false"/>
      <protection locked="true" hidden="false"/>
    </xf>
    <xf numFmtId="164" fontId="47" fillId="0" borderId="55" xfId="60" applyFont="true" applyBorder="true" applyAlignment="true" applyProtection="false">
      <alignment horizontal="center" vertical="center" textRotation="0" wrapText="true" indent="0" shrinkToFit="false"/>
      <protection locked="true" hidden="false"/>
    </xf>
    <xf numFmtId="164" fontId="0" fillId="0" borderId="0" xfId="60" applyFont="true" applyBorder="false" applyAlignment="true" applyProtection="false">
      <alignment horizontal="general" vertical="bottom" textRotation="0" wrapText="true" indent="0" shrinkToFit="false"/>
      <protection locked="true" hidden="false"/>
    </xf>
    <xf numFmtId="164" fontId="24" fillId="0" borderId="80" xfId="60" applyFont="true" applyBorder="true" applyAlignment="true" applyProtection="false">
      <alignment horizontal="center" vertical="center" textRotation="0" wrapText="true" indent="0" shrinkToFit="false"/>
      <protection locked="true" hidden="false"/>
    </xf>
    <xf numFmtId="171" fontId="28" fillId="0" borderId="9" xfId="0" applyFont="true" applyBorder="true" applyAlignment="true" applyProtection="false">
      <alignment horizontal="center" vertical="bottom" textRotation="0" wrapText="false" indent="0" shrinkToFit="false"/>
      <protection locked="true" hidden="false"/>
    </xf>
    <xf numFmtId="171" fontId="28" fillId="0" borderId="0" xfId="0" applyFont="true" applyBorder="true" applyAlignment="true" applyProtection="false">
      <alignment horizontal="center" vertical="bottom" textRotation="0" wrapText="false" indent="0" shrinkToFit="false"/>
      <protection locked="true" hidden="false"/>
    </xf>
    <xf numFmtId="171" fontId="28" fillId="0" borderId="27" xfId="60" applyFont="true" applyBorder="true" applyAlignment="true" applyProtection="false">
      <alignment horizontal="center" vertical="bottom" textRotation="0" wrapText="false" indent="0" shrinkToFit="false"/>
      <protection locked="true" hidden="false"/>
    </xf>
    <xf numFmtId="171" fontId="28" fillId="0" borderId="81" xfId="0" applyFont="true" applyBorder="true" applyAlignment="true" applyProtection="false">
      <alignment horizontal="center" vertical="bottom" textRotation="0" wrapText="false" indent="0" shrinkToFit="false"/>
      <protection locked="true" hidden="false"/>
    </xf>
    <xf numFmtId="171" fontId="28" fillId="0" borderId="13" xfId="60" applyFont="true" applyBorder="true" applyAlignment="true" applyProtection="false">
      <alignment horizontal="center" vertical="bottom" textRotation="0" wrapText="false" indent="0" shrinkToFit="false"/>
      <protection locked="true" hidden="false"/>
    </xf>
    <xf numFmtId="182" fontId="0" fillId="0" borderId="0" xfId="19" applyFont="true" applyBorder="true" applyAlignment="true" applyProtection="true">
      <alignment horizontal="general" vertical="bottom" textRotation="0" wrapText="false" indent="0" shrinkToFit="false"/>
      <protection locked="true" hidden="false"/>
    </xf>
    <xf numFmtId="179" fontId="0" fillId="0" borderId="0" xfId="60" applyFont="false" applyBorder="false" applyAlignment="false" applyProtection="false">
      <alignment horizontal="general" vertical="bottom" textRotation="0" wrapText="false" indent="0" shrinkToFit="false"/>
      <protection locked="true" hidden="false"/>
    </xf>
    <xf numFmtId="167" fontId="49" fillId="0" borderId="81" xfId="60" applyFont="true" applyBorder="true" applyAlignment="true" applyProtection="false">
      <alignment horizontal="center" vertical="bottom" textRotation="0" wrapText="false" indent="0" shrinkToFit="false"/>
      <protection locked="true" hidden="false"/>
    </xf>
    <xf numFmtId="164" fontId="24" fillId="0" borderId="81" xfId="60" applyFont="true" applyBorder="true" applyAlignment="true" applyProtection="false">
      <alignment horizontal="center" vertical="center" textRotation="0" wrapText="true" indent="0" shrinkToFit="false"/>
      <protection locked="true" hidden="false"/>
    </xf>
    <xf numFmtId="165" fontId="24" fillId="0" borderId="81" xfId="60" applyFont="true" applyBorder="true" applyAlignment="false" applyProtection="false">
      <alignment horizontal="general" vertical="bottom" textRotation="0" wrapText="false" indent="0" shrinkToFit="false"/>
      <protection locked="true" hidden="false"/>
    </xf>
    <xf numFmtId="171" fontId="28" fillId="0" borderId="81" xfId="60" applyFont="true" applyBorder="true" applyAlignment="true" applyProtection="false">
      <alignment horizontal="center" vertical="bottom" textRotation="0" wrapText="false" indent="0" shrinkToFit="false"/>
      <protection locked="true" hidden="false"/>
    </xf>
    <xf numFmtId="171" fontId="37" fillId="0" borderId="27" xfId="19" applyFont="true" applyBorder="true" applyAlignment="true" applyProtection="true">
      <alignment horizontal="center" vertical="bottom" textRotation="0" wrapText="false" indent="0" shrinkToFit="false"/>
      <protection locked="true" hidden="false"/>
    </xf>
    <xf numFmtId="171" fontId="37" fillId="0" borderId="0" xfId="19" applyFont="true" applyBorder="true" applyAlignment="true" applyProtection="true">
      <alignment horizontal="center" vertical="bottom" textRotation="0" wrapText="false" indent="0" shrinkToFit="false"/>
      <protection locked="true" hidden="false"/>
    </xf>
    <xf numFmtId="171" fontId="24" fillId="0" borderId="27" xfId="60" applyFont="true" applyBorder="true" applyAlignment="true" applyProtection="false">
      <alignment horizontal="center" vertical="bottom" textRotation="0" wrapText="false" indent="0" shrinkToFit="false"/>
      <protection locked="true" hidden="false"/>
    </xf>
    <xf numFmtId="171" fontId="24" fillId="0" borderId="81" xfId="60" applyFont="true" applyBorder="true" applyAlignment="true" applyProtection="false">
      <alignment horizontal="center" vertical="bottom" textRotation="0" wrapText="false" indent="0" shrinkToFit="false"/>
      <protection locked="true" hidden="false"/>
    </xf>
    <xf numFmtId="171" fontId="24" fillId="0" borderId="13" xfId="60" applyFont="true" applyBorder="true" applyAlignment="true" applyProtection="false">
      <alignment horizontal="center" vertical="bottom" textRotation="0" wrapText="false" indent="0" shrinkToFit="false"/>
      <protection locked="true" hidden="false"/>
    </xf>
    <xf numFmtId="164" fontId="0" fillId="0" borderId="81" xfId="60" applyFont="false" applyBorder="true" applyAlignment="false" applyProtection="false">
      <alignment horizontal="general" vertical="bottom" textRotation="0" wrapText="false" indent="0" shrinkToFit="false"/>
      <protection locked="true" hidden="false"/>
    </xf>
    <xf numFmtId="164" fontId="0" fillId="0" borderId="32" xfId="60" applyFont="false" applyBorder="true" applyAlignment="false" applyProtection="false">
      <alignment horizontal="general" vertical="bottom" textRotation="0" wrapText="false" indent="0" shrinkToFit="false"/>
      <protection locked="true" hidden="false"/>
    </xf>
    <xf numFmtId="165" fontId="0" fillId="0" borderId="51" xfId="60" applyFont="false" applyBorder="true" applyAlignment="false" applyProtection="false">
      <alignment horizontal="general" vertical="bottom" textRotation="0" wrapText="false" indent="0" shrinkToFit="false"/>
      <protection locked="true" hidden="false"/>
    </xf>
    <xf numFmtId="167" fontId="49" fillId="0" borderId="82" xfId="60" applyFont="true" applyBorder="true" applyAlignment="true" applyProtection="false">
      <alignment horizontal="center" vertical="bottom" textRotation="0" wrapText="false" indent="0" shrinkToFit="false"/>
      <protection locked="true" hidden="false"/>
    </xf>
    <xf numFmtId="167" fontId="49" fillId="0" borderId="50" xfId="60" applyFont="true" applyBorder="true" applyAlignment="true" applyProtection="false">
      <alignment horizontal="center" vertical="bottom" textRotation="0" wrapText="false" indent="0" shrinkToFit="false"/>
      <protection locked="true" hidden="false"/>
    </xf>
    <xf numFmtId="164" fontId="24" fillId="0" borderId="51" xfId="60" applyFont="true" applyBorder="true" applyAlignment="false" applyProtection="false">
      <alignment horizontal="general" vertical="bottom" textRotation="0" wrapText="false" indent="0" shrinkToFit="false"/>
      <protection locked="true" hidden="false"/>
    </xf>
    <xf numFmtId="167" fontId="49" fillId="0" borderId="65" xfId="60" applyFont="true" applyBorder="true" applyAlignment="true" applyProtection="false">
      <alignment horizontal="center" vertical="bottom" textRotation="0" wrapText="false" indent="0" shrinkToFit="false"/>
      <protection locked="true" hidden="false"/>
    </xf>
    <xf numFmtId="165" fontId="0" fillId="0" borderId="0" xfId="60" applyFont="false" applyBorder="false" applyAlignment="false" applyProtection="false">
      <alignment horizontal="general" vertical="bottom" textRotation="0" wrapText="false" indent="0" shrinkToFit="false"/>
      <protection locked="true" hidden="false"/>
    </xf>
    <xf numFmtId="165" fontId="0" fillId="0" borderId="0" xfId="60" applyFont="true" applyBorder="false" applyAlignment="false" applyProtection="false">
      <alignment horizontal="general" vertical="bottom" textRotation="0" wrapText="false" indent="0" shrinkToFit="false"/>
      <protection locked="true" hidden="false"/>
    </xf>
    <xf numFmtId="164" fontId="0" fillId="0" borderId="0" xfId="60" applyFont="false" applyBorder="false" applyAlignment="true" applyProtection="false">
      <alignment horizontal="center" vertical="bottom" textRotation="0" wrapText="false" indent="0" shrinkToFit="false"/>
      <protection locked="true" hidden="false"/>
    </xf>
    <xf numFmtId="164" fontId="34" fillId="0" borderId="0" xfId="60" applyFont="true" applyBorder="false" applyAlignment="true" applyProtection="false">
      <alignment horizontal="center" vertical="bottom" textRotation="0" wrapText="false" indent="0" shrinkToFit="false"/>
      <protection locked="true" hidden="false"/>
    </xf>
    <xf numFmtId="164" fontId="28" fillId="0" borderId="12" xfId="60" applyFont="true" applyBorder="true" applyAlignment="true" applyProtection="false">
      <alignment horizontal="general" vertical="center" textRotation="0" wrapText="true" indent="0" shrinkToFit="false"/>
      <protection locked="true" hidden="false"/>
    </xf>
    <xf numFmtId="164" fontId="28" fillId="0" borderId="0" xfId="60" applyFont="true" applyBorder="true" applyAlignment="true" applyProtection="false">
      <alignment horizontal="general" vertical="center" textRotation="0" wrapText="true" indent="0" shrinkToFit="false"/>
      <protection locked="true" hidden="false"/>
    </xf>
    <xf numFmtId="164" fontId="0" fillId="0" borderId="0" xfId="60" applyFont="false" applyBorder="true" applyAlignment="true" applyProtection="false">
      <alignment horizontal="center" vertical="bottom" textRotation="0" wrapText="false" indent="0" shrinkToFit="false"/>
      <protection locked="true" hidden="false"/>
    </xf>
    <xf numFmtId="164" fontId="0" fillId="0" borderId="0" xfId="60" applyFont="true" applyBorder="false" applyAlignment="true" applyProtection="false">
      <alignment horizontal="center" vertical="bottom" textRotation="0" wrapText="false" indent="0" shrinkToFit="false"/>
      <protection locked="true" hidden="false"/>
    </xf>
    <xf numFmtId="164" fontId="47" fillId="0" borderId="30" xfId="60" applyFont="true" applyBorder="true" applyAlignment="true" applyProtection="false">
      <alignment horizontal="center" vertical="center" textRotation="0" wrapText="true" indent="0" shrinkToFit="false"/>
      <protection locked="true" hidden="false"/>
    </xf>
    <xf numFmtId="164" fontId="24" fillId="0" borderId="83" xfId="60" applyFont="true" applyBorder="true" applyAlignment="true" applyProtection="false">
      <alignment horizontal="center" vertical="center" textRotation="0" wrapText="true" indent="0" shrinkToFit="false"/>
      <protection locked="true" hidden="false"/>
    </xf>
    <xf numFmtId="164" fontId="24" fillId="0" borderId="84" xfId="60" applyFont="true" applyBorder="true" applyAlignment="true" applyProtection="false">
      <alignment horizontal="general" vertical="bottom" textRotation="0" wrapText="true" indent="0" shrinkToFit="false"/>
      <protection locked="true" hidden="false"/>
    </xf>
    <xf numFmtId="164" fontId="47" fillId="0" borderId="0" xfId="60" applyFont="true" applyBorder="true" applyAlignment="true" applyProtection="false">
      <alignment horizontal="center" vertical="center" textRotation="0" wrapText="true" indent="0" shrinkToFit="false"/>
      <protection locked="true" hidden="false"/>
    </xf>
    <xf numFmtId="164" fontId="42" fillId="0" borderId="22" xfId="60" applyFont="true" applyBorder="true" applyAlignment="true" applyProtection="false">
      <alignment horizontal="center" vertical="center" textRotation="0" wrapText="true" indent="0" shrinkToFit="false"/>
      <protection locked="true" hidden="false"/>
    </xf>
    <xf numFmtId="164" fontId="47" fillId="0" borderId="79" xfId="61" applyFont="true" applyBorder="true" applyAlignment="true" applyProtection="false">
      <alignment horizontal="center" vertical="center" textRotation="0" wrapText="true" indent="0" shrinkToFit="false"/>
      <protection locked="true" hidden="false"/>
    </xf>
    <xf numFmtId="164" fontId="0" fillId="0" borderId="77" xfId="60" applyFont="false" applyBorder="true" applyAlignment="true" applyProtection="false">
      <alignment horizontal="center" vertical="bottom" textRotation="0" wrapText="false" indent="0" shrinkToFit="false"/>
      <protection locked="true" hidden="false"/>
    </xf>
    <xf numFmtId="167" fontId="28" fillId="0" borderId="32" xfId="60" applyFont="true" applyBorder="true" applyAlignment="true" applyProtection="false">
      <alignment horizontal="center" vertical="bottom" textRotation="0" wrapText="false" indent="0" shrinkToFit="false"/>
      <protection locked="true" hidden="false"/>
    </xf>
    <xf numFmtId="167" fontId="48" fillId="0" borderId="0" xfId="19" applyFont="true" applyBorder="true" applyAlignment="true" applyProtection="true">
      <alignment horizontal="center" vertical="bottom" textRotation="0" wrapText="false" indent="0" shrinkToFit="false"/>
      <protection locked="true" hidden="false"/>
    </xf>
    <xf numFmtId="167" fontId="48" fillId="0" borderId="32" xfId="60" applyFont="true" applyBorder="true" applyAlignment="true" applyProtection="false">
      <alignment horizontal="center" vertical="bottom" textRotation="0" wrapText="false" indent="0" shrinkToFit="false"/>
      <protection locked="true" hidden="false"/>
    </xf>
    <xf numFmtId="171" fontId="28" fillId="0" borderId="13" xfId="0" applyFont="true" applyBorder="true" applyAlignment="true" applyProtection="false">
      <alignment horizontal="center" vertical="bottom" textRotation="0" wrapText="false" indent="0" shrinkToFit="false"/>
      <protection locked="true" hidden="false"/>
    </xf>
    <xf numFmtId="167" fontId="24" fillId="0" borderId="32" xfId="60" applyFont="true" applyBorder="true" applyAlignment="false" applyProtection="false">
      <alignment horizontal="general" vertical="bottom" textRotation="0" wrapText="false" indent="0" shrinkToFit="false"/>
      <protection locked="true" hidden="false"/>
    </xf>
    <xf numFmtId="167" fontId="42" fillId="0" borderId="0" xfId="19" applyFont="true" applyBorder="true" applyAlignment="true" applyProtection="true">
      <alignment horizontal="center" vertical="bottom" textRotation="0" wrapText="false" indent="0" shrinkToFit="false"/>
      <protection locked="true" hidden="false"/>
    </xf>
    <xf numFmtId="167" fontId="37" fillId="0" borderId="32" xfId="19" applyFont="true" applyBorder="true" applyAlignment="true" applyProtection="true">
      <alignment horizontal="center" vertical="bottom" textRotation="0" wrapText="false" indent="0" shrinkToFit="false"/>
      <protection locked="true" hidden="false"/>
    </xf>
    <xf numFmtId="167" fontId="24" fillId="0" borderId="32" xfId="60" applyFont="true" applyBorder="true" applyAlignment="true" applyProtection="false">
      <alignment horizontal="center" vertical="center" textRotation="0" wrapText="true" indent="0" shrinkToFit="false"/>
      <protection locked="true" hidden="false"/>
    </xf>
    <xf numFmtId="165" fontId="49" fillId="0" borderId="0" xfId="60" applyFont="true" applyBorder="true" applyAlignment="true" applyProtection="false">
      <alignment horizontal="center" vertical="bottom" textRotation="0" wrapText="false" indent="0" shrinkToFit="false"/>
      <protection locked="true" hidden="false"/>
    </xf>
    <xf numFmtId="165" fontId="24" fillId="0" borderId="0" xfId="60" applyFont="true" applyBorder="true" applyAlignment="true" applyProtection="false">
      <alignment horizontal="center" vertical="bottom" textRotation="0" wrapText="false" indent="0" shrinkToFit="false"/>
      <protection locked="true" hidden="false"/>
    </xf>
    <xf numFmtId="164" fontId="37" fillId="0" borderId="32" xfId="60" applyFont="true" applyBorder="true" applyAlignment="true" applyProtection="false">
      <alignment horizontal="center" vertical="bottom" textRotation="0" wrapText="false" indent="0" shrinkToFit="false"/>
      <protection locked="true" hidden="false"/>
    </xf>
    <xf numFmtId="167" fontId="24" fillId="0" borderId="32" xfId="60" applyFont="true" applyBorder="true" applyAlignment="true" applyProtection="false">
      <alignment horizontal="center" vertical="bottom" textRotation="0" wrapText="false" indent="0" shrinkToFit="false"/>
      <protection locked="true" hidden="false"/>
    </xf>
    <xf numFmtId="167" fontId="49" fillId="0" borderId="0" xfId="19" applyFont="true" applyBorder="true" applyAlignment="true" applyProtection="true">
      <alignment horizontal="center" vertical="bottom" textRotation="0" wrapText="false" indent="0" shrinkToFit="false"/>
      <protection locked="true" hidden="false"/>
    </xf>
    <xf numFmtId="167" fontId="49" fillId="0" borderId="32" xfId="60" applyFont="true" applyBorder="true" applyAlignment="true" applyProtection="false">
      <alignment horizontal="center" vertical="bottom" textRotation="0" wrapText="false" indent="0" shrinkToFit="false"/>
      <protection locked="true" hidden="false"/>
    </xf>
    <xf numFmtId="171" fontId="24" fillId="0" borderId="13" xfId="0" applyFont="true" applyBorder="true" applyAlignment="true" applyProtection="false">
      <alignment horizontal="center" vertical="bottom" textRotation="0" wrapText="false" indent="0" shrinkToFit="false"/>
      <protection locked="true" hidden="false"/>
    </xf>
    <xf numFmtId="167" fontId="24" fillId="0" borderId="81" xfId="19" applyFont="true" applyBorder="true" applyAlignment="true" applyProtection="true">
      <alignment horizontal="center" vertical="bottom" textRotation="0" wrapText="false" indent="0" shrinkToFit="false"/>
      <protection locked="true" hidden="false"/>
    </xf>
    <xf numFmtId="167" fontId="24" fillId="0" borderId="0" xfId="19" applyFont="true" applyBorder="true" applyAlignment="true" applyProtection="true">
      <alignment horizontal="center" vertical="bottom" textRotation="0" wrapText="false" indent="0" shrinkToFit="false"/>
      <protection locked="true" hidden="false"/>
    </xf>
    <xf numFmtId="167" fontId="24" fillId="0" borderId="13" xfId="19" applyFont="true" applyBorder="true" applyAlignment="true" applyProtection="true">
      <alignment horizontal="center" vertical="bottom" textRotation="0" wrapText="false" indent="0" shrinkToFit="false"/>
      <protection locked="true" hidden="false"/>
    </xf>
    <xf numFmtId="165" fontId="0" fillId="0" borderId="48" xfId="60" applyFont="true" applyBorder="true" applyAlignment="false" applyProtection="false">
      <alignment horizontal="general" vertical="bottom" textRotation="0" wrapText="false" indent="0" shrinkToFit="false"/>
      <protection locked="true" hidden="false"/>
    </xf>
    <xf numFmtId="165" fontId="0" fillId="0" borderId="50" xfId="60" applyFont="true" applyBorder="true" applyAlignment="false" applyProtection="false">
      <alignment horizontal="general" vertical="bottom" textRotation="0" wrapText="false" indent="0" shrinkToFit="false"/>
      <protection locked="true" hidden="false"/>
    </xf>
    <xf numFmtId="167" fontId="0" fillId="0" borderId="48" xfId="60" applyFont="true" applyBorder="true" applyAlignment="false" applyProtection="false">
      <alignment horizontal="general" vertical="bottom" textRotation="0" wrapText="false" indent="0" shrinkToFit="false"/>
      <protection locked="true" hidden="false"/>
    </xf>
    <xf numFmtId="167" fontId="0" fillId="0" borderId="52" xfId="60" applyFont="true" applyBorder="true" applyAlignment="false" applyProtection="false">
      <alignment horizontal="general" vertical="bottom" textRotation="0" wrapText="false" indent="0" shrinkToFit="false"/>
      <protection locked="true" hidden="false"/>
    </xf>
    <xf numFmtId="167" fontId="0" fillId="0" borderId="50" xfId="19" applyFont="true" applyBorder="true" applyAlignment="true" applyProtection="true">
      <alignment horizontal="center" vertical="bottom" textRotation="0" wrapText="false" indent="0" shrinkToFit="false"/>
      <protection locked="true" hidden="false"/>
    </xf>
    <xf numFmtId="167" fontId="42" fillId="0" borderId="50" xfId="19" applyFont="true" applyBorder="true" applyAlignment="true" applyProtection="true">
      <alignment horizontal="center" vertical="bottom" textRotation="0" wrapText="false" indent="0" shrinkToFit="false"/>
      <protection locked="true" hidden="false"/>
    </xf>
    <xf numFmtId="167" fontId="0" fillId="0" borderId="52" xfId="19" applyFont="true" applyBorder="true" applyAlignment="true" applyProtection="true">
      <alignment horizontal="center" vertical="bottom" textRotation="0" wrapText="false" indent="0" shrinkToFit="false"/>
      <protection locked="true" hidden="false"/>
    </xf>
    <xf numFmtId="165" fontId="0" fillId="0" borderId="0" xfId="60" applyFont="false" applyBorder="false" applyAlignment="true" applyProtection="false">
      <alignment horizontal="center" vertical="bottom" textRotation="0" wrapText="false" indent="0" shrinkToFit="false"/>
      <protection locked="true" hidden="false"/>
    </xf>
    <xf numFmtId="164" fontId="0" fillId="0" borderId="13" xfId="60" applyFont="true" applyBorder="true" applyAlignment="true" applyProtection="false">
      <alignment horizontal="center" vertical="bottom" textRotation="0" wrapText="false" indent="0" shrinkToFit="false"/>
      <protection locked="true" hidden="false"/>
    </xf>
    <xf numFmtId="164" fontId="32" fillId="0" borderId="85" xfId="0" applyFont="true" applyBorder="true" applyAlignment="true" applyProtection="false">
      <alignment horizontal="center" vertical="center" textRotation="0" wrapText="true" indent="0" shrinkToFit="false"/>
      <protection locked="true" hidden="false"/>
    </xf>
    <xf numFmtId="164" fontId="28" fillId="0" borderId="27" xfId="60" applyFont="true" applyBorder="true" applyAlignment="true" applyProtection="false">
      <alignment horizontal="center" vertical="center" textRotation="0" wrapText="true" indent="0" shrinkToFit="false"/>
      <protection locked="true" hidden="false"/>
    </xf>
    <xf numFmtId="164" fontId="49" fillId="0" borderId="32" xfId="60" applyFont="true" applyBorder="true" applyAlignment="true" applyProtection="false">
      <alignment horizontal="center" vertical="center" textRotation="0" wrapText="true" indent="0" shrinkToFit="false"/>
      <protection locked="true" hidden="false"/>
    </xf>
    <xf numFmtId="164" fontId="28" fillId="0" borderId="86" xfId="60" applyFont="true" applyBorder="true" applyAlignment="true" applyProtection="false">
      <alignment horizontal="center" vertical="center" textRotation="0" wrapText="true" indent="0" shrinkToFit="false"/>
      <protection locked="true" hidden="false"/>
    </xf>
    <xf numFmtId="164" fontId="28" fillId="0" borderId="87" xfId="60" applyFont="true" applyBorder="true" applyAlignment="true" applyProtection="false">
      <alignment horizontal="center" vertical="center" textRotation="0" wrapText="true" indent="0" shrinkToFit="false"/>
      <protection locked="true" hidden="false"/>
    </xf>
    <xf numFmtId="164" fontId="0" fillId="0" borderId="0" xfId="60" applyFont="true" applyBorder="false" applyAlignment="false" applyProtection="false">
      <alignment horizontal="general" vertical="bottom" textRotation="0" wrapText="false" indent="0" shrinkToFit="false"/>
      <protection locked="true" hidden="false"/>
    </xf>
    <xf numFmtId="164" fontId="28" fillId="0" borderId="28" xfId="60" applyFont="true" applyBorder="true" applyAlignment="true" applyProtection="false">
      <alignment horizontal="center" vertical="bottom" textRotation="0" wrapText="false" indent="0" shrinkToFit="false"/>
      <protection locked="true" hidden="false"/>
    </xf>
    <xf numFmtId="171" fontId="28" fillId="0" borderId="21" xfId="60" applyFont="true" applyBorder="true" applyAlignment="true" applyProtection="false">
      <alignment horizontal="center" vertical="bottom" textRotation="0" wrapText="false" indent="0" shrinkToFit="false"/>
      <protection locked="true" hidden="false"/>
    </xf>
    <xf numFmtId="171" fontId="28" fillId="0" borderId="22" xfId="60" applyFont="true" applyBorder="true" applyAlignment="true" applyProtection="false">
      <alignment horizontal="center" vertical="bottom" textRotation="0" wrapText="false" indent="0" shrinkToFit="false"/>
      <protection locked="true" hidden="false"/>
    </xf>
    <xf numFmtId="171" fontId="28" fillId="0" borderId="23" xfId="60" applyFont="true" applyBorder="true" applyAlignment="true" applyProtection="false">
      <alignment horizontal="center" vertical="bottom" textRotation="0" wrapText="false" indent="0" shrinkToFit="false"/>
      <protection locked="true" hidden="false"/>
    </xf>
    <xf numFmtId="167" fontId="28" fillId="0" borderId="22" xfId="60" applyFont="true" applyBorder="true" applyAlignment="true" applyProtection="false">
      <alignment horizontal="center" vertical="bottom" textRotation="0" wrapText="false" indent="0" shrinkToFit="false"/>
      <protection locked="true" hidden="false"/>
    </xf>
    <xf numFmtId="167" fontId="28" fillId="0" borderId="23" xfId="60" applyFont="true" applyBorder="true" applyAlignment="true" applyProtection="false">
      <alignment horizontal="center" vertical="bottom" textRotation="0" wrapText="false" indent="0" shrinkToFit="false"/>
      <protection locked="true" hidden="false"/>
    </xf>
    <xf numFmtId="167" fontId="28" fillId="0" borderId="21" xfId="60" applyFont="true" applyBorder="true" applyAlignment="true" applyProtection="false">
      <alignment horizontal="center" vertical="bottom" textRotation="0" wrapText="false" indent="0" shrinkToFit="false"/>
      <protection locked="true" hidden="false"/>
    </xf>
    <xf numFmtId="167" fontId="48" fillId="0" borderId="22" xfId="60" applyFont="true" applyBorder="true" applyAlignment="true" applyProtection="false">
      <alignment horizontal="center" vertical="bottom" textRotation="0" wrapText="false" indent="0" shrinkToFit="false"/>
      <protection locked="true" hidden="false"/>
    </xf>
    <xf numFmtId="167" fontId="48" fillId="0" borderId="55" xfId="60" applyFont="true" applyBorder="true" applyAlignment="true" applyProtection="false">
      <alignment horizontal="center" vertical="bottom" textRotation="0" wrapText="false" indent="0" shrinkToFit="false"/>
      <protection locked="true" hidden="false"/>
    </xf>
    <xf numFmtId="167" fontId="37" fillId="0" borderId="0" xfId="19" applyFont="true" applyBorder="true" applyAlignment="true" applyProtection="true">
      <alignment horizontal="center" vertical="bottom" textRotation="0" wrapText="false" indent="0" shrinkToFit="false"/>
      <protection locked="true" hidden="false"/>
    </xf>
    <xf numFmtId="167" fontId="37" fillId="0" borderId="13" xfId="19" applyFont="true" applyBorder="true" applyAlignment="true" applyProtection="true">
      <alignment horizontal="center" vertical="bottom" textRotation="0" wrapText="false" indent="0" shrinkToFit="false"/>
      <protection locked="true" hidden="false"/>
    </xf>
    <xf numFmtId="167" fontId="48" fillId="0" borderId="0" xfId="60" applyFont="true" applyBorder="true" applyAlignment="true" applyProtection="false">
      <alignment horizontal="center" vertical="bottom" textRotation="0" wrapText="false" indent="0" shrinkToFit="false"/>
      <protection locked="true" hidden="false"/>
    </xf>
    <xf numFmtId="167" fontId="48" fillId="0" borderId="13" xfId="60" applyFont="true" applyBorder="true" applyAlignment="true" applyProtection="false">
      <alignment horizontal="center" vertical="bottom" textRotation="0" wrapText="false" indent="0" shrinkToFit="false"/>
      <protection locked="true" hidden="false"/>
    </xf>
    <xf numFmtId="164" fontId="37" fillId="0" borderId="0" xfId="60" applyFont="true" applyBorder="true" applyAlignment="true" applyProtection="false">
      <alignment horizontal="center" vertical="bottom" textRotation="0" wrapText="false" indent="0" shrinkToFit="false"/>
      <protection locked="true" hidden="false"/>
    </xf>
    <xf numFmtId="164" fontId="37" fillId="0" borderId="13" xfId="60" applyFont="true" applyBorder="true" applyAlignment="true" applyProtection="false">
      <alignment horizontal="center" vertical="bottom" textRotation="0" wrapText="false" indent="0" shrinkToFit="false"/>
      <protection locked="true" hidden="false"/>
    </xf>
    <xf numFmtId="171" fontId="37" fillId="0" borderId="32" xfId="19" applyFont="true" applyBorder="true" applyAlignment="true" applyProtection="true">
      <alignment horizontal="center" vertical="bottom" textRotation="0" wrapText="false" indent="0" shrinkToFit="false"/>
      <protection locked="true" hidden="false"/>
    </xf>
    <xf numFmtId="171" fontId="24" fillId="0" borderId="32" xfId="60" applyFont="true" applyBorder="true" applyAlignment="false" applyProtection="false">
      <alignment horizontal="general" vertical="bottom" textRotation="0" wrapText="false" indent="0" shrinkToFit="false"/>
      <protection locked="true" hidden="false"/>
    </xf>
    <xf numFmtId="165" fontId="0" fillId="0" borderId="51" xfId="60" applyFont="true" applyBorder="true" applyAlignment="false" applyProtection="false">
      <alignment horizontal="general" vertical="bottom" textRotation="0" wrapText="false" indent="0" shrinkToFit="false"/>
      <protection locked="true" hidden="false"/>
    </xf>
    <xf numFmtId="165" fontId="0" fillId="0" borderId="52" xfId="60" applyFont="true" applyBorder="true" applyAlignment="false" applyProtection="false">
      <alignment horizontal="general" vertical="bottom" textRotation="0" wrapText="false" indent="0" shrinkToFit="false"/>
      <protection locked="true" hidden="false"/>
    </xf>
    <xf numFmtId="167" fontId="0" fillId="0" borderId="50" xfId="60" applyFont="true" applyBorder="true" applyAlignment="false" applyProtection="false">
      <alignment horizontal="general" vertical="bottom" textRotation="0" wrapText="false" indent="0" shrinkToFit="false"/>
      <protection locked="true" hidden="false"/>
    </xf>
    <xf numFmtId="167" fontId="0" fillId="0" borderId="65" xfId="19" applyFont="true" applyBorder="true" applyAlignment="true" applyProtection="true">
      <alignment horizontal="center" vertical="bottom" textRotation="0" wrapText="false" indent="0" shrinkToFit="false"/>
      <protection locked="true" hidden="false"/>
    </xf>
    <xf numFmtId="164" fontId="0" fillId="0" borderId="13" xfId="60" applyFont="false" applyBorder="true" applyAlignment="true" applyProtection="false">
      <alignment horizontal="center" vertical="bottom" textRotation="0" wrapText="false" indent="0" shrinkToFit="false"/>
      <protection locked="true" hidden="false"/>
    </xf>
    <xf numFmtId="164" fontId="32" fillId="0" borderId="14" xfId="0" applyFont="true" applyBorder="true" applyAlignment="true" applyProtection="false">
      <alignment horizontal="center" vertical="center" textRotation="0" wrapText="true" indent="0" shrinkToFit="false"/>
      <protection locked="true" hidden="false"/>
    </xf>
    <xf numFmtId="164" fontId="28" fillId="0" borderId="88" xfId="60" applyFont="true" applyBorder="true" applyAlignment="true" applyProtection="false">
      <alignment horizontal="center" vertical="center" textRotation="0" wrapText="true" indent="0" shrinkToFit="false"/>
      <protection locked="true" hidden="false"/>
    </xf>
    <xf numFmtId="164" fontId="49" fillId="0" borderId="89" xfId="60" applyFont="true" applyBorder="true" applyAlignment="true" applyProtection="false">
      <alignment horizontal="center" vertical="center" textRotation="0" wrapText="true" indent="0" shrinkToFit="false"/>
      <protection locked="true" hidden="false"/>
    </xf>
    <xf numFmtId="164" fontId="49" fillId="0" borderId="90" xfId="60" applyFont="true" applyBorder="true" applyAlignment="true" applyProtection="false">
      <alignment horizontal="center" vertical="center" textRotation="0" wrapText="true" indent="0" shrinkToFit="false"/>
      <protection locked="true" hidden="false"/>
    </xf>
    <xf numFmtId="164" fontId="28" fillId="0" borderId="91" xfId="60" applyFont="true" applyBorder="true" applyAlignment="true" applyProtection="false">
      <alignment horizontal="center" vertical="center" textRotation="0" wrapText="true" indent="0" shrinkToFit="false"/>
      <protection locked="true" hidden="false"/>
    </xf>
    <xf numFmtId="164" fontId="28" fillId="0" borderId="92" xfId="6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77" fontId="34" fillId="0" borderId="0" xfId="0" applyFont="true" applyBorder="false" applyAlignment="false" applyProtection="false">
      <alignment horizontal="general" vertical="bottom" textRotation="0" wrapText="false" indent="0" shrinkToFit="false"/>
      <protection locked="true" hidden="false"/>
    </xf>
    <xf numFmtId="164" fontId="28" fillId="0" borderId="0" xfId="0" applyFont="true" applyBorder="true" applyAlignment="true" applyProtection="false">
      <alignment horizontal="center" vertical="center" textRotation="0" wrapText="false" indent="0" shrinkToFit="false"/>
      <protection locked="true" hidden="false"/>
    </xf>
    <xf numFmtId="164" fontId="0" fillId="0" borderId="67" xfId="0" applyFont="true" applyBorder="true" applyAlignment="true" applyProtection="false">
      <alignment horizontal="center" vertical="bottom" textRotation="0" wrapText="false" indent="0" shrinkToFit="false"/>
      <protection locked="true" hidden="false"/>
    </xf>
    <xf numFmtId="164" fontId="32" fillId="0" borderId="0" xfId="0" applyFont="true" applyBorder="true" applyAlignment="true" applyProtection="false">
      <alignment horizontal="center" vertical="center" textRotation="0" wrapText="true" indent="0" shrinkToFit="false"/>
      <protection locked="true" hidden="false"/>
    </xf>
    <xf numFmtId="164" fontId="0" fillId="0" borderId="29" xfId="0" applyFont="true" applyBorder="true" applyAlignment="true" applyProtection="false">
      <alignment horizontal="center" vertical="center" textRotation="0" wrapText="true" indent="0" shrinkToFit="false"/>
      <protection locked="true" hidden="false"/>
    </xf>
    <xf numFmtId="164" fontId="0" fillId="0" borderId="22" xfId="0" applyFont="true" applyBorder="true" applyAlignment="true" applyProtection="false">
      <alignment horizontal="center" vertical="center" textRotation="0" wrapText="true" indent="0" shrinkToFit="false"/>
      <protection locked="true" hidden="false"/>
    </xf>
    <xf numFmtId="164" fontId="52" fillId="0" borderId="30" xfId="0" applyFont="true" applyBorder="true" applyAlignment="true" applyProtection="false">
      <alignment horizontal="center" vertical="center" textRotation="0" wrapText="true" indent="0" shrinkToFit="false"/>
      <protection locked="true" hidden="false"/>
    </xf>
    <xf numFmtId="164" fontId="34" fillId="0" borderId="18" xfId="0" applyFont="true" applyBorder="true" applyAlignment="true" applyProtection="false">
      <alignment horizontal="center" vertical="center" textRotation="0" wrapText="true" indent="0" shrinkToFit="false"/>
      <protection locked="true" hidden="false"/>
    </xf>
    <xf numFmtId="164" fontId="34" fillId="0" borderId="75"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center" vertical="center" textRotation="0" wrapText="true" indent="0" shrinkToFit="false"/>
      <protection locked="true" hidden="false"/>
    </xf>
    <xf numFmtId="164" fontId="0" fillId="0" borderId="88" xfId="0" applyFont="true" applyBorder="true" applyAlignment="true" applyProtection="false">
      <alignment horizontal="center" vertical="center" textRotation="0" wrapText="true" indent="0" shrinkToFit="false"/>
      <protection locked="true" hidden="false"/>
    </xf>
    <xf numFmtId="164" fontId="0" fillId="0" borderId="93" xfId="0" applyFont="true" applyBorder="true" applyAlignment="true" applyProtection="false">
      <alignment horizontal="center" vertical="center" textRotation="0" wrapText="true" indent="0" shrinkToFit="false"/>
      <protection locked="true" hidden="false"/>
    </xf>
    <xf numFmtId="164" fontId="52" fillId="0" borderId="22" xfId="0" applyFont="true" applyBorder="true" applyAlignment="true" applyProtection="false">
      <alignment horizontal="center" vertical="center" textRotation="0" wrapText="true" indent="0" shrinkToFit="false"/>
      <protection locked="true" hidden="false"/>
    </xf>
    <xf numFmtId="164" fontId="32" fillId="0" borderId="22" xfId="0" applyFont="true" applyBorder="true" applyAlignment="true" applyProtection="false">
      <alignment horizontal="center" vertical="center" textRotation="0" wrapText="true" indent="0" shrinkToFit="false"/>
      <protection locked="true" hidden="false"/>
    </xf>
    <xf numFmtId="164" fontId="36" fillId="0" borderId="94" xfId="0" applyFont="true" applyBorder="true" applyAlignment="true" applyProtection="false">
      <alignment horizontal="center" vertical="center" textRotation="0" wrapText="true" indent="0" shrinkToFit="false"/>
      <protection locked="true" hidden="false"/>
    </xf>
    <xf numFmtId="164" fontId="0" fillId="0" borderId="21" xfId="64" applyFont="true" applyBorder="true" applyAlignment="true" applyProtection="false">
      <alignment horizontal="center" vertical="center" textRotation="0" wrapText="true" indent="0" shrinkToFit="false"/>
      <protection locked="true" hidden="false"/>
    </xf>
    <xf numFmtId="164" fontId="57" fillId="0" borderId="30" xfId="64" applyFont="true" applyBorder="true" applyAlignment="true" applyProtection="false">
      <alignment horizontal="center" vertical="center" textRotation="0" wrapText="true" indent="0" shrinkToFit="false"/>
      <protection locked="true" hidden="false"/>
    </xf>
    <xf numFmtId="164" fontId="0" fillId="0" borderId="29" xfId="64" applyFont="true" applyBorder="true" applyAlignment="true" applyProtection="false">
      <alignment horizontal="center" vertical="center" textRotation="0" wrapText="true" indent="0" shrinkToFit="false"/>
      <protection locked="true" hidden="false"/>
    </xf>
    <xf numFmtId="164" fontId="57" fillId="0" borderId="23" xfId="64" applyFont="true" applyBorder="true" applyAlignment="true" applyProtection="false">
      <alignment horizontal="center" vertical="center" textRotation="0" wrapText="true" indent="0" shrinkToFit="false"/>
      <protection locked="true" hidden="false"/>
    </xf>
    <xf numFmtId="164" fontId="33" fillId="0" borderId="0" xfId="0" applyFont="true" applyBorder="false" applyAlignment="true" applyProtection="false">
      <alignment horizontal="center" vertical="center" textRotation="0" wrapText="true" indent="0" shrinkToFit="false"/>
      <protection locked="true" hidden="false"/>
    </xf>
    <xf numFmtId="164" fontId="33" fillId="0" borderId="9" xfId="0" applyFont="true" applyBorder="true" applyAlignment="true" applyProtection="false">
      <alignment horizontal="center" vertical="center" textRotation="0" wrapText="true" indent="0" shrinkToFit="false"/>
      <protection locked="true" hidden="false"/>
    </xf>
    <xf numFmtId="164" fontId="0" fillId="0" borderId="26"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true" applyAlignment="true" applyProtection="false">
      <alignment horizontal="center" vertical="center" textRotation="0" wrapText="true" indent="0" shrinkToFit="false"/>
      <protection locked="true" hidden="false"/>
    </xf>
    <xf numFmtId="164" fontId="0" fillId="0" borderId="9"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74" fontId="0" fillId="0" borderId="29" xfId="0" applyFont="true" applyBorder="true" applyAlignment="true" applyProtection="false">
      <alignment horizontal="center" vertical="bottom" textRotation="0" wrapText="false" indent="0" shrinkToFit="false"/>
      <protection locked="true" hidden="false"/>
    </xf>
    <xf numFmtId="174" fontId="0" fillId="0" borderId="22" xfId="0" applyFont="true" applyBorder="true" applyAlignment="true" applyProtection="false">
      <alignment horizontal="center" vertical="bottom" textRotation="0" wrapText="false" indent="0" shrinkToFit="false"/>
      <protection locked="true" hidden="false"/>
    </xf>
    <xf numFmtId="171" fontId="0" fillId="0" borderId="30" xfId="0" applyFont="true" applyBorder="true" applyAlignment="true" applyProtection="false">
      <alignment horizontal="center" vertical="bottom" textRotation="0" wrapText="false" indent="0" shrinkToFit="false"/>
      <protection locked="true" hidden="false"/>
    </xf>
    <xf numFmtId="171" fontId="0" fillId="0" borderId="22" xfId="19" applyFont="true" applyBorder="true" applyAlignment="true" applyProtection="true">
      <alignment horizontal="center" vertical="center" textRotation="0" wrapText="true" indent="0" shrinkToFit="false"/>
      <protection locked="true" hidden="false"/>
    </xf>
    <xf numFmtId="167" fontId="0" fillId="0" borderId="30" xfId="19" applyFont="true" applyBorder="true" applyAlignment="true" applyProtection="true">
      <alignment horizontal="center" vertical="center" textRotation="0" wrapText="true" indent="0" shrinkToFit="false"/>
      <protection locked="true" hidden="false"/>
    </xf>
    <xf numFmtId="167" fontId="0" fillId="0" borderId="22" xfId="0" applyFont="true" applyBorder="true" applyAlignment="true" applyProtection="false">
      <alignment horizontal="center" vertical="center" textRotation="0" wrapText="true" indent="0" shrinkToFit="false"/>
      <protection locked="true" hidden="false"/>
    </xf>
    <xf numFmtId="167" fontId="0" fillId="0" borderId="94" xfId="19" applyFont="true" applyBorder="true" applyAlignment="true" applyProtection="true">
      <alignment horizontal="center" vertical="center" textRotation="0" wrapText="true" indent="0" shrinkToFit="false"/>
      <protection locked="true" hidden="false"/>
    </xf>
    <xf numFmtId="164" fontId="36" fillId="0" borderId="27" xfId="0" applyFont="true" applyBorder="true" applyAlignment="true" applyProtection="false">
      <alignment horizontal="center" vertical="center" textRotation="0" wrapText="true" indent="0" shrinkToFit="false"/>
      <protection locked="true" hidden="false"/>
    </xf>
    <xf numFmtId="164" fontId="36" fillId="0" borderId="26" xfId="0" applyFont="true" applyBorder="true" applyAlignment="true" applyProtection="false">
      <alignment horizontal="center" vertical="center" textRotation="0" wrapText="true" indent="0" shrinkToFit="false"/>
      <protection locked="true" hidden="false"/>
    </xf>
    <xf numFmtId="164" fontId="36" fillId="0" borderId="0" xfId="0" applyFont="true" applyBorder="true" applyAlignment="true" applyProtection="false">
      <alignment horizontal="center" vertical="center" textRotation="0" wrapText="true" indent="0" shrinkToFit="false"/>
      <protection locked="true" hidden="false"/>
    </xf>
    <xf numFmtId="164" fontId="0" fillId="0" borderId="32" xfId="0" applyFont="true" applyBorder="true" applyAlignment="true" applyProtection="false">
      <alignment horizontal="center" vertical="center" textRotation="0" wrapText="true" indent="0" shrinkToFit="false"/>
      <protection locked="true" hidden="false"/>
    </xf>
    <xf numFmtId="182"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true" applyBorder="false" applyAlignment="true" applyProtection="false">
      <alignment horizontal="center" vertical="bottom" textRotation="0" wrapText="false" indent="0" shrinkToFit="false"/>
      <protection locked="true" hidden="false"/>
    </xf>
    <xf numFmtId="171" fontId="0" fillId="0" borderId="0" xfId="0" applyFont="false" applyBorder="false" applyAlignment="true" applyProtection="false">
      <alignment horizontal="center" vertical="bottom" textRotation="0" wrapText="false" indent="0" shrinkToFit="false"/>
      <protection locked="true" hidden="false"/>
    </xf>
    <xf numFmtId="174" fontId="0" fillId="0" borderId="9" xfId="0" applyFont="true" applyBorder="true" applyAlignment="true" applyProtection="false">
      <alignment horizontal="center" vertical="bottom" textRotation="0" wrapText="false" indent="0" shrinkToFit="false"/>
      <protection locked="true" hidden="false"/>
    </xf>
    <xf numFmtId="167" fontId="0" fillId="0" borderId="26" xfId="19" applyFont="true" applyBorder="true" applyAlignment="true" applyProtection="true">
      <alignment horizontal="center" vertical="center" textRotation="0" wrapText="true" indent="0" shrinkToFit="false"/>
      <protection locked="true" hidden="false"/>
    </xf>
    <xf numFmtId="167" fontId="0" fillId="0" borderId="0" xfId="0" applyFont="true" applyBorder="true" applyAlignment="true" applyProtection="false">
      <alignment horizontal="center" vertical="center" textRotation="0" wrapText="true" indent="0" shrinkToFit="false"/>
      <protection locked="true" hidden="false"/>
    </xf>
    <xf numFmtId="167" fontId="0" fillId="0" borderId="95" xfId="19" applyFont="true" applyBorder="true" applyAlignment="true" applyProtection="true">
      <alignment horizontal="center" vertical="center" textRotation="0" wrapText="true" indent="0" shrinkToFit="false"/>
      <protection locked="true" hidden="false"/>
    </xf>
    <xf numFmtId="174" fontId="0" fillId="0" borderId="35" xfId="0" applyFont="true" applyBorder="true" applyAlignment="true" applyProtection="false">
      <alignment horizontal="center" vertical="bottom" textRotation="0" wrapText="false" indent="0" shrinkToFit="false"/>
      <protection locked="true" hidden="false"/>
    </xf>
    <xf numFmtId="167" fontId="0" fillId="0" borderId="36" xfId="19" applyFont="true" applyBorder="true" applyAlignment="true" applyProtection="true">
      <alignment horizontal="center" vertical="center" textRotation="0" wrapText="true" indent="0" shrinkToFit="false"/>
      <protection locked="true" hidden="false"/>
    </xf>
    <xf numFmtId="167" fontId="0" fillId="0" borderId="37" xfId="0" applyFont="true" applyBorder="true" applyAlignment="true" applyProtection="false">
      <alignment horizontal="center" vertical="center" textRotation="0" wrapText="true" indent="0" shrinkToFit="false"/>
      <protection locked="true" hidden="false"/>
    </xf>
    <xf numFmtId="164" fontId="0" fillId="0" borderId="35" xfId="0" applyFont="true" applyBorder="true" applyAlignment="true" applyProtection="false">
      <alignment horizontal="center" vertical="center" textRotation="0" wrapText="true" indent="0" shrinkToFit="false"/>
      <protection locked="true" hidden="false"/>
    </xf>
    <xf numFmtId="164" fontId="0" fillId="0" borderId="37" xfId="0" applyFont="true" applyBorder="true" applyAlignment="true" applyProtection="false">
      <alignment horizontal="center" vertical="center" textRotation="0" wrapText="true" indent="0" shrinkToFit="false"/>
      <protection locked="true" hidden="false"/>
    </xf>
    <xf numFmtId="167" fontId="0" fillId="0" borderId="96" xfId="19" applyFont="true" applyBorder="true" applyAlignment="true" applyProtection="true">
      <alignment horizontal="center" vertical="center" textRotation="0" wrapText="true" indent="0" shrinkToFit="false"/>
      <protection locked="true" hidden="false"/>
    </xf>
    <xf numFmtId="167" fontId="34" fillId="0" borderId="27" xfId="0" applyFont="true" applyBorder="true" applyAlignment="true" applyProtection="false">
      <alignment horizontal="center" vertical="bottom" textRotation="0" wrapText="false" indent="0" shrinkToFit="false"/>
      <protection locked="true" hidden="false"/>
    </xf>
    <xf numFmtId="164" fontId="0" fillId="0" borderId="26" xfId="0" applyFont="false" applyBorder="true" applyAlignment="false" applyProtection="false">
      <alignment horizontal="general" vertical="bottom" textRotation="0" wrapText="false" indent="0" shrinkToFit="false"/>
      <protection locked="true" hidden="false"/>
    </xf>
    <xf numFmtId="164" fontId="0" fillId="0" borderId="32" xfId="0" applyFont="false" applyBorder="true" applyAlignment="false" applyProtection="false">
      <alignment horizontal="general" vertical="bottom" textRotation="0" wrapText="false" indent="0" shrinkToFit="false"/>
      <protection locked="true" hidden="false"/>
    </xf>
    <xf numFmtId="167" fontId="0" fillId="0" borderId="27" xfId="0" applyFont="true" applyBorder="true" applyAlignment="true" applyProtection="false">
      <alignment horizontal="center" vertical="bottom" textRotation="0" wrapText="false" indent="0" shrinkToFit="false"/>
      <protection locked="true" hidden="false"/>
    </xf>
    <xf numFmtId="172" fontId="0" fillId="0" borderId="27" xfId="0" applyFont="true" applyBorder="true" applyAlignment="true" applyProtection="false">
      <alignment horizontal="center" vertical="bottom" textRotation="0" wrapText="false" indent="0" shrinkToFit="false"/>
      <protection locked="true" hidden="false"/>
    </xf>
    <xf numFmtId="172" fontId="34" fillId="0" borderId="27" xfId="0" applyFont="true" applyBorder="true" applyAlignment="true" applyProtection="false">
      <alignment horizontal="center" vertical="bottom" textRotation="0" wrapText="false" indent="0" shrinkToFit="false"/>
      <protection locked="true" hidden="false"/>
    </xf>
    <xf numFmtId="167" fontId="34" fillId="0" borderId="26" xfId="19" applyFont="true" applyBorder="true" applyAlignment="true" applyProtection="true">
      <alignment horizontal="center" vertical="center" textRotation="0" wrapText="true" indent="0" shrinkToFit="false"/>
      <protection locked="true" hidden="false"/>
    </xf>
    <xf numFmtId="171" fontId="34" fillId="0" borderId="9" xfId="0" applyFont="true" applyBorder="true" applyAlignment="true" applyProtection="false">
      <alignment horizontal="center" vertical="bottom" textRotation="0" wrapText="false" indent="0" shrinkToFit="false"/>
      <protection locked="true" hidden="false"/>
    </xf>
    <xf numFmtId="167" fontId="34" fillId="0" borderId="95" xfId="19" applyFont="true" applyBorder="true" applyAlignment="true" applyProtection="true">
      <alignment horizontal="center" vertical="bottom" textRotation="0" wrapText="false" indent="0" shrinkToFit="false"/>
      <protection locked="true" hidden="false"/>
    </xf>
    <xf numFmtId="167" fontId="37" fillId="0" borderId="26" xfId="0" applyFont="true" applyBorder="true" applyAlignment="true" applyProtection="false">
      <alignment horizontal="center" vertical="bottom" textRotation="0" wrapText="false" indent="0" shrinkToFit="false"/>
      <protection locked="true" hidden="false"/>
    </xf>
    <xf numFmtId="171" fontId="0" fillId="0" borderId="9" xfId="0" applyFont="true" applyBorder="true" applyAlignment="true" applyProtection="false">
      <alignment horizontal="center" vertical="bottom" textRotation="0" wrapText="false" indent="0" shrinkToFit="false"/>
      <protection locked="true" hidden="false"/>
    </xf>
    <xf numFmtId="167" fontId="0" fillId="0" borderId="95" xfId="19" applyFont="true" applyBorder="true" applyAlignment="true" applyProtection="true">
      <alignment horizontal="center" vertical="bottom" textRotation="0" wrapText="false" indent="0" shrinkToFit="false"/>
      <protection locked="true" hidden="false"/>
    </xf>
    <xf numFmtId="167" fontId="0" fillId="0" borderId="36" xfId="0" applyFont="true" applyBorder="true" applyAlignment="true" applyProtection="false">
      <alignment horizontal="center" vertical="bottom" textRotation="0" wrapText="false" indent="0" shrinkToFit="false"/>
      <protection locked="true" hidden="false"/>
    </xf>
    <xf numFmtId="167" fontId="0" fillId="0" borderId="37" xfId="19" applyFont="true" applyBorder="true" applyAlignment="true" applyProtection="true">
      <alignment horizontal="center" vertical="bottom" textRotation="0" wrapText="false" indent="0" shrinkToFit="false"/>
      <protection locked="true" hidden="false"/>
    </xf>
    <xf numFmtId="171" fontId="0" fillId="0" borderId="35" xfId="0" applyFont="true" applyBorder="true" applyAlignment="true" applyProtection="false">
      <alignment horizontal="center" vertical="bottom" textRotation="0" wrapText="false" indent="0" shrinkToFit="false"/>
      <protection locked="true" hidden="false"/>
    </xf>
    <xf numFmtId="167" fontId="0" fillId="0" borderId="96" xfId="19" applyFont="true" applyBorder="true" applyAlignment="true" applyProtection="true">
      <alignment horizontal="center" vertical="bottom" textRotation="0" wrapText="false" indent="0" shrinkToFit="false"/>
      <protection locked="true" hidden="false"/>
    </xf>
    <xf numFmtId="167" fontId="0" fillId="0" borderId="26" xfId="0" applyFont="true" applyBorder="true" applyAlignment="true" applyProtection="false">
      <alignment horizontal="center" vertical="bottom" textRotation="0" wrapText="false" indent="0" shrinkToFit="false"/>
      <protection locked="true" hidden="false"/>
    </xf>
    <xf numFmtId="167" fontId="0" fillId="0" borderId="0" xfId="0" applyFont="true" applyBorder="false" applyAlignment="true" applyProtection="false">
      <alignment horizontal="center" vertical="bottom" textRotation="0" wrapText="false" indent="0" shrinkToFit="false"/>
      <protection locked="true" hidden="false"/>
    </xf>
    <xf numFmtId="175" fontId="0" fillId="0" borderId="0" xfId="0" applyFont="true" applyBorder="false" applyAlignment="true" applyProtection="false">
      <alignment horizontal="center" vertical="bottom" textRotation="0" wrapText="false" indent="0" shrinkToFit="false"/>
      <protection locked="true" hidden="false"/>
    </xf>
    <xf numFmtId="172" fontId="31" fillId="0" borderId="27" xfId="0" applyFont="true" applyBorder="true" applyAlignment="true" applyProtection="false">
      <alignment horizontal="center" vertical="bottom" textRotation="0" wrapText="false" indent="0" shrinkToFit="false"/>
      <protection locked="true" hidden="false"/>
    </xf>
    <xf numFmtId="164" fontId="31" fillId="0" borderId="26" xfId="0" applyFont="true" applyBorder="true" applyAlignment="false" applyProtection="false">
      <alignment horizontal="general" vertical="bottom" textRotation="0" wrapText="false" indent="0" shrinkToFit="false"/>
      <protection locked="true" hidden="false"/>
    </xf>
    <xf numFmtId="164" fontId="31" fillId="0" borderId="0" xfId="0" applyFont="true" applyBorder="true" applyAlignment="false" applyProtection="false">
      <alignment horizontal="general" vertical="bottom" textRotation="0" wrapText="false" indent="0" shrinkToFit="false"/>
      <protection locked="true" hidden="false"/>
    </xf>
    <xf numFmtId="164" fontId="31" fillId="0" borderId="32" xfId="0" applyFont="true" applyBorder="true" applyAlignment="false" applyProtection="false">
      <alignment horizontal="general" vertical="bottom" textRotation="0" wrapText="false" indent="0" shrinkToFit="false"/>
      <protection locked="true" hidden="false"/>
    </xf>
    <xf numFmtId="171" fontId="31" fillId="0" borderId="0" xfId="0" applyFont="true" applyBorder="false" applyAlignment="true" applyProtection="false">
      <alignment horizontal="center" vertical="bottom" textRotation="0" wrapText="false" indent="0" shrinkToFit="false"/>
      <protection locked="true" hidden="false"/>
    </xf>
    <xf numFmtId="174" fontId="34" fillId="0" borderId="9" xfId="0" applyFont="true" applyBorder="true" applyAlignment="true" applyProtection="false">
      <alignment horizontal="center" vertical="bottom" textRotation="0" wrapText="false" indent="0" shrinkToFit="false"/>
      <protection locked="true" hidden="false"/>
    </xf>
    <xf numFmtId="167" fontId="38" fillId="0" borderId="26" xfId="0" applyFont="true" applyBorder="true" applyAlignment="true" applyProtection="false">
      <alignment horizontal="center" vertical="bottom" textRotation="0" wrapText="false" indent="0" shrinkToFit="false"/>
      <protection locked="true" hidden="false"/>
    </xf>
    <xf numFmtId="167" fontId="34" fillId="0" borderId="0" xfId="19" applyFont="true" applyBorder="true" applyAlignment="true" applyProtection="true">
      <alignment horizontal="center" vertical="bottom" textRotation="0" wrapText="false" indent="0" shrinkToFit="false"/>
      <protection locked="true" hidden="false"/>
    </xf>
    <xf numFmtId="167" fontId="37" fillId="0" borderId="36" xfId="0" applyFont="true" applyBorder="true" applyAlignment="true" applyProtection="false">
      <alignment horizontal="center" vertical="bottom" textRotation="0" wrapText="false" indent="0" shrinkToFit="false"/>
      <protection locked="true" hidden="false"/>
    </xf>
    <xf numFmtId="171" fontId="34" fillId="0" borderId="35" xfId="0" applyFont="true" applyBorder="true" applyAlignment="true" applyProtection="false">
      <alignment horizontal="center" vertical="bottom" textRotation="0" wrapText="false" indent="0" shrinkToFit="false"/>
      <protection locked="true" hidden="false"/>
    </xf>
    <xf numFmtId="167" fontId="34" fillId="0" borderId="96" xfId="19" applyFont="true" applyBorder="true" applyAlignment="true" applyProtection="true">
      <alignment horizontal="center" vertical="bottom" textRotation="0" wrapText="false" indent="0" shrinkToFit="false"/>
      <protection locked="true" hidden="false"/>
    </xf>
    <xf numFmtId="169" fontId="0" fillId="0" borderId="41" xfId="0" applyFont="true" applyBorder="true" applyAlignment="true" applyProtection="false">
      <alignment horizontal="center" vertical="bottom" textRotation="0" wrapText="true" indent="0" shrinkToFit="false"/>
      <protection locked="true" hidden="false"/>
    </xf>
    <xf numFmtId="176" fontId="0" fillId="0" borderId="27" xfId="0" applyFont="true" applyBorder="true" applyAlignment="true" applyProtection="false">
      <alignment horizontal="center" vertical="bottom" textRotation="0" wrapText="false" indent="0" shrinkToFit="false"/>
      <protection locked="true" hidden="false"/>
    </xf>
    <xf numFmtId="167" fontId="34" fillId="0" borderId="26" xfId="0" applyFont="true" applyBorder="true" applyAlignment="true" applyProtection="false">
      <alignment horizontal="center" vertical="bottom" textRotation="0" wrapText="false" indent="0" shrinkToFit="false"/>
      <protection locked="true" hidden="false"/>
    </xf>
    <xf numFmtId="171" fontId="0" fillId="0" borderId="27" xfId="19" applyFont="true" applyBorder="true" applyAlignment="true" applyProtection="true">
      <alignment horizontal="center" vertical="bottom" textRotation="0" wrapText="false" indent="0" shrinkToFit="false"/>
      <protection locked="true" hidden="false"/>
    </xf>
    <xf numFmtId="171" fontId="0" fillId="0" borderId="26" xfId="19" applyFont="true" applyBorder="true" applyAlignment="true" applyProtection="true">
      <alignment horizontal="general" vertical="bottom" textRotation="0" wrapText="false" indent="0" shrinkToFit="false"/>
      <protection locked="true" hidden="false"/>
    </xf>
    <xf numFmtId="169" fontId="0" fillId="0" borderId="41" xfId="0" applyFont="true" applyBorder="true" applyAlignment="true" applyProtection="false">
      <alignment horizontal="center" vertical="bottom" textRotation="0" wrapText="true" indent="0" shrinkToFit="false"/>
      <protection locked="true" hidden="false"/>
    </xf>
    <xf numFmtId="174" fontId="0" fillId="0" borderId="44" xfId="0" applyFont="true" applyBorder="true" applyAlignment="true" applyProtection="false">
      <alignment horizontal="center" vertical="bottom" textRotation="0" wrapText="false" indent="0" shrinkToFit="false"/>
      <protection locked="true" hidden="false"/>
    </xf>
    <xf numFmtId="171" fontId="0" fillId="0" borderId="43" xfId="0" applyFont="true" applyBorder="true" applyAlignment="true" applyProtection="false">
      <alignment horizontal="center" vertical="bottom" textRotation="0" wrapText="false" indent="0" shrinkToFit="false"/>
      <protection locked="true" hidden="false"/>
    </xf>
    <xf numFmtId="171" fontId="0" fillId="0" borderId="44" xfId="0" applyFont="true" applyBorder="true" applyAlignment="true" applyProtection="false">
      <alignment horizontal="center" vertical="bottom" textRotation="0" wrapText="false" indent="0" shrinkToFit="false"/>
      <protection locked="true" hidden="false"/>
    </xf>
    <xf numFmtId="167" fontId="0" fillId="0" borderId="43" xfId="0" applyFont="true" applyBorder="true" applyAlignment="true" applyProtection="false">
      <alignment horizontal="center" vertical="bottom" textRotation="0" wrapText="false" indent="0" shrinkToFit="false"/>
      <protection locked="true" hidden="false"/>
    </xf>
    <xf numFmtId="171" fontId="0" fillId="0" borderId="42" xfId="0" applyFont="true" applyBorder="true" applyAlignment="true" applyProtection="false">
      <alignment horizontal="center" vertical="bottom" textRotation="0" wrapText="false" indent="0" shrinkToFit="false"/>
      <protection locked="true" hidden="false"/>
    </xf>
    <xf numFmtId="167" fontId="0" fillId="0" borderId="38" xfId="0" applyFont="true" applyBorder="true" applyAlignment="true" applyProtection="false">
      <alignment horizontal="center" vertical="bottom" textRotation="0" wrapText="false" indent="0" shrinkToFit="false"/>
      <protection locked="true" hidden="false"/>
    </xf>
    <xf numFmtId="164" fontId="0" fillId="0" borderId="36" xfId="0" applyFont="false" applyBorder="true" applyAlignment="false" applyProtection="false">
      <alignment horizontal="general" vertical="bottom" textRotation="0" wrapText="false" indent="0" shrinkToFit="false"/>
      <protection locked="true" hidden="false"/>
    </xf>
    <xf numFmtId="167" fontId="57" fillId="0" borderId="45" xfId="64" applyFont="true" applyBorder="true" applyAlignment="true" applyProtection="false">
      <alignment horizontal="center" vertical="bottom" textRotation="0" wrapText="false" indent="0" shrinkToFit="false"/>
      <protection locked="true" hidden="false"/>
    </xf>
    <xf numFmtId="171" fontId="57" fillId="0" borderId="43" xfId="64" applyFont="true" applyBorder="true" applyAlignment="true" applyProtection="false">
      <alignment horizontal="center" vertical="bottom" textRotation="0" wrapText="false" indent="0" shrinkToFit="false"/>
      <protection locked="true" hidden="false"/>
    </xf>
    <xf numFmtId="167" fontId="57" fillId="0" borderId="44" xfId="64" applyFont="true" applyBorder="true" applyAlignment="true" applyProtection="false">
      <alignment horizontal="center" vertical="bottom" textRotation="0" wrapText="false" indent="0" shrinkToFit="false"/>
      <protection locked="true" hidden="false"/>
    </xf>
    <xf numFmtId="171" fontId="57" fillId="0" borderId="46" xfId="64" applyFont="true" applyBorder="true" applyAlignment="true" applyProtection="false">
      <alignment horizontal="center" vertical="bottom" textRotation="0" wrapText="false" indent="0" shrinkToFit="false"/>
      <protection locked="true" hidden="false"/>
    </xf>
    <xf numFmtId="167" fontId="57" fillId="0" borderId="27" xfId="71" applyFont="true" applyBorder="true" applyAlignment="true" applyProtection="true">
      <alignment horizontal="center" vertical="bottom" textRotation="0" wrapText="false" indent="0" shrinkToFit="false"/>
      <protection locked="true" hidden="false"/>
    </xf>
    <xf numFmtId="171" fontId="57" fillId="0" borderId="26" xfId="64" applyFont="true" applyBorder="true" applyAlignment="true" applyProtection="false">
      <alignment horizontal="center" vertical="bottom" textRotation="0" wrapText="false" indent="0" shrinkToFit="false"/>
      <protection locked="true" hidden="false"/>
    </xf>
    <xf numFmtId="167" fontId="57" fillId="0" borderId="0" xfId="71" applyFont="true" applyBorder="true" applyAlignment="true" applyProtection="true">
      <alignment horizontal="center" vertical="bottom" textRotation="0" wrapText="false" indent="0" shrinkToFit="false"/>
      <protection locked="true" hidden="false"/>
    </xf>
    <xf numFmtId="171" fontId="57" fillId="0" borderId="32" xfId="64" applyFont="true" applyBorder="true" applyAlignment="true" applyProtection="false">
      <alignment horizontal="center" vertical="bottom" textRotation="0" wrapText="false" indent="0" shrinkToFit="false"/>
      <protection locked="true" hidden="false"/>
    </xf>
    <xf numFmtId="167" fontId="0" fillId="0" borderId="97" xfId="19" applyFont="true" applyBorder="true" applyAlignment="true" applyProtection="true">
      <alignment horizontal="center" vertical="bottom" textRotation="0" wrapText="false" indent="0" shrinkToFit="false"/>
      <protection locked="true" hidden="false"/>
    </xf>
    <xf numFmtId="169" fontId="0" fillId="0" borderId="41" xfId="0" applyFont="true" applyBorder="true" applyAlignment="true" applyProtection="false">
      <alignment horizontal="center" vertical="bottom" textRotation="0" wrapText="false" indent="0" shrinkToFit="false"/>
      <protection locked="true" hidden="false"/>
    </xf>
    <xf numFmtId="174" fontId="0" fillId="0" borderId="42" xfId="0" applyFont="true" applyBorder="true" applyAlignment="true" applyProtection="false">
      <alignment horizontal="center" vertical="bottom" textRotation="0" wrapText="false" indent="0" shrinkToFit="false"/>
      <protection locked="true" hidden="false"/>
    </xf>
    <xf numFmtId="167" fontId="57" fillId="0" borderId="98" xfId="71" applyFont="true" applyBorder="true" applyAlignment="true" applyProtection="true">
      <alignment horizontal="center" vertical="bottom" textRotation="0" wrapText="false" indent="0" shrinkToFit="false"/>
      <protection locked="true" hidden="false"/>
    </xf>
    <xf numFmtId="171" fontId="57" fillId="0" borderId="99" xfId="64" applyFont="true" applyBorder="true" applyAlignment="true" applyProtection="false">
      <alignment horizontal="center" vertical="bottom" textRotation="0" wrapText="false" indent="0" shrinkToFit="false"/>
      <protection locked="true" hidden="false"/>
    </xf>
    <xf numFmtId="167" fontId="57" fillId="0" borderId="100" xfId="71" applyFont="true" applyBorder="true" applyAlignment="true" applyProtection="true">
      <alignment horizontal="center" vertical="bottom" textRotation="0" wrapText="false" indent="0" shrinkToFit="false"/>
      <protection locked="true" hidden="false"/>
    </xf>
    <xf numFmtId="171" fontId="57" fillId="0" borderId="101" xfId="64" applyFont="true" applyBorder="true" applyAlignment="true" applyProtection="false">
      <alignment horizontal="center" vertical="bottom" textRotation="0" wrapText="false" indent="0" shrinkToFit="false"/>
      <protection locked="true" hidden="false"/>
    </xf>
    <xf numFmtId="174" fontId="0" fillId="0" borderId="48" xfId="0" applyFont="true" applyBorder="true" applyAlignment="true" applyProtection="false">
      <alignment horizontal="center" vertical="bottom" textRotation="0" wrapText="false" indent="0" shrinkToFit="false"/>
      <protection locked="true" hidden="false"/>
    </xf>
    <xf numFmtId="167" fontId="0" fillId="0" borderId="49" xfId="0" applyFont="true" applyBorder="true" applyAlignment="true" applyProtection="false">
      <alignment horizontal="center" vertical="bottom" textRotation="0" wrapText="false" indent="0" shrinkToFit="false"/>
      <protection locked="true" hidden="false"/>
    </xf>
    <xf numFmtId="171" fontId="0" fillId="0" borderId="48" xfId="0" applyFont="true" applyBorder="true" applyAlignment="true" applyProtection="false">
      <alignment horizontal="center" vertical="bottom" textRotation="0" wrapText="false" indent="0" shrinkToFit="false"/>
      <protection locked="true" hidden="false"/>
    </xf>
    <xf numFmtId="167" fontId="0" fillId="0" borderId="102" xfId="19" applyFont="true" applyBorder="true" applyAlignment="true" applyProtection="true">
      <alignment horizontal="center" vertical="bottom" textRotation="0" wrapText="false" indent="0" shrinkToFit="false"/>
      <protection locked="true" hidden="false"/>
    </xf>
    <xf numFmtId="167" fontId="0" fillId="0" borderId="0" xfId="0" applyFont="true" applyBorder="true" applyAlignment="true" applyProtection="false">
      <alignment horizontal="center" vertical="bottom" textRotation="0" wrapText="false" indent="0" shrinkToFit="false"/>
      <protection locked="true" hidden="false"/>
    </xf>
    <xf numFmtId="167" fontId="0" fillId="0" borderId="9" xfId="0" applyFont="false" applyBorder="true" applyAlignment="true" applyProtection="false">
      <alignment horizontal="center" vertical="bottom" textRotation="0" wrapText="false" indent="0" shrinkToFit="false"/>
      <protection locked="true" hidden="false"/>
    </xf>
    <xf numFmtId="171" fontId="0" fillId="0" borderId="95" xfId="0" applyFont="true" applyBorder="true" applyAlignment="true" applyProtection="false">
      <alignment horizontal="center" vertical="bottom" textRotation="0" wrapText="false" indent="0" shrinkToFit="false"/>
      <protection locked="true" hidden="false"/>
    </xf>
    <xf numFmtId="165" fontId="37" fillId="0" borderId="9" xfId="0" applyFont="true" applyBorder="true" applyAlignment="true" applyProtection="false">
      <alignment horizontal="center" vertical="bottom" textRotation="0" wrapText="false" indent="0" shrinkToFit="false"/>
      <protection locked="true" hidden="false"/>
    </xf>
    <xf numFmtId="164" fontId="0" fillId="0" borderId="26" xfId="0" applyFont="false" applyBorder="true" applyAlignment="false" applyProtection="false">
      <alignment horizontal="general" vertical="bottom" textRotation="0" wrapText="false" indent="0" shrinkToFit="false"/>
      <protection locked="true" hidden="false"/>
    </xf>
    <xf numFmtId="167" fontId="0" fillId="0" borderId="103" xfId="0" applyFont="true" applyBorder="true" applyAlignment="true" applyProtection="false">
      <alignment horizontal="center" vertical="center" textRotation="0" wrapText="true" indent="0" shrinkToFit="false"/>
      <protection locked="true" hidden="false"/>
    </xf>
    <xf numFmtId="167" fontId="0" fillId="0" borderId="27" xfId="0" applyFont="true" applyBorder="true" applyAlignment="true" applyProtection="false">
      <alignment horizontal="general" vertical="center" textRotation="0" wrapText="true" indent="0" shrinkToFit="false"/>
      <protection locked="true" hidden="false"/>
    </xf>
    <xf numFmtId="171" fontId="37" fillId="0" borderId="29" xfId="19" applyFont="true" applyBorder="true" applyAlignment="true" applyProtection="true">
      <alignment horizontal="center" vertical="bottom" textRotation="0" wrapText="false" indent="0" shrinkToFit="false"/>
      <protection locked="true" hidden="false"/>
    </xf>
    <xf numFmtId="164" fontId="0" fillId="0" borderId="22" xfId="0" applyFont="false" applyBorder="true" applyAlignment="true" applyProtection="false">
      <alignment horizontal="center" vertical="bottom" textRotation="0" wrapText="false" indent="0" shrinkToFit="false"/>
      <protection locked="true" hidden="false"/>
    </xf>
    <xf numFmtId="171" fontId="34" fillId="0" borderId="30" xfId="19" applyFont="true" applyBorder="true" applyAlignment="true" applyProtection="true">
      <alignment horizontal="center" vertical="bottom" textRotation="0" wrapText="false" indent="0" shrinkToFit="false"/>
      <protection locked="true" hidden="false"/>
    </xf>
    <xf numFmtId="171" fontId="34" fillId="0" borderId="29" xfId="19" applyFont="true" applyBorder="true" applyAlignment="true" applyProtection="true">
      <alignment horizontal="center" vertical="bottom" textRotation="0" wrapText="false" indent="0" shrinkToFit="false"/>
      <protection locked="true" hidden="false"/>
    </xf>
    <xf numFmtId="164" fontId="0" fillId="0" borderId="30" xfId="0" applyFont="false" applyBorder="true" applyAlignment="true" applyProtection="false">
      <alignment horizontal="center" vertical="bottom" textRotation="0" wrapText="false" indent="0" shrinkToFit="false"/>
      <protection locked="true" hidden="false"/>
    </xf>
    <xf numFmtId="171" fontId="0" fillId="0" borderId="22" xfId="0" applyFont="false" applyBorder="true" applyAlignment="true" applyProtection="false">
      <alignment horizontal="center" vertical="bottom" textRotation="0" wrapText="false" indent="0" shrinkToFit="false"/>
      <protection locked="true" hidden="false"/>
    </xf>
    <xf numFmtId="171" fontId="34" fillId="0" borderId="22" xfId="19" applyFont="true" applyBorder="true" applyAlignment="true" applyProtection="true">
      <alignment horizontal="center" vertical="bottom" textRotation="0" wrapText="false" indent="0" shrinkToFit="false"/>
      <protection locked="true" hidden="false"/>
    </xf>
    <xf numFmtId="171" fontId="0" fillId="0" borderId="29" xfId="0" applyFont="false" applyBorder="true" applyAlignment="true" applyProtection="false">
      <alignment horizontal="center" vertical="bottom" textRotation="0" wrapText="false" indent="0" shrinkToFit="false"/>
      <protection locked="true" hidden="false"/>
    </xf>
    <xf numFmtId="171" fontId="0" fillId="0" borderId="22" xfId="0" applyFont="true" applyBorder="true" applyAlignment="true" applyProtection="false">
      <alignment horizontal="center" vertical="bottom" textRotation="0" wrapText="false" indent="0" shrinkToFit="false"/>
      <protection locked="true" hidden="false"/>
    </xf>
    <xf numFmtId="171" fontId="0" fillId="0" borderId="94" xfId="0" applyFont="true" applyBorder="true" applyAlignment="true" applyProtection="false">
      <alignment horizontal="center" vertical="bottom" textRotation="0" wrapText="false" indent="0" shrinkToFit="false"/>
      <protection locked="true" hidden="false"/>
    </xf>
    <xf numFmtId="167" fontId="0" fillId="0" borderId="27" xfId="0" applyFont="true" applyBorder="true" applyAlignment="true" applyProtection="false">
      <alignment horizontal="center" vertical="center" textRotation="0" wrapText="true" indent="0" shrinkToFit="false"/>
      <protection locked="true" hidden="false"/>
    </xf>
    <xf numFmtId="167" fontId="0" fillId="0" borderId="0" xfId="0" applyFont="true" applyBorder="true" applyAlignment="true" applyProtection="false">
      <alignment horizontal="center" vertical="center" textRotation="0" wrapText="true" indent="0" shrinkToFit="false"/>
      <protection locked="true" hidden="false"/>
    </xf>
    <xf numFmtId="173" fontId="0" fillId="0" borderId="9" xfId="0" applyFont="false" applyBorder="true" applyAlignment="true" applyProtection="false">
      <alignment horizontal="center" vertical="bottom" textRotation="0" wrapText="false" indent="0" shrinkToFit="false"/>
      <protection locked="true" hidden="false"/>
    </xf>
    <xf numFmtId="164" fontId="0" fillId="0" borderId="26" xfId="0" applyFont="false" applyBorder="true" applyAlignment="true" applyProtection="false">
      <alignment horizontal="center" vertical="bottom" textRotation="0" wrapText="false" indent="0" shrinkToFit="false"/>
      <protection locked="true" hidden="false"/>
    </xf>
    <xf numFmtId="167" fontId="37"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0" fillId="0" borderId="27" xfId="0" applyFont="false" applyBorder="true" applyAlignment="false" applyProtection="false">
      <alignment horizontal="general" vertical="bottom" textRotation="0" wrapText="false" indent="0" shrinkToFit="false"/>
      <protection locked="true" hidden="false"/>
    </xf>
    <xf numFmtId="167" fontId="0" fillId="0" borderId="0" xfId="0" applyFont="true" applyBorder="true" applyAlignment="true" applyProtection="false">
      <alignment horizontal="general" vertical="center" textRotation="0" wrapText="true" indent="0" shrinkToFit="false"/>
      <protection locked="true" hidden="false"/>
    </xf>
    <xf numFmtId="171" fontId="37" fillId="0" borderId="9" xfId="19" applyFont="true" applyBorder="true" applyAlignment="true" applyProtection="true">
      <alignment horizontal="center" vertical="bottom" textRotation="0" wrapText="false" indent="0" shrinkToFit="false"/>
      <protection locked="true" hidden="false"/>
    </xf>
    <xf numFmtId="171" fontId="0" fillId="0" borderId="27" xfId="0" applyFont="true" applyBorder="true" applyAlignment="true" applyProtection="false">
      <alignment horizontal="center" vertical="bottom" textRotation="0" wrapText="false" indent="0" shrinkToFit="false"/>
      <protection locked="true" hidden="false"/>
    </xf>
    <xf numFmtId="171" fontId="0" fillId="0" borderId="0" xfId="0" applyFont="true" applyBorder="true" applyAlignment="true" applyProtection="false">
      <alignment horizontal="center" vertical="bottom" textRotation="0" wrapText="false" indent="0" shrinkToFit="false"/>
      <protection locked="true" hidden="false"/>
    </xf>
    <xf numFmtId="177" fontId="37" fillId="0" borderId="9" xfId="19" applyFont="true" applyBorder="true" applyAlignment="true" applyProtection="true">
      <alignment horizontal="center" vertical="bottom" textRotation="0" wrapText="false" indent="0" shrinkToFit="false"/>
      <protection locked="true" hidden="false"/>
    </xf>
    <xf numFmtId="173" fontId="0" fillId="0" borderId="26" xfId="19" applyFont="true" applyBorder="true" applyAlignment="true" applyProtection="true">
      <alignment horizontal="center" vertical="bottom" textRotation="0" wrapText="false" indent="0" shrinkToFit="false"/>
      <protection locked="true" hidden="false"/>
    </xf>
    <xf numFmtId="165" fontId="0" fillId="0" borderId="27" xfId="0" applyFont="true" applyBorder="true" applyAlignment="false" applyProtection="false">
      <alignment horizontal="general" vertical="bottom" textRotation="0" wrapText="false" indent="0" shrinkToFit="false"/>
      <protection locked="true" hidden="false"/>
    </xf>
    <xf numFmtId="177" fontId="33" fillId="0" borderId="0" xfId="0" applyFont="true" applyBorder="true" applyAlignment="true" applyProtection="false">
      <alignment horizontal="center" vertical="bottom" textRotation="0" wrapText="false" indent="0" shrinkToFit="false"/>
      <protection locked="true" hidden="false"/>
    </xf>
    <xf numFmtId="164" fontId="0" fillId="0" borderId="12" xfId="0" applyFont="true" applyBorder="true" applyAlignment="true" applyProtection="false">
      <alignment horizontal="center" vertical="bottom" textRotation="0" wrapText="false" indent="0" shrinkToFit="false"/>
      <protection locked="true" hidden="false"/>
    </xf>
    <xf numFmtId="171" fontId="38" fillId="0" borderId="0" xfId="19" applyFont="true" applyBorder="true" applyAlignment="true" applyProtection="true">
      <alignment horizontal="center" vertical="bottom" textRotation="0" wrapText="false" indent="0" shrinkToFit="false"/>
      <protection locked="true" hidden="false"/>
    </xf>
    <xf numFmtId="164" fontId="0" fillId="0" borderId="32" xfId="0" applyFont="false" applyBorder="true" applyAlignment="false" applyProtection="false">
      <alignment horizontal="general" vertical="bottom" textRotation="0" wrapText="false" indent="0" shrinkToFit="false"/>
      <protection locked="true" hidden="false"/>
    </xf>
    <xf numFmtId="167" fontId="0" fillId="0" borderId="0" xfId="0" applyFont="true" applyBorder="false" applyAlignment="true" applyProtection="false">
      <alignment horizontal="center" vertical="bottom" textRotation="0" wrapText="false" indent="0" shrinkToFit="false"/>
      <protection locked="true" hidden="false"/>
    </xf>
    <xf numFmtId="177" fontId="33" fillId="0" borderId="0" xfId="0" applyFont="true" applyBorder="true" applyAlignment="true" applyProtection="false">
      <alignment horizontal="center" vertical="bottom" textRotation="0" wrapText="false" indent="0" shrinkToFit="false"/>
      <protection locked="true" hidden="false"/>
    </xf>
    <xf numFmtId="171" fontId="37" fillId="0" borderId="9" xfId="0" applyFont="true" applyBorder="true" applyAlignment="true" applyProtection="false">
      <alignment horizontal="center" vertical="bottom" textRotation="0" wrapText="false" indent="0" shrinkToFit="false"/>
      <protection locked="true" hidden="false"/>
    </xf>
    <xf numFmtId="171" fontId="0" fillId="0" borderId="0" xfId="0" applyFont="false" applyBorder="true" applyAlignment="true" applyProtection="false">
      <alignment horizontal="center" vertical="bottom" textRotation="0" wrapText="false" indent="0" shrinkToFit="false"/>
      <protection locked="true" hidden="false"/>
    </xf>
    <xf numFmtId="171" fontId="34" fillId="0" borderId="95" xfId="0" applyFont="true" applyBorder="true" applyAlignment="true" applyProtection="false">
      <alignment horizontal="center" vertical="bottom" textRotation="0" wrapText="false" indent="0" shrinkToFit="false"/>
      <protection locked="true" hidden="false"/>
    </xf>
    <xf numFmtId="165" fontId="0" fillId="0" borderId="27" xfId="0" applyFont="true" applyBorder="true" applyAlignment="false" applyProtection="false">
      <alignment horizontal="general" vertical="bottom" textRotation="0" wrapText="false" indent="0" shrinkToFit="false"/>
      <protection locked="true" hidden="false"/>
    </xf>
    <xf numFmtId="164" fontId="0" fillId="0" borderId="26" xfId="0" applyFont="true" applyBorder="true" applyAlignment="true" applyProtection="false">
      <alignment horizontal="center" vertical="bottom" textRotation="0" wrapText="false" indent="0" shrinkToFit="false"/>
      <protection locked="true" hidden="false"/>
    </xf>
    <xf numFmtId="164" fontId="0" fillId="0" borderId="9" xfId="0" applyFont="false" applyBorder="true" applyAlignment="true" applyProtection="false">
      <alignment horizontal="center" vertical="bottom" textRotation="0" wrapText="false" indent="0" shrinkToFit="false"/>
      <protection locked="true" hidden="false"/>
    </xf>
    <xf numFmtId="167" fontId="37" fillId="0" borderId="95" xfId="0" applyFont="true" applyBorder="true" applyAlignment="true" applyProtection="false">
      <alignment horizontal="center" vertical="bottom" textRotation="0" wrapText="false" indent="0" shrinkToFit="false"/>
      <protection locked="true" hidden="false"/>
    </xf>
    <xf numFmtId="167" fontId="0" fillId="0" borderId="0" xfId="0" applyFont="true" applyBorder="true" applyAlignment="true" applyProtection="false">
      <alignment horizontal="center" vertical="bottom" textRotation="0" wrapText="false" indent="0" shrinkToFit="false"/>
      <protection locked="true" hidden="false"/>
    </xf>
    <xf numFmtId="177" fontId="34" fillId="0" borderId="0" xfId="19" applyFont="true" applyBorder="true" applyAlignment="true" applyProtection="true">
      <alignment horizontal="center" vertical="bottom" textRotation="0" wrapText="false" indent="0" shrinkToFit="false"/>
      <protection locked="true" hidden="false"/>
    </xf>
    <xf numFmtId="171" fontId="38" fillId="0" borderId="9" xfId="19" applyFont="true" applyBorder="true" applyAlignment="true" applyProtection="true">
      <alignment horizontal="center" vertical="bottom" textRotation="0" wrapText="false" indent="0" shrinkToFit="false"/>
      <protection locked="true" hidden="false"/>
    </xf>
    <xf numFmtId="171" fontId="38" fillId="0" borderId="0" xfId="0" applyFont="true" applyBorder="true" applyAlignment="true" applyProtection="false">
      <alignment horizontal="center" vertical="bottom" textRotation="0" wrapText="false" indent="0" shrinkToFit="false"/>
      <protection locked="true" hidden="false"/>
    </xf>
    <xf numFmtId="171" fontId="0" fillId="0" borderId="32" xfId="19" applyFont="true" applyBorder="true" applyAlignment="true" applyProtection="true">
      <alignment horizontal="center" vertical="bottom" textRotation="0" wrapText="false" indent="0" shrinkToFit="false"/>
      <protection locked="true" hidden="false"/>
    </xf>
    <xf numFmtId="165" fontId="0" fillId="0" borderId="98" xfId="0" applyFont="true" applyBorder="true" applyAlignment="false" applyProtection="false">
      <alignment horizontal="general" vertical="bottom" textRotation="0" wrapText="false" indent="0" shrinkToFit="false"/>
      <protection locked="true" hidden="false"/>
    </xf>
    <xf numFmtId="177" fontId="33" fillId="0" borderId="100" xfId="0" applyFont="true" applyBorder="true" applyAlignment="true" applyProtection="false">
      <alignment horizontal="center" vertical="bottom" textRotation="0" wrapText="false" indent="0" shrinkToFit="false"/>
      <protection locked="true" hidden="false"/>
    </xf>
    <xf numFmtId="164" fontId="0" fillId="0" borderId="101" xfId="0" applyFont="false" applyBorder="true" applyAlignment="false" applyProtection="false">
      <alignment horizontal="general" vertical="bottom" textRotation="0" wrapText="false" indent="0" shrinkToFit="false"/>
      <protection locked="true" hidden="false"/>
    </xf>
    <xf numFmtId="171" fontId="38" fillId="0" borderId="95" xfId="19" applyFont="true" applyBorder="true" applyAlignment="true" applyProtection="true">
      <alignment horizontal="center" vertical="bottom" textRotation="0" wrapText="false" indent="0" shrinkToFit="false"/>
      <protection locked="true" hidden="false"/>
    </xf>
    <xf numFmtId="171" fontId="38" fillId="0" borderId="95" xfId="0" applyFont="true" applyBorder="true" applyAlignment="true" applyProtection="false">
      <alignment horizontal="center" vertical="bottom" textRotation="0" wrapText="false" indent="0" shrinkToFit="false"/>
      <protection locked="true" hidden="false"/>
    </xf>
    <xf numFmtId="182" fontId="0" fillId="0" borderId="0" xfId="0" applyFont="false" applyBorder="false" applyAlignment="false" applyProtection="false">
      <alignment horizontal="general" vertical="bottom" textRotation="0" wrapText="false" indent="0" shrinkToFit="false"/>
      <protection locked="true" hidden="false"/>
    </xf>
    <xf numFmtId="171" fontId="37" fillId="0" borderId="95" xfId="0" applyFont="true" applyBorder="true" applyAlignment="true" applyProtection="false">
      <alignment horizontal="center" vertical="bottom" textRotation="0" wrapText="false" indent="0" shrinkToFit="false"/>
      <protection locked="true" hidden="false"/>
    </xf>
    <xf numFmtId="165" fontId="37"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0" fillId="0" borderId="95" xfId="0" applyFont="false" applyBorder="true" applyAlignment="true" applyProtection="false">
      <alignment horizontal="center" vertical="bottom" textRotation="0" wrapText="false" indent="0" shrinkToFit="false"/>
      <protection locked="true" hidden="false"/>
    </xf>
    <xf numFmtId="165" fontId="37" fillId="0" borderId="48" xfId="0" applyFont="true" applyBorder="true" applyAlignment="true" applyProtection="false">
      <alignment horizontal="center" vertical="bottom" textRotation="0" wrapText="false" indent="0" shrinkToFit="false"/>
      <protection locked="true" hidden="false"/>
    </xf>
    <xf numFmtId="165" fontId="37" fillId="0" borderId="50" xfId="0" applyFont="true" applyBorder="true" applyAlignment="true" applyProtection="false">
      <alignment horizontal="center" vertical="bottom" textRotation="0" wrapText="false" indent="0" shrinkToFit="false"/>
      <protection locked="true" hidden="false"/>
    </xf>
    <xf numFmtId="173" fontId="0" fillId="0" borderId="49" xfId="19" applyFont="true" applyBorder="true" applyAlignment="true" applyProtection="true">
      <alignment horizontal="center" vertical="bottom" textRotation="0" wrapText="false" indent="0" shrinkToFit="false"/>
      <protection locked="true" hidden="false"/>
    </xf>
    <xf numFmtId="164" fontId="0" fillId="0" borderId="48" xfId="0" applyFont="false" applyBorder="true" applyAlignment="true" applyProtection="false">
      <alignment horizontal="center" vertical="bottom" textRotation="0" wrapText="false" indent="0" shrinkToFit="false"/>
      <protection locked="true" hidden="false"/>
    </xf>
    <xf numFmtId="164" fontId="0" fillId="0" borderId="49" xfId="0" applyFont="false" applyBorder="true" applyAlignment="true" applyProtection="false">
      <alignment horizontal="center" vertical="bottom" textRotation="0" wrapText="false" indent="0" shrinkToFit="false"/>
      <protection locked="true" hidden="false"/>
    </xf>
    <xf numFmtId="167" fontId="37" fillId="0" borderId="50" xfId="0" applyFont="true" applyBorder="true" applyAlignment="true" applyProtection="false">
      <alignment horizontal="center" vertical="bottom" textRotation="0" wrapText="false" indent="0" shrinkToFit="false"/>
      <protection locked="true" hidden="false"/>
    </xf>
    <xf numFmtId="165" fontId="0" fillId="0" borderId="48" xfId="0" applyFont="false" applyBorder="true" applyAlignment="true" applyProtection="false">
      <alignment horizontal="center" vertical="bottom" textRotation="0" wrapText="false" indent="0" shrinkToFit="false"/>
      <protection locked="true" hidden="false"/>
    </xf>
    <xf numFmtId="167" fontId="37" fillId="0" borderId="102" xfId="0" applyFont="true" applyBorder="true" applyAlignment="true" applyProtection="false">
      <alignment horizontal="center" vertical="bottom" textRotation="0" wrapText="false" indent="0" shrinkToFit="false"/>
      <protection locked="true" hidden="false"/>
    </xf>
    <xf numFmtId="184" fontId="0" fillId="0" borderId="0" xfId="19" applyFont="true" applyBorder="true" applyAlignment="true" applyProtection="true">
      <alignment horizontal="general" vertical="bottom" textRotation="0" wrapText="false" indent="0" shrinkToFit="false"/>
      <protection locked="true" hidden="false"/>
    </xf>
    <xf numFmtId="182" fontId="0" fillId="0" borderId="0" xfId="0" applyFont="false" applyBorder="tru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4" fontId="34" fillId="0" borderId="18" xfId="66" applyFont="true" applyBorder="true" applyAlignment="true" applyProtection="false">
      <alignment horizontal="center" vertical="center" textRotation="0" wrapText="true" indent="0" shrinkToFit="false"/>
      <protection locked="true" hidden="false"/>
    </xf>
    <xf numFmtId="164" fontId="34" fillId="0" borderId="75" xfId="66" applyFont="true" applyBorder="true" applyAlignment="true" applyProtection="false">
      <alignment horizontal="general" vertical="center" textRotation="0" wrapText="true" indent="0" shrinkToFit="false"/>
      <protection locked="true" hidden="false"/>
    </xf>
    <xf numFmtId="164" fontId="34" fillId="0" borderId="0" xfId="0" applyFont="true" applyBorder="true" applyAlignment="true" applyProtection="false">
      <alignment horizontal="center" vertical="center" textRotation="0" wrapText="false" indent="0" shrinkToFit="false"/>
      <protection locked="true" hidden="false"/>
    </xf>
    <xf numFmtId="164" fontId="32" fillId="0" borderId="9" xfId="0" applyFont="true" applyBorder="true" applyAlignment="true" applyProtection="false">
      <alignment horizontal="center" vertical="center" textRotation="0" wrapText="true" indent="0" shrinkToFit="false"/>
      <protection locked="true" hidden="false"/>
    </xf>
    <xf numFmtId="164" fontId="52" fillId="0" borderId="0" xfId="0" applyFont="true" applyBorder="true" applyAlignment="true" applyProtection="false">
      <alignment horizontal="center" vertical="center" textRotation="0" wrapText="true" indent="0" shrinkToFit="false"/>
      <protection locked="true" hidden="false"/>
    </xf>
    <xf numFmtId="164" fontId="32" fillId="0" borderId="29" xfId="66" applyFont="true" applyBorder="true" applyAlignment="true" applyProtection="false">
      <alignment horizontal="center" vertical="center" textRotation="0" wrapText="true" indent="0" shrinkToFit="false"/>
      <protection locked="true" hidden="false"/>
    </xf>
    <xf numFmtId="164" fontId="0" fillId="0" borderId="22" xfId="66" applyFont="true" applyBorder="true" applyAlignment="true" applyProtection="false">
      <alignment horizontal="center" vertical="center" textRotation="0" wrapText="true" indent="0" shrinkToFit="false"/>
      <protection locked="true" hidden="false"/>
    </xf>
    <xf numFmtId="164" fontId="36" fillId="0" borderId="75" xfId="0" applyFont="true" applyBorder="true" applyAlignment="true" applyProtection="false">
      <alignment horizontal="center" vertical="center" textRotation="0" wrapText="true" indent="0" shrinkToFit="false"/>
      <protection locked="true" hidden="false"/>
    </xf>
    <xf numFmtId="164" fontId="33" fillId="0" borderId="56" xfId="0" applyFont="true" applyBorder="true" applyAlignment="true" applyProtection="false">
      <alignment horizontal="center" vertical="center" textRotation="0" wrapText="true" indent="0" shrinkToFit="false"/>
      <protection locked="true" hidden="false"/>
    </xf>
    <xf numFmtId="164" fontId="0" fillId="0" borderId="66" xfId="0" applyFont="true" applyBorder="true" applyAlignment="true" applyProtection="false">
      <alignment horizontal="center" vertical="center" textRotation="0" wrapText="true" indent="0" shrinkToFit="false"/>
      <protection locked="true" hidden="false"/>
    </xf>
    <xf numFmtId="164" fontId="0" fillId="0" borderId="66" xfId="0" applyFont="true" applyBorder="true" applyAlignment="true" applyProtection="false">
      <alignment horizontal="center" vertical="center" textRotation="0" wrapText="true" indent="0" shrinkToFit="false"/>
      <protection locked="true" hidden="false"/>
    </xf>
    <xf numFmtId="164" fontId="0" fillId="0" borderId="56" xfId="66" applyFont="true" applyBorder="true" applyAlignment="true" applyProtection="false">
      <alignment horizontal="center" vertical="center" textRotation="0" wrapText="true" indent="0" shrinkToFit="false"/>
      <protection locked="true" hidden="false"/>
    </xf>
    <xf numFmtId="164" fontId="0" fillId="0" borderId="66" xfId="66" applyFont="true" applyBorder="true" applyAlignment="true" applyProtection="false">
      <alignment horizontal="center" vertical="center" textRotation="0" wrapText="true" indent="0" shrinkToFit="false"/>
      <protection locked="true" hidden="false"/>
    </xf>
    <xf numFmtId="167" fontId="0" fillId="0" borderId="9" xfId="0" applyFont="true" applyBorder="true" applyAlignment="true" applyProtection="false">
      <alignment horizontal="center" vertical="center" textRotation="0" wrapText="true" indent="0" shrinkToFit="false"/>
      <protection locked="true" hidden="false"/>
    </xf>
    <xf numFmtId="167" fontId="0" fillId="0" borderId="22" xfId="19" applyFont="true" applyBorder="true" applyAlignment="true" applyProtection="true">
      <alignment horizontal="center" vertical="center" textRotation="0" wrapText="true" indent="0" shrinkToFit="false"/>
      <protection locked="true" hidden="false"/>
    </xf>
    <xf numFmtId="171" fontId="37" fillId="0" borderId="22" xfId="19" applyFont="true" applyBorder="true" applyAlignment="true" applyProtection="true">
      <alignment horizontal="center" vertical="center" textRotation="0" wrapText="true" indent="0" shrinkToFit="false"/>
      <protection locked="true" hidden="false"/>
    </xf>
    <xf numFmtId="171" fontId="0" fillId="0" borderId="0" xfId="0" applyFont="true" applyBorder="true" applyAlignment="true" applyProtection="false">
      <alignment horizontal="center" vertical="center" textRotation="0" wrapText="true" indent="0" shrinkToFit="false"/>
      <protection locked="true" hidden="false"/>
    </xf>
    <xf numFmtId="167" fontId="0" fillId="0" borderId="0" xfId="19" applyFont="true" applyBorder="true" applyAlignment="true" applyProtection="true">
      <alignment horizontal="center" vertical="center" textRotation="0" wrapText="true" indent="0" shrinkToFit="false"/>
      <protection locked="true" hidden="false"/>
    </xf>
    <xf numFmtId="167" fontId="0" fillId="0" borderId="35" xfId="0" applyFont="true" applyBorder="true" applyAlignment="true" applyProtection="false">
      <alignment horizontal="center" vertical="center" textRotation="0" wrapText="true" indent="0" shrinkToFit="false"/>
      <protection locked="true" hidden="false"/>
    </xf>
    <xf numFmtId="171" fontId="0" fillId="0" borderId="37" xfId="0" applyFont="true" applyBorder="true" applyAlignment="true" applyProtection="false">
      <alignment horizontal="center" vertical="center" textRotation="0" wrapText="true" indent="0" shrinkToFit="false"/>
      <protection locked="true" hidden="false"/>
    </xf>
    <xf numFmtId="167" fontId="0" fillId="0" borderId="37" xfId="19" applyFont="true" applyBorder="true" applyAlignment="true" applyProtection="true">
      <alignment horizontal="center" vertical="center" textRotation="0" wrapText="true" indent="0" shrinkToFit="false"/>
      <protection locked="true" hidden="false"/>
    </xf>
    <xf numFmtId="171" fontId="37" fillId="0" borderId="37" xfId="19"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26"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0" fillId="0" borderId="32" xfId="0" applyFont="true" applyBorder="true" applyAlignment="false" applyProtection="false">
      <alignment horizontal="general" vertical="bottom" textRotation="0" wrapText="false" indent="0" shrinkToFit="false"/>
      <protection locked="true" hidden="false"/>
    </xf>
    <xf numFmtId="182" fontId="0" fillId="0" borderId="0" xfId="0" applyFont="true" applyBorder="false" applyAlignment="false" applyProtection="false">
      <alignment horizontal="general" vertical="bottom" textRotation="0" wrapText="false" indent="0" shrinkToFit="false"/>
      <protection locked="true" hidden="false"/>
    </xf>
    <xf numFmtId="185" fontId="0" fillId="0" borderId="9" xfId="0" applyFont="true" applyBorder="true" applyAlignment="true" applyProtection="false">
      <alignment horizontal="center" vertical="bottom" textRotation="0" wrapText="false" indent="0" shrinkToFit="false"/>
      <protection locked="true" hidden="false"/>
    </xf>
    <xf numFmtId="167" fontId="0" fillId="0" borderId="35" xfId="19" applyFont="true" applyBorder="true" applyAlignment="true" applyProtection="true">
      <alignment horizontal="center" vertical="bottom" textRotation="0" wrapText="false" indent="0" shrinkToFit="false"/>
      <protection locked="true" hidden="false"/>
    </xf>
    <xf numFmtId="167" fontId="0" fillId="0" borderId="37" xfId="0" applyFont="true" applyBorder="true" applyAlignment="true" applyProtection="false">
      <alignment horizontal="center" vertical="bottom" textRotation="0" wrapText="false" indent="0" shrinkToFit="false"/>
      <protection locked="true" hidden="false"/>
    </xf>
    <xf numFmtId="167" fontId="57" fillId="0" borderId="104" xfId="71" applyFont="true" applyBorder="true" applyAlignment="true" applyProtection="true">
      <alignment horizontal="center" vertical="bottom" textRotation="0" wrapText="false" indent="0" shrinkToFit="false"/>
      <protection locked="true" hidden="false"/>
    </xf>
    <xf numFmtId="167" fontId="0" fillId="0" borderId="48" xfId="19" applyFont="true" applyBorder="true" applyAlignment="true" applyProtection="true">
      <alignment horizontal="center" vertical="bottom" textRotation="0" wrapText="false" indent="0" shrinkToFit="false"/>
      <protection locked="true" hidden="false"/>
    </xf>
    <xf numFmtId="167" fontId="0" fillId="0" borderId="50" xfId="0" applyFont="true" applyBorder="true" applyAlignment="true" applyProtection="false">
      <alignment horizontal="center" vertical="bottom" textRotation="0" wrapText="false" indent="0" shrinkToFit="false"/>
      <protection locked="true" hidden="false"/>
    </xf>
    <xf numFmtId="180" fontId="0" fillId="0" borderId="0" xfId="19" applyFont="true" applyBorder="tru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64" fontId="0" fillId="0" borderId="95" xfId="0" applyFont="false" applyBorder="true" applyAlignment="false" applyProtection="false">
      <alignment horizontal="general" vertical="bottom" textRotation="0" wrapText="false" indent="0" shrinkToFit="false"/>
      <protection locked="true" hidden="false"/>
    </xf>
    <xf numFmtId="164" fontId="0" fillId="0" borderId="57" xfId="0" applyFont="false" applyBorder="true" applyAlignment="false" applyProtection="false">
      <alignment horizontal="general" vertical="bottom" textRotation="0" wrapText="false" indent="0" shrinkToFit="false"/>
      <protection locked="true" hidden="false"/>
    </xf>
    <xf numFmtId="171" fontId="0" fillId="0" borderId="56" xfId="0" applyFont="true" applyBorder="true" applyAlignment="true" applyProtection="false">
      <alignment horizontal="center" vertical="bottom" textRotation="0" wrapText="false" indent="0" shrinkToFit="false"/>
      <protection locked="true" hidden="false"/>
    </xf>
    <xf numFmtId="164" fontId="0" fillId="0" borderId="66" xfId="0" applyFont="false" applyBorder="true" applyAlignment="false" applyProtection="false">
      <alignment horizontal="general" vertical="bottom" textRotation="0" wrapText="false" indent="0" shrinkToFit="false"/>
      <protection locked="true" hidden="false"/>
    </xf>
    <xf numFmtId="167" fontId="0" fillId="0" borderId="105" xfId="0" applyFont="true" applyBorder="true" applyAlignment="true" applyProtection="false">
      <alignment horizontal="center" vertical="center" textRotation="0" wrapText="true" indent="0" shrinkToFit="false"/>
      <protection locked="true" hidden="false"/>
    </xf>
    <xf numFmtId="171" fontId="0" fillId="0" borderId="29" xfId="0" applyFont="true" applyBorder="true" applyAlignment="true" applyProtection="false">
      <alignment horizontal="center" vertical="bottom" textRotation="0" wrapText="false" indent="0" shrinkToFit="false"/>
      <protection locked="true" hidden="false"/>
    </xf>
    <xf numFmtId="173" fontId="0" fillId="0" borderId="0" xfId="19" applyFont="true" applyBorder="true" applyAlignment="true" applyProtection="true">
      <alignment horizontal="center" vertical="bottom" textRotation="0" wrapText="false" indent="0" shrinkToFit="false"/>
      <protection locked="true" hidden="false"/>
    </xf>
    <xf numFmtId="177" fontId="33" fillId="0" borderId="0" xfId="19" applyFont="true" applyBorder="true" applyAlignment="true" applyProtection="true">
      <alignment horizontal="center" vertical="bottom" textRotation="0" wrapText="false" indent="0" shrinkToFit="false"/>
      <protection locked="true" hidden="false"/>
    </xf>
    <xf numFmtId="164" fontId="0" fillId="0" borderId="95" xfId="0" applyFont="false" applyBorder="true" applyAlignment="false" applyProtection="false">
      <alignment horizontal="general" vertical="bottom" textRotation="0" wrapText="false" indent="0" shrinkToFit="false"/>
      <protection locked="true" hidden="false"/>
    </xf>
    <xf numFmtId="171" fontId="0" fillId="0" borderId="27" xfId="0" applyFont="true" applyBorder="true" applyAlignment="true" applyProtection="false">
      <alignment horizontal="center" vertical="bottom" textRotation="0" wrapText="false" indent="0" shrinkToFit="false"/>
      <protection locked="true" hidden="false"/>
    </xf>
    <xf numFmtId="167" fontId="37" fillId="0" borderId="9" xfId="0" applyFont="true" applyBorder="true" applyAlignment="true" applyProtection="false">
      <alignment horizontal="center" vertical="bottom" textRotation="0" wrapText="false" indent="0" shrinkToFit="false"/>
      <protection locked="true" hidden="false"/>
    </xf>
    <xf numFmtId="165" fontId="0" fillId="0" borderId="98" xfId="0" applyFont="true" applyBorder="true" applyAlignment="false" applyProtection="false">
      <alignment horizontal="general" vertical="bottom" textRotation="0" wrapText="false" indent="0" shrinkToFit="false"/>
      <protection locked="true" hidden="false"/>
    </xf>
    <xf numFmtId="177" fontId="33" fillId="0" borderId="100" xfId="0" applyFont="true" applyBorder="true" applyAlignment="true" applyProtection="false">
      <alignment horizontal="center" vertical="bottom" textRotation="0" wrapText="false" indent="0" shrinkToFit="false"/>
      <protection locked="true" hidden="false"/>
    </xf>
    <xf numFmtId="164" fontId="0" fillId="0" borderId="100" xfId="0" applyFont="false" applyBorder="tru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71" fontId="38" fillId="0" borderId="9" xfId="0" applyFont="true" applyBorder="true" applyAlignment="true" applyProtection="false">
      <alignment horizontal="center" vertical="bottom" textRotation="0" wrapText="false" indent="0" shrinkToFit="false"/>
      <protection locked="true" hidden="false"/>
    </xf>
    <xf numFmtId="177" fontId="0" fillId="0" borderId="0" xfId="0" applyFont="false" applyBorder="false" applyAlignment="false" applyProtection="false">
      <alignment horizontal="general" vertical="bottom" textRotation="0" wrapText="false" indent="0" shrinkToFit="false"/>
      <protection locked="true" hidden="false"/>
    </xf>
    <xf numFmtId="167" fontId="37" fillId="0" borderId="48" xfId="0" applyFont="true" applyBorder="true" applyAlignment="true" applyProtection="false">
      <alignment horizontal="center" vertical="bottom" textRotation="0" wrapText="false" indent="0" shrinkToFit="false"/>
      <protection locked="true" hidden="false"/>
    </xf>
    <xf numFmtId="164" fontId="0" fillId="0" borderId="50" xfId="0" applyFont="false" applyBorder="true" applyAlignment="false" applyProtection="false">
      <alignment horizontal="general" vertical="bottom" textRotation="0" wrapText="false" indent="0" shrinkToFit="false"/>
      <protection locked="true" hidden="false"/>
    </xf>
    <xf numFmtId="164" fontId="0" fillId="0" borderId="102" xfId="0" applyFont="false" applyBorder="true" applyAlignment="false" applyProtection="false">
      <alignment horizontal="general" vertical="bottom" textRotation="0" wrapText="false" indent="0" shrinkToFit="false"/>
      <protection locked="true" hidden="false"/>
    </xf>
    <xf numFmtId="171" fontId="3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52" fillId="0" borderId="26" xfId="0" applyFont="true" applyBorder="true" applyAlignment="true" applyProtection="false">
      <alignment horizontal="center" vertical="center" textRotation="0" wrapText="true" indent="0" shrinkToFit="false"/>
      <protection locked="true" hidden="false"/>
    </xf>
    <xf numFmtId="164" fontId="34" fillId="0" borderId="56" xfId="0" applyFont="true" applyBorder="true" applyAlignment="true" applyProtection="false">
      <alignment horizontal="center" vertical="center" textRotation="0" wrapText="true" indent="0" shrinkToFit="false"/>
      <protection locked="true" hidden="false"/>
    </xf>
    <xf numFmtId="164" fontId="34" fillId="0" borderId="106" xfId="0" applyFont="true" applyBorder="true" applyAlignment="true" applyProtection="false">
      <alignment horizontal="center" vertical="center" textRotation="0" wrapText="true" indent="0" shrinkToFit="false"/>
      <protection locked="true" hidden="false"/>
    </xf>
    <xf numFmtId="164" fontId="34" fillId="0" borderId="66" xfId="0" applyFont="true" applyBorder="true" applyAlignment="true" applyProtection="false">
      <alignment horizontal="center" vertical="center" textRotation="0" wrapText="false" indent="0" shrinkToFit="false"/>
      <protection locked="true" hidden="false"/>
    </xf>
    <xf numFmtId="164" fontId="32" fillId="0" borderId="75" xfId="0" applyFont="true" applyBorder="true" applyAlignment="true" applyProtection="false">
      <alignment horizontal="center" vertical="center" textRotation="0" wrapText="true" indent="0" shrinkToFit="false"/>
      <protection locked="true" hidden="false"/>
    </xf>
    <xf numFmtId="164" fontId="32" fillId="0" borderId="56" xfId="0" applyFont="true" applyBorder="true" applyAlignment="true" applyProtection="false">
      <alignment horizontal="center" vertical="center" textRotation="0" wrapText="true" indent="0" shrinkToFit="false"/>
      <protection locked="true" hidden="false"/>
    </xf>
    <xf numFmtId="164" fontId="32" fillId="0" borderId="66" xfId="0" applyFont="true" applyBorder="true" applyAlignment="true" applyProtection="false">
      <alignment horizontal="center" vertical="center" textRotation="0" wrapText="true" indent="0" shrinkToFit="false"/>
      <protection locked="true" hidden="false"/>
    </xf>
    <xf numFmtId="164" fontId="32" fillId="0" borderId="17" xfId="0" applyFont="true" applyBorder="true" applyAlignment="true" applyProtection="false">
      <alignment horizontal="center" vertical="center" textRotation="0" wrapText="true" indent="0" shrinkToFit="false"/>
      <protection locked="true" hidden="false"/>
    </xf>
    <xf numFmtId="164" fontId="36" fillId="0" borderId="66" xfId="0" applyFont="true" applyBorder="true" applyAlignment="true" applyProtection="false">
      <alignment horizontal="center" vertical="center" textRotation="0" wrapText="true" indent="0" shrinkToFit="false"/>
      <protection locked="true" hidden="false"/>
    </xf>
    <xf numFmtId="164" fontId="32" fillId="0" borderId="66" xfId="0" applyFont="true" applyBorder="true" applyAlignment="true" applyProtection="false">
      <alignment horizontal="center" vertical="center" textRotation="0" wrapText="true" indent="0" shrinkToFit="false"/>
      <protection locked="true" hidden="false"/>
    </xf>
    <xf numFmtId="171" fontId="0" fillId="0" borderId="22" xfId="0" applyFont="true" applyBorder="true" applyAlignment="true" applyProtection="false">
      <alignment horizontal="center" vertical="center" textRotation="0" wrapText="true" indent="0" shrinkToFit="false"/>
      <protection locked="true" hidden="false"/>
    </xf>
    <xf numFmtId="171" fontId="0" fillId="0" borderId="29" xfId="0" applyFont="true" applyBorder="true" applyAlignment="true" applyProtection="false">
      <alignment horizontal="center" vertical="center" textRotation="0" wrapText="true" indent="0" shrinkToFit="false"/>
      <protection locked="true" hidden="false"/>
    </xf>
    <xf numFmtId="171" fontId="0" fillId="0" borderId="22" xfId="19" applyFont="true" applyBorder="true" applyAlignment="true" applyProtection="true">
      <alignment horizontal="general" vertical="bottom" textRotation="0" wrapText="false" indent="0" shrinkToFit="false"/>
      <protection locked="true" hidden="false"/>
    </xf>
    <xf numFmtId="171" fontId="0" fillId="0" borderId="30" xfId="19" applyFont="true" applyBorder="true" applyAlignment="true" applyProtection="true">
      <alignment horizontal="center" vertical="bottom" textRotation="0" wrapText="false" indent="0" shrinkToFit="false"/>
      <protection locked="true" hidden="false"/>
    </xf>
    <xf numFmtId="167" fontId="0" fillId="0" borderId="22" xfId="19" applyFont="true" applyBorder="true" applyAlignment="true" applyProtection="true">
      <alignment horizontal="center" vertical="bottom" textRotation="0" wrapText="false" indent="0" shrinkToFit="false"/>
      <protection locked="true" hidden="false"/>
    </xf>
    <xf numFmtId="171" fontId="0" fillId="0" borderId="22" xfId="0" applyFont="false" applyBorder="true" applyAlignment="true" applyProtection="false">
      <alignment horizontal="center" vertical="bottom" textRotation="0" wrapText="false" indent="0" shrinkToFit="false"/>
      <protection locked="true" hidden="false"/>
    </xf>
    <xf numFmtId="171" fontId="0" fillId="0" borderId="22" xfId="0" applyFont="true" applyBorder="true" applyAlignment="true" applyProtection="false">
      <alignment horizontal="center" vertical="bottom" textRotation="0" wrapText="false" indent="0" shrinkToFit="false"/>
      <protection locked="true" hidden="false"/>
    </xf>
    <xf numFmtId="167" fontId="0" fillId="0" borderId="94" xfId="0" applyFont="true" applyBorder="true" applyAlignment="true" applyProtection="false">
      <alignment horizontal="center" vertical="bottom" textRotation="0" wrapText="false" indent="0" shrinkToFit="false"/>
      <protection locked="true" hidden="false"/>
    </xf>
    <xf numFmtId="171" fontId="0" fillId="0" borderId="9" xfId="0" applyFont="true" applyBorder="true" applyAlignment="true" applyProtection="false">
      <alignment horizontal="center" vertical="center" textRotation="0" wrapText="true" indent="0" shrinkToFit="false"/>
      <protection locked="true" hidden="false"/>
    </xf>
    <xf numFmtId="167" fontId="0" fillId="0" borderId="0" xfId="19" applyFont="true" applyBorder="true" applyAlignment="true" applyProtection="true">
      <alignment horizontal="center" vertical="bottom" textRotation="0" wrapText="false" indent="0" shrinkToFit="false"/>
      <protection locked="true" hidden="false"/>
    </xf>
    <xf numFmtId="171" fontId="0" fillId="0" borderId="0" xfId="0" applyFont="false" applyBorder="true" applyAlignment="true" applyProtection="false">
      <alignment horizontal="center" vertical="bottom" textRotation="0" wrapText="false" indent="0" shrinkToFit="false"/>
      <protection locked="true" hidden="false"/>
    </xf>
    <xf numFmtId="167" fontId="0" fillId="0" borderId="95" xfId="0" applyFont="true" applyBorder="true" applyAlignment="true" applyProtection="false">
      <alignment horizontal="center" vertical="bottom" textRotation="0" wrapText="false" indent="0" shrinkToFit="false"/>
      <protection locked="true" hidden="false"/>
    </xf>
    <xf numFmtId="164" fontId="0" fillId="0" borderId="41" xfId="0" applyFont="false" applyBorder="true" applyAlignment="true" applyProtection="false">
      <alignment horizontal="center" vertical="bottom" textRotation="0" wrapText="true" indent="0" shrinkToFit="false"/>
      <protection locked="true" hidden="false"/>
    </xf>
    <xf numFmtId="167" fontId="0" fillId="0" borderId="44" xfId="19" applyFont="true" applyBorder="true" applyAlignment="true" applyProtection="true">
      <alignment horizontal="center" vertical="center" textRotation="0" wrapText="true" indent="0" shrinkToFit="false"/>
      <protection locked="true" hidden="false"/>
    </xf>
    <xf numFmtId="171" fontId="0" fillId="0" borderId="44" xfId="0" applyFont="true" applyBorder="true" applyAlignment="true" applyProtection="false">
      <alignment horizontal="center" vertical="center" textRotation="0" wrapText="true" indent="0" shrinkToFit="false"/>
      <protection locked="true" hidden="false"/>
    </xf>
    <xf numFmtId="171" fontId="0" fillId="0" borderId="42" xfId="0" applyFont="true" applyBorder="true" applyAlignment="true" applyProtection="false">
      <alignment horizontal="center" vertical="center" textRotation="0" wrapText="true" indent="0" shrinkToFit="false"/>
      <protection locked="true" hidden="false"/>
    </xf>
    <xf numFmtId="167" fontId="0" fillId="0" borderId="44" xfId="0" applyFont="true" applyBorder="true" applyAlignment="true" applyProtection="false">
      <alignment horizontal="center" vertical="center" textRotation="0" wrapText="true" indent="0" shrinkToFit="false"/>
      <protection locked="true" hidden="false"/>
    </xf>
    <xf numFmtId="171" fontId="0" fillId="0" borderId="43" xfId="19" applyFont="true" applyBorder="true" applyAlignment="true" applyProtection="true">
      <alignment horizontal="center" vertical="bottom" textRotation="0" wrapText="false" indent="0" shrinkToFit="false"/>
      <protection locked="true" hidden="false"/>
    </xf>
    <xf numFmtId="167" fontId="0" fillId="0" borderId="44" xfId="19" applyFont="true" applyBorder="true" applyAlignment="true" applyProtection="true">
      <alignment horizontal="center" vertical="bottom" textRotation="0" wrapText="false" indent="0" shrinkToFit="false"/>
      <protection locked="true" hidden="false"/>
    </xf>
    <xf numFmtId="167" fontId="0" fillId="0" borderId="44" xfId="0" applyFont="false" applyBorder="true" applyAlignment="true" applyProtection="false">
      <alignment horizontal="center" vertical="bottom" textRotation="0" wrapText="false" indent="0" shrinkToFit="false"/>
      <protection locked="true" hidden="false"/>
    </xf>
    <xf numFmtId="167" fontId="0" fillId="0" borderId="44" xfId="0" applyFont="true" applyBorder="true" applyAlignment="true" applyProtection="false">
      <alignment horizontal="center" vertical="bottom" textRotation="0" wrapText="false" indent="0" shrinkToFit="false"/>
      <protection locked="true" hidden="false"/>
    </xf>
    <xf numFmtId="167" fontId="0" fillId="0" borderId="97" xfId="0" applyFont="true" applyBorder="true" applyAlignment="true" applyProtection="false">
      <alignment horizontal="center" vertical="bottom" textRotation="0" wrapText="false" indent="0" shrinkToFit="false"/>
      <protection locked="true" hidden="false"/>
    </xf>
    <xf numFmtId="167" fontId="0" fillId="0" borderId="0" xfId="0" applyFont="false" applyBorder="true" applyAlignment="true" applyProtection="false">
      <alignment horizontal="center" vertical="bottom" textRotation="0" wrapText="false" indent="0" shrinkToFit="false"/>
      <protection locked="true" hidden="false"/>
    </xf>
    <xf numFmtId="171" fontId="34" fillId="0" borderId="9" xfId="0" applyFont="true" applyBorder="true" applyAlignment="true" applyProtection="false">
      <alignment horizontal="center" vertical="center" textRotation="0" wrapText="true" indent="0" shrinkToFit="false"/>
      <protection locked="true" hidden="false"/>
    </xf>
    <xf numFmtId="167" fontId="34" fillId="0" borderId="0" xfId="0" applyFont="true" applyBorder="true" applyAlignment="true" applyProtection="false">
      <alignment horizontal="center" vertical="center" textRotation="0" wrapText="true" indent="0" shrinkToFit="false"/>
      <protection locked="true" hidden="false"/>
    </xf>
    <xf numFmtId="167" fontId="34" fillId="0" borderId="0" xfId="19" applyFont="true" applyBorder="true" applyAlignment="true" applyProtection="true">
      <alignment horizontal="center" vertical="bottom" textRotation="0" wrapText="false" indent="0" shrinkToFit="false"/>
      <protection locked="true" hidden="false"/>
    </xf>
    <xf numFmtId="167" fontId="34" fillId="0" borderId="0" xfId="0" applyFont="true" applyBorder="true" applyAlignment="true" applyProtection="false">
      <alignment horizontal="center" vertical="bottom" textRotation="0" wrapText="false" indent="0" shrinkToFit="false"/>
      <protection locked="true" hidden="false"/>
    </xf>
    <xf numFmtId="167" fontId="34" fillId="0" borderId="95" xfId="0" applyFont="true" applyBorder="true" applyAlignment="true" applyProtection="false">
      <alignment horizontal="center" vertical="bottom" textRotation="0" wrapText="false" indent="0" shrinkToFit="false"/>
      <protection locked="true" hidden="false"/>
    </xf>
    <xf numFmtId="167" fontId="37" fillId="0" borderId="44" xfId="0" applyFont="true" applyBorder="true" applyAlignment="true" applyProtection="false">
      <alignment horizontal="center" vertical="bottom" textRotation="0" wrapText="false" indent="0" shrinkToFit="false"/>
      <protection locked="true" hidden="false"/>
    </xf>
    <xf numFmtId="185" fontId="34" fillId="0" borderId="9" xfId="0" applyFont="true" applyBorder="true" applyAlignment="true" applyProtection="false">
      <alignment horizontal="center" vertical="bottom" textRotation="0" wrapText="false" indent="0" shrinkToFit="false"/>
      <protection locked="true" hidden="false"/>
    </xf>
    <xf numFmtId="167" fontId="38" fillId="0" borderId="0" xfId="0" applyFont="true" applyBorder="true" applyAlignment="true" applyProtection="false">
      <alignment horizontal="center" vertical="bottom" textRotation="0" wrapText="false" indent="0" shrinkToFit="false"/>
      <protection locked="true" hidden="false"/>
    </xf>
    <xf numFmtId="167" fontId="37" fillId="0" borderId="37" xfId="0" applyFont="true" applyBorder="true" applyAlignment="true" applyProtection="false">
      <alignment horizontal="center" vertical="bottom" textRotation="0" wrapText="false" indent="0" shrinkToFit="false"/>
      <protection locked="true" hidden="false"/>
    </xf>
    <xf numFmtId="171" fontId="0" fillId="0" borderId="35" xfId="0" applyFont="true" applyBorder="true" applyAlignment="true" applyProtection="false">
      <alignment horizontal="center" vertical="center" textRotation="0" wrapText="true" indent="0" shrinkToFit="false"/>
      <protection locked="true" hidden="false"/>
    </xf>
    <xf numFmtId="167" fontId="0" fillId="0" borderId="37" xfId="19" applyFont="true" applyBorder="true" applyAlignment="true" applyProtection="true">
      <alignment horizontal="center" vertical="bottom" textRotation="0" wrapText="false" indent="0" shrinkToFit="false"/>
      <protection locked="true" hidden="false"/>
    </xf>
    <xf numFmtId="167" fontId="0" fillId="0" borderId="37" xfId="0" applyFont="false" applyBorder="true" applyAlignment="true" applyProtection="false">
      <alignment horizontal="center" vertical="bottom" textRotation="0" wrapText="false" indent="0" shrinkToFit="false"/>
      <protection locked="true" hidden="false"/>
    </xf>
    <xf numFmtId="167" fontId="0" fillId="0" borderId="37" xfId="0" applyFont="true" applyBorder="true" applyAlignment="true" applyProtection="false">
      <alignment horizontal="center" vertical="bottom" textRotation="0" wrapText="false" indent="0" shrinkToFit="false"/>
      <protection locked="true" hidden="false"/>
    </xf>
    <xf numFmtId="167" fontId="0" fillId="0" borderId="96" xfId="0" applyFont="true" applyBorder="true" applyAlignment="true" applyProtection="false">
      <alignment horizontal="center" vertical="bottom" textRotation="0" wrapText="false" indent="0" shrinkToFit="false"/>
      <protection locked="true" hidden="false"/>
    </xf>
    <xf numFmtId="167" fontId="34" fillId="0" borderId="0" xfId="0" applyFont="true" applyBorder="true" applyAlignment="true" applyProtection="false">
      <alignment horizontal="center" vertical="bottom" textRotation="0" wrapText="false" indent="0" shrinkToFit="false"/>
      <protection locked="true" hidden="false"/>
    </xf>
    <xf numFmtId="171" fontId="34" fillId="0" borderId="35" xfId="0" applyFont="true" applyBorder="true" applyAlignment="true" applyProtection="false">
      <alignment horizontal="center" vertical="center" textRotation="0" wrapText="true" indent="0" shrinkToFit="false"/>
      <protection locked="true" hidden="false"/>
    </xf>
    <xf numFmtId="167" fontId="34" fillId="0" borderId="37" xfId="0" applyFont="true" applyBorder="true" applyAlignment="true" applyProtection="false">
      <alignment horizontal="center" vertical="center" textRotation="0" wrapText="true" indent="0" shrinkToFit="false"/>
      <protection locked="true" hidden="false"/>
    </xf>
    <xf numFmtId="167" fontId="34" fillId="0" borderId="37" xfId="19" applyFont="true" applyBorder="true" applyAlignment="true" applyProtection="true">
      <alignment horizontal="center" vertical="bottom" textRotation="0" wrapText="false" indent="0" shrinkToFit="false"/>
      <protection locked="true" hidden="false"/>
    </xf>
    <xf numFmtId="167" fontId="34" fillId="0" borderId="37" xfId="0" applyFont="true" applyBorder="true" applyAlignment="true" applyProtection="false">
      <alignment horizontal="center" vertical="bottom" textRotation="0" wrapText="false" indent="0" shrinkToFit="false"/>
      <protection locked="true" hidden="false"/>
    </xf>
    <xf numFmtId="167" fontId="34" fillId="0" borderId="96" xfId="0" applyFont="true" applyBorder="true" applyAlignment="true" applyProtection="false">
      <alignment horizontal="center" vertical="bottom" textRotation="0" wrapText="false" indent="0" shrinkToFit="false"/>
      <protection locked="true" hidden="false"/>
    </xf>
    <xf numFmtId="167" fontId="37" fillId="0" borderId="0" xfId="19" applyFont="true" applyBorder="true" applyAlignment="true" applyProtection="true">
      <alignment horizontal="center" vertical="bottom" textRotation="0" wrapText="false" indent="0" shrinkToFit="false"/>
      <protection locked="true" hidden="false"/>
    </xf>
    <xf numFmtId="167" fontId="37" fillId="0" borderId="0" xfId="0" applyFont="true" applyBorder="true" applyAlignment="true" applyProtection="false">
      <alignment horizontal="center" vertical="bottom" textRotation="0" wrapText="false" indent="0" shrinkToFit="false"/>
      <protection locked="true" hidden="false"/>
    </xf>
    <xf numFmtId="167" fontId="37" fillId="0" borderId="95" xfId="0" applyFont="true" applyBorder="true" applyAlignment="true" applyProtection="false">
      <alignment horizontal="center" vertical="bottom" textRotation="0" wrapText="false" indent="0" shrinkToFit="false"/>
      <protection locked="true" hidden="false"/>
    </xf>
    <xf numFmtId="167" fontId="37" fillId="0" borderId="37" xfId="19" applyFont="true" applyBorder="true" applyAlignment="true" applyProtection="true">
      <alignment horizontal="center" vertical="bottom" textRotation="0" wrapText="false" indent="0" shrinkToFit="false"/>
      <protection locked="true" hidden="false"/>
    </xf>
    <xf numFmtId="182" fontId="0" fillId="0" borderId="37" xfId="0" applyFont="false" applyBorder="true" applyAlignment="false" applyProtection="false">
      <alignment horizontal="general" vertical="bottom" textRotation="0" wrapText="false" indent="0" shrinkToFit="false"/>
      <protection locked="true" hidden="false"/>
    </xf>
    <xf numFmtId="171" fontId="0" fillId="0" borderId="37" xfId="0" applyFont="true" applyBorder="true" applyAlignment="true" applyProtection="false">
      <alignment horizontal="center" vertical="bottom" textRotation="0" wrapText="false" indent="0" shrinkToFit="false"/>
      <protection locked="true" hidden="false"/>
    </xf>
    <xf numFmtId="182" fontId="34" fillId="0" borderId="0" xfId="0" applyFont="true" applyBorder="true" applyAlignment="false" applyProtection="false">
      <alignment horizontal="general" vertical="bottom" textRotation="0" wrapText="false" indent="0" shrinkToFit="false"/>
      <protection locked="true" hidden="false"/>
    </xf>
    <xf numFmtId="167" fontId="0" fillId="0" borderId="44" xfId="0" applyFont="true" applyBorder="true" applyAlignment="true" applyProtection="false">
      <alignment horizontal="center" vertical="bottom" textRotation="0" wrapText="false" indent="0" shrinkToFit="false"/>
      <protection locked="true" hidden="false"/>
    </xf>
    <xf numFmtId="164" fontId="0" fillId="0" borderId="103" xfId="0" applyFont="true" applyBorder="true" applyAlignment="false" applyProtection="false">
      <alignment horizontal="general" vertical="bottom" textRotation="0" wrapText="false" indent="0" shrinkToFit="false"/>
      <protection locked="true" hidden="false"/>
    </xf>
    <xf numFmtId="164" fontId="0" fillId="0" borderId="90" xfId="0" applyFont="false" applyBorder="true" applyAlignment="false" applyProtection="false">
      <alignment horizontal="general" vertical="bottom" textRotation="0" wrapText="false" indent="0" shrinkToFit="false"/>
      <protection locked="true" hidden="false"/>
    </xf>
    <xf numFmtId="164" fontId="0" fillId="0" borderId="32" xfId="0" applyFont="true" applyBorder="true" applyAlignment="true" applyProtection="false">
      <alignment horizontal="center" vertical="bottom" textRotation="0" wrapText="false" indent="0" shrinkToFit="false"/>
      <protection locked="true" hidden="false"/>
    </xf>
    <xf numFmtId="171" fontId="0" fillId="0" borderId="32" xfId="0" applyFont="false" applyBorder="true" applyAlignment="true" applyProtection="false">
      <alignment horizontal="center" vertical="bottom" textRotation="0" wrapText="false" indent="0" shrinkToFit="false"/>
      <protection locked="true" hidden="false"/>
    </xf>
    <xf numFmtId="171" fontId="0" fillId="0" borderId="48" xfId="0" applyFont="true" applyBorder="true" applyAlignment="true" applyProtection="false">
      <alignment horizontal="center" vertical="center" textRotation="0" wrapText="true" indent="0" shrinkToFit="false"/>
      <protection locked="true" hidden="false"/>
    </xf>
    <xf numFmtId="167" fontId="0" fillId="0" borderId="50" xfId="0" applyFont="true" applyBorder="true" applyAlignment="true" applyProtection="false">
      <alignment horizontal="center" vertical="center" textRotation="0" wrapText="true" indent="0" shrinkToFit="false"/>
      <protection locked="true" hidden="false"/>
    </xf>
    <xf numFmtId="171" fontId="0" fillId="0" borderId="49" xfId="19" applyFont="true" applyBorder="true" applyAlignment="true" applyProtection="true">
      <alignment horizontal="center" vertical="bottom" textRotation="0" wrapText="false" indent="0" shrinkToFit="false"/>
      <protection locked="true" hidden="false"/>
    </xf>
    <xf numFmtId="167" fontId="0" fillId="0" borderId="50" xfId="19" applyFont="true" applyBorder="true" applyAlignment="true" applyProtection="true">
      <alignment horizontal="center" vertical="bottom" textRotation="0" wrapText="false" indent="0" shrinkToFit="false"/>
      <protection locked="true" hidden="false"/>
    </xf>
    <xf numFmtId="167" fontId="0" fillId="0" borderId="50" xfId="0" applyFont="true" applyBorder="true" applyAlignment="true" applyProtection="false">
      <alignment horizontal="center" vertical="bottom" textRotation="0" wrapText="false" indent="0" shrinkToFit="false"/>
      <protection locked="true" hidden="false"/>
    </xf>
    <xf numFmtId="171" fontId="0" fillId="0" borderId="50" xfId="0" applyFont="true" applyBorder="true" applyAlignment="true" applyProtection="false">
      <alignment horizontal="center" vertical="bottom" textRotation="0" wrapText="false" indent="0" shrinkToFit="false"/>
      <protection locked="true" hidden="false"/>
    </xf>
    <xf numFmtId="167" fontId="0" fillId="0" borderId="102" xfId="0" applyFont="true" applyBorder="true" applyAlignment="true" applyProtection="false">
      <alignment horizontal="center" vertical="bottom" textRotation="0" wrapText="false" indent="0" shrinkToFit="false"/>
      <protection locked="true" hidden="false"/>
    </xf>
    <xf numFmtId="164" fontId="37" fillId="0" borderId="27" xfId="0" applyFont="true" applyBorder="true" applyAlignment="false" applyProtection="false">
      <alignment horizontal="general" vertical="bottom" textRotation="0" wrapText="false" indent="0" shrinkToFit="false"/>
      <protection locked="true" hidden="false"/>
    </xf>
    <xf numFmtId="177" fontId="33" fillId="0" borderId="32" xfId="19" applyFont="true" applyBorder="true" applyAlignment="true" applyProtection="true">
      <alignment horizontal="center" vertical="bottom" textRotation="0" wrapText="false" indent="0" shrinkToFit="false"/>
      <protection locked="true" hidden="false"/>
    </xf>
    <xf numFmtId="167" fontId="0" fillId="0" borderId="95" xfId="0" applyFont="false" applyBorder="true" applyAlignment="true" applyProtection="false">
      <alignment horizontal="center" vertical="bottom" textRotation="0" wrapText="false" indent="0" shrinkToFit="false"/>
      <protection locked="true" hidden="false"/>
    </xf>
    <xf numFmtId="164" fontId="0" fillId="0" borderId="22" xfId="0" applyFont="false" applyBorder="true" applyAlignment="false" applyProtection="false">
      <alignment horizontal="general" vertical="bottom" textRotation="0" wrapText="false" indent="0" shrinkToFit="false"/>
      <protection locked="true" hidden="false"/>
    </xf>
    <xf numFmtId="182" fontId="0" fillId="0" borderId="22" xfId="19" applyFont="true" applyBorder="true" applyAlignment="true" applyProtection="true">
      <alignment horizontal="general" vertical="bottom" textRotation="0" wrapText="false" indent="0" shrinkToFit="false"/>
      <protection locked="true" hidden="false"/>
    </xf>
    <xf numFmtId="182" fontId="0" fillId="0" borderId="30" xfId="19" applyFont="true" applyBorder="true" applyAlignment="true" applyProtection="true">
      <alignment horizontal="general" vertical="bottom" textRotation="0" wrapText="false" indent="0" shrinkToFit="false"/>
      <protection locked="true" hidden="false"/>
    </xf>
    <xf numFmtId="164" fontId="37" fillId="0" borderId="98" xfId="0" applyFont="true" applyBorder="true" applyAlignment="false" applyProtection="false">
      <alignment horizontal="general" vertical="bottom" textRotation="0" wrapText="false" indent="0" shrinkToFit="false"/>
      <protection locked="true" hidden="false"/>
    </xf>
    <xf numFmtId="177" fontId="33" fillId="0" borderId="101" xfId="19" applyFont="true" applyBorder="true" applyAlignment="true" applyProtection="true">
      <alignment horizontal="center" vertical="bottom" textRotation="0" wrapText="false" indent="0" shrinkToFit="false"/>
      <protection locked="true" hidden="false"/>
    </xf>
    <xf numFmtId="164" fontId="0" fillId="0" borderId="26" xfId="0" applyFont="false" applyBorder="true" applyAlignment="true" applyProtection="false">
      <alignment horizontal="general" vertical="bottom" textRotation="0" wrapText="false" indent="0" shrinkToFit="false"/>
      <protection locked="true" hidden="false"/>
    </xf>
    <xf numFmtId="182" fontId="0" fillId="0" borderId="26" xfId="19" applyFont="true" applyBorder="true" applyAlignment="true" applyProtection="true">
      <alignment horizontal="general" vertical="bottom" textRotation="0" wrapText="false" indent="0" shrinkToFit="false"/>
      <protection locked="true" hidden="false"/>
    </xf>
    <xf numFmtId="164" fontId="0" fillId="0" borderId="50" xfId="0" applyFont="false" applyBorder="true" applyAlignment="true" applyProtection="false">
      <alignment horizontal="center" vertical="bottom" textRotation="0" wrapText="false" indent="0" shrinkToFit="false"/>
      <protection locked="true" hidden="false"/>
    </xf>
    <xf numFmtId="164" fontId="0" fillId="0" borderId="50" xfId="0" applyFont="false" applyBorder="true" applyAlignment="false" applyProtection="false">
      <alignment horizontal="general" vertical="bottom" textRotation="0" wrapText="false" indent="0" shrinkToFit="false"/>
      <protection locked="true" hidden="false"/>
    </xf>
    <xf numFmtId="164" fontId="0" fillId="0" borderId="49" xfId="0" applyFont="false" applyBorder="true" applyAlignment="false" applyProtection="false">
      <alignment horizontal="general" vertical="bottom" textRotation="0" wrapText="false" indent="0" shrinkToFit="false"/>
      <protection locked="true" hidden="false"/>
    </xf>
    <xf numFmtId="164" fontId="0" fillId="0" borderId="0" xfId="57" applyFont="true" applyBorder="false" applyAlignment="false" applyProtection="false">
      <alignment horizontal="general" vertical="bottom" textRotation="0" wrapText="false" indent="0" shrinkToFit="false"/>
      <protection locked="true" hidden="false"/>
    </xf>
    <xf numFmtId="164" fontId="34" fillId="0" borderId="0" xfId="57" applyFont="true" applyBorder="false" applyAlignment="false" applyProtection="false">
      <alignment horizontal="general" vertical="bottom" textRotation="0" wrapText="false" indent="0" shrinkToFit="false"/>
      <protection locked="true" hidden="false"/>
    </xf>
    <xf numFmtId="164" fontId="28" fillId="0" borderId="11" xfId="57" applyFont="true" applyBorder="true" applyAlignment="true" applyProtection="false">
      <alignment horizontal="center" vertical="center" textRotation="0" wrapText="false" indent="0" shrinkToFit="false"/>
      <protection locked="true" hidden="false"/>
    </xf>
    <xf numFmtId="164" fontId="0" fillId="0" borderId="12" xfId="57" applyFont="true" applyBorder="true" applyAlignment="false" applyProtection="false">
      <alignment horizontal="general" vertical="bottom" textRotation="0" wrapText="false" indent="0" shrinkToFit="false"/>
      <protection locked="true" hidden="false"/>
    </xf>
    <xf numFmtId="164" fontId="0" fillId="0" borderId="0" xfId="57" applyFont="true" applyBorder="true" applyAlignment="false" applyProtection="false">
      <alignment horizontal="general" vertical="bottom" textRotation="0" wrapText="false" indent="0" shrinkToFit="false"/>
      <protection locked="true" hidden="false"/>
    </xf>
    <xf numFmtId="164" fontId="0" fillId="0" borderId="13" xfId="57" applyFont="true" applyBorder="true" applyAlignment="false" applyProtection="false">
      <alignment horizontal="general" vertical="bottom" textRotation="0" wrapText="false" indent="0" shrinkToFit="false"/>
      <protection locked="true" hidden="false"/>
    </xf>
    <xf numFmtId="164" fontId="0" fillId="0" borderId="0" xfId="57" applyFont="true" applyBorder="true" applyAlignment="true" applyProtection="false">
      <alignment horizontal="center" vertical="bottom" textRotation="0" wrapText="false" indent="0" shrinkToFit="false"/>
      <protection locked="true" hidden="false"/>
    </xf>
    <xf numFmtId="164" fontId="0" fillId="0" borderId="0" xfId="57" applyFont="true" applyBorder="false" applyAlignment="true" applyProtection="false">
      <alignment horizontal="center" vertical="bottom" textRotation="0" wrapText="false" indent="0" shrinkToFit="false"/>
      <protection locked="true" hidden="false"/>
    </xf>
    <xf numFmtId="164" fontId="0" fillId="0" borderId="13" xfId="57" applyFont="true" applyBorder="true" applyAlignment="true" applyProtection="false">
      <alignment horizontal="center" vertical="bottom" textRotation="0" wrapText="false" indent="0" shrinkToFit="false"/>
      <protection locked="true" hidden="false"/>
    </xf>
    <xf numFmtId="164" fontId="0" fillId="0" borderId="12" xfId="57" applyFont="true" applyBorder="true" applyAlignment="true" applyProtection="false">
      <alignment horizontal="center" vertical="center" textRotation="0" wrapText="true" indent="0" shrinkToFit="false"/>
      <protection locked="true" hidden="false"/>
    </xf>
    <xf numFmtId="164" fontId="34" fillId="0" borderId="16" xfId="57" applyFont="true" applyBorder="true" applyAlignment="true" applyProtection="false">
      <alignment horizontal="center" vertical="center" textRotation="0" wrapText="false" indent="0" shrinkToFit="false"/>
      <protection locked="true" hidden="false"/>
    </xf>
    <xf numFmtId="164" fontId="34" fillId="0" borderId="75" xfId="57" applyFont="true" applyBorder="true" applyAlignment="true" applyProtection="false">
      <alignment horizontal="center" vertical="center" textRotation="0" wrapText="false" indent="0" shrinkToFit="false"/>
      <protection locked="true" hidden="false"/>
    </xf>
    <xf numFmtId="164" fontId="60" fillId="0" borderId="0" xfId="0" applyFont="true" applyBorder="false" applyAlignment="false" applyProtection="false">
      <alignment horizontal="general" vertical="bottom" textRotation="0" wrapText="false" indent="0" shrinkToFit="false"/>
      <protection locked="true" hidden="false"/>
    </xf>
    <xf numFmtId="164" fontId="0" fillId="0" borderId="16" xfId="57" applyFont="true" applyBorder="true" applyAlignment="true" applyProtection="false">
      <alignment horizontal="center" vertical="center" textRotation="0" wrapText="true" indent="0" shrinkToFit="false"/>
      <protection locked="true" hidden="false"/>
    </xf>
    <xf numFmtId="164" fontId="0" fillId="0" borderId="54" xfId="57" applyFont="true" applyBorder="true" applyAlignment="true" applyProtection="false">
      <alignment horizontal="center" vertical="center" textRotation="0" wrapText="true" indent="0" shrinkToFit="false"/>
      <protection locked="true" hidden="false"/>
    </xf>
    <xf numFmtId="164" fontId="0" fillId="0" borderId="18" xfId="57" applyFont="true" applyBorder="true" applyAlignment="true" applyProtection="false">
      <alignment horizontal="center" vertical="center" textRotation="0" wrapText="true" indent="0" shrinkToFit="false"/>
      <protection locked="true" hidden="false"/>
    </xf>
    <xf numFmtId="164" fontId="0" fillId="0" borderId="14" xfId="57" applyFont="true" applyBorder="true" applyAlignment="true" applyProtection="false">
      <alignment horizontal="center" vertical="center" textRotation="0" wrapText="true" indent="0" shrinkToFit="false"/>
      <protection locked="true" hidden="false"/>
    </xf>
    <xf numFmtId="164" fontId="34" fillId="0" borderId="29" xfId="57" applyFont="true" applyBorder="true" applyAlignment="true" applyProtection="false">
      <alignment horizontal="center" vertical="center" textRotation="0" wrapText="true" indent="0" shrinkToFit="false"/>
      <protection locked="true" hidden="false"/>
    </xf>
    <xf numFmtId="164" fontId="32" fillId="0" borderId="22" xfId="57" applyFont="true" applyBorder="true" applyAlignment="true" applyProtection="false">
      <alignment horizontal="center" vertical="center" textRotation="0" wrapText="true" indent="0" shrinkToFit="false"/>
      <protection locked="true" hidden="false"/>
    </xf>
    <xf numFmtId="164" fontId="0" fillId="0" borderId="22" xfId="57" applyFont="true" applyBorder="true" applyAlignment="true" applyProtection="false">
      <alignment horizontal="center" vertical="center" textRotation="0" wrapText="true" indent="0" shrinkToFit="false"/>
      <protection locked="true" hidden="false"/>
    </xf>
    <xf numFmtId="164" fontId="0" fillId="0" borderId="30" xfId="57" applyFont="true" applyBorder="true" applyAlignment="true" applyProtection="false">
      <alignment horizontal="center" vertical="center" textRotation="0" wrapText="true" indent="0" shrinkToFit="false"/>
      <protection locked="true" hidden="false"/>
    </xf>
    <xf numFmtId="164" fontId="34" fillId="0" borderId="9" xfId="57" applyFont="true" applyBorder="true" applyAlignment="true" applyProtection="false">
      <alignment horizontal="center" vertical="center" textRotation="0" wrapText="true" indent="0" shrinkToFit="false"/>
      <protection locked="true" hidden="false"/>
    </xf>
    <xf numFmtId="164" fontId="36" fillId="0" borderId="22" xfId="0" applyFont="true" applyBorder="true" applyAlignment="true" applyProtection="false">
      <alignment horizontal="center" vertical="center" textRotation="0" wrapText="true" indent="0" shrinkToFit="false"/>
      <protection locked="true" hidden="false"/>
    </xf>
    <xf numFmtId="164" fontId="32" fillId="0" borderId="0" xfId="57" applyFont="true" applyBorder="false" applyAlignment="true" applyProtection="false">
      <alignment horizontal="center" vertical="bottom" textRotation="0" wrapText="true" indent="0" shrinkToFit="false"/>
      <protection locked="true" hidden="false"/>
    </xf>
    <xf numFmtId="164" fontId="32" fillId="0" borderId="0" xfId="57" applyFont="true" applyBorder="false" applyAlignment="true" applyProtection="false">
      <alignment horizontal="general" vertical="bottom" textRotation="0" wrapText="true" indent="0" shrinkToFit="false"/>
      <protection locked="true" hidden="false"/>
    </xf>
    <xf numFmtId="164" fontId="34" fillId="0" borderId="56" xfId="57" applyFont="true" applyBorder="true" applyAlignment="true" applyProtection="false">
      <alignment horizontal="center" vertical="center" textRotation="0" wrapText="true" indent="0" shrinkToFit="false"/>
      <protection locked="true" hidden="false"/>
    </xf>
    <xf numFmtId="164" fontId="0" fillId="0" borderId="66" xfId="57" applyFont="true" applyBorder="true" applyAlignment="true" applyProtection="false">
      <alignment horizontal="center" vertical="center" textRotation="0" wrapText="true" indent="0" shrinkToFit="false"/>
      <protection locked="true" hidden="false"/>
    </xf>
    <xf numFmtId="164" fontId="0" fillId="0" borderId="57" xfId="57" applyFont="true" applyBorder="true" applyAlignment="true" applyProtection="false">
      <alignment horizontal="center" vertical="center" textRotation="0" wrapText="true" indent="0" shrinkToFit="false"/>
      <protection locked="true" hidden="false"/>
    </xf>
    <xf numFmtId="167" fontId="34" fillId="0" borderId="9" xfId="57" applyFont="true" applyBorder="true" applyAlignment="true" applyProtection="false">
      <alignment horizontal="center" vertical="center" textRotation="0" wrapText="true" indent="0" shrinkToFit="false"/>
      <protection locked="true" hidden="false"/>
    </xf>
    <xf numFmtId="164" fontId="0" fillId="0" borderId="0" xfId="57" applyFont="true" applyBorder="true" applyAlignment="true" applyProtection="false">
      <alignment horizontal="center" vertical="center" textRotation="0" wrapText="true" indent="0" shrinkToFit="false"/>
      <protection locked="true" hidden="false"/>
    </xf>
    <xf numFmtId="164" fontId="0" fillId="0" borderId="26" xfId="57" applyFont="true" applyBorder="true" applyAlignment="true" applyProtection="false">
      <alignment horizontal="center" vertical="center" textRotation="0" wrapText="true" indent="0" shrinkToFit="false"/>
      <protection locked="true" hidden="false"/>
    </xf>
    <xf numFmtId="167" fontId="34" fillId="0" borderId="9" xfId="19" applyFont="true" applyBorder="true" applyAlignment="true" applyProtection="true">
      <alignment horizontal="center" vertical="center" textRotation="0" wrapText="true" indent="0" shrinkToFit="false"/>
      <protection locked="true" hidden="false"/>
    </xf>
    <xf numFmtId="167" fontId="34" fillId="0" borderId="13" xfId="19" applyFont="true" applyBorder="true" applyAlignment="true" applyProtection="true">
      <alignment horizontal="center" vertical="center" textRotation="0" wrapText="true" indent="0" shrinkToFit="false"/>
      <protection locked="true" hidden="false"/>
    </xf>
    <xf numFmtId="173" fontId="0" fillId="0" borderId="0" xfId="57" applyFont="true" applyBorder="false" applyAlignment="false" applyProtection="false">
      <alignment horizontal="general" vertical="bottom" textRotation="0" wrapText="false" indent="0" shrinkToFit="false"/>
      <protection locked="true" hidden="false"/>
    </xf>
    <xf numFmtId="164" fontId="0" fillId="0" borderId="34" xfId="57" applyFont="true" applyBorder="true" applyAlignment="true" applyProtection="false">
      <alignment horizontal="center" vertical="center" textRotation="0" wrapText="true" indent="0" shrinkToFit="false"/>
      <protection locked="true" hidden="false"/>
    </xf>
    <xf numFmtId="167" fontId="34" fillId="0" borderId="35" xfId="57" applyFont="true" applyBorder="true" applyAlignment="true" applyProtection="false">
      <alignment horizontal="center" vertical="center" textRotation="0" wrapText="true" indent="0" shrinkToFit="false"/>
      <protection locked="true" hidden="false"/>
    </xf>
    <xf numFmtId="164" fontId="0" fillId="0" borderId="37" xfId="57" applyFont="true" applyBorder="true" applyAlignment="true" applyProtection="false">
      <alignment horizontal="center" vertical="center" textRotation="0" wrapText="true" indent="0" shrinkToFit="false"/>
      <protection locked="true" hidden="false"/>
    </xf>
    <xf numFmtId="164" fontId="0" fillId="0" borderId="36" xfId="57" applyFont="true" applyBorder="true" applyAlignment="true" applyProtection="false">
      <alignment horizontal="center" vertical="center" textRotation="0" wrapText="true" indent="0" shrinkToFit="false"/>
      <protection locked="true" hidden="false"/>
    </xf>
    <xf numFmtId="167" fontId="34" fillId="0" borderId="35" xfId="19" applyFont="true" applyBorder="true" applyAlignment="true" applyProtection="true">
      <alignment horizontal="center" vertical="center" textRotation="0" wrapText="true" indent="0" shrinkToFit="false"/>
      <protection locked="true" hidden="false"/>
    </xf>
    <xf numFmtId="167" fontId="34" fillId="0" borderId="60" xfId="19" applyFont="true" applyBorder="true" applyAlignment="true" applyProtection="true">
      <alignment horizontal="center" vertical="center" textRotation="0" wrapText="true" indent="0" shrinkToFit="false"/>
      <protection locked="true" hidden="false"/>
    </xf>
    <xf numFmtId="167" fontId="0" fillId="0" borderId="0" xfId="57" applyFont="true" applyBorder="false" applyAlignment="false" applyProtection="false">
      <alignment horizontal="general" vertical="bottom" textRotation="0" wrapText="false" indent="0" shrinkToFit="false"/>
      <protection locked="true" hidden="false"/>
    </xf>
    <xf numFmtId="167" fontId="0" fillId="0" borderId="0" xfId="19" applyFont="true" applyBorder="true" applyAlignment="true" applyProtection="true">
      <alignment horizontal="center" vertical="center" textRotation="0" wrapText="true" indent="0" shrinkToFit="false"/>
      <protection locked="true" hidden="false"/>
    </xf>
    <xf numFmtId="167" fontId="0" fillId="0" borderId="37" xfId="19" applyFont="true" applyBorder="true" applyAlignment="true" applyProtection="true">
      <alignment horizontal="center" vertical="center" textRotation="0" wrapText="true" indent="0" shrinkToFit="false"/>
      <protection locked="true" hidden="false"/>
    </xf>
    <xf numFmtId="167" fontId="0" fillId="0" borderId="0" xfId="19" applyFont="true" applyBorder="true" applyAlignment="true" applyProtection="true">
      <alignment horizontal="general" vertical="bottom" textRotation="0" wrapText="false" indent="0" shrinkToFit="false"/>
      <protection locked="true" hidden="false"/>
    </xf>
    <xf numFmtId="167" fontId="0" fillId="0" borderId="0" xfId="57" applyFont="true" applyBorder="true" applyAlignment="true" applyProtection="false">
      <alignment horizontal="center" vertical="center" textRotation="0" wrapText="true" indent="0" shrinkToFit="false"/>
      <protection locked="true" hidden="false"/>
    </xf>
    <xf numFmtId="167" fontId="34" fillId="0" borderId="60" xfId="0" applyFont="true" applyBorder="true" applyAlignment="true" applyProtection="false">
      <alignment horizontal="center" vertical="bottom" textRotation="0" wrapText="false" indent="0" shrinkToFit="false"/>
      <protection locked="true" hidden="false"/>
    </xf>
    <xf numFmtId="167" fontId="34" fillId="0" borderId="13" xfId="0" applyFont="true" applyBorder="true" applyAlignment="true" applyProtection="false">
      <alignment horizontal="center" vertical="bottom" textRotation="0" wrapText="false" indent="0" shrinkToFit="false"/>
      <protection locked="true" hidden="false"/>
    </xf>
    <xf numFmtId="164" fontId="0" fillId="0" borderId="41" xfId="57" applyFont="true" applyBorder="true" applyAlignment="true" applyProtection="false">
      <alignment horizontal="center" vertical="center" textRotation="0" wrapText="true" indent="0" shrinkToFit="false"/>
      <protection locked="true" hidden="false"/>
    </xf>
    <xf numFmtId="167" fontId="34" fillId="0" borderId="42" xfId="0" applyFont="true" applyBorder="true" applyAlignment="true" applyProtection="false">
      <alignment horizontal="center" vertical="bottom" textRotation="0" wrapText="false" indent="0" shrinkToFit="false"/>
      <protection locked="true" hidden="false"/>
    </xf>
    <xf numFmtId="167" fontId="0" fillId="0" borderId="43" xfId="0" applyFont="false" applyBorder="true" applyAlignment="true" applyProtection="false">
      <alignment horizontal="center" vertical="bottom" textRotation="0" wrapText="false" indent="0" shrinkToFit="false"/>
      <protection locked="true" hidden="false"/>
    </xf>
    <xf numFmtId="167" fontId="0" fillId="0" borderId="43" xfId="0" applyFont="true" applyBorder="true" applyAlignment="true" applyProtection="false">
      <alignment horizontal="center" vertical="bottom" textRotation="0" wrapText="false" indent="0" shrinkToFit="false"/>
      <protection locked="true" hidden="false"/>
    </xf>
    <xf numFmtId="167" fontId="34" fillId="0" borderId="62" xfId="0" applyFont="true" applyBorder="true" applyAlignment="true" applyProtection="false">
      <alignment horizontal="center" vertical="bottom" textRotation="0" wrapText="false" indent="0" shrinkToFit="false"/>
      <protection locked="true" hidden="false"/>
    </xf>
    <xf numFmtId="167" fontId="34" fillId="0" borderId="9" xfId="0" applyFont="true" applyBorder="true" applyAlignment="true" applyProtection="false">
      <alignment horizontal="center" vertical="bottom" textRotation="0" wrapText="false" indent="0" shrinkToFit="false"/>
      <protection locked="true" hidden="false"/>
    </xf>
    <xf numFmtId="167" fontId="0" fillId="0" borderId="26" xfId="0" applyFont="false" applyBorder="true" applyAlignment="true" applyProtection="false">
      <alignment horizontal="center" vertical="bottom" textRotation="0" wrapText="false" indent="0" shrinkToFit="false"/>
      <protection locked="true" hidden="false"/>
    </xf>
    <xf numFmtId="167" fontId="0" fillId="0" borderId="26" xfId="0" applyFont="true" applyBorder="true" applyAlignment="true" applyProtection="false">
      <alignment horizontal="center" vertical="bottom" textRotation="0" wrapText="false" indent="0" shrinkToFit="false"/>
      <protection locked="true" hidden="false"/>
    </xf>
    <xf numFmtId="167" fontId="34" fillId="0" borderId="35" xfId="0" applyFont="true" applyBorder="true" applyAlignment="true" applyProtection="false">
      <alignment horizontal="center" vertical="bottom" textRotation="0" wrapText="false" indent="0" shrinkToFit="false"/>
      <protection locked="true" hidden="false"/>
    </xf>
    <xf numFmtId="167" fontId="0" fillId="0" borderId="36" xfId="0" applyFont="false" applyBorder="true" applyAlignment="true" applyProtection="false">
      <alignment horizontal="center" vertical="bottom" textRotation="0" wrapText="false" indent="0" shrinkToFit="false"/>
      <protection locked="true" hidden="false"/>
    </xf>
    <xf numFmtId="167" fontId="0" fillId="0" borderId="36" xfId="0" applyFont="true" applyBorder="true" applyAlignment="true" applyProtection="false">
      <alignment horizontal="center" vertical="bottom" textRotation="0" wrapText="false" indent="0" shrinkToFit="false"/>
      <protection locked="true" hidden="false"/>
    </xf>
    <xf numFmtId="167" fontId="34" fillId="0" borderId="9" xfId="0" applyFont="true" applyBorder="true" applyAlignment="true" applyProtection="false">
      <alignment horizontal="center" vertical="bottom" textRotation="0" wrapText="false" indent="0" shrinkToFit="false"/>
      <protection locked="true" hidden="false"/>
    </xf>
    <xf numFmtId="167" fontId="34" fillId="0" borderId="13" xfId="0" applyFont="true" applyBorder="true" applyAlignment="true" applyProtection="false">
      <alignment horizontal="center" vertical="bottom" textRotation="0" wrapText="false" indent="0" shrinkToFit="false"/>
      <protection locked="true" hidden="false"/>
    </xf>
    <xf numFmtId="164" fontId="31" fillId="0" borderId="0" xfId="57" applyFont="true" applyBorder="false" applyAlignment="false" applyProtection="false">
      <alignment horizontal="general" vertical="bottom" textRotation="0" wrapText="false" indent="0" shrinkToFit="false"/>
      <protection locked="true" hidden="false"/>
    </xf>
    <xf numFmtId="167" fontId="31" fillId="0" borderId="0" xfId="19" applyFont="true" applyBorder="true" applyAlignment="true" applyProtection="true">
      <alignment horizontal="general" vertical="bottom" textRotation="0" wrapText="false" indent="0" shrinkToFit="false"/>
      <protection locked="true" hidden="false"/>
    </xf>
    <xf numFmtId="167" fontId="34" fillId="0" borderId="42" xfId="0" applyFont="true" applyBorder="true" applyAlignment="true" applyProtection="false">
      <alignment horizontal="center" vertical="bottom" textRotation="0" wrapText="false" indent="0" shrinkToFit="false"/>
      <protection locked="true" hidden="false"/>
    </xf>
    <xf numFmtId="167" fontId="0" fillId="0" borderId="44" xfId="0" applyFont="false" applyBorder="true" applyAlignment="true" applyProtection="false">
      <alignment horizontal="center" vertical="bottom" textRotation="0" wrapText="false" indent="0" shrinkToFit="false"/>
      <protection locked="true" hidden="false"/>
    </xf>
    <xf numFmtId="167" fontId="0" fillId="0" borderId="43" xfId="0" applyFont="false" applyBorder="true" applyAlignment="true" applyProtection="false">
      <alignment horizontal="center" vertical="bottom" textRotation="0" wrapText="false" indent="0" shrinkToFit="false"/>
      <protection locked="true" hidden="false"/>
    </xf>
    <xf numFmtId="167" fontId="34" fillId="0" borderId="62" xfId="0" applyFont="true" applyBorder="true" applyAlignment="true" applyProtection="false">
      <alignment horizontal="center" vertical="bottom" textRotation="0" wrapText="false" indent="0" shrinkToFit="false"/>
      <protection locked="true" hidden="false"/>
    </xf>
    <xf numFmtId="164" fontId="0" fillId="0" borderId="47" xfId="57" applyFont="true" applyBorder="true" applyAlignment="true" applyProtection="false">
      <alignment horizontal="center" vertical="center" textRotation="0" wrapText="true" indent="0" shrinkToFit="false"/>
      <protection locked="true" hidden="false"/>
    </xf>
    <xf numFmtId="167" fontId="34" fillId="0" borderId="48" xfId="0" applyFont="true" applyBorder="true" applyAlignment="true" applyProtection="false">
      <alignment horizontal="center" vertical="bottom" textRotation="0" wrapText="false" indent="0" shrinkToFit="false"/>
      <protection locked="true" hidden="false"/>
    </xf>
    <xf numFmtId="167" fontId="0" fillId="0" borderId="50" xfId="0" applyFont="false" applyBorder="true" applyAlignment="true" applyProtection="false">
      <alignment horizontal="center" vertical="bottom" textRotation="0" wrapText="false" indent="0" shrinkToFit="false"/>
      <protection locked="true" hidden="false"/>
    </xf>
    <xf numFmtId="167" fontId="0" fillId="0" borderId="49" xfId="0" applyFont="false" applyBorder="true" applyAlignment="true" applyProtection="false">
      <alignment horizontal="center" vertical="bottom" textRotation="0" wrapText="false" indent="0" shrinkToFit="false"/>
      <protection locked="true" hidden="false"/>
    </xf>
    <xf numFmtId="167" fontId="34" fillId="0" borderId="65" xfId="0" applyFont="true" applyBorder="true" applyAlignment="true" applyProtection="false">
      <alignment horizontal="center" vertical="bottom" textRotation="0" wrapText="false" indent="0" shrinkToFit="false"/>
      <protection locked="true" hidden="false"/>
    </xf>
    <xf numFmtId="165" fontId="0" fillId="0" borderId="0" xfId="57" applyFont="true" applyBorder="false" applyAlignment="false" applyProtection="false">
      <alignment horizontal="general" vertical="bottom" textRotation="0" wrapText="false" indent="0" shrinkToFit="false"/>
      <protection locked="true" hidden="false"/>
    </xf>
    <xf numFmtId="164" fontId="0" fillId="0" borderId="0" xfId="57" applyFont="true" applyBorder="true" applyAlignment="true" applyProtection="true">
      <alignment horizontal="general" vertical="bottom" textRotation="0" wrapText="false" indent="0" shrinkToFit="false"/>
      <protection locked="true" hidden="false"/>
    </xf>
    <xf numFmtId="164" fontId="0" fillId="0" borderId="0" xfId="57" applyFont="false" applyBorder="false" applyAlignment="false" applyProtection="false">
      <alignment horizontal="general" vertical="bottom" textRotation="0" wrapText="false" indent="0" shrinkToFit="false"/>
      <protection locked="true" hidden="false"/>
    </xf>
    <xf numFmtId="164" fontId="28" fillId="0" borderId="0" xfId="57" applyFont="true" applyBorder="true" applyAlignment="true" applyProtection="false">
      <alignment horizontal="center" vertical="center" textRotation="0" wrapText="false" indent="0" shrinkToFit="false"/>
      <protection locked="true" hidden="false"/>
    </xf>
    <xf numFmtId="164" fontId="0" fillId="0" borderId="0" xfId="57" applyFont="false" applyBorder="true" applyAlignment="true" applyProtection="false">
      <alignment horizontal="center" vertical="center" textRotation="0" wrapText="false" indent="0" shrinkToFit="false"/>
      <protection locked="true" hidden="false"/>
    </xf>
    <xf numFmtId="164" fontId="0" fillId="0" borderId="12" xfId="57" applyFont="false" applyBorder="true" applyAlignment="false" applyProtection="false">
      <alignment horizontal="general" vertical="bottom" textRotation="0" wrapText="false" indent="0" shrinkToFit="false"/>
      <protection locked="true" hidden="false"/>
    </xf>
    <xf numFmtId="164" fontId="0" fillId="0" borderId="0" xfId="57" applyFont="false" applyBorder="true" applyAlignment="false" applyProtection="false">
      <alignment horizontal="general" vertical="bottom" textRotation="0" wrapText="false" indent="0" shrinkToFit="false"/>
      <protection locked="true" hidden="false"/>
    </xf>
    <xf numFmtId="164" fontId="0" fillId="0" borderId="13" xfId="57" applyFont="false" applyBorder="true" applyAlignment="false" applyProtection="false">
      <alignment horizontal="general" vertical="bottom" textRotation="0" wrapText="false" indent="0" shrinkToFit="false"/>
      <protection locked="true" hidden="false"/>
    </xf>
    <xf numFmtId="164" fontId="0" fillId="0" borderId="66" xfId="57" applyFont="true" applyBorder="true" applyAlignment="true" applyProtection="false">
      <alignment horizontal="center" vertical="bottom" textRotation="0" wrapText="false" indent="0" shrinkToFit="false"/>
      <protection locked="true" hidden="false"/>
    </xf>
    <xf numFmtId="164" fontId="0" fillId="0" borderId="0" xfId="57" applyFont="true" applyBorder="true" applyAlignment="true" applyProtection="true">
      <alignment horizontal="center" vertical="bottom" textRotation="0" wrapText="false" indent="0" shrinkToFit="false"/>
      <protection locked="true" hidden="false"/>
    </xf>
    <xf numFmtId="164" fontId="0" fillId="0" borderId="67" xfId="57" applyFont="true" applyBorder="true" applyAlignment="true" applyProtection="false">
      <alignment horizontal="center" vertical="bottom" textRotation="0" wrapText="false" indent="0" shrinkToFit="false"/>
      <protection locked="true" hidden="false"/>
    </xf>
    <xf numFmtId="164" fontId="0" fillId="0" borderId="0" xfId="57" applyFont="false" applyBorder="true" applyAlignment="true" applyProtection="false">
      <alignment horizontal="center" vertical="bottom" textRotation="0" wrapText="false" indent="0" shrinkToFit="false"/>
      <protection locked="true" hidden="false"/>
    </xf>
    <xf numFmtId="164" fontId="0" fillId="0" borderId="12" xfId="57" applyFont="false" applyBorder="true" applyAlignment="true" applyProtection="false">
      <alignment horizontal="center" vertical="center" textRotation="0" wrapText="true" indent="0" shrinkToFit="false"/>
      <protection locked="true" hidden="false"/>
    </xf>
    <xf numFmtId="164" fontId="34" fillId="0" borderId="16" xfId="57" applyFont="true" applyBorder="true" applyAlignment="true" applyProtection="false">
      <alignment horizontal="center" vertical="center" textRotation="0" wrapText="true" indent="0" shrinkToFit="false"/>
      <protection locked="true" hidden="false"/>
    </xf>
    <xf numFmtId="164" fontId="34" fillId="0" borderId="19" xfId="57" applyFont="true" applyBorder="true" applyAlignment="true" applyProtection="false">
      <alignment horizontal="center" vertical="center" textRotation="0" wrapText="true" indent="0" shrinkToFit="false"/>
      <protection locked="true" hidden="false"/>
    </xf>
    <xf numFmtId="164" fontId="34" fillId="0" borderId="75" xfId="57" applyFont="true" applyBorder="true" applyAlignment="true" applyProtection="false">
      <alignment horizontal="center" vertical="center" textRotation="0" wrapText="true" indent="0" shrinkToFit="false"/>
      <protection locked="true" hidden="false"/>
    </xf>
    <xf numFmtId="164" fontId="34" fillId="0" borderId="0" xfId="57" applyFont="true" applyBorder="true" applyAlignment="true" applyProtection="false">
      <alignment horizontal="center" vertical="center" textRotation="0" wrapText="true" indent="0" shrinkToFit="false"/>
      <protection locked="true" hidden="false"/>
    </xf>
    <xf numFmtId="164" fontId="38" fillId="0" borderId="18" xfId="57" applyFont="true" applyBorder="true" applyAlignment="true" applyProtection="false">
      <alignment horizontal="center" vertical="center" textRotation="0" wrapText="true" indent="0" shrinkToFit="false"/>
      <protection locked="true" hidden="false"/>
    </xf>
    <xf numFmtId="164" fontId="38" fillId="0" borderId="17" xfId="57" applyFont="true" applyBorder="true" applyAlignment="true" applyProtection="false">
      <alignment horizontal="center" vertical="center" textRotation="0" wrapText="true" indent="0" shrinkToFit="false"/>
      <protection locked="true" hidden="false"/>
    </xf>
    <xf numFmtId="164" fontId="34" fillId="0" borderId="17" xfId="58" applyFont="true" applyBorder="true" applyAlignment="true" applyProtection="false">
      <alignment horizontal="center" vertical="center" textRotation="0" wrapText="true" indent="0" shrinkToFit="false"/>
      <protection locked="true" hidden="false"/>
    </xf>
    <xf numFmtId="164" fontId="0" fillId="0" borderId="29" xfId="57" applyFont="true" applyBorder="true" applyAlignment="true" applyProtection="false">
      <alignment horizontal="center" vertical="center" textRotation="0" wrapText="true" indent="0" shrinkToFit="false"/>
      <protection locked="true" hidden="false"/>
    </xf>
    <xf numFmtId="164" fontId="38" fillId="0" borderId="75" xfId="57" applyFont="true" applyBorder="true" applyAlignment="true" applyProtection="false">
      <alignment horizontal="center" vertical="center" textRotation="0" wrapText="true" indent="0" shrinkToFit="false"/>
      <protection locked="true" hidden="false"/>
    </xf>
    <xf numFmtId="164" fontId="38" fillId="0" borderId="0" xfId="57" applyFont="true" applyBorder="true" applyAlignment="true" applyProtection="false">
      <alignment horizontal="center" vertical="center" textRotation="0" wrapText="true" indent="0" shrinkToFit="false"/>
      <protection locked="true" hidden="false"/>
    </xf>
    <xf numFmtId="164" fontId="34" fillId="0" borderId="18" xfId="57" applyFont="true" applyBorder="true" applyAlignment="true" applyProtection="false">
      <alignment horizontal="center" vertical="center" textRotation="0" wrapText="true" indent="0" shrinkToFit="false"/>
      <protection locked="true" hidden="false"/>
    </xf>
    <xf numFmtId="164" fontId="0" fillId="0" borderId="17" xfId="57" applyFont="true" applyBorder="true" applyAlignment="true" applyProtection="false">
      <alignment horizontal="center" vertical="center" textRotation="0" wrapText="true" indent="0" shrinkToFit="false"/>
      <protection locked="true" hidden="false"/>
    </xf>
    <xf numFmtId="164" fontId="0" fillId="0" borderId="0" xfId="57" applyFont="false" applyBorder="true" applyAlignment="true" applyProtection="false">
      <alignment horizontal="center" vertical="center" textRotation="0" wrapText="true" indent="0" shrinkToFit="false"/>
      <protection locked="true" hidden="false"/>
    </xf>
    <xf numFmtId="164" fontId="38" fillId="0" borderId="26" xfId="57" applyFont="true" applyBorder="true" applyAlignment="true" applyProtection="false">
      <alignment horizontal="center" vertical="center" textRotation="0" wrapText="true" indent="0" shrinkToFit="false"/>
      <protection locked="true" hidden="false"/>
    </xf>
    <xf numFmtId="164" fontId="34" fillId="0" borderId="0" xfId="58" applyFont="true" applyBorder="true" applyAlignment="true" applyProtection="false">
      <alignment horizontal="center" vertical="center" textRotation="0" wrapText="true" indent="0" shrinkToFit="false"/>
      <protection locked="true" hidden="false"/>
    </xf>
    <xf numFmtId="167" fontId="0" fillId="0" borderId="26" xfId="19" applyFont="true" applyBorder="true" applyAlignment="true" applyProtection="true">
      <alignment horizontal="center" vertical="center" textRotation="0" wrapText="true" indent="0" shrinkToFit="false"/>
      <protection locked="true" hidden="false"/>
    </xf>
    <xf numFmtId="167" fontId="38" fillId="0" borderId="13" xfId="19" applyFont="true" applyBorder="true" applyAlignment="true" applyProtection="true">
      <alignment horizontal="center" vertical="center" textRotation="0" wrapText="true" indent="0" shrinkToFit="false"/>
      <protection locked="true" hidden="false"/>
    </xf>
    <xf numFmtId="164" fontId="0" fillId="0" borderId="34" xfId="57" applyFont="false" applyBorder="true" applyAlignment="true" applyProtection="false">
      <alignment horizontal="center" vertical="center" textRotation="0" wrapText="true" indent="0" shrinkToFit="false"/>
      <protection locked="true" hidden="false"/>
    </xf>
    <xf numFmtId="164" fontId="34" fillId="0" borderId="35" xfId="57" applyFont="true" applyBorder="true" applyAlignment="true" applyProtection="false">
      <alignment horizontal="center" vertical="center" textRotation="0" wrapText="true" indent="0" shrinkToFit="false"/>
      <protection locked="true" hidden="false"/>
    </xf>
    <xf numFmtId="164" fontId="0" fillId="0" borderId="37" xfId="57" applyFont="false" applyBorder="true" applyAlignment="true" applyProtection="false">
      <alignment horizontal="center" vertical="center" textRotation="0" wrapText="true" indent="0" shrinkToFit="false"/>
      <protection locked="true" hidden="false"/>
    </xf>
    <xf numFmtId="164" fontId="38" fillId="0" borderId="37" xfId="57" applyFont="true" applyBorder="true" applyAlignment="true" applyProtection="false">
      <alignment horizontal="center" vertical="center" textRotation="0" wrapText="true" indent="0" shrinkToFit="false"/>
      <protection locked="true" hidden="false"/>
    </xf>
    <xf numFmtId="164" fontId="38" fillId="0" borderId="36" xfId="57" applyFont="true" applyBorder="true" applyAlignment="true" applyProtection="false">
      <alignment horizontal="center" vertical="center" textRotation="0" wrapText="true" indent="0" shrinkToFit="false"/>
      <protection locked="true" hidden="false"/>
    </xf>
    <xf numFmtId="164" fontId="34" fillId="0" borderId="37" xfId="58" applyFont="true" applyBorder="true" applyAlignment="true" applyProtection="false">
      <alignment horizontal="center" vertical="center" textRotation="0" wrapText="true" indent="0" shrinkToFit="false"/>
      <protection locked="true" hidden="false"/>
    </xf>
    <xf numFmtId="167" fontId="0" fillId="0" borderId="36" xfId="19" applyFont="true" applyBorder="true" applyAlignment="true" applyProtection="true">
      <alignment horizontal="center" vertical="center" textRotation="0" wrapText="true" indent="0" shrinkToFit="false"/>
      <protection locked="true" hidden="false"/>
    </xf>
    <xf numFmtId="167" fontId="38" fillId="0" borderId="60" xfId="19" applyFont="true" applyBorder="true" applyAlignment="true" applyProtection="true">
      <alignment horizontal="center" vertical="center" textRotation="0" wrapText="true" indent="0" shrinkToFit="false"/>
      <protection locked="true" hidden="false"/>
    </xf>
    <xf numFmtId="164" fontId="0" fillId="0" borderId="12" xfId="57" applyFont="true" applyBorder="true" applyAlignment="true" applyProtection="false">
      <alignment horizontal="center" vertical="bottom" textRotation="0" wrapText="true" indent="0" shrinkToFit="false"/>
      <protection locked="true" hidden="false"/>
    </xf>
    <xf numFmtId="167" fontId="38" fillId="0" borderId="13" xfId="19" applyFont="true" applyBorder="true" applyAlignment="true" applyProtection="true">
      <alignment horizontal="center" vertical="bottom" textRotation="0" wrapText="false" indent="0" shrinkToFit="false"/>
      <protection locked="true" hidden="false"/>
    </xf>
    <xf numFmtId="167" fontId="38" fillId="0" borderId="0" xfId="0" applyFont="true" applyBorder="true" applyAlignment="true" applyProtection="false">
      <alignment horizontal="center" vertical="bottom" textRotation="0" wrapText="false" indent="0" shrinkToFit="false"/>
      <protection locked="true" hidden="false"/>
    </xf>
    <xf numFmtId="167" fontId="38" fillId="0" borderId="13" xfId="0" applyFont="true" applyBorder="true" applyAlignment="true" applyProtection="false">
      <alignment horizontal="center" vertical="bottom" textRotation="0" wrapText="false" indent="0" shrinkToFit="false"/>
      <protection locked="true" hidden="false"/>
    </xf>
    <xf numFmtId="164" fontId="0" fillId="0" borderId="34" xfId="57" applyFont="true" applyBorder="true" applyAlignment="true" applyProtection="false">
      <alignment horizontal="center" vertical="bottom" textRotation="0" wrapText="true" indent="0" shrinkToFit="false"/>
      <protection locked="true" hidden="false"/>
    </xf>
    <xf numFmtId="167" fontId="38" fillId="0" borderId="60" xfId="0" applyFont="true" applyBorder="true" applyAlignment="true" applyProtection="false">
      <alignment horizontal="center" vertical="bottom" textRotation="0" wrapText="false" indent="0" shrinkToFit="false"/>
      <protection locked="true" hidden="false"/>
    </xf>
    <xf numFmtId="167" fontId="64" fillId="0" borderId="0" xfId="0" applyFont="true" applyBorder="true" applyAlignment="true" applyProtection="false">
      <alignment horizontal="center" vertical="bottom" textRotation="0" wrapText="false" indent="0" shrinkToFit="false"/>
      <protection locked="true" hidden="false"/>
    </xf>
    <xf numFmtId="167" fontId="38" fillId="0" borderId="26" xfId="0" applyFont="true" applyBorder="true" applyAlignment="true" applyProtection="false">
      <alignment horizontal="center" vertical="bottom" textRotation="0" wrapText="false" indent="0" shrinkToFit="false"/>
      <protection locked="true" hidden="false"/>
    </xf>
    <xf numFmtId="167" fontId="38" fillId="0" borderId="0" xfId="57" applyFont="true" applyBorder="true" applyAlignment="true" applyProtection="false">
      <alignment horizontal="center" vertical="bottom" textRotation="0" wrapText="false" indent="0" shrinkToFit="false"/>
      <protection locked="true" hidden="false"/>
    </xf>
    <xf numFmtId="167" fontId="0" fillId="0" borderId="0" xfId="57" applyFont="false" applyBorder="false" applyAlignment="false" applyProtection="false">
      <alignment horizontal="general" vertical="bottom" textRotation="0" wrapText="false" indent="0" shrinkToFit="false"/>
      <protection locked="true" hidden="false"/>
    </xf>
    <xf numFmtId="167" fontId="38" fillId="0" borderId="37" xfId="0" applyFont="true" applyBorder="true" applyAlignment="true" applyProtection="false">
      <alignment horizontal="center" vertical="bottom" textRotation="0" wrapText="false" indent="0" shrinkToFit="false"/>
      <protection locked="true" hidden="false"/>
    </xf>
    <xf numFmtId="167" fontId="38" fillId="0" borderId="36" xfId="0" applyFont="true" applyBorder="true" applyAlignment="true" applyProtection="false">
      <alignment horizontal="center" vertical="bottom" textRotation="0" wrapText="false" indent="0" shrinkToFit="false"/>
      <protection locked="true" hidden="false"/>
    </xf>
    <xf numFmtId="164" fontId="0" fillId="0" borderId="41" xfId="57" applyFont="true" applyBorder="true" applyAlignment="true" applyProtection="false">
      <alignment horizontal="center" vertical="bottom" textRotation="0" wrapText="true" indent="0" shrinkToFit="false"/>
      <protection locked="true" hidden="false"/>
    </xf>
    <xf numFmtId="165" fontId="0" fillId="0" borderId="0" xfId="57" applyFont="false" applyBorder="false" applyAlignment="true" applyProtection="false">
      <alignment horizontal="center" vertical="bottom" textRotation="0" wrapText="false" indent="0" shrinkToFit="false"/>
      <protection locked="true" hidden="false"/>
    </xf>
    <xf numFmtId="167" fontId="38" fillId="0" borderId="13" xfId="0" applyFont="true" applyBorder="true" applyAlignment="true" applyProtection="false">
      <alignment horizontal="center" vertical="bottom" textRotation="0" wrapText="false" indent="0" shrinkToFit="false"/>
      <protection locked="true" hidden="false"/>
    </xf>
    <xf numFmtId="169" fontId="0" fillId="0" borderId="12" xfId="57" applyFont="false" applyBorder="true" applyAlignment="true" applyProtection="false">
      <alignment horizontal="center" vertical="bottom" textRotation="0" wrapText="false" indent="0" shrinkToFit="false"/>
      <protection locked="true" hidden="false"/>
    </xf>
    <xf numFmtId="167" fontId="38" fillId="0" borderId="44" xfId="0" applyFont="true" applyBorder="true" applyAlignment="true" applyProtection="false">
      <alignment horizontal="center" vertical="bottom" textRotation="0" wrapText="false" indent="0" shrinkToFit="false"/>
      <protection locked="true" hidden="false"/>
    </xf>
    <xf numFmtId="167" fontId="38" fillId="0" borderId="43" xfId="0" applyFont="true" applyBorder="true" applyAlignment="true" applyProtection="false">
      <alignment horizontal="center" vertical="bottom" textRotation="0" wrapText="false" indent="0" shrinkToFit="false"/>
      <protection locked="true" hidden="false"/>
    </xf>
    <xf numFmtId="167" fontId="38" fillId="0" borderId="62" xfId="0" applyFont="true" applyBorder="true" applyAlignment="true" applyProtection="false">
      <alignment horizontal="center" vertical="bottom" textRotation="0" wrapText="false" indent="0" shrinkToFit="false"/>
      <protection locked="true" hidden="false"/>
    </xf>
    <xf numFmtId="169" fontId="0" fillId="0" borderId="41" xfId="57" applyFont="false" applyBorder="true" applyAlignment="true" applyProtection="false">
      <alignment horizontal="center" vertical="bottom" textRotation="0" wrapText="false" indent="0" shrinkToFit="false"/>
      <protection locked="true" hidden="false"/>
    </xf>
    <xf numFmtId="165" fontId="0" fillId="0" borderId="0" xfId="57" applyFont="false" applyBorder="false" applyAlignment="false" applyProtection="false">
      <alignment horizontal="general" vertical="bottom" textRotation="0" wrapText="false" indent="0" shrinkToFit="false"/>
      <protection locked="true" hidden="false"/>
    </xf>
    <xf numFmtId="169" fontId="0" fillId="0" borderId="47" xfId="57" applyFont="false" applyBorder="true" applyAlignment="true" applyProtection="false">
      <alignment horizontal="center" vertical="bottom" textRotation="0" wrapText="false" indent="0" shrinkToFit="false"/>
      <protection locked="true" hidden="false"/>
    </xf>
    <xf numFmtId="167" fontId="34" fillId="0" borderId="48" xfId="0" applyFont="true" applyBorder="true" applyAlignment="true" applyProtection="false">
      <alignment horizontal="center" vertical="bottom" textRotation="0" wrapText="false" indent="0" shrinkToFit="false"/>
      <protection locked="true" hidden="false"/>
    </xf>
    <xf numFmtId="167" fontId="0" fillId="0" borderId="50" xfId="0" applyFont="false" applyBorder="true" applyAlignment="true" applyProtection="false">
      <alignment horizontal="center" vertical="bottom" textRotation="0" wrapText="false" indent="0" shrinkToFit="false"/>
      <protection locked="true" hidden="false"/>
    </xf>
    <xf numFmtId="167" fontId="0" fillId="0" borderId="49" xfId="0" applyFont="false" applyBorder="true" applyAlignment="true" applyProtection="false">
      <alignment horizontal="center" vertical="bottom" textRotation="0" wrapText="false" indent="0" shrinkToFit="false"/>
      <protection locked="true" hidden="false"/>
    </xf>
    <xf numFmtId="167" fontId="0" fillId="0" borderId="49" xfId="0" applyFont="true" applyBorder="true" applyAlignment="true" applyProtection="false">
      <alignment horizontal="center" vertical="bottom" textRotation="0" wrapText="false" indent="0" shrinkToFit="false"/>
      <protection locked="true" hidden="false"/>
    </xf>
    <xf numFmtId="167" fontId="38" fillId="0" borderId="50" xfId="0" applyFont="true" applyBorder="true" applyAlignment="true" applyProtection="false">
      <alignment horizontal="center" vertical="bottom" textRotation="0" wrapText="false" indent="0" shrinkToFit="false"/>
      <protection locked="true" hidden="false"/>
    </xf>
    <xf numFmtId="167" fontId="38" fillId="0" borderId="49" xfId="0" applyFont="true" applyBorder="true" applyAlignment="true" applyProtection="false">
      <alignment horizontal="center" vertical="bottom" textRotation="0" wrapText="false" indent="0" shrinkToFit="false"/>
      <protection locked="true" hidden="false"/>
    </xf>
    <xf numFmtId="167" fontId="38" fillId="0" borderId="65" xfId="0" applyFont="true" applyBorder="true" applyAlignment="true" applyProtection="false">
      <alignment horizontal="center" vertical="bottom" textRotation="0" wrapText="false" indent="0" shrinkToFit="false"/>
      <protection locked="true" hidden="false"/>
    </xf>
    <xf numFmtId="171" fontId="0" fillId="0" borderId="0" xfId="70" applyFont="true" applyBorder="true" applyAlignment="true" applyProtection="true">
      <alignment horizontal="right" vertical="bottom" textRotation="0" wrapText="false" indent="0" shrinkToFit="false"/>
      <protection locked="true" hidden="false"/>
    </xf>
    <xf numFmtId="173" fontId="0" fillId="0" borderId="0" xfId="57" applyFont="false" applyBorder="false" applyAlignment="true" applyProtection="false">
      <alignment horizontal="right" vertical="bottom" textRotation="0" wrapText="false" indent="0" shrinkToFit="false"/>
      <protection locked="true" hidden="false"/>
    </xf>
    <xf numFmtId="165" fontId="34" fillId="0" borderId="0" xfId="57" applyFont="true" applyBorder="false" applyAlignment="true" applyProtection="false">
      <alignment horizontal="center" vertical="bottom" textRotation="0" wrapText="false" indent="0" shrinkToFit="false"/>
      <protection locked="true" hidden="false"/>
    </xf>
    <xf numFmtId="167" fontId="19" fillId="0" borderId="0" xfId="70" applyFont="true" applyBorder="true" applyAlignment="true" applyProtection="true">
      <alignment horizontal="general" vertical="bottom" textRotation="0" wrapText="false" indent="0" shrinkToFit="false"/>
      <protection locked="true" hidden="false"/>
    </xf>
    <xf numFmtId="171" fontId="19" fillId="0" borderId="0" xfId="70" applyFont="true" applyBorder="true" applyAlignment="true" applyProtection="true">
      <alignment horizontal="general" vertical="bottom" textRotation="0" wrapText="false" indent="0" shrinkToFit="false"/>
      <protection locked="true" hidden="false"/>
    </xf>
    <xf numFmtId="165" fontId="34" fillId="0" borderId="0" xfId="57" applyFont="true" applyBorder="false" applyAlignment="false" applyProtection="false">
      <alignment horizontal="general" vertical="bottom" textRotation="0" wrapText="false" indent="0" shrinkToFit="false"/>
      <protection locked="true" hidden="false"/>
    </xf>
    <xf numFmtId="164" fontId="0" fillId="0" borderId="75" xfId="0" applyFont="true" applyBorder="true" applyAlignment="true" applyProtection="false">
      <alignment horizontal="center" vertical="center" textRotation="0" wrapText="true" indent="0" shrinkToFit="false"/>
      <protection locked="true" hidden="false"/>
    </xf>
    <xf numFmtId="164" fontId="65" fillId="0" borderId="16" xfId="0" applyFont="true" applyBorder="true" applyAlignment="true" applyProtection="false">
      <alignment horizontal="center" vertical="center" textRotation="0" wrapText="true" indent="0" shrinkToFit="false"/>
      <protection locked="true" hidden="false"/>
    </xf>
    <xf numFmtId="164" fontId="65" fillId="0" borderId="75" xfId="0" applyFont="true" applyBorder="true" applyAlignment="true" applyProtection="false">
      <alignment horizontal="center" vertical="center" textRotation="0" wrapText="true" indent="0" shrinkToFit="false"/>
      <protection locked="true" hidden="false"/>
    </xf>
    <xf numFmtId="164" fontId="37" fillId="0" borderId="0" xfId="0" applyFont="true" applyBorder="true" applyAlignment="true" applyProtection="false">
      <alignment horizontal="center" vertical="center" textRotation="0" wrapText="true" indent="0" shrinkToFit="false"/>
      <protection locked="true" hidden="false"/>
    </xf>
    <xf numFmtId="167" fontId="34" fillId="0" borderId="58" xfId="0" applyFont="true" applyBorder="true" applyAlignment="true" applyProtection="false">
      <alignment horizontal="center" vertical="bottom" textRotation="0" wrapText="false" indent="0" shrinkToFit="false"/>
      <protection locked="true" hidden="false"/>
    </xf>
    <xf numFmtId="167" fontId="0" fillId="0" borderId="58" xfId="0" applyFont="false" applyBorder="true" applyAlignment="true" applyProtection="false">
      <alignment horizontal="center" vertical="bottom" textRotation="0" wrapText="false" indent="0" shrinkToFit="false"/>
      <protection locked="true" hidden="false"/>
    </xf>
    <xf numFmtId="164" fontId="65" fillId="0" borderId="58" xfId="0" applyFont="true" applyBorder="true" applyAlignment="true" applyProtection="false">
      <alignment horizontal="center" vertical="center" textRotation="0" wrapText="true" indent="0" shrinkToFit="false"/>
      <protection locked="true" hidden="false"/>
    </xf>
    <xf numFmtId="167" fontId="0" fillId="0" borderId="13" xfId="0" applyFont="false" applyBorder="true" applyAlignment="true" applyProtection="false">
      <alignment horizontal="center" vertical="bottom" textRotation="0" wrapText="false" indent="0" shrinkToFit="false"/>
      <protection locked="true" hidden="false"/>
    </xf>
    <xf numFmtId="167" fontId="34" fillId="0" borderId="59" xfId="0" applyFont="true" applyBorder="true" applyAlignment="true" applyProtection="false">
      <alignment horizontal="center" vertical="bottom" textRotation="0" wrapText="false" indent="0" shrinkToFit="false"/>
      <protection locked="true" hidden="false"/>
    </xf>
    <xf numFmtId="167" fontId="0" fillId="0" borderId="59" xfId="0" applyFont="false" applyBorder="true" applyAlignment="true" applyProtection="false">
      <alignment horizontal="center" vertical="bottom" textRotation="0" wrapText="false" indent="0" shrinkToFit="false"/>
      <protection locked="true" hidden="false"/>
    </xf>
    <xf numFmtId="164" fontId="65" fillId="0" borderId="59" xfId="0" applyFont="true" applyBorder="true" applyAlignment="true" applyProtection="false">
      <alignment horizontal="center" vertical="center" textRotation="0" wrapText="true" indent="0" shrinkToFit="false"/>
      <protection locked="true" hidden="false"/>
    </xf>
    <xf numFmtId="167" fontId="0" fillId="0" borderId="60" xfId="0" applyFont="false" applyBorder="true" applyAlignment="true" applyProtection="false">
      <alignment horizontal="center" vertical="bottom" textRotation="0" wrapText="false" indent="0" shrinkToFit="false"/>
      <protection locked="true" hidden="false"/>
    </xf>
    <xf numFmtId="165" fontId="37" fillId="0" borderId="0" xfId="0" applyFont="true" applyBorder="true" applyAlignment="true" applyProtection="false">
      <alignment horizontal="center" vertical="bottom" textRotation="0" wrapText="false" indent="0" shrinkToFit="false"/>
      <protection locked="true" hidden="false"/>
    </xf>
    <xf numFmtId="167" fontId="34" fillId="0" borderId="61" xfId="0" applyFont="true" applyBorder="true" applyAlignment="true" applyProtection="false">
      <alignment horizontal="center" vertical="bottom" textRotation="0" wrapText="false" indent="0" shrinkToFit="false"/>
      <protection locked="true" hidden="false"/>
    </xf>
    <xf numFmtId="167" fontId="0" fillId="0" borderId="61" xfId="0" applyFont="false" applyBorder="true" applyAlignment="true" applyProtection="false">
      <alignment horizontal="center" vertical="bottom" textRotation="0" wrapText="false" indent="0" shrinkToFit="false"/>
      <protection locked="true" hidden="false"/>
    </xf>
    <xf numFmtId="167" fontId="0" fillId="0" borderId="61" xfId="0" applyFont="true" applyBorder="true" applyAlignment="true" applyProtection="false">
      <alignment horizontal="center" vertical="bottom" textRotation="0" wrapText="false" indent="0" shrinkToFit="false"/>
      <protection locked="true" hidden="false"/>
    </xf>
    <xf numFmtId="167" fontId="0" fillId="0" borderId="62" xfId="0" applyFont="false" applyBorder="true" applyAlignment="true" applyProtection="false">
      <alignment horizontal="center" vertical="bottom" textRotation="0" wrapText="false" indent="0" shrinkToFit="false"/>
      <protection locked="true" hidden="false"/>
    </xf>
    <xf numFmtId="167" fontId="0" fillId="0" borderId="59" xfId="0" applyFont="true" applyBorder="true" applyAlignment="true" applyProtection="false">
      <alignment horizontal="center" vertical="bottom" textRotation="0" wrapText="false" indent="0" shrinkToFit="false"/>
      <protection locked="true" hidden="false"/>
    </xf>
    <xf numFmtId="169" fontId="0" fillId="0" borderId="34" xfId="0" applyFont="false" applyBorder="true" applyAlignment="true" applyProtection="false">
      <alignment horizontal="center" vertical="bottom" textRotation="0" wrapText="false" indent="0" shrinkToFit="false"/>
      <protection locked="true" hidden="false"/>
    </xf>
    <xf numFmtId="164" fontId="0" fillId="0" borderId="47" xfId="0" applyFont="false" applyBorder="true" applyAlignment="true" applyProtection="false">
      <alignment horizontal="center" vertical="bottom" textRotation="0" wrapText="false" indent="0" shrinkToFit="false"/>
      <protection locked="true" hidden="false"/>
    </xf>
    <xf numFmtId="167" fontId="34" fillId="0" borderId="64" xfId="0" applyFont="true" applyBorder="true" applyAlignment="true" applyProtection="false">
      <alignment horizontal="center" vertical="bottom" textRotation="0" wrapText="false" indent="0" shrinkToFit="false"/>
      <protection locked="true" hidden="false"/>
    </xf>
    <xf numFmtId="167" fontId="0" fillId="0" borderId="64" xfId="0" applyFont="false" applyBorder="true" applyAlignment="true" applyProtection="false">
      <alignment horizontal="center" vertical="bottom" textRotation="0" wrapText="false" indent="0" shrinkToFit="false"/>
      <protection locked="true" hidden="false"/>
    </xf>
    <xf numFmtId="167" fontId="0" fillId="0" borderId="65" xfId="0" applyFont="false" applyBorder="true" applyAlignment="true" applyProtection="false">
      <alignment horizontal="center" vertical="bottom" textRotation="0" wrapText="false" indent="0" shrinkToFit="false"/>
      <protection locked="true" hidden="false"/>
    </xf>
    <xf numFmtId="164" fontId="0" fillId="0" borderId="84" xfId="0" applyFont="false" applyBorder="true" applyAlignment="true" applyProtection="false">
      <alignment horizontal="center" vertical="center" textRotation="0" wrapText="true" indent="0" shrinkToFit="false"/>
      <protection locked="true" hidden="false"/>
    </xf>
    <xf numFmtId="164" fontId="0" fillId="0" borderId="19" xfId="0" applyFont="true" applyBorder="true" applyAlignment="true" applyProtection="false">
      <alignment horizontal="center" vertical="center" textRotation="0" wrapText="true" indent="0" shrinkToFit="false"/>
      <protection locked="true" hidden="false"/>
    </xf>
    <xf numFmtId="164" fontId="0" fillId="0" borderId="17" xfId="0" applyFont="true" applyBorder="true" applyAlignment="true" applyProtection="false">
      <alignment horizontal="center" vertical="center" textRotation="0" wrapText="true" indent="0" shrinkToFit="false"/>
      <protection locked="true" hidden="false"/>
    </xf>
    <xf numFmtId="164" fontId="65" fillId="0" borderId="19" xfId="0" applyFont="true" applyBorder="true" applyAlignment="true" applyProtection="false">
      <alignment horizontal="center" vertical="center" textRotation="0" wrapText="true" indent="0" shrinkToFit="false"/>
      <protection locked="true" hidden="false"/>
    </xf>
    <xf numFmtId="164" fontId="65" fillId="0" borderId="14" xfId="0" applyFont="true" applyBorder="true" applyAlignment="true" applyProtection="false">
      <alignment horizontal="center" vertical="center" textRotation="0" wrapText="true" indent="0" shrinkToFit="false"/>
      <protection locked="true" hidden="false"/>
    </xf>
    <xf numFmtId="167" fontId="34" fillId="0" borderId="54" xfId="0" applyFont="true" applyBorder="true" applyAlignment="true" applyProtection="false">
      <alignment horizontal="center" vertical="bottom" textRotation="0" wrapText="false" indent="0" shrinkToFit="false"/>
      <protection locked="true" hidden="false"/>
    </xf>
    <xf numFmtId="167" fontId="34" fillId="0" borderId="29" xfId="0" applyFont="true" applyBorder="true" applyAlignment="true" applyProtection="false">
      <alignment horizontal="center" vertical="bottom" textRotation="0" wrapText="false" indent="0" shrinkToFit="false"/>
      <protection locked="true" hidden="false"/>
    </xf>
    <xf numFmtId="167" fontId="0" fillId="0" borderId="22" xfId="0" applyFont="true" applyBorder="true" applyAlignment="true" applyProtection="false">
      <alignment horizontal="center" vertical="bottom" textRotation="0" wrapText="false" indent="0" shrinkToFit="false"/>
      <protection locked="true" hidden="false"/>
    </xf>
    <xf numFmtId="167" fontId="0" fillId="0" borderId="30" xfId="0" applyFont="true" applyBorder="true" applyAlignment="true" applyProtection="false">
      <alignment horizontal="center" vertical="bottom" textRotation="0" wrapText="false" indent="0" shrinkToFit="false"/>
      <protection locked="true" hidden="false"/>
    </xf>
    <xf numFmtId="167" fontId="37" fillId="0" borderId="22" xfId="0" applyFont="true" applyBorder="true" applyAlignment="true" applyProtection="false">
      <alignment horizontal="center" vertical="bottom" textRotation="0" wrapText="false" indent="0" shrinkToFit="false"/>
      <protection locked="true" hidden="false"/>
    </xf>
    <xf numFmtId="167" fontId="0" fillId="0" borderId="55" xfId="0" applyFont="true" applyBorder="true" applyAlignment="true" applyProtection="false">
      <alignment horizontal="center" vertical="bottom" textRotation="0" wrapText="false" indent="0" shrinkToFit="false"/>
      <protection locked="true" hidden="false"/>
    </xf>
    <xf numFmtId="167" fontId="0" fillId="0" borderId="13" xfId="0" applyFont="true" applyBorder="true" applyAlignment="true" applyProtection="false">
      <alignment horizontal="center" vertical="bottom" textRotation="0" wrapText="false" indent="0" shrinkToFit="false"/>
      <protection locked="true" hidden="false"/>
    </xf>
    <xf numFmtId="167" fontId="34" fillId="0" borderId="35" xfId="0" applyFont="true" applyBorder="true" applyAlignment="true" applyProtection="false">
      <alignment horizontal="center" vertical="bottom" textRotation="0" wrapText="false" indent="0" shrinkToFit="false"/>
      <protection locked="true" hidden="false"/>
    </xf>
    <xf numFmtId="167" fontId="0" fillId="0" borderId="60" xfId="0" applyFont="true" applyBorder="true" applyAlignment="true" applyProtection="false">
      <alignment horizontal="center" vertical="bottom" textRotation="0" wrapText="false" indent="0" shrinkToFit="false"/>
      <protection locked="true" hidden="false"/>
    </xf>
    <xf numFmtId="165" fontId="0" fillId="0" borderId="0" xfId="0" applyFont="true" applyBorder="false" applyAlignment="true" applyProtection="false">
      <alignment horizontal="center" vertical="bottom" textRotation="0" wrapText="false" indent="0" shrinkToFit="false"/>
      <protection locked="true" hidden="false"/>
    </xf>
    <xf numFmtId="167" fontId="0" fillId="0" borderId="62" xfId="0" applyFont="true" applyBorder="true" applyAlignment="true" applyProtection="false">
      <alignment horizontal="center" vertical="bottom" textRotation="0" wrapText="false" indent="0" shrinkToFit="false"/>
      <protection locked="true" hidden="false"/>
    </xf>
    <xf numFmtId="169" fontId="0" fillId="0" borderId="41" xfId="0" applyFont="false" applyBorder="true" applyAlignment="true" applyProtection="false">
      <alignment horizontal="center" vertical="bottom" textRotation="0" wrapText="false" indent="0" shrinkToFit="false"/>
      <protection locked="true" hidden="false"/>
    </xf>
    <xf numFmtId="164" fontId="0" fillId="0" borderId="107" xfId="0" applyFont="false" applyBorder="true" applyAlignment="true" applyProtection="false">
      <alignment horizontal="center" vertical="bottom" textRotation="0" wrapText="false" indent="0" shrinkToFit="false"/>
      <protection locked="true" hidden="false"/>
    </xf>
    <xf numFmtId="164" fontId="0" fillId="0" borderId="84" xfId="0" applyFont="false" applyBorder="true" applyAlignment="true" applyProtection="false">
      <alignment horizontal="center" vertical="bottom" textRotation="0" wrapText="false" indent="0" shrinkToFit="false"/>
      <protection locked="true" hidden="false"/>
    </xf>
    <xf numFmtId="164" fontId="0" fillId="0" borderId="108" xfId="0" applyFont="false" applyBorder="true" applyAlignment="true" applyProtection="false">
      <alignment horizontal="center" vertical="bottom" textRotation="0" wrapText="false" indent="0" shrinkToFit="false"/>
      <protection locked="true" hidden="false"/>
    </xf>
    <xf numFmtId="167" fontId="0" fillId="0" borderId="65" xfId="0" applyFont="true" applyBorder="true" applyAlignment="true" applyProtection="false">
      <alignment horizontal="center" vertical="bottom" textRotation="0" wrapText="false" indent="0" shrinkToFit="false"/>
      <protection locked="true" hidden="false"/>
    </xf>
    <xf numFmtId="172" fontId="34" fillId="0" borderId="0" xfId="0" applyFont="true" applyBorder="false" applyAlignment="false" applyProtection="false">
      <alignment horizontal="general" vertical="bottom" textRotation="0" wrapText="false" indent="0" shrinkToFit="false"/>
      <protection locked="true" hidden="false"/>
    </xf>
    <xf numFmtId="164" fontId="28" fillId="0" borderId="11" xfId="0" applyFont="true" applyBorder="true" applyAlignment="true" applyProtection="false">
      <alignment horizontal="center" vertical="center" textRotation="0" wrapText="false" indent="0" shrinkToFit="false"/>
      <protection locked="true" hidden="false"/>
    </xf>
    <xf numFmtId="164" fontId="28" fillId="0" borderId="12" xfId="0" applyFont="true" applyBorder="true" applyAlignment="true" applyProtection="false">
      <alignment horizontal="center" vertical="center" textRotation="0" wrapText="false" indent="0" shrinkToFit="false"/>
      <protection locked="true" hidden="false"/>
    </xf>
    <xf numFmtId="164" fontId="28" fillId="0" borderId="0" xfId="0" applyFont="true" applyBorder="true" applyAlignment="true" applyProtection="false">
      <alignment horizontal="center" vertical="center" textRotation="0" wrapText="false" indent="0" shrinkToFit="false"/>
      <protection locked="true" hidden="false"/>
    </xf>
    <xf numFmtId="164" fontId="0" fillId="0" borderId="109" xfId="0" applyFont="true" applyBorder="true" applyAlignment="true" applyProtection="false">
      <alignment horizontal="center" vertical="bottom" textRotation="0" wrapText="false" indent="0" shrinkToFit="false"/>
      <protection locked="true" hidden="false"/>
    </xf>
    <xf numFmtId="164" fontId="0" fillId="0" borderId="88" xfId="0" applyFont="true" applyBorder="true" applyAlignment="true" applyProtection="false">
      <alignment horizontal="center" vertical="center" textRotation="0" wrapText="true" indent="0" shrinkToFit="false"/>
      <protection locked="true" hidden="false"/>
    </xf>
    <xf numFmtId="164" fontId="0" fillId="0" borderId="88" xfId="0" applyFont="false" applyBorder="true" applyAlignment="false" applyProtection="false">
      <alignment horizontal="general" vertical="bottom" textRotation="0" wrapText="false" indent="0" shrinkToFit="false"/>
      <protection locked="true" hidden="false"/>
    </xf>
    <xf numFmtId="164" fontId="0" fillId="0" borderId="110" xfId="0" applyFont="false" applyBorder="true" applyAlignment="false" applyProtection="false">
      <alignment horizontal="general" vertical="bottom" textRotation="0" wrapText="false" indent="0" shrinkToFit="false"/>
      <protection locked="true" hidden="false"/>
    </xf>
    <xf numFmtId="164" fontId="0" fillId="0" borderId="12" xfId="0" applyFont="false" applyBorder="true" applyAlignment="true" applyProtection="false">
      <alignment horizontal="center" vertical="center" textRotation="0" wrapText="true" indent="0" shrinkToFit="false"/>
      <protection locked="true" hidden="false"/>
    </xf>
    <xf numFmtId="164" fontId="34" fillId="0" borderId="76" xfId="0" applyFont="true" applyBorder="true" applyAlignment="true" applyProtection="false">
      <alignment horizontal="center" vertical="center" textRotation="0" wrapText="true" indent="0" shrinkToFit="false"/>
      <protection locked="true" hidden="false"/>
    </xf>
    <xf numFmtId="164" fontId="34" fillId="0" borderId="21" xfId="0" applyFont="true" applyBorder="true" applyAlignment="true" applyProtection="false">
      <alignment horizontal="center" vertical="center" textRotation="0" wrapText="true" indent="0" shrinkToFit="false"/>
      <protection locked="true" hidden="false"/>
    </xf>
    <xf numFmtId="164" fontId="66" fillId="0" borderId="29" xfId="0" applyFont="true" applyBorder="true" applyAlignment="true" applyProtection="false">
      <alignment horizontal="center" vertical="center" textRotation="0" wrapText="true" indent="0" shrinkToFit="false"/>
      <protection locked="true" hidden="false"/>
    </xf>
    <xf numFmtId="164" fontId="37" fillId="0" borderId="22" xfId="0" applyFont="true" applyBorder="true" applyAlignment="true" applyProtection="false">
      <alignment horizontal="center" vertical="center" textRotation="0" wrapText="true" indent="0" shrinkToFit="false"/>
      <protection locked="true" hidden="false"/>
    </xf>
    <xf numFmtId="164" fontId="37" fillId="0" borderId="30" xfId="0" applyFont="true" applyBorder="true" applyAlignment="true" applyProtection="false">
      <alignment horizontal="center" vertical="center" textRotation="0" wrapText="true" indent="0" shrinkToFit="false"/>
      <protection locked="true" hidden="false"/>
    </xf>
    <xf numFmtId="164" fontId="34" fillId="0" borderId="29" xfId="0" applyFont="true" applyBorder="true" applyAlignment="true" applyProtection="false">
      <alignment horizontal="center" vertical="center" textRotation="0" wrapText="true" indent="0" shrinkToFit="false"/>
      <protection locked="true" hidden="false"/>
    </xf>
    <xf numFmtId="164" fontId="0" fillId="0" borderId="21" xfId="0" applyFont="true" applyBorder="true" applyAlignment="true" applyProtection="false">
      <alignment horizontal="center" vertical="center" textRotation="0" wrapText="true" indent="0" shrinkToFit="false"/>
      <protection locked="true" hidden="false"/>
    </xf>
    <xf numFmtId="164" fontId="0" fillId="0" borderId="94" xfId="0" applyFont="true" applyBorder="true" applyAlignment="true" applyProtection="false">
      <alignment horizontal="center" vertical="center" textRotation="0" wrapText="true" indent="0" shrinkToFit="false"/>
      <protection locked="true" hidden="false"/>
    </xf>
    <xf numFmtId="164" fontId="34" fillId="0" borderId="86" xfId="0" applyFont="true" applyBorder="true" applyAlignment="true" applyProtection="false">
      <alignment horizontal="center" vertical="center" textRotation="0" wrapText="true" indent="0" shrinkToFit="false"/>
      <protection locked="true" hidden="false"/>
    </xf>
    <xf numFmtId="164" fontId="34" fillId="0" borderId="78" xfId="0" applyFont="true" applyBorder="true" applyAlignment="true" applyProtection="false">
      <alignment horizontal="center" vertical="center" textRotation="0" wrapText="true" indent="0" shrinkToFit="false"/>
      <protection locked="true" hidden="false"/>
    </xf>
    <xf numFmtId="164" fontId="34" fillId="0" borderId="56" xfId="0" applyFont="true" applyBorder="true" applyAlignment="true" applyProtection="false">
      <alignment horizontal="center" vertical="center" textRotation="0" wrapText="true" indent="0" shrinkToFit="false"/>
      <protection locked="true" hidden="false"/>
    </xf>
    <xf numFmtId="164" fontId="37" fillId="0" borderId="66" xfId="0" applyFont="true" applyBorder="true" applyAlignment="true" applyProtection="false">
      <alignment horizontal="center" vertical="center" textRotation="0" wrapText="true" indent="0" shrinkToFit="false"/>
      <protection locked="true" hidden="false"/>
    </xf>
    <xf numFmtId="164" fontId="37" fillId="0" borderId="57" xfId="0" applyFont="true" applyBorder="true" applyAlignment="true" applyProtection="false">
      <alignment horizontal="center" vertical="center" textRotation="0" wrapText="true" indent="0" shrinkToFit="false"/>
      <protection locked="true" hidden="false"/>
    </xf>
    <xf numFmtId="164" fontId="34" fillId="0" borderId="66" xfId="0" applyFont="true" applyBorder="true" applyAlignment="true" applyProtection="false">
      <alignment horizontal="center" vertical="center" textRotation="0" wrapText="true" indent="0" shrinkToFit="false"/>
      <protection locked="true" hidden="false"/>
    </xf>
    <xf numFmtId="164" fontId="31" fillId="0" borderId="66" xfId="0" applyFont="true" applyBorder="true" applyAlignment="false" applyProtection="false">
      <alignment horizontal="general" vertical="bottom" textRotation="0" wrapText="false" indent="0" shrinkToFit="false"/>
      <protection locked="true" hidden="false"/>
    </xf>
    <xf numFmtId="164" fontId="0" fillId="0" borderId="66" xfId="0" applyFont="false" applyBorder="true" applyAlignment="false" applyProtection="false">
      <alignment horizontal="general" vertical="bottom" textRotation="0" wrapText="false" indent="0" shrinkToFit="false"/>
      <protection locked="true" hidden="false"/>
    </xf>
    <xf numFmtId="164" fontId="34" fillId="0" borderId="111" xfId="0" applyFont="true" applyBorder="true" applyAlignment="true" applyProtection="false">
      <alignment horizontal="center" vertical="center" textRotation="0" wrapText="true" indent="0" shrinkToFit="false"/>
      <protection locked="true" hidden="false"/>
    </xf>
    <xf numFmtId="167" fontId="34" fillId="0" borderId="72" xfId="19" applyFont="true" applyBorder="true" applyAlignment="true" applyProtection="true">
      <alignment horizontal="center" vertical="bottom" textRotation="0" wrapText="false" indent="0" shrinkToFit="false"/>
      <protection locked="true" hidden="false"/>
    </xf>
    <xf numFmtId="167" fontId="34" fillId="0" borderId="9" xfId="19" applyFont="true" applyBorder="true" applyAlignment="true" applyProtection="true">
      <alignment horizontal="center" vertical="bottom" textRotation="0" wrapText="false" indent="0" shrinkToFit="false"/>
      <protection locked="true" hidden="false"/>
    </xf>
    <xf numFmtId="167" fontId="0" fillId="0" borderId="26" xfId="19" applyFont="true" applyBorder="true" applyAlignment="true" applyProtection="true">
      <alignment horizontal="center" vertical="bottom" textRotation="0" wrapText="false" indent="0" shrinkToFit="false"/>
      <protection locked="true" hidden="false"/>
    </xf>
    <xf numFmtId="167" fontId="0" fillId="0" borderId="27" xfId="19" applyFont="true" applyBorder="true" applyAlignment="true" applyProtection="true">
      <alignment horizontal="center" vertical="bottom" textRotation="0" wrapText="false" indent="0" shrinkToFit="false"/>
      <protection locked="true" hidden="false"/>
    </xf>
    <xf numFmtId="164" fontId="0" fillId="0" borderId="41" xfId="0" applyFont="true" applyBorder="true" applyAlignment="true" applyProtection="false">
      <alignment horizontal="center" vertical="center" textRotation="0" wrapText="true" indent="0" shrinkToFit="false"/>
      <protection locked="true" hidden="false"/>
    </xf>
    <xf numFmtId="167" fontId="34" fillId="0" borderId="112" xfId="19" applyFont="true" applyBorder="true" applyAlignment="true" applyProtection="true">
      <alignment horizontal="center" vertical="bottom" textRotation="0" wrapText="false" indent="0" shrinkToFit="false"/>
      <protection locked="true" hidden="false"/>
    </xf>
    <xf numFmtId="167" fontId="34" fillId="0" borderId="44" xfId="19" applyFont="true" applyBorder="true" applyAlignment="true" applyProtection="true">
      <alignment horizontal="center" vertical="bottom" textRotation="0" wrapText="false" indent="0" shrinkToFit="false"/>
      <protection locked="true" hidden="false"/>
    </xf>
    <xf numFmtId="167" fontId="34" fillId="0" borderId="42" xfId="19" applyFont="true" applyBorder="true" applyAlignment="true" applyProtection="true">
      <alignment horizontal="center" vertical="bottom" textRotation="0" wrapText="false" indent="0" shrinkToFit="false"/>
      <protection locked="true" hidden="false"/>
    </xf>
    <xf numFmtId="167" fontId="0" fillId="0" borderId="44" xfId="19" applyFont="true" applyBorder="true" applyAlignment="true" applyProtection="true">
      <alignment horizontal="center" vertical="bottom" textRotation="0" wrapText="false" indent="0" shrinkToFit="false"/>
      <protection locked="true" hidden="false"/>
    </xf>
    <xf numFmtId="167" fontId="0" fillId="0" borderId="43" xfId="19" applyFont="true" applyBorder="true" applyAlignment="true" applyProtection="true">
      <alignment horizontal="center" vertical="bottom" textRotation="0" wrapText="false" indent="0" shrinkToFit="false"/>
      <protection locked="true" hidden="false"/>
    </xf>
    <xf numFmtId="167" fontId="34" fillId="0" borderId="44" xfId="0" applyFont="true" applyBorder="true" applyAlignment="true" applyProtection="false">
      <alignment horizontal="center" vertical="bottom" textRotation="0" wrapText="false" indent="0" shrinkToFit="false"/>
      <protection locked="true" hidden="false"/>
    </xf>
    <xf numFmtId="167" fontId="0" fillId="0" borderId="45" xfId="19" applyFont="true" applyBorder="true" applyAlignment="true" applyProtection="true">
      <alignment horizontal="center" vertical="bottom" textRotation="0" wrapText="false" indent="0" shrinkToFit="false"/>
      <protection locked="true" hidden="false"/>
    </xf>
    <xf numFmtId="164" fontId="32" fillId="0" borderId="0" xfId="0" applyFont="true" applyBorder="true" applyAlignment="true" applyProtection="false">
      <alignment horizontal="general" vertical="center" textRotation="0" wrapText="tru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0" fillId="0" borderId="34" xfId="0" applyFont="true" applyBorder="true" applyAlignment="true" applyProtection="false">
      <alignment horizontal="center" vertical="bottom" textRotation="0" wrapText="false" indent="0" shrinkToFit="false"/>
      <protection locked="true" hidden="false"/>
    </xf>
    <xf numFmtId="167" fontId="34" fillId="0" borderId="113" xfId="19" applyFont="true" applyBorder="true" applyAlignment="true" applyProtection="true">
      <alignment horizontal="center" vertical="bottom" textRotation="0" wrapText="false" indent="0" shrinkToFit="false"/>
      <protection locked="true" hidden="false"/>
    </xf>
    <xf numFmtId="167" fontId="34" fillId="0" borderId="37" xfId="19" applyFont="true" applyBorder="true" applyAlignment="true" applyProtection="true">
      <alignment horizontal="center" vertical="bottom" textRotation="0" wrapText="false" indent="0" shrinkToFit="false"/>
      <protection locked="true" hidden="false"/>
    </xf>
    <xf numFmtId="167" fontId="34" fillId="0" borderId="35" xfId="19" applyFont="true" applyBorder="true" applyAlignment="true" applyProtection="true">
      <alignment horizontal="center" vertical="bottom" textRotation="0" wrapText="false" indent="0" shrinkToFit="false"/>
      <protection locked="true" hidden="false"/>
    </xf>
    <xf numFmtId="167" fontId="0" fillId="0" borderId="36" xfId="19" applyFont="true" applyBorder="true" applyAlignment="true" applyProtection="true">
      <alignment horizontal="center" vertical="bottom" textRotation="0" wrapText="false" indent="0" shrinkToFit="false"/>
      <protection locked="true" hidden="false"/>
    </xf>
    <xf numFmtId="167" fontId="0" fillId="0" borderId="38" xfId="19" applyFont="true" applyBorder="true" applyAlignment="true" applyProtection="true">
      <alignment horizontal="center" vertical="bottom" textRotation="0" wrapText="false" indent="0" shrinkToFit="false"/>
      <protection locked="true" hidden="false"/>
    </xf>
    <xf numFmtId="164" fontId="0" fillId="0" borderId="47" xfId="0" applyFont="true" applyBorder="true" applyAlignment="true" applyProtection="false">
      <alignment horizontal="center" vertical="bottom" textRotation="0" wrapText="false" indent="0" shrinkToFit="false"/>
      <protection locked="true" hidden="false"/>
    </xf>
    <xf numFmtId="167" fontId="34" fillId="0" borderId="74" xfId="19" applyFont="true" applyBorder="true" applyAlignment="true" applyProtection="true">
      <alignment horizontal="center" vertical="bottom" textRotation="0" wrapText="false" indent="0" shrinkToFit="false"/>
      <protection locked="true" hidden="false"/>
    </xf>
    <xf numFmtId="167" fontId="34" fillId="0" borderId="50" xfId="19" applyFont="true" applyBorder="true" applyAlignment="true" applyProtection="true">
      <alignment horizontal="center" vertical="bottom" textRotation="0" wrapText="false" indent="0" shrinkToFit="false"/>
      <protection locked="true" hidden="false"/>
    </xf>
    <xf numFmtId="167" fontId="34" fillId="0" borderId="48" xfId="19" applyFont="true" applyBorder="true" applyAlignment="true" applyProtection="true">
      <alignment horizontal="center" vertical="bottom" textRotation="0" wrapText="false" indent="0" shrinkToFit="false"/>
      <protection locked="true" hidden="false"/>
    </xf>
    <xf numFmtId="167" fontId="0" fillId="0" borderId="49" xfId="19" applyFont="true" applyBorder="true" applyAlignment="true" applyProtection="true">
      <alignment horizontal="center" vertical="bottom" textRotation="0" wrapText="false" indent="0" shrinkToFit="false"/>
      <protection locked="true" hidden="false"/>
    </xf>
    <xf numFmtId="167" fontId="34" fillId="0" borderId="50" xfId="0" applyFont="true" applyBorder="true" applyAlignment="true" applyProtection="false">
      <alignment horizontal="center" vertical="bottom" textRotation="0" wrapText="false" indent="0" shrinkToFit="false"/>
      <protection locked="true" hidden="false"/>
    </xf>
    <xf numFmtId="167" fontId="0" fillId="0" borderId="51" xfId="19" applyFont="true" applyBorder="true" applyAlignment="true" applyProtection="true">
      <alignment horizontal="center" vertical="bottom" textRotation="0" wrapText="false" indent="0" shrinkToFit="false"/>
      <protection locked="true" hidden="false"/>
    </xf>
    <xf numFmtId="164" fontId="0" fillId="0" borderId="9" xfId="0" applyFont="false" applyBorder="true" applyAlignment="true" applyProtection="false">
      <alignment horizontal="general" vertical="center" textRotation="0" wrapText="true" indent="0" shrinkToFit="false"/>
      <protection locked="true" hidden="false"/>
    </xf>
    <xf numFmtId="164" fontId="0" fillId="0" borderId="0" xfId="0" applyFont="false" applyBorder="true" applyAlignment="true" applyProtection="false">
      <alignment horizontal="general" vertical="center" textRotation="0" wrapText="true" indent="0" shrinkToFit="false"/>
      <protection locked="true" hidden="false"/>
    </xf>
    <xf numFmtId="164" fontId="28" fillId="0" borderId="13" xfId="0" applyFont="true" applyBorder="true" applyAlignment="true" applyProtection="false">
      <alignment horizontal="center" vertical="center" textRotation="0" wrapText="false" indent="0" shrinkToFit="false"/>
      <protection locked="true" hidden="false"/>
    </xf>
    <xf numFmtId="164" fontId="32" fillId="0" borderId="75" xfId="0" applyFont="true" applyBorder="true" applyAlignment="true" applyProtection="false">
      <alignment horizontal="center" vertical="center" textRotation="0" wrapText="true" indent="0" shrinkToFit="false"/>
      <protection locked="true" hidden="false"/>
    </xf>
    <xf numFmtId="164" fontId="0" fillId="0" borderId="54" xfId="0" applyFont="true" applyBorder="true" applyAlignment="true" applyProtection="false">
      <alignment horizontal="center" vertical="center" textRotation="0" wrapText="true" indent="0" shrinkToFit="false"/>
      <protection locked="true" hidden="false"/>
    </xf>
    <xf numFmtId="164" fontId="0" fillId="0" borderId="30" xfId="66" applyFont="true" applyBorder="true" applyAlignment="true" applyProtection="false">
      <alignment horizontal="center" vertical="center" textRotation="0" wrapText="true" indent="0" shrinkToFit="false"/>
      <protection locked="true" hidden="false"/>
    </xf>
    <xf numFmtId="164" fontId="0" fillId="0" borderId="22" xfId="0" applyFont="true" applyBorder="true" applyAlignment="true" applyProtection="false">
      <alignment horizontal="center" vertical="center" textRotation="0" wrapText="true" indent="0" shrinkToFit="false"/>
      <protection locked="true" hidden="false"/>
    </xf>
    <xf numFmtId="164" fontId="0" fillId="0" borderId="30" xfId="0" applyFont="true" applyBorder="true" applyAlignment="true" applyProtection="false">
      <alignment horizontal="center" vertical="center" textRotation="0" wrapText="true" indent="0" shrinkToFit="false"/>
      <protection locked="true" hidden="false"/>
    </xf>
    <xf numFmtId="164" fontId="32" fillId="0" borderId="55" xfId="66" applyFont="true" applyBorder="true" applyAlignment="true" applyProtection="false">
      <alignment horizontal="center" vertical="center" textRotation="0" wrapText="true" indent="0" shrinkToFit="false"/>
      <protection locked="true" hidden="false"/>
    </xf>
    <xf numFmtId="164" fontId="34" fillId="0" borderId="9" xfId="0" applyFont="true" applyBorder="true" applyAlignment="true" applyProtection="false">
      <alignment horizontal="center" vertical="center" textRotation="0" wrapText="true" indent="0" shrinkToFit="false"/>
      <protection locked="true" hidden="false"/>
    </xf>
    <xf numFmtId="164" fontId="34" fillId="0" borderId="0" xfId="0" applyFont="true" applyBorder="true" applyAlignment="true" applyProtection="false">
      <alignment horizontal="center" vertical="center" textRotation="0" wrapText="true" indent="0" shrinkToFit="false"/>
      <protection locked="true" hidden="false"/>
    </xf>
    <xf numFmtId="165" fontId="0" fillId="0" borderId="54" xfId="0" applyFont="true" applyBorder="true" applyAlignment="true" applyProtection="false">
      <alignment horizontal="center" vertical="bottom" textRotation="0" wrapText="false" indent="0" shrinkToFit="false"/>
      <protection locked="true" hidden="false"/>
    </xf>
    <xf numFmtId="165" fontId="34" fillId="0" borderId="29" xfId="0" applyFont="true" applyBorder="true" applyAlignment="true" applyProtection="false">
      <alignment horizontal="center" vertical="center" textRotation="0" wrapText="true" indent="0" shrinkToFit="false"/>
      <protection locked="true" hidden="false"/>
    </xf>
    <xf numFmtId="165" fontId="32" fillId="0" borderId="22" xfId="66" applyFont="true" applyBorder="true" applyAlignment="true" applyProtection="false">
      <alignment horizontal="center" vertical="center" textRotation="0" wrapText="true" indent="0" shrinkToFit="false"/>
      <protection locked="true" hidden="false"/>
    </xf>
    <xf numFmtId="165" fontId="0" fillId="0" borderId="30" xfId="0" applyFont="true" applyBorder="true" applyAlignment="true" applyProtection="false">
      <alignment horizontal="center" vertical="center" textRotation="0" wrapText="true" indent="0" shrinkToFit="false"/>
      <protection locked="true" hidden="false"/>
    </xf>
    <xf numFmtId="165" fontId="34" fillId="0" borderId="22" xfId="0" applyFont="true" applyBorder="true" applyAlignment="true" applyProtection="false">
      <alignment horizontal="center" vertical="center" textRotation="0" wrapText="true" indent="0" shrinkToFit="false"/>
      <protection locked="true" hidden="false"/>
    </xf>
    <xf numFmtId="165" fontId="67" fillId="0" borderId="55" xfId="66" applyFont="true" applyBorder="true" applyAlignment="true" applyProtection="false">
      <alignment horizontal="center" vertical="center" textRotation="0" wrapText="true" indent="0" shrinkToFit="false"/>
      <protection locked="true" hidden="false"/>
    </xf>
    <xf numFmtId="165" fontId="0" fillId="0" borderId="58" xfId="0" applyFont="true" applyBorder="true" applyAlignment="true" applyProtection="false">
      <alignment horizontal="center" vertical="bottom" textRotation="0" wrapText="false" indent="0" shrinkToFit="false"/>
      <protection locked="true" hidden="false"/>
    </xf>
    <xf numFmtId="165" fontId="34" fillId="0" borderId="9" xfId="0" applyFont="true" applyBorder="true" applyAlignment="true" applyProtection="false">
      <alignment horizontal="center" vertical="center" textRotation="0" wrapText="true" indent="0" shrinkToFit="false"/>
      <protection locked="true" hidden="false"/>
    </xf>
    <xf numFmtId="165" fontId="32" fillId="0" borderId="0" xfId="66" applyFont="true" applyBorder="true" applyAlignment="true" applyProtection="false">
      <alignment horizontal="center" vertical="center" textRotation="0" wrapText="true" indent="0" shrinkToFit="false"/>
      <protection locked="true" hidden="false"/>
    </xf>
    <xf numFmtId="165" fontId="0" fillId="0" borderId="26" xfId="66" applyFont="true" applyBorder="true" applyAlignment="true" applyProtection="false">
      <alignment horizontal="center" vertical="center" textRotation="0" wrapText="true" indent="0" shrinkToFit="false"/>
      <protection locked="true" hidden="false"/>
    </xf>
    <xf numFmtId="165" fontId="0" fillId="0" borderId="26" xfId="0" applyFont="true" applyBorder="true" applyAlignment="true" applyProtection="false">
      <alignment horizontal="center" vertical="center" textRotation="0" wrapText="true" indent="0" shrinkToFit="false"/>
      <protection locked="true" hidden="false"/>
    </xf>
    <xf numFmtId="165" fontId="34" fillId="0" borderId="0" xfId="0" applyFont="true" applyBorder="true" applyAlignment="true" applyProtection="false">
      <alignment horizontal="center" vertical="center" textRotation="0" wrapText="true" indent="0" shrinkToFit="false"/>
      <protection locked="true" hidden="false"/>
    </xf>
    <xf numFmtId="165" fontId="67" fillId="0" borderId="13" xfId="66" applyFont="true" applyBorder="true" applyAlignment="true" applyProtection="false">
      <alignment horizontal="center" vertical="center" textRotation="0" wrapText="true" indent="0" shrinkToFit="false"/>
      <protection locked="true" hidden="false"/>
    </xf>
    <xf numFmtId="165" fontId="0" fillId="0" borderId="59" xfId="0" applyFont="true" applyBorder="true" applyAlignment="true" applyProtection="false">
      <alignment horizontal="center" vertical="bottom" textRotation="0" wrapText="false" indent="0" shrinkToFit="false"/>
      <protection locked="true" hidden="false"/>
    </xf>
    <xf numFmtId="165" fontId="34" fillId="0" borderId="35" xfId="0" applyFont="true" applyBorder="true" applyAlignment="true" applyProtection="false">
      <alignment horizontal="center" vertical="center" textRotation="0" wrapText="true" indent="0" shrinkToFit="false"/>
      <protection locked="true" hidden="false"/>
    </xf>
    <xf numFmtId="165" fontId="32" fillId="0" borderId="37" xfId="66" applyFont="true" applyBorder="true" applyAlignment="true" applyProtection="false">
      <alignment horizontal="center" vertical="center" textRotation="0" wrapText="true" indent="0" shrinkToFit="false"/>
      <protection locked="true" hidden="false"/>
    </xf>
    <xf numFmtId="165" fontId="0" fillId="0" borderId="36" xfId="66" applyFont="true" applyBorder="true" applyAlignment="true" applyProtection="false">
      <alignment horizontal="center" vertical="center" textRotation="0" wrapText="true" indent="0" shrinkToFit="false"/>
      <protection locked="true" hidden="false"/>
    </xf>
    <xf numFmtId="165" fontId="0" fillId="0" borderId="36" xfId="0" applyFont="true" applyBorder="true" applyAlignment="true" applyProtection="false">
      <alignment horizontal="center" vertical="center" textRotation="0" wrapText="true" indent="0" shrinkToFit="false"/>
      <protection locked="true" hidden="false"/>
    </xf>
    <xf numFmtId="165" fontId="34" fillId="0" borderId="37" xfId="0" applyFont="true" applyBorder="true" applyAlignment="true" applyProtection="false">
      <alignment horizontal="center" vertical="center" textRotation="0" wrapText="true" indent="0" shrinkToFit="false"/>
      <protection locked="true" hidden="false"/>
    </xf>
    <xf numFmtId="165" fontId="67" fillId="0" borderId="60" xfId="66" applyFont="true" applyBorder="true" applyAlignment="true" applyProtection="false">
      <alignment horizontal="center" vertical="center" textRotation="0" wrapText="true" indent="0" shrinkToFit="false"/>
      <protection locked="true" hidden="false"/>
    </xf>
    <xf numFmtId="165" fontId="0" fillId="0" borderId="26" xfId="0" applyFont="true" applyBorder="true" applyAlignment="true" applyProtection="false">
      <alignment horizontal="center" vertical="bottom" textRotation="0" wrapText="false" indent="0" shrinkToFit="false"/>
      <protection locked="true" hidden="false"/>
    </xf>
    <xf numFmtId="165" fontId="0" fillId="0" borderId="13" xfId="0" applyFont="true" applyBorder="true" applyAlignment="true" applyProtection="false">
      <alignment horizontal="center" vertical="bottom" textRotation="0" wrapText="false" indent="0" shrinkToFit="false"/>
      <protection locked="true" hidden="false"/>
    </xf>
    <xf numFmtId="165" fontId="0" fillId="0" borderId="26" xfId="0" applyFont="true" applyBorder="true" applyAlignment="true" applyProtection="false">
      <alignment horizontal="center" vertical="bottom" textRotation="0" wrapText="false" indent="0" shrinkToFit="false"/>
      <protection locked="true" hidden="false"/>
    </xf>
    <xf numFmtId="164" fontId="0" fillId="0" borderId="59" xfId="0" applyFont="true" applyBorder="true" applyAlignment="true" applyProtection="false">
      <alignment horizontal="center" vertical="bottom" textRotation="0" wrapText="true" indent="0" shrinkToFit="false"/>
      <protection locked="true" hidden="false"/>
    </xf>
    <xf numFmtId="165" fontId="34" fillId="0" borderId="35" xfId="0" applyFont="true" applyBorder="true" applyAlignment="true" applyProtection="false">
      <alignment horizontal="center" vertical="bottom" textRotation="0" wrapText="false" indent="0" shrinkToFit="false"/>
      <protection locked="true" hidden="false"/>
    </xf>
    <xf numFmtId="165" fontId="0" fillId="0" borderId="36" xfId="0" applyFont="true" applyBorder="true" applyAlignment="true" applyProtection="false">
      <alignment horizontal="center" vertical="bottom" textRotation="0" wrapText="false" indent="0" shrinkToFit="false"/>
      <protection locked="true" hidden="false"/>
    </xf>
    <xf numFmtId="165" fontId="0" fillId="0" borderId="36" xfId="0" applyFont="true" applyBorder="true" applyAlignment="true" applyProtection="false">
      <alignment horizontal="center" vertical="bottom" textRotation="0" wrapText="false" indent="0" shrinkToFit="false"/>
      <protection locked="true" hidden="false"/>
    </xf>
    <xf numFmtId="165" fontId="31" fillId="0" borderId="60" xfId="0" applyFont="true" applyBorder="true" applyAlignment="true" applyProtection="false">
      <alignment horizontal="center" vertical="bottom" textRotation="0" wrapText="false" indent="0" shrinkToFit="false"/>
      <protection locked="true" hidden="false"/>
    </xf>
    <xf numFmtId="174" fontId="31" fillId="0" borderId="0" xfId="0" applyFont="true" applyBorder="false" applyAlignment="false" applyProtection="false">
      <alignment horizontal="general" vertical="bottom" textRotation="0" wrapText="false" indent="0" shrinkToFit="false"/>
      <protection locked="true" hidden="false"/>
    </xf>
    <xf numFmtId="164" fontId="0" fillId="0" borderId="58" xfId="0" applyFont="true" applyBorder="true" applyAlignment="true" applyProtection="false">
      <alignment horizontal="center" vertical="bottom" textRotation="0" wrapText="true" indent="0" shrinkToFit="false"/>
      <protection locked="true" hidden="false"/>
    </xf>
    <xf numFmtId="165" fontId="34" fillId="0" borderId="9" xfId="0" applyFont="true" applyBorder="true" applyAlignment="true" applyProtection="false">
      <alignment horizontal="center" vertical="bottom" textRotation="0" wrapText="false" indent="0" shrinkToFit="false"/>
      <protection locked="true" hidden="false"/>
    </xf>
    <xf numFmtId="165" fontId="31" fillId="0" borderId="13" xfId="0" applyFont="true" applyBorder="true" applyAlignment="true" applyProtection="false">
      <alignment horizontal="center" vertical="bottom" textRotation="0" wrapText="false" indent="0" shrinkToFit="false"/>
      <protection locked="true" hidden="false"/>
    </xf>
    <xf numFmtId="165" fontId="34" fillId="0" borderId="9" xfId="19" applyFont="true" applyBorder="true" applyAlignment="true" applyProtection="true">
      <alignment horizontal="center" vertical="bottom" textRotation="0" wrapText="false" indent="0" shrinkToFit="false"/>
      <protection locked="true" hidden="false"/>
    </xf>
    <xf numFmtId="165" fontId="34" fillId="0" borderId="35" xfId="19" applyFont="true" applyBorder="true" applyAlignment="true" applyProtection="true">
      <alignment horizontal="center" vertical="bottom" textRotation="0" wrapText="false" indent="0" shrinkToFit="false"/>
      <protection locked="true" hidden="false"/>
    </xf>
    <xf numFmtId="165" fontId="34" fillId="0" borderId="37" xfId="0" applyFont="true" applyBorder="true" applyAlignment="true" applyProtection="false">
      <alignment horizontal="center" vertical="bottom" textRotation="0" wrapText="false" indent="0" shrinkToFit="false"/>
      <protection locked="true" hidden="false"/>
    </xf>
    <xf numFmtId="165" fontId="0" fillId="0" borderId="60" xfId="0" applyFont="true" applyBorder="true" applyAlignment="true" applyProtection="false">
      <alignment horizontal="center" vertical="bottom" textRotation="0" wrapText="false" indent="0" shrinkToFit="false"/>
      <protection locked="true" hidden="false"/>
    </xf>
    <xf numFmtId="165" fontId="0" fillId="0" borderId="13" xfId="0" applyFont="true" applyBorder="true" applyAlignment="true" applyProtection="false">
      <alignment horizontal="center" vertical="bottom" textRotation="0" wrapText="false" indent="0" shrinkToFit="false"/>
      <protection locked="true" hidden="false"/>
    </xf>
    <xf numFmtId="164" fontId="0" fillId="0" borderId="114" xfId="0" applyFont="true" applyBorder="true" applyAlignment="true" applyProtection="false">
      <alignment horizontal="center" vertical="center" textRotation="0" wrapText="true" indent="0" shrinkToFit="false"/>
      <protection locked="true" hidden="false"/>
    </xf>
    <xf numFmtId="165" fontId="0" fillId="0" borderId="114" xfId="0" applyFont="true" applyBorder="true" applyAlignment="true" applyProtection="false">
      <alignment horizontal="center" vertical="bottom" textRotation="0" wrapText="false" indent="0" shrinkToFit="false"/>
      <protection locked="true" hidden="false"/>
    </xf>
    <xf numFmtId="165" fontId="34" fillId="0" borderId="104" xfId="19" applyFont="true" applyBorder="true" applyAlignment="true" applyProtection="true">
      <alignment horizontal="center" vertical="bottom" textRotation="0" wrapText="false" indent="0" shrinkToFit="false"/>
      <protection locked="true" hidden="false"/>
    </xf>
    <xf numFmtId="165" fontId="0" fillId="0" borderId="100" xfId="0" applyFont="true" applyBorder="true" applyAlignment="true" applyProtection="false">
      <alignment horizontal="center" vertical="bottom" textRotation="0" wrapText="false" indent="0" shrinkToFit="false"/>
      <protection locked="true" hidden="false"/>
    </xf>
    <xf numFmtId="165" fontId="0" fillId="0" borderId="99" xfId="19" applyFont="true" applyBorder="true" applyAlignment="true" applyProtection="true">
      <alignment horizontal="center" vertical="bottom" textRotation="0" wrapText="false" indent="0" shrinkToFit="false"/>
      <protection locked="true" hidden="false"/>
    </xf>
    <xf numFmtId="186" fontId="38" fillId="0" borderId="115" xfId="66" applyFont="true" applyBorder="true" applyAlignment="true" applyProtection="false">
      <alignment horizontal="center" vertical="center" textRotation="0" wrapText="false" indent="0" shrinkToFit="false"/>
      <protection locked="true" hidden="false"/>
    </xf>
    <xf numFmtId="164" fontId="0" fillId="0" borderId="116" xfId="0" applyFont="true" applyBorder="true" applyAlignment="true" applyProtection="false">
      <alignment horizontal="center" vertical="center" textRotation="0" wrapText="true" indent="0" shrinkToFit="false"/>
      <protection locked="true" hidden="false"/>
    </xf>
    <xf numFmtId="167" fontId="0" fillId="0" borderId="116" xfId="19" applyFont="true" applyBorder="true" applyAlignment="true" applyProtection="true">
      <alignment horizontal="center" vertical="bottom" textRotation="0" wrapText="false" indent="0" shrinkToFit="false"/>
      <protection locked="true" hidden="false"/>
    </xf>
    <xf numFmtId="167" fontId="34" fillId="0" borderId="117" xfId="19" applyFont="true" applyBorder="true" applyAlignment="true" applyProtection="true">
      <alignment horizontal="center" vertical="bottom" textRotation="0" wrapText="false" indent="0" shrinkToFit="false"/>
      <protection locked="true" hidden="false"/>
    </xf>
    <xf numFmtId="167" fontId="0" fillId="0" borderId="89" xfId="19" applyFont="true" applyBorder="true" applyAlignment="true" applyProtection="true">
      <alignment horizontal="center" vertical="bottom" textRotation="0" wrapText="false" indent="0" shrinkToFit="false"/>
      <protection locked="true" hidden="false"/>
    </xf>
    <xf numFmtId="167" fontId="0" fillId="0" borderId="13" xfId="19" applyFont="true" applyBorder="true" applyAlignment="true" applyProtection="true">
      <alignment horizontal="center" vertical="bottom" textRotation="0" wrapText="false" indent="0" shrinkToFit="false"/>
      <protection locked="true" hidden="false"/>
    </xf>
    <xf numFmtId="167" fontId="0" fillId="0" borderId="58" xfId="19" applyFont="true" applyBorder="true" applyAlignment="true" applyProtection="true">
      <alignment horizontal="center" vertical="bottom" textRotation="0" wrapText="false" indent="0" shrinkToFit="false"/>
      <protection locked="true" hidden="false"/>
    </xf>
    <xf numFmtId="167" fontId="0" fillId="0" borderId="59" xfId="19" applyFont="true" applyBorder="true" applyAlignment="true" applyProtection="true">
      <alignment horizontal="center" vertical="bottom" textRotation="0" wrapText="false" indent="0" shrinkToFit="false"/>
      <protection locked="true" hidden="false"/>
    </xf>
    <xf numFmtId="167" fontId="0" fillId="0" borderId="60" xfId="19" applyFont="true" applyBorder="true" applyAlignment="true" applyProtection="true">
      <alignment horizontal="center" vertical="bottom" textRotation="0" wrapText="false" indent="0" shrinkToFit="false"/>
      <protection locked="true" hidden="false"/>
    </xf>
    <xf numFmtId="164" fontId="0" fillId="0" borderId="12" xfId="0" applyFont="true" applyBorder="true" applyAlignment="true" applyProtection="false">
      <alignment horizontal="center" vertical="center" textRotation="0" wrapText="true" indent="0" shrinkToFit="false"/>
      <protection locked="true" hidden="false"/>
    </xf>
    <xf numFmtId="164" fontId="0" fillId="0" borderId="58" xfId="0" applyFont="true" applyBorder="true" applyAlignment="true" applyProtection="false">
      <alignment horizontal="center" vertical="center" textRotation="0" wrapText="tru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0" fillId="0" borderId="58" xfId="0" applyFont="true" applyBorder="true" applyAlignment="true" applyProtection="false">
      <alignment horizontal="center" vertical="bottom" textRotation="0" wrapText="false" indent="0" shrinkToFit="false"/>
      <protection locked="true" hidden="false"/>
    </xf>
    <xf numFmtId="164" fontId="0" fillId="0" borderId="34" xfId="0" applyFont="true" applyBorder="true" applyAlignment="true" applyProtection="false">
      <alignment horizontal="center" vertical="bottom" textRotation="0" wrapText="false" indent="0" shrinkToFit="false"/>
      <protection locked="true" hidden="false"/>
    </xf>
    <xf numFmtId="164" fontId="0" fillId="0" borderId="59" xfId="0" applyFont="true" applyBorder="true" applyAlignment="true" applyProtection="false">
      <alignment horizontal="center" vertical="bottom" textRotation="0" wrapText="true" indent="0" shrinkToFit="false"/>
      <protection locked="true" hidden="false"/>
    </xf>
    <xf numFmtId="164" fontId="0" fillId="0" borderId="60" xfId="0" applyFont="true" applyBorder="true" applyAlignment="true" applyProtection="false">
      <alignment horizontal="center" vertical="bottom" textRotation="0" wrapText="false" indent="0" shrinkToFit="false"/>
      <protection locked="true" hidden="false"/>
    </xf>
    <xf numFmtId="164" fontId="0" fillId="0" borderId="58" xfId="0" applyFont="true" applyBorder="true" applyAlignment="true" applyProtection="false">
      <alignment horizontal="center" vertical="bottom" textRotation="0" wrapText="true" indent="0" shrinkToFit="false"/>
      <protection locked="true" hidden="false"/>
    </xf>
    <xf numFmtId="164" fontId="0" fillId="0" borderId="59" xfId="0" applyFont="true" applyBorder="true" applyAlignment="true" applyProtection="false">
      <alignment horizontal="center" vertical="center" textRotation="0" wrapText="true" indent="0" shrinkToFit="false"/>
      <protection locked="true" hidden="false"/>
    </xf>
    <xf numFmtId="164" fontId="0" fillId="0" borderId="47" xfId="0" applyFont="true" applyBorder="true" applyAlignment="true" applyProtection="false">
      <alignment horizontal="center" vertical="bottom" textRotation="0" wrapText="false" indent="0" shrinkToFit="false"/>
      <protection locked="true" hidden="false"/>
    </xf>
    <xf numFmtId="164" fontId="0" fillId="0" borderId="64" xfId="0" applyFont="true" applyBorder="true" applyAlignment="true" applyProtection="false">
      <alignment horizontal="center" vertical="center" textRotation="0" wrapText="true" indent="0" shrinkToFit="false"/>
      <protection locked="true" hidden="false"/>
    </xf>
    <xf numFmtId="167" fontId="0" fillId="0" borderId="64" xfId="19" applyFont="true" applyBorder="true" applyAlignment="true" applyProtection="true">
      <alignment horizontal="center" vertical="bottom" textRotation="0" wrapText="false" indent="0" shrinkToFit="false"/>
      <protection locked="true" hidden="false"/>
    </xf>
    <xf numFmtId="164" fontId="0" fillId="0" borderId="54" xfId="0" applyFont="true" applyBorder="true" applyAlignment="true" applyProtection="false">
      <alignment horizontal="left" vertical="center" textRotation="0" wrapText="true" indent="0" shrinkToFit="false"/>
      <protection locked="true" hidden="false"/>
    </xf>
    <xf numFmtId="164" fontId="34" fillId="0" borderId="9" xfId="0" applyFont="true" applyBorder="true" applyAlignment="false" applyProtection="false">
      <alignment horizontal="general" vertical="bottom" textRotation="0" wrapText="false" indent="0" shrinkToFit="false"/>
      <protection locked="true" hidden="false"/>
    </xf>
    <xf numFmtId="164" fontId="34" fillId="0" borderId="0" xfId="0" applyFont="tru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0" fillId="0" borderId="56" xfId="0" applyFont="false" applyBorder="true" applyAlignment="false" applyProtection="false">
      <alignment horizontal="general" vertical="bottom" textRotation="0" wrapText="false" indent="0" shrinkToFit="false"/>
      <protection locked="true" hidden="false"/>
    </xf>
    <xf numFmtId="167" fontId="0" fillId="0" borderId="66" xfId="19" applyFont="true" applyBorder="true" applyAlignment="true" applyProtection="true">
      <alignment horizontal="general" vertical="bottom" textRotation="0" wrapText="false" indent="0" shrinkToFit="false"/>
      <protection locked="true" hidden="false"/>
    </xf>
    <xf numFmtId="167" fontId="0" fillId="0" borderId="66" xfId="19" applyFont="true" applyBorder="true" applyAlignment="true" applyProtection="true">
      <alignment horizontal="center" vertical="bottom" textRotation="0" wrapText="false" indent="0" shrinkToFit="false"/>
      <protection locked="true" hidden="false"/>
    </xf>
    <xf numFmtId="164" fontId="0" fillId="0" borderId="57" xfId="0" applyFont="false" applyBorder="true" applyAlignment="false" applyProtection="false">
      <alignment horizontal="general" vertical="bottom" textRotation="0" wrapText="false" indent="0" shrinkToFit="false"/>
      <protection locked="true" hidden="false"/>
    </xf>
    <xf numFmtId="164" fontId="61" fillId="0" borderId="0" xfId="63" applyFont="true" applyBorder="false" applyAlignment="false" applyProtection="false">
      <alignment horizontal="general" vertical="bottom" textRotation="0" wrapText="false" indent="0" shrinkToFit="false"/>
      <protection locked="true" hidden="false"/>
    </xf>
    <xf numFmtId="164" fontId="68" fillId="0" borderId="11" xfId="63" applyFont="true" applyBorder="true" applyAlignment="true" applyProtection="false">
      <alignment horizontal="center" vertical="bottom" textRotation="0" wrapText="false" indent="0" shrinkToFit="false"/>
      <protection locked="true" hidden="false"/>
    </xf>
    <xf numFmtId="164" fontId="61" fillId="0" borderId="12" xfId="63" applyFont="true" applyBorder="true" applyAlignment="false" applyProtection="false">
      <alignment horizontal="general" vertical="bottom" textRotation="0" wrapText="false" indent="0" shrinkToFit="false"/>
      <protection locked="true" hidden="false"/>
    </xf>
    <xf numFmtId="164" fontId="61" fillId="0" borderId="0" xfId="63" applyFont="true" applyBorder="true" applyAlignment="false" applyProtection="false">
      <alignment horizontal="general" vertical="bottom" textRotation="0" wrapText="false" indent="0" shrinkToFit="false"/>
      <protection locked="true" hidden="false"/>
    </xf>
    <xf numFmtId="164" fontId="61" fillId="0" borderId="13" xfId="63" applyFont="true" applyBorder="true" applyAlignment="false" applyProtection="false">
      <alignment horizontal="general" vertical="bottom" textRotation="0" wrapText="false" indent="0" shrinkToFit="false"/>
      <protection locked="true" hidden="false"/>
    </xf>
    <xf numFmtId="164" fontId="57" fillId="0" borderId="0" xfId="63" applyFont="true" applyBorder="true" applyAlignment="true" applyProtection="false">
      <alignment horizontal="center" vertical="bottom" textRotation="0" wrapText="false" indent="0" shrinkToFit="false"/>
      <protection locked="true" hidden="false"/>
    </xf>
    <xf numFmtId="164" fontId="57" fillId="0" borderId="13" xfId="63" applyFont="true" applyBorder="true" applyAlignment="true" applyProtection="false">
      <alignment horizontal="center" vertical="bottom" textRotation="0" wrapText="false" indent="0" shrinkToFit="false"/>
      <protection locked="true" hidden="false"/>
    </xf>
    <xf numFmtId="164" fontId="61" fillId="0" borderId="28" xfId="63" applyFont="true" applyBorder="true" applyAlignment="false" applyProtection="false">
      <alignment horizontal="general" vertical="bottom" textRotation="0" wrapText="false" indent="0" shrinkToFit="false"/>
      <protection locked="true" hidden="false"/>
    </xf>
    <xf numFmtId="187" fontId="61" fillId="0" borderId="19" xfId="63" applyFont="true" applyBorder="true" applyAlignment="true" applyProtection="false">
      <alignment horizontal="center" vertical="bottom" textRotation="0" wrapText="false" indent="0" shrinkToFit="false"/>
      <protection locked="true" hidden="false"/>
    </xf>
    <xf numFmtId="187" fontId="61" fillId="0" borderId="14" xfId="63" applyFont="true" applyBorder="true" applyAlignment="true" applyProtection="false">
      <alignment horizontal="center" vertical="bottom" textRotation="0" wrapText="false" indent="0" shrinkToFit="false"/>
      <protection locked="true" hidden="false"/>
    </xf>
    <xf numFmtId="164" fontId="61" fillId="0" borderId="22" xfId="63" applyFont="true" applyBorder="true" applyAlignment="true" applyProtection="false">
      <alignment horizontal="center" vertical="bottom" textRotation="0" wrapText="false" indent="0" shrinkToFit="false"/>
      <protection locked="true" hidden="false"/>
    </xf>
    <xf numFmtId="164" fontId="61" fillId="0" borderId="55" xfId="63" applyFont="true" applyBorder="true" applyAlignment="true" applyProtection="false">
      <alignment horizontal="center" vertical="bottom" textRotation="0" wrapText="false" indent="0" shrinkToFit="false"/>
      <protection locked="true" hidden="false"/>
    </xf>
    <xf numFmtId="164" fontId="69" fillId="0" borderId="12" xfId="63" applyFont="true" applyBorder="true" applyAlignment="false" applyProtection="false">
      <alignment horizontal="general" vertical="bottom" textRotation="0" wrapText="false" indent="0" shrinkToFit="false"/>
      <protection locked="true" hidden="false"/>
    </xf>
    <xf numFmtId="164" fontId="61" fillId="0" borderId="0" xfId="63" applyFont="true" applyBorder="true" applyAlignment="true" applyProtection="false">
      <alignment horizontal="center" vertical="bottom" textRotation="0" wrapText="false" indent="0" shrinkToFit="false"/>
      <protection locked="true" hidden="false"/>
    </xf>
    <xf numFmtId="164" fontId="61" fillId="0" borderId="13" xfId="63" applyFont="true" applyBorder="true" applyAlignment="true" applyProtection="false">
      <alignment horizontal="center" vertical="bottom" textRotation="0" wrapText="false" indent="0" shrinkToFit="false"/>
      <protection locked="true" hidden="false"/>
    </xf>
    <xf numFmtId="164" fontId="68" fillId="0" borderId="12" xfId="63" applyFont="true" applyBorder="true" applyAlignment="false" applyProtection="false">
      <alignment horizontal="general" vertical="bottom" textRotation="0" wrapText="false" indent="0" shrinkToFit="false"/>
      <protection locked="true" hidden="false"/>
    </xf>
    <xf numFmtId="165" fontId="61" fillId="0" borderId="0" xfId="63" applyFont="true" applyBorder="true" applyAlignment="true" applyProtection="false">
      <alignment horizontal="center" vertical="bottom" textRotation="0" wrapText="false" indent="0" shrinkToFit="false"/>
      <protection locked="true" hidden="false"/>
    </xf>
    <xf numFmtId="165" fontId="61" fillId="0" borderId="13" xfId="63" applyFont="true" applyBorder="true" applyAlignment="true" applyProtection="false">
      <alignment horizontal="center" vertical="bottom" textRotation="0" wrapText="false" indent="0" shrinkToFit="false"/>
      <protection locked="true" hidden="false"/>
    </xf>
    <xf numFmtId="174" fontId="61" fillId="0" borderId="0" xfId="63" applyFont="true" applyBorder="true" applyAlignment="true" applyProtection="false">
      <alignment horizontal="center" vertical="bottom" textRotation="0" wrapText="false" indent="0" shrinkToFit="false"/>
      <protection locked="true" hidden="false"/>
    </xf>
    <xf numFmtId="164" fontId="68" fillId="0" borderId="12" xfId="63" applyFont="true" applyBorder="true" applyAlignment="true" applyProtection="false">
      <alignment horizontal="general" vertical="bottom" textRotation="0" wrapText="true" indent="0" shrinkToFit="false"/>
      <protection locked="true" hidden="false"/>
    </xf>
    <xf numFmtId="167" fontId="68" fillId="0" borderId="0" xfId="72" applyFont="true" applyBorder="true" applyAlignment="true" applyProtection="true">
      <alignment horizontal="center" vertical="bottom" textRotation="0" wrapText="false" indent="0" shrinkToFit="false"/>
      <protection locked="true" hidden="false"/>
    </xf>
    <xf numFmtId="167" fontId="61" fillId="0" borderId="0" xfId="72" applyFont="true" applyBorder="true" applyAlignment="true" applyProtection="true">
      <alignment horizontal="center" vertical="bottom" textRotation="0" wrapText="false" indent="0" shrinkToFit="false"/>
      <protection locked="true" hidden="false"/>
    </xf>
    <xf numFmtId="164" fontId="68" fillId="0" borderId="47" xfId="63" applyFont="true" applyBorder="true" applyAlignment="true" applyProtection="false">
      <alignment horizontal="general" vertical="bottom" textRotation="0" wrapText="true" indent="0" shrinkToFit="false"/>
      <protection locked="true" hidden="false"/>
    </xf>
    <xf numFmtId="167" fontId="68" fillId="0" borderId="50" xfId="72" applyFont="true" applyBorder="true" applyAlignment="true" applyProtection="true">
      <alignment horizontal="center" vertical="bottom" textRotation="0" wrapText="false" indent="0" shrinkToFit="false"/>
      <protection locked="true" hidden="false"/>
    </xf>
    <xf numFmtId="164" fontId="61" fillId="0" borderId="50" xfId="63" applyFont="true" applyBorder="true" applyAlignment="true" applyProtection="false">
      <alignment horizontal="center" vertical="bottom" textRotation="0" wrapText="false" indent="0" shrinkToFit="false"/>
      <protection locked="true" hidden="false"/>
    </xf>
    <xf numFmtId="164" fontId="61" fillId="0" borderId="65" xfId="63" applyFont="true" applyBorder="true" applyAlignment="true" applyProtection="false">
      <alignment horizontal="center" vertical="bottom" textRotation="0" wrapText="false" indent="0" shrinkToFit="false"/>
      <protection locked="true" hidden="false"/>
    </xf>
    <xf numFmtId="164" fontId="68" fillId="0" borderId="0" xfId="63" applyFont="true" applyBorder="true" applyAlignment="false" applyProtection="false">
      <alignment horizontal="general" vertical="bottom" textRotation="0" wrapText="false" indent="0" shrinkToFit="false"/>
      <protection locked="true" hidden="false"/>
    </xf>
    <xf numFmtId="167" fontId="68" fillId="0" borderId="0" xfId="72" applyFont="true" applyBorder="true" applyAlignment="true" applyProtection="true">
      <alignment horizontal="general" vertical="bottom" textRotation="0" wrapText="false" indent="0" shrinkToFit="false"/>
      <protection locked="true" hidden="false"/>
    </xf>
    <xf numFmtId="164" fontId="70" fillId="0" borderId="103" xfId="63" applyFont="true" applyBorder="true" applyAlignment="false" applyProtection="false">
      <alignment horizontal="general" vertical="bottom" textRotation="0" wrapText="false" indent="0" shrinkToFit="false"/>
      <protection locked="true" hidden="false"/>
    </xf>
    <xf numFmtId="167" fontId="68" fillId="0" borderId="89" xfId="72" applyFont="true" applyBorder="true" applyAlignment="true" applyProtection="true">
      <alignment horizontal="general" vertical="bottom" textRotation="0" wrapText="false" indent="0" shrinkToFit="false"/>
      <protection locked="true" hidden="false"/>
    </xf>
    <xf numFmtId="164" fontId="61" fillId="0" borderId="89" xfId="63" applyFont="true" applyBorder="true" applyAlignment="false" applyProtection="false">
      <alignment horizontal="general" vertical="bottom" textRotation="0" wrapText="false" indent="0" shrinkToFit="false"/>
      <protection locked="true" hidden="false"/>
    </xf>
    <xf numFmtId="164" fontId="61" fillId="0" borderId="90" xfId="63" applyFont="true" applyBorder="true" applyAlignment="false" applyProtection="false">
      <alignment horizontal="general" vertical="bottom" textRotation="0" wrapText="false" indent="0" shrinkToFit="false"/>
      <protection locked="true" hidden="false"/>
    </xf>
    <xf numFmtId="164" fontId="61" fillId="0" borderId="27" xfId="63" applyFont="true" applyBorder="true" applyAlignment="false" applyProtection="false">
      <alignment horizontal="general" vertical="bottom" textRotation="0" wrapText="false" indent="0" shrinkToFit="false"/>
      <protection locked="true" hidden="false"/>
    </xf>
    <xf numFmtId="164" fontId="61" fillId="0" borderId="32" xfId="63" applyFont="true" applyBorder="true" applyAlignment="false" applyProtection="false">
      <alignment horizontal="general" vertical="bottom" textRotation="0" wrapText="false" indent="0" shrinkToFit="false"/>
      <protection locked="true" hidden="false"/>
    </xf>
    <xf numFmtId="164" fontId="70" fillId="0" borderId="72" xfId="63" applyFont="true" applyBorder="true" applyAlignment="true" applyProtection="false">
      <alignment horizontal="left" vertical="bottom" textRotation="0" wrapText="true" indent="0" shrinkToFit="false"/>
      <protection locked="true" hidden="false"/>
    </xf>
    <xf numFmtId="164" fontId="57" fillId="0" borderId="27" xfId="63" applyFont="true" applyBorder="true" applyAlignment="false" applyProtection="false">
      <alignment horizontal="general" vertical="bottom" textRotation="0" wrapText="false" indent="0" shrinkToFit="false"/>
      <protection locked="true" hidden="false"/>
    </xf>
    <xf numFmtId="164" fontId="57" fillId="0" borderId="0" xfId="63" applyFont="true" applyBorder="true" applyAlignment="false" applyProtection="false">
      <alignment horizontal="general" vertical="bottom" textRotation="0" wrapText="false" indent="0" shrinkToFit="false"/>
      <protection locked="true" hidden="false"/>
    </xf>
    <xf numFmtId="164" fontId="57" fillId="0" borderId="32" xfId="63" applyFont="true" applyBorder="true" applyAlignment="false" applyProtection="false">
      <alignment horizontal="general" vertical="bottom" textRotation="0" wrapText="false" indent="0" shrinkToFit="false"/>
      <protection locked="true" hidden="false"/>
    </xf>
    <xf numFmtId="164" fontId="57" fillId="0" borderId="98" xfId="63" applyFont="true" applyBorder="true" applyAlignment="true" applyProtection="false">
      <alignment horizontal="left" vertical="bottom" textRotation="0" wrapText="false" indent="0" shrinkToFit="false"/>
      <protection locked="true" hidden="false"/>
    </xf>
    <xf numFmtId="164" fontId="57" fillId="0" borderId="100" xfId="63" applyFont="true" applyBorder="true" applyAlignment="true" applyProtection="false">
      <alignment horizontal="center" vertical="center" textRotation="0" wrapText="true" indent="0" shrinkToFit="false"/>
      <protection locked="true" hidden="false"/>
    </xf>
    <xf numFmtId="164" fontId="57" fillId="0" borderId="100" xfId="63" applyFont="true" applyBorder="true" applyAlignment="true" applyProtection="false">
      <alignment horizontal="left" vertical="bottom" textRotation="0" wrapText="false" indent="0" shrinkToFit="false"/>
      <protection locked="true" hidden="false"/>
    </xf>
    <xf numFmtId="164" fontId="61" fillId="0" borderId="100" xfId="63" applyFont="true" applyBorder="true" applyAlignment="false" applyProtection="false">
      <alignment horizontal="general" vertical="bottom" textRotation="0" wrapText="false" indent="0" shrinkToFit="false"/>
      <protection locked="true" hidden="false"/>
    </xf>
    <xf numFmtId="164" fontId="61" fillId="0" borderId="101" xfId="63" applyFont="true" applyBorder="true" applyAlignment="false" applyProtection="false">
      <alignment horizontal="general" vertical="bottom" textRotation="0" wrapText="false" indent="0" shrinkToFit="false"/>
      <protection locked="true" hidden="false"/>
    </xf>
    <xf numFmtId="164" fontId="33" fillId="0" borderId="118" xfId="0" applyFont="true" applyBorder="true" applyAlignment="true" applyProtection="false">
      <alignment horizontal="center" vertical="center" textRotation="0" wrapText="true" indent="0" shrinkToFit="false"/>
      <protection locked="true" hidden="false"/>
    </xf>
    <xf numFmtId="164" fontId="71" fillId="0" borderId="19" xfId="0" applyFont="true" applyBorder="true" applyAlignment="true" applyProtection="false">
      <alignment horizontal="center" vertical="center" textRotation="0" wrapText="true" indent="0" shrinkToFit="false"/>
      <protection locked="true" hidden="false"/>
    </xf>
    <xf numFmtId="164" fontId="0" fillId="0" borderId="19" xfId="0" applyFont="true" applyBorder="true" applyAlignment="true" applyProtection="false">
      <alignment horizontal="center" vertical="center" textRotation="0" wrapText="true" indent="0" shrinkToFit="false"/>
      <protection locked="true" hidden="false"/>
    </xf>
    <xf numFmtId="164" fontId="37" fillId="0" borderId="18" xfId="0" applyFont="true" applyBorder="true" applyAlignment="true" applyProtection="false">
      <alignment horizontal="center" vertical="center" textRotation="0" wrapText="true" indent="0" shrinkToFit="false"/>
      <protection locked="true" hidden="false"/>
    </xf>
    <xf numFmtId="164" fontId="37" fillId="0" borderId="17" xfId="0" applyFont="true" applyBorder="true" applyAlignment="true" applyProtection="false">
      <alignment horizontal="center" vertical="center" textRotation="0" wrapText="true" indent="0" shrinkToFit="false"/>
      <protection locked="true" hidden="false"/>
    </xf>
    <xf numFmtId="164" fontId="0" fillId="0" borderId="29" xfId="0" applyFont="true" applyBorder="true" applyAlignment="true" applyProtection="false">
      <alignment horizontal="center" vertical="center" textRotation="0" wrapText="true" indent="0" shrinkToFit="false"/>
      <protection locked="true" hidden="false"/>
    </xf>
    <xf numFmtId="164" fontId="34" fillId="0" borderId="14" xfId="0" applyFont="true" applyBorder="true" applyAlignment="true" applyProtection="false">
      <alignment horizontal="center" vertical="center" textRotation="0" wrapText="true" indent="0" shrinkToFit="false"/>
      <protection locked="true" hidden="false"/>
    </xf>
    <xf numFmtId="174" fontId="34" fillId="0" borderId="72" xfId="0" applyFont="true" applyBorder="true" applyAlignment="true" applyProtection="false">
      <alignment horizontal="center" vertical="bottom" textRotation="0" wrapText="false" indent="0" shrinkToFit="false"/>
      <protection locked="true" hidden="false"/>
    </xf>
    <xf numFmtId="174" fontId="0" fillId="0" borderId="0" xfId="0" applyFont="false" applyBorder="true" applyAlignment="true" applyProtection="false">
      <alignment horizontal="center" vertical="bottom" textRotation="0" wrapText="false" indent="0" shrinkToFit="false"/>
      <protection locked="true" hidden="false"/>
    </xf>
    <xf numFmtId="172" fontId="0" fillId="0" borderId="0" xfId="0" applyFont="false" applyBorder="true" applyAlignment="true" applyProtection="false">
      <alignment horizontal="center" vertical="bottom" textRotation="0" wrapText="false" indent="0" shrinkToFit="false"/>
      <protection locked="true" hidden="false"/>
    </xf>
    <xf numFmtId="167" fontId="34" fillId="0" borderId="72" xfId="0" applyFont="true" applyBorder="true" applyAlignment="true" applyProtection="false">
      <alignment horizontal="center" vertical="bottom" textRotation="0" wrapText="false" indent="0" shrinkToFit="false"/>
      <protection locked="true" hidden="false"/>
    </xf>
    <xf numFmtId="167" fontId="71" fillId="0" borderId="0" xfId="0" applyFont="true" applyBorder="true" applyAlignment="true" applyProtection="false">
      <alignment horizontal="center" vertical="bottom" textRotation="0" wrapText="false" indent="0" shrinkToFit="false"/>
      <protection locked="true" hidden="false"/>
    </xf>
    <xf numFmtId="172" fontId="0" fillId="0" borderId="9" xfId="0" applyFont="false" applyBorder="true" applyAlignment="true" applyProtection="false">
      <alignment horizontal="center" vertical="bottom" textRotation="0" wrapText="false" indent="0" shrinkToFit="false"/>
      <protection locked="true" hidden="false"/>
    </xf>
    <xf numFmtId="174" fontId="34" fillId="0" borderId="112" xfId="0" applyFont="true" applyBorder="true" applyAlignment="true" applyProtection="false">
      <alignment horizontal="center" vertical="bottom" textRotation="0" wrapText="false" indent="0" shrinkToFit="false"/>
      <protection locked="true" hidden="false"/>
    </xf>
    <xf numFmtId="174" fontId="0" fillId="0" borderId="44" xfId="0" applyFont="false" applyBorder="true" applyAlignment="true" applyProtection="false">
      <alignment horizontal="center" vertical="bottom" textRotation="0" wrapText="false" indent="0" shrinkToFit="false"/>
      <protection locked="true" hidden="false"/>
    </xf>
    <xf numFmtId="172" fontId="0" fillId="0" borderId="44" xfId="0" applyFont="false" applyBorder="true" applyAlignment="true" applyProtection="false">
      <alignment horizontal="center" vertical="bottom" textRotation="0" wrapText="false" indent="0" shrinkToFit="false"/>
      <protection locked="true" hidden="false"/>
    </xf>
    <xf numFmtId="167" fontId="34" fillId="0" borderId="112" xfId="0" applyFont="true" applyBorder="true" applyAlignment="true" applyProtection="false">
      <alignment horizontal="center" vertical="bottom" textRotation="0" wrapText="false" indent="0" shrinkToFit="false"/>
      <protection locked="true" hidden="false"/>
    </xf>
    <xf numFmtId="167" fontId="71" fillId="0" borderId="44" xfId="0" applyFont="true" applyBorder="true" applyAlignment="true" applyProtection="false">
      <alignment horizontal="center" vertical="bottom" textRotation="0" wrapText="false" indent="0" shrinkToFit="false"/>
      <protection locked="true" hidden="false"/>
    </xf>
    <xf numFmtId="167" fontId="37" fillId="0" borderId="44" xfId="0" applyFont="true" applyBorder="true" applyAlignment="true" applyProtection="false">
      <alignment horizontal="center" vertical="bottom" textRotation="0" wrapText="false" indent="0" shrinkToFit="false"/>
      <protection locked="true" hidden="false"/>
    </xf>
    <xf numFmtId="172" fontId="0" fillId="0" borderId="42" xfId="0" applyFont="false" applyBorder="true" applyAlignment="true" applyProtection="false">
      <alignment horizontal="center" vertical="bottom" textRotation="0" wrapText="false" indent="0" shrinkToFit="false"/>
      <protection locked="true" hidden="false"/>
    </xf>
    <xf numFmtId="167" fontId="34" fillId="0" borderId="45" xfId="0" applyFont="true" applyBorder="true" applyAlignment="true" applyProtection="false">
      <alignment horizontal="center" vertical="bottom" textRotation="0" wrapText="false" indent="0" shrinkToFit="false"/>
      <protection locked="true" hidden="false"/>
    </xf>
    <xf numFmtId="174" fontId="34" fillId="0" borderId="113" xfId="0" applyFont="true" applyBorder="true" applyAlignment="true" applyProtection="false">
      <alignment horizontal="center" vertical="bottom" textRotation="0" wrapText="false" indent="0" shrinkToFit="false"/>
      <protection locked="true" hidden="false"/>
    </xf>
    <xf numFmtId="174" fontId="0" fillId="0" borderId="37" xfId="0" applyFont="false" applyBorder="true" applyAlignment="true" applyProtection="false">
      <alignment horizontal="center" vertical="bottom" textRotation="0" wrapText="false" indent="0" shrinkToFit="false"/>
      <protection locked="true" hidden="false"/>
    </xf>
    <xf numFmtId="172" fontId="0" fillId="0" borderId="37" xfId="0" applyFont="false" applyBorder="true" applyAlignment="true" applyProtection="false">
      <alignment horizontal="center" vertical="bottom" textRotation="0" wrapText="false" indent="0" shrinkToFit="false"/>
      <protection locked="true" hidden="false"/>
    </xf>
    <xf numFmtId="167" fontId="34" fillId="0" borderId="113" xfId="0" applyFont="true" applyBorder="true" applyAlignment="true" applyProtection="false">
      <alignment horizontal="center" vertical="bottom" textRotation="0" wrapText="false" indent="0" shrinkToFit="false"/>
      <protection locked="true" hidden="false"/>
    </xf>
    <xf numFmtId="167" fontId="71" fillId="0" borderId="37" xfId="0" applyFont="true" applyBorder="true" applyAlignment="true" applyProtection="false">
      <alignment horizontal="center" vertical="bottom" textRotation="0" wrapText="false" indent="0" shrinkToFit="false"/>
      <protection locked="true" hidden="false"/>
    </xf>
    <xf numFmtId="167" fontId="37" fillId="0" borderId="37" xfId="0" applyFont="true" applyBorder="true" applyAlignment="true" applyProtection="false">
      <alignment horizontal="center" vertical="bottom" textRotation="0" wrapText="false" indent="0" shrinkToFit="false"/>
      <protection locked="true" hidden="false"/>
    </xf>
    <xf numFmtId="172" fontId="0" fillId="0" borderId="35" xfId="0" applyFont="false" applyBorder="true" applyAlignment="true" applyProtection="false">
      <alignment horizontal="center" vertical="bottom" textRotation="0" wrapText="false" indent="0" shrinkToFit="false"/>
      <protection locked="true" hidden="false"/>
    </xf>
    <xf numFmtId="167" fontId="34" fillId="0" borderId="38" xfId="0" applyFont="true" applyBorder="true" applyAlignment="true" applyProtection="false">
      <alignment horizontal="center" vertical="bottom" textRotation="0" wrapText="false" indent="0" shrinkToFit="false"/>
      <protection locked="true" hidden="false"/>
    </xf>
    <xf numFmtId="185" fontId="0" fillId="0" borderId="0" xfId="0" applyFont="false" applyBorder="false" applyAlignment="true" applyProtection="false">
      <alignment horizontal="center" vertical="bottom" textRotation="0" wrapText="false" indent="0" shrinkToFit="false"/>
      <protection locked="true" hidden="false"/>
    </xf>
    <xf numFmtId="174" fontId="34" fillId="0" borderId="74" xfId="0" applyFont="true" applyBorder="true" applyAlignment="true" applyProtection="false">
      <alignment horizontal="center" vertical="bottom" textRotation="0" wrapText="false" indent="0" shrinkToFit="false"/>
      <protection locked="true" hidden="false"/>
    </xf>
    <xf numFmtId="174" fontId="0" fillId="0" borderId="50" xfId="0" applyFont="false" applyBorder="true" applyAlignment="true" applyProtection="false">
      <alignment horizontal="center" vertical="bottom" textRotation="0" wrapText="false" indent="0" shrinkToFit="false"/>
      <protection locked="true" hidden="false"/>
    </xf>
    <xf numFmtId="172" fontId="0" fillId="0" borderId="50" xfId="0" applyFont="false" applyBorder="true" applyAlignment="true" applyProtection="false">
      <alignment horizontal="center" vertical="bottom" textRotation="0" wrapText="false" indent="0" shrinkToFit="false"/>
      <protection locked="true" hidden="false"/>
    </xf>
    <xf numFmtId="167" fontId="34" fillId="0" borderId="74" xfId="0" applyFont="true" applyBorder="true" applyAlignment="true" applyProtection="false">
      <alignment horizontal="center" vertical="bottom" textRotation="0" wrapText="false" indent="0" shrinkToFit="false"/>
      <protection locked="true" hidden="false"/>
    </xf>
    <xf numFmtId="167" fontId="71" fillId="0" borderId="50" xfId="0" applyFont="true" applyBorder="true" applyAlignment="true" applyProtection="false">
      <alignment horizontal="center" vertical="bottom" textRotation="0" wrapText="false" indent="0" shrinkToFit="false"/>
      <protection locked="true" hidden="false"/>
    </xf>
    <xf numFmtId="167" fontId="37" fillId="0" borderId="50" xfId="0" applyFont="true" applyBorder="true" applyAlignment="true" applyProtection="false">
      <alignment horizontal="center" vertical="bottom" textRotation="0" wrapText="false" indent="0" shrinkToFit="false"/>
      <protection locked="true" hidden="false"/>
    </xf>
    <xf numFmtId="172" fontId="0" fillId="0" borderId="48" xfId="0" applyFont="false" applyBorder="true" applyAlignment="true" applyProtection="false">
      <alignment horizontal="center" vertical="bottom" textRotation="0" wrapText="false" indent="0" shrinkToFit="false"/>
      <protection locked="true" hidden="false"/>
    </xf>
    <xf numFmtId="167" fontId="34" fillId="0" borderId="51" xfId="0" applyFont="true" applyBorder="true" applyAlignment="true" applyProtection="false">
      <alignment horizontal="center" vertical="bottom" textRotation="0" wrapText="false" indent="0" shrinkToFit="false"/>
      <protection locked="true" hidden="false"/>
    </xf>
    <xf numFmtId="167" fontId="34" fillId="0" borderId="65" xfId="0" applyFont="true" applyBorder="true" applyAlignment="true" applyProtection="false">
      <alignment horizontal="center" vertical="bottom" textRotation="0" wrapText="false" indent="0" shrinkToFit="false"/>
      <protection locked="true" hidden="false"/>
    </xf>
    <xf numFmtId="174" fontId="0" fillId="0" borderId="0" xfId="0" applyFont="false" applyBorder="false" applyAlignment="true" applyProtection="false">
      <alignment horizontal="center" vertical="bottom" textRotation="0" wrapText="false" indent="0" shrinkToFit="false"/>
      <protection locked="true" hidden="false"/>
    </xf>
    <xf numFmtId="186" fontId="0" fillId="0" borderId="0" xfId="0" applyFont="false" applyBorder="false" applyAlignment="false" applyProtection="false">
      <alignment horizontal="general" vertical="bottom" textRotation="0" wrapText="false" indent="0" shrinkToFit="false"/>
      <protection locked="true" hidden="false"/>
    </xf>
    <xf numFmtId="164" fontId="34" fillId="0" borderId="19" xfId="0" applyFont="true" applyBorder="true" applyAlignment="true" applyProtection="false">
      <alignment horizontal="center" vertical="bottom" textRotation="0" wrapText="false" indent="0" shrinkToFit="false"/>
      <protection locked="true" hidden="false"/>
    </xf>
    <xf numFmtId="164" fontId="34" fillId="0" borderId="14" xfId="0" applyFont="true" applyBorder="true" applyAlignment="true" applyProtection="false">
      <alignment horizontal="center" vertical="bottom" textRotation="0" wrapText="false" indent="0" shrinkToFit="false"/>
      <protection locked="true" hidden="false"/>
    </xf>
    <xf numFmtId="164" fontId="33" fillId="0" borderId="12" xfId="0" applyFont="true" applyBorder="true" applyAlignment="true" applyProtection="false">
      <alignment horizontal="center" vertical="center" textRotation="0" wrapText="true" indent="0" shrinkToFit="false"/>
      <protection locked="true" hidden="false"/>
    </xf>
    <xf numFmtId="164" fontId="33" fillId="0" borderId="0" xfId="0" applyFont="true" applyBorder="true" applyAlignment="true" applyProtection="false">
      <alignment horizontal="center" vertical="center" textRotation="0" wrapText="true" indent="0" shrinkToFit="false"/>
      <protection locked="true" hidden="false"/>
    </xf>
    <xf numFmtId="164" fontId="65" fillId="0" borderId="0" xfId="0" applyFont="true" applyBorder="true" applyAlignment="true" applyProtection="false">
      <alignment horizontal="center" vertical="center" textRotation="0" wrapText="true" indent="0" shrinkToFit="false"/>
      <protection locked="true" hidden="false"/>
    </xf>
    <xf numFmtId="164" fontId="33" fillId="0" borderId="26" xfId="0" applyFont="true" applyBorder="true" applyAlignment="true" applyProtection="false">
      <alignment horizontal="center" vertical="center" textRotation="0" wrapText="true" indent="0" shrinkToFit="false"/>
      <protection locked="true" hidden="false"/>
    </xf>
    <xf numFmtId="164" fontId="34" fillId="0" borderId="58" xfId="0" applyFont="true" applyBorder="true" applyAlignment="true" applyProtection="false">
      <alignment horizontal="center" vertical="center" textRotation="0" wrapText="true" indent="0" shrinkToFit="false"/>
      <protection locked="true" hidden="false"/>
    </xf>
    <xf numFmtId="164" fontId="73" fillId="0" borderId="9" xfId="0" applyFont="true" applyBorder="true" applyAlignment="true" applyProtection="false">
      <alignment horizontal="center" vertical="center" textRotation="0" wrapText="true" indent="0" shrinkToFit="false"/>
      <protection locked="true" hidden="false"/>
    </xf>
    <xf numFmtId="164" fontId="65" fillId="0" borderId="20" xfId="0" applyFont="true" applyBorder="true" applyAlignment="true" applyProtection="false">
      <alignment horizontal="center" vertical="center" textRotation="0" wrapText="true" indent="0" shrinkToFit="false"/>
      <protection locked="true" hidden="false"/>
    </xf>
    <xf numFmtId="164" fontId="33" fillId="0" borderId="22" xfId="0" applyFont="true" applyBorder="true" applyAlignment="true" applyProtection="false">
      <alignment horizontal="center" vertical="center" textRotation="0" wrapText="true" indent="0" shrinkToFit="false"/>
      <protection locked="true" hidden="false"/>
    </xf>
    <xf numFmtId="164" fontId="33" fillId="0" borderId="30" xfId="0" applyFont="true" applyBorder="true" applyAlignment="true" applyProtection="false">
      <alignment horizontal="center" vertical="center" textRotation="0" wrapText="true" indent="0" shrinkToFit="false"/>
      <protection locked="true" hidden="false"/>
    </xf>
    <xf numFmtId="164" fontId="73" fillId="0" borderId="94"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true" applyAlignment="true" applyProtection="false">
      <alignment horizontal="center" vertical="bottom" textRotation="0" wrapText="true" indent="0" shrinkToFit="false"/>
      <protection locked="true" hidden="false"/>
    </xf>
    <xf numFmtId="164" fontId="0" fillId="0" borderId="95" xfId="0" applyFont="true" applyBorder="true" applyAlignment="true" applyProtection="false">
      <alignment horizontal="center" vertical="center" textRotation="0" wrapText="true" indent="0" shrinkToFit="false"/>
      <protection locked="true" hidden="false"/>
    </xf>
    <xf numFmtId="167" fontId="34" fillId="0" borderId="22" xfId="19" applyFont="true" applyBorder="true" applyAlignment="true" applyProtection="true">
      <alignment horizontal="center" vertical="bottom" textRotation="0" wrapText="true" indent="0" shrinkToFit="false"/>
      <protection locked="true" hidden="false"/>
    </xf>
    <xf numFmtId="167" fontId="0" fillId="0" borderId="22" xfId="0" applyFont="true" applyBorder="true" applyAlignment="true" applyProtection="false">
      <alignment horizontal="center" vertical="bottom" textRotation="0" wrapText="false" indent="0" shrinkToFit="false"/>
      <protection locked="true" hidden="false"/>
    </xf>
    <xf numFmtId="167" fontId="0" fillId="0" borderId="30" xfId="0" applyFont="true" applyBorder="true" applyAlignment="true" applyProtection="false">
      <alignment horizontal="center" vertical="bottom" textRotation="0" wrapText="false" indent="0" shrinkToFit="false"/>
      <protection locked="true" hidden="false"/>
    </xf>
    <xf numFmtId="167" fontId="34" fillId="0" borderId="54" xfId="0" applyFont="true" applyBorder="true" applyAlignment="true" applyProtection="false">
      <alignment horizontal="center" vertical="bottom" textRotation="0" wrapText="false" indent="0" shrinkToFit="false"/>
      <protection locked="true" hidden="false"/>
    </xf>
    <xf numFmtId="167" fontId="0" fillId="0" borderId="54" xfId="0" applyFont="true" applyBorder="true" applyAlignment="true" applyProtection="false">
      <alignment horizontal="center" vertical="bottom" textRotation="0" wrapText="false" indent="0" shrinkToFit="false"/>
      <protection locked="true" hidden="false"/>
    </xf>
    <xf numFmtId="167" fontId="34" fillId="0" borderId="29" xfId="0" applyFont="true" applyBorder="true" applyAlignment="true" applyProtection="false">
      <alignment horizontal="center" vertical="bottom" textRotation="0" wrapText="false" indent="0" shrinkToFit="false"/>
      <protection locked="true" hidden="false"/>
    </xf>
    <xf numFmtId="167" fontId="0" fillId="0" borderId="23" xfId="0" applyFont="true" applyBorder="true" applyAlignment="true" applyProtection="false">
      <alignment horizontal="center" vertical="bottom" textRotation="0" wrapText="false" indent="0" shrinkToFit="false"/>
      <protection locked="true" hidden="false"/>
    </xf>
    <xf numFmtId="167" fontId="34" fillId="0" borderId="22" xfId="0" applyFont="true" applyBorder="true" applyAlignment="true" applyProtection="false">
      <alignment horizontal="center" vertical="bottom" textRotation="0" wrapText="false" indent="0" shrinkToFit="false"/>
      <protection locked="true" hidden="false"/>
    </xf>
    <xf numFmtId="167" fontId="0" fillId="0" borderId="22" xfId="0" applyFont="false" applyBorder="true" applyAlignment="true" applyProtection="false">
      <alignment horizontal="center" vertical="bottom" textRotation="0" wrapText="false" indent="0" shrinkToFit="false"/>
      <protection locked="true" hidden="false"/>
    </xf>
    <xf numFmtId="167" fontId="0" fillId="0" borderId="54" xfId="0" applyFont="false" applyBorder="true" applyAlignment="true" applyProtection="false">
      <alignment horizontal="center" vertical="bottom" textRotation="0" wrapText="false" indent="0" shrinkToFit="false"/>
      <protection locked="true" hidden="false"/>
    </xf>
    <xf numFmtId="167" fontId="0" fillId="0" borderId="94" xfId="0" applyFont="false" applyBorder="true" applyAlignment="true" applyProtection="false">
      <alignment horizontal="center" vertical="bottom" textRotation="0" wrapText="false" indent="0" shrinkToFit="false"/>
      <protection locked="true" hidden="false"/>
    </xf>
    <xf numFmtId="167" fontId="34" fillId="0" borderId="0" xfId="19" applyFont="true" applyBorder="true" applyAlignment="true" applyProtection="true">
      <alignment horizontal="center" vertical="bottom" textRotation="0" wrapText="true" indent="0" shrinkToFit="false"/>
      <protection locked="true" hidden="false"/>
    </xf>
    <xf numFmtId="167" fontId="0" fillId="0" borderId="32" xfId="0" applyFont="true" applyBorder="true" applyAlignment="true" applyProtection="false">
      <alignment horizontal="center" vertical="bottom" textRotation="0" wrapText="false" indent="0" shrinkToFit="false"/>
      <protection locked="true" hidden="false"/>
    </xf>
    <xf numFmtId="167" fontId="34" fillId="0" borderId="44" xfId="19" applyFont="true" applyBorder="true" applyAlignment="true" applyProtection="true">
      <alignment horizontal="center" vertical="bottom" textRotation="0" wrapText="true" indent="0" shrinkToFit="false"/>
      <protection locked="true" hidden="false"/>
    </xf>
    <xf numFmtId="167" fontId="0" fillId="0" borderId="46" xfId="0" applyFont="true" applyBorder="true" applyAlignment="true" applyProtection="false">
      <alignment horizontal="center" vertical="bottom" textRotation="0" wrapText="false" indent="0" shrinkToFit="false"/>
      <protection locked="true" hidden="false"/>
    </xf>
    <xf numFmtId="167" fontId="0" fillId="0" borderId="97" xfId="0" applyFont="false" applyBorder="true" applyAlignment="true" applyProtection="false">
      <alignment horizontal="center" vertical="bottom" textRotation="0" wrapText="false" indent="0" shrinkToFit="false"/>
      <protection locked="true" hidden="false"/>
    </xf>
    <xf numFmtId="167" fontId="34" fillId="0" borderId="37" xfId="19" applyFont="true" applyBorder="true" applyAlignment="true" applyProtection="true">
      <alignment horizontal="center" vertical="bottom" textRotation="0" wrapText="true" indent="0" shrinkToFit="false"/>
      <protection locked="true" hidden="false"/>
    </xf>
    <xf numFmtId="167" fontId="0" fillId="0" borderId="39" xfId="0" applyFont="true" applyBorder="true" applyAlignment="true" applyProtection="false">
      <alignment horizontal="center" vertical="bottom" textRotation="0" wrapText="false" indent="0" shrinkToFit="false"/>
      <protection locked="true" hidden="false"/>
    </xf>
    <xf numFmtId="167" fontId="0" fillId="0" borderId="59" xfId="0" applyFont="false" applyBorder="true" applyAlignment="true" applyProtection="false">
      <alignment horizontal="center" vertical="bottom" textRotation="0" wrapText="false" indent="0" shrinkToFit="false"/>
      <protection locked="true" hidden="false"/>
    </xf>
    <xf numFmtId="167" fontId="0" fillId="0" borderId="96" xfId="0" applyFont="false" applyBorder="true" applyAlignment="true" applyProtection="false">
      <alignment horizontal="center" vertical="bottom" textRotation="0" wrapText="false" indent="0" shrinkToFit="false"/>
      <protection locked="true" hidden="false"/>
    </xf>
    <xf numFmtId="167" fontId="0" fillId="0" borderId="44" xfId="0" applyFont="true" applyBorder="true" applyAlignment="true" applyProtection="false">
      <alignment horizontal="general" vertical="bottom" textRotation="0" wrapText="false" indent="0" shrinkToFit="false"/>
      <protection locked="true" hidden="false"/>
    </xf>
    <xf numFmtId="167" fontId="0" fillId="0" borderId="0" xfId="0" applyFont="true" applyBorder="true" applyAlignment="true" applyProtection="false">
      <alignment horizontal="general" vertical="bottom" textRotation="0" wrapText="false" indent="0" shrinkToFit="false"/>
      <protection locked="true" hidden="false"/>
    </xf>
    <xf numFmtId="167" fontId="0" fillId="0" borderId="37" xfId="0" applyFont="true" applyBorder="true" applyAlignment="true" applyProtection="false">
      <alignment horizontal="general" vertical="bottom" textRotation="0" wrapText="false" indent="0" shrinkToFit="false"/>
      <protection locked="true" hidden="false"/>
    </xf>
    <xf numFmtId="167" fontId="37" fillId="0" borderId="44" xfId="19" applyFont="true" applyBorder="true" applyAlignment="true" applyProtection="true">
      <alignment horizontal="center" vertical="bottom" textRotation="0" wrapText="false" indent="0" shrinkToFit="false"/>
      <protection locked="true" hidden="false"/>
    </xf>
    <xf numFmtId="167" fontId="0" fillId="0" borderId="52" xfId="0" applyFont="true" applyBorder="true" applyAlignment="true" applyProtection="false">
      <alignment horizontal="center" vertical="bottom" textRotation="0" wrapText="false" indent="0" shrinkToFit="false"/>
      <protection locked="true" hidden="false"/>
    </xf>
    <xf numFmtId="167" fontId="37" fillId="0" borderId="50" xfId="19" applyFont="true" applyBorder="true" applyAlignment="true" applyProtection="true">
      <alignment horizontal="center" vertical="bottom" textRotation="0" wrapText="false" indent="0" shrinkToFit="false"/>
      <protection locked="true" hidden="false"/>
    </xf>
    <xf numFmtId="167" fontId="0" fillId="0" borderId="102" xfId="0" applyFont="false" applyBorder="true" applyAlignment="true" applyProtection="false">
      <alignment horizontal="center"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71" fontId="34" fillId="0" borderId="0" xfId="0" applyFont="true" applyBorder="false" applyAlignment="false" applyProtection="false">
      <alignment horizontal="general" vertical="bottom" textRotation="0" wrapText="false" indent="0" shrinkToFit="false"/>
      <protection locked="true" hidden="false"/>
    </xf>
    <xf numFmtId="164" fontId="34" fillId="0" borderId="16" xfId="0" applyFont="true" applyBorder="true" applyAlignment="true" applyProtection="false">
      <alignment horizontal="center" vertical="bottom" textRotation="0" wrapText="false" indent="0" shrinkToFit="false"/>
      <protection locked="true" hidden="false"/>
    </xf>
    <xf numFmtId="164" fontId="0" fillId="0" borderId="16" xfId="0" applyFont="false" applyBorder="true" applyAlignment="true" applyProtection="false">
      <alignment horizontal="center" vertical="center" textRotation="0" wrapText="false" indent="0" shrinkToFit="false"/>
      <protection locked="true" hidden="false"/>
    </xf>
    <xf numFmtId="164" fontId="34" fillId="0" borderId="75" xfId="0" applyFont="true" applyBorder="true" applyAlignment="true" applyProtection="false">
      <alignment horizontal="center" vertical="bottom" textRotation="0" wrapText="false" indent="0" shrinkToFit="false"/>
      <protection locked="true" hidden="false"/>
    </xf>
    <xf numFmtId="164" fontId="33" fillId="0" borderId="69" xfId="0" applyFont="true" applyBorder="true" applyAlignment="true" applyProtection="false">
      <alignment horizontal="center" vertical="center" textRotation="0" wrapText="true" indent="0" shrinkToFit="false"/>
      <protection locked="true" hidden="false"/>
    </xf>
    <xf numFmtId="164" fontId="37" fillId="0" borderId="71" xfId="0" applyFont="true" applyBorder="true" applyAlignment="true" applyProtection="false">
      <alignment horizontal="center" vertical="center" textRotation="0" wrapText="true" indent="0" shrinkToFit="false"/>
      <protection locked="true" hidden="false"/>
    </xf>
    <xf numFmtId="164" fontId="37" fillId="0" borderId="69" xfId="0" applyFont="true" applyBorder="true" applyAlignment="true" applyProtection="false">
      <alignment horizontal="center" vertical="center" textRotation="0" wrapText="true" indent="0" shrinkToFit="false"/>
      <protection locked="true" hidden="false"/>
    </xf>
    <xf numFmtId="164" fontId="66" fillId="0" borderId="30" xfId="0" applyFont="true" applyBorder="true" applyAlignment="true" applyProtection="false">
      <alignment horizontal="center" vertical="center" textRotation="0" wrapText="true" indent="0" shrinkToFit="false"/>
      <protection locked="true" hidden="false"/>
    </xf>
    <xf numFmtId="164" fontId="66" fillId="0" borderId="54" xfId="0" applyFont="true" applyBorder="true" applyAlignment="true" applyProtection="false">
      <alignment horizontal="center" vertical="center" textRotation="0" wrapText="true" indent="0" shrinkToFit="false"/>
      <protection locked="true" hidden="false"/>
    </xf>
    <xf numFmtId="164" fontId="33" fillId="0" borderId="75" xfId="0" applyFont="true" applyBorder="true" applyAlignment="true" applyProtection="false">
      <alignment horizontal="center" vertical="center" textRotation="0" wrapText="true" indent="0" shrinkToFit="false"/>
      <protection locked="true" hidden="false"/>
    </xf>
    <xf numFmtId="164" fontId="34" fillId="0" borderId="26" xfId="0" applyFont="true" applyBorder="true" applyAlignment="true" applyProtection="false">
      <alignment horizontal="center" vertical="center" textRotation="0" wrapText="true" indent="0" shrinkToFit="false"/>
      <protection locked="true" hidden="false"/>
    </xf>
    <xf numFmtId="164" fontId="0" fillId="0" borderId="28" xfId="0" applyFont="true" applyBorder="true" applyAlignment="true" applyProtection="false">
      <alignment horizontal="center" vertical="bottom" textRotation="0" wrapText="true" indent="0" shrinkToFit="false"/>
      <protection locked="true" hidden="false"/>
    </xf>
    <xf numFmtId="167" fontId="0" fillId="0" borderId="29" xfId="0" applyFont="true" applyBorder="true" applyAlignment="true" applyProtection="false">
      <alignment horizontal="center" vertical="bottom" textRotation="0" wrapText="false" indent="0" shrinkToFit="false"/>
      <protection locked="true" hidden="false"/>
    </xf>
    <xf numFmtId="167" fontId="37" fillId="0" borderId="119" xfId="0" applyFont="true" applyBorder="true" applyAlignment="true" applyProtection="false">
      <alignment horizontal="center" vertical="bottom" textRotation="0" wrapText="false" indent="0" shrinkToFit="false"/>
      <protection locked="true" hidden="false"/>
    </xf>
    <xf numFmtId="167" fontId="37" fillId="0" borderId="83" xfId="0" applyFont="true" applyBorder="true" applyAlignment="true" applyProtection="false">
      <alignment horizontal="center" vertical="bottom" textRotation="0" wrapText="false" indent="0" shrinkToFit="false"/>
      <protection locked="true" hidden="false"/>
    </xf>
    <xf numFmtId="167" fontId="34" fillId="0" borderId="30" xfId="0" applyFont="true" applyBorder="true" applyAlignment="true" applyProtection="false">
      <alignment horizontal="center" vertical="bottom" textRotation="0" wrapText="false" indent="0" shrinkToFit="false"/>
      <protection locked="true" hidden="false"/>
    </xf>
    <xf numFmtId="167" fontId="0" fillId="0" borderId="55" xfId="0" applyFont="true" applyBorder="true" applyAlignment="true" applyProtection="false">
      <alignment horizontal="center" vertical="bottom" textRotation="0" wrapText="false" indent="0" shrinkToFit="false"/>
      <protection locked="true" hidden="false"/>
    </xf>
    <xf numFmtId="167" fontId="37" fillId="0" borderId="120" xfId="0" applyFont="true" applyBorder="true" applyAlignment="true" applyProtection="false">
      <alignment horizontal="center" vertical="bottom" textRotation="0" wrapText="false" indent="0" shrinkToFit="false"/>
      <protection locked="true" hidden="false"/>
    </xf>
    <xf numFmtId="167" fontId="37" fillId="0" borderId="73" xfId="0" applyFont="true" applyBorder="true" applyAlignment="true" applyProtection="false">
      <alignment horizontal="center" vertical="bottom" textRotation="0" wrapText="false" indent="0" shrinkToFit="false"/>
      <protection locked="true" hidden="false"/>
    </xf>
    <xf numFmtId="167" fontId="34" fillId="0" borderId="26" xfId="0" applyFont="true" applyBorder="true" applyAlignment="true" applyProtection="false">
      <alignment horizontal="center" vertical="bottom" textRotation="0" wrapText="false" indent="0" shrinkToFit="false"/>
      <protection locked="true" hidden="false"/>
    </xf>
    <xf numFmtId="167" fontId="0" fillId="0" borderId="13" xfId="0" applyFont="true" applyBorder="true" applyAlignment="true" applyProtection="false">
      <alignment horizontal="center" vertical="bottom" textRotation="0" wrapText="false" indent="0" shrinkToFit="false"/>
      <protection locked="true" hidden="false"/>
    </xf>
    <xf numFmtId="167" fontId="0" fillId="0" borderId="35" xfId="0" applyFont="true" applyBorder="true" applyAlignment="true" applyProtection="false">
      <alignment horizontal="center" vertical="bottom" textRotation="0" wrapText="false" indent="0" shrinkToFit="false"/>
      <protection locked="true" hidden="false"/>
    </xf>
    <xf numFmtId="167" fontId="37" fillId="0" borderId="121" xfId="0" applyFont="true" applyBorder="true" applyAlignment="true" applyProtection="false">
      <alignment horizontal="center" vertical="bottom" textRotation="0" wrapText="false" indent="0" shrinkToFit="false"/>
      <protection locked="true" hidden="false"/>
    </xf>
    <xf numFmtId="167" fontId="37" fillId="0" borderId="122" xfId="0" applyFont="true" applyBorder="true" applyAlignment="true" applyProtection="false">
      <alignment horizontal="center" vertical="bottom" textRotation="0" wrapText="false" indent="0" shrinkToFit="false"/>
      <protection locked="true" hidden="false"/>
    </xf>
    <xf numFmtId="167" fontId="34" fillId="0" borderId="36" xfId="0" applyFont="true" applyBorder="true" applyAlignment="true" applyProtection="false">
      <alignment horizontal="center" vertical="bottom" textRotation="0" wrapText="false" indent="0" shrinkToFit="false"/>
      <protection locked="true" hidden="false"/>
    </xf>
    <xf numFmtId="167" fontId="0" fillId="0" borderId="60" xfId="0" applyFont="true" applyBorder="true" applyAlignment="true" applyProtection="false">
      <alignment horizontal="center" vertical="bottom" textRotation="0" wrapText="false" indent="0" shrinkToFit="false"/>
      <protection locked="true" hidden="false"/>
    </xf>
    <xf numFmtId="167" fontId="0" fillId="0" borderId="42" xfId="0" applyFont="true" applyBorder="true" applyAlignment="true" applyProtection="false">
      <alignment horizontal="center" vertical="bottom" textRotation="0" wrapText="false" indent="0" shrinkToFit="false"/>
      <protection locked="true" hidden="false"/>
    </xf>
    <xf numFmtId="167" fontId="37" fillId="0" borderId="123" xfId="0" applyFont="true" applyBorder="true" applyAlignment="true" applyProtection="false">
      <alignment horizontal="center" vertical="bottom" textRotation="0" wrapText="false" indent="0" shrinkToFit="false"/>
      <protection locked="true" hidden="false"/>
    </xf>
    <xf numFmtId="167" fontId="37" fillId="0" borderId="124" xfId="0" applyFont="true" applyBorder="true" applyAlignment="true" applyProtection="false">
      <alignment horizontal="center" vertical="bottom" textRotation="0" wrapText="false" indent="0" shrinkToFit="false"/>
      <protection locked="true" hidden="false"/>
    </xf>
    <xf numFmtId="167" fontId="34" fillId="0" borderId="43" xfId="0" applyFont="true" applyBorder="true" applyAlignment="true" applyProtection="false">
      <alignment horizontal="center" vertical="bottom" textRotation="0" wrapText="false" indent="0" shrinkToFit="false"/>
      <protection locked="true" hidden="false"/>
    </xf>
    <xf numFmtId="167" fontId="0" fillId="0" borderId="62" xfId="0" applyFont="true" applyBorder="true" applyAlignment="true" applyProtection="false">
      <alignment horizontal="center" vertical="bottom" textRotation="0" wrapText="false" indent="0" shrinkToFit="false"/>
      <protection locked="true" hidden="false"/>
    </xf>
    <xf numFmtId="167" fontId="37" fillId="0" borderId="125" xfId="0" applyFont="true" applyBorder="true" applyAlignment="true" applyProtection="false">
      <alignment horizontal="center" vertical="bottom" textRotation="0" wrapText="false" indent="0" shrinkToFit="false"/>
      <protection locked="true" hidden="false"/>
    </xf>
    <xf numFmtId="167" fontId="37" fillId="0" borderId="63" xfId="0" applyFont="true" applyBorder="true" applyAlignment="true" applyProtection="false">
      <alignment horizontal="center" vertical="bottom" textRotation="0" wrapText="false" indent="0" shrinkToFit="false"/>
      <protection locked="true" hidden="false"/>
    </xf>
    <xf numFmtId="167" fontId="34" fillId="0" borderId="49" xfId="0" applyFont="true" applyBorder="true" applyAlignment="true" applyProtection="false">
      <alignment horizontal="center" vertical="bottom" textRotation="0" wrapText="false" indent="0" shrinkToFit="false"/>
      <protection locked="true" hidden="false"/>
    </xf>
    <xf numFmtId="167" fontId="0" fillId="0" borderId="65" xfId="0" applyFont="true" applyBorder="true" applyAlignment="true" applyProtection="false">
      <alignment horizontal="center" vertical="bottom" textRotation="0" wrapText="false" indent="0" shrinkToFit="false"/>
      <protection locked="true" hidden="false"/>
    </xf>
    <xf numFmtId="165" fontId="37" fillId="0" borderId="0" xfId="0" applyFont="true" applyBorder="false" applyAlignment="false" applyProtection="false">
      <alignment horizontal="general" vertical="bottom" textRotation="0" wrapText="false" indent="0" shrinkToFit="false"/>
      <protection locked="true" hidden="false"/>
    </xf>
    <xf numFmtId="164" fontId="74" fillId="0" borderId="0" xfId="0" applyFont="true" applyBorder="false" applyAlignment="false" applyProtection="false">
      <alignment horizontal="general" vertical="bottom" textRotation="0" wrapText="false" indent="0" shrinkToFit="false"/>
      <protection locked="true" hidden="false"/>
    </xf>
    <xf numFmtId="164" fontId="33" fillId="0" borderId="84" xfId="0" applyFont="true" applyBorder="true" applyAlignment="true" applyProtection="false">
      <alignment horizontal="center" vertical="center" textRotation="0" wrapText="true" indent="0" shrinkToFit="false"/>
      <protection locked="true" hidden="false"/>
    </xf>
    <xf numFmtId="164" fontId="65" fillId="0" borderId="16" xfId="0" applyFont="true" applyBorder="true" applyAlignment="true" applyProtection="false">
      <alignment horizontal="center" vertical="center" textRotation="0" wrapText="true" indent="0" shrinkToFit="false"/>
      <protection locked="true" hidden="false"/>
    </xf>
    <xf numFmtId="164" fontId="33" fillId="0" borderId="54" xfId="0" applyFont="true" applyBorder="true" applyAlignment="true" applyProtection="false">
      <alignment horizontal="center" vertical="center" textRotation="0" wrapText="true" indent="0" shrinkToFit="false"/>
      <protection locked="true" hidden="false"/>
    </xf>
    <xf numFmtId="164" fontId="33" fillId="0" borderId="94" xfId="0" applyFont="true" applyBorder="true" applyAlignment="true" applyProtection="false">
      <alignment horizontal="center" vertical="center" textRotation="0" wrapText="true" indent="0" shrinkToFit="false"/>
      <protection locked="true" hidden="false"/>
    </xf>
    <xf numFmtId="164" fontId="33" fillId="0" borderId="0" xfId="0" applyFont="true" applyBorder="true" applyAlignment="true" applyProtection="false">
      <alignment horizontal="center" vertical="center" textRotation="0" wrapText="true" indent="0" shrinkToFit="false"/>
      <protection locked="true" hidden="false"/>
    </xf>
    <xf numFmtId="164" fontId="34" fillId="0" borderId="106" xfId="0" applyFont="true" applyBorder="true" applyAlignment="true" applyProtection="false">
      <alignment horizontal="center" vertical="center" textRotation="0" wrapText="true" indent="0" shrinkToFit="false"/>
      <protection locked="true" hidden="false"/>
    </xf>
    <xf numFmtId="164" fontId="0" fillId="0" borderId="106" xfId="0" applyFont="true" applyBorder="true" applyAlignment="true" applyProtection="false">
      <alignment horizontal="center" vertical="center" textRotation="0" wrapText="true" indent="0" shrinkToFit="false"/>
      <protection locked="true" hidden="false"/>
    </xf>
    <xf numFmtId="164" fontId="0" fillId="0" borderId="111" xfId="0" applyFont="true" applyBorder="true" applyAlignment="true" applyProtection="false">
      <alignment horizontal="center" vertical="center" textRotation="0" wrapText="true" indent="0" shrinkToFit="false"/>
      <protection locked="true" hidden="false"/>
    </xf>
    <xf numFmtId="164" fontId="65" fillId="0" borderId="58" xfId="0" applyFont="true" applyBorder="true" applyAlignment="true" applyProtection="false">
      <alignment horizontal="center" vertical="center" textRotation="0" wrapText="true" indent="0" shrinkToFit="false"/>
      <protection locked="true" hidden="false"/>
    </xf>
    <xf numFmtId="164" fontId="34" fillId="0" borderId="59" xfId="0" applyFont="true" applyBorder="true" applyAlignment="true" applyProtection="false">
      <alignment horizontal="center" vertical="center" textRotation="0" wrapText="true" indent="0" shrinkToFit="false"/>
      <protection locked="true" hidden="false"/>
    </xf>
    <xf numFmtId="164" fontId="65" fillId="0" borderId="59" xfId="0" applyFont="true" applyBorder="true" applyAlignment="true" applyProtection="false">
      <alignment horizontal="center" vertical="center" textRotation="0" wrapText="true" indent="0" shrinkToFit="false"/>
      <protection locked="true" hidden="false"/>
    </xf>
    <xf numFmtId="164" fontId="0" fillId="0" borderId="96" xfId="0" applyFont="true" applyBorder="true" applyAlignment="true" applyProtection="false">
      <alignment horizontal="center" vertical="center" textRotation="0" wrapText="true" indent="0" shrinkToFit="false"/>
      <protection locked="true" hidden="false"/>
    </xf>
    <xf numFmtId="167" fontId="37" fillId="0" borderId="58" xfId="0" applyFont="true" applyBorder="true" applyAlignment="true" applyProtection="false">
      <alignment horizontal="center" vertical="bottom" textRotation="0" wrapText="false" indent="0" shrinkToFit="false"/>
      <protection locked="true" hidden="false"/>
    </xf>
    <xf numFmtId="167" fontId="0" fillId="0" borderId="95" xfId="0" applyFont="true" applyBorder="true" applyAlignment="true" applyProtection="false">
      <alignment horizontal="center" vertical="bottom" textRotation="0" wrapText="false" indent="0" shrinkToFit="false"/>
      <protection locked="true" hidden="false"/>
    </xf>
    <xf numFmtId="167" fontId="37" fillId="0" borderId="59" xfId="0" applyFont="true" applyBorder="true" applyAlignment="true" applyProtection="false">
      <alignment horizontal="center" vertical="bottom" textRotation="0" wrapText="false" indent="0" shrinkToFit="false"/>
      <protection locked="true" hidden="false"/>
    </xf>
    <xf numFmtId="167" fontId="0" fillId="0" borderId="96" xfId="0" applyFont="true" applyBorder="true" applyAlignment="true" applyProtection="false">
      <alignment horizontal="center" vertical="bottom" textRotation="0" wrapText="false" indent="0" shrinkToFit="false"/>
      <protection locked="true" hidden="false"/>
    </xf>
    <xf numFmtId="167" fontId="37" fillId="0" borderId="61" xfId="0" applyFont="true" applyBorder="true" applyAlignment="true" applyProtection="false">
      <alignment horizontal="center" vertical="bottom" textRotation="0" wrapText="false" indent="0" shrinkToFit="false"/>
      <protection locked="true" hidden="false"/>
    </xf>
    <xf numFmtId="167" fontId="37" fillId="0" borderId="64" xfId="0" applyFont="true" applyBorder="true" applyAlignment="true" applyProtection="false">
      <alignment horizontal="center" vertical="bottom" textRotation="0" wrapText="false" indent="0" shrinkToFit="false"/>
      <protection locked="true" hidden="false"/>
    </xf>
    <xf numFmtId="167" fontId="0" fillId="0" borderId="64" xfId="0" applyFont="true" applyBorder="true" applyAlignment="true" applyProtection="false">
      <alignment horizontal="center" vertical="bottom" textRotation="0" wrapText="false" indent="0" shrinkToFit="false"/>
      <protection locked="true" hidden="false"/>
    </xf>
    <xf numFmtId="164" fontId="33" fillId="0" borderId="22" xfId="0" applyFont="true" applyBorder="true" applyAlignment="true" applyProtection="false">
      <alignment horizontal="center" vertical="center" textRotation="0" wrapText="true" indent="0" shrinkToFit="false"/>
      <protection locked="true" hidden="false"/>
    </xf>
    <xf numFmtId="164" fontId="34" fillId="0" borderId="55" xfId="0" applyFont="true" applyBorder="true" applyAlignment="true" applyProtection="false">
      <alignment horizontal="center" vertical="center" textRotation="0" wrapText="true" indent="0" shrinkToFit="false"/>
      <protection locked="true" hidden="false"/>
    </xf>
    <xf numFmtId="164" fontId="34" fillId="0" borderId="67" xfId="0" applyFont="true" applyBorder="true" applyAlignment="true" applyProtection="false">
      <alignment horizontal="center" vertical="center" textRotation="0" wrapText="true" indent="0" shrinkToFit="false"/>
      <protection locked="true" hidden="false"/>
    </xf>
    <xf numFmtId="167" fontId="34" fillId="0" borderId="27" xfId="19" applyFont="true" applyBorder="true" applyAlignment="true" applyProtection="true">
      <alignment horizontal="center" vertical="bottom" textRotation="0" wrapText="false" indent="0" shrinkToFit="false"/>
      <protection locked="true" hidden="false"/>
    </xf>
    <xf numFmtId="164" fontId="34" fillId="0" borderId="35" xfId="0" applyFont="true" applyBorder="true" applyAlignment="true" applyProtection="false">
      <alignment horizontal="center" vertical="center" textRotation="0" wrapText="true" indent="0" shrinkToFit="false"/>
      <protection locked="true" hidden="false"/>
    </xf>
    <xf numFmtId="164" fontId="0" fillId="0" borderId="37" xfId="0" applyFont="true" applyBorder="true" applyAlignment="true" applyProtection="false">
      <alignment horizontal="center" vertical="center" textRotation="0" wrapText="true" indent="0" shrinkToFit="false"/>
      <protection locked="true" hidden="false"/>
    </xf>
    <xf numFmtId="167" fontId="34" fillId="0" borderId="38" xfId="19" applyFont="true" applyBorder="true" applyAlignment="true" applyProtection="true">
      <alignment horizontal="center" vertical="bottom" textRotation="0" wrapText="false" indent="0" shrinkToFit="false"/>
      <protection locked="true" hidden="false"/>
    </xf>
    <xf numFmtId="164" fontId="34" fillId="0" borderId="42" xfId="0" applyFont="true" applyBorder="true" applyAlignment="true" applyProtection="false">
      <alignment horizontal="center" vertical="center" textRotation="0" wrapText="true" indent="0" shrinkToFit="false"/>
      <protection locked="true" hidden="false"/>
    </xf>
    <xf numFmtId="164" fontId="0" fillId="0" borderId="44" xfId="0" applyFont="true" applyBorder="true" applyAlignment="true" applyProtection="false">
      <alignment horizontal="center" vertical="center" textRotation="0" wrapText="true" indent="0" shrinkToFit="false"/>
      <protection locked="true" hidden="false"/>
    </xf>
    <xf numFmtId="164" fontId="65" fillId="0" borderId="61" xfId="0" applyFont="true" applyBorder="true" applyAlignment="true" applyProtection="false">
      <alignment horizontal="center" vertical="center" textRotation="0" wrapText="true" indent="0" shrinkToFit="false"/>
      <protection locked="true" hidden="false"/>
    </xf>
    <xf numFmtId="167" fontId="34" fillId="0" borderId="45" xfId="19" applyFont="true" applyBorder="true" applyAlignment="true" applyProtection="true">
      <alignment horizontal="center" vertical="bottom" textRotation="0" wrapText="false" indent="0" shrinkToFit="false"/>
      <protection locked="true" hidden="false"/>
    </xf>
    <xf numFmtId="167" fontId="34" fillId="0" borderId="62" xfId="19" applyFont="true" applyBorder="true" applyAlignment="true" applyProtection="true">
      <alignment horizontal="center" vertical="center" textRotation="0" wrapText="true" indent="0" shrinkToFit="false"/>
      <protection locked="true" hidden="false"/>
    </xf>
    <xf numFmtId="167" fontId="31" fillId="0" borderId="0" xfId="19" applyFont="true" applyBorder="true" applyAlignment="true" applyProtection="true">
      <alignment horizontal="center" vertical="center" textRotation="0" wrapText="true" indent="0" shrinkToFit="false"/>
      <protection locked="true" hidden="false"/>
    </xf>
    <xf numFmtId="167" fontId="31" fillId="0" borderId="37" xfId="19" applyFont="true" applyBorder="true" applyAlignment="true" applyProtection="true">
      <alignment horizontal="center" vertical="center" textRotation="0" wrapText="true" indent="0" shrinkToFit="false"/>
      <protection locked="true" hidden="false"/>
    </xf>
    <xf numFmtId="167" fontId="0" fillId="0" borderId="61" xfId="19" applyFont="true" applyBorder="true" applyAlignment="true" applyProtection="true">
      <alignment horizontal="center" vertical="bottom" textRotation="0" wrapText="false" indent="0" shrinkToFit="false"/>
      <protection locked="true" hidden="false"/>
    </xf>
    <xf numFmtId="164" fontId="34" fillId="0" borderId="18" xfId="0" applyFont="true" applyBorder="true" applyAlignment="true" applyProtection="false">
      <alignment horizontal="center" vertical="center" textRotation="0" wrapText="true" indent="0" shrinkToFit="false"/>
      <protection locked="true" hidden="false"/>
    </xf>
    <xf numFmtId="164" fontId="34" fillId="0" borderId="19" xfId="0" applyFont="true" applyBorder="true" applyAlignment="true" applyProtection="false">
      <alignment horizontal="center" vertical="center" textRotation="0" wrapText="true" indent="0" shrinkToFit="false"/>
      <protection locked="true" hidden="false"/>
    </xf>
    <xf numFmtId="164" fontId="34" fillId="0" borderId="75" xfId="0" applyFont="true" applyBorder="true" applyAlignment="true" applyProtection="false">
      <alignment horizontal="center" vertical="center" textRotation="0" wrapText="true" indent="0" shrinkToFit="false"/>
      <protection locked="true" hidden="false"/>
    </xf>
    <xf numFmtId="164" fontId="66" fillId="0" borderId="54" xfId="59" applyFont="true" applyBorder="true" applyAlignment="true" applyProtection="false">
      <alignment horizontal="center" vertical="center" textRotation="0" wrapText="true" indent="0" shrinkToFit="false"/>
      <protection locked="true" hidden="false"/>
    </xf>
    <xf numFmtId="164" fontId="32" fillId="0" borderId="54" xfId="0" applyFont="true" applyBorder="true" applyAlignment="true" applyProtection="false">
      <alignment horizontal="center" vertical="center" textRotation="0" wrapText="true" indent="0" shrinkToFit="false"/>
      <protection locked="true" hidden="false"/>
    </xf>
    <xf numFmtId="164" fontId="37" fillId="0" borderId="54" xfId="0" applyFont="true" applyBorder="true" applyAlignment="true" applyProtection="false">
      <alignment horizontal="center" vertical="center" textRotation="0" wrapText="true" indent="0" shrinkToFit="false"/>
      <protection locked="true" hidden="false"/>
    </xf>
    <xf numFmtId="164" fontId="34" fillId="0" borderId="13" xfId="0" applyFont="true" applyBorder="true" applyAlignment="true" applyProtection="false">
      <alignment horizontal="center" vertical="center" textRotation="0" wrapText="true" indent="0" shrinkToFit="false"/>
      <protection locked="true" hidden="false"/>
    </xf>
    <xf numFmtId="167" fontId="37" fillId="0" borderId="54" xfId="0" applyFont="true" applyBorder="true" applyAlignment="true" applyProtection="false">
      <alignment horizontal="center" vertical="bottom" textRotation="0" wrapText="false" indent="0" shrinkToFit="false"/>
      <protection locked="true" hidden="false"/>
    </xf>
    <xf numFmtId="188" fontId="0" fillId="0" borderId="0" xfId="0" applyFont="false" applyBorder="false" applyAlignment="false" applyProtection="false">
      <alignment horizontal="general" vertical="bottom" textRotation="0" wrapText="false" indent="0" shrinkToFit="false"/>
      <protection locked="true" hidden="false"/>
    </xf>
    <xf numFmtId="167" fontId="31" fillId="0" borderId="13" xfId="0" applyFont="true" applyBorder="true" applyAlignment="true" applyProtection="false">
      <alignment horizontal="center" vertical="bottom" textRotation="0" wrapText="false" indent="0" shrinkToFit="false"/>
      <protection locked="true" hidden="false"/>
    </xf>
    <xf numFmtId="186" fontId="0" fillId="0" borderId="0" xfId="0" applyFont="false" applyBorder="false" applyAlignment="true" applyProtection="false">
      <alignment horizontal="center" vertical="bottom" textRotation="0" wrapText="false" indent="0" shrinkToFit="false"/>
      <protection locked="true" hidden="false"/>
    </xf>
    <xf numFmtId="189"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66" applyFont="false" applyBorder="false" applyAlignment="false" applyProtection="false">
      <alignment horizontal="general" vertical="bottom" textRotation="0" wrapText="false" indent="0" shrinkToFit="false"/>
      <protection locked="true" hidden="false"/>
    </xf>
    <xf numFmtId="164" fontId="34" fillId="0" borderId="0" xfId="66" applyFont="true" applyBorder="false" applyAlignment="false" applyProtection="false">
      <alignment horizontal="general" vertical="bottom" textRotation="0" wrapText="false" indent="0" shrinkToFit="false"/>
      <protection locked="true" hidden="false"/>
    </xf>
    <xf numFmtId="164" fontId="28" fillId="0" borderId="11" xfId="66" applyFont="true" applyBorder="true" applyAlignment="true" applyProtection="false">
      <alignment horizontal="center" vertical="center" textRotation="0" wrapText="true" indent="0" shrinkToFit="false"/>
      <protection locked="true" hidden="false"/>
    </xf>
    <xf numFmtId="164" fontId="0" fillId="0" borderId="12" xfId="66" applyFont="false" applyBorder="true" applyAlignment="false" applyProtection="false">
      <alignment horizontal="general" vertical="bottom" textRotation="0" wrapText="false" indent="0" shrinkToFit="false"/>
      <protection locked="true" hidden="false"/>
    </xf>
    <xf numFmtId="164" fontId="0" fillId="0" borderId="0" xfId="66" applyFont="false" applyBorder="true" applyAlignment="false" applyProtection="false">
      <alignment horizontal="general" vertical="bottom" textRotation="0" wrapText="false" indent="0" shrinkToFit="false"/>
      <protection locked="true" hidden="false"/>
    </xf>
    <xf numFmtId="164" fontId="0" fillId="0" borderId="13" xfId="66" applyFont="false" applyBorder="true" applyAlignment="false" applyProtection="false">
      <alignment horizontal="general" vertical="bottom" textRotation="0" wrapText="false" indent="0" shrinkToFit="false"/>
      <protection locked="true" hidden="false"/>
    </xf>
    <xf numFmtId="164" fontId="0" fillId="0" borderId="12" xfId="66" applyFont="true" applyBorder="true" applyAlignment="false" applyProtection="false">
      <alignment horizontal="general" vertical="bottom" textRotation="0" wrapText="false" indent="0" shrinkToFit="false"/>
      <protection locked="true" hidden="false"/>
    </xf>
    <xf numFmtId="164" fontId="0" fillId="0" borderId="66" xfId="66" applyFont="true" applyBorder="true" applyAlignment="true" applyProtection="false">
      <alignment horizontal="center" vertical="bottom" textRotation="0" wrapText="false" indent="0" shrinkToFit="false"/>
      <protection locked="true" hidden="false"/>
    </xf>
    <xf numFmtId="164" fontId="0" fillId="0" borderId="67" xfId="66" applyFont="true" applyBorder="true" applyAlignment="true" applyProtection="false">
      <alignment horizontal="center" vertical="bottom" textRotation="0" wrapText="false" indent="0" shrinkToFit="false"/>
      <protection locked="true" hidden="false"/>
    </xf>
    <xf numFmtId="164" fontId="34" fillId="0" borderId="75" xfId="66" applyFont="true" applyBorder="true" applyAlignment="true" applyProtection="false">
      <alignment horizontal="center" vertical="bottom" textRotation="0" wrapText="false" indent="0" shrinkToFit="false"/>
      <protection locked="true" hidden="false"/>
    </xf>
    <xf numFmtId="164" fontId="33" fillId="0" borderId="84" xfId="66" applyFont="true" applyBorder="true" applyAlignment="true" applyProtection="false">
      <alignment horizontal="center" vertical="center" textRotation="0" wrapText="true" indent="0" shrinkToFit="false"/>
      <protection locked="true" hidden="false"/>
    </xf>
    <xf numFmtId="164" fontId="34" fillId="0" borderId="83" xfId="66" applyFont="true" applyBorder="true" applyAlignment="true" applyProtection="false">
      <alignment horizontal="center" vertical="center" textRotation="0" wrapText="true" indent="0" shrinkToFit="false"/>
      <protection locked="true" hidden="false"/>
    </xf>
    <xf numFmtId="164" fontId="34" fillId="0" borderId="31" xfId="66" applyFont="true" applyBorder="true" applyAlignment="true" applyProtection="false">
      <alignment horizontal="center" vertical="center" textRotation="0" wrapText="true" indent="0" shrinkToFit="false"/>
      <protection locked="true" hidden="false"/>
    </xf>
    <xf numFmtId="164" fontId="76" fillId="0" borderId="58" xfId="62" applyFont="true" applyBorder="true" applyAlignment="true" applyProtection="false">
      <alignment horizontal="center" vertical="center" textRotation="0" wrapText="true" indent="0" shrinkToFit="false"/>
      <protection locked="true" hidden="false"/>
    </xf>
    <xf numFmtId="164" fontId="32" fillId="0" borderId="58" xfId="66" applyFont="true" applyBorder="true" applyAlignment="true" applyProtection="false">
      <alignment horizontal="center" vertical="center" textRotation="0" wrapText="true" indent="0" shrinkToFit="false"/>
      <protection locked="true" hidden="false"/>
    </xf>
    <xf numFmtId="164" fontId="0" fillId="0" borderId="58" xfId="66" applyFont="true" applyBorder="true" applyAlignment="true" applyProtection="false">
      <alignment horizontal="center" vertical="center" textRotation="0" wrapText="true" indent="0" shrinkToFit="false"/>
      <protection locked="true" hidden="false"/>
    </xf>
    <xf numFmtId="164" fontId="0" fillId="0" borderId="9" xfId="66" applyFont="true" applyBorder="true" applyAlignment="true" applyProtection="false">
      <alignment horizontal="center" vertical="center" textRotation="0" wrapText="true" indent="0" shrinkToFit="false"/>
      <protection locked="true" hidden="false"/>
    </xf>
    <xf numFmtId="164" fontId="0" fillId="0" borderId="120" xfId="66" applyFont="true" applyBorder="true" applyAlignment="true" applyProtection="false">
      <alignment horizontal="center" vertical="center" textRotation="0" wrapText="true" indent="0" shrinkToFit="false"/>
      <protection locked="true" hidden="false"/>
    </xf>
    <xf numFmtId="164" fontId="0" fillId="0" borderId="95" xfId="66" applyFont="true" applyBorder="true" applyAlignment="true" applyProtection="false">
      <alignment horizontal="center" vertical="center" textRotation="0" wrapText="true" indent="0" shrinkToFit="false"/>
      <protection locked="true" hidden="false"/>
    </xf>
    <xf numFmtId="164" fontId="0" fillId="0" borderId="0" xfId="66" applyFont="true" applyBorder="false" applyAlignment="true" applyProtection="false">
      <alignment horizontal="general" vertical="bottom" textRotation="0" wrapText="true" indent="0" shrinkToFit="false"/>
      <protection locked="true" hidden="false"/>
    </xf>
    <xf numFmtId="164" fontId="34" fillId="0" borderId="106" xfId="66" applyFont="true" applyBorder="true" applyAlignment="true" applyProtection="false">
      <alignment horizontal="center" vertical="center" textRotation="0" wrapText="true" indent="0" shrinkToFit="false"/>
      <protection locked="true" hidden="false"/>
    </xf>
    <xf numFmtId="164" fontId="57" fillId="0" borderId="106" xfId="62" applyFont="true" applyBorder="true" applyAlignment="true" applyProtection="false">
      <alignment horizontal="center" vertical="center" textRotation="0" wrapText="true" indent="0" shrinkToFit="false"/>
      <protection locked="true" hidden="false"/>
    </xf>
    <xf numFmtId="164" fontId="57" fillId="0" borderId="56" xfId="62" applyFont="true" applyBorder="true" applyAlignment="true" applyProtection="false">
      <alignment horizontal="center" vertical="center" textRotation="0" wrapText="true" indent="0" shrinkToFit="false"/>
      <protection locked="true" hidden="false"/>
    </xf>
    <xf numFmtId="164" fontId="37" fillId="0" borderId="58" xfId="66" applyFont="true" applyBorder="true" applyAlignment="true" applyProtection="false">
      <alignment horizontal="center" vertical="center" textRotation="0" wrapText="true" indent="0" shrinkToFit="false"/>
      <protection locked="true" hidden="false"/>
    </xf>
    <xf numFmtId="164" fontId="0" fillId="0" borderId="12" xfId="66" applyFont="true" applyBorder="true" applyAlignment="true" applyProtection="false">
      <alignment horizontal="center" vertical="center" textRotation="0" wrapText="true" indent="0" shrinkToFit="false"/>
      <protection locked="true" hidden="false"/>
    </xf>
    <xf numFmtId="167" fontId="34" fillId="0" borderId="58" xfId="66" applyFont="true" applyBorder="true" applyAlignment="true" applyProtection="false">
      <alignment horizontal="center" vertical="bottom" textRotation="0" wrapText="false" indent="0" shrinkToFit="false"/>
      <protection locked="true" hidden="false"/>
    </xf>
    <xf numFmtId="167" fontId="57" fillId="0" borderId="58" xfId="19" applyFont="true" applyBorder="true" applyAlignment="true" applyProtection="true">
      <alignment horizontal="center" vertical="center" textRotation="0" wrapText="true" indent="0" shrinkToFit="false"/>
      <protection locked="true" hidden="false"/>
    </xf>
    <xf numFmtId="167" fontId="34" fillId="0" borderId="58" xfId="66" applyFont="true" applyBorder="true" applyAlignment="true" applyProtection="false">
      <alignment horizontal="center" vertical="center" textRotation="0" wrapText="true" indent="0" shrinkToFit="false"/>
      <protection locked="true" hidden="false"/>
    </xf>
    <xf numFmtId="167" fontId="0" fillId="0" borderId="9" xfId="66" applyFont="true" applyBorder="true" applyAlignment="true" applyProtection="false">
      <alignment horizontal="center" vertical="bottom" textRotation="0" wrapText="false" indent="0" shrinkToFit="false"/>
      <protection locked="true" hidden="false"/>
    </xf>
    <xf numFmtId="167" fontId="0" fillId="0" borderId="119" xfId="66" applyFont="true" applyBorder="true" applyAlignment="true" applyProtection="false">
      <alignment horizontal="center" vertical="bottom" textRotation="0" wrapText="false" indent="0" shrinkToFit="false"/>
      <protection locked="true" hidden="false"/>
    </xf>
    <xf numFmtId="167" fontId="37" fillId="0" borderId="54" xfId="19" applyFont="true" applyBorder="true" applyAlignment="true" applyProtection="true">
      <alignment horizontal="center" vertical="center" textRotation="0" wrapText="true" indent="0" shrinkToFit="false"/>
      <protection locked="true" hidden="false"/>
    </xf>
    <xf numFmtId="171" fontId="0" fillId="0" borderId="0" xfId="66" applyFont="false" applyBorder="false" applyAlignment="false" applyProtection="false">
      <alignment horizontal="general" vertical="bottom" textRotation="0" wrapText="false" indent="0" shrinkToFit="false"/>
      <protection locked="true" hidden="false"/>
    </xf>
    <xf numFmtId="173" fontId="0" fillId="0" borderId="0" xfId="66" applyFont="false" applyBorder="false" applyAlignment="false" applyProtection="false">
      <alignment horizontal="general" vertical="bottom" textRotation="0" wrapText="false" indent="0" shrinkToFit="false"/>
      <protection locked="true" hidden="false"/>
    </xf>
    <xf numFmtId="167" fontId="0" fillId="0" borderId="120" xfId="66" applyFont="true" applyBorder="true" applyAlignment="true" applyProtection="false">
      <alignment horizontal="center" vertical="bottom" textRotation="0" wrapText="false" indent="0" shrinkToFit="false"/>
      <protection locked="true" hidden="false"/>
    </xf>
    <xf numFmtId="167" fontId="37" fillId="0" borderId="58" xfId="19" applyFont="true" applyBorder="true" applyAlignment="true" applyProtection="true">
      <alignment horizontal="center" vertical="center" textRotation="0" wrapText="true" indent="0" shrinkToFit="false"/>
      <protection locked="true" hidden="false"/>
    </xf>
    <xf numFmtId="164" fontId="0" fillId="0" borderId="34" xfId="66" applyFont="true" applyBorder="true" applyAlignment="true" applyProtection="false">
      <alignment horizontal="center" vertical="center" textRotation="0" wrapText="true" indent="0" shrinkToFit="false"/>
      <protection locked="true" hidden="false"/>
    </xf>
    <xf numFmtId="167" fontId="34" fillId="0" borderId="59" xfId="66" applyFont="true" applyBorder="true" applyAlignment="true" applyProtection="false">
      <alignment horizontal="center" vertical="bottom" textRotation="0" wrapText="false" indent="0" shrinkToFit="false"/>
      <protection locked="true" hidden="false"/>
    </xf>
    <xf numFmtId="167" fontId="57" fillId="0" borderId="59" xfId="19" applyFont="true" applyBorder="true" applyAlignment="true" applyProtection="true">
      <alignment horizontal="center" vertical="center" textRotation="0" wrapText="true" indent="0" shrinkToFit="false"/>
      <protection locked="true" hidden="false"/>
    </xf>
    <xf numFmtId="167" fontId="34" fillId="0" borderId="59" xfId="66" applyFont="true" applyBorder="true" applyAlignment="true" applyProtection="false">
      <alignment horizontal="center" vertical="center" textRotation="0" wrapText="true" indent="0" shrinkToFit="false"/>
      <protection locked="true" hidden="false"/>
    </xf>
    <xf numFmtId="167" fontId="0" fillId="0" borderId="35" xfId="66" applyFont="true" applyBorder="true" applyAlignment="true" applyProtection="false">
      <alignment horizontal="center" vertical="bottom" textRotation="0" wrapText="false" indent="0" shrinkToFit="false"/>
      <protection locked="true" hidden="false"/>
    </xf>
    <xf numFmtId="167" fontId="0" fillId="0" borderId="121" xfId="66" applyFont="true" applyBorder="true" applyAlignment="true" applyProtection="false">
      <alignment horizontal="center" vertical="bottom" textRotation="0" wrapText="false" indent="0" shrinkToFit="false"/>
      <protection locked="true" hidden="false"/>
    </xf>
    <xf numFmtId="167" fontId="37" fillId="0" borderId="59" xfId="19" applyFont="true" applyBorder="true" applyAlignment="true" applyProtection="true">
      <alignment horizontal="center" vertical="center" textRotation="0" wrapText="true" indent="0" shrinkToFit="false"/>
      <protection locked="true" hidden="false"/>
    </xf>
    <xf numFmtId="173" fontId="0" fillId="0" borderId="0" xfId="66" applyFont="false" applyBorder="false" applyAlignment="false" applyProtection="false">
      <alignment horizontal="general" vertical="bottom" textRotation="0" wrapText="false" indent="0" shrinkToFit="false"/>
      <protection locked="true" hidden="false"/>
    </xf>
    <xf numFmtId="164" fontId="34" fillId="0" borderId="58" xfId="66" applyFont="true" applyBorder="true" applyAlignment="true" applyProtection="false">
      <alignment horizontal="center" vertical="center" textRotation="0" wrapText="true" indent="0" shrinkToFit="false"/>
      <protection locked="true" hidden="false"/>
    </xf>
    <xf numFmtId="164" fontId="57" fillId="0" borderId="58" xfId="62" applyFont="true" applyBorder="true" applyAlignment="true" applyProtection="false">
      <alignment horizontal="center" vertical="center" textRotation="0" wrapText="true" indent="0" shrinkToFit="false"/>
      <protection locked="true" hidden="false"/>
    </xf>
    <xf numFmtId="167" fontId="34" fillId="0" borderId="58" xfId="19" applyFont="true" applyBorder="true" applyAlignment="true" applyProtection="true">
      <alignment horizontal="center" vertical="center" textRotation="0" wrapText="true" indent="0" shrinkToFit="false"/>
      <protection locked="true" hidden="false"/>
    </xf>
    <xf numFmtId="164" fontId="34" fillId="0" borderId="59" xfId="66" applyFont="true" applyBorder="true" applyAlignment="true" applyProtection="false">
      <alignment horizontal="center" vertical="center" textRotation="0" wrapText="true" indent="0" shrinkToFit="false"/>
      <protection locked="true" hidden="false"/>
    </xf>
    <xf numFmtId="164" fontId="57" fillId="0" borderId="59" xfId="62" applyFont="true" applyBorder="true" applyAlignment="true" applyProtection="false">
      <alignment horizontal="center" vertical="center" textRotation="0" wrapText="true" indent="0" shrinkToFit="false"/>
      <protection locked="true" hidden="false"/>
    </xf>
    <xf numFmtId="167" fontId="34" fillId="0" borderId="59" xfId="19" applyFont="true" applyBorder="true" applyAlignment="true" applyProtection="true">
      <alignment horizontal="center" vertical="center" textRotation="0" wrapText="true" indent="0" shrinkToFit="false"/>
      <protection locked="true" hidden="false"/>
    </xf>
    <xf numFmtId="167" fontId="57" fillId="0" borderId="35" xfId="19" applyFont="true" applyBorder="true" applyAlignment="true" applyProtection="true">
      <alignment horizontal="center" vertical="center" textRotation="0" wrapText="true" indent="0" shrinkToFit="false"/>
      <protection locked="true" hidden="false"/>
    </xf>
    <xf numFmtId="167" fontId="0" fillId="0" borderId="121" xfId="19" applyFont="true" applyBorder="true" applyAlignment="true" applyProtection="true">
      <alignment horizontal="center" vertical="center" textRotation="0" wrapText="true" indent="0" shrinkToFit="false"/>
      <protection locked="true" hidden="false"/>
    </xf>
    <xf numFmtId="164" fontId="37" fillId="0" borderId="59" xfId="66" applyFont="true" applyBorder="true" applyAlignment="true" applyProtection="false">
      <alignment horizontal="center" vertical="center" textRotation="0" wrapText="true" indent="0" shrinkToFit="false"/>
      <protection locked="true" hidden="false"/>
    </xf>
    <xf numFmtId="167" fontId="57" fillId="0" borderId="9" xfId="19" applyFont="true" applyBorder="true" applyAlignment="true" applyProtection="true">
      <alignment horizontal="center" vertical="center" textRotation="0" wrapText="true" indent="0" shrinkToFit="false"/>
      <protection locked="true" hidden="false"/>
    </xf>
    <xf numFmtId="167" fontId="34" fillId="0" borderId="58" xfId="66" applyFont="true" applyBorder="true" applyAlignment="true" applyProtection="false">
      <alignment horizontal="center" vertical="center" textRotation="0" wrapText="true" indent="0" shrinkToFit="false"/>
      <protection locked="true" hidden="false"/>
    </xf>
    <xf numFmtId="167" fontId="37" fillId="0" borderId="58" xfId="19" applyFont="true" applyBorder="true" applyAlignment="true" applyProtection="true">
      <alignment horizontal="center" vertical="center" textRotation="0" wrapText="true" indent="0" shrinkToFit="false"/>
      <protection locked="true" hidden="false"/>
    </xf>
    <xf numFmtId="167" fontId="0" fillId="0" borderId="95" xfId="19" applyFont="true" applyBorder="true" applyAlignment="true" applyProtection="true">
      <alignment horizontal="center" vertical="center" textRotation="0" wrapText="true" indent="0" shrinkToFit="false"/>
      <protection locked="true" hidden="false"/>
    </xf>
    <xf numFmtId="167" fontId="34" fillId="0" borderId="59" xfId="66" applyFont="true" applyBorder="true" applyAlignment="true" applyProtection="false">
      <alignment horizontal="center" vertical="center" textRotation="0" wrapText="true" indent="0" shrinkToFit="false"/>
      <protection locked="true" hidden="false"/>
    </xf>
    <xf numFmtId="167" fontId="0" fillId="0" borderId="96" xfId="19" applyFont="true" applyBorder="true" applyAlignment="true" applyProtection="true">
      <alignment horizontal="center" vertical="center" textRotation="0" wrapText="true" indent="0" shrinkToFit="false"/>
      <protection locked="true" hidden="false"/>
    </xf>
    <xf numFmtId="167" fontId="34" fillId="0" borderId="59" xfId="19" applyFont="true" applyBorder="true" applyAlignment="true" applyProtection="true">
      <alignment horizontal="center" vertical="center" textRotation="0" wrapText="true" indent="0" shrinkToFit="false"/>
      <protection locked="true" hidden="false"/>
    </xf>
    <xf numFmtId="167" fontId="34" fillId="0" borderId="58" xfId="19" applyFont="true" applyBorder="true" applyAlignment="true" applyProtection="true">
      <alignment horizontal="center" vertical="center" textRotation="0" wrapText="true" indent="0" shrinkToFit="false"/>
      <protection locked="true" hidden="false"/>
    </xf>
    <xf numFmtId="167" fontId="0" fillId="0" borderId="120" xfId="66" applyFont="true" applyBorder="true" applyAlignment="true" applyProtection="false">
      <alignment horizontal="center" vertical="center" textRotation="0" wrapText="true" indent="0" shrinkToFit="false"/>
      <protection locked="true" hidden="false"/>
    </xf>
    <xf numFmtId="164" fontId="0" fillId="0" borderId="0" xfId="66" applyFont="true" applyBorder="false" applyAlignment="false" applyProtection="false">
      <alignment horizontal="general" vertical="bottom" textRotation="0" wrapText="false" indent="0" shrinkToFit="false"/>
      <protection locked="true" hidden="false"/>
    </xf>
    <xf numFmtId="167" fontId="0" fillId="0" borderId="73" xfId="66" applyFont="true" applyBorder="true" applyAlignment="true" applyProtection="false">
      <alignment horizontal="center" vertical="bottom" textRotation="0" wrapText="false" indent="0" shrinkToFit="false"/>
      <protection locked="true" hidden="false"/>
    </xf>
    <xf numFmtId="167" fontId="77" fillId="0" borderId="9" xfId="19" applyFont="true" applyBorder="true" applyAlignment="true" applyProtection="true">
      <alignment horizontal="center" vertical="center" textRotation="0" wrapText="true" indent="0" shrinkToFit="false"/>
      <protection locked="true" hidden="false"/>
    </xf>
    <xf numFmtId="167" fontId="0" fillId="0" borderId="95" xfId="66" applyFont="true" applyBorder="true" applyAlignment="true" applyProtection="false">
      <alignment horizontal="center" vertical="bottom" textRotation="0" wrapText="false" indent="0" shrinkToFit="false"/>
      <protection locked="true" hidden="false"/>
    </xf>
    <xf numFmtId="167" fontId="0" fillId="0" borderId="122" xfId="66" applyFont="true" applyBorder="true" applyAlignment="true" applyProtection="false">
      <alignment horizontal="center" vertical="bottom" textRotation="0" wrapText="false" indent="0" shrinkToFit="false"/>
      <protection locked="true" hidden="false"/>
    </xf>
    <xf numFmtId="167" fontId="77" fillId="0" borderId="35" xfId="19" applyFont="true" applyBorder="true" applyAlignment="true" applyProtection="true">
      <alignment horizontal="center" vertical="center" textRotation="0" wrapText="true" indent="0" shrinkToFit="false"/>
      <protection locked="true" hidden="false"/>
    </xf>
    <xf numFmtId="167" fontId="0" fillId="0" borderId="96" xfId="66" applyFont="true" applyBorder="true" applyAlignment="true" applyProtection="false">
      <alignment horizontal="center" vertical="bottom" textRotation="0" wrapText="false" indent="0" shrinkToFit="false"/>
      <protection locked="true" hidden="false"/>
    </xf>
    <xf numFmtId="164" fontId="0" fillId="0" borderId="12" xfId="66" applyFont="true" applyBorder="true" applyAlignment="true" applyProtection="false">
      <alignment horizontal="center" vertical="bottom" textRotation="0" wrapText="true" indent="0" shrinkToFit="false"/>
      <protection locked="true" hidden="false"/>
    </xf>
    <xf numFmtId="167" fontId="0" fillId="0" borderId="58" xfId="66" applyFont="true" applyBorder="true" applyAlignment="true" applyProtection="false">
      <alignment horizontal="center" vertical="bottom" textRotation="0" wrapText="false" indent="0" shrinkToFit="false"/>
      <protection locked="true" hidden="false"/>
    </xf>
    <xf numFmtId="167" fontId="0" fillId="0" borderId="26" xfId="66" applyFont="true" applyBorder="true" applyAlignment="true" applyProtection="false">
      <alignment horizontal="center" vertical="bottom" textRotation="0" wrapText="false" indent="0" shrinkToFit="false"/>
      <protection locked="true" hidden="false"/>
    </xf>
    <xf numFmtId="167" fontId="37" fillId="0" borderId="58" xfId="66" applyFont="true" applyBorder="true" applyAlignment="true" applyProtection="false">
      <alignment horizontal="center" vertical="bottom" textRotation="0" wrapText="false" indent="0" shrinkToFit="false"/>
      <protection locked="true" hidden="false"/>
    </xf>
    <xf numFmtId="169" fontId="0" fillId="0" borderId="41" xfId="66" applyFont="true" applyBorder="true" applyAlignment="true" applyProtection="false">
      <alignment horizontal="center" vertical="bottom" textRotation="0" wrapText="true" indent="0" shrinkToFit="false"/>
      <protection locked="true" hidden="false"/>
    </xf>
    <xf numFmtId="167" fontId="34" fillId="0" borderId="61" xfId="66" applyFont="true" applyBorder="true" applyAlignment="true" applyProtection="false">
      <alignment horizontal="center" vertical="bottom" textRotation="0" wrapText="false" indent="0" shrinkToFit="false"/>
      <protection locked="true" hidden="false"/>
    </xf>
    <xf numFmtId="167" fontId="0" fillId="0" borderId="61" xfId="66" applyFont="true" applyBorder="true" applyAlignment="true" applyProtection="false">
      <alignment horizontal="center" vertical="bottom" textRotation="0" wrapText="false" indent="0" shrinkToFit="false"/>
      <protection locked="true" hidden="false"/>
    </xf>
    <xf numFmtId="167" fontId="0" fillId="0" borderId="124" xfId="66" applyFont="true" applyBorder="true" applyAlignment="true" applyProtection="false">
      <alignment horizontal="center" vertical="bottom" textRotation="0" wrapText="false" indent="0" shrinkToFit="false"/>
      <protection locked="true" hidden="false"/>
    </xf>
    <xf numFmtId="167" fontId="0" fillId="0" borderId="43" xfId="66" applyFont="true" applyBorder="true" applyAlignment="true" applyProtection="false">
      <alignment horizontal="center" vertical="bottom" textRotation="0" wrapText="false" indent="0" shrinkToFit="false"/>
      <protection locked="true" hidden="false"/>
    </xf>
    <xf numFmtId="167" fontId="37" fillId="0" borderId="61" xfId="66" applyFont="true" applyBorder="true" applyAlignment="true" applyProtection="false">
      <alignment horizontal="center" vertical="bottom" textRotation="0" wrapText="false" indent="0" shrinkToFit="false"/>
      <protection locked="true" hidden="false"/>
    </xf>
    <xf numFmtId="167" fontId="0" fillId="0" borderId="97" xfId="66" applyFont="true" applyBorder="true" applyAlignment="true" applyProtection="false">
      <alignment horizontal="center" vertical="bottom" textRotation="0" wrapText="false" indent="0" shrinkToFit="false"/>
      <protection locked="true" hidden="false"/>
    </xf>
    <xf numFmtId="169" fontId="0" fillId="0" borderId="34" xfId="66" applyFont="true" applyBorder="true" applyAlignment="true" applyProtection="false">
      <alignment horizontal="center" vertical="bottom" textRotation="0" wrapText="true" indent="0" shrinkToFit="false"/>
      <protection locked="true" hidden="false"/>
    </xf>
    <xf numFmtId="167" fontId="0" fillId="0" borderId="59" xfId="66" applyFont="true" applyBorder="true" applyAlignment="true" applyProtection="false">
      <alignment horizontal="center" vertical="bottom" textRotation="0" wrapText="false" indent="0" shrinkToFit="false"/>
      <protection locked="true" hidden="false"/>
    </xf>
    <xf numFmtId="167" fontId="0" fillId="0" borderId="36" xfId="66" applyFont="true" applyBorder="true" applyAlignment="true" applyProtection="false">
      <alignment horizontal="center" vertical="bottom" textRotation="0" wrapText="false" indent="0" shrinkToFit="false"/>
      <protection locked="true" hidden="false"/>
    </xf>
    <xf numFmtId="167" fontId="37" fillId="0" borderId="59" xfId="66" applyFont="true" applyBorder="true" applyAlignment="true" applyProtection="false">
      <alignment horizontal="center" vertical="bottom" textRotation="0" wrapText="false" indent="0" shrinkToFit="false"/>
      <protection locked="true" hidden="false"/>
    </xf>
    <xf numFmtId="165" fontId="0" fillId="0" borderId="0" xfId="66" applyFont="false" applyBorder="false" applyAlignment="true" applyProtection="false">
      <alignment horizontal="center" vertical="bottom" textRotation="0" wrapText="false" indent="0" shrinkToFit="false"/>
      <protection locked="true" hidden="false"/>
    </xf>
    <xf numFmtId="169" fontId="0" fillId="0" borderId="12" xfId="66" applyFont="true" applyBorder="true" applyAlignment="true" applyProtection="false">
      <alignment horizontal="center" vertical="bottom" textRotation="0" wrapText="false" indent="0" shrinkToFit="false"/>
      <protection locked="true" hidden="false"/>
    </xf>
    <xf numFmtId="169" fontId="0" fillId="0" borderId="41" xfId="66" applyFont="true" applyBorder="true" applyAlignment="true" applyProtection="false">
      <alignment horizontal="center" vertical="bottom" textRotation="0" wrapText="false" indent="0" shrinkToFit="false"/>
      <protection locked="true" hidden="false"/>
    </xf>
    <xf numFmtId="169" fontId="0" fillId="0" borderId="47" xfId="66" applyFont="true" applyBorder="true" applyAlignment="true" applyProtection="false">
      <alignment horizontal="center" vertical="bottom" textRotation="0" wrapText="false" indent="0" shrinkToFit="false"/>
      <protection locked="true" hidden="false"/>
    </xf>
    <xf numFmtId="167" fontId="34" fillId="0" borderId="64" xfId="66" applyFont="true" applyBorder="true" applyAlignment="true" applyProtection="false">
      <alignment horizontal="center" vertical="bottom" textRotation="0" wrapText="false" indent="0" shrinkToFit="false"/>
      <protection locked="true" hidden="false"/>
    </xf>
    <xf numFmtId="167" fontId="0" fillId="0" borderId="64" xfId="66" applyFont="true" applyBorder="true" applyAlignment="true" applyProtection="false">
      <alignment horizontal="center" vertical="bottom" textRotation="0" wrapText="false" indent="0" shrinkToFit="false"/>
      <protection locked="true" hidden="false"/>
    </xf>
    <xf numFmtId="167" fontId="0" fillId="0" borderId="63" xfId="66" applyFont="true" applyBorder="true" applyAlignment="true" applyProtection="false">
      <alignment horizontal="center" vertical="bottom" textRotation="0" wrapText="false" indent="0" shrinkToFit="false"/>
      <protection locked="true" hidden="false"/>
    </xf>
    <xf numFmtId="167" fontId="0" fillId="0" borderId="49" xfId="66" applyFont="true" applyBorder="true" applyAlignment="true" applyProtection="false">
      <alignment horizontal="center" vertical="bottom" textRotation="0" wrapText="false" indent="0" shrinkToFit="false"/>
      <protection locked="true" hidden="false"/>
    </xf>
    <xf numFmtId="167" fontId="37" fillId="0" borderId="64" xfId="66" applyFont="true" applyBorder="true" applyAlignment="true" applyProtection="false">
      <alignment horizontal="center" vertical="bottom" textRotation="0" wrapText="false" indent="0" shrinkToFit="false"/>
      <protection locked="true" hidden="false"/>
    </xf>
    <xf numFmtId="167" fontId="0" fillId="0" borderId="102" xfId="66" applyFont="true" applyBorder="true" applyAlignment="true" applyProtection="false">
      <alignment horizontal="center" vertical="bottom" textRotation="0" wrapText="false" indent="0" shrinkToFit="false"/>
      <protection locked="true" hidden="false"/>
    </xf>
    <xf numFmtId="165" fontId="0" fillId="0" borderId="0" xfId="66" applyFont="false" applyBorder="false" applyAlignment="false" applyProtection="false">
      <alignment horizontal="general" vertical="bottom" textRotation="0" wrapText="false" indent="0" shrinkToFit="false"/>
      <protection locked="true" hidden="false"/>
    </xf>
    <xf numFmtId="164" fontId="0" fillId="0" borderId="0" xfId="66" applyFont="false" applyBorder="false" applyAlignment="false" applyProtection="false">
      <alignment horizontal="general" vertical="bottom" textRotation="0" wrapText="false" indent="0" shrinkToFit="false"/>
      <protection locked="true" hidden="false"/>
    </xf>
    <xf numFmtId="164" fontId="34" fillId="0" borderId="0" xfId="66" applyFont="true" applyBorder="false" applyAlignment="false" applyProtection="false">
      <alignment horizontal="general" vertical="bottom" textRotation="0" wrapText="false" indent="0" shrinkToFit="false"/>
      <protection locked="true" hidden="false"/>
    </xf>
    <xf numFmtId="164" fontId="0" fillId="0" borderId="0" xfId="66" applyFont="false" applyBorder="true" applyAlignment="false" applyProtection="false">
      <alignment horizontal="general" vertical="bottom" textRotation="0" wrapText="false" indent="0" shrinkToFit="false"/>
      <protection locked="true" hidden="false"/>
    </xf>
    <xf numFmtId="164" fontId="0" fillId="0" borderId="0" xfId="66" applyFont="true" applyBorder="true" applyAlignment="true" applyProtection="false">
      <alignment horizontal="center" vertical="bottom" textRotation="0" wrapText="false" indent="0" shrinkToFit="false"/>
      <protection locked="true" hidden="false"/>
    </xf>
    <xf numFmtId="164" fontId="0" fillId="0" borderId="0" xfId="66" applyFont="true" applyBorder="true" applyAlignment="true" applyProtection="false">
      <alignment horizontal="center" vertical="bottom" textRotation="0" wrapText="false" indent="0" shrinkToFit="false"/>
      <protection locked="true" hidden="false"/>
    </xf>
    <xf numFmtId="164" fontId="0" fillId="0" borderId="0" xfId="66" applyFont="true" applyBorder="false" applyAlignment="true" applyProtection="false">
      <alignment horizontal="center" vertical="bottom" textRotation="0" wrapText="false" indent="0" shrinkToFit="false"/>
      <protection locked="true" hidden="false"/>
    </xf>
    <xf numFmtId="164" fontId="0" fillId="0" borderId="75" xfId="66" applyFont="true" applyBorder="true" applyAlignment="true" applyProtection="false">
      <alignment horizontal="center" vertical="center" textRotation="0" wrapText="false" indent="0" shrinkToFit="false"/>
      <protection locked="true" hidden="false"/>
    </xf>
    <xf numFmtId="164" fontId="34" fillId="0" borderId="22" xfId="66" applyFont="true" applyBorder="true" applyAlignment="true" applyProtection="false">
      <alignment horizontal="center" vertical="center" textRotation="0" wrapText="true" indent="0" shrinkToFit="false"/>
      <protection locked="true" hidden="false"/>
    </xf>
    <xf numFmtId="164" fontId="34" fillId="0" borderId="21" xfId="66" applyFont="true" applyBorder="true" applyAlignment="true" applyProtection="false">
      <alignment horizontal="center" vertical="center" textRotation="0" wrapText="true" indent="0" shrinkToFit="false"/>
      <protection locked="true" hidden="false"/>
    </xf>
    <xf numFmtId="164" fontId="76" fillId="0" borderId="9" xfId="62" applyFont="true" applyBorder="true" applyAlignment="true" applyProtection="false">
      <alignment horizontal="center" vertical="center" textRotation="0" wrapText="true" indent="0" shrinkToFit="false"/>
      <protection locked="true" hidden="false"/>
    </xf>
    <xf numFmtId="164" fontId="32" fillId="0" borderId="0" xfId="66" applyFont="true" applyBorder="true" applyAlignment="true" applyProtection="false">
      <alignment horizontal="center" vertical="center" textRotation="0" wrapText="true" indent="0" shrinkToFit="false"/>
      <protection locked="true" hidden="false"/>
    </xf>
    <xf numFmtId="164" fontId="57" fillId="0" borderId="0" xfId="62" applyFont="true" applyBorder="true" applyAlignment="true" applyProtection="false">
      <alignment horizontal="center" vertical="center" textRotation="0" wrapText="true" indent="0" shrinkToFit="false"/>
      <protection locked="true" hidden="false"/>
    </xf>
    <xf numFmtId="164" fontId="32" fillId="0" borderId="32" xfId="66" applyFont="true" applyBorder="true" applyAlignment="true" applyProtection="false">
      <alignment horizontal="center" vertical="center" textRotation="0" wrapText="true" indent="0" shrinkToFit="false"/>
      <protection locked="true" hidden="false"/>
    </xf>
    <xf numFmtId="164" fontId="66" fillId="0" borderId="0" xfId="66" applyFont="true" applyBorder="true" applyAlignment="true" applyProtection="false">
      <alignment horizontal="center" vertical="center" textRotation="0" wrapText="true" indent="0" shrinkToFit="false"/>
      <protection locked="true" hidden="false"/>
    </xf>
    <xf numFmtId="164" fontId="32" fillId="0" borderId="0" xfId="66" applyFont="true" applyBorder="true" applyAlignment="true" applyProtection="false">
      <alignment horizontal="center" vertical="center" textRotation="0" wrapText="true" indent="0" shrinkToFit="false"/>
      <protection locked="true" hidden="false"/>
    </xf>
    <xf numFmtId="164" fontId="0" fillId="0" borderId="0" xfId="66" applyFont="true" applyBorder="true" applyAlignment="true" applyProtection="false">
      <alignment horizontal="center" vertical="center" textRotation="0" wrapText="true" indent="0" shrinkToFit="false"/>
      <protection locked="true" hidden="false"/>
    </xf>
    <xf numFmtId="164" fontId="66" fillId="0" borderId="27" xfId="66" applyFont="true" applyBorder="true" applyAlignment="true" applyProtection="false">
      <alignment horizontal="center" vertical="center" textRotation="0" wrapText="true" indent="0" shrinkToFit="false"/>
      <protection locked="true" hidden="false"/>
    </xf>
    <xf numFmtId="164" fontId="32" fillId="0" borderId="13" xfId="66" applyFont="true" applyBorder="true" applyAlignment="true" applyProtection="false">
      <alignment horizontal="center" vertical="center" textRotation="0" wrapText="true" indent="0" shrinkToFit="false"/>
      <protection locked="true" hidden="false"/>
    </xf>
    <xf numFmtId="164" fontId="0" fillId="0" borderId="0" xfId="66" applyFont="true" applyBorder="false" applyAlignment="true" applyProtection="false">
      <alignment horizontal="center" vertical="center" textRotation="0" wrapText="true" indent="0" shrinkToFit="false"/>
      <protection locked="true" hidden="false"/>
    </xf>
    <xf numFmtId="164" fontId="34" fillId="0" borderId="56" xfId="66" applyFont="true" applyBorder="true" applyAlignment="true" applyProtection="false">
      <alignment horizontal="center" vertical="center" textRotation="0" wrapText="true" indent="0" shrinkToFit="false"/>
      <protection locked="true" hidden="false"/>
    </xf>
    <xf numFmtId="164" fontId="19" fillId="0" borderId="66" xfId="62" applyFont="false" applyBorder="true" applyAlignment="true" applyProtection="false">
      <alignment horizontal="center" vertical="center" textRotation="0" wrapText="true" indent="0" shrinkToFit="false"/>
      <protection locked="true" hidden="false"/>
    </xf>
    <xf numFmtId="164" fontId="78" fillId="0" borderId="77" xfId="62" applyFont="true" applyBorder="true" applyAlignment="true" applyProtection="false">
      <alignment horizontal="center" vertical="center" textRotation="0" wrapText="true" indent="0" shrinkToFit="false"/>
      <protection locked="true" hidden="false"/>
    </xf>
    <xf numFmtId="164" fontId="34" fillId="0" borderId="66" xfId="66" applyFont="true" applyBorder="true" applyAlignment="true" applyProtection="false">
      <alignment horizontal="center" vertical="center" textRotation="0" wrapText="true" indent="0" shrinkToFit="false"/>
      <protection locked="true" hidden="false"/>
    </xf>
    <xf numFmtId="164" fontId="36" fillId="0" borderId="66" xfId="66" applyFont="true" applyBorder="true" applyAlignment="true" applyProtection="false">
      <alignment horizontal="center" vertical="center" textRotation="0" wrapText="true" indent="0" shrinkToFit="false"/>
      <protection locked="true" hidden="false"/>
    </xf>
    <xf numFmtId="164" fontId="36" fillId="0" borderId="66" xfId="66" applyFont="true" applyBorder="true" applyAlignment="true" applyProtection="false">
      <alignment horizontal="center" vertical="center" textRotation="0" wrapText="true" indent="0" shrinkToFit="false"/>
      <protection locked="true" hidden="false"/>
    </xf>
    <xf numFmtId="164" fontId="0" fillId="0" borderId="66" xfId="66" applyFont="true" applyBorder="true" applyAlignment="true" applyProtection="false">
      <alignment horizontal="center" vertical="center" textRotation="0" wrapText="true" indent="0" shrinkToFit="false"/>
      <protection locked="true" hidden="false"/>
    </xf>
    <xf numFmtId="164" fontId="34" fillId="0" borderId="78" xfId="66" applyFont="true" applyBorder="true" applyAlignment="true" applyProtection="false">
      <alignment horizontal="center" vertical="center" textRotation="0" wrapText="true" indent="0" shrinkToFit="false"/>
      <protection locked="true" hidden="false"/>
    </xf>
    <xf numFmtId="164" fontId="0" fillId="0" borderId="78" xfId="66" applyFont="true" applyBorder="true" applyAlignment="true" applyProtection="false">
      <alignment horizontal="center" vertical="center" textRotation="0" wrapText="true" indent="0" shrinkToFit="false"/>
      <protection locked="true" hidden="false"/>
    </xf>
    <xf numFmtId="164" fontId="0" fillId="0" borderId="67" xfId="66" applyFont="true" applyBorder="true" applyAlignment="true" applyProtection="false">
      <alignment horizontal="center" vertical="center" textRotation="0" wrapText="true" indent="0" shrinkToFit="false"/>
      <protection locked="true" hidden="false"/>
    </xf>
    <xf numFmtId="167" fontId="34" fillId="0" borderId="9" xfId="66" applyFont="true" applyBorder="true" applyAlignment="true" applyProtection="false">
      <alignment horizontal="center" vertical="bottom" textRotation="0" wrapText="false" indent="0" shrinkToFit="false"/>
      <protection locked="true" hidden="false"/>
    </xf>
    <xf numFmtId="167" fontId="57" fillId="0" borderId="0" xfId="62" applyFont="true" applyBorder="true" applyAlignment="true" applyProtection="false">
      <alignment horizontal="center" vertical="center" textRotation="0" wrapText="true" indent="0" shrinkToFit="false"/>
      <protection locked="true" hidden="false"/>
    </xf>
    <xf numFmtId="167" fontId="0" fillId="0" borderId="0" xfId="66" applyFont="true" applyBorder="true" applyAlignment="true" applyProtection="false">
      <alignment horizontal="center" vertical="center" textRotation="0" wrapText="true" indent="0" shrinkToFit="false"/>
      <protection locked="true" hidden="false"/>
    </xf>
    <xf numFmtId="167" fontId="0" fillId="0" borderId="32" xfId="19" applyFont="true" applyBorder="true" applyAlignment="true" applyProtection="true">
      <alignment horizontal="center" vertical="center" textRotation="0" wrapText="true" indent="0" shrinkToFit="false"/>
      <protection locked="true" hidden="false"/>
    </xf>
    <xf numFmtId="167" fontId="34" fillId="0" borderId="0" xfId="66" applyFont="true" applyBorder="true" applyAlignment="true" applyProtection="false">
      <alignment horizontal="center" vertical="bottom" textRotation="0" wrapText="false" indent="0" shrinkToFit="false"/>
      <protection locked="true" hidden="false"/>
    </xf>
    <xf numFmtId="167" fontId="0" fillId="0" borderId="0" xfId="66" applyFont="true" applyBorder="true" applyAlignment="true" applyProtection="false">
      <alignment horizontal="center" vertical="bottom" textRotation="0" wrapText="false" indent="0" shrinkToFit="false"/>
      <protection locked="true" hidden="false"/>
    </xf>
    <xf numFmtId="164" fontId="37" fillId="0" borderId="0" xfId="66" applyFont="true" applyBorder="true" applyAlignment="true" applyProtection="false">
      <alignment horizontal="center" vertical="center" textRotation="0" wrapText="true" indent="0" shrinkToFit="false"/>
      <protection locked="true" hidden="false"/>
    </xf>
    <xf numFmtId="167" fontId="34" fillId="0" borderId="27" xfId="66" applyFont="true" applyBorder="true" applyAlignment="true" applyProtection="false">
      <alignment horizontal="center" vertical="bottom" textRotation="0" wrapText="false" indent="0" shrinkToFit="false"/>
      <protection locked="true" hidden="false"/>
    </xf>
    <xf numFmtId="164" fontId="37" fillId="0" borderId="0" xfId="66" applyFont="true" applyBorder="true" applyAlignment="true" applyProtection="false">
      <alignment horizontal="center" vertical="center" textRotation="0" wrapText="true" indent="0" shrinkToFit="false"/>
      <protection locked="true" hidden="false"/>
    </xf>
    <xf numFmtId="167" fontId="34" fillId="0" borderId="27" xfId="66" applyFont="true" applyBorder="true" applyAlignment="true" applyProtection="false">
      <alignment horizontal="center" vertical="center" textRotation="0" wrapText="true" indent="0" shrinkToFit="false"/>
      <protection locked="true" hidden="false"/>
    </xf>
    <xf numFmtId="167" fontId="0" fillId="0" borderId="0" xfId="66" applyFont="true" applyBorder="true" applyAlignment="true" applyProtection="false">
      <alignment horizontal="center" vertical="bottom" textRotation="0" wrapText="false" indent="0" shrinkToFit="false"/>
      <protection locked="true" hidden="false"/>
    </xf>
    <xf numFmtId="167" fontId="0" fillId="0" borderId="13" xfId="66" applyFont="false" applyBorder="true" applyAlignment="true" applyProtection="false">
      <alignment horizontal="center" vertical="bottom" textRotation="0" wrapText="false" indent="0" shrinkToFit="false"/>
      <protection locked="true" hidden="false"/>
    </xf>
    <xf numFmtId="177" fontId="0" fillId="0" borderId="0" xfId="66" applyFont="false" applyBorder="false" applyAlignment="false" applyProtection="false">
      <alignment horizontal="general" vertical="bottom" textRotation="0" wrapText="false" indent="0" shrinkToFit="false"/>
      <protection locked="true" hidden="false"/>
    </xf>
    <xf numFmtId="171" fontId="0" fillId="0" borderId="0" xfId="66" applyFont="false" applyBorder="false" applyAlignment="true" applyProtection="false">
      <alignment horizontal="center" vertical="bottom" textRotation="0" wrapText="false" indent="0" shrinkToFit="false"/>
      <protection locked="true" hidden="false"/>
    </xf>
    <xf numFmtId="167" fontId="34" fillId="0" borderId="35" xfId="66" applyFont="true" applyBorder="true" applyAlignment="true" applyProtection="false">
      <alignment horizontal="center" vertical="bottom" textRotation="0" wrapText="false" indent="0" shrinkToFit="false"/>
      <protection locked="true" hidden="false"/>
    </xf>
    <xf numFmtId="167" fontId="57" fillId="0" borderId="37" xfId="62" applyFont="true" applyBorder="true" applyAlignment="true" applyProtection="false">
      <alignment horizontal="center" vertical="center" textRotation="0" wrapText="true" indent="0" shrinkToFit="false"/>
      <protection locked="true" hidden="false"/>
    </xf>
    <xf numFmtId="164" fontId="57" fillId="0" borderId="37" xfId="62" applyFont="true" applyBorder="true" applyAlignment="true" applyProtection="false">
      <alignment horizontal="center" vertical="center" textRotation="0" wrapText="true" indent="0" shrinkToFit="false"/>
      <protection locked="true" hidden="false"/>
    </xf>
    <xf numFmtId="167" fontId="0" fillId="0" borderId="37" xfId="66" applyFont="true" applyBorder="true" applyAlignment="true" applyProtection="false">
      <alignment horizontal="center" vertical="center" textRotation="0" wrapText="true" indent="0" shrinkToFit="false"/>
      <protection locked="true" hidden="false"/>
    </xf>
    <xf numFmtId="167" fontId="0" fillId="0" borderId="39" xfId="19" applyFont="true" applyBorder="true" applyAlignment="true" applyProtection="true">
      <alignment horizontal="center" vertical="center" textRotation="0" wrapText="true" indent="0" shrinkToFit="false"/>
      <protection locked="true" hidden="false"/>
    </xf>
    <xf numFmtId="167" fontId="34" fillId="0" borderId="37" xfId="66" applyFont="true" applyBorder="true" applyAlignment="true" applyProtection="false">
      <alignment horizontal="center" vertical="bottom" textRotation="0" wrapText="false" indent="0" shrinkToFit="false"/>
      <protection locked="true" hidden="false"/>
    </xf>
    <xf numFmtId="167" fontId="0" fillId="0" borderId="37" xfId="66" applyFont="true" applyBorder="true" applyAlignment="true" applyProtection="false">
      <alignment horizontal="center" vertical="bottom" textRotation="0" wrapText="false" indent="0" shrinkToFit="false"/>
      <protection locked="true" hidden="false"/>
    </xf>
    <xf numFmtId="164" fontId="37" fillId="0" borderId="37" xfId="66" applyFont="true" applyBorder="true" applyAlignment="true" applyProtection="false">
      <alignment horizontal="center" vertical="center" textRotation="0" wrapText="true" indent="0" shrinkToFit="false"/>
      <protection locked="true" hidden="false"/>
    </xf>
    <xf numFmtId="164" fontId="0" fillId="0" borderId="37" xfId="66" applyFont="true" applyBorder="true" applyAlignment="true" applyProtection="false">
      <alignment horizontal="center" vertical="center" textRotation="0" wrapText="true" indent="0" shrinkToFit="false"/>
      <protection locked="true" hidden="false"/>
    </xf>
    <xf numFmtId="167" fontId="34" fillId="0" borderId="38" xfId="66" applyFont="true" applyBorder="true" applyAlignment="true" applyProtection="false">
      <alignment horizontal="center" vertical="bottom" textRotation="0" wrapText="false" indent="0" shrinkToFit="false"/>
      <protection locked="true" hidden="false"/>
    </xf>
    <xf numFmtId="164" fontId="37" fillId="0" borderId="37" xfId="66" applyFont="true" applyBorder="true" applyAlignment="true" applyProtection="false">
      <alignment horizontal="center" vertical="center" textRotation="0" wrapText="true" indent="0" shrinkToFit="false"/>
      <protection locked="true" hidden="false"/>
    </xf>
    <xf numFmtId="167" fontId="34" fillId="0" borderId="38" xfId="66" applyFont="true" applyBorder="true" applyAlignment="true" applyProtection="false">
      <alignment horizontal="center" vertical="center" textRotation="0" wrapText="true" indent="0" shrinkToFit="false"/>
      <protection locked="true" hidden="false"/>
    </xf>
    <xf numFmtId="167" fontId="0" fillId="0" borderId="37" xfId="66" applyFont="true" applyBorder="true" applyAlignment="true" applyProtection="false">
      <alignment horizontal="center" vertical="bottom" textRotation="0" wrapText="false" indent="0" shrinkToFit="false"/>
      <protection locked="true" hidden="false"/>
    </xf>
    <xf numFmtId="167" fontId="0" fillId="0" borderId="60" xfId="66" applyFont="false" applyBorder="true" applyAlignment="true" applyProtection="false">
      <alignment horizontal="center" vertical="bottom" textRotation="0" wrapText="false" indent="0" shrinkToFit="false"/>
      <protection locked="true" hidden="false"/>
    </xf>
    <xf numFmtId="167" fontId="38" fillId="0" borderId="9" xfId="66" applyFont="true" applyBorder="true" applyAlignment="true" applyProtection="false">
      <alignment horizontal="center" vertical="bottom" textRotation="0" wrapText="false" indent="0" shrinkToFit="false"/>
      <protection locked="true" hidden="false"/>
    </xf>
    <xf numFmtId="164" fontId="34" fillId="0" borderId="27" xfId="66" applyFont="true" applyBorder="true" applyAlignment="true" applyProtection="false">
      <alignment horizontal="center" vertical="center" textRotation="0" wrapText="true" indent="0" shrinkToFit="false"/>
      <protection locked="true" hidden="false"/>
    </xf>
    <xf numFmtId="167" fontId="38" fillId="0" borderId="35" xfId="66" applyFont="true" applyBorder="true" applyAlignment="true" applyProtection="false">
      <alignment horizontal="center" vertical="bottom" textRotation="0" wrapText="false" indent="0" shrinkToFit="false"/>
      <protection locked="true" hidden="false"/>
    </xf>
    <xf numFmtId="164" fontId="34" fillId="0" borderId="38" xfId="66" applyFont="true" applyBorder="true" applyAlignment="true" applyProtection="false">
      <alignment horizontal="center" vertical="center" textRotation="0" wrapText="true" indent="0" shrinkToFit="false"/>
      <protection locked="true" hidden="false"/>
    </xf>
    <xf numFmtId="164" fontId="0" fillId="0" borderId="0" xfId="66" applyFont="true" applyBorder="true" applyAlignment="true" applyProtection="false">
      <alignment horizontal="center" vertical="center" textRotation="0" wrapText="true" indent="0" shrinkToFit="false"/>
      <protection locked="true" hidden="false"/>
    </xf>
    <xf numFmtId="167" fontId="38" fillId="0" borderId="0" xfId="19" applyFont="true" applyBorder="true" applyAlignment="true" applyProtection="true">
      <alignment horizontal="center" vertical="bottom" textRotation="0" wrapText="false" indent="0" shrinkToFit="false"/>
      <protection locked="true" hidden="false"/>
    </xf>
    <xf numFmtId="164" fontId="0" fillId="0" borderId="37" xfId="66" applyFont="true" applyBorder="true" applyAlignment="true" applyProtection="false">
      <alignment horizontal="center" vertical="center" textRotation="0" wrapText="true" indent="0" shrinkToFit="false"/>
      <protection locked="true" hidden="false"/>
    </xf>
    <xf numFmtId="167" fontId="77" fillId="0" borderId="37" xfId="19" applyFont="true" applyBorder="true" applyAlignment="true" applyProtection="true">
      <alignment horizontal="center" vertical="center" textRotation="0" wrapText="true" indent="0" shrinkToFit="false"/>
      <protection locked="true" hidden="false"/>
    </xf>
    <xf numFmtId="167" fontId="37" fillId="0" borderId="39" xfId="19" applyFont="true" applyBorder="true" applyAlignment="true" applyProtection="true">
      <alignment horizontal="center" vertical="center" textRotation="0" wrapText="true" indent="0" shrinkToFit="false"/>
      <protection locked="true" hidden="false"/>
    </xf>
    <xf numFmtId="167" fontId="77" fillId="0" borderId="0" xfId="19" applyFont="true" applyBorder="true" applyAlignment="true" applyProtection="true">
      <alignment horizontal="center" vertical="center" textRotation="0" wrapText="true" indent="0" shrinkToFit="false"/>
      <protection locked="true" hidden="false"/>
    </xf>
    <xf numFmtId="167" fontId="37" fillId="0" borderId="32" xfId="19" applyFont="true" applyBorder="true" applyAlignment="true" applyProtection="true">
      <alignment horizontal="center" vertical="center" textRotation="0" wrapText="true" indent="0" shrinkToFit="false"/>
      <protection locked="true" hidden="false"/>
    </xf>
    <xf numFmtId="167" fontId="0" fillId="0" borderId="32" xfId="66" applyFont="true" applyBorder="true" applyAlignment="true" applyProtection="false">
      <alignment horizontal="center" vertical="bottom" textRotation="0" wrapText="false" indent="0" shrinkToFit="false"/>
      <protection locked="true" hidden="false"/>
    </xf>
    <xf numFmtId="167" fontId="0" fillId="0" borderId="13" xfId="66" applyFont="true" applyBorder="true" applyAlignment="true" applyProtection="false">
      <alignment horizontal="center" vertical="bottom" textRotation="0" wrapText="false" indent="0" shrinkToFit="false"/>
      <protection locked="true" hidden="false"/>
    </xf>
    <xf numFmtId="167" fontId="34" fillId="0" borderId="42" xfId="66" applyFont="true" applyBorder="true" applyAlignment="true" applyProtection="false">
      <alignment horizontal="center" vertical="bottom" textRotation="0" wrapText="false" indent="0" shrinkToFit="false"/>
      <protection locked="true" hidden="false"/>
    </xf>
    <xf numFmtId="167" fontId="0" fillId="0" borderId="44" xfId="66" applyFont="true" applyBorder="true" applyAlignment="true" applyProtection="false">
      <alignment horizontal="center" vertical="bottom" textRotation="0" wrapText="false" indent="0" shrinkToFit="false"/>
      <protection locked="true" hidden="false"/>
    </xf>
    <xf numFmtId="167" fontId="0" fillId="0" borderId="46" xfId="66" applyFont="true" applyBorder="true" applyAlignment="true" applyProtection="false">
      <alignment horizontal="center" vertical="bottom" textRotation="0" wrapText="false" indent="0" shrinkToFit="false"/>
      <protection locked="true" hidden="false"/>
    </xf>
    <xf numFmtId="167" fontId="34" fillId="0" borderId="44" xfId="66" applyFont="true" applyBorder="true" applyAlignment="true" applyProtection="false">
      <alignment horizontal="center" vertical="bottom" textRotation="0" wrapText="false" indent="0" shrinkToFit="false"/>
      <protection locked="true" hidden="false"/>
    </xf>
    <xf numFmtId="167" fontId="0" fillId="0" borderId="44" xfId="66" applyFont="true" applyBorder="true" applyAlignment="true" applyProtection="false">
      <alignment horizontal="center" vertical="bottom" textRotation="0" wrapText="false" indent="0" shrinkToFit="false"/>
      <protection locked="true" hidden="false"/>
    </xf>
    <xf numFmtId="167" fontId="34" fillId="0" borderId="45" xfId="66" applyFont="true" applyBorder="true" applyAlignment="true" applyProtection="false">
      <alignment horizontal="center" vertical="bottom" textRotation="0" wrapText="false" indent="0" shrinkToFit="false"/>
      <protection locked="true" hidden="false"/>
    </xf>
    <xf numFmtId="167" fontId="0" fillId="0" borderId="62" xfId="66" applyFont="true" applyBorder="true" applyAlignment="true" applyProtection="false">
      <alignment horizontal="center" vertical="bottom" textRotation="0" wrapText="false" indent="0" shrinkToFit="false"/>
      <protection locked="true" hidden="false"/>
    </xf>
    <xf numFmtId="167" fontId="0" fillId="0" borderId="39" xfId="66" applyFont="true" applyBorder="true" applyAlignment="true" applyProtection="false">
      <alignment horizontal="center" vertical="bottom" textRotation="0" wrapText="false" indent="0" shrinkToFit="false"/>
      <protection locked="true" hidden="false"/>
    </xf>
    <xf numFmtId="167" fontId="0" fillId="0" borderId="60" xfId="66" applyFont="true" applyBorder="true" applyAlignment="true" applyProtection="false">
      <alignment horizontal="center" vertical="bottom" textRotation="0" wrapText="false" indent="0" shrinkToFit="false"/>
      <protection locked="true" hidden="false"/>
    </xf>
    <xf numFmtId="167" fontId="34" fillId="0" borderId="48" xfId="66" applyFont="true" applyBorder="true" applyAlignment="true" applyProtection="false">
      <alignment horizontal="center" vertical="bottom" textRotation="0" wrapText="false" indent="0" shrinkToFit="false"/>
      <protection locked="true" hidden="false"/>
    </xf>
    <xf numFmtId="167" fontId="0" fillId="0" borderId="50" xfId="66" applyFont="true" applyBorder="true" applyAlignment="true" applyProtection="false">
      <alignment horizontal="center" vertical="bottom" textRotation="0" wrapText="false" indent="0" shrinkToFit="false"/>
      <protection locked="true" hidden="false"/>
    </xf>
    <xf numFmtId="167" fontId="0" fillId="0" borderId="52" xfId="66" applyFont="true" applyBorder="true" applyAlignment="true" applyProtection="false">
      <alignment horizontal="center" vertical="bottom" textRotation="0" wrapText="false" indent="0" shrinkToFit="false"/>
      <protection locked="true" hidden="false"/>
    </xf>
    <xf numFmtId="167" fontId="34" fillId="0" borderId="50" xfId="66" applyFont="true" applyBorder="true" applyAlignment="true" applyProtection="false">
      <alignment horizontal="center" vertical="bottom" textRotation="0" wrapText="false" indent="0" shrinkToFit="false"/>
      <protection locked="true" hidden="false"/>
    </xf>
    <xf numFmtId="167" fontId="0" fillId="0" borderId="50" xfId="66" applyFont="true" applyBorder="true" applyAlignment="true" applyProtection="false">
      <alignment horizontal="center" vertical="bottom" textRotation="0" wrapText="false" indent="0" shrinkToFit="false"/>
      <protection locked="true" hidden="false"/>
    </xf>
    <xf numFmtId="167" fontId="34" fillId="0" borderId="51" xfId="66" applyFont="true" applyBorder="true" applyAlignment="true" applyProtection="false">
      <alignment horizontal="center" vertical="bottom" textRotation="0" wrapText="false" indent="0" shrinkToFit="false"/>
      <protection locked="true" hidden="false"/>
    </xf>
    <xf numFmtId="167" fontId="0" fillId="0" borderId="65" xfId="66" applyFont="true" applyBorder="true" applyAlignment="true" applyProtection="false">
      <alignment horizontal="center" vertical="bottom" textRotation="0" wrapText="false" indent="0" shrinkToFit="false"/>
      <protection locked="true" hidden="false"/>
    </xf>
    <xf numFmtId="164" fontId="0" fillId="0" borderId="0" xfId="66" applyFont="true" applyBorder="true" applyAlignment="true" applyProtection="false">
      <alignment horizontal="left" vertical="bottom" textRotation="0" wrapText="false" indent="0" shrinkToFit="false"/>
      <protection locked="true" hidden="false"/>
    </xf>
    <xf numFmtId="167" fontId="34" fillId="0" borderId="0" xfId="66" applyFont="true" applyBorder="true" applyAlignment="true" applyProtection="false">
      <alignment horizontal="center" vertical="bottom" textRotation="0" wrapText="false" indent="0" shrinkToFit="false"/>
      <protection locked="true" hidden="false"/>
    </xf>
    <xf numFmtId="167" fontId="0" fillId="0" borderId="0" xfId="66" applyFont="true" applyBorder="true" applyAlignment="true" applyProtection="false">
      <alignment horizontal="center" vertical="center" textRotation="0" wrapText="true" indent="0" shrinkToFit="false"/>
      <protection locked="true" hidden="false"/>
    </xf>
    <xf numFmtId="165" fontId="0" fillId="0" borderId="0" xfId="66" applyFont="false" applyBorder="false" applyAlignment="true" applyProtection="false">
      <alignment horizontal="center" vertical="bottom" textRotation="0" wrapText="false" indent="0" shrinkToFit="false"/>
      <protection locked="true" hidden="false"/>
    </xf>
    <xf numFmtId="165" fontId="0" fillId="0" borderId="0" xfId="66" applyFont="true" applyBorder="false" applyAlignment="true" applyProtection="false">
      <alignment horizontal="center" vertical="bottom" textRotation="0" wrapText="false" indent="0" shrinkToFit="false"/>
      <protection locked="true" hidden="false"/>
    </xf>
    <xf numFmtId="165" fontId="0" fillId="0" borderId="0" xfId="66" applyFont="true" applyBorder="false" applyAlignment="true" applyProtection="false">
      <alignment horizontal="center" vertical="bottom" textRotation="0" wrapText="false" indent="0" shrinkToFit="false"/>
      <protection locked="true" hidden="false"/>
    </xf>
    <xf numFmtId="167" fontId="34" fillId="0" borderId="0" xfId="66" applyFont="true" applyBorder="false" applyAlignment="true" applyProtection="false">
      <alignment horizontal="center" vertical="bottom" textRotation="0" wrapText="false" indent="0" shrinkToFit="false"/>
      <protection locked="true" hidden="false"/>
    </xf>
    <xf numFmtId="167" fontId="34" fillId="0" borderId="0" xfId="66" applyFont="true" applyBorder="false" applyAlignment="true" applyProtection="false">
      <alignment horizontal="center" vertical="bottom" textRotation="0" wrapText="false" indent="0" shrinkToFit="false"/>
      <protection locked="true" hidden="false"/>
    </xf>
    <xf numFmtId="167" fontId="0" fillId="0" borderId="0" xfId="66" applyFont="true" applyBorder="false" applyAlignment="true" applyProtection="false">
      <alignment horizontal="center" vertical="bottom" textRotation="0" wrapText="false" indent="0" shrinkToFit="false"/>
      <protection locked="true" hidden="false"/>
    </xf>
    <xf numFmtId="167" fontId="0" fillId="0" borderId="0" xfId="66" applyFont="true" applyBorder="false" applyAlignment="true" applyProtection="false">
      <alignment horizontal="center" vertical="bottom" textRotation="0" wrapText="false" indent="0" shrinkToFit="false"/>
      <protection locked="true" hidden="false"/>
    </xf>
    <xf numFmtId="165" fontId="0" fillId="0" borderId="0" xfId="66" applyFont="false" applyBorder="false" applyAlignment="false" applyProtection="false">
      <alignment horizontal="general" vertical="bottom" textRotation="0" wrapText="false" indent="0" shrinkToFit="false"/>
      <protection locked="true" hidden="false"/>
    </xf>
    <xf numFmtId="165" fontId="0" fillId="0" borderId="0" xfId="66" applyFont="true" applyBorder="false" applyAlignment="false" applyProtection="false">
      <alignment horizontal="general" vertical="bottom" textRotation="0" wrapText="false" indent="0" shrinkToFit="false"/>
      <protection locked="true" hidden="false"/>
    </xf>
    <xf numFmtId="165" fontId="0" fillId="0" borderId="0" xfId="66" applyFont="true" applyBorder="false" applyAlignment="false" applyProtection="false">
      <alignment horizontal="general" vertical="bottom" textRotation="0" wrapText="false" indent="0" shrinkToFit="false"/>
      <protection locked="true" hidden="false"/>
    </xf>
    <xf numFmtId="164" fontId="34" fillId="0" borderId="16" xfId="0" applyFont="true" applyBorder="true" applyAlignment="true" applyProtection="false">
      <alignment horizontal="center" vertical="center" textRotation="0" wrapText="true" indent="0" shrinkToFit="false"/>
      <protection locked="true" hidden="false"/>
    </xf>
    <xf numFmtId="164" fontId="0" fillId="0" borderId="22" xfId="0" applyFont="true" applyBorder="true" applyAlignment="true" applyProtection="false">
      <alignment horizontal="center" vertical="center" textRotation="180" wrapText="true" indent="0" shrinkToFit="false"/>
      <protection locked="true" hidden="false"/>
    </xf>
    <xf numFmtId="164" fontId="0" fillId="0" borderId="22" xfId="0" applyFont="true" applyBorder="true" applyAlignment="true" applyProtection="false">
      <alignment horizontal="center" vertical="center" textRotation="180" wrapText="true" indent="0" shrinkToFit="false"/>
      <protection locked="true" hidden="false"/>
    </xf>
    <xf numFmtId="164" fontId="71" fillId="0" borderId="22" xfId="0" applyFont="true" applyBorder="true" applyAlignment="true" applyProtection="false">
      <alignment horizontal="center" vertical="center" textRotation="0" wrapText="true" indent="0" shrinkToFit="false"/>
      <protection locked="true" hidden="false"/>
    </xf>
    <xf numFmtId="164" fontId="71" fillId="0" borderId="30" xfId="0" applyFont="true" applyBorder="true" applyAlignment="true" applyProtection="false">
      <alignment horizontal="center" vertical="center" textRotation="0" wrapText="true" indent="0" shrinkToFit="false"/>
      <protection locked="true" hidden="false"/>
    </xf>
    <xf numFmtId="164" fontId="52" fillId="0" borderId="22" xfId="0" applyFont="true" applyBorder="true" applyAlignment="true" applyProtection="false">
      <alignment horizontal="center" vertical="center" textRotation="0" wrapText="true" indent="0" shrinkToFit="false"/>
      <protection locked="true" hidden="false"/>
    </xf>
    <xf numFmtId="164" fontId="52" fillId="0" borderId="30" xfId="0" applyFont="true" applyBorder="true" applyAlignment="true" applyProtection="false">
      <alignment horizontal="center" vertical="center" textRotation="0" wrapText="true" indent="0" shrinkToFit="false"/>
      <protection locked="true" hidden="false"/>
    </xf>
    <xf numFmtId="164" fontId="71" fillId="0" borderId="75" xfId="0" applyFont="true" applyBorder="true" applyAlignment="true" applyProtection="false">
      <alignment horizontal="center" vertical="center" textRotation="0" wrapText="true" indent="0" shrinkToFit="false"/>
      <protection locked="true" hidden="false"/>
    </xf>
    <xf numFmtId="167" fontId="37" fillId="0" borderId="22" xfId="0" applyFont="true" applyBorder="true" applyAlignment="true" applyProtection="false">
      <alignment horizontal="center" vertical="bottom" textRotation="0" wrapText="false" indent="0" shrinkToFit="false"/>
      <protection locked="true" hidden="false"/>
    </xf>
    <xf numFmtId="167" fontId="37" fillId="0" borderId="30" xfId="0" applyFont="true" applyBorder="true" applyAlignment="true" applyProtection="false">
      <alignment horizontal="center" vertical="bottom" textRotation="0" wrapText="false" indent="0" shrinkToFit="false"/>
      <protection locked="true" hidden="false"/>
    </xf>
    <xf numFmtId="167" fontId="37" fillId="0" borderId="94" xfId="0" applyFont="true" applyBorder="true" applyAlignment="true" applyProtection="false">
      <alignment horizontal="center" vertical="bottom" textRotation="0" wrapText="false" indent="0" shrinkToFit="false"/>
      <protection locked="true" hidden="false"/>
    </xf>
    <xf numFmtId="167" fontId="37" fillId="0" borderId="26" xfId="0" applyFont="true" applyBorder="true" applyAlignment="true" applyProtection="false">
      <alignment horizontal="center" vertical="bottom" textRotation="0" wrapText="false" indent="0" shrinkToFit="false"/>
      <protection locked="true" hidden="false"/>
    </xf>
    <xf numFmtId="167" fontId="37" fillId="0" borderId="43" xfId="0" applyFont="true" applyBorder="true" applyAlignment="true" applyProtection="false">
      <alignment horizontal="center" vertical="bottom" textRotation="0" wrapText="false" indent="0" shrinkToFit="false"/>
      <protection locked="true" hidden="false"/>
    </xf>
    <xf numFmtId="167" fontId="37" fillId="0" borderId="97" xfId="0" applyFont="true" applyBorder="true" applyAlignment="true" applyProtection="false">
      <alignment horizontal="center" vertical="bottom" textRotation="0" wrapText="false" indent="0" shrinkToFit="false"/>
      <protection locked="true" hidden="false"/>
    </xf>
    <xf numFmtId="167" fontId="37" fillId="0" borderId="36" xfId="0" applyFont="true" applyBorder="true" applyAlignment="true" applyProtection="false">
      <alignment horizontal="center" vertical="bottom" textRotation="0" wrapText="false" indent="0" shrinkToFit="false"/>
      <protection locked="true" hidden="false"/>
    </xf>
    <xf numFmtId="167" fontId="37" fillId="0" borderId="96" xfId="0" applyFont="true" applyBorder="true" applyAlignment="true" applyProtection="false">
      <alignment horizontal="center" vertical="bottom" textRotation="0" wrapText="false" indent="0" shrinkToFit="false"/>
      <protection locked="true" hidden="false"/>
    </xf>
    <xf numFmtId="167" fontId="37" fillId="0" borderId="49" xfId="0" applyFont="true" applyBorder="true" applyAlignment="true" applyProtection="false">
      <alignment horizontal="center" vertical="bottom" textRotation="0" wrapText="false" indent="0" shrinkToFit="false"/>
      <protection locked="true" hidden="false"/>
    </xf>
    <xf numFmtId="167" fontId="37" fillId="0" borderId="102" xfId="0" applyFont="true" applyBorder="true" applyAlignment="true" applyProtection="false">
      <alignment horizontal="center" vertical="bottom" textRotation="0" wrapText="false" indent="0" shrinkToFit="false"/>
      <protection locked="true" hidden="false"/>
    </xf>
    <xf numFmtId="164" fontId="0" fillId="0" borderId="84" xfId="0" applyFont="false" applyBorder="true" applyAlignment="true" applyProtection="false">
      <alignment horizontal="center" vertical="center" textRotation="0" wrapText="true" indent="0" shrinkToFit="false"/>
      <protection locked="true" hidden="false"/>
    </xf>
    <xf numFmtId="164" fontId="34" fillId="0" borderId="69" xfId="0" applyFont="true" applyBorder="true" applyAlignment="true" applyProtection="false">
      <alignment horizontal="center" vertical="center" textRotation="0" wrapText="false" indent="0" shrinkToFit="false"/>
      <protection locked="true" hidden="false"/>
    </xf>
    <xf numFmtId="164" fontId="34" fillId="0" borderId="24" xfId="0" applyFont="true" applyBorder="true" applyAlignment="true" applyProtection="false">
      <alignment horizontal="center" vertical="center" textRotation="0" wrapText="false" indent="0" shrinkToFit="false"/>
      <protection locked="true" hidden="false"/>
    </xf>
    <xf numFmtId="164" fontId="0" fillId="0" borderId="23" xfId="0" applyFont="true" applyBorder="true" applyAlignment="true" applyProtection="false">
      <alignment horizontal="center" vertical="center" textRotation="0" wrapText="true" indent="0" shrinkToFit="false"/>
      <protection locked="true" hidden="false"/>
    </xf>
    <xf numFmtId="164" fontId="0" fillId="0" borderId="21" xfId="0" applyFont="true" applyBorder="true" applyAlignment="true" applyProtection="false">
      <alignment horizontal="center" vertical="center" textRotation="0" wrapText="true" indent="0" shrinkToFit="false"/>
      <protection locked="true" hidden="false"/>
    </xf>
    <xf numFmtId="164" fontId="52" fillId="0" borderId="29" xfId="0" applyFont="true" applyBorder="true" applyAlignment="true" applyProtection="false">
      <alignment horizontal="center" vertical="center" textRotation="0" wrapText="true" indent="0" shrinkToFit="false"/>
      <protection locked="true" hidden="false"/>
    </xf>
    <xf numFmtId="164" fontId="0" fillId="0" borderId="55" xfId="0" applyFont="true" applyBorder="true" applyAlignment="true" applyProtection="false">
      <alignment horizontal="center" vertical="center" textRotation="0" wrapText="true" indent="0" shrinkToFit="false"/>
      <protection locked="true" hidden="false"/>
    </xf>
    <xf numFmtId="164" fontId="0" fillId="0" borderId="15" xfId="0" applyFont="false" applyBorder="true" applyAlignment="true" applyProtection="false">
      <alignment horizontal="center" vertical="center" textRotation="0" wrapText="true" indent="0" shrinkToFit="false"/>
      <protection locked="true" hidden="false"/>
    </xf>
    <xf numFmtId="164" fontId="52" fillId="0" borderId="66" xfId="0" applyFont="true" applyBorder="true" applyAlignment="true" applyProtection="false">
      <alignment horizontal="center" vertical="center" textRotation="0" wrapText="true" indent="0" shrinkToFit="false"/>
      <protection locked="true" hidden="false"/>
    </xf>
    <xf numFmtId="164" fontId="0" fillId="0" borderId="77" xfId="0" applyFont="false" applyBorder="true" applyAlignment="true" applyProtection="false">
      <alignment horizontal="center" vertical="center" textRotation="0" wrapText="true" indent="0" shrinkToFit="false"/>
      <protection locked="true" hidden="false"/>
    </xf>
    <xf numFmtId="164" fontId="0" fillId="0" borderId="27" xfId="0" applyFont="true" applyBorder="true" applyAlignment="true" applyProtection="false">
      <alignment horizontal="center" vertical="center" textRotation="0" wrapText="true" indent="0" shrinkToFit="false"/>
      <protection locked="true" hidden="false"/>
    </xf>
    <xf numFmtId="164" fontId="52" fillId="0" borderId="56" xfId="0" applyFont="true" applyBorder="true" applyAlignment="true" applyProtection="false">
      <alignment horizontal="center" vertical="center" textRotation="0" wrapText="true" indent="0" shrinkToFit="false"/>
      <protection locked="true" hidden="false"/>
    </xf>
    <xf numFmtId="164" fontId="0" fillId="0" borderId="67" xfId="0" applyFont="false" applyBorder="true" applyAlignment="true" applyProtection="false">
      <alignment horizontal="center" vertical="center" textRotation="0" wrapText="true" indent="0" shrinkToFit="false"/>
      <protection locked="true" hidden="false"/>
    </xf>
    <xf numFmtId="164" fontId="42" fillId="0" borderId="28" xfId="0" applyFont="true" applyBorder="true" applyAlignment="true" applyProtection="false">
      <alignment horizontal="center" vertical="bottom" textRotation="0" wrapText="true" indent="0" shrinkToFit="false"/>
      <protection locked="true" hidden="false"/>
    </xf>
    <xf numFmtId="172" fontId="42" fillId="0" borderId="29" xfId="0" applyFont="true" applyBorder="true" applyAlignment="true" applyProtection="false">
      <alignment horizontal="center" vertical="bottom" textRotation="0" wrapText="false" indent="0" shrinkToFit="false"/>
      <protection locked="true" hidden="false"/>
    </xf>
    <xf numFmtId="172" fontId="42" fillId="0" borderId="22" xfId="0" applyFont="true" applyBorder="true" applyAlignment="true" applyProtection="false">
      <alignment horizontal="center" vertical="bottom" textRotation="0" wrapText="false" indent="0" shrinkToFit="false"/>
      <protection locked="true" hidden="false"/>
    </xf>
    <xf numFmtId="172" fontId="42" fillId="0" borderId="30" xfId="0" applyFont="true" applyBorder="true" applyAlignment="true" applyProtection="false">
      <alignment horizontal="center" vertical="bottom" textRotation="0" wrapText="false" indent="0" shrinkToFit="false"/>
      <protection locked="true" hidden="false"/>
    </xf>
    <xf numFmtId="185" fontId="42" fillId="0" borderId="22" xfId="0" applyFont="true" applyBorder="true" applyAlignment="true" applyProtection="false">
      <alignment horizontal="center" vertical="bottom" textRotation="0" wrapText="false" indent="0" shrinkToFit="false"/>
      <protection locked="true" hidden="false"/>
    </xf>
    <xf numFmtId="174" fontId="42" fillId="0" borderId="22" xfId="0" applyFont="true" applyBorder="true" applyAlignment="true" applyProtection="false">
      <alignment horizontal="center" vertical="bottom" textRotation="0" wrapText="false" indent="0" shrinkToFit="false"/>
      <protection locked="true" hidden="false"/>
    </xf>
    <xf numFmtId="171" fontId="42" fillId="0" borderId="21" xfId="0" applyFont="true" applyBorder="true" applyAlignment="true" applyProtection="false">
      <alignment horizontal="center" vertical="bottom" textRotation="0" wrapText="false" indent="0" shrinkToFit="false"/>
      <protection locked="true" hidden="false"/>
    </xf>
    <xf numFmtId="171" fontId="42" fillId="0" borderId="22" xfId="0" applyFont="true" applyBorder="true" applyAlignment="true" applyProtection="false">
      <alignment horizontal="center" vertical="bottom" textRotation="0" wrapText="false" indent="0" shrinkToFit="false"/>
      <protection locked="true" hidden="false"/>
    </xf>
    <xf numFmtId="171" fontId="42" fillId="0" borderId="30" xfId="0" applyFont="true" applyBorder="true" applyAlignment="true" applyProtection="false">
      <alignment horizontal="center" vertical="bottom" textRotation="0" wrapText="false" indent="0" shrinkToFit="false"/>
      <protection locked="true" hidden="false"/>
    </xf>
    <xf numFmtId="171" fontId="42" fillId="0" borderId="22" xfId="0" applyFont="true" applyBorder="true" applyAlignment="true" applyProtection="false">
      <alignment horizontal="center" vertical="bottom" textRotation="0" wrapText="false" indent="0" shrinkToFit="false"/>
      <protection locked="true" hidden="false"/>
    </xf>
    <xf numFmtId="171" fontId="42" fillId="0" borderId="55" xfId="0" applyFont="true" applyBorder="true" applyAlignment="true" applyProtection="false">
      <alignment horizontal="center" vertical="bottom" textRotation="0" wrapText="false" indent="0" shrinkToFit="false"/>
      <protection locked="true" hidden="false"/>
    </xf>
    <xf numFmtId="169" fontId="42" fillId="0" borderId="12" xfId="0" applyFont="true" applyBorder="true" applyAlignment="true" applyProtection="false">
      <alignment horizontal="center" vertical="bottom" textRotation="0" wrapText="true" indent="0" shrinkToFit="false"/>
      <protection locked="true" hidden="false"/>
    </xf>
    <xf numFmtId="172" fontId="42" fillId="0" borderId="9" xfId="0" applyFont="true" applyBorder="true" applyAlignment="true" applyProtection="false">
      <alignment horizontal="center" vertical="bottom" textRotation="0" wrapText="false" indent="0" shrinkToFit="false"/>
      <protection locked="true" hidden="false"/>
    </xf>
    <xf numFmtId="172" fontId="42" fillId="0" borderId="0" xfId="0" applyFont="true" applyBorder="true" applyAlignment="true" applyProtection="false">
      <alignment horizontal="center" vertical="bottom" textRotation="0" wrapText="false" indent="0" shrinkToFit="false"/>
      <protection locked="true" hidden="false"/>
    </xf>
    <xf numFmtId="172" fontId="42" fillId="0" borderId="26" xfId="0" applyFont="true" applyBorder="true" applyAlignment="true" applyProtection="false">
      <alignment horizontal="center" vertical="bottom" textRotation="0" wrapText="false" indent="0" shrinkToFit="false"/>
      <protection locked="true" hidden="false"/>
    </xf>
    <xf numFmtId="185" fontId="42" fillId="0" borderId="0" xfId="0" applyFont="true" applyBorder="true" applyAlignment="true" applyProtection="false">
      <alignment horizontal="center" vertical="bottom" textRotation="0" wrapText="false" indent="0" shrinkToFit="false"/>
      <protection locked="true" hidden="false"/>
    </xf>
    <xf numFmtId="174" fontId="42" fillId="0" borderId="0" xfId="0" applyFont="true" applyBorder="true" applyAlignment="true" applyProtection="false">
      <alignment horizontal="center" vertical="bottom" textRotation="0" wrapText="false" indent="0" shrinkToFit="false"/>
      <protection locked="true" hidden="false"/>
    </xf>
    <xf numFmtId="171" fontId="42" fillId="0" borderId="27" xfId="0" applyFont="true" applyBorder="true" applyAlignment="true" applyProtection="false">
      <alignment horizontal="center" vertical="bottom" textRotation="0" wrapText="false" indent="0" shrinkToFit="false"/>
      <protection locked="true" hidden="false"/>
    </xf>
    <xf numFmtId="171" fontId="42" fillId="0" borderId="0" xfId="0" applyFont="true" applyBorder="true" applyAlignment="true" applyProtection="false">
      <alignment horizontal="center" vertical="bottom" textRotation="0" wrapText="false" indent="0" shrinkToFit="false"/>
      <protection locked="true" hidden="false"/>
    </xf>
    <xf numFmtId="171" fontId="42" fillId="0" borderId="26" xfId="0" applyFont="true" applyBorder="true" applyAlignment="true" applyProtection="false">
      <alignment horizontal="center" vertical="bottom" textRotation="0" wrapText="false" indent="0" shrinkToFit="false"/>
      <protection locked="true" hidden="false"/>
    </xf>
    <xf numFmtId="171" fontId="42" fillId="0" borderId="0" xfId="0" applyFont="true" applyBorder="true" applyAlignment="true" applyProtection="false">
      <alignment horizontal="center" vertical="bottom" textRotation="0" wrapText="false" indent="0" shrinkToFit="false"/>
      <protection locked="true" hidden="false"/>
    </xf>
    <xf numFmtId="171" fontId="42" fillId="0" borderId="13" xfId="0" applyFont="true" applyBorder="true" applyAlignment="true" applyProtection="false">
      <alignment horizontal="center" vertical="bottom" textRotation="0" wrapText="false" indent="0" shrinkToFit="false"/>
      <protection locked="true" hidden="false"/>
    </xf>
    <xf numFmtId="169" fontId="42" fillId="0" borderId="34" xfId="0" applyFont="true" applyBorder="true" applyAlignment="true" applyProtection="false">
      <alignment horizontal="center" vertical="bottom" textRotation="0" wrapText="true" indent="0" shrinkToFit="false"/>
      <protection locked="true" hidden="false"/>
    </xf>
    <xf numFmtId="172" fontId="42" fillId="0" borderId="35" xfId="0" applyFont="true" applyBorder="true" applyAlignment="true" applyProtection="false">
      <alignment horizontal="center" vertical="bottom" textRotation="0" wrapText="false" indent="0" shrinkToFit="false"/>
      <protection locked="true" hidden="false"/>
    </xf>
    <xf numFmtId="172" fontId="42" fillId="0" borderId="37" xfId="0" applyFont="true" applyBorder="true" applyAlignment="true" applyProtection="false">
      <alignment horizontal="center" vertical="bottom" textRotation="0" wrapText="false" indent="0" shrinkToFit="false"/>
      <protection locked="true" hidden="false"/>
    </xf>
    <xf numFmtId="172" fontId="42" fillId="0" borderId="36" xfId="0" applyFont="true" applyBorder="true" applyAlignment="true" applyProtection="false">
      <alignment horizontal="center" vertical="bottom" textRotation="0" wrapText="false" indent="0" shrinkToFit="false"/>
      <protection locked="true" hidden="false"/>
    </xf>
    <xf numFmtId="185" fontId="42" fillId="0" borderId="37" xfId="0" applyFont="true" applyBorder="true" applyAlignment="true" applyProtection="false">
      <alignment horizontal="center" vertical="bottom" textRotation="0" wrapText="false" indent="0" shrinkToFit="false"/>
      <protection locked="true" hidden="false"/>
    </xf>
    <xf numFmtId="174" fontId="42" fillId="0" borderId="37" xfId="0" applyFont="true" applyBorder="true" applyAlignment="true" applyProtection="false">
      <alignment horizontal="center" vertical="bottom" textRotation="0" wrapText="false" indent="0" shrinkToFit="false"/>
      <protection locked="true" hidden="false"/>
    </xf>
    <xf numFmtId="171" fontId="42" fillId="0" borderId="38" xfId="0" applyFont="true" applyBorder="true" applyAlignment="true" applyProtection="false">
      <alignment horizontal="center" vertical="bottom" textRotation="0" wrapText="false" indent="0" shrinkToFit="false"/>
      <protection locked="true" hidden="false"/>
    </xf>
    <xf numFmtId="171" fontId="42" fillId="0" borderId="37" xfId="0" applyFont="true" applyBorder="true" applyAlignment="true" applyProtection="false">
      <alignment horizontal="center" vertical="bottom" textRotation="0" wrapText="false" indent="0" shrinkToFit="false"/>
      <protection locked="true" hidden="false"/>
    </xf>
    <xf numFmtId="171" fontId="42" fillId="0" borderId="36" xfId="0" applyFont="true" applyBorder="true" applyAlignment="true" applyProtection="false">
      <alignment horizontal="center" vertical="bottom" textRotation="0" wrapText="false" indent="0" shrinkToFit="false"/>
      <protection locked="true" hidden="false"/>
    </xf>
    <xf numFmtId="171" fontId="42" fillId="0" borderId="37" xfId="0" applyFont="true" applyBorder="true" applyAlignment="true" applyProtection="false">
      <alignment horizontal="center" vertical="bottom" textRotation="0" wrapText="false" indent="0" shrinkToFit="false"/>
      <protection locked="true" hidden="false"/>
    </xf>
    <xf numFmtId="171" fontId="42" fillId="0" borderId="60" xfId="0" applyFont="true" applyBorder="true" applyAlignment="true" applyProtection="false">
      <alignment horizontal="center" vertical="bottom" textRotation="0" wrapText="false" indent="0" shrinkToFit="false"/>
      <protection locked="true" hidden="false"/>
    </xf>
    <xf numFmtId="169" fontId="42" fillId="0" borderId="41" xfId="0" applyFont="true" applyBorder="true" applyAlignment="true" applyProtection="false">
      <alignment horizontal="center" vertical="bottom" textRotation="0" wrapText="true" indent="0" shrinkToFit="false"/>
      <protection locked="true" hidden="false"/>
    </xf>
    <xf numFmtId="172" fontId="42" fillId="0" borderId="42" xfId="0" applyFont="true" applyBorder="true" applyAlignment="true" applyProtection="false">
      <alignment horizontal="center" vertical="bottom" textRotation="0" wrapText="false" indent="0" shrinkToFit="false"/>
      <protection locked="true" hidden="false"/>
    </xf>
    <xf numFmtId="172" fontId="42" fillId="0" borderId="44" xfId="0" applyFont="true" applyBorder="true" applyAlignment="true" applyProtection="false">
      <alignment horizontal="center" vertical="bottom" textRotation="0" wrapText="false" indent="0" shrinkToFit="false"/>
      <protection locked="true" hidden="false"/>
    </xf>
    <xf numFmtId="172" fontId="42" fillId="0" borderId="43" xfId="0" applyFont="true" applyBorder="true" applyAlignment="true" applyProtection="false">
      <alignment horizontal="center" vertical="bottom" textRotation="0" wrapText="false" indent="0" shrinkToFit="false"/>
      <protection locked="true" hidden="false"/>
    </xf>
    <xf numFmtId="185" fontId="42" fillId="0" borderId="44" xfId="0" applyFont="true" applyBorder="true" applyAlignment="true" applyProtection="false">
      <alignment horizontal="center" vertical="bottom" textRotation="0" wrapText="false" indent="0" shrinkToFit="false"/>
      <protection locked="true" hidden="false"/>
    </xf>
    <xf numFmtId="174" fontId="42" fillId="0" borderId="44" xfId="0" applyFont="true" applyBorder="true" applyAlignment="true" applyProtection="false">
      <alignment horizontal="center" vertical="bottom" textRotation="0" wrapText="false" indent="0" shrinkToFit="false"/>
      <protection locked="true" hidden="false"/>
    </xf>
    <xf numFmtId="171" fontId="42" fillId="0" borderId="45" xfId="0" applyFont="true" applyBorder="true" applyAlignment="true" applyProtection="false">
      <alignment horizontal="center" vertical="bottom" textRotation="0" wrapText="false" indent="0" shrinkToFit="false"/>
      <protection locked="true" hidden="false"/>
    </xf>
    <xf numFmtId="171" fontId="42" fillId="0" borderId="44" xfId="0" applyFont="true" applyBorder="true" applyAlignment="true" applyProtection="false">
      <alignment horizontal="center" vertical="bottom" textRotation="0" wrapText="false" indent="0" shrinkToFit="false"/>
      <protection locked="true" hidden="false"/>
    </xf>
    <xf numFmtId="171" fontId="42" fillId="0" borderId="43" xfId="0" applyFont="true" applyBorder="true" applyAlignment="true" applyProtection="false">
      <alignment horizontal="center" vertical="bottom" textRotation="0" wrapText="false" indent="0" shrinkToFit="false"/>
      <protection locked="true" hidden="false"/>
    </xf>
    <xf numFmtId="171" fontId="42" fillId="0" borderId="44" xfId="0" applyFont="true" applyBorder="true" applyAlignment="true" applyProtection="false">
      <alignment horizontal="center" vertical="bottom" textRotation="0" wrapText="false" indent="0" shrinkToFit="false"/>
      <protection locked="true" hidden="false"/>
    </xf>
    <xf numFmtId="165" fontId="42" fillId="0" borderId="0" xfId="0" applyFont="true" applyBorder="true" applyAlignment="true" applyProtection="false">
      <alignment horizontal="center" vertical="bottom" textRotation="0" wrapText="false" indent="0" shrinkToFit="false"/>
      <protection locked="true" hidden="false"/>
    </xf>
    <xf numFmtId="165" fontId="42" fillId="0" borderId="44" xfId="0" applyFont="true" applyBorder="true" applyAlignment="true" applyProtection="false">
      <alignment horizontal="center" vertical="bottom" textRotation="0" wrapText="false" indent="0" shrinkToFit="false"/>
      <protection locked="true" hidden="false"/>
    </xf>
    <xf numFmtId="165" fontId="42" fillId="0" borderId="37" xfId="0" applyFont="true" applyBorder="true" applyAlignment="true" applyProtection="false">
      <alignment horizontal="center" vertical="bottom" textRotation="0" wrapText="false" indent="0" shrinkToFit="false"/>
      <protection locked="true" hidden="false"/>
    </xf>
    <xf numFmtId="165" fontId="42" fillId="0" borderId="9" xfId="0" applyFont="true" applyBorder="true" applyAlignment="true" applyProtection="false">
      <alignment horizontal="center" vertical="bottom" textRotation="0" wrapText="false" indent="0" shrinkToFit="false"/>
      <protection locked="true" hidden="false"/>
    </xf>
    <xf numFmtId="165" fontId="42" fillId="0" borderId="26" xfId="0" applyFont="true" applyBorder="true" applyAlignment="true" applyProtection="false">
      <alignment horizontal="center" vertical="bottom" textRotation="0" wrapText="false" indent="0" shrinkToFit="false"/>
      <protection locked="true" hidden="false"/>
    </xf>
    <xf numFmtId="167" fontId="42" fillId="0" borderId="27" xfId="0" applyFont="true" applyBorder="true" applyAlignment="true" applyProtection="false">
      <alignment horizontal="center" vertical="bottom" textRotation="0" wrapText="false" indent="0" shrinkToFit="false"/>
      <protection locked="true" hidden="false"/>
    </xf>
    <xf numFmtId="167" fontId="42" fillId="0" borderId="0" xfId="0" applyFont="true" applyBorder="true" applyAlignment="true" applyProtection="false">
      <alignment horizontal="center" vertical="bottom" textRotation="0" wrapText="false" indent="0" shrinkToFit="false"/>
      <protection locked="true" hidden="false"/>
    </xf>
    <xf numFmtId="167" fontId="42" fillId="0" borderId="26" xfId="0" applyFont="true" applyBorder="true" applyAlignment="true" applyProtection="false">
      <alignment horizontal="center" vertical="bottom" textRotation="0" wrapText="false" indent="0" shrinkToFit="false"/>
      <protection locked="true" hidden="false"/>
    </xf>
    <xf numFmtId="190" fontId="42" fillId="0" borderId="9" xfId="0" applyFont="true" applyBorder="true" applyAlignment="true" applyProtection="false">
      <alignment horizontal="center" vertical="bottom" textRotation="0" wrapText="false" indent="0" shrinkToFit="false"/>
      <protection locked="true" hidden="false"/>
    </xf>
    <xf numFmtId="190" fontId="42" fillId="0" borderId="0" xfId="0" applyFont="true" applyBorder="true" applyAlignment="true" applyProtection="false">
      <alignment horizontal="center" vertical="bottom" textRotation="0" wrapText="false" indent="0" shrinkToFit="false"/>
      <protection locked="true" hidden="false"/>
    </xf>
    <xf numFmtId="190" fontId="42" fillId="0" borderId="26" xfId="0" applyFont="true" applyBorder="true" applyAlignment="true" applyProtection="false">
      <alignment horizontal="center" vertical="bottom" textRotation="0" wrapText="false" indent="0" shrinkToFit="false"/>
      <protection locked="true" hidden="false"/>
    </xf>
    <xf numFmtId="190" fontId="42" fillId="0" borderId="27" xfId="0" applyFont="true" applyBorder="true" applyAlignment="true" applyProtection="false">
      <alignment horizontal="center" vertical="bottom" textRotation="0" wrapText="false" indent="0" shrinkToFit="false"/>
      <protection locked="true" hidden="false"/>
    </xf>
    <xf numFmtId="171" fontId="42" fillId="0" borderId="62" xfId="0" applyFont="true" applyBorder="true" applyAlignment="true" applyProtection="false">
      <alignment horizontal="center" vertical="bottom" textRotation="0" wrapText="false" indent="0" shrinkToFit="false"/>
      <protection locked="true" hidden="false"/>
    </xf>
    <xf numFmtId="185" fontId="0" fillId="0" borderId="0" xfId="19" applyFont="true" applyBorder="true" applyAlignment="true" applyProtection="true">
      <alignment horizontal="general" vertical="bottom" textRotation="0" wrapText="false" indent="0" shrinkToFit="false"/>
      <protection locked="true" hidden="false"/>
    </xf>
    <xf numFmtId="172" fontId="0" fillId="0" borderId="0" xfId="0" applyFont="false" applyBorder="true" applyAlignment="false" applyProtection="false">
      <alignment horizontal="general" vertical="bottom" textRotation="0" wrapText="false" indent="0" shrinkToFit="false"/>
      <protection locked="true" hidden="false"/>
    </xf>
    <xf numFmtId="172" fontId="0" fillId="0" borderId="37" xfId="0" applyFont="true" applyBorder="true" applyAlignment="false" applyProtection="false">
      <alignment horizontal="general" vertical="bottom" textRotation="0" wrapText="false" indent="0" shrinkToFit="false"/>
      <protection locked="true" hidden="false"/>
    </xf>
    <xf numFmtId="174" fontId="42" fillId="0" borderId="0" xfId="0" applyFont="true" applyBorder="true" applyAlignment="true" applyProtection="false">
      <alignment horizontal="center" vertical="bottom" textRotation="0" wrapText="false" indent="0" shrinkToFit="false"/>
      <protection locked="true" hidden="false"/>
    </xf>
    <xf numFmtId="165" fontId="42" fillId="0" borderId="0" xfId="0" applyFont="true" applyBorder="true" applyAlignment="true" applyProtection="false">
      <alignment horizontal="center" vertical="bottom" textRotation="0" wrapText="false" indent="0" shrinkToFit="false"/>
      <protection locked="true" hidden="false"/>
    </xf>
    <xf numFmtId="164" fontId="42" fillId="0" borderId="47" xfId="0" applyFont="true" applyBorder="true" applyAlignment="true" applyProtection="false">
      <alignment horizontal="center" vertical="bottom" textRotation="0" wrapText="true" indent="0" shrinkToFit="false"/>
      <protection locked="true" hidden="false"/>
    </xf>
    <xf numFmtId="172" fontId="42" fillId="0" borderId="48" xfId="0" applyFont="true" applyBorder="true" applyAlignment="true" applyProtection="false">
      <alignment horizontal="center" vertical="bottom" textRotation="0" wrapText="false" indent="0" shrinkToFit="false"/>
      <protection locked="true" hidden="false"/>
    </xf>
    <xf numFmtId="172" fontId="42" fillId="0" borderId="50" xfId="0" applyFont="true" applyBorder="true" applyAlignment="true" applyProtection="false">
      <alignment horizontal="center" vertical="bottom" textRotation="0" wrapText="false" indent="0" shrinkToFit="false"/>
      <protection locked="true" hidden="false"/>
    </xf>
    <xf numFmtId="172" fontId="42" fillId="0" borderId="49" xfId="0" applyFont="true" applyBorder="true" applyAlignment="true" applyProtection="false">
      <alignment horizontal="center" vertical="bottom" textRotation="0" wrapText="false" indent="0" shrinkToFit="false"/>
      <protection locked="true" hidden="false"/>
    </xf>
    <xf numFmtId="165" fontId="42" fillId="0" borderId="50" xfId="0" applyFont="true" applyBorder="true" applyAlignment="true" applyProtection="false">
      <alignment horizontal="center" vertical="bottom" textRotation="0" wrapText="false" indent="0" shrinkToFit="false"/>
      <protection locked="true" hidden="false"/>
    </xf>
    <xf numFmtId="171" fontId="42" fillId="0" borderId="51" xfId="0" applyFont="true" applyBorder="true" applyAlignment="true" applyProtection="false">
      <alignment horizontal="center" vertical="bottom" textRotation="0" wrapText="false" indent="0" shrinkToFit="false"/>
      <protection locked="true" hidden="false"/>
    </xf>
    <xf numFmtId="171" fontId="42" fillId="0" borderId="50" xfId="0" applyFont="true" applyBorder="true" applyAlignment="true" applyProtection="false">
      <alignment horizontal="center" vertical="bottom" textRotation="0" wrapText="false" indent="0" shrinkToFit="false"/>
      <protection locked="true" hidden="false"/>
    </xf>
    <xf numFmtId="171" fontId="42" fillId="0" borderId="49" xfId="0" applyFont="true" applyBorder="true" applyAlignment="true" applyProtection="false">
      <alignment horizontal="center" vertical="bottom" textRotation="0" wrapText="false" indent="0" shrinkToFit="false"/>
      <protection locked="true" hidden="false"/>
    </xf>
    <xf numFmtId="171" fontId="42" fillId="0" borderId="50" xfId="0" applyFont="true" applyBorder="true" applyAlignment="true" applyProtection="false">
      <alignment horizontal="center" vertical="bottom" textRotation="0" wrapText="false" indent="0" shrinkToFit="false"/>
      <protection locked="true" hidden="false"/>
    </xf>
    <xf numFmtId="171" fontId="42" fillId="0" borderId="65" xfId="0" applyFont="true" applyBorder="true" applyAlignment="true" applyProtection="false">
      <alignment horizontal="center"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4" fontId="79" fillId="0" borderId="0" xfId="64"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true">
      <alignment horizontal="right"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true" hidden="false"/>
    </xf>
    <xf numFmtId="164" fontId="34" fillId="0" borderId="0" xfId="0" applyFont="true" applyBorder="true" applyAlignment="true" applyProtection="false">
      <alignment horizontal="general" vertical="bottom" textRotation="0" wrapText="false" indent="0" shrinkToFit="false"/>
      <protection locked="true" hidden="false"/>
    </xf>
    <xf numFmtId="164" fontId="34" fillId="0" borderId="58" xfId="0" applyFont="true" applyBorder="true" applyAlignment="true" applyProtection="false">
      <alignment horizontal="left" vertical="bottom" textRotation="0" wrapText="false" indent="0" shrinkToFit="false"/>
      <protection locked="true" hidden="false"/>
    </xf>
    <xf numFmtId="164" fontId="34" fillId="0" borderId="9" xfId="0" applyFont="true" applyBorder="tru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left" vertical="bottom" textRotation="0" wrapText="false" indent="0" shrinkToFit="false"/>
      <protection locked="true" hidden="false"/>
    </xf>
    <xf numFmtId="164" fontId="34" fillId="0" borderId="9" xfId="65" applyFont="true" applyBorder="tru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0" fillId="0" borderId="26" xfId="0" applyFont="true" applyBorder="true" applyAlignment="true" applyProtection="false">
      <alignment horizontal="general" vertical="bottom" textRotation="0" wrapText="false" indent="0" shrinkToFit="false"/>
      <protection locked="true" hidden="false"/>
    </xf>
    <xf numFmtId="164" fontId="34" fillId="0" borderId="9" xfId="0" applyFont="true" applyBorder="true" applyAlignment="false" applyProtection="false">
      <alignment horizontal="general" vertical="bottom" textRotation="0" wrapText="false" indent="0" shrinkToFit="false"/>
      <protection locked="true" hidden="false"/>
    </xf>
    <xf numFmtId="164" fontId="34" fillId="0" borderId="26" xfId="0" applyFont="true" applyBorder="true" applyAlignment="true" applyProtection="false">
      <alignment horizontal="general" vertical="bottom" textRotation="0" wrapText="false" indent="0" shrinkToFit="false"/>
      <protection locked="true" hidden="false"/>
    </xf>
    <xf numFmtId="164" fontId="34" fillId="0" borderId="0" xfId="0" applyFont="true" applyBorder="true" applyAlignment="false" applyProtection="false">
      <alignment horizontal="general" vertical="bottom" textRotation="0" wrapText="false" indent="0" shrinkToFit="false"/>
      <protection locked="true" hidden="false"/>
    </xf>
    <xf numFmtId="164" fontId="34" fillId="0" borderId="26" xfId="0" applyFont="true" applyBorder="true" applyAlignment="true" applyProtection="false">
      <alignment horizontal="general" vertical="bottom" textRotation="0" wrapText="true" indent="0" shrinkToFit="false"/>
      <protection locked="true" hidden="false"/>
    </xf>
    <xf numFmtId="164" fontId="34" fillId="0" borderId="9" xfId="57" applyFont="true" applyBorder="true" applyAlignment="true" applyProtection="false">
      <alignment horizontal="left" vertical="bottom" textRotation="0" wrapText="false" indent="0" shrinkToFit="false"/>
      <protection locked="true" hidden="false"/>
    </xf>
    <xf numFmtId="164" fontId="34" fillId="0" borderId="0" xfId="57" applyFont="true" applyBorder="true" applyAlignment="true" applyProtection="false">
      <alignment horizontal="left" vertical="bottom" textRotation="0" wrapText="false" indent="0" shrinkToFit="false"/>
      <protection locked="true" hidden="false"/>
    </xf>
    <xf numFmtId="164" fontId="34" fillId="0" borderId="26" xfId="57" applyFont="true" applyBorder="true" applyAlignment="true" applyProtection="false">
      <alignment horizontal="left"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0" fillId="0" borderId="26" xfId="0" applyFont="false" applyBorder="true" applyAlignment="true" applyProtection="false">
      <alignment horizontal="left" vertical="bottom" textRotation="0" wrapText="false" indent="0" shrinkToFit="false"/>
      <protection locked="true" hidden="false"/>
    </xf>
    <xf numFmtId="164" fontId="34" fillId="0" borderId="9" xfId="65" applyFont="true" applyBorder="true" applyAlignment="true" applyProtection="false">
      <alignment horizontal="center" vertical="center" textRotation="0" wrapText="true" indent="0" shrinkToFit="false"/>
      <protection locked="true" hidden="false"/>
    </xf>
    <xf numFmtId="164" fontId="0" fillId="0" borderId="0" xfId="65" applyFont="false" applyBorder="true" applyAlignment="true" applyProtection="false">
      <alignment horizontal="general" vertical="bottom" textRotation="0" wrapText="false" indent="0" shrinkToFit="false"/>
      <protection locked="true" hidden="false"/>
    </xf>
    <xf numFmtId="164" fontId="34" fillId="0" borderId="9" xfId="0" applyFont="true" applyBorder="true" applyAlignment="true" applyProtection="false">
      <alignment horizontal="center" vertical="center" textRotation="0" wrapText="false" indent="0" shrinkToFit="false"/>
      <protection locked="true" hidden="false"/>
    </xf>
    <xf numFmtId="164" fontId="34" fillId="0" borderId="0" xfId="0" applyFont="true" applyBorder="true" applyAlignment="true" applyProtection="false">
      <alignment horizontal="center" vertical="center" textRotation="0" wrapText="false" indent="0" shrinkToFit="false"/>
      <protection locked="true" hidden="false"/>
    </xf>
    <xf numFmtId="164" fontId="34" fillId="0" borderId="0" xfId="0" applyFont="true" applyBorder="false" applyAlignment="true" applyProtection="false">
      <alignment horizontal="center" vertical="center" textRotation="0" wrapText="false" indent="0" shrinkToFit="false"/>
      <protection locked="true" hidden="false"/>
    </xf>
    <xf numFmtId="164" fontId="0" fillId="0" borderId="9" xfId="0" applyFont="true" applyBorder="true" applyAlignment="true" applyProtection="false">
      <alignment horizontal="center" vertical="center" textRotation="0" wrapText="false" indent="0" shrinkToFit="false"/>
      <protection locked="true" hidden="false"/>
    </xf>
    <xf numFmtId="164" fontId="34" fillId="0" borderId="0" xfId="0" applyFont="true" applyBorder="true" applyAlignment="true" applyProtection="false">
      <alignment horizontal="center" vertical="center" textRotation="0" wrapText="true" indent="0" shrinkToFit="false"/>
      <protection locked="true" hidden="false"/>
    </xf>
    <xf numFmtId="164" fontId="34" fillId="0" borderId="9" xfId="0" applyFont="true" applyBorder="true" applyAlignment="true" applyProtection="false">
      <alignment horizontal="center" vertical="center" textRotation="0" wrapText="true" indent="0" shrinkToFit="false"/>
      <protection locked="true" hidden="false"/>
    </xf>
    <xf numFmtId="164" fontId="37" fillId="0" borderId="0" xfId="0" applyFont="true" applyBorder="true" applyAlignment="true" applyProtection="false">
      <alignment horizontal="center" vertical="center" textRotation="0" wrapText="true" indent="0" shrinkToFit="false"/>
      <protection locked="true" hidden="false"/>
    </xf>
    <xf numFmtId="164" fontId="37" fillId="0" borderId="26" xfId="0" applyFont="true" applyBorder="true" applyAlignment="true" applyProtection="false">
      <alignment horizontal="center" vertical="center" textRotation="0" wrapText="true" indent="0" shrinkToFit="false"/>
      <protection locked="true" hidden="false"/>
    </xf>
    <xf numFmtId="164" fontId="0" fillId="0" borderId="0" xfId="65" applyFont="true" applyBorder="true" applyAlignment="true" applyProtection="false">
      <alignment horizontal="center" vertical="center" textRotation="0" wrapText="true" indent="0" shrinkToFit="false"/>
      <protection locked="true" hidden="false"/>
    </xf>
    <xf numFmtId="164" fontId="0" fillId="0" borderId="26" xfId="65" applyFont="true" applyBorder="true" applyAlignment="true" applyProtection="false">
      <alignment horizontal="center" vertical="center" textRotation="0" wrapText="true" indent="0" shrinkToFit="false"/>
      <protection locked="true" hidden="false"/>
    </xf>
    <xf numFmtId="164" fontId="34" fillId="0" borderId="0" xfId="65" applyFont="true" applyBorder="true" applyAlignment="true" applyProtection="false">
      <alignment horizontal="center" vertical="center" textRotation="0" wrapText="true" indent="0" shrinkToFit="false"/>
      <protection locked="true" hidden="false"/>
    </xf>
    <xf numFmtId="164" fontId="34" fillId="0" borderId="9" xfId="65" applyFont="true" applyBorder="true" applyAlignment="true" applyProtection="false">
      <alignment horizontal="center" vertical="center" textRotation="0" wrapText="true" indent="0" shrinkToFit="false"/>
      <protection locked="true" hidden="false"/>
    </xf>
    <xf numFmtId="164" fontId="34" fillId="0" borderId="26" xfId="0" applyFont="true" applyBorder="true" applyAlignment="true" applyProtection="false">
      <alignment horizontal="center" vertical="center" textRotation="0" wrapText="true" indent="0" shrinkToFit="false"/>
      <protection locked="true" hidden="false"/>
    </xf>
    <xf numFmtId="164" fontId="37" fillId="0" borderId="0" xfId="0" applyFont="true" applyBorder="true" applyAlignment="true" applyProtection="false">
      <alignment horizontal="general" vertical="center" textRotation="0" wrapText="true" indent="0" shrinkToFit="false"/>
      <protection locked="true" hidden="false"/>
    </xf>
    <xf numFmtId="164" fontId="57" fillId="0" borderId="0" xfId="64" applyFont="true" applyBorder="false" applyAlignment="true" applyProtection="false">
      <alignment horizontal="general" vertical="center" textRotation="0" wrapText="true" indent="0" shrinkToFit="false"/>
      <protection locked="true" hidden="false"/>
    </xf>
    <xf numFmtId="164" fontId="34" fillId="0" borderId="0" xfId="0" applyFont="true" applyBorder="true" applyAlignment="true" applyProtection="false">
      <alignment horizontal="general" vertical="center" textRotation="0" wrapText="true" indent="0" shrinkToFit="false"/>
      <protection locked="true" hidden="false"/>
    </xf>
    <xf numFmtId="164" fontId="0" fillId="0" borderId="0" xfId="0" applyFont="true" applyBorder="tru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37" fillId="0" borderId="0" xfId="0" applyFont="true" applyBorder="false" applyAlignment="true" applyProtection="false">
      <alignment horizontal="general" vertical="center" textRotation="0" wrapText="true" indent="0" shrinkToFit="false"/>
      <protection locked="true" hidden="false"/>
    </xf>
    <xf numFmtId="164" fontId="0" fillId="0" borderId="26" xfId="0" applyFont="true" applyBorder="true" applyAlignment="true" applyProtection="false">
      <alignment horizontal="general" vertical="center" textRotation="0" wrapText="true" indent="0" shrinkToFit="false"/>
      <protection locked="true" hidden="false"/>
    </xf>
    <xf numFmtId="164" fontId="77" fillId="0" borderId="0" xfId="64" applyFont="true" applyBorder="true" applyAlignment="true" applyProtection="false">
      <alignment horizontal="general" vertical="center" textRotation="0" wrapText="true" indent="0" shrinkToFit="false"/>
      <protection locked="true" hidden="false"/>
    </xf>
    <xf numFmtId="164" fontId="77" fillId="0" borderId="26" xfId="64" applyFont="true" applyBorder="true" applyAlignment="true" applyProtection="false">
      <alignment horizontal="general" vertical="center" textRotation="0" wrapText="true" indent="0" shrinkToFit="false"/>
      <protection locked="true" hidden="false"/>
    </xf>
    <xf numFmtId="164" fontId="57" fillId="0" borderId="9" xfId="64" applyFont="true" applyBorder="true" applyAlignment="true" applyProtection="false">
      <alignment horizontal="general" vertical="center" textRotation="0" wrapText="true" indent="0" shrinkToFit="false"/>
      <protection locked="true" hidden="false"/>
    </xf>
    <xf numFmtId="164" fontId="57" fillId="0" borderId="0" xfId="64" applyFont="true" applyBorder="true" applyAlignment="true" applyProtection="false">
      <alignment horizontal="general" vertical="center" textRotation="0" wrapText="true" indent="0" shrinkToFit="false"/>
      <protection locked="true" hidden="false"/>
    </xf>
    <xf numFmtId="164" fontId="57" fillId="0" borderId="26" xfId="64" applyFont="true" applyBorder="true" applyAlignment="true" applyProtection="false">
      <alignment horizontal="general" vertical="center" textRotation="0" wrapText="true" indent="0" shrinkToFit="false"/>
      <protection locked="true" hidden="false"/>
    </xf>
    <xf numFmtId="164" fontId="34" fillId="0" borderId="0" xfId="0" applyFont="true" applyBorder="false" applyAlignment="true" applyProtection="false">
      <alignment horizontal="general" vertical="center" textRotation="0" wrapText="true" indent="0" shrinkToFit="false"/>
      <protection locked="true" hidden="false"/>
    </xf>
    <xf numFmtId="164" fontId="80" fillId="0" borderId="0" xfId="0" applyFont="true" applyBorder="false" applyAlignment="true" applyProtection="false">
      <alignment horizontal="general" vertical="center" textRotation="0" wrapText="true" indent="0" shrinkToFit="false"/>
      <protection locked="true" hidden="false"/>
    </xf>
    <xf numFmtId="164" fontId="33" fillId="0" borderId="26" xfId="0" applyFont="true" applyBorder="true" applyAlignment="true" applyProtection="false">
      <alignment horizontal="center" vertical="center" textRotation="0" wrapText="true" indent="0" shrinkToFit="false"/>
      <protection locked="true" hidden="false"/>
    </xf>
    <xf numFmtId="164" fontId="33" fillId="0" borderId="9" xfId="0" applyFont="true" applyBorder="true" applyAlignment="true" applyProtection="false">
      <alignment horizontal="center" vertical="center" textRotation="0" wrapText="true" indent="0" shrinkToFit="false"/>
      <protection locked="true" hidden="false"/>
    </xf>
    <xf numFmtId="164" fontId="33" fillId="0" borderId="0" xfId="0" applyFont="true" applyBorder="false" applyAlignment="true" applyProtection="false">
      <alignment horizontal="center" vertical="center" textRotation="0" wrapText="true" indent="0" shrinkToFit="false"/>
      <protection locked="true" hidden="false"/>
    </xf>
    <xf numFmtId="164" fontId="33" fillId="0" borderId="0" xfId="0" applyFont="true" applyBorder="true" applyAlignment="true" applyProtection="false">
      <alignment horizontal="center" vertical="center" textRotation="0" wrapText="false" indent="0" shrinkToFit="false"/>
      <protection locked="true" hidden="false"/>
    </xf>
    <xf numFmtId="164" fontId="65" fillId="0" borderId="0" xfId="0" applyFont="true" applyBorder="true" applyAlignment="true" applyProtection="false">
      <alignment horizontal="center" vertical="center" textRotation="0" wrapText="true" indent="0" shrinkToFit="false"/>
      <protection locked="true" hidden="false"/>
    </xf>
    <xf numFmtId="164" fontId="33" fillId="0" borderId="0" xfId="0" applyFont="true" applyBorder="true" applyAlignment="true" applyProtection="false">
      <alignment horizontal="center" vertical="center" textRotation="0" wrapText="false" indent="0" shrinkToFit="false"/>
      <protection locked="true" hidden="false"/>
    </xf>
    <xf numFmtId="164" fontId="33" fillId="0" borderId="26" xfId="0" applyFont="true" applyBorder="true" applyAlignment="true" applyProtection="false">
      <alignment horizontal="center" vertical="center" textRotation="0" wrapText="false" indent="0" shrinkToFit="false"/>
      <protection locked="true" hidden="false"/>
    </xf>
    <xf numFmtId="164" fontId="33" fillId="0" borderId="0" xfId="0" applyFont="true" applyBorder="false" applyAlignment="true" applyProtection="false">
      <alignment horizontal="center" vertical="center" textRotation="0" wrapText="false" indent="0" shrinkToFit="false"/>
      <protection locked="true" hidden="false"/>
    </xf>
    <xf numFmtId="164" fontId="33" fillId="0" borderId="0" xfId="0" applyFont="true" applyBorder="false" applyAlignment="true" applyProtection="false">
      <alignment horizontal="center" vertical="center" textRotation="0" wrapText="false" indent="0" shrinkToFit="false"/>
      <protection locked="true" hidden="false"/>
    </xf>
    <xf numFmtId="164" fontId="37" fillId="0" borderId="0" xfId="0" applyFont="true" applyBorder="false" applyAlignment="true" applyProtection="false">
      <alignment horizontal="general" vertical="center" textRotation="0" wrapText="true" indent="0" shrinkToFit="false"/>
      <protection locked="true" hidden="false"/>
    </xf>
    <xf numFmtId="165" fontId="31" fillId="0" borderId="0" xfId="0" applyFont="true" applyBorder="true" applyAlignment="false" applyProtection="false">
      <alignment horizontal="general" vertical="bottom" textRotation="0" wrapText="false" indent="0" shrinkToFit="false"/>
      <protection locked="true" hidden="false"/>
    </xf>
    <xf numFmtId="165" fontId="31" fillId="0" borderId="0" xfId="0" applyFont="true" applyBorder="true" applyAlignment="true" applyProtection="false">
      <alignment horizontal="center" vertical="bottom" textRotation="0" wrapText="false" indent="0" shrinkToFit="false"/>
      <protection locked="true" hidden="false"/>
    </xf>
    <xf numFmtId="174" fontId="34" fillId="0" borderId="0" xfId="0" applyFont="true" applyBorder="true" applyAlignment="true" applyProtection="false">
      <alignment horizontal="center" vertical="bottom" textRotation="0" wrapText="false" indent="0" shrinkToFit="false"/>
      <protection locked="true" hidden="false"/>
    </xf>
    <xf numFmtId="174" fontId="0" fillId="0" borderId="0" xfId="0" applyFont="true" applyBorder="true" applyAlignment="true" applyProtection="false">
      <alignment horizontal="center" vertical="bottom" textRotation="0" wrapText="false" indent="0" shrinkToFit="false"/>
      <protection locked="true" hidden="false"/>
    </xf>
    <xf numFmtId="172" fontId="0" fillId="0" borderId="0" xfId="0" applyFont="true" applyBorder="true" applyAlignment="true" applyProtection="false">
      <alignment horizontal="center" vertical="bottom" textRotation="0" wrapText="false" indent="0" shrinkToFit="false"/>
      <protection locked="true" hidden="false"/>
    </xf>
    <xf numFmtId="174" fontId="0" fillId="0" borderId="0" xfId="0" applyFont="false" applyBorder="true" applyAlignment="true" applyProtection="false">
      <alignment horizontal="center" vertical="bottom" textRotation="0" wrapText="false" indent="0" shrinkToFit="false"/>
      <protection locked="true" hidden="false"/>
    </xf>
    <xf numFmtId="174" fontId="34" fillId="0" borderId="9" xfId="0" applyFont="true" applyBorder="true" applyAlignment="true" applyProtection="false">
      <alignment horizontal="center" vertical="bottom" textRotation="0" wrapText="false" indent="0" shrinkToFit="false"/>
      <protection locked="true" hidden="false"/>
    </xf>
    <xf numFmtId="174" fontId="0" fillId="0" borderId="26" xfId="0" applyFont="false" applyBorder="true" applyAlignment="true" applyProtection="false">
      <alignment horizontal="center" vertical="bottom" textRotation="0" wrapText="false" indent="0" shrinkToFit="false"/>
      <protection locked="true" hidden="false"/>
    </xf>
    <xf numFmtId="174" fontId="0" fillId="0" borderId="9" xfId="0" applyFont="false" applyBorder="true" applyAlignment="true" applyProtection="false">
      <alignment horizontal="center" vertical="bottom" textRotation="0" wrapText="false" indent="0" shrinkToFit="false"/>
      <protection locked="true" hidden="false"/>
    </xf>
    <xf numFmtId="174" fontId="34" fillId="0" borderId="9" xfId="0" applyFont="true" applyBorder="true" applyAlignment="true" applyProtection="false">
      <alignment horizontal="center" vertical="center" textRotation="0" wrapText="true" indent="0" shrinkToFit="false"/>
      <protection locked="true" hidden="false"/>
    </xf>
    <xf numFmtId="174" fontId="34" fillId="0" borderId="0" xfId="0" applyFont="true" applyBorder="true" applyAlignment="true" applyProtection="false">
      <alignment horizontal="center" vertical="center" textRotation="0" wrapText="true" indent="0" shrinkToFit="false"/>
      <protection locked="true" hidden="false"/>
    </xf>
    <xf numFmtId="174" fontId="0" fillId="0" borderId="26" xfId="0" applyFont="false" applyBorder="true" applyAlignment="true" applyProtection="false">
      <alignment horizontal="center" vertical="bottom" textRotation="0" wrapText="false" indent="0" shrinkToFit="false"/>
      <protection locked="true" hidden="false"/>
    </xf>
    <xf numFmtId="174" fontId="0" fillId="0" borderId="0" xfId="0" applyFont="true" applyBorder="true" applyAlignment="true" applyProtection="false">
      <alignment horizontal="center" vertical="center" textRotation="0" wrapText="true" indent="0" shrinkToFit="false"/>
      <protection locked="true" hidden="false"/>
    </xf>
    <xf numFmtId="167" fontId="0" fillId="0" borderId="26" xfId="0" applyFont="true" applyBorder="true" applyAlignment="true" applyProtection="false">
      <alignment horizontal="center" vertical="center" textRotation="0" wrapText="true" indent="0" shrinkToFit="false"/>
      <protection locked="true" hidden="false"/>
    </xf>
    <xf numFmtId="174" fontId="34" fillId="0" borderId="9" xfId="0" applyFont="true" applyBorder="true" applyAlignment="true" applyProtection="false">
      <alignment horizontal="center" vertical="center" textRotation="0" wrapText="true" indent="0" shrinkToFit="false"/>
      <protection locked="true" hidden="false"/>
    </xf>
    <xf numFmtId="174" fontId="34" fillId="0" borderId="0" xfId="0" applyFont="true" applyBorder="false" applyAlignment="true" applyProtection="false">
      <alignment horizontal="center" vertical="bottom" textRotation="0" wrapText="false" indent="0" shrinkToFit="false"/>
      <protection locked="true" hidden="false"/>
    </xf>
    <xf numFmtId="174" fontId="0" fillId="0" borderId="0" xfId="0" applyFont="false" applyBorder="false" applyAlignment="true" applyProtection="false">
      <alignment horizontal="center" vertical="bottom" textRotation="0" wrapText="false" indent="0" shrinkToFit="false"/>
      <protection locked="true" hidden="false"/>
    </xf>
    <xf numFmtId="172" fontId="0" fillId="0" borderId="0" xfId="0" applyFont="false" applyBorder="false" applyAlignment="true" applyProtection="false">
      <alignment horizontal="center" vertical="bottom" textRotation="0" wrapText="false" indent="0" shrinkToFit="false"/>
      <protection locked="true" hidden="false"/>
    </xf>
    <xf numFmtId="174" fontId="0" fillId="0" borderId="0" xfId="19" applyFont="true" applyBorder="true" applyAlignment="true" applyProtection="true">
      <alignment horizontal="center" vertical="bottom" textRotation="0" wrapText="false" indent="0" shrinkToFit="false"/>
      <protection locked="true" hidden="false"/>
    </xf>
    <xf numFmtId="185" fontId="0" fillId="0" borderId="0" xfId="19" applyFont="true" applyBorder="true" applyAlignment="true" applyProtection="true">
      <alignment horizontal="center" vertical="bottom" textRotation="0" wrapText="false" indent="0" shrinkToFit="false"/>
      <protection locked="true" hidden="false"/>
    </xf>
    <xf numFmtId="174" fontId="37" fillId="0" borderId="0" xfId="0" applyFont="true" applyBorder="false" applyAlignment="true" applyProtection="false">
      <alignment horizontal="center" vertical="bottom" textRotation="0" wrapText="false" indent="0" shrinkToFit="false"/>
      <protection locked="true" hidden="false"/>
    </xf>
    <xf numFmtId="167" fontId="31" fillId="0" borderId="0" xfId="19" applyFont="true" applyBorder="true" applyAlignment="true" applyProtection="true">
      <alignment horizontal="center" vertical="bottom" textRotation="0" wrapText="false" indent="0" shrinkToFit="false"/>
      <protection locked="true" hidden="false"/>
    </xf>
    <xf numFmtId="174" fontId="81" fillId="0" borderId="0" xfId="0" applyFont="true" applyBorder="false" applyAlignment="true" applyProtection="false">
      <alignment horizontal="center" vertical="bottom" textRotation="0" wrapText="false" indent="0" shrinkToFit="false"/>
      <protection locked="true" hidden="false"/>
    </xf>
    <xf numFmtId="172" fontId="0" fillId="0" borderId="26" xfId="0" applyFont="false" applyBorder="true" applyAlignment="true" applyProtection="false">
      <alignment horizontal="center" vertical="bottom" textRotation="0" wrapText="false" indent="0" shrinkToFit="false"/>
      <protection locked="true" hidden="false"/>
    </xf>
    <xf numFmtId="174" fontId="82" fillId="0" borderId="0" xfId="0" applyFont="true" applyBorder="false" applyAlignment="true" applyProtection="false">
      <alignment horizontal="center" vertical="bottom" textRotation="0" wrapText="false" indent="0" shrinkToFit="false"/>
      <protection locked="true" hidden="false"/>
    </xf>
    <xf numFmtId="172" fontId="0" fillId="0" borderId="0" xfId="0" applyFont="false" applyBorder="false" applyAlignment="true" applyProtection="false">
      <alignment horizontal="center" vertical="bottom" textRotation="0" wrapText="false" indent="0" shrinkToFit="false"/>
      <protection locked="true" hidden="false"/>
    </xf>
    <xf numFmtId="172" fontId="37" fillId="0" borderId="0" xfId="0" applyFont="true" applyBorder="false" applyAlignment="true" applyProtection="false">
      <alignment horizontal="center" vertical="bottom" textRotation="0" wrapText="false" indent="0" shrinkToFit="false"/>
      <protection locked="true" hidden="false"/>
    </xf>
    <xf numFmtId="172" fontId="0" fillId="0" borderId="0" xfId="0" applyFont="true" applyBorder="false" applyAlignment="true" applyProtection="false">
      <alignment horizontal="center" vertical="bottom" textRotation="0" wrapText="false" indent="0" shrinkToFit="false"/>
      <protection locked="true" hidden="false"/>
    </xf>
    <xf numFmtId="172" fontId="83" fillId="0" borderId="0" xfId="0" applyFont="true" applyBorder="true" applyAlignment="true" applyProtection="false">
      <alignment horizontal="center" vertical="bottom" textRotation="0" wrapText="false" indent="0" shrinkToFit="false"/>
      <protection locked="true" hidden="false"/>
    </xf>
    <xf numFmtId="172" fontId="84" fillId="0" borderId="0" xfId="0" applyFont="true" applyBorder="true" applyAlignment="true" applyProtection="false">
      <alignment horizontal="center" vertical="bottom" textRotation="0" wrapText="false" indent="0" shrinkToFit="false"/>
      <protection locked="true" hidden="false"/>
    </xf>
    <xf numFmtId="172" fontId="84" fillId="0" borderId="26" xfId="0" applyFont="true" applyBorder="true" applyAlignment="true" applyProtection="false">
      <alignment horizontal="center" vertical="bottom" textRotation="0" wrapText="false" indent="0" shrinkToFit="false"/>
      <protection locked="true" hidden="false"/>
    </xf>
    <xf numFmtId="172" fontId="0" fillId="0" borderId="0" xfId="0" applyFont="false" applyBorder="true" applyAlignment="true" applyProtection="false">
      <alignment horizontal="center" vertical="bottom" textRotation="0" wrapText="false" indent="0" shrinkToFit="false"/>
      <protection locked="true" hidden="false"/>
    </xf>
    <xf numFmtId="174" fontId="0" fillId="0" borderId="9" xfId="0" applyFont="false" applyBorder="true" applyAlignment="true" applyProtection="false">
      <alignment horizontal="center" vertical="bottom" textRotation="0" wrapText="false" indent="0" shrinkToFit="false"/>
      <protection locked="true" hidden="false"/>
    </xf>
    <xf numFmtId="174" fontId="34" fillId="0" borderId="26" xfId="0" applyFont="true" applyBorder="true" applyAlignment="true" applyProtection="false">
      <alignment horizontal="center" vertical="bottom" textRotation="0" wrapText="false" indent="0" shrinkToFit="false"/>
      <protection locked="true" hidden="false"/>
    </xf>
    <xf numFmtId="165" fontId="57" fillId="0" borderId="0" xfId="0" applyFont="true" applyBorder="true" applyAlignment="false" applyProtection="false">
      <alignment horizontal="general" vertical="bottom" textRotation="0" wrapText="false" indent="0" shrinkToFit="false"/>
      <protection locked="true" hidden="false"/>
    </xf>
    <xf numFmtId="165" fontId="57" fillId="0" borderId="26" xfId="0" applyFont="true" applyBorder="true" applyAlignment="false" applyProtection="false">
      <alignment horizontal="general" vertical="bottom" textRotation="0" wrapText="false" indent="0" shrinkToFit="false"/>
      <protection locked="true" hidden="false"/>
    </xf>
    <xf numFmtId="174" fontId="0" fillId="0" borderId="9" xfId="0" applyFont="false" applyBorder="true" applyAlignment="false" applyProtection="false">
      <alignment horizontal="general" vertical="bottom" textRotation="0" wrapText="false" indent="0" shrinkToFit="false"/>
      <protection locked="true" hidden="false"/>
    </xf>
    <xf numFmtId="167" fontId="0" fillId="0" borderId="26" xfId="19" applyFont="true" applyBorder="true" applyAlignment="true" applyProtection="true">
      <alignment horizontal="center" vertical="bottom" textRotation="0" wrapText="false" indent="0" shrinkToFit="false"/>
      <protection locked="true" hidden="false"/>
    </xf>
    <xf numFmtId="171" fontId="0" fillId="0" borderId="26" xfId="0" applyFont="false" applyBorder="true" applyAlignment="true" applyProtection="false">
      <alignment horizontal="center" vertical="bottom" textRotation="0" wrapText="false" indent="0" shrinkToFit="false"/>
      <protection locked="true" hidden="false"/>
    </xf>
    <xf numFmtId="172" fontId="0" fillId="0" borderId="0" xfId="0" applyFont="true" applyBorder="true" applyAlignment="true" applyProtection="false">
      <alignment horizontal="center" vertical="bottom" textRotation="0" wrapText="false" indent="0" shrinkToFit="false"/>
      <protection locked="true" hidden="false"/>
    </xf>
    <xf numFmtId="172" fontId="0" fillId="0" borderId="26" xfId="0" applyFont="false" applyBorder="true" applyAlignment="true" applyProtection="false">
      <alignment horizontal="center" vertical="bottom" textRotation="0" wrapText="false" indent="0" shrinkToFit="false"/>
      <protection locked="true" hidden="false"/>
    </xf>
    <xf numFmtId="165" fontId="57" fillId="0" borderId="0" xfId="0" applyFont="true" applyBorder="true" applyAlignment="true" applyProtection="false">
      <alignment horizontal="center" vertical="bottom" textRotation="0" wrapText="false" indent="0" shrinkToFit="false"/>
      <protection locked="true" hidden="false"/>
    </xf>
    <xf numFmtId="174" fontId="0" fillId="0" borderId="66" xfId="0" applyFont="false" applyBorder="true" applyAlignment="true" applyProtection="false">
      <alignment horizontal="center" vertical="bottom" textRotation="0" wrapText="false" indent="0" shrinkToFit="false"/>
      <protection locked="true" hidden="false"/>
    </xf>
    <xf numFmtId="174" fontId="37" fillId="0" borderId="0" xfId="0" applyFont="true" applyBorder="false" applyAlignment="true" applyProtection="false">
      <alignment horizontal="center" vertical="bottom" textRotation="0" wrapText="false" indent="0" shrinkToFit="false"/>
      <protection locked="true" hidden="false"/>
    </xf>
    <xf numFmtId="168" fontId="0" fillId="0" borderId="0" xfId="0" applyFont="false" applyBorder="false" applyAlignment="true" applyProtection="false">
      <alignment horizontal="center" vertical="bottom" textRotation="0" wrapText="false" indent="0" shrinkToFit="false"/>
      <protection locked="true" hidden="false"/>
    </xf>
    <xf numFmtId="168" fontId="0" fillId="0" borderId="0" xfId="0" applyFont="true" applyBorder="false" applyAlignment="true" applyProtection="false">
      <alignment horizontal="center" vertical="bottom" textRotation="0" wrapText="false" indent="0" shrinkToFit="false"/>
      <protection locked="true" hidden="false"/>
    </xf>
    <xf numFmtId="174" fontId="0" fillId="0" borderId="26" xfId="0" applyFont="true" applyBorder="true" applyAlignment="true" applyProtection="false">
      <alignment horizontal="center" vertical="bottom" textRotation="0" wrapText="false" indent="0" shrinkToFit="false"/>
      <protection locked="true" hidden="false"/>
    </xf>
    <xf numFmtId="174" fontId="83" fillId="0" borderId="0" xfId="0" applyFont="true" applyBorder="true" applyAlignment="true" applyProtection="false">
      <alignment horizontal="center" vertical="bottom" textRotation="0" wrapText="false" indent="0" shrinkToFit="false"/>
      <protection locked="true" hidden="false"/>
    </xf>
    <xf numFmtId="167" fontId="83" fillId="0" borderId="57" xfId="0" applyFont="true" applyBorder="true" applyAlignment="true" applyProtection="false">
      <alignment horizontal="center" vertical="center" textRotation="0" wrapText="true" indent="0" shrinkToFit="false"/>
      <protection locked="true" hidden="false"/>
    </xf>
    <xf numFmtId="174" fontId="0" fillId="0" borderId="66" xfId="0" applyFont="false" applyBorder="true" applyAlignment="true" applyProtection="false">
      <alignment horizontal="center" vertical="bottom" textRotation="0" wrapText="false" indent="0" shrinkToFit="false"/>
      <protection locked="true" hidden="false"/>
    </xf>
    <xf numFmtId="172" fontId="0" fillId="0" borderId="0" xfId="0" applyFont="true" applyBorder="false" applyAlignment="true" applyProtection="false">
      <alignment horizontal="center" vertical="bottom" textRotation="0" wrapText="false" indent="0" shrinkToFit="false"/>
      <protection locked="true" hidden="false"/>
    </xf>
    <xf numFmtId="172" fontId="0" fillId="0" borderId="66" xfId="0" applyFont="false" applyBorder="true" applyAlignment="true" applyProtection="false">
      <alignment horizontal="center" vertical="bottom" textRotation="0" wrapText="false" indent="0" shrinkToFit="false"/>
      <protection locked="true" hidden="false"/>
    </xf>
    <xf numFmtId="185" fontId="0" fillId="0" borderId="0" xfId="0" applyFont="false" applyBorder="true" applyAlignment="true" applyProtection="false">
      <alignment horizontal="center" vertical="bottom" textRotation="0" wrapText="false" indent="0" shrinkToFit="false"/>
      <protection locked="true" hidden="false"/>
    </xf>
    <xf numFmtId="172" fontId="0" fillId="0" borderId="57" xfId="0" applyFont="false" applyBorder="true" applyAlignment="true" applyProtection="false">
      <alignment horizontal="center" vertical="bottom" textRotation="0" wrapText="false" indent="0" shrinkToFit="false"/>
      <protection locked="true" hidden="false"/>
    </xf>
    <xf numFmtId="172" fontId="0" fillId="0" borderId="66" xfId="0" applyFont="false" applyBorder="true" applyAlignment="true" applyProtection="false">
      <alignment horizontal="center" vertical="bottom" textRotation="0" wrapText="false" indent="0" shrinkToFit="false"/>
      <protection locked="true" hidden="false"/>
    </xf>
    <xf numFmtId="168" fontId="0" fillId="0" borderId="66" xfId="0" applyFont="false" applyBorder="true" applyAlignment="true" applyProtection="false">
      <alignment horizontal="center" vertical="bottom" textRotation="0" wrapText="false" indent="0" shrinkToFit="false"/>
      <protection locked="true" hidden="false"/>
    </xf>
    <xf numFmtId="172" fontId="0" fillId="0" borderId="66" xfId="0" applyFont="true" applyBorder="true" applyAlignment="true" applyProtection="false">
      <alignment horizontal="center" vertical="bottom" textRotation="0" wrapText="false" indent="0" shrinkToFit="false"/>
      <protection locked="true" hidden="false"/>
    </xf>
    <xf numFmtId="174" fontId="34" fillId="0" borderId="66" xfId="0" applyFont="true" applyBorder="true" applyAlignment="true" applyProtection="false">
      <alignment horizontal="center" vertical="bottom" textRotation="0" wrapText="false" indent="0" shrinkToFit="false"/>
      <protection locked="true" hidden="false"/>
    </xf>
    <xf numFmtId="165" fontId="57" fillId="0" borderId="66" xfId="0" applyFont="true" applyBorder="true" applyAlignment="true" applyProtection="false">
      <alignment horizontal="center" vertical="bottom" textRotation="0" wrapText="false" indent="0" shrinkToFit="false"/>
      <protection locked="true" hidden="false"/>
    </xf>
    <xf numFmtId="172" fontId="0" fillId="0" borderId="66" xfId="0" applyFont="false" applyBorder="true" applyAlignment="false" applyProtection="false">
      <alignment horizontal="general" vertical="bottom" textRotation="0" wrapText="false" indent="0" shrinkToFit="false"/>
      <protection locked="true" hidden="false"/>
    </xf>
    <xf numFmtId="185" fontId="0" fillId="0" borderId="0" xfId="0" applyFont="false" applyBorder="true" applyAlignment="true" applyProtection="false">
      <alignment horizontal="center" vertical="bottom" textRotation="0" wrapText="false" indent="0" shrinkToFit="false"/>
      <protection locked="true" hidden="false"/>
    </xf>
    <xf numFmtId="169" fontId="0" fillId="0" borderId="22" xfId="0" applyFont="false" applyBorder="true" applyAlignment="true" applyProtection="false">
      <alignment horizontal="center" vertical="bottom" textRotation="0" wrapText="false" indent="0" shrinkToFit="false"/>
      <protection locked="true" hidden="false"/>
    </xf>
    <xf numFmtId="174" fontId="34" fillId="0" borderId="22" xfId="0" applyFont="true" applyBorder="true" applyAlignment="true" applyProtection="false">
      <alignment horizontal="center" vertical="bottom" textRotation="0" wrapText="false" indent="0" shrinkToFit="false"/>
      <protection locked="true" hidden="false"/>
    </xf>
    <xf numFmtId="165" fontId="34" fillId="0" borderId="22" xfId="0" applyFont="true" applyBorder="true" applyAlignment="true" applyProtection="false">
      <alignment horizontal="center" vertical="bottom" textRotation="0" wrapText="false" indent="0" shrinkToFit="false"/>
      <protection locked="true" hidden="false"/>
    </xf>
    <xf numFmtId="174" fontId="0" fillId="0" borderId="22" xfId="0" applyFont="true" applyBorder="true" applyAlignment="true" applyProtection="false">
      <alignment horizontal="center" vertical="bottom" textRotation="0" wrapText="false" indent="0" shrinkToFit="false"/>
      <protection locked="true" hidden="false"/>
    </xf>
    <xf numFmtId="172" fontId="0" fillId="0" borderId="22" xfId="0" applyFont="true" applyBorder="true" applyAlignment="true" applyProtection="false">
      <alignment horizontal="center" vertical="bottom" textRotation="0" wrapText="false" indent="0" shrinkToFit="false"/>
      <protection locked="true" hidden="false"/>
    </xf>
    <xf numFmtId="174" fontId="0" fillId="0" borderId="22" xfId="0" applyFont="false" applyBorder="true" applyAlignment="true" applyProtection="false">
      <alignment horizontal="center" vertical="bottom" textRotation="0" wrapText="false" indent="0" shrinkToFit="false"/>
      <protection locked="true" hidden="false"/>
    </xf>
    <xf numFmtId="174" fontId="34" fillId="0" borderId="29" xfId="0" applyFont="true" applyBorder="true" applyAlignment="true" applyProtection="false">
      <alignment horizontal="center" vertical="bottom" textRotation="0" wrapText="false" indent="0" shrinkToFit="false"/>
      <protection locked="true" hidden="false"/>
    </xf>
    <xf numFmtId="174" fontId="34" fillId="0" borderId="22" xfId="0" applyFont="true" applyBorder="true" applyAlignment="true" applyProtection="false">
      <alignment horizontal="center" vertical="bottom" textRotation="0" wrapText="false" indent="0" shrinkToFit="false"/>
      <protection locked="true" hidden="false"/>
    </xf>
    <xf numFmtId="172" fontId="0" fillId="0" borderId="22" xfId="0" applyFont="false" applyBorder="true" applyAlignment="true" applyProtection="false">
      <alignment horizontal="center" vertical="bottom" textRotation="0" wrapText="false" indent="0" shrinkToFit="false"/>
      <protection locked="true" hidden="false"/>
    </xf>
    <xf numFmtId="172" fontId="0" fillId="0" borderId="30" xfId="0" applyFont="false" applyBorder="true" applyAlignment="true" applyProtection="false">
      <alignment horizontal="center" vertical="bottom" textRotation="0" wrapText="false" indent="0" shrinkToFit="false"/>
      <protection locked="true" hidden="false"/>
    </xf>
    <xf numFmtId="172" fontId="34" fillId="0" borderId="22" xfId="0" applyFont="true" applyBorder="true" applyAlignment="true" applyProtection="false">
      <alignment horizontal="center" vertical="bottom" textRotation="0" wrapText="false" indent="0" shrinkToFit="false"/>
      <protection locked="true" hidden="false"/>
    </xf>
    <xf numFmtId="167" fontId="0" fillId="0" borderId="30" xfId="19" applyFont="true" applyBorder="true" applyAlignment="true" applyProtection="true">
      <alignment horizontal="center" vertical="bottom" textRotation="0" wrapText="false" indent="0" shrinkToFit="false"/>
      <protection locked="true" hidden="false"/>
    </xf>
    <xf numFmtId="174" fontId="57" fillId="0" borderId="22" xfId="0" applyFont="true" applyBorder="true" applyAlignment="true" applyProtection="false">
      <alignment horizontal="center" vertical="bottom" textRotation="0" wrapText="false" indent="0" shrinkToFit="false"/>
      <protection locked="true" hidden="false"/>
    </xf>
    <xf numFmtId="171" fontId="0" fillId="0" borderId="30" xfId="0" applyFont="false" applyBorder="true" applyAlignment="true" applyProtection="false">
      <alignment horizontal="center" vertical="bottom" textRotation="0" wrapText="false" indent="0" shrinkToFit="false"/>
      <protection locked="true" hidden="false"/>
    </xf>
    <xf numFmtId="174" fontId="83" fillId="0" borderId="22" xfId="0" applyFont="true" applyBorder="true" applyAlignment="true" applyProtection="false">
      <alignment horizontal="center" vertical="center" textRotation="0" wrapText="true" indent="0" shrinkToFit="false"/>
      <protection locked="true" hidden="false"/>
    </xf>
    <xf numFmtId="174" fontId="83" fillId="0" borderId="22" xfId="0" applyFont="true" applyBorder="true" applyAlignment="true" applyProtection="false">
      <alignment horizontal="center" vertical="bottom" textRotation="0" wrapText="false" indent="0" shrinkToFit="false"/>
      <protection locked="true" hidden="false"/>
    </xf>
    <xf numFmtId="167" fontId="83" fillId="0" borderId="26" xfId="0" applyFont="true" applyBorder="true" applyAlignment="true" applyProtection="false">
      <alignment horizontal="center" vertical="center" textRotation="0" wrapText="true" indent="0" shrinkToFit="false"/>
      <protection locked="true" hidden="false"/>
    </xf>
    <xf numFmtId="174" fontId="34" fillId="0" borderId="29" xfId="0" applyFont="true" applyBorder="true" applyAlignment="true" applyProtection="false">
      <alignment horizontal="center" vertical="center" textRotation="0" wrapText="true" indent="0" shrinkToFit="false"/>
      <protection locked="true" hidden="false"/>
    </xf>
    <xf numFmtId="174" fontId="0" fillId="0" borderId="22" xfId="0" applyFont="true" applyBorder="true" applyAlignment="true" applyProtection="false">
      <alignment horizontal="center" vertical="center" textRotation="0" wrapText="true" indent="0" shrinkToFit="false"/>
      <protection locked="true" hidden="false"/>
    </xf>
    <xf numFmtId="174" fontId="0" fillId="0" borderId="22" xfId="0" applyFont="false" applyBorder="true" applyAlignment="false" applyProtection="false">
      <alignment horizontal="general" vertical="bottom" textRotation="0" wrapText="false" indent="0" shrinkToFit="false"/>
      <protection locked="true" hidden="false"/>
    </xf>
    <xf numFmtId="167" fontId="0" fillId="0" borderId="30" xfId="0" applyFont="true" applyBorder="true" applyAlignment="true" applyProtection="false">
      <alignment horizontal="center" vertical="center" textRotation="0" wrapText="true" indent="0" shrinkToFit="false"/>
      <protection locked="true" hidden="false"/>
    </xf>
    <xf numFmtId="172" fontId="0" fillId="0" borderId="22" xfId="0" applyFont="false" applyBorder="true" applyAlignment="true" applyProtection="false">
      <alignment horizontal="center" vertical="bottom" textRotation="0" wrapText="false" indent="0" shrinkToFit="false"/>
      <protection locked="true" hidden="false"/>
    </xf>
    <xf numFmtId="174" fontId="57" fillId="0" borderId="22" xfId="0" applyFont="true" applyBorder="true" applyAlignment="true" applyProtection="false">
      <alignment horizontal="center" vertical="bottom" textRotation="0" wrapText="false" indent="0" shrinkToFit="false"/>
      <protection locked="true" hidden="false"/>
    </xf>
    <xf numFmtId="172" fontId="0" fillId="0" borderId="29" xfId="0" applyFont="false" applyBorder="true" applyAlignment="true" applyProtection="false">
      <alignment horizontal="center" vertical="bottom" textRotation="0" wrapText="false" indent="0" shrinkToFit="false"/>
      <protection locked="true" hidden="false"/>
    </xf>
    <xf numFmtId="174" fontId="0" fillId="0" borderId="22" xfId="19" applyFont="true" applyBorder="true" applyAlignment="true" applyProtection="true">
      <alignment horizontal="center" vertical="bottom" textRotation="0" wrapText="false" indent="0" shrinkToFit="false"/>
      <protection locked="true" hidden="false"/>
    </xf>
    <xf numFmtId="174" fontId="37" fillId="0" borderId="22" xfId="0" applyFont="true" applyBorder="true" applyAlignment="true" applyProtection="false">
      <alignment horizontal="center" vertical="bottom" textRotation="0" wrapText="false" indent="0" shrinkToFit="false"/>
      <protection locked="true" hidden="false"/>
    </xf>
    <xf numFmtId="172" fontId="34" fillId="0" borderId="22" xfId="0" applyFont="true" applyBorder="true" applyAlignment="true" applyProtection="false">
      <alignment horizontal="center" vertical="bottom" textRotation="0" wrapText="false" indent="0" shrinkToFit="false"/>
      <protection locked="true" hidden="false"/>
    </xf>
    <xf numFmtId="167" fontId="0" fillId="0" borderId="22" xfId="19" applyFont="true" applyBorder="true" applyAlignment="true" applyProtection="true">
      <alignment horizontal="center" vertical="bottom" textRotation="0" wrapText="false" indent="0" shrinkToFit="false"/>
      <protection locked="true" hidden="false"/>
    </xf>
    <xf numFmtId="172" fontId="0" fillId="0" borderId="22" xfId="0" applyFont="true" applyBorder="true" applyAlignment="true" applyProtection="false">
      <alignment horizontal="center" vertical="bottom" textRotation="0" wrapText="false" indent="0" shrinkToFit="false"/>
      <protection locked="true" hidden="false"/>
    </xf>
    <xf numFmtId="174" fontId="37" fillId="0" borderId="22" xfId="0" applyFont="true" applyBorder="true" applyAlignment="true" applyProtection="false">
      <alignment horizontal="center" vertical="bottom" textRotation="0" wrapText="false" indent="0" shrinkToFit="false"/>
      <protection locked="true" hidden="false"/>
    </xf>
    <xf numFmtId="172" fontId="37" fillId="0" borderId="22" xfId="0" applyFont="true" applyBorder="true" applyAlignment="true" applyProtection="false">
      <alignment horizontal="center" vertical="bottom" textRotation="0" wrapText="false" indent="0" shrinkToFit="false"/>
      <protection locked="true" hidden="false"/>
    </xf>
    <xf numFmtId="174" fontId="0" fillId="0" borderId="29" xfId="0" applyFont="false" applyBorder="true" applyAlignment="true" applyProtection="false">
      <alignment horizontal="center" vertical="bottom" textRotation="0" wrapText="false" indent="0" shrinkToFit="false"/>
      <protection locked="true" hidden="false"/>
    </xf>
    <xf numFmtId="174" fontId="34" fillId="0" borderId="30" xfId="0" applyFont="true" applyBorder="true" applyAlignment="true" applyProtection="false">
      <alignment horizontal="center" vertical="bottom" textRotation="0" wrapText="false" indent="0" shrinkToFit="false"/>
      <protection locked="true" hidden="false"/>
    </xf>
    <xf numFmtId="174" fontId="0" fillId="0" borderId="30" xfId="0" applyFont="true" applyBorder="true" applyAlignment="true" applyProtection="false">
      <alignment horizontal="center" vertical="bottom" textRotation="0" wrapText="false" indent="0" shrinkToFit="false"/>
      <protection locked="true" hidden="false"/>
    </xf>
    <xf numFmtId="165" fontId="57" fillId="0" borderId="22" xfId="0" applyFont="true" applyBorder="true" applyAlignment="false" applyProtection="false">
      <alignment horizontal="general" vertical="bottom" textRotation="0" wrapText="false" indent="0" shrinkToFit="false"/>
      <protection locked="true" hidden="false"/>
    </xf>
    <xf numFmtId="172" fontId="0" fillId="0" borderId="30" xfId="0" applyFont="false" applyBorder="true" applyAlignment="true" applyProtection="false">
      <alignment horizontal="center" vertical="bottom" textRotation="0" wrapText="false" indent="0" shrinkToFit="false"/>
      <protection locked="true" hidden="false"/>
    </xf>
    <xf numFmtId="171" fontId="0" fillId="0" borderId="29" xfId="19" applyFont="true" applyBorder="true" applyAlignment="true" applyProtection="true">
      <alignment horizontal="center" vertical="bottom" textRotation="0" wrapText="false" indent="0" shrinkToFit="false"/>
      <protection locked="true" hidden="false"/>
    </xf>
    <xf numFmtId="171" fontId="0" fillId="0" borderId="22" xfId="19" applyFont="true" applyBorder="true" applyAlignment="true" applyProtection="true">
      <alignment horizontal="center" vertical="bottom" textRotation="0" wrapText="false" indent="0" shrinkToFit="false"/>
      <protection locked="true" hidden="false"/>
    </xf>
    <xf numFmtId="171" fontId="85" fillId="0" borderId="22" xfId="19" applyFont="true" applyBorder="true" applyAlignment="true" applyProtection="true">
      <alignment horizontal="center" vertical="bottom" textRotation="0" wrapText="false" indent="0" shrinkToFit="false"/>
      <protection locked="true" hidden="false"/>
    </xf>
    <xf numFmtId="165" fontId="0" fillId="0" borderId="22" xfId="0" applyFont="false" applyBorder="true" applyAlignment="false" applyProtection="false">
      <alignment horizontal="general" vertical="bottom" textRotation="0" wrapText="false" indent="0" shrinkToFit="false"/>
      <protection locked="true" hidden="false"/>
    </xf>
    <xf numFmtId="165" fontId="0" fillId="0" borderId="30" xfId="19" applyFont="true" applyBorder="true" applyAlignment="true" applyProtection="true">
      <alignment horizontal="center" vertical="bottom" textRotation="0" wrapText="false" indent="0" shrinkToFit="false"/>
      <protection locked="true" hidden="false"/>
    </xf>
    <xf numFmtId="172" fontId="0" fillId="0" borderId="22" xfId="0" applyFont="false" applyBorder="true" applyAlignment="false" applyProtection="false">
      <alignment horizontal="general" vertical="bottom" textRotation="0" wrapText="false" indent="0" shrinkToFit="false"/>
      <protection locked="true" hidden="false"/>
    </xf>
    <xf numFmtId="167" fontId="0" fillId="0" borderId="22" xfId="19" applyFont="true" applyBorder="true" applyAlignment="true" applyProtection="true">
      <alignment horizontal="general" vertical="bottom" textRotation="0" wrapText="false" indent="0" shrinkToFit="false"/>
      <protection locked="true" hidden="false"/>
    </xf>
    <xf numFmtId="172" fontId="34" fillId="0" borderId="0" xfId="0" applyFont="true" applyBorder="true" applyAlignment="true" applyProtection="false">
      <alignment horizontal="center" vertical="bottom" textRotation="0" wrapText="false" indent="0" shrinkToFit="false"/>
      <protection locked="true" hidden="false"/>
    </xf>
    <xf numFmtId="174" fontId="57" fillId="0" borderId="0" xfId="0" applyFont="true" applyBorder="false" applyAlignment="true" applyProtection="false">
      <alignment horizontal="center" vertical="bottom" textRotation="0" wrapText="false" indent="0" shrinkToFit="false"/>
      <protection locked="true" hidden="false"/>
    </xf>
    <xf numFmtId="174" fontId="83" fillId="0" borderId="0" xfId="0" applyFont="true" applyBorder="true" applyAlignment="true" applyProtection="false">
      <alignment horizontal="center" vertical="center" textRotation="0" wrapText="true" indent="0" shrinkToFit="false"/>
      <protection locked="true" hidden="false"/>
    </xf>
    <xf numFmtId="174" fontId="57" fillId="0" borderId="0" xfId="0" applyFont="true" applyBorder="false" applyAlignment="true" applyProtection="false">
      <alignment horizontal="center" vertical="bottom" textRotation="0" wrapText="false" indent="0" shrinkToFit="false"/>
      <protection locked="true" hidden="false"/>
    </xf>
    <xf numFmtId="174" fontId="37" fillId="0" borderId="0" xfId="0" applyFont="true" applyBorder="true" applyAlignment="true" applyProtection="false">
      <alignment horizontal="center" vertical="bottom" textRotation="0" wrapText="false" indent="0" shrinkToFit="false"/>
      <protection locked="true" hidden="false"/>
    </xf>
    <xf numFmtId="165" fontId="31" fillId="0" borderId="26" xfId="19" applyFont="true" applyBorder="true" applyAlignment="true" applyProtection="true">
      <alignment horizontal="center" vertical="bottom" textRotation="0" wrapText="false" indent="0" shrinkToFit="false"/>
      <protection locked="true" hidden="false"/>
    </xf>
    <xf numFmtId="167" fontId="85" fillId="0" borderId="0" xfId="19" applyFont="true" applyBorder="true" applyAlignment="true" applyProtection="true">
      <alignment horizontal="center" vertical="bottom" textRotation="0" wrapText="false" indent="0" shrinkToFit="false"/>
      <protection locked="true" hidden="false"/>
    </xf>
    <xf numFmtId="168" fontId="0" fillId="0" borderId="0" xfId="0" applyFont="true" applyBorder="true" applyAlignment="true" applyProtection="false">
      <alignment horizontal="center" vertical="bottom" textRotation="0" wrapText="false" indent="0" shrinkToFit="false"/>
      <protection locked="true" hidden="false"/>
    </xf>
    <xf numFmtId="185" fontId="0" fillId="0" borderId="0" xfId="0" applyFont="true" applyBorder="true" applyAlignment="true" applyProtection="false">
      <alignment horizontal="center" vertical="bottom" textRotation="0" wrapText="false" indent="0" shrinkToFit="false"/>
      <protection locked="true" hidden="false"/>
    </xf>
    <xf numFmtId="168" fontId="0" fillId="0" borderId="0" xfId="0" applyFont="false" applyBorder="true" applyAlignment="true" applyProtection="false">
      <alignment horizontal="center" vertical="bottom" textRotation="0" wrapText="false" indent="0" shrinkToFit="false"/>
      <protection locked="true" hidden="false"/>
    </xf>
    <xf numFmtId="164" fontId="0" fillId="0" borderId="26" xfId="0" applyFont="false" applyBorder="true" applyAlignment="true" applyProtection="false">
      <alignment horizontal="center" vertical="bottom" textRotation="0" wrapText="false" indent="0" shrinkToFit="false"/>
      <protection locked="true" hidden="false"/>
    </xf>
    <xf numFmtId="171" fontId="64" fillId="0" borderId="0" xfId="19" applyFont="true" applyBorder="true" applyAlignment="true" applyProtection="true">
      <alignment horizontal="center" vertical="bottom" textRotation="0" wrapText="false" indent="0" shrinkToFit="false"/>
      <protection locked="true" hidden="false"/>
    </xf>
    <xf numFmtId="165" fontId="64" fillId="0" borderId="0" xfId="0" applyFont="true" applyBorder="true" applyAlignment="false" applyProtection="false">
      <alignment horizontal="general" vertical="bottom" textRotation="0" wrapText="false" indent="0" shrinkToFit="false"/>
      <protection locked="true" hidden="false"/>
    </xf>
    <xf numFmtId="165" fontId="0" fillId="0" borderId="0" xfId="0" applyFont="true" applyBorder="true" applyAlignment="false" applyProtection="false">
      <alignment horizontal="general" vertical="bottom" textRotation="0" wrapText="false" indent="0" shrinkToFit="false"/>
      <protection locked="true" hidden="false"/>
    </xf>
    <xf numFmtId="171" fontId="64" fillId="0" borderId="0" xfId="19" applyFont="true" applyBorder="true" applyAlignment="true" applyProtection="true">
      <alignment horizontal="general" vertical="bottom" textRotation="0" wrapText="false" indent="0" shrinkToFit="false"/>
      <protection locked="true" hidden="false"/>
    </xf>
    <xf numFmtId="185" fontId="0" fillId="0" borderId="0" xfId="0" applyFont="false" applyBorder="false" applyAlignment="false" applyProtection="false">
      <alignment horizontal="general" vertical="bottom" textRotation="0" wrapText="false" indent="0" shrinkToFit="false"/>
      <protection locked="true" hidden="false"/>
    </xf>
    <xf numFmtId="167" fontId="0" fillId="0" borderId="26" xfId="19" applyFont="true" applyBorder="true" applyAlignment="true" applyProtection="true">
      <alignment horizontal="general" vertical="bottom" textRotation="0" wrapText="false" indent="0" shrinkToFit="false"/>
      <protection locked="true" hidden="false"/>
    </xf>
    <xf numFmtId="164" fontId="34" fillId="0" borderId="0" xfId="0" applyFont="true" applyBorder="false" applyAlignment="true" applyProtection="false">
      <alignment horizontal="right" vertical="bottom" textRotation="0" wrapText="false" indent="0" shrinkToFit="false"/>
      <protection locked="true" hidden="false"/>
    </xf>
    <xf numFmtId="164" fontId="34" fillId="0" borderId="9" xfId="0" applyFont="true" applyBorder="true" applyAlignment="true" applyProtection="false">
      <alignment horizontal="left" vertical="bottom" textRotation="0" wrapText="false" indent="0" shrinkToFit="false"/>
      <protection locked="true" hidden="false"/>
    </xf>
    <xf numFmtId="164" fontId="86" fillId="0" borderId="0" xfId="0" applyFont="true" applyBorder="true" applyAlignment="true" applyProtection="false">
      <alignment horizontal="center" vertical="center" textRotation="0" wrapText="tru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86" fillId="0" borderId="26" xfId="0" applyFont="true" applyBorder="true" applyAlignment="true" applyProtection="false">
      <alignment horizontal="center" vertical="center" textRotation="0" wrapText="true" indent="0" shrinkToFit="false"/>
      <protection locked="true" hidden="false"/>
    </xf>
    <xf numFmtId="164" fontId="65" fillId="0" borderId="0" xfId="0" applyFont="true" applyBorder="true" applyAlignment="true" applyProtection="false">
      <alignment horizontal="general" vertical="center" textRotation="0" wrapText="true" indent="0" shrinkToFit="false"/>
      <protection locked="true" hidden="false"/>
    </xf>
    <xf numFmtId="164" fontId="79" fillId="0" borderId="0" xfId="64" applyFont="true" applyBorder="true" applyAlignment="true" applyProtection="false">
      <alignment horizontal="general" vertical="center" textRotation="0" wrapText="true" indent="0" shrinkToFit="false"/>
      <protection locked="true" hidden="false"/>
    </xf>
    <xf numFmtId="164" fontId="33" fillId="0" borderId="26" xfId="0" applyFont="true" applyBorder="true" applyAlignment="true" applyProtection="false">
      <alignment horizontal="center" vertical="center" textRotation="0" wrapText="false" indent="0" shrinkToFit="false"/>
      <protection locked="true" hidden="false"/>
    </xf>
    <xf numFmtId="164" fontId="33" fillId="0" borderId="0" xfId="0" applyFont="true" applyBorder="true" applyAlignment="true" applyProtection="false">
      <alignment horizontal="general" vertical="center" textRotation="0" wrapText="false" indent="0" shrinkToFit="false"/>
      <protection locked="true" hidden="false"/>
    </xf>
    <xf numFmtId="185" fontId="34" fillId="0" borderId="9" xfId="0" applyFont="true" applyBorder="true" applyAlignment="true" applyProtection="false">
      <alignment horizontal="center" vertical="bottom" textRotation="0" wrapText="false" indent="0" shrinkToFit="false"/>
      <protection locked="true" hidden="false"/>
    </xf>
    <xf numFmtId="174" fontId="34" fillId="0" borderId="9" xfId="0" applyFont="true" applyBorder="true" applyAlignment="true" applyProtection="false">
      <alignment horizontal="center" vertical="bottom" textRotation="0" wrapText="true" indent="0" shrinkToFit="false"/>
      <protection locked="true" hidden="false"/>
    </xf>
    <xf numFmtId="174" fontId="0" fillId="0" borderId="0" xfId="0" applyFont="true" applyBorder="true" applyAlignment="true" applyProtection="false">
      <alignment horizontal="center" vertical="bottom" textRotation="0" wrapText="true" indent="0" shrinkToFit="false"/>
      <protection locked="true" hidden="false"/>
    </xf>
    <xf numFmtId="185" fontId="0" fillId="0" borderId="0" xfId="0" applyFont="true" applyBorder="true" applyAlignment="true" applyProtection="false">
      <alignment horizontal="center" vertical="bottom" textRotation="0" wrapText="true" indent="0" shrinkToFit="false"/>
      <protection locked="true" hidden="false"/>
    </xf>
    <xf numFmtId="167" fontId="0" fillId="0" borderId="0" xfId="0" applyFont="true" applyBorder="true" applyAlignment="true" applyProtection="false">
      <alignment horizontal="center" vertical="bottom" textRotation="0" wrapText="true" indent="0" shrinkToFit="false"/>
      <protection locked="true" hidden="false"/>
    </xf>
    <xf numFmtId="185" fontId="34" fillId="0" borderId="9" xfId="0" applyFont="true" applyBorder="true" applyAlignment="true" applyProtection="false">
      <alignment horizontal="center" vertical="bottom" textRotation="0" wrapText="true" indent="0" shrinkToFit="false"/>
      <protection locked="true" hidden="false"/>
    </xf>
    <xf numFmtId="167" fontId="0" fillId="0" borderId="26" xfId="0" applyFont="true" applyBorder="true" applyAlignment="true" applyProtection="false">
      <alignment horizontal="center" vertical="bottom" textRotation="0" wrapText="true" indent="0" shrinkToFit="false"/>
      <protection locked="true" hidden="false"/>
    </xf>
    <xf numFmtId="168" fontId="0" fillId="0" borderId="0" xfId="0" applyFont="false" applyBorder="true" applyAlignment="true" applyProtection="false">
      <alignment horizontal="center" vertical="bottom" textRotation="0" wrapText="false" indent="0" shrinkToFit="false"/>
      <protection locked="true" hidden="false"/>
    </xf>
    <xf numFmtId="174" fontId="34" fillId="0" borderId="26" xfId="0" applyFont="true" applyBorder="true" applyAlignment="true" applyProtection="false">
      <alignment horizontal="center" vertical="bottom" textRotation="0" wrapText="false" indent="0" shrinkToFit="false"/>
      <protection locked="true" hidden="false"/>
    </xf>
    <xf numFmtId="185" fontId="34" fillId="0" borderId="9" xfId="0" applyFont="true" applyBorder="true" applyAlignment="true" applyProtection="false">
      <alignment horizontal="center" vertical="bottom" textRotation="0" wrapText="true" indent="0" shrinkToFit="false"/>
      <protection locked="true" hidden="false"/>
    </xf>
    <xf numFmtId="174" fontId="0" fillId="0" borderId="66" xfId="0" applyFont="true" applyBorder="true" applyAlignment="true" applyProtection="false">
      <alignment horizontal="center" vertical="bottom" textRotation="0" wrapText="false" indent="0" shrinkToFit="false"/>
      <protection locked="true" hidden="false"/>
    </xf>
    <xf numFmtId="174" fontId="0" fillId="0" borderId="66" xfId="0" applyFont="true" applyBorder="true" applyAlignment="true" applyProtection="false">
      <alignment horizontal="center" vertical="bottom" textRotation="0" wrapText="false" indent="0" shrinkToFit="false"/>
      <protection locked="true" hidden="false"/>
    </xf>
    <xf numFmtId="174" fontId="34" fillId="0" borderId="56" xfId="0" applyFont="true" applyBorder="true" applyAlignment="true" applyProtection="false">
      <alignment horizontal="center" vertical="bottom" textRotation="0" wrapText="false" indent="0" shrinkToFit="false"/>
      <protection locked="true" hidden="false"/>
    </xf>
    <xf numFmtId="174" fontId="0" fillId="0" borderId="56" xfId="0" applyFont="false" applyBorder="true" applyAlignment="true" applyProtection="false">
      <alignment horizontal="center" vertical="bottom" textRotation="0" wrapText="false" indent="0" shrinkToFit="false"/>
      <protection locked="true" hidden="false"/>
    </xf>
    <xf numFmtId="185" fontId="0" fillId="0" borderId="66" xfId="0" applyFont="false" applyBorder="true" applyAlignment="true" applyProtection="false">
      <alignment horizontal="center" vertical="bottom" textRotation="0" wrapText="false" indent="0" shrinkToFit="false"/>
      <protection locked="true" hidden="false"/>
    </xf>
    <xf numFmtId="167" fontId="0" fillId="0" borderId="57" xfId="19" applyFont="true" applyBorder="true" applyAlignment="true" applyProtection="true">
      <alignment horizontal="center" vertical="bottom" textRotation="0" wrapText="false" indent="0" shrinkToFit="false"/>
      <protection locked="true" hidden="false"/>
    </xf>
    <xf numFmtId="174" fontId="34" fillId="0" borderId="56" xfId="0" applyFont="true" applyBorder="true" applyAlignment="true" applyProtection="false">
      <alignment horizontal="center" vertical="bottom" textRotation="0" wrapText="true" indent="0" shrinkToFit="false"/>
      <protection locked="true" hidden="false"/>
    </xf>
    <xf numFmtId="174" fontId="0" fillId="0" borderId="66" xfId="0" applyFont="true" applyBorder="true" applyAlignment="true" applyProtection="false">
      <alignment horizontal="center" vertical="bottom" textRotation="0" wrapText="true" indent="0" shrinkToFit="false"/>
      <protection locked="true" hidden="false"/>
    </xf>
    <xf numFmtId="185" fontId="0" fillId="0" borderId="66" xfId="0" applyFont="true" applyBorder="true" applyAlignment="true" applyProtection="false">
      <alignment horizontal="center" vertical="bottom" textRotation="0" wrapText="true" indent="0" shrinkToFit="false"/>
      <protection locked="true" hidden="false"/>
    </xf>
    <xf numFmtId="185" fontId="0" fillId="0" borderId="66" xfId="0" applyFont="false" applyBorder="true" applyAlignment="true" applyProtection="false">
      <alignment horizontal="center" vertical="bottom" textRotation="0" wrapText="false" indent="0" shrinkToFit="false"/>
      <protection locked="true" hidden="false"/>
    </xf>
    <xf numFmtId="167" fontId="0" fillId="0" borderId="66" xfId="0" applyFont="true" applyBorder="true" applyAlignment="true" applyProtection="false">
      <alignment horizontal="center" vertical="bottom" textRotation="0" wrapText="true" indent="0" shrinkToFit="false"/>
      <protection locked="true" hidden="false"/>
    </xf>
    <xf numFmtId="185" fontId="34" fillId="0" borderId="56" xfId="0" applyFont="true" applyBorder="true" applyAlignment="true" applyProtection="false">
      <alignment horizontal="center" vertical="bottom" textRotation="0" wrapText="true" indent="0" shrinkToFit="false"/>
      <protection locked="true" hidden="false"/>
    </xf>
    <xf numFmtId="167" fontId="0" fillId="0" borderId="57" xfId="0" applyFont="true" applyBorder="true" applyAlignment="true" applyProtection="false">
      <alignment horizontal="center" vertical="bottom" textRotation="0" wrapText="true" indent="0" shrinkToFit="false"/>
      <protection locked="true" hidden="false"/>
    </xf>
    <xf numFmtId="174" fontId="0" fillId="0" borderId="56" xfId="0" applyFont="false" applyBorder="true" applyAlignment="true" applyProtection="false">
      <alignment horizontal="center" vertical="bottom" textRotation="0" wrapText="false" indent="0" shrinkToFit="false"/>
      <protection locked="true" hidden="false"/>
    </xf>
    <xf numFmtId="174" fontId="0" fillId="0" borderId="57" xfId="0" applyFont="false" applyBorder="true" applyAlignment="true" applyProtection="false">
      <alignment horizontal="center" vertical="bottom" textRotation="0" wrapText="false" indent="0" shrinkToFit="false"/>
      <protection locked="true" hidden="false"/>
    </xf>
    <xf numFmtId="172" fontId="0" fillId="0" borderId="56" xfId="0" applyFont="false" applyBorder="true" applyAlignment="true" applyProtection="false">
      <alignment horizontal="center" vertical="bottom" textRotation="0" wrapText="false" indent="0" shrinkToFit="false"/>
      <protection locked="true" hidden="false"/>
    </xf>
    <xf numFmtId="172" fontId="0" fillId="0" borderId="57" xfId="0" applyFont="false" applyBorder="true" applyAlignment="true" applyProtection="false">
      <alignment horizontal="center" vertical="bottom" textRotation="0" wrapText="false" indent="0" shrinkToFit="false"/>
      <protection locked="true" hidden="false"/>
    </xf>
    <xf numFmtId="172" fontId="37" fillId="0" borderId="66" xfId="0" applyFont="true" applyBorder="true" applyAlignment="true" applyProtection="false">
      <alignment horizontal="center" vertical="bottom" textRotation="0" wrapText="false" indent="0" shrinkToFit="false"/>
      <protection locked="true" hidden="false"/>
    </xf>
    <xf numFmtId="168" fontId="0" fillId="0" borderId="66" xfId="0" applyFont="true" applyBorder="true" applyAlignment="true" applyProtection="false">
      <alignment horizontal="center" vertical="bottom" textRotation="0" wrapText="false" indent="0" shrinkToFit="false"/>
      <protection locked="true" hidden="false"/>
    </xf>
    <xf numFmtId="174" fontId="34" fillId="0" borderId="57" xfId="0" applyFont="true" applyBorder="true" applyAlignment="true" applyProtection="false">
      <alignment horizontal="center" vertical="bottom" textRotation="0" wrapText="false" indent="0" shrinkToFit="false"/>
      <protection locked="true" hidden="false"/>
    </xf>
    <xf numFmtId="165" fontId="0" fillId="0" borderId="66" xfId="0" applyFont="false" applyBorder="true" applyAlignment="true" applyProtection="false">
      <alignment horizontal="center" vertical="bottom" textRotation="0" wrapText="false" indent="0" shrinkToFit="false"/>
      <protection locked="true" hidden="false"/>
    </xf>
    <xf numFmtId="165" fontId="0" fillId="0" borderId="66" xfId="0" applyFont="false" applyBorder="true" applyAlignment="true" applyProtection="false">
      <alignment horizontal="center" vertical="bottom" textRotation="0" wrapText="false" indent="0" shrinkToFit="false"/>
      <protection locked="true" hidden="false"/>
    </xf>
    <xf numFmtId="168" fontId="0" fillId="0" borderId="9" xfId="0" applyFont="false" applyBorder="true" applyAlignment="true" applyProtection="false">
      <alignment horizontal="center" vertical="bottom" textRotation="0" wrapText="false" indent="0" shrinkToFit="false"/>
      <protection locked="true" hidden="false"/>
    </xf>
    <xf numFmtId="172" fontId="37" fillId="0" borderId="0" xfId="0" applyFont="true" applyBorder="true" applyAlignment="true" applyProtection="false">
      <alignment horizontal="center" vertical="bottom" textRotation="0" wrapText="false" indent="0" shrinkToFit="false"/>
      <protection locked="true" hidden="false"/>
    </xf>
    <xf numFmtId="185" fontId="0" fillId="0" borderId="9" xfId="0" applyFont="false" applyBorder="true" applyAlignment="true" applyProtection="false">
      <alignment horizontal="center" vertical="bottom" textRotation="0" wrapText="false" indent="0" shrinkToFit="false"/>
      <protection locked="true" hidden="false"/>
    </xf>
    <xf numFmtId="185" fontId="34" fillId="0" borderId="0" xfId="0" applyFont="true" applyBorder="true" applyAlignment="true" applyProtection="false">
      <alignment horizontal="center" vertical="bottom" textRotation="0" wrapText="false" indent="0" shrinkToFit="false"/>
      <protection locked="true" hidden="false"/>
    </xf>
    <xf numFmtId="174" fontId="57" fillId="0" borderId="0" xfId="0" applyFont="true" applyBorder="true" applyAlignment="true" applyProtection="false">
      <alignment horizontal="center" vertical="bottom" textRotation="0" wrapText="false" indent="0" shrinkToFit="false"/>
      <protection locked="true" hidden="false"/>
    </xf>
    <xf numFmtId="174" fontId="34" fillId="0" borderId="0" xfId="0" applyFont="true" applyBorder="true" applyAlignment="true" applyProtection="false">
      <alignment horizontal="center" vertical="bottom" textRotation="0" wrapText="true" indent="0" shrinkToFit="false"/>
      <protection locked="true" hidden="false"/>
    </xf>
    <xf numFmtId="165" fontId="64" fillId="0" borderId="0" xfId="0" applyFont="true" applyBorder="true" applyAlignment="true" applyProtection="false">
      <alignment horizontal="center" vertical="bottom" textRotation="0" wrapText="false" indent="0" shrinkToFit="false"/>
      <protection locked="true" hidden="false"/>
    </xf>
    <xf numFmtId="183" fontId="0" fillId="0" borderId="0" xfId="0" applyFont="false" applyBorder="true" applyAlignment="true" applyProtection="false">
      <alignment horizontal="center" vertical="bottom" textRotation="0" wrapText="false" indent="0" shrinkToFit="false"/>
      <protection locked="true" hidden="false"/>
    </xf>
    <xf numFmtId="186" fontId="0" fillId="0" borderId="0" xfId="0" applyFont="fals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8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left" vertical="bottom" textRotation="0" wrapText="false" indent="0" shrinkToFit="false"/>
      <protection locked="true" hidden="false"/>
    </xf>
    <xf numFmtId="164" fontId="34" fillId="0" borderId="9" xfId="0" applyFont="true" applyBorder="true" applyAlignment="true" applyProtection="false">
      <alignment horizontal="left" vertical="bottom" textRotation="0" wrapText="false" indent="0" shrinkToFit="false"/>
      <protection locked="true" hidden="false"/>
    </xf>
    <xf numFmtId="164" fontId="0" fillId="0" borderId="0" xfId="0" applyFont="false" applyBorder="true" applyAlignment="true" applyProtection="false">
      <alignment horizontal="left" vertical="bottom" textRotation="0" wrapText="false" indent="0" shrinkToFit="false"/>
      <protection locked="true" hidden="false"/>
    </xf>
    <xf numFmtId="164" fontId="0" fillId="0" borderId="26" xfId="0" applyFont="false" applyBorder="true" applyAlignment="true" applyProtection="false">
      <alignment horizontal="left" vertical="bottom" textRotation="0" wrapText="false" indent="0" shrinkToFit="false"/>
      <protection locked="true" hidden="false"/>
    </xf>
    <xf numFmtId="164" fontId="34" fillId="0" borderId="0" xfId="0" applyFont="true" applyBorder="true" applyAlignment="true" applyProtection="false">
      <alignment horizontal="general" vertical="bottom" textRotation="0" wrapText="false" indent="0" shrinkToFit="false"/>
      <protection locked="true" hidden="false"/>
    </xf>
    <xf numFmtId="164" fontId="0" fillId="0" borderId="126" xfId="0" applyFont="false" applyBorder="true" applyAlignment="true" applyProtection="false">
      <alignment horizontal="general" vertical="bottom" textRotation="0" wrapText="false" indent="0" shrinkToFit="false"/>
      <protection locked="true" hidden="false"/>
    </xf>
    <xf numFmtId="164" fontId="0" fillId="0" borderId="26" xfId="0" applyFont="false" applyBorder="true" applyAlignment="true" applyProtection="false">
      <alignment horizontal="general" vertical="bottom" textRotation="0" wrapText="false" indent="0" shrinkToFit="false"/>
      <protection locked="true" hidden="false"/>
    </xf>
    <xf numFmtId="164" fontId="34" fillId="0" borderId="9" xfId="0" applyFont="true" applyBorder="true" applyAlignment="true" applyProtection="false">
      <alignment horizontal="general" vertical="bottom" textRotation="0" wrapText="false" indent="0" shrinkToFit="false"/>
      <protection locked="true" hidden="false"/>
    </xf>
    <xf numFmtId="164" fontId="34" fillId="0" borderId="9" xfId="57" applyFont="true" applyBorder="true" applyAlignment="true" applyProtection="false">
      <alignment horizontal="general" vertical="bottom" textRotation="0" wrapText="false" indent="0" shrinkToFit="false"/>
      <protection locked="true" hidden="false"/>
    </xf>
    <xf numFmtId="164" fontId="34" fillId="0" borderId="0" xfId="57" applyFont="true" applyBorder="true" applyAlignment="true" applyProtection="false">
      <alignment horizontal="general" vertical="bottom" textRotation="0" wrapText="false" indent="0" shrinkToFit="false"/>
      <protection locked="true" hidden="false"/>
    </xf>
    <xf numFmtId="164" fontId="34" fillId="0" borderId="26" xfId="57" applyFont="true" applyBorder="tru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center" vertical="center" textRotation="0" wrapText="false" indent="0" shrinkToFit="false"/>
      <protection locked="true" hidden="false"/>
    </xf>
    <xf numFmtId="164" fontId="0" fillId="0" borderId="126" xfId="0" applyFont="true" applyBorder="true" applyAlignment="true" applyProtection="false">
      <alignment horizontal="center" vertical="center" textRotation="0" wrapText="true" indent="0" shrinkToFit="false"/>
      <protection locked="true" hidden="false"/>
    </xf>
    <xf numFmtId="164" fontId="0" fillId="0" borderId="9"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37" fillId="0" borderId="126" xfId="0" applyFont="true" applyBorder="true" applyAlignment="true" applyProtection="false">
      <alignment horizontal="center" vertical="center" textRotation="0" wrapText="true" indent="0" shrinkToFit="false"/>
      <protection locked="true" hidden="false"/>
    </xf>
    <xf numFmtId="164" fontId="34" fillId="0"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4" fontId="37" fillId="0" borderId="0" xfId="0" applyFont="true" applyBorder="false" applyAlignment="true" applyProtection="false">
      <alignment horizontal="center" vertical="center" textRotation="0" wrapText="true" indent="0" shrinkToFit="false"/>
      <protection locked="true" hidden="false"/>
    </xf>
    <xf numFmtId="164" fontId="34" fillId="0" borderId="58" xfId="0" applyFont="true" applyBorder="true" applyAlignment="true" applyProtection="false">
      <alignment horizontal="center" vertical="center" textRotation="0" wrapText="true" indent="0" shrinkToFit="false"/>
      <protection locked="true" hidden="false"/>
    </xf>
    <xf numFmtId="164" fontId="33" fillId="0" borderId="126" xfId="0" applyFont="true" applyBorder="true" applyAlignment="true" applyProtection="false">
      <alignment horizontal="center" vertical="center" textRotation="0" wrapText="true" indent="0" shrinkToFit="false"/>
      <protection locked="true" hidden="false"/>
    </xf>
    <xf numFmtId="164" fontId="79" fillId="0" borderId="9" xfId="64" applyFont="true" applyBorder="true" applyAlignment="true" applyProtection="false">
      <alignment horizontal="general" vertical="center" textRotation="0" wrapText="true" indent="0" shrinkToFit="false"/>
      <protection locked="true" hidden="false"/>
    </xf>
    <xf numFmtId="164" fontId="79" fillId="0" borderId="26" xfId="64" applyFont="true" applyBorder="true" applyAlignment="true" applyProtection="false">
      <alignment horizontal="general" vertical="center" textRotation="0" wrapText="true" indent="0" shrinkToFit="false"/>
      <protection locked="true" hidden="false"/>
    </xf>
    <xf numFmtId="164" fontId="33" fillId="0" borderId="0" xfId="0" applyFont="true" applyBorder="false" applyAlignment="true" applyProtection="false">
      <alignment horizontal="general" vertical="bottom" textRotation="0" wrapText="true" indent="0" shrinkToFit="false"/>
      <protection locked="true" hidden="false"/>
    </xf>
    <xf numFmtId="164" fontId="33" fillId="0" borderId="0" xfId="0" applyFont="true" applyBorder="false" applyAlignment="true" applyProtection="false">
      <alignment horizontal="general" vertical="center" textRotation="0" wrapText="true" indent="0" shrinkToFit="false"/>
      <protection locked="true" hidden="false"/>
    </xf>
    <xf numFmtId="164" fontId="33" fillId="0" borderId="9" xfId="0" applyFont="true" applyBorder="true" applyAlignment="false" applyProtection="false">
      <alignment horizontal="general" vertical="bottom" textRotation="0" wrapText="false" indent="0" shrinkToFit="false"/>
      <protection locked="true" hidden="false"/>
    </xf>
    <xf numFmtId="164" fontId="33" fillId="0" borderId="0" xfId="0" applyFont="true" applyBorder="true" applyAlignment="true" applyProtection="false">
      <alignment horizontal="general" vertical="center" textRotation="0" wrapText="true" indent="0" shrinkToFit="false"/>
      <protection locked="true" hidden="false"/>
    </xf>
    <xf numFmtId="164" fontId="33" fillId="0" borderId="58" xfId="0" applyFont="true" applyBorder="true" applyAlignment="false" applyProtection="false">
      <alignment horizontal="general" vertical="bottom" textRotation="0" wrapText="false" indent="0" shrinkToFit="false"/>
      <protection locked="true" hidden="false"/>
    </xf>
    <xf numFmtId="164" fontId="33" fillId="0" borderId="126" xfId="0" applyFont="true" applyBorder="true" applyAlignment="true" applyProtection="false">
      <alignment horizontal="center" vertical="center" textRotation="0" wrapText="true" indent="0" shrinkToFit="false"/>
      <protection locked="true" hidden="false"/>
    </xf>
    <xf numFmtId="164" fontId="33" fillId="0" borderId="9" xfId="0" applyFont="true" applyBorder="true" applyAlignment="true" applyProtection="false">
      <alignment horizontal="general" vertical="bottom" textRotation="0" wrapText="true" indent="0" shrinkToFit="false"/>
      <protection locked="true" hidden="false"/>
    </xf>
    <xf numFmtId="164" fontId="65" fillId="0" borderId="0" xfId="0" applyFont="true" applyBorder="false" applyAlignment="true" applyProtection="false">
      <alignment horizontal="general" vertical="bottom" textRotation="0" wrapText="true" indent="0" shrinkToFit="false"/>
      <protection locked="true" hidden="false"/>
    </xf>
    <xf numFmtId="164" fontId="65" fillId="0" borderId="0" xfId="0" applyFont="true" applyBorder="false" applyAlignment="true" applyProtection="false">
      <alignment horizontal="general" vertical="center" textRotation="0" wrapText="true" indent="0" shrinkToFit="false"/>
      <protection locked="true" hidden="false"/>
    </xf>
    <xf numFmtId="164" fontId="33" fillId="0" borderId="26" xfId="0" applyFont="true" applyBorder="true" applyAlignment="true" applyProtection="false">
      <alignment horizontal="general" vertical="bottom" textRotation="0" wrapText="true" indent="0" shrinkToFit="false"/>
      <protection locked="true" hidden="false"/>
    </xf>
    <xf numFmtId="164" fontId="33" fillId="0" borderId="0" xfId="0" applyFont="true" applyBorder="true" applyAlignment="true" applyProtection="false">
      <alignment horizontal="general" vertical="bottom" textRotation="0" wrapText="true" indent="0" shrinkToFit="false"/>
      <protection locked="true" hidden="false"/>
    </xf>
    <xf numFmtId="164" fontId="33" fillId="0" borderId="58" xfId="0" applyFont="true" applyBorder="true" applyAlignment="true" applyProtection="false">
      <alignment horizontal="general" vertical="bottom" textRotation="0" wrapText="true" indent="0" shrinkToFit="false"/>
      <protection locked="true" hidden="false"/>
    </xf>
    <xf numFmtId="164" fontId="33" fillId="0" borderId="0" xfId="0" applyFont="true" applyBorder="false" applyAlignment="true" applyProtection="false">
      <alignment horizontal="center" vertical="bottom" textRotation="0" wrapText="true" indent="0" shrinkToFit="false"/>
      <protection locked="true" hidden="false"/>
    </xf>
    <xf numFmtId="185" fontId="31" fillId="0" borderId="0" xfId="0" applyFont="true" applyBorder="true" applyAlignment="true" applyProtection="false">
      <alignment horizontal="center" vertical="bottom" textRotation="0" wrapText="false" indent="0" shrinkToFit="false"/>
      <protection locked="true" hidden="false"/>
    </xf>
    <xf numFmtId="174" fontId="0" fillId="0" borderId="26" xfId="0" applyFont="true" applyBorder="true" applyAlignment="true" applyProtection="false">
      <alignment horizontal="center" vertical="bottom" textRotation="0" wrapText="false" indent="0" shrinkToFit="false"/>
      <protection locked="true" hidden="false"/>
    </xf>
    <xf numFmtId="174" fontId="31" fillId="0" borderId="26" xfId="0" applyFont="true" applyBorder="true" applyAlignment="true" applyProtection="false">
      <alignment horizontal="center" vertical="bottom" textRotation="0" wrapText="false" indent="0" shrinkToFit="false"/>
      <protection locked="true" hidden="false"/>
    </xf>
    <xf numFmtId="174" fontId="34" fillId="0" borderId="0" xfId="0" applyFont="true" applyBorder="false" applyAlignment="true" applyProtection="false">
      <alignment horizontal="center" vertical="bottom" textRotation="0" wrapText="false" indent="0" shrinkToFit="false"/>
      <protection locked="true" hidden="false"/>
    </xf>
    <xf numFmtId="172" fontId="31" fillId="0" borderId="0" xfId="0" applyFont="true" applyBorder="false" applyAlignment="true" applyProtection="false">
      <alignment horizontal="center" vertical="bottom" textRotation="0" wrapText="false" indent="0" shrinkToFit="false"/>
      <protection locked="true" hidden="false"/>
    </xf>
    <xf numFmtId="171" fontId="0" fillId="0" borderId="126" xfId="19" applyFont="true" applyBorder="true" applyAlignment="true" applyProtection="true">
      <alignment horizontal="center" vertical="bottom" textRotation="0" wrapText="false" indent="0" shrinkToFit="false"/>
      <protection locked="true" hidden="false"/>
    </xf>
    <xf numFmtId="165" fontId="0" fillId="0" borderId="0" xfId="0" applyFont="false" applyBorder="false" applyAlignment="true" applyProtection="false">
      <alignment horizontal="center" vertical="bottom" textRotation="0" wrapText="false" indent="0" shrinkToFit="false"/>
      <protection locked="true" hidden="false"/>
    </xf>
    <xf numFmtId="172" fontId="0" fillId="0" borderId="9" xfId="0" applyFont="false" applyBorder="true" applyAlignment="true" applyProtection="false">
      <alignment horizontal="center" vertical="bottom" textRotation="0" wrapText="false" indent="0" shrinkToFit="false"/>
      <protection locked="true" hidden="false"/>
    </xf>
    <xf numFmtId="191" fontId="0" fillId="0" borderId="0" xfId="0" applyFont="false" applyBorder="true" applyAlignment="true" applyProtection="false">
      <alignment horizontal="center" vertical="bottom" textRotation="0" wrapText="false" indent="0" shrinkToFit="false"/>
      <protection locked="true" hidden="false"/>
    </xf>
    <xf numFmtId="165" fontId="0" fillId="0" borderId="9" xfId="19" applyFont="true" applyBorder="true" applyAlignment="true" applyProtection="true">
      <alignment horizontal="center" vertical="bottom" textRotation="0" wrapText="false" indent="0" shrinkToFit="false"/>
      <protection locked="true" hidden="false"/>
    </xf>
    <xf numFmtId="171" fontId="31" fillId="0" borderId="0" xfId="19" applyFont="true" applyBorder="true" applyAlignment="true" applyProtection="true">
      <alignment horizontal="center" vertical="bottom" textRotation="0" wrapText="false" indent="0" shrinkToFit="false"/>
      <protection locked="true" hidden="false"/>
    </xf>
    <xf numFmtId="165" fontId="0" fillId="0" borderId="26" xfId="0" applyFont="false" applyBorder="true" applyAlignment="true" applyProtection="false">
      <alignment horizontal="center" vertical="bottom" textRotation="0" wrapText="false" indent="0" shrinkToFit="false"/>
      <protection locked="true" hidden="false"/>
    </xf>
    <xf numFmtId="174" fontId="31" fillId="0" borderId="9" xfId="0" applyFont="true" applyBorder="true" applyAlignment="true" applyProtection="false">
      <alignment horizontal="center" vertical="bottom" textRotation="0" wrapText="false" indent="0" shrinkToFit="false"/>
      <protection locked="true" hidden="false"/>
    </xf>
    <xf numFmtId="164" fontId="31" fillId="0" borderId="0" xfId="0" applyFont="true" applyBorder="false" applyAlignment="true" applyProtection="false">
      <alignment horizontal="center" vertical="bottom" textRotation="0" wrapText="false" indent="0" shrinkToFit="false"/>
      <protection locked="true" hidden="false"/>
    </xf>
    <xf numFmtId="174" fontId="0" fillId="0" borderId="0" xfId="0" applyFont="true" applyBorder="false" applyAlignment="true" applyProtection="false">
      <alignment horizontal="center" vertical="bottom" textRotation="0" wrapText="false" indent="0" shrinkToFit="false"/>
      <protection locked="true" hidden="false"/>
    </xf>
    <xf numFmtId="164" fontId="0" fillId="0" borderId="9" xfId="0" applyFont="false" applyBorder="true" applyAlignment="true" applyProtection="false">
      <alignment horizontal="center" vertical="bottom" textRotation="0" wrapText="false" indent="0" shrinkToFit="false"/>
      <protection locked="true" hidden="false"/>
    </xf>
    <xf numFmtId="172" fontId="31" fillId="0" borderId="0" xfId="0" applyFont="true" applyBorder="false" applyAlignment="true" applyProtection="false">
      <alignment horizontal="center" vertical="bottom" textRotation="0" wrapText="false" indent="0" shrinkToFit="false"/>
      <protection locked="true" hidden="false"/>
    </xf>
    <xf numFmtId="171" fontId="0" fillId="0" borderId="58" xfId="0" applyFont="false" applyBorder="true" applyAlignment="true" applyProtection="false">
      <alignment horizontal="center" vertical="bottom" textRotation="0" wrapText="false" indent="0" shrinkToFit="false"/>
      <protection locked="true" hidden="false"/>
    </xf>
    <xf numFmtId="185" fontId="0" fillId="0" borderId="0" xfId="0" applyFont="true" applyBorder="true" applyAlignment="true" applyProtection="false">
      <alignment horizontal="center" vertical="bottom" textRotation="0" wrapText="false" indent="0" shrinkToFit="false"/>
      <protection locked="true" hidden="false"/>
    </xf>
    <xf numFmtId="165" fontId="0" fillId="0" borderId="58" xfId="0" applyFont="false" applyBorder="true" applyAlignment="true" applyProtection="false">
      <alignment horizontal="center" vertical="bottom" textRotation="0" wrapText="false" indent="0" shrinkToFit="false"/>
      <protection locked="true" hidden="false"/>
    </xf>
    <xf numFmtId="165" fontId="31" fillId="0" borderId="0" xfId="0" applyFont="true" applyBorder="true" applyAlignment="true" applyProtection="false">
      <alignment horizontal="center" vertical="bottom" textRotation="0" wrapText="false" indent="0" shrinkToFit="false"/>
      <protection locked="true" hidden="false"/>
    </xf>
    <xf numFmtId="174" fontId="0" fillId="0" borderId="9" xfId="19" applyFont="true" applyBorder="true" applyAlignment="true" applyProtection="true">
      <alignment horizontal="center" vertical="bottom" textRotation="0" wrapText="false" indent="0" shrinkToFit="false"/>
      <protection locked="true" hidden="false"/>
    </xf>
    <xf numFmtId="165" fontId="31" fillId="0" borderId="0" xfId="0" applyFont="true" applyBorder="false" applyAlignment="true" applyProtection="false">
      <alignment horizontal="center" vertical="bottom" textRotation="0" wrapText="false" indent="0" shrinkToFit="false"/>
      <protection locked="true" hidden="false"/>
    </xf>
    <xf numFmtId="186" fontId="0" fillId="0" borderId="0" xfId="0" applyFont="false" applyBorder="true" applyAlignment="true" applyProtection="false">
      <alignment horizontal="center" vertical="bottom" textRotation="0" wrapText="false" indent="0" shrinkToFit="false"/>
      <protection locked="true" hidden="false"/>
    </xf>
    <xf numFmtId="164" fontId="0" fillId="0" borderId="126" xfId="0" applyFont="false" applyBorder="true" applyAlignment="true" applyProtection="false">
      <alignment horizontal="center" vertical="bottom" textRotation="0" wrapText="false" indent="0" shrinkToFit="false"/>
      <protection locked="true" hidden="false"/>
    </xf>
    <xf numFmtId="172" fontId="31" fillId="0" borderId="9" xfId="0" applyFont="true" applyBorder="true" applyAlignment="true" applyProtection="false">
      <alignment horizontal="center" vertical="bottom" textRotation="0" wrapText="false" indent="0" shrinkToFit="false"/>
      <protection locked="true" hidden="false"/>
    </xf>
    <xf numFmtId="164" fontId="0" fillId="0" borderId="58" xfId="0" applyFont="false" applyBorder="true" applyAlignment="true" applyProtection="false">
      <alignment horizontal="center" vertical="bottom" textRotation="0" wrapText="false" indent="0" shrinkToFit="false"/>
      <protection locked="true" hidden="false"/>
    </xf>
    <xf numFmtId="175" fontId="0" fillId="0" borderId="9" xfId="19" applyFont="true" applyBorder="true" applyAlignment="true" applyProtection="true">
      <alignment horizontal="center" vertical="bottom" textRotation="0" wrapText="false" indent="0" shrinkToFit="false"/>
      <protection locked="true" hidden="false"/>
    </xf>
    <xf numFmtId="192" fontId="37" fillId="0" borderId="0" xfId="0" applyFont="true" applyBorder="true" applyAlignment="true" applyProtection="false">
      <alignment horizontal="center" vertical="bottom" textRotation="0" wrapText="false" indent="0" shrinkToFit="false"/>
      <protection locked="true" hidden="false"/>
    </xf>
    <xf numFmtId="193" fontId="0" fillId="0" borderId="0" xfId="0" applyFont="false" applyBorder="false" applyAlignment="true" applyProtection="false">
      <alignment horizontal="center" vertical="bottom" textRotation="0" wrapText="false" indent="0" shrinkToFit="false"/>
      <protection locked="true" hidden="false"/>
    </xf>
    <xf numFmtId="175" fontId="0" fillId="0" borderId="0" xfId="19" applyFont="true" applyBorder="true" applyAlignment="true" applyProtection="true">
      <alignment horizontal="center" vertical="bottom" textRotation="0" wrapText="false" indent="0" shrinkToFit="false"/>
      <protection locked="true" hidden="false"/>
    </xf>
    <xf numFmtId="192" fontId="0" fillId="0" borderId="0" xfId="0" applyFont="false" applyBorder="false" applyAlignment="true" applyProtection="false">
      <alignment horizontal="center" vertical="bottom" textRotation="0" wrapText="false" indent="0" shrinkToFit="false"/>
      <protection locked="true" hidden="false"/>
    </xf>
    <xf numFmtId="174" fontId="31" fillId="0" borderId="0" xfId="0" applyFont="true" applyBorder="false" applyAlignment="true" applyProtection="false">
      <alignment horizontal="center" vertical="bottom" textRotation="0" wrapText="false" indent="0" shrinkToFit="false"/>
      <protection locked="true" hidden="false"/>
    </xf>
    <xf numFmtId="186" fontId="0" fillId="0" borderId="0" xfId="0" applyFont="false" applyBorder="false" applyAlignment="true" applyProtection="false">
      <alignment horizontal="center" vertical="bottom" textRotation="0" wrapText="false" indent="0" shrinkToFit="false"/>
      <protection locked="true" hidden="false"/>
    </xf>
    <xf numFmtId="172" fontId="31" fillId="0" borderId="0" xfId="0" applyFont="true" applyBorder="true" applyAlignment="true" applyProtection="false">
      <alignment horizontal="center" vertical="bottom" textRotation="0" wrapText="false" indent="0" shrinkToFit="false"/>
      <protection locked="true" hidden="false"/>
    </xf>
    <xf numFmtId="172" fontId="0" fillId="0" borderId="126" xfId="0" applyFont="false" applyBorder="true" applyAlignment="true" applyProtection="false">
      <alignment horizontal="center" vertical="bottom" textRotation="0" wrapText="false" indent="0" shrinkToFit="false"/>
      <protection locked="true" hidden="false"/>
    </xf>
    <xf numFmtId="183" fontId="0" fillId="0" borderId="0" xfId="19" applyFont="true" applyBorder="true" applyAlignment="true" applyProtection="true">
      <alignment horizontal="center" vertical="bottom" textRotation="0" wrapText="false" indent="0" shrinkToFit="false"/>
      <protection locked="true" hidden="false"/>
    </xf>
    <xf numFmtId="181" fontId="31" fillId="0" borderId="0" xfId="0" applyFont="true" applyBorder="false" applyAlignment="true" applyProtection="false">
      <alignment horizontal="center" vertical="bottom" textRotation="0" wrapText="false" indent="0" shrinkToFit="false"/>
      <protection locked="true" hidden="false"/>
    </xf>
    <xf numFmtId="174" fontId="0" fillId="0" borderId="0" xfId="0" applyFont="true" applyBorder="false" applyAlignment="true" applyProtection="false">
      <alignment horizontal="center" vertical="bottom" textRotation="0" wrapText="false" indent="0" shrinkToFit="false"/>
      <protection locked="true" hidden="false"/>
    </xf>
    <xf numFmtId="165" fontId="31" fillId="0" borderId="0" xfId="0" applyFont="true" applyBorder="false" applyAlignment="true" applyProtection="false">
      <alignment horizontal="center" vertical="bottom" textRotation="0" wrapText="false" indent="0" shrinkToFit="false"/>
      <protection locked="true" hidden="false"/>
    </xf>
    <xf numFmtId="174" fontId="31" fillId="0" borderId="9" xfId="0" applyFont="true" applyBorder="true" applyAlignment="true" applyProtection="false">
      <alignment horizontal="center" vertical="bottom" textRotation="0" wrapText="false" indent="0" shrinkToFit="false"/>
      <protection locked="true" hidden="false"/>
    </xf>
    <xf numFmtId="171" fontId="31" fillId="0" borderId="0" xfId="0" applyFont="true" applyBorder="true" applyAlignment="true" applyProtection="false">
      <alignment horizontal="center" vertical="bottom" textRotation="0" wrapText="false" indent="0" shrinkToFit="false"/>
      <protection locked="true" hidden="false"/>
    </xf>
    <xf numFmtId="169" fontId="31" fillId="0" borderId="0" xfId="0" applyFont="true" applyBorder="false" applyAlignment="true" applyProtection="false">
      <alignment horizontal="center" vertical="bottom" textRotation="0" wrapText="false" indent="0" shrinkToFit="false"/>
      <protection locked="true" hidden="false"/>
    </xf>
    <xf numFmtId="181" fontId="0" fillId="0" borderId="0" xfId="19" applyFont="true" applyBorder="true" applyAlignment="true" applyProtection="true">
      <alignment horizontal="center" vertical="bottom" textRotation="0" wrapText="false" indent="0" shrinkToFit="false"/>
      <protection locked="true" hidden="false"/>
    </xf>
    <xf numFmtId="174" fontId="74" fillId="0" borderId="0" xfId="0" applyFont="true" applyBorder="true" applyAlignment="true" applyProtection="false">
      <alignment horizontal="center" vertical="bottom" textRotation="0" wrapText="false" indent="0" shrinkToFit="false"/>
      <protection locked="true" hidden="false"/>
    </xf>
    <xf numFmtId="174" fontId="31" fillId="0" borderId="0" xfId="0" applyFont="true" applyBorder="true" applyAlignment="true" applyProtection="false">
      <alignment horizontal="center" vertical="bottom" textRotation="0" wrapText="false" indent="0" shrinkToFit="false"/>
      <protection locked="true" hidden="false"/>
    </xf>
    <xf numFmtId="181" fontId="0" fillId="0" borderId="0" xfId="0" applyFont="false" applyBorder="true" applyAlignment="true" applyProtection="false">
      <alignment horizontal="center" vertical="bottom" textRotation="0" wrapText="false" indent="0" shrinkToFit="false"/>
      <protection locked="true" hidden="false"/>
    </xf>
    <xf numFmtId="174" fontId="31" fillId="0" borderId="0" xfId="0" applyFont="true" applyBorder="false" applyAlignment="true" applyProtection="false">
      <alignment horizontal="center" vertical="bottom" textRotation="0" wrapText="false" indent="0" shrinkToFit="false"/>
      <protection locked="true" hidden="false"/>
    </xf>
    <xf numFmtId="185" fontId="31" fillId="0" borderId="0" xfId="0" applyFont="true" applyBorder="false" applyAlignment="true" applyProtection="false">
      <alignment horizontal="center" vertical="bottom" textRotation="0" wrapText="false" indent="0" shrinkToFit="false"/>
      <protection locked="true" hidden="false"/>
    </xf>
    <xf numFmtId="165" fontId="37" fillId="0" borderId="0" xfId="19" applyFont="true" applyBorder="true" applyAlignment="true" applyProtection="true">
      <alignment horizontal="center" vertical="bottom" textRotation="0" wrapText="false" indent="0" shrinkToFit="false"/>
      <protection locked="true" hidden="false"/>
    </xf>
    <xf numFmtId="167" fontId="31" fillId="0" borderId="0" xfId="0" applyFont="true" applyBorder="false" applyAlignment="true" applyProtection="false">
      <alignment horizontal="center" vertical="bottom" textRotation="0" wrapText="false" indent="0" shrinkToFit="false"/>
      <protection locked="true" hidden="false"/>
    </xf>
    <xf numFmtId="164" fontId="57" fillId="0" borderId="0" xfId="63" applyFont="true" applyBorder="false" applyAlignment="true" applyProtection="false">
      <alignment horizontal="center" vertical="bottom" textRotation="0" wrapText="false" indent="0" shrinkToFit="false"/>
      <protection locked="true" hidden="false"/>
    </xf>
    <xf numFmtId="164" fontId="76" fillId="0" borderId="0" xfId="63" applyFont="true" applyBorder="false" applyAlignment="true" applyProtection="false">
      <alignment horizontal="center" vertical="bottom" textRotation="0" wrapText="false" indent="0" shrinkToFit="false"/>
      <protection locked="true" hidden="false"/>
    </xf>
    <xf numFmtId="164" fontId="57" fillId="0" borderId="0" xfId="0" applyFont="true" applyBorder="false" applyAlignment="true" applyProtection="false">
      <alignment horizontal="center" vertical="bottom" textRotation="0" wrapText="false" indent="0" shrinkToFit="false"/>
      <protection locked="true" hidden="false"/>
    </xf>
    <xf numFmtId="164" fontId="57" fillId="0" borderId="0" xfId="0" applyFont="true" applyBorder="false" applyAlignment="true" applyProtection="false">
      <alignment horizontal="center" vertical="center" textRotation="0" wrapText="true" indent="0" shrinkToFit="false"/>
      <protection locked="true" hidden="false"/>
    </xf>
    <xf numFmtId="164" fontId="57" fillId="0" borderId="26" xfId="63" applyFont="true" applyBorder="true" applyAlignment="true" applyProtection="false">
      <alignment horizontal="center" vertical="bottom" textRotation="0" wrapText="false" indent="0" shrinkToFit="false"/>
      <protection locked="true" hidden="false"/>
    </xf>
    <xf numFmtId="164" fontId="57" fillId="0" borderId="0" xfId="0" applyFont="true" applyBorder="false" applyAlignment="true" applyProtection="false">
      <alignment horizontal="right" vertical="bottom" textRotation="0" wrapText="false" indent="0" shrinkToFit="false"/>
      <protection locked="true" hidden="false"/>
    </xf>
    <xf numFmtId="164" fontId="57" fillId="0" borderId="0" xfId="0" applyFont="true" applyBorder="false" applyAlignment="true" applyProtection="false">
      <alignment horizontal="left" vertical="bottom" textRotation="0" wrapText="false" indent="0" shrinkToFit="false"/>
      <protection locked="true" hidden="false"/>
    </xf>
    <xf numFmtId="164" fontId="57" fillId="0" borderId="0" xfId="63" applyFont="true" applyBorder="false" applyAlignment="true" applyProtection="false">
      <alignment horizontal="center" vertical="center" textRotation="0" wrapText="true" indent="0" shrinkToFit="false"/>
      <protection locked="true" hidden="false"/>
    </xf>
    <xf numFmtId="164" fontId="57" fillId="0" borderId="0" xfId="63" applyFont="true" applyBorder="fals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57" fillId="0" borderId="0" xfId="63" applyFont="true" applyBorder="true" applyAlignment="true" applyProtection="false">
      <alignment horizontal="center" vertical="center" textRotation="0" wrapText="true" indent="0" shrinkToFit="false"/>
      <protection locked="true" hidden="false"/>
    </xf>
    <xf numFmtId="164" fontId="76" fillId="0" borderId="0" xfId="63" applyFont="true" applyBorder="true" applyAlignment="true" applyProtection="false">
      <alignment horizontal="center" vertical="center" textRotation="0" wrapText="true" indent="0" shrinkToFit="false"/>
      <protection locked="true" hidden="false"/>
    </xf>
    <xf numFmtId="164" fontId="77" fillId="0" borderId="0" xfId="63" applyFont="true" applyBorder="true" applyAlignment="true" applyProtection="false">
      <alignment horizontal="center" vertical="center" textRotation="0" wrapText="true" indent="0" shrinkToFit="false"/>
      <protection locked="true" hidden="false"/>
    </xf>
    <xf numFmtId="164" fontId="77" fillId="0" borderId="0" xfId="63" applyFont="true" applyBorder="true" applyAlignment="true" applyProtection="false">
      <alignment horizontal="center" vertical="center" textRotation="0" wrapText="true" indent="0" shrinkToFit="false"/>
      <protection locked="true" hidden="false"/>
    </xf>
    <xf numFmtId="164" fontId="76" fillId="0" borderId="26" xfId="63" applyFont="true" applyBorder="true" applyAlignment="true" applyProtection="false">
      <alignment horizontal="center" vertical="center" textRotation="0" wrapText="true" indent="0" shrinkToFit="false"/>
      <protection locked="true" hidden="false"/>
    </xf>
    <xf numFmtId="164" fontId="57" fillId="0" borderId="26" xfId="63" applyFont="true" applyBorder="true" applyAlignment="true" applyProtection="false">
      <alignment horizontal="center" vertical="center" textRotation="0" wrapText="true" indent="0" shrinkToFit="false"/>
      <protection locked="true" hidden="false"/>
    </xf>
    <xf numFmtId="164" fontId="57" fillId="0" borderId="0" xfId="63" applyFont="true" applyBorder="true" applyAlignment="true" applyProtection="false">
      <alignment horizontal="center" vertical="center" textRotation="0" wrapText="true" indent="0" shrinkToFit="false"/>
      <protection locked="true" hidden="false"/>
    </xf>
    <xf numFmtId="164" fontId="57" fillId="0" borderId="0" xfId="63" applyFont="true" applyBorder="true" applyAlignment="true" applyProtection="false">
      <alignment horizontal="center" vertical="bottom" textRotation="0" wrapText="true" indent="0" shrinkToFit="false"/>
      <protection locked="true" hidden="false"/>
    </xf>
    <xf numFmtId="164" fontId="76" fillId="0" borderId="0" xfId="63" applyFont="true" applyBorder="false" applyAlignment="true" applyProtection="false">
      <alignment horizontal="center" vertical="center" textRotation="0" wrapText="true" indent="0" shrinkToFit="false"/>
      <protection locked="true" hidden="false"/>
    </xf>
    <xf numFmtId="164" fontId="77" fillId="0" borderId="0" xfId="63" applyFont="true" applyBorder="false" applyAlignment="true" applyProtection="false">
      <alignment horizontal="center" vertical="center" textRotation="0" wrapText="true" indent="0" shrinkToFit="false"/>
      <protection locked="true" hidden="false"/>
    </xf>
    <xf numFmtId="164" fontId="77" fillId="0" borderId="0" xfId="63" applyFont="true" applyBorder="false" applyAlignment="true" applyProtection="false">
      <alignment horizontal="center" vertical="center" textRotation="0" wrapText="true" indent="0" shrinkToFit="false"/>
      <protection locked="true" hidden="false"/>
    </xf>
    <xf numFmtId="165" fontId="76" fillId="0" borderId="0" xfId="63" applyFont="true" applyBorder="false" applyAlignment="true" applyProtection="false">
      <alignment horizontal="center" vertical="center" textRotation="0" wrapText="true" indent="0" shrinkToFit="false"/>
      <protection locked="true" hidden="false"/>
    </xf>
    <xf numFmtId="165" fontId="57" fillId="0" borderId="0" xfId="63" applyFont="true" applyBorder="false" applyAlignment="true" applyProtection="false">
      <alignment horizontal="center" vertical="bottom" textRotation="0" wrapText="false" indent="0" shrinkToFit="false"/>
      <protection locked="true" hidden="false"/>
    </xf>
    <xf numFmtId="165" fontId="57" fillId="0" borderId="0" xfId="63" applyFont="true" applyBorder="true" applyAlignment="true" applyProtection="false">
      <alignment horizontal="center" vertical="bottom" textRotation="0" wrapText="false" indent="0" shrinkToFit="false"/>
      <protection locked="true" hidden="false"/>
    </xf>
    <xf numFmtId="165" fontId="57" fillId="0" borderId="0" xfId="63" applyFont="true" applyBorder="false" applyAlignment="true" applyProtection="false">
      <alignment horizontal="center" vertical="bottom" textRotation="0" wrapText="false" indent="0" shrinkToFit="false"/>
      <protection locked="true" hidden="false"/>
    </xf>
    <xf numFmtId="165" fontId="0" fillId="0" borderId="0" xfId="63" applyFont="true" applyBorder="true" applyAlignment="true" applyProtection="false">
      <alignment horizontal="center" vertical="bottom" textRotation="0" wrapText="false" indent="0" shrinkToFit="false"/>
      <protection locked="true" hidden="false"/>
    </xf>
    <xf numFmtId="165" fontId="57" fillId="0" borderId="26" xfId="63" applyFont="true" applyBorder="true" applyAlignment="true" applyProtection="false">
      <alignment horizontal="center" vertical="bottom" textRotation="0" wrapText="false" indent="0" shrinkToFit="false"/>
      <protection locked="true" hidden="false"/>
    </xf>
    <xf numFmtId="165" fontId="57" fillId="0" borderId="0" xfId="63" applyFont="true" applyBorder="false" applyAlignment="true" applyProtection="false">
      <alignment horizontal="center" vertical="center" textRotation="0" wrapText="true" indent="0" shrinkToFit="false"/>
      <protection locked="true" hidden="false"/>
    </xf>
    <xf numFmtId="165" fontId="57" fillId="0" borderId="26" xfId="63" applyFont="true" applyBorder="true" applyAlignment="true" applyProtection="false">
      <alignment horizontal="center" vertical="center" textRotation="0" wrapText="true" indent="0" shrinkToFit="false"/>
      <protection locked="true" hidden="false"/>
    </xf>
    <xf numFmtId="165" fontId="88" fillId="0" borderId="0" xfId="63" applyFont="true" applyBorder="true" applyAlignment="true" applyProtection="false">
      <alignment horizontal="center" vertical="bottom" textRotation="0" wrapText="false" indent="0" shrinkToFit="false"/>
      <protection locked="true" hidden="false"/>
    </xf>
    <xf numFmtId="165" fontId="57" fillId="0" borderId="0" xfId="63" applyFont="true" applyBorder="true" applyAlignment="true" applyProtection="false">
      <alignment horizontal="center" vertical="bottom" textRotation="0" wrapText="false" indent="0" shrinkToFit="false"/>
      <protection locked="true" hidden="false"/>
    </xf>
    <xf numFmtId="186" fontId="57" fillId="0" borderId="0" xfId="63" applyFont="true" applyBorder="true" applyAlignment="true" applyProtection="false">
      <alignment horizontal="center" vertical="bottom" textRotation="0" wrapText="false" indent="0" shrinkToFit="false"/>
      <protection locked="true" hidden="false"/>
    </xf>
    <xf numFmtId="185" fontId="57" fillId="0" borderId="0" xfId="63" applyFont="true" applyBorder="true" applyAlignment="true" applyProtection="false">
      <alignment horizontal="center" vertical="bottom" textRotation="0" wrapText="false" indent="0" shrinkToFit="false"/>
      <protection locked="true" hidden="false"/>
    </xf>
    <xf numFmtId="186" fontId="57" fillId="0" borderId="0" xfId="63" applyFont="true" applyBorder="true" applyAlignment="true" applyProtection="false">
      <alignment horizontal="center" vertical="bottom" textRotation="0" wrapText="false" indent="0" shrinkToFit="false"/>
      <protection locked="true" hidden="false"/>
    </xf>
    <xf numFmtId="185" fontId="0" fillId="0" borderId="0" xfId="63" applyFont="true" applyBorder="true" applyAlignment="true" applyProtection="false">
      <alignment horizontal="center" vertical="bottom" textRotation="0" wrapText="false" indent="0" shrinkToFit="false"/>
      <protection locked="true" hidden="false"/>
    </xf>
    <xf numFmtId="164" fontId="57" fillId="0" borderId="0" xfId="63" applyFont="true" applyBorder="false" applyAlignment="true" applyProtection="false">
      <alignment horizontal="center" vertical="bottom" textRotation="0" wrapText="true" indent="0" shrinkToFit="false"/>
      <protection locked="true" hidden="false"/>
    </xf>
    <xf numFmtId="165" fontId="88" fillId="0" borderId="9" xfId="63" applyFont="true" applyBorder="true" applyAlignment="true" applyProtection="false">
      <alignment horizontal="center" vertical="bottom" textRotation="0" wrapText="false" indent="0" shrinkToFit="false"/>
      <protection locked="true" hidden="false"/>
    </xf>
    <xf numFmtId="181" fontId="57" fillId="0" borderId="0" xfId="63" applyFont="true" applyBorder="true" applyAlignment="true" applyProtection="false">
      <alignment horizontal="center" vertical="bottom" textRotation="0" wrapText="true" indent="0" shrinkToFit="false"/>
      <protection locked="true" hidden="false"/>
    </xf>
    <xf numFmtId="181" fontId="77" fillId="0" borderId="0" xfId="63" applyFont="true" applyBorder="true" applyAlignment="true" applyProtection="false">
      <alignment horizontal="center" vertical="bottom" textRotation="0" wrapText="true" indent="0" shrinkToFit="false"/>
      <protection locked="true" hidden="false"/>
    </xf>
    <xf numFmtId="186" fontId="77" fillId="0" borderId="0" xfId="63" applyFont="true" applyBorder="false" applyAlignment="true" applyProtection="false">
      <alignment horizontal="center" vertical="center" textRotation="0" wrapText="true" indent="0" shrinkToFit="false"/>
      <protection locked="true" hidden="false"/>
    </xf>
    <xf numFmtId="174" fontId="57" fillId="0" borderId="0" xfId="63" applyFont="true" applyBorder="true" applyAlignment="true" applyProtection="false">
      <alignment horizontal="center" vertical="bottom" textRotation="0" wrapText="false" indent="0" shrinkToFit="false"/>
      <protection locked="true" hidden="false"/>
    </xf>
    <xf numFmtId="167" fontId="37" fillId="0" borderId="0" xfId="19" applyFont="true" applyBorder="true" applyAlignment="true" applyProtection="true">
      <alignment horizontal="center" vertical="bottom" textRotation="0" wrapText="true" indent="0" shrinkToFit="false"/>
      <protection locked="true" hidden="false"/>
    </xf>
    <xf numFmtId="165" fontId="57" fillId="0" borderId="0" xfId="63" applyFont="true" applyBorder="true" applyAlignment="true" applyProtection="false">
      <alignment horizontal="center" vertical="center" textRotation="0" wrapText="true" indent="0" shrinkToFit="false"/>
      <protection locked="true" hidden="false"/>
    </xf>
    <xf numFmtId="165" fontId="0" fillId="0" borderId="0" xfId="63" applyFont="true" applyBorder="false" applyAlignment="true" applyProtection="false">
      <alignment horizontal="center" vertical="bottom" textRotation="0" wrapText="false" indent="0" shrinkToFit="false"/>
      <protection locked="true" hidden="false"/>
    </xf>
    <xf numFmtId="165" fontId="76" fillId="0" borderId="0" xfId="63" applyFont="true" applyBorder="false" applyAlignment="true" applyProtection="false">
      <alignment horizontal="center" vertical="bottom" textRotation="0" wrapText="false" indent="0" shrinkToFit="false"/>
      <protection locked="true" hidden="false"/>
    </xf>
    <xf numFmtId="181" fontId="57" fillId="0" borderId="0" xfId="63" applyFont="true" applyBorder="true" applyAlignment="true" applyProtection="false">
      <alignment horizontal="center" vertical="bottom" textRotation="0" wrapText="false" indent="0" shrinkToFit="false"/>
      <protection locked="true" hidden="false"/>
    </xf>
    <xf numFmtId="181" fontId="77" fillId="0" borderId="0" xfId="63" applyFont="true" applyBorder="true" applyAlignment="true" applyProtection="false">
      <alignment horizontal="center" vertical="bottom" textRotation="0" wrapText="false" indent="0" shrinkToFit="false"/>
      <protection locked="true" hidden="false"/>
    </xf>
    <xf numFmtId="165" fontId="88" fillId="0" borderId="0" xfId="63" applyFont="true" applyBorder="false" applyAlignment="true" applyProtection="false">
      <alignment horizontal="center" vertical="bottom" textRotation="0" wrapText="false" indent="0" shrinkToFit="false"/>
      <protection locked="true" hidden="false"/>
    </xf>
    <xf numFmtId="181" fontId="57" fillId="0" borderId="0" xfId="63" applyFont="true" applyBorder="true" applyAlignment="true" applyProtection="false">
      <alignment horizontal="center" vertical="bottom" textRotation="0" wrapText="false" indent="0" shrinkToFit="false"/>
      <protection locked="true" hidden="false"/>
    </xf>
    <xf numFmtId="181" fontId="77" fillId="0" borderId="0" xfId="63" applyFont="true" applyBorder="true" applyAlignment="true" applyProtection="false">
      <alignment horizontal="center" vertical="bottom" textRotation="0" wrapText="false" indent="0" shrinkToFit="false"/>
      <protection locked="true" hidden="false"/>
    </xf>
    <xf numFmtId="181" fontId="57" fillId="0" borderId="9" xfId="63" applyFont="true" applyBorder="true" applyAlignment="true" applyProtection="false">
      <alignment horizontal="center" vertical="bottom" textRotation="0" wrapText="false" indent="0" shrinkToFit="false"/>
      <protection locked="true" hidden="false"/>
    </xf>
    <xf numFmtId="167" fontId="57" fillId="0" borderId="0" xfId="19" applyFont="true" applyBorder="true" applyAlignment="true" applyProtection="true">
      <alignment horizontal="center" vertical="bottom" textRotation="0" wrapText="true" indent="0" shrinkToFit="false"/>
      <protection locked="true" hidden="false"/>
    </xf>
    <xf numFmtId="167" fontId="57" fillId="0" borderId="0" xfId="19" applyFont="true" applyBorder="true" applyAlignment="true" applyProtection="true">
      <alignment horizontal="center" vertical="bottom" textRotation="0" wrapText="false" indent="0" shrinkToFit="false"/>
      <protection locked="true" hidden="false"/>
    </xf>
    <xf numFmtId="164" fontId="57" fillId="0" borderId="66" xfId="63" applyFont="true" applyBorder="true" applyAlignment="true" applyProtection="false">
      <alignment horizontal="center" vertical="bottom" textRotation="0" wrapText="false" indent="0" shrinkToFit="false"/>
      <protection locked="true" hidden="false"/>
    </xf>
    <xf numFmtId="165" fontId="57" fillId="0" borderId="66" xfId="63" applyFont="true" applyBorder="true" applyAlignment="true" applyProtection="false">
      <alignment horizontal="center" vertical="bottom" textRotation="0" wrapText="false" indent="0" shrinkToFit="false"/>
      <protection locked="true" hidden="false"/>
    </xf>
    <xf numFmtId="165" fontId="57" fillId="0" borderId="66" xfId="63" applyFont="true" applyBorder="true" applyAlignment="true" applyProtection="false">
      <alignment horizontal="center" vertical="bottom" textRotation="0" wrapText="false" indent="0" shrinkToFit="false"/>
      <protection locked="true" hidden="false"/>
    </xf>
    <xf numFmtId="165" fontId="0" fillId="0" borderId="66" xfId="63" applyFont="true" applyBorder="true" applyAlignment="true" applyProtection="false">
      <alignment horizontal="center" vertical="bottom" textRotation="0" wrapText="false" indent="0" shrinkToFit="false"/>
      <protection locked="true" hidden="false"/>
    </xf>
    <xf numFmtId="165" fontId="57" fillId="0" borderId="57" xfId="63" applyFont="true" applyBorder="true" applyAlignment="true" applyProtection="false">
      <alignment horizontal="center" vertical="bottom" textRotation="0" wrapText="false" indent="0" shrinkToFit="false"/>
      <protection locked="true" hidden="false"/>
    </xf>
    <xf numFmtId="165" fontId="76" fillId="0" borderId="66" xfId="63" applyFont="true" applyBorder="true" applyAlignment="true" applyProtection="false">
      <alignment horizontal="center" vertical="bottom" textRotation="0" wrapText="false" indent="0" shrinkToFit="false"/>
      <protection locked="true" hidden="false"/>
    </xf>
    <xf numFmtId="167" fontId="37" fillId="0" borderId="66" xfId="19" applyFont="true" applyBorder="true" applyAlignment="true" applyProtection="true">
      <alignment horizontal="center" vertical="bottom" textRotation="0" wrapText="false" indent="0" shrinkToFit="false"/>
      <protection locked="true" hidden="false"/>
    </xf>
    <xf numFmtId="165" fontId="57" fillId="0" borderId="22" xfId="63" applyFont="true" applyBorder="true" applyAlignment="true" applyProtection="false">
      <alignment horizontal="center" vertical="bottom" textRotation="0" wrapText="false" indent="0" shrinkToFit="false"/>
      <protection locked="true" hidden="false"/>
    </xf>
    <xf numFmtId="165" fontId="76" fillId="0" borderId="0" xfId="63" applyFont="true" applyBorder="true" applyAlignment="true" applyProtection="false">
      <alignment horizontal="center" vertical="bottom" textRotation="0" wrapText="false" indent="0" shrinkToFit="false"/>
      <protection locked="true" hidden="false"/>
    </xf>
    <xf numFmtId="181" fontId="64" fillId="0" borderId="0" xfId="63" applyFont="true" applyBorder="false" applyAlignment="true" applyProtection="false">
      <alignment horizontal="center" vertical="bottom" textRotation="0" wrapText="false" indent="0" shrinkToFit="false"/>
      <protection locked="true" hidden="false"/>
    </xf>
    <xf numFmtId="165" fontId="57" fillId="0" borderId="9" xfId="63" applyFont="true" applyBorder="true" applyAlignment="true" applyProtection="false">
      <alignment horizontal="center" vertical="bottom" textRotation="0" wrapText="false" indent="0" shrinkToFit="false"/>
      <protection locked="true" hidden="false"/>
    </xf>
    <xf numFmtId="171" fontId="57" fillId="0" borderId="0" xfId="19" applyFont="true" applyBorder="true" applyAlignment="true" applyProtection="true">
      <alignment horizontal="center" vertical="bottom" textRotation="0" wrapText="false" indent="0" shrinkToFit="false"/>
      <protection locked="true" hidden="false"/>
    </xf>
    <xf numFmtId="164" fontId="57" fillId="0" borderId="0" xfId="63" applyFont="true" applyBorder="false" applyAlignment="false" applyProtection="false">
      <alignment horizontal="general" vertical="bottom" textRotation="0" wrapText="false" indent="0" shrinkToFit="false"/>
      <protection locked="true" hidden="false"/>
    </xf>
    <xf numFmtId="164" fontId="57" fillId="0" borderId="0" xfId="63" applyFont="true" applyBorder="false" applyAlignment="false" applyProtection="false">
      <alignment horizontal="general" vertical="bottom" textRotation="0" wrapText="false" indent="0" shrinkToFit="false"/>
      <protection locked="true" hidden="false"/>
    </xf>
    <xf numFmtId="164" fontId="76" fillId="0" borderId="0" xfId="63" applyFont="true" applyBorder="false" applyAlignment="false" applyProtection="false">
      <alignment horizontal="general" vertical="bottom" textRotation="0" wrapText="false" indent="0" shrinkToFit="false"/>
      <protection locked="true" hidden="false"/>
    </xf>
    <xf numFmtId="164" fontId="57" fillId="0" borderId="0" xfId="63" applyFont="true" applyBorder="false" applyAlignment="true" applyProtection="false">
      <alignment horizontal="right" vertical="bottom" textRotation="0" wrapText="false" indent="0" shrinkToFit="false"/>
      <protection locked="true" hidden="false"/>
    </xf>
    <xf numFmtId="164" fontId="57" fillId="0" borderId="0" xfId="63" applyFont="true" applyBorder="false" applyAlignment="true" applyProtection="false">
      <alignment horizontal="left" vertical="bottom" textRotation="0" wrapText="false" indent="0" shrinkToFit="false"/>
      <protection locked="true" hidden="false"/>
    </xf>
    <xf numFmtId="164" fontId="76" fillId="0" borderId="0" xfId="63" applyFont="true" applyBorder="false" applyAlignment="false" applyProtection="false">
      <alignment horizontal="general" vertical="bottom" textRotation="0" wrapText="false" indent="0" shrinkToFit="false"/>
      <protection locked="true" hidden="false"/>
    </xf>
    <xf numFmtId="164" fontId="57" fillId="0" borderId="0" xfId="63" applyFont="true" applyBorder="false" applyAlignment="true" applyProtection="false">
      <alignment horizontal="right" vertical="bottom" textRotation="0" wrapText="false" indent="0" shrinkToFit="false"/>
      <protection locked="true" hidden="false"/>
    </xf>
    <xf numFmtId="164" fontId="57" fillId="0" borderId="0" xfId="63" applyFont="true" applyBorder="false" applyAlignment="true" applyProtection="false">
      <alignment horizontal="left" vertical="bottom" textRotation="0" wrapText="false" indent="0" shrinkToFit="false"/>
      <protection locked="true" hidden="false"/>
    </xf>
    <xf numFmtId="164" fontId="76" fillId="0" borderId="9" xfId="63" applyFont="true" applyBorder="true" applyAlignment="false" applyProtection="false">
      <alignment horizontal="general" vertical="bottom" textRotation="0" wrapText="false" indent="0" shrinkToFit="false"/>
      <protection locked="true" hidden="false"/>
    </xf>
    <xf numFmtId="164" fontId="57" fillId="0" borderId="0" xfId="63" applyFont="true" applyBorder="false" applyAlignment="true" applyProtection="false">
      <alignment horizontal="center" vertical="center" textRotation="0" wrapText="false" indent="0" shrinkToFit="false"/>
      <protection locked="true" hidden="false"/>
    </xf>
    <xf numFmtId="164" fontId="57" fillId="0" borderId="0" xfId="63" applyFont="true" applyBorder="false" applyAlignment="true" applyProtection="false">
      <alignment horizontal="center" vertical="center" textRotation="0" wrapText="false" indent="0" shrinkToFit="false"/>
      <protection locked="true" hidden="false"/>
    </xf>
    <xf numFmtId="164" fontId="57" fillId="0" borderId="9" xfId="63" applyFont="true" applyBorder="true" applyAlignment="true" applyProtection="false">
      <alignment horizontal="center" vertical="center" textRotation="0" wrapText="false" indent="0" shrinkToFit="false"/>
      <protection locked="true" hidden="false"/>
    </xf>
    <xf numFmtId="165" fontId="57" fillId="0" borderId="0" xfId="63" applyFont="true" applyBorder="false" applyAlignment="true" applyProtection="false">
      <alignment horizontal="center" vertical="center" textRotation="0" wrapText="false" indent="0" shrinkToFit="false"/>
      <protection locked="true" hidden="false"/>
    </xf>
    <xf numFmtId="164" fontId="57" fillId="0" borderId="0" xfId="63" applyFont="true" applyBorder="false" applyAlignment="true" applyProtection="false">
      <alignment horizontal="center" vertical="center" textRotation="0" wrapText="true" indent="0" shrinkToFit="false"/>
      <protection locked="true" hidden="false"/>
    </xf>
    <xf numFmtId="164" fontId="57" fillId="0" borderId="9" xfId="63" applyFont="true" applyBorder="true" applyAlignment="true" applyProtection="false">
      <alignment horizontal="center" vertical="center" textRotation="0" wrapText="true" indent="0" shrinkToFit="false"/>
      <protection locked="true" hidden="false"/>
    </xf>
    <xf numFmtId="164" fontId="76" fillId="0" borderId="0" xfId="63" applyFont="true" applyBorder="false" applyAlignment="true" applyProtection="false">
      <alignment horizontal="center" vertical="center" textRotation="0" wrapText="true" indent="0" shrinkToFit="false"/>
      <protection locked="true" hidden="false"/>
    </xf>
    <xf numFmtId="164" fontId="79" fillId="0" borderId="0" xfId="63" applyFont="true" applyBorder="false" applyAlignment="true" applyProtection="false">
      <alignment horizontal="center" vertical="center" textRotation="0" wrapText="true" indent="0" shrinkToFit="false"/>
      <protection locked="true" hidden="false"/>
    </xf>
    <xf numFmtId="164" fontId="33" fillId="0" borderId="0" xfId="63" applyFont="true" applyBorder="false" applyAlignment="true" applyProtection="false">
      <alignment horizontal="center" vertical="center" textRotation="0" wrapText="true" indent="0" shrinkToFit="false"/>
      <protection locked="true" hidden="false"/>
    </xf>
    <xf numFmtId="164" fontId="79" fillId="0" borderId="9" xfId="63" applyFont="true" applyBorder="true" applyAlignment="true" applyProtection="false">
      <alignment horizontal="center" vertical="center" textRotation="0" wrapText="true" indent="0" shrinkToFit="false"/>
      <protection locked="true" hidden="false"/>
    </xf>
    <xf numFmtId="164" fontId="79" fillId="0" borderId="0" xfId="63" applyFont="true" applyBorder="false" applyAlignment="true" applyProtection="false">
      <alignment horizontal="center" vertical="center" textRotation="0" wrapText="true" indent="0" shrinkToFit="false"/>
      <protection locked="true" hidden="false"/>
    </xf>
    <xf numFmtId="164" fontId="89" fillId="0" borderId="0" xfId="63" applyFont="true" applyBorder="false" applyAlignment="true" applyProtection="false">
      <alignment horizontal="center" vertical="center" textRotation="0" wrapText="true" indent="0" shrinkToFit="false"/>
      <protection locked="true" hidden="false"/>
    </xf>
    <xf numFmtId="164" fontId="89" fillId="0" borderId="0" xfId="63" applyFont="true" applyBorder="false" applyAlignment="true" applyProtection="false">
      <alignment horizontal="center" vertical="center" textRotation="0" wrapText="true" indent="0" shrinkToFit="false"/>
      <protection locked="true" hidden="false"/>
    </xf>
    <xf numFmtId="164" fontId="79" fillId="0" borderId="9" xfId="63" applyFont="true" applyBorder="true" applyAlignment="true" applyProtection="false">
      <alignment horizontal="center" vertical="center" textRotation="0" wrapText="true" indent="0" shrinkToFit="false"/>
      <protection locked="true" hidden="false"/>
    </xf>
    <xf numFmtId="164" fontId="79" fillId="0" borderId="0" xfId="63" applyFont="true" applyBorder="false" applyAlignment="true" applyProtection="false">
      <alignment horizontal="general" vertical="center" textRotation="0" wrapText="true" indent="0" shrinkToFit="false"/>
      <protection locked="true" hidden="false"/>
    </xf>
    <xf numFmtId="174" fontId="57" fillId="0" borderId="0" xfId="63" applyFont="true" applyBorder="false" applyAlignment="true" applyProtection="false">
      <alignment horizontal="center" vertical="bottom" textRotation="0" wrapText="false" indent="0" shrinkToFit="false"/>
      <protection locked="true" hidden="false"/>
    </xf>
    <xf numFmtId="174" fontId="57" fillId="0" borderId="9" xfId="63" applyFont="true" applyBorder="true" applyAlignment="true" applyProtection="false">
      <alignment horizontal="center" vertical="center" textRotation="0" wrapText="true" indent="0" shrinkToFit="false"/>
      <protection locked="true" hidden="false"/>
    </xf>
    <xf numFmtId="174" fontId="57" fillId="0" borderId="0" xfId="63" applyFont="true" applyBorder="false" applyAlignment="true" applyProtection="false">
      <alignment horizontal="center" vertical="center" textRotation="0" wrapText="true" indent="0" shrinkToFit="false"/>
      <protection locked="true" hidden="false"/>
    </xf>
    <xf numFmtId="165" fontId="57" fillId="0" borderId="0" xfId="63" applyFont="true" applyBorder="false" applyAlignment="true" applyProtection="false">
      <alignment horizontal="center" vertical="center" textRotation="0" wrapText="true" indent="0" shrinkToFit="false"/>
      <protection locked="true" hidden="false"/>
    </xf>
    <xf numFmtId="181" fontId="57" fillId="0" borderId="0" xfId="63" applyFont="true" applyBorder="false" applyAlignment="true" applyProtection="false">
      <alignment horizontal="center" vertical="center" textRotation="0" wrapText="true" indent="0" shrinkToFit="false"/>
      <protection locked="true" hidden="false"/>
    </xf>
    <xf numFmtId="174" fontId="57" fillId="0" borderId="9" xfId="63" applyFont="true" applyBorder="true" applyAlignment="true" applyProtection="false">
      <alignment horizontal="center" vertical="bottom" textRotation="0" wrapText="false" indent="0" shrinkToFit="false"/>
      <protection locked="true" hidden="false"/>
    </xf>
    <xf numFmtId="181" fontId="57" fillId="0" borderId="0" xfId="63" applyFont="true" applyBorder="false" applyAlignment="true" applyProtection="false">
      <alignment horizontal="center" vertical="bottom" textRotation="0" wrapText="false" indent="0" shrinkToFit="false"/>
      <protection locked="true" hidden="false"/>
    </xf>
    <xf numFmtId="164" fontId="57" fillId="0" borderId="9" xfId="63" applyFont="true" applyBorder="true" applyAlignment="true" applyProtection="false">
      <alignment horizontal="center" vertical="bottom" textRotation="0" wrapText="false" indent="0" shrinkToFit="false"/>
      <protection locked="true" hidden="false"/>
    </xf>
    <xf numFmtId="165" fontId="57" fillId="0" borderId="100" xfId="63" applyFont="true" applyBorder="true" applyAlignment="true" applyProtection="false">
      <alignment horizontal="center" vertical="bottom" textRotation="0" wrapText="false" indent="0" shrinkToFit="false"/>
      <protection locked="true" hidden="false"/>
    </xf>
    <xf numFmtId="174" fontId="57" fillId="0" borderId="0" xfId="63" applyFont="true" applyBorder="false" applyAlignment="true" applyProtection="false">
      <alignment horizontal="center" vertical="bottom" textRotation="0" wrapText="false" indent="0" shrinkToFit="false"/>
      <protection locked="true" hidden="false"/>
    </xf>
    <xf numFmtId="165" fontId="31" fillId="0" borderId="0" xfId="63" applyFont="true" applyBorder="false" applyAlignment="true" applyProtection="false">
      <alignment horizontal="center" vertical="bottom" textRotation="0" wrapText="false" indent="0" shrinkToFit="false"/>
      <protection locked="true" hidden="false"/>
    </xf>
    <xf numFmtId="164" fontId="57" fillId="0" borderId="100" xfId="63" applyFont="true" applyBorder="true" applyAlignment="true" applyProtection="false">
      <alignment horizontal="center" vertical="bottom" textRotation="0" wrapText="false" indent="0" shrinkToFit="false"/>
      <protection locked="true" hidden="false"/>
    </xf>
    <xf numFmtId="167" fontId="57" fillId="0" borderId="0" xfId="19" applyFont="true" applyBorder="true" applyAlignment="true" applyProtection="true">
      <alignment horizontal="general" vertical="bottom" textRotation="0" wrapText="false" indent="0" shrinkToFit="false"/>
      <protection locked="true" hidden="false"/>
    </xf>
    <xf numFmtId="165" fontId="77" fillId="0" borderId="0" xfId="63" applyFont="true" applyBorder="false" applyAlignment="true" applyProtection="false">
      <alignment horizontal="center" vertical="bottom" textRotation="0" wrapText="false" indent="0" shrinkToFit="false"/>
      <protection locked="true" hidden="false"/>
    </xf>
    <xf numFmtId="164" fontId="57" fillId="0" borderId="0" xfId="63" applyFont="true" applyBorder="true" applyAlignment="true" applyProtection="false">
      <alignment horizontal="center" vertical="bottom" textRotation="0" wrapText="false" indent="0" shrinkToFit="false"/>
      <protection locked="true" hidden="false"/>
    </xf>
    <xf numFmtId="164" fontId="19" fillId="0" borderId="0" xfId="63" applyFont="false" applyBorder="false" applyAlignment="false" applyProtection="false">
      <alignment horizontal="general" vertical="bottom" textRotation="0" wrapText="false" indent="0" shrinkToFit="false"/>
      <protection locked="true" hidden="false"/>
    </xf>
    <xf numFmtId="164" fontId="92" fillId="0" borderId="0" xfId="63" applyFont="true" applyBorder="false" applyAlignment="false" applyProtection="false">
      <alignment horizontal="general" vertical="bottom" textRotation="0" wrapText="false" indent="0" shrinkToFit="false"/>
      <protection locked="true" hidden="false"/>
    </xf>
    <xf numFmtId="164" fontId="19" fillId="0" borderId="10" xfId="63" applyFont="false" applyBorder="true" applyAlignment="false" applyProtection="false">
      <alignment horizontal="general" vertical="bottom" textRotation="0" wrapText="false" indent="0" shrinkToFit="false"/>
      <protection locked="true" hidden="false"/>
    </xf>
    <xf numFmtId="164" fontId="93" fillId="0" borderId="0" xfId="63" applyFont="true" applyBorder="false" applyAlignment="true" applyProtection="false">
      <alignment horizontal="general" vertical="bottom" textRotation="0" wrapText="true" indent="0" shrinkToFit="false"/>
      <protection locked="true" hidden="false"/>
    </xf>
    <xf numFmtId="164" fontId="19" fillId="0" borderId="0" xfId="63" applyFont="false" applyBorder="false" applyAlignment="true" applyProtection="false">
      <alignment horizontal="general" vertical="bottom" textRotation="0" wrapText="true" indent="0" shrinkToFit="false"/>
      <protection locked="true" hidden="false"/>
    </xf>
    <xf numFmtId="164" fontId="94" fillId="0" borderId="22" xfId="63" applyFont="true" applyBorder="true" applyAlignment="true" applyProtection="false">
      <alignment horizontal="general" vertical="bottom" textRotation="0" wrapText="true" indent="0" shrinkToFit="false"/>
      <protection locked="true" hidden="false"/>
    </xf>
    <xf numFmtId="164" fontId="94" fillId="0" borderId="22" xfId="63" applyFont="true" applyBorder="true" applyAlignment="true" applyProtection="false">
      <alignment horizontal="left" vertical="bottom" textRotation="0" wrapText="true" indent="0" shrinkToFit="false"/>
      <protection locked="true" hidden="false"/>
    </xf>
    <xf numFmtId="164" fontId="94" fillId="0" borderId="22" xfId="63" applyFont="true" applyBorder="true" applyAlignment="true" applyProtection="false">
      <alignment horizontal="general" vertical="bottom" textRotation="0" wrapText="true" indent="0" shrinkToFit="false"/>
      <protection locked="true" hidden="false"/>
    </xf>
    <xf numFmtId="164" fontId="94" fillId="0" borderId="0" xfId="63" applyFont="true" applyBorder="true" applyAlignment="true" applyProtection="false">
      <alignment horizontal="left" vertical="bottom" textRotation="0" wrapText="true" indent="0" shrinkToFit="false"/>
      <protection locked="true" hidden="false"/>
    </xf>
    <xf numFmtId="164" fontId="94" fillId="0" borderId="0" xfId="63" applyFont="true" applyBorder="true" applyAlignment="true" applyProtection="false">
      <alignment horizontal="left" vertical="bottom" textRotation="0" wrapText="true" indent="0" shrinkToFit="false"/>
      <protection locked="true" hidden="false"/>
    </xf>
    <xf numFmtId="164" fontId="94" fillId="0" borderId="0" xfId="63" applyFont="true" applyBorder="false" applyAlignment="true" applyProtection="false">
      <alignment horizontal="left" vertical="bottom" textRotation="0" wrapText="false" indent="0" shrinkToFit="false"/>
      <protection locked="true" hidden="false"/>
    </xf>
    <xf numFmtId="164" fontId="94" fillId="0" borderId="0" xfId="63" applyFont="true" applyBorder="false" applyAlignment="true" applyProtection="false">
      <alignment horizontal="left" vertical="bottom" textRotation="0" wrapText="true" indent="0" shrinkToFit="false"/>
      <protection locked="true" hidden="false"/>
    </xf>
    <xf numFmtId="164" fontId="94" fillId="0" borderId="0" xfId="63" applyFont="true" applyBorder="false" applyAlignment="true" applyProtection="false">
      <alignment horizontal="left" vertical="bottom" textRotation="0" wrapText="true" indent="0" shrinkToFit="false"/>
      <protection locked="true" hidden="false"/>
    </xf>
    <xf numFmtId="164" fontId="94" fillId="0" borderId="0" xfId="63" applyFont="true" applyBorder="false" applyAlignment="true" applyProtection="false">
      <alignment horizontal="left" vertical="bottom" textRotation="0" wrapText="false" indent="0" shrinkToFit="false"/>
      <protection locked="true" hidden="false"/>
    </xf>
    <xf numFmtId="164" fontId="95" fillId="0" borderId="0" xfId="63" applyFont="true" applyBorder="true" applyAlignment="true" applyProtection="false">
      <alignment horizontal="left" vertical="bottom" textRotation="0" wrapText="true" indent="0" shrinkToFit="false"/>
      <protection locked="true" hidden="false"/>
    </xf>
    <xf numFmtId="164" fontId="94" fillId="0" borderId="0" xfId="63" applyFont="true" applyBorder="true" applyAlignment="true" applyProtection="false">
      <alignment horizontal="left" vertical="bottom" textRotation="0" wrapText="false" indent="0" shrinkToFit="false"/>
      <protection locked="true" hidden="false"/>
    </xf>
    <xf numFmtId="164" fontId="19" fillId="0" borderId="0" xfId="63" applyFont="false" applyBorder="true" applyAlignment="false" applyProtection="false">
      <alignment horizontal="general" vertical="bottom" textRotation="0" wrapText="false" indent="0" shrinkToFit="false"/>
      <protection locked="true" hidden="false"/>
    </xf>
    <xf numFmtId="164" fontId="95" fillId="0" borderId="0" xfId="63" applyFont="true" applyBorder="true" applyAlignment="true" applyProtection="false">
      <alignment horizontal="left" vertical="bottom" textRotation="0" wrapText="true" indent="0" shrinkToFit="false"/>
      <protection locked="true" hidden="false"/>
    </xf>
    <xf numFmtId="164" fontId="19" fillId="0" borderId="0" xfId="63" applyFont="false" applyBorder="false" applyAlignment="false" applyProtection="false">
      <alignment horizontal="general" vertical="bottom" textRotation="0" wrapText="false" indent="0" shrinkToFit="false"/>
      <protection locked="true" hidden="false"/>
    </xf>
    <xf numFmtId="164" fontId="94" fillId="0" borderId="0" xfId="63" applyFont="true" applyBorder="true" applyAlignment="true" applyProtection="false">
      <alignment horizontal="general" vertical="bottom" textRotation="0" wrapText="true" indent="0" shrinkToFit="false"/>
      <protection locked="true" hidden="false"/>
    </xf>
    <xf numFmtId="164" fontId="93" fillId="0" borderId="0" xfId="63" applyFont="true" applyBorder="true" applyAlignment="true" applyProtection="false">
      <alignment horizontal="left" vertical="bottom" textRotation="0" wrapText="true" indent="0" shrinkToFit="false"/>
      <protection locked="true" hidden="false"/>
    </xf>
    <xf numFmtId="164" fontId="19" fillId="0" borderId="0" xfId="63" applyFont="true" applyBorder="true" applyAlignment="false" applyProtection="false">
      <alignment horizontal="general" vertical="bottom" textRotation="0" wrapText="false" indent="0" shrinkToFit="false"/>
      <protection locked="true" hidden="false"/>
    </xf>
  </cellXfs>
  <cellStyles count="64">
    <cellStyle name="Normal" xfId="0" builtinId="0"/>
    <cellStyle name="Comma" xfId="15" builtinId="3"/>
    <cellStyle name="Comma [0]" xfId="16" builtinId="6"/>
    <cellStyle name="Currency" xfId="17" builtinId="4"/>
    <cellStyle name="Currency [0]" xfId="18" builtinId="7"/>
    <cellStyle name="Percent" xfId="19" builtinId="5"/>
    <cellStyle name="20% - Accent1" xfId="21"/>
    <cellStyle name="20% - Accent2" xfId="22"/>
    <cellStyle name="20% - Accent3" xfId="23"/>
    <cellStyle name="20% - Accent4" xfId="24"/>
    <cellStyle name="20% - Accent5" xfId="25"/>
    <cellStyle name="20% - Accent6" xfId="26"/>
    <cellStyle name="40% - Accent1" xfId="27"/>
    <cellStyle name="40% - Accent2" xfId="28"/>
    <cellStyle name="40% - Accent3" xfId="29"/>
    <cellStyle name="40% - Accent4" xfId="30"/>
    <cellStyle name="40% - Accent5" xfId="31"/>
    <cellStyle name="40% - Accent6" xfId="32"/>
    <cellStyle name="60% - Accent1" xfId="33"/>
    <cellStyle name="60% - Accent2" xfId="34"/>
    <cellStyle name="60% - Accent3" xfId="35"/>
    <cellStyle name="60% - Accent4" xfId="36"/>
    <cellStyle name="60% - Accent5" xfId="37"/>
    <cellStyle name="60% - Accent6" xfId="38"/>
    <cellStyle name="Bad 1" xfId="39"/>
    <cellStyle name="Calculation" xfId="40"/>
    <cellStyle name="Check Cell" xfId="41"/>
    <cellStyle name="Date" xfId="42"/>
    <cellStyle name="En-tête 1" xfId="43"/>
    <cellStyle name="En-tête 2" xfId="44"/>
    <cellStyle name="Explanatory Text" xfId="45"/>
    <cellStyle name="Financier0" xfId="46"/>
    <cellStyle name="Good 1" xfId="47"/>
    <cellStyle name="Heading 1 1" xfId="48"/>
    <cellStyle name="Heading 2 1" xfId="49"/>
    <cellStyle name="Heading 3" xfId="50"/>
    <cellStyle name="Heading 4" xfId="51"/>
    <cellStyle name="Input" xfId="52"/>
    <cellStyle name="Linked Cell" xfId="53"/>
    <cellStyle name="Monétaire0" xfId="54"/>
    <cellStyle name="Motif" xfId="55"/>
    <cellStyle name="Neutral 1" xfId="56"/>
    <cellStyle name="Normal 2" xfId="57"/>
    <cellStyle name="Normal 2 2" xfId="58"/>
    <cellStyle name="Normal 2 3" xfId="59"/>
    <cellStyle name="Normal 2_AccumulationEquation" xfId="60"/>
    <cellStyle name="Normal 2_AccumulationEquation 2" xfId="61"/>
    <cellStyle name="Normal 3" xfId="62"/>
    <cellStyle name="Normal 4" xfId="63"/>
    <cellStyle name="Normal_AccumulationEquation" xfId="64"/>
    <cellStyle name="Normal_France" xfId="65"/>
    <cellStyle name="Normal_France 2" xfId="66"/>
    <cellStyle name="Normal_UK" xfId="67"/>
    <cellStyle name="Note 1" xfId="68"/>
    <cellStyle name="Output" xfId="69"/>
    <cellStyle name="Pourcentage 2" xfId="70"/>
    <cellStyle name="Pourcentage 3" xfId="71"/>
    <cellStyle name="Pourcentage 4" xfId="72"/>
    <cellStyle name="Standard_2 + 3" xfId="73"/>
    <cellStyle name="style_col_headings" xfId="74"/>
    <cellStyle name="Title" xfId="75"/>
    <cellStyle name="Virgule fixe" xfId="76"/>
    <cellStyle name="Warning Text" xfId="77"/>
    <cellStyle name="*unknown*" xfId="20" builtinId="8"/>
  </cellStyles>
  <colors>
    <indexedColors>
      <rgbColor rgb="FF000000"/>
      <rgbColor rgb="FFFFFFFF"/>
      <rgbColor rgb="FFDD0806"/>
      <rgbColor rgb="FF00FF00"/>
      <rgbColor rgb="FF0000FF"/>
      <rgbColor rgb="FFFFFF00"/>
      <rgbColor rgb="FFFF00FF"/>
      <rgbColor rgb="FF00FFFF"/>
      <rgbColor rgb="FF800000"/>
      <rgbColor rgb="FF006411"/>
      <rgbColor rgb="FF000080"/>
      <rgbColor rgb="FF808000"/>
      <rgbColor rgb="FF800080"/>
      <rgbColor rgb="FF008080"/>
      <rgbColor rgb="FFC0C0C0"/>
      <rgbColor rgb="FF808080"/>
      <rgbColor rgb="FF9999FF"/>
      <rgbColor rgb="FF993366"/>
      <rgbColor rgb="FFFFFFCC"/>
      <rgbColor rgb="FFCCFFFF"/>
      <rgbColor rgb="FF4600A5"/>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1FB714"/>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2.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3.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4.vml"/>
</Relationships>
</file>

<file path=xl/worksheets/_rels/sheet21.xml.rels><?xml version="1.0" encoding="UTF-8"?>
<Relationships xmlns="http://schemas.openxmlformats.org/package/2006/relationships"><Relationship Id="rId1" Type="http://schemas.openxmlformats.org/officeDocument/2006/relationships/comments" Target="../comments21.xml"/><Relationship Id="rId2" Type="http://schemas.openxmlformats.org/officeDocument/2006/relationships/vmlDrawing" Target="../drawings/vmlDrawing5.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6.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7.v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vmlDrawing" Target="../drawings/vmlDrawing8.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9.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vmlDrawing" Target="../drawings/vmlDrawing10.vml"/>
</Relationships>
</file>

<file path=xl/worksheets/_rels/sheet31.xml.rels><?xml version="1.0" encoding="UTF-8"?>
<Relationships xmlns="http://schemas.openxmlformats.org/package/2006/relationships"><Relationship Id="rId1" Type="http://schemas.openxmlformats.org/officeDocument/2006/relationships/comments" Target="../comments31.xml"/><Relationship Id="rId2" Type="http://schemas.openxmlformats.org/officeDocument/2006/relationships/vmlDrawing" Target="../drawings/vmlDrawing11.vml"/>
</Relationships>
</file>

<file path=xl/worksheets/_rels/sheet34.xml.rels><?xml version="1.0" encoding="UTF-8"?>
<Relationships xmlns="http://schemas.openxmlformats.org/package/2006/relationships"><Relationship Id="rId1" Type="http://schemas.openxmlformats.org/officeDocument/2006/relationships/comments" Target="../comments34.xml"/><Relationship Id="rId2" Type="http://schemas.openxmlformats.org/officeDocument/2006/relationships/vmlDrawing" Target="../drawings/vmlDrawing12.vml"/>
</Relationships>
</file>

<file path=xl/worksheets/_rels/sheet35.xml.rels><?xml version="1.0" encoding="UTF-8"?>
<Relationships xmlns="http://schemas.openxmlformats.org/package/2006/relationships"><Relationship Id="rId1" Type="http://schemas.openxmlformats.org/officeDocument/2006/relationships/comments" Target="../comments35.xml"/><Relationship Id="rId2" Type="http://schemas.openxmlformats.org/officeDocument/2006/relationships/vmlDrawing" Target="../drawings/vmlDrawing13.vml"/>
</Relationships>
</file>

<file path=xl/worksheets/_rels/sheet36.xml.rels><?xml version="1.0" encoding="UTF-8"?>
<Relationships xmlns="http://schemas.openxmlformats.org/package/2006/relationships"><Relationship Id="rId1" Type="http://schemas.openxmlformats.org/officeDocument/2006/relationships/comments" Target="../comments36.xml"/><Relationship Id="rId2" Type="http://schemas.openxmlformats.org/officeDocument/2006/relationships/vmlDrawing" Target="../drawings/vmlDrawing14.vml"/>
</Relationships>
</file>

<file path=xl/worksheets/_rels/sheet37.xml.rels><?xml version="1.0" encoding="UTF-8"?>
<Relationships xmlns="http://schemas.openxmlformats.org/package/2006/relationships"><Relationship Id="rId1" Type="http://schemas.openxmlformats.org/officeDocument/2006/relationships/comments" Target="../comments37.xml"/><Relationship Id="rId2" Type="http://schemas.openxmlformats.org/officeDocument/2006/relationships/vmlDrawing" Target="../drawings/vmlDrawing15.vml"/>
</Relationships>
</file>

<file path=xl/worksheets/_rels/sheet38.xml.rels><?xml version="1.0" encoding="UTF-8"?>
<Relationships xmlns="http://schemas.openxmlformats.org/package/2006/relationships"><Relationship Id="rId1" Type="http://schemas.openxmlformats.org/officeDocument/2006/relationships/comments" Target="../comments38.xml"/><Relationship Id="rId2" Type="http://schemas.openxmlformats.org/officeDocument/2006/relationships/vmlDrawing" Target="../drawings/vmlDrawing16.vml"/>
</Relationships>
</file>

<file path=xl/worksheets/_rels/sheet39.xml.rels><?xml version="1.0" encoding="UTF-8"?>
<Relationships xmlns="http://schemas.openxmlformats.org/package/2006/relationships"><Relationship Id="rId1" Type="http://schemas.openxmlformats.org/officeDocument/2006/relationships/comments" Target="../comments39.xml"/><Relationship Id="rId2" Type="http://schemas.openxmlformats.org/officeDocument/2006/relationships/vmlDrawing" Target="../drawings/vmlDrawing17.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true"/>
  </sheetPr>
  <dimension ref="A1:C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7" topLeftCell="B28" activePane="bottomRight" state="frozen"/>
      <selection pane="topLeft" activeCell="A1" activeCellId="0" sqref="A1"/>
      <selection pane="topRight" activeCell="B1" activeCellId="0" sqref="B1"/>
      <selection pane="bottomLeft" activeCell="A28" activeCellId="0" sqref="A28"/>
      <selection pane="bottomRight" activeCell="B2" activeCellId="0" sqref="B2"/>
    </sheetView>
  </sheetViews>
  <sheetFormatPr defaultColWidth="10.82421875" defaultRowHeight="12.8" zeroHeight="true" outlineLevelRow="0" outlineLevelCol="0"/>
  <cols>
    <col collapsed="false" customWidth="true" hidden="false" outlineLevel="0" max="2" min="2" style="0" width="113.49"/>
    <col collapsed="false" customWidth="false" hidden="true" outlineLevel="0" max="257" min="4" style="0" width="10.82"/>
  </cols>
  <sheetData>
    <row r="1" customFormat="false" ht="15" hidden="false" customHeight="true" outlineLevel="0" collapsed="false">
      <c r="A1" s="1"/>
      <c r="B1" s="2"/>
      <c r="C1" s="1"/>
    </row>
    <row r="2" customFormat="false" ht="28" hidden="false" customHeight="false" outlineLevel="0" collapsed="false">
      <c r="A2" s="1"/>
      <c r="B2" s="2" t="s">
        <v>0</v>
      </c>
      <c r="C2" s="1"/>
    </row>
    <row r="3" customFormat="false" ht="17" hidden="false" customHeight="false" outlineLevel="0" collapsed="false">
      <c r="A3" s="1"/>
      <c r="B3" s="3" t="s">
        <v>1</v>
      </c>
      <c r="C3" s="1"/>
    </row>
    <row r="4" customFormat="false" ht="15" hidden="false" customHeight="false" outlineLevel="0" collapsed="false">
      <c r="A4" s="1"/>
      <c r="B4" s="4"/>
      <c r="C4" s="1"/>
    </row>
    <row r="5" customFormat="false" ht="15" hidden="false" customHeight="false" outlineLevel="0" collapsed="false">
      <c r="A5" s="1"/>
      <c r="B5" s="4"/>
      <c r="C5" s="1"/>
    </row>
    <row r="6" customFormat="false" ht="23" hidden="false" customHeight="false" outlineLevel="0" collapsed="false">
      <c r="A6" s="1"/>
      <c r="B6" s="5" t="s">
        <v>2</v>
      </c>
      <c r="C6" s="1"/>
    </row>
    <row r="7" customFormat="false" ht="23" hidden="false" customHeight="true" outlineLevel="0" collapsed="false">
      <c r="A7" s="1"/>
      <c r="B7" s="6" t="s">
        <v>3</v>
      </c>
      <c r="C7" s="1"/>
    </row>
    <row r="8" customFormat="false" ht="16" hidden="false" customHeight="false" outlineLevel="0" collapsed="false">
      <c r="A8" s="1"/>
      <c r="B8" s="7"/>
      <c r="C8" s="1"/>
    </row>
    <row r="9" customFormat="false" ht="33" hidden="false" customHeight="true" outlineLevel="0" collapsed="false">
      <c r="A9" s="1"/>
      <c r="B9" s="8" t="s">
        <v>4</v>
      </c>
      <c r="C9" s="1"/>
    </row>
    <row r="10" customFormat="false" ht="16.75" hidden="false" customHeight="true" outlineLevel="0" collapsed="false">
      <c r="A10" s="1"/>
      <c r="B10" s="9" t="str">
        <f aca="false">TableDE1!A3</f>
        <v>Table DE.1: National income and private wealth in Germany, 1870-2011 (annual series)</v>
      </c>
      <c r="C10" s="1"/>
    </row>
    <row r="11" customFormat="false" ht="16.75" hidden="false" customHeight="true" outlineLevel="0" collapsed="false">
      <c r="A11" s="1"/>
      <c r="B11" s="9" t="str">
        <f aca="false">TableDE2!A3</f>
        <v>Table DE.2: National income and private wealth in Germany, 1870-2010 (decennial averages)</v>
      </c>
      <c r="C11" s="1"/>
    </row>
    <row r="12" customFormat="false" ht="16.75" hidden="false" customHeight="true" outlineLevel="0" collapsed="false">
      <c r="A12" s="1"/>
      <c r="B12" s="9" t="str">
        <f aca="false">TableDE3!A3</f>
        <v>Table DE.3: Economic growth, population growth and price deflators in Germany (changing boundaries), 1870-2010 </v>
      </c>
      <c r="C12" s="1"/>
    </row>
    <row r="13" customFormat="false" ht="16.75" hidden="false" customHeight="true" outlineLevel="0" collapsed="false">
      <c r="A13" s="1"/>
      <c r="B13" s="9" t="str">
        <f aca="false">TableDE3b!A3</f>
        <v>Table DE.3b: Economic and population growth in Germany, 1870-2011: Corrections for frontier changes</v>
      </c>
      <c r="C13" s="1"/>
    </row>
    <row r="14" customFormat="false" ht="16.75" hidden="false" customHeight="true" outlineLevel="0" collapsed="false">
      <c r="A14" s="1"/>
      <c r="B14" s="9" t="str">
        <f aca="false">TableDE3c!A3</f>
        <v>Table DE.3c: Economic growth, population growth and price deflators in Germany (fixed boundaries), 1870-2010 </v>
      </c>
      <c r="C14" s="1"/>
    </row>
    <row r="15" customFormat="false" ht="16.75" hidden="false" customHeight="true" outlineLevel="0" collapsed="false">
      <c r="A15" s="1"/>
      <c r="B15" s="9" t="str">
        <f aca="false">TableDE3d!A3</f>
        <v>Table DE.3d: Summary macro variables, 1870-2011 (annual series)</v>
      </c>
      <c r="C15" s="1"/>
    </row>
    <row r="16" customFormat="false" ht="16.75" hidden="false" customHeight="true" outlineLevel="0" collapsed="false">
      <c r="A16" s="1"/>
      <c r="B16" s="9" t="str">
        <f aca="false">TableDE3e!A3</f>
        <v>Table DE.3e: Summary macro variables, 1870-2010 (decennial averages)</v>
      </c>
      <c r="C16" s="1"/>
    </row>
    <row r="17" customFormat="false" ht="34.75" hidden="false" customHeight="true" outlineLevel="0" collapsed="false">
      <c r="A17" s="1"/>
      <c r="B17" s="10" t="s">
        <v>5</v>
      </c>
      <c r="C17" s="1"/>
    </row>
    <row r="18" customFormat="false" ht="16" hidden="false" customHeight="true" outlineLevel="0" collapsed="false">
      <c r="A18" s="1"/>
      <c r="B18" s="11" t="str">
        <f aca="false">TableDE4a!A3</f>
        <v>Table DE.4a: Sources of private wealth accumulation in Germany, 1870-2010 - Additive decomposition</v>
      </c>
      <c r="C18" s="1"/>
    </row>
    <row r="19" customFormat="false" ht="16" hidden="false" customHeight="true" outlineLevel="0" collapsed="false">
      <c r="A19" s="1"/>
      <c r="B19" s="11" t="str">
        <f aca="false">Table_DE_4b__Sources_of_private_wealth_accumulation_in_Germany__1870_2010___Multiplicative_decomposition</f>
        <v>Table DE.4b: Sources of private wealth accumulation in Germany, 1870-2010 - Multiplicative decomposition</v>
      </c>
      <c r="C19" s="1"/>
    </row>
    <row r="20" customFormat="false" ht="16" hidden="false" customHeight="true" outlineLevel="0" collapsed="false">
      <c r="A20" s="1"/>
      <c r="B20" s="11" t="str">
        <f aca="false">TableDE4c!A3</f>
        <v>Table DE.4c: Sources of market value national wealth accumulation in Germany, 1870-2010</v>
      </c>
      <c r="C20" s="1"/>
    </row>
    <row r="21" customFormat="false" ht="16" hidden="false" customHeight="true" outlineLevel="0" collapsed="false">
      <c r="A21" s="1"/>
      <c r="B21" s="11" t="str">
        <f aca="false">TableDE4e!A3</f>
        <v>Table DE.4e: Sources of government wealth accumulation in Germany, 1870-2010</v>
      </c>
      <c r="C21" s="1"/>
    </row>
    <row r="22" customFormat="false" ht="16" hidden="false" customHeight="true" outlineLevel="0" collapsed="false">
      <c r="A22" s="1"/>
      <c r="B22" s="11" t="str">
        <f aca="false">TableDE4f!A3</f>
        <v>Table DE.4f: Sources of foreign wealth accumulation in Germany, 1870-2010</v>
      </c>
      <c r="C22" s="1"/>
    </row>
    <row r="23" customFormat="false" ht="16" hidden="false" customHeight="true" outlineLevel="0" collapsed="false">
      <c r="A23" s="1"/>
      <c r="B23" s="11" t="str">
        <f aca="false">TableDE4g!A3</f>
        <v>Table DE.4g: Sources of book value national wealth accumulation in Germany, 1970-2010</v>
      </c>
      <c r="C23" s="1"/>
    </row>
    <row r="24" customFormat="false" ht="16.75" hidden="false" customHeight="true" outlineLevel="0" collapsed="false">
      <c r="A24" s="1"/>
      <c r="B24" s="11" t="str">
        <f aca="false">TableDE5a!A3</f>
        <v>Table DE.5a: Accumulation equation for private wealth in Germany, 1870-2010 (annual series)</v>
      </c>
      <c r="C24" s="1"/>
    </row>
    <row r="25" customFormat="false" ht="16.75" hidden="false" customHeight="true" outlineLevel="0" collapsed="false">
      <c r="A25" s="1"/>
      <c r="B25" s="11" t="str">
        <f aca="false">TableDE5b!A3</f>
        <v>Table DE.5b: Accumulation equation for national wealth in Germany, 1870-2010 (annual series)</v>
      </c>
      <c r="C25" s="1"/>
    </row>
    <row r="26" customFormat="false" ht="16.75" hidden="false" customHeight="true" outlineLevel="0" collapsed="false">
      <c r="A26" s="1"/>
      <c r="B26" s="11" t="str">
        <f aca="false">TableDE5c!A3</f>
        <v>Table DE.5c: Accumulation equation for government wealth in Germany, 1870-2010 (annual series)</v>
      </c>
      <c r="C26" s="1"/>
    </row>
    <row r="27" customFormat="false" ht="34.75" hidden="false" customHeight="true" outlineLevel="0" collapsed="false">
      <c r="A27" s="1"/>
      <c r="B27" s="12" t="s">
        <v>6</v>
      </c>
      <c r="C27" s="1"/>
    </row>
    <row r="28" customFormat="false" ht="16.75" hidden="false" customHeight="true" outlineLevel="0" collapsed="false">
      <c r="A28" s="1"/>
      <c r="B28" s="13" t="str">
        <f aca="false">TableDE6a!A3</f>
        <v>Table DE.6a: Structure of national wealth in Germany, 1870-2011: private wealth vs government wealth</v>
      </c>
      <c r="C28" s="1"/>
    </row>
    <row r="29" customFormat="false" ht="16.75" hidden="false" customHeight="true" outlineLevel="0" collapsed="false">
      <c r="A29" s="1"/>
      <c r="B29" s="13" t="str">
        <f aca="false">TableDE6b!A3</f>
        <v>Table DE.6b: Structure of national wealth in Germany, 1870-2011: corporate wealth and net foreign asset position</v>
      </c>
      <c r="C29" s="1"/>
    </row>
    <row r="30" customFormat="false" ht="16.75" hidden="false" customHeight="true" outlineLevel="0" collapsed="false">
      <c r="A30" s="1"/>
      <c r="B30" s="13" t="str">
        <f aca="false">TableDE6c!A3</f>
        <v>Table DE.6c: Composition of private wealth in Germany, 1950-2011, % of national income</v>
      </c>
      <c r="C30" s="1"/>
    </row>
    <row r="31" customFormat="false" ht="16.75" hidden="false" customHeight="true" outlineLevel="0" collapsed="false">
      <c r="A31" s="1"/>
      <c r="B31" s="13" t="str">
        <f aca="false">TableDE6d!A3</f>
        <v>Table DE.6d: Composition of private wealth in Germany, 1950-2011, % of private wealth</v>
      </c>
      <c r="C31" s="1"/>
    </row>
    <row r="32" customFormat="false" ht="16.75" hidden="false" customHeight="true" outlineLevel="0" collapsed="false">
      <c r="A32" s="1"/>
      <c r="B32" s="13" t="str">
        <f aca="false">TableDE6e!A3</f>
        <v>Table DE.6e: The structure of national wealth in Germany, 1870-2010 (decenial averages)</v>
      </c>
      <c r="C32" s="1"/>
    </row>
    <row r="33" customFormat="false" ht="16.75" hidden="false" customHeight="true" outlineLevel="0" collapsed="false">
      <c r="A33" s="1"/>
      <c r="B33" s="13" t="str">
        <f aca="false">TableDE6f!A3</f>
        <v>Table DE.6f: The changing nature of national wealth in Germany, 1870-2010</v>
      </c>
      <c r="C33" s="1"/>
    </row>
    <row r="34" customFormat="false" ht="16.75" hidden="false" customHeight="true" outlineLevel="0" collapsed="false">
      <c r="A34" s="1"/>
      <c r="B34" s="13" t="str">
        <f aca="false">TableDE6g!A3</f>
        <v>Table DE.6g: Assets and liabilities in Eastern Germany as of 1991 and 1998</v>
      </c>
      <c r="C34" s="1"/>
    </row>
    <row r="35" customFormat="false" ht="34" hidden="false" customHeight="true" outlineLevel="0" collapsed="false">
      <c r="A35" s="1"/>
      <c r="B35" s="14" t="s">
        <v>7</v>
      </c>
      <c r="C35" s="1"/>
    </row>
    <row r="36" customFormat="false" ht="16.75" hidden="false" customHeight="true" outlineLevel="0" collapsed="false">
      <c r="A36" s="1"/>
      <c r="B36" s="15" t="str">
        <f aca="false">TableDE8!A3</f>
        <v>Table DE.8: Structure of national income in Germany, 1950-2011: national income vs gross domestic product</v>
      </c>
      <c r="C36" s="1"/>
    </row>
    <row r="37" customFormat="false" ht="16.75" hidden="false" customHeight="true" outlineLevel="0" collapsed="false">
      <c r="A37" s="1"/>
      <c r="B37" s="15" t="str">
        <f aca="false">TableDE9!A3</f>
        <v>Table DE.9: Structure of national income in Germany, 1950-2011: decomposition by production sectors</v>
      </c>
      <c r="C37" s="1"/>
    </row>
    <row r="38" customFormat="false" ht="16.75" hidden="false" customHeight="true" outlineLevel="0" collapsed="false">
      <c r="A38" s="1"/>
      <c r="B38" s="15" t="str">
        <f aca="false">TableDE10!A3</f>
        <v>Table DE.10: Structure of national income in Germany, 1980-2011: profits &amp; wages in the corporate sector</v>
      </c>
      <c r="C38" s="1"/>
    </row>
    <row r="39" customFormat="false" ht="16.75" hidden="false" customHeight="true" outlineLevel="0" collapsed="false">
      <c r="A39" s="1"/>
      <c r="B39" s="15" t="str">
        <f aca="false">TableDE11a!A3</f>
        <v>Table DE.11a: Structure of national income in Germany, 1950-2010: capital &amp; labor shares in national income</v>
      </c>
      <c r="C39" s="1"/>
    </row>
    <row r="40" customFormat="false" ht="16.75" hidden="false" customHeight="true" outlineLevel="0" collapsed="false">
      <c r="A40" s="1"/>
      <c r="B40" s="15" t="str">
        <f aca="false">TableDE11b!A3</f>
        <v>Table DE.11b: Structure of national income in Germany, 1950-2011: capital &amp; labor shares in factor-price national income</v>
      </c>
      <c r="C40" s="1"/>
    </row>
    <row r="41" customFormat="false" ht="16.75" hidden="false" customHeight="true" outlineLevel="0" collapsed="false">
      <c r="A41" s="1"/>
      <c r="B41" s="15" t="str">
        <f aca="false">TableDE12!A4</f>
        <v>Table DE.12: Structure of national income in Germany, 1950-2010: disposable income &amp; savings</v>
      </c>
      <c r="C41" s="1"/>
    </row>
    <row r="42" customFormat="false" ht="16.75" hidden="false" customHeight="true" outlineLevel="0" collapsed="false">
      <c r="A42" s="1"/>
      <c r="B42" s="15" t="str">
        <f aca="false">TableDE12b!A3</f>
        <v>Table DE12b: Structure of national income in Germany, 1870-2010: savings, investment and external balance</v>
      </c>
      <c r="C42" s="1"/>
    </row>
    <row r="43" customFormat="false" ht="16.75" hidden="false" customHeight="true" outlineLevel="0" collapsed="false">
      <c r="A43" s="1"/>
      <c r="B43" s="15" t="str">
        <f aca="false">TableDE12c!A3</f>
        <v>Table DE12c: Structure of national income in Germany, 1870-2010: private vs government saving, investment, and depreciation</v>
      </c>
      <c r="C43" s="1"/>
    </row>
    <row r="44" customFormat="false" ht="16.75" hidden="false" customHeight="true" outlineLevel="0" collapsed="false">
      <c r="A44" s="1"/>
      <c r="B44" s="15" t="str">
        <f aca="false">TableDE13!A3</f>
        <v>Table DE.13: Structure of national income in Germany, 1950-2010: taxes &amp; transfers</v>
      </c>
      <c r="C44" s="1"/>
    </row>
    <row r="45" customFormat="false" ht="34" hidden="false" customHeight="true" outlineLevel="0" collapsed="false">
      <c r="A45" s="1"/>
      <c r="B45" s="16" t="s">
        <v>8</v>
      </c>
      <c r="C45" s="1"/>
    </row>
    <row r="46" customFormat="false" ht="16.75" hidden="false" customHeight="true" outlineLevel="0" collapsed="false">
      <c r="A46" s="1"/>
      <c r="B46" s="17" t="str">
        <f aca="false">TableDE15a!A3</f>
        <v>Table DE.15a: Price indices in Germany, 1870-2011 (annual series)</v>
      </c>
      <c r="C46" s="1"/>
    </row>
    <row r="47" customFormat="false" ht="15" hidden="false" customHeight="false" outlineLevel="0" collapsed="false">
      <c r="A47" s="1"/>
      <c r="B47" s="1"/>
      <c r="C47" s="1"/>
    </row>
    <row r="48" customFormat="false" ht="15" hidden="false" customHeight="false" outlineLevel="0" collapsed="false">
      <c r="A48" s="1"/>
      <c r="B48" s="1"/>
      <c r="C48" s="1"/>
    </row>
    <row r="49" customFormat="false" ht="15" hidden="false" customHeight="false" outlineLevel="0" collapsed="false">
      <c r="A49" s="1"/>
      <c r="B49" s="1"/>
      <c r="C49" s="1"/>
    </row>
    <row r="50" customFormat="false" ht="15" hidden="false" customHeight="false" outlineLevel="0" collapsed="false">
      <c r="A50" s="1"/>
      <c r="B50" s="1"/>
      <c r="C50" s="1"/>
    </row>
    <row r="51" customFormat="false" ht="15" hidden="false" customHeight="false" outlineLevel="0" collapsed="false">
      <c r="A51" s="18"/>
      <c r="B51" s="19"/>
      <c r="C51" s="1"/>
    </row>
    <row r="52" customFormat="false" ht="15" hidden="true" customHeight="false" outlineLevel="0" collapsed="false">
      <c r="A52" s="1"/>
      <c r="B52" s="1"/>
      <c r="C52" s="1"/>
    </row>
    <row r="53" customFormat="false" ht="12" hidden="true" customHeight="false" outlineLevel="0" collapsed="false"/>
  </sheetData>
  <hyperlinks>
    <hyperlink ref="B10" location="Tablede1!A1" display="#Tablede1.A1"/>
    <hyperlink ref="B11" location="TableDE2!A1" display="#TableDE2.A1"/>
    <hyperlink ref="B12" location="TableDE3!A1" display="#TableDE3.A1"/>
    <hyperlink ref="B13" location="TableDE3b!A1" display="#TableDE3b.A1"/>
    <hyperlink ref="B14" location="TableDE3c!A1" display="#TableDE3c.A1"/>
    <hyperlink ref="B15" location="TableDE3d!A1" display="#TableDE3d.A1"/>
    <hyperlink ref="B16" location="TableDE3e!A1" display="#TableDE3e.A1"/>
    <hyperlink ref="B18" location="TableDE4a!A1" display="#TableDE4a.A1"/>
    <hyperlink ref="B19" location="TableDE4b!A1" display="#TableDE4b.A1"/>
    <hyperlink ref="B20" location="TableDE4c!A1" display="#TableDE4c.A1"/>
    <hyperlink ref="B21" location="TableDE4e!A1" display="#TableDE4e.A1"/>
    <hyperlink ref="B22" location="TableDE4f!A1" display="#TableDE4f.A1"/>
    <hyperlink ref="B23" location="TableDE4g!A1" display="#TableDE4g.A1"/>
    <hyperlink ref="B24" location="TableDE5a!A1" display="#TableDE5a.A1"/>
    <hyperlink ref="B25" location="TableDE5b!A1" display="#TableDE5b.A1"/>
    <hyperlink ref="B26" location="TableDE5c!A1" display="#TableDE5c.A1"/>
    <hyperlink ref="B28" location="TableDE6a!A1" display="#TableDE6a.A1"/>
    <hyperlink ref="B29" location="TableDE6b!A1" display="#TableDE6b.A1"/>
    <hyperlink ref="B30" location="TableDE6c!A1" display="#TableDE6c.A1"/>
    <hyperlink ref="B31" location="TableDE6d!A1" display="#TableDE6d.A1"/>
    <hyperlink ref="B32" location="TableDE6e!A1" display="#TableDE6e.A1"/>
    <hyperlink ref="B33" location="TableDE6f!A1" display="#TableDE6f.A1"/>
    <hyperlink ref="B34" location="TableDE6g!A1" display="#TableDE6g.A1"/>
    <hyperlink ref="B36" location="TableDE8!A1" display="#TableDE8.A1"/>
    <hyperlink ref="B37" location="TableDE9!A1" display="#TableDE9.A1"/>
    <hyperlink ref="B38" location="TableDE10!A1" display="#TableDE10.A1"/>
    <hyperlink ref="B39" location="TableDE11a!A1" display="#TableDE11a.A1"/>
    <hyperlink ref="B40" location="TableDE11b!A1" display="#TableDE11b.A1"/>
    <hyperlink ref="B41" location="TableDE12!A1" display="#TableDE12.A1"/>
    <hyperlink ref="B42" location="TableDE12b!A1" display="#TableDE12b.A1"/>
    <hyperlink ref="B43" location="TableDE12c!A1" display="#TableDE12c.A1"/>
    <hyperlink ref="B44" location="TableDE13!A1" display="#TableDE13.A1"/>
    <hyperlink ref="B46" location="TableDE15a!A1" display="#TableDE15a.A1"/>
  </hyperlinks>
  <printOptions headings="false" gridLines="false" gridLinesSet="true" horizontalCentered="false" verticalCentered="false"/>
  <pageMargins left="0.75" right="0.75" top="0.984027777777778" bottom="0.9840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CCFF"/>
    <pageSetUpPr fitToPage="true"/>
  </sheetPr>
  <dimension ref="A1:AC3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A3" activeCellId="0" sqref="A3"/>
    </sheetView>
  </sheetViews>
  <sheetFormatPr defaultColWidth="11.0546875" defaultRowHeight="12" zeroHeight="false" outlineLevelRow="0" outlineLevelCol="0"/>
  <cols>
    <col collapsed="false" customWidth="true" hidden="false" outlineLevel="0" max="1" min="1" style="0" width="8.66"/>
    <col collapsed="false" customWidth="true" hidden="false" outlineLevel="0" max="3" min="2" style="0" width="7.99"/>
    <col collapsed="false" customWidth="true" hidden="false" outlineLevel="0" max="7" min="4" style="0" width="7.66"/>
    <col collapsed="false" customWidth="true" hidden="false" outlineLevel="0" max="8" min="8" style="0" width="8.33"/>
    <col collapsed="false" customWidth="true" hidden="false" outlineLevel="0" max="11" min="9" style="0" width="7.66"/>
    <col collapsed="false" customWidth="true" hidden="false" outlineLevel="0" max="12" min="12" style="0" width="8.33"/>
    <col collapsed="false" customWidth="true" hidden="false" outlineLevel="0" max="13" min="13" style="0" width="7.66"/>
    <col collapsed="false" customWidth="true" hidden="false" outlineLevel="0" max="14" min="14" style="0" width="9.33"/>
    <col collapsed="false" customWidth="true" hidden="false" outlineLevel="0" max="16" min="15" style="0" width="7.66"/>
    <col collapsed="false" customWidth="true" hidden="false" outlineLevel="0" max="21" min="17" style="0" width="8.33"/>
    <col collapsed="false" customWidth="true" hidden="false" outlineLevel="0" max="29" min="26" style="20" width="10.82"/>
  </cols>
  <sheetData>
    <row r="1" customFormat="false" ht="12" hidden="false" customHeight="false" outlineLevel="0" collapsed="false">
      <c r="B1" s="21" t="s">
        <v>9</v>
      </c>
      <c r="W1" s="22"/>
      <c r="X1" s="23"/>
      <c r="Y1" s="23"/>
    </row>
    <row r="2" customFormat="false" ht="13" hidden="false" customHeight="false" outlineLevel="0" collapsed="false">
      <c r="W2" s="24"/>
      <c r="X2" s="25"/>
      <c r="Y2" s="25"/>
      <c r="Z2" s="26"/>
    </row>
    <row r="3" customFormat="false" ht="19.75" hidden="false" customHeight="true" outlineLevel="0" collapsed="false">
      <c r="A3" s="27" t="s">
        <v>10</v>
      </c>
      <c r="B3" s="27"/>
      <c r="C3" s="27"/>
      <c r="D3" s="27"/>
      <c r="E3" s="27"/>
      <c r="F3" s="27"/>
      <c r="G3" s="27"/>
      <c r="H3" s="27"/>
      <c r="I3" s="27"/>
      <c r="J3" s="27"/>
      <c r="K3" s="27"/>
      <c r="L3" s="27"/>
      <c r="M3" s="27"/>
      <c r="N3" s="27"/>
      <c r="O3" s="27"/>
      <c r="P3" s="27"/>
      <c r="Q3" s="27"/>
      <c r="R3" s="27"/>
      <c r="S3" s="27"/>
      <c r="T3" s="27"/>
      <c r="U3" s="27"/>
      <c r="X3" s="25"/>
      <c r="Y3" s="25"/>
    </row>
    <row r="4" customFormat="false" ht="12" hidden="false" customHeight="false" outlineLevel="0" collapsed="false">
      <c r="A4" s="28"/>
      <c r="B4" s="29"/>
      <c r="C4" s="29"/>
      <c r="D4" s="29"/>
      <c r="E4" s="29"/>
      <c r="F4" s="29"/>
      <c r="G4" s="29"/>
      <c r="H4" s="29"/>
      <c r="I4" s="29"/>
      <c r="J4" s="29"/>
      <c r="K4" s="29"/>
      <c r="L4" s="29"/>
      <c r="M4" s="29"/>
      <c r="N4" s="29"/>
      <c r="O4" s="29"/>
      <c r="P4" s="29"/>
      <c r="Q4" s="29"/>
      <c r="R4" s="29"/>
      <c r="S4" s="29"/>
      <c r="T4" s="29"/>
      <c r="U4" s="30"/>
      <c r="X4" s="25"/>
      <c r="Y4" s="25"/>
    </row>
    <row r="5" customFormat="false" ht="12" hidden="false" customHeight="false" outlineLevel="0" collapsed="false">
      <c r="A5" s="28"/>
      <c r="B5" s="31" t="s">
        <v>11</v>
      </c>
      <c r="C5" s="31" t="s">
        <v>12</v>
      </c>
      <c r="D5" s="31" t="s">
        <v>13</v>
      </c>
      <c r="E5" s="31" t="s">
        <v>14</v>
      </c>
      <c r="F5" s="31" t="s">
        <v>15</v>
      </c>
      <c r="G5" s="31" t="s">
        <v>16</v>
      </c>
      <c r="H5" s="31" t="s">
        <v>17</v>
      </c>
      <c r="I5" s="31" t="s">
        <v>18</v>
      </c>
      <c r="J5" s="31" t="s">
        <v>19</v>
      </c>
      <c r="K5" s="31" t="s">
        <v>20</v>
      </c>
      <c r="L5" s="31" t="s">
        <v>21</v>
      </c>
      <c r="M5" s="31" t="s">
        <v>22</v>
      </c>
      <c r="N5" s="31" t="s">
        <v>23</v>
      </c>
      <c r="O5" s="31" t="s">
        <v>24</v>
      </c>
      <c r="P5" s="31" t="s">
        <v>25</v>
      </c>
      <c r="Q5" s="31" t="s">
        <v>26</v>
      </c>
      <c r="R5" s="32" t="s">
        <v>27</v>
      </c>
      <c r="S5" s="32" t="s">
        <v>28</v>
      </c>
      <c r="T5" s="32" t="s">
        <v>29</v>
      </c>
      <c r="U5" s="33" t="s">
        <v>30</v>
      </c>
      <c r="X5" s="25"/>
      <c r="Y5" s="25"/>
      <c r="AA5" s="25"/>
      <c r="AB5" s="25"/>
    </row>
    <row r="6" customFormat="false" ht="34.75" hidden="false" customHeight="true" outlineLevel="0" collapsed="false">
      <c r="A6" s="28"/>
      <c r="B6" s="34" t="s">
        <v>31</v>
      </c>
      <c r="C6" s="34"/>
      <c r="D6" s="34"/>
      <c r="E6" s="34"/>
      <c r="F6" s="34"/>
      <c r="G6" s="34"/>
      <c r="H6" s="34"/>
      <c r="I6" s="34"/>
      <c r="J6" s="34"/>
      <c r="K6" s="34"/>
      <c r="L6" s="34"/>
      <c r="M6" s="34"/>
      <c r="N6" s="34"/>
      <c r="O6" s="34"/>
      <c r="P6" s="34"/>
      <c r="Q6" s="34"/>
      <c r="R6" s="34"/>
      <c r="S6" s="34"/>
      <c r="T6" s="34"/>
      <c r="U6" s="34"/>
      <c r="X6" s="25"/>
      <c r="Y6" s="25"/>
    </row>
    <row r="7" customFormat="false" ht="34.75" hidden="false" customHeight="true" outlineLevel="0" collapsed="false">
      <c r="A7" s="35"/>
      <c r="B7" s="36" t="s">
        <v>32</v>
      </c>
      <c r="C7" s="36"/>
      <c r="D7" s="37" t="s">
        <v>33</v>
      </c>
      <c r="E7" s="37"/>
      <c r="F7" s="37" t="s">
        <v>32</v>
      </c>
      <c r="G7" s="37"/>
      <c r="H7" s="37"/>
      <c r="I7" s="37"/>
      <c r="J7" s="37" t="s">
        <v>34</v>
      </c>
      <c r="K7" s="37"/>
      <c r="L7" s="37"/>
      <c r="M7" s="37"/>
      <c r="N7" s="38" t="s">
        <v>35</v>
      </c>
      <c r="O7" s="39" t="s">
        <v>36</v>
      </c>
      <c r="P7" s="40" t="s">
        <v>37</v>
      </c>
      <c r="Q7" s="41" t="s">
        <v>38</v>
      </c>
      <c r="R7" s="42" t="s">
        <v>39</v>
      </c>
      <c r="S7" s="43" t="s">
        <v>40</v>
      </c>
      <c r="T7" s="44" t="s">
        <v>41</v>
      </c>
      <c r="U7" s="45" t="s">
        <v>42</v>
      </c>
      <c r="X7" s="25"/>
      <c r="Y7" s="25"/>
    </row>
    <row r="8" customFormat="false" ht="34.75" hidden="false" customHeight="true" outlineLevel="0" collapsed="false">
      <c r="A8" s="35"/>
      <c r="B8" s="36"/>
      <c r="C8" s="36"/>
      <c r="D8" s="46" t="s">
        <v>43</v>
      </c>
      <c r="E8" s="47" t="s">
        <v>44</v>
      </c>
      <c r="F8" s="46" t="s">
        <v>45</v>
      </c>
      <c r="G8" s="48" t="s">
        <v>46</v>
      </c>
      <c r="H8" s="49" t="s">
        <v>47</v>
      </c>
      <c r="I8" s="50" t="s">
        <v>48</v>
      </c>
      <c r="J8" s="51" t="s">
        <v>49</v>
      </c>
      <c r="K8" s="48" t="s">
        <v>46</v>
      </c>
      <c r="L8" s="49" t="s">
        <v>47</v>
      </c>
      <c r="M8" s="50" t="s">
        <v>48</v>
      </c>
      <c r="N8" s="38"/>
      <c r="O8" s="39"/>
      <c r="P8" s="40"/>
      <c r="Q8" s="41"/>
      <c r="R8" s="42"/>
      <c r="S8" s="43"/>
      <c r="T8" s="44"/>
      <c r="U8" s="45"/>
    </row>
    <row r="9" customFormat="false" ht="49.75" hidden="false" customHeight="true" outlineLevel="0" collapsed="false">
      <c r="A9" s="35"/>
      <c r="B9" s="52" t="s">
        <v>43</v>
      </c>
      <c r="C9" s="53" t="s">
        <v>44</v>
      </c>
      <c r="D9" s="46"/>
      <c r="E9" s="47"/>
      <c r="F9" s="46"/>
      <c r="G9" s="48"/>
      <c r="H9" s="49"/>
      <c r="I9" s="50"/>
      <c r="J9" s="51"/>
      <c r="K9" s="48"/>
      <c r="L9" s="49"/>
      <c r="M9" s="50"/>
      <c r="N9" s="38"/>
      <c r="O9" s="39"/>
      <c r="P9" s="40"/>
      <c r="Q9" s="41"/>
      <c r="R9" s="54" t="s">
        <v>50</v>
      </c>
      <c r="S9" s="55" t="s">
        <v>51</v>
      </c>
      <c r="T9" s="55" t="s">
        <v>52</v>
      </c>
      <c r="U9" s="45"/>
      <c r="W9" s="56"/>
      <c r="X9" s="56"/>
      <c r="Y9" s="56"/>
      <c r="Z9" s="57"/>
      <c r="AA9" s="57"/>
      <c r="AB9" s="57"/>
    </row>
    <row r="10" customFormat="false" ht="12" hidden="false" customHeight="true" outlineLevel="0" collapsed="false">
      <c r="A10" s="58" t="n">
        <v>1870</v>
      </c>
      <c r="B10" s="59" t="n">
        <f aca="false">DataDE1c!B33</f>
        <v>12.876</v>
      </c>
      <c r="C10" s="60" t="n">
        <f aca="false">N10*B10</f>
        <v>90.6105177664975</v>
      </c>
      <c r="D10" s="61" t="n">
        <f aca="false">B10*(TableDE15a!C$149/TableDE15a!C9)/1.95583</f>
        <v>94.8286338981274</v>
      </c>
      <c r="E10" s="62" t="n">
        <f aca="false">D10*N10</f>
        <v>667.324605203398</v>
      </c>
      <c r="F10" s="63" t="n">
        <f aca="false">1000000*B10/R10</f>
        <v>328.2098340598</v>
      </c>
      <c r="G10" s="64" t="n">
        <f aca="false">1000000*C10/R10</f>
        <v>2309.66627836398</v>
      </c>
      <c r="H10" s="65" t="n">
        <f aca="false">1000000*B10/S10</f>
        <v>580.751299642659</v>
      </c>
      <c r="I10" s="66" t="n">
        <f aca="false">1000000*C10/S10</f>
        <v>4086.84187280115</v>
      </c>
      <c r="J10" s="64" t="n">
        <f aca="false">1000000*D10/R10</f>
        <v>2417.18625317039</v>
      </c>
      <c r="K10" s="64" t="n">
        <f aca="false">1000000*E10/R10</f>
        <v>17010.1349749789</v>
      </c>
      <c r="L10" s="65" t="n">
        <f aca="false">1000000*D10/S10</f>
        <v>4277.09322613198</v>
      </c>
      <c r="M10" s="66" t="n">
        <f aca="false">1000000*E10/S10</f>
        <v>30098.6045165733</v>
      </c>
      <c r="N10" s="67" t="n">
        <f aca="false">TableDE5a!F10</f>
        <v>7.03716354197713</v>
      </c>
      <c r="O10" s="68" t="n">
        <f aca="false">DataDE1c!AW33/DataDE1c!B33</f>
        <v>0.955886921404163</v>
      </c>
      <c r="P10" s="69" t="n">
        <f aca="false">O10*L10</f>
        <v>4088.4174764859</v>
      </c>
      <c r="Q10" s="70" t="n">
        <f aca="false">M10/P10</f>
        <v>7.36192052051491</v>
      </c>
      <c r="R10" s="71" t="n">
        <f aca="false">DataDE1c!BK33</f>
        <v>39231</v>
      </c>
      <c r="S10" s="72" t="n">
        <f aca="false">R10*(1-DataDE1c!BN33)</f>
        <v>22171.2805600654</v>
      </c>
      <c r="T10" s="73" t="n">
        <f aca="false">DataDE1c!BO33</f>
        <v>17045.5</v>
      </c>
      <c r="U10" s="74" t="n">
        <v>533.1</v>
      </c>
      <c r="V10" s="24"/>
      <c r="W10" s="25"/>
      <c r="X10" s="75"/>
      <c r="Y10" s="75"/>
    </row>
    <row r="11" customFormat="false" ht="12" hidden="false" customHeight="true" outlineLevel="0" collapsed="false">
      <c r="A11" s="76" t="n">
        <v>1871</v>
      </c>
      <c r="B11" s="77" t="n">
        <f aca="false">DataDE1c!B34</f>
        <v>14.013</v>
      </c>
      <c r="C11" s="78" t="n">
        <f aca="false">N11*B11</f>
        <v>96.6477303094809</v>
      </c>
      <c r="D11" s="79" t="n">
        <f aca="false">B11*(TableDE15a!C$149/TableDE15a!C10)/1.95583</f>
        <v>98.7208723573999</v>
      </c>
      <c r="E11" s="80" t="n">
        <f aca="false">D11*N11</f>
        <v>680.878344930756</v>
      </c>
      <c r="F11" s="81" t="n">
        <f aca="false">1000000*B11/R11</f>
        <v>341.822173435785</v>
      </c>
      <c r="G11" s="82" t="n">
        <f aca="false">1000000*C11/R11</f>
        <v>2357.54922086793</v>
      </c>
      <c r="H11" s="83" t="n">
        <f aca="false">1000000*B11/S11</f>
        <v>604.837670504843</v>
      </c>
      <c r="I11" s="84" t="n">
        <f aca="false">1000000*C11/S11</f>
        <v>4171.56840505008</v>
      </c>
      <c r="J11" s="82" t="n">
        <f aca="false">1000000*D11/R11</f>
        <v>2408.11982820832</v>
      </c>
      <c r="K11" s="82" t="n">
        <f aca="false">1000000*E11/R11</f>
        <v>16608.8143659167</v>
      </c>
      <c r="L11" s="83" t="n">
        <f aca="false">1000000*D11/S11</f>
        <v>4261.05062919116</v>
      </c>
      <c r="M11" s="84" t="n">
        <f aca="false">1000000*E11/S11</f>
        <v>29388.4872650475</v>
      </c>
      <c r="N11" s="85" t="n">
        <f aca="false">TableDE5a!F11</f>
        <v>6.89700494608442</v>
      </c>
      <c r="O11" s="86" t="n">
        <f aca="false">DataDE1c!AW34/DataDE1c!B34</f>
        <v>0.957039891529294</v>
      </c>
      <c r="P11" s="87" t="n">
        <f aca="false">O11*L11</f>
        <v>4077.99543196194</v>
      </c>
      <c r="Q11" s="88" t="n">
        <f aca="false">M11/P11</f>
        <v>7.20660132051905</v>
      </c>
      <c r="R11" s="89" t="n">
        <f aca="false">DataDE1c!BK34</f>
        <v>40995</v>
      </c>
      <c r="S11" s="90" t="n">
        <f aca="false">R11*(1-DataDE1c!BN34)</f>
        <v>23168.199805253</v>
      </c>
      <c r="T11" s="91" t="n">
        <f aca="false">DataDE1c!BO34</f>
        <v>17337</v>
      </c>
      <c r="U11" s="92" t="n">
        <v>540.6</v>
      </c>
      <c r="V11" s="25"/>
      <c r="W11" s="25"/>
      <c r="X11" s="25"/>
      <c r="Y11" s="25"/>
      <c r="Z11" s="25"/>
      <c r="AA11" s="25"/>
      <c r="AB11" s="93"/>
    </row>
    <row r="12" customFormat="false" ht="12" hidden="false" customHeight="true" outlineLevel="0" collapsed="false">
      <c r="A12" s="76" t="n">
        <v>1872</v>
      </c>
      <c r="B12" s="77" t="n">
        <f aca="false">DataDE1c!B35</f>
        <v>16.627</v>
      </c>
      <c r="C12" s="78" t="n">
        <f aca="false">N12*B12</f>
        <v>104.679930898968</v>
      </c>
      <c r="D12" s="79" t="n">
        <f aca="false">B12*(TableDE15a!C$149/TableDE15a!C11)/1.95583</f>
        <v>109.146721101447</v>
      </c>
      <c r="E12" s="80" t="n">
        <f aca="false">D12*N12</f>
        <v>687.163723025708</v>
      </c>
      <c r="F12" s="81" t="n">
        <f aca="false">1000000*B12/R12</f>
        <v>403.714944761442</v>
      </c>
      <c r="G12" s="82" t="n">
        <f aca="false">1000000*C12/R12</f>
        <v>2541.70039817818</v>
      </c>
      <c r="H12" s="83" t="n">
        <f aca="false">1000000*B12/S12</f>
        <v>712.2154124124</v>
      </c>
      <c r="I12" s="84" t="n">
        <f aca="false">1000000*C12/S12</f>
        <v>4483.95141375536</v>
      </c>
      <c r="J12" s="82" t="n">
        <f aca="false">1000000*D12/R12</f>
        <v>2650.157122774</v>
      </c>
      <c r="K12" s="82" t="n">
        <f aca="false">1000000*E12/R12</f>
        <v>16684.8057065851</v>
      </c>
      <c r="L12" s="83" t="n">
        <f aca="false">1000000*D12/S12</f>
        <v>4675.28579916571</v>
      </c>
      <c r="M12" s="84" t="n">
        <f aca="false">1000000*E12/S12</f>
        <v>29434.5699398325</v>
      </c>
      <c r="N12" s="85" t="n">
        <f aca="false">TableDE5a!F12</f>
        <v>6.29577980988563</v>
      </c>
      <c r="O12" s="86" t="n">
        <f aca="false">DataDE1c!AW35/DataDE1c!B35</f>
        <v>0.963132254766344</v>
      </c>
      <c r="P12" s="87" t="n">
        <f aca="false">O12*L12</f>
        <v>4502.91855342754</v>
      </c>
      <c r="Q12" s="88" t="n">
        <f aca="false">M12/P12</f>
        <v>6.53677600218361</v>
      </c>
      <c r="R12" s="89" t="n">
        <f aca="false">DataDE1c!BK35</f>
        <v>41185</v>
      </c>
      <c r="S12" s="90" t="n">
        <f aca="false">R12*(1-DataDE1c!BN35)</f>
        <v>23345.4650239615</v>
      </c>
      <c r="T12" s="91" t="n">
        <f aca="false">DataDE1c!BO35</f>
        <v>17663.5</v>
      </c>
      <c r="U12" s="92" t="n">
        <v>540.6</v>
      </c>
      <c r="V12" s="25"/>
      <c r="W12" s="25"/>
      <c r="X12" s="25"/>
      <c r="Y12" s="25"/>
      <c r="Z12" s="25"/>
      <c r="AA12" s="25"/>
      <c r="AB12" s="93"/>
    </row>
    <row r="13" customFormat="false" ht="12" hidden="false" customHeight="true" outlineLevel="0" collapsed="false">
      <c r="A13" s="76" t="n">
        <v>1873</v>
      </c>
      <c r="B13" s="77" t="n">
        <f aca="false">DataDE1c!B36</f>
        <v>17.95</v>
      </c>
      <c r="C13" s="78" t="n">
        <f aca="false">N13*B13</f>
        <v>113.649152858865</v>
      </c>
      <c r="D13" s="79" t="n">
        <f aca="false">B13*(TableDE15a!C$149/TableDE15a!C12)/1.95583</f>
        <v>111.759002996994</v>
      </c>
      <c r="E13" s="80" t="n">
        <f aca="false">D13*N13</f>
        <v>707.594206961548</v>
      </c>
      <c r="F13" s="81" t="n">
        <f aca="false">1000000*B13/R13</f>
        <v>432.196860252336</v>
      </c>
      <c r="G13" s="82" t="n">
        <f aca="false">1000000*C13/R13</f>
        <v>2736.42379030303</v>
      </c>
      <c r="H13" s="83" t="n">
        <f aca="false">1000000*B13/S13</f>
        <v>760.186199492623</v>
      </c>
      <c r="I13" s="84" t="n">
        <f aca="false">1000000*C13/S13</f>
        <v>4813.0650466483</v>
      </c>
      <c r="J13" s="82" t="n">
        <f aca="false">1000000*D13/R13</f>
        <v>2690.91310307701</v>
      </c>
      <c r="K13" s="82" t="n">
        <f aca="false">1000000*E13/R13</f>
        <v>17037.3256034274</v>
      </c>
      <c r="L13" s="83" t="n">
        <f aca="false">1000000*D13/S13</f>
        <v>4733.01681043843</v>
      </c>
      <c r="M13" s="84" t="n">
        <f aca="false">1000000*E13/S13</f>
        <v>29966.7604998939</v>
      </c>
      <c r="N13" s="85" t="n">
        <f aca="false">TableDE5a!F13</f>
        <v>6.3314291286276</v>
      </c>
      <c r="O13" s="86" t="n">
        <f aca="false">DataDE1c!AW36/DataDE1c!B36</f>
        <v>0.957493036211699</v>
      </c>
      <c r="P13" s="87" t="n">
        <f aca="false">O13*L13</f>
        <v>4531.8306362677</v>
      </c>
      <c r="Q13" s="88" t="n">
        <f aca="false">M13/P13</f>
        <v>6.61250671198379</v>
      </c>
      <c r="R13" s="89" t="n">
        <f aca="false">DataDE1c!BK36</f>
        <v>41532</v>
      </c>
      <c r="S13" s="90" t="n">
        <f aca="false">R13*(1-DataDE1c!BN36)</f>
        <v>23612.6359725821</v>
      </c>
      <c r="T13" s="91" t="n">
        <f aca="false">DataDE1c!BO36</f>
        <v>17990</v>
      </c>
      <c r="U13" s="92" t="n">
        <v>540.6</v>
      </c>
      <c r="V13" s="25"/>
      <c r="W13" s="25"/>
      <c r="X13" s="25"/>
      <c r="Y13" s="25"/>
      <c r="Z13" s="25"/>
      <c r="AA13" s="25"/>
      <c r="AB13" s="93"/>
    </row>
    <row r="14" customFormat="false" ht="12" hidden="false" customHeight="true" outlineLevel="0" collapsed="false">
      <c r="A14" s="76" t="n">
        <v>1874</v>
      </c>
      <c r="B14" s="77" t="n">
        <f aca="false">DataDE1c!B37</f>
        <v>19.544</v>
      </c>
      <c r="C14" s="78" t="n">
        <f aca="false">N14*B14</f>
        <v>117.510572317906</v>
      </c>
      <c r="D14" s="79" t="n">
        <f aca="false">B14*(TableDE15a!C$149/TableDE15a!C13)/1.95583</f>
        <v>121.019964858814</v>
      </c>
      <c r="E14" s="80" t="n">
        <f aca="false">D14*N14</f>
        <v>727.64660931499</v>
      </c>
      <c r="F14" s="81" t="n">
        <f aca="false">1000000*B14/R14</f>
        <v>465.521758807136</v>
      </c>
      <c r="G14" s="82" t="n">
        <f aca="false">1000000*C14/R14</f>
        <v>2799.00369954283</v>
      </c>
      <c r="H14" s="83" t="n">
        <f aca="false">1000000*B14/S14</f>
        <v>816.364403806226</v>
      </c>
      <c r="I14" s="84" t="n">
        <f aca="false">1000000*C14/S14</f>
        <v>4908.48589394372</v>
      </c>
      <c r="J14" s="82" t="n">
        <f aca="false">1000000*D14/R14</f>
        <v>2882.59449917381</v>
      </c>
      <c r="K14" s="82" t="n">
        <f aca="false">1000000*E14/R14</f>
        <v>17331.9345762568</v>
      </c>
      <c r="L14" s="83" t="n">
        <f aca="false">1000000*D14/S14</f>
        <v>5055.07528963447</v>
      </c>
      <c r="M14" s="84" t="n">
        <f aca="false">1000000*E14/S14</f>
        <v>30394.227916243</v>
      </c>
      <c r="N14" s="85" t="n">
        <f aca="false">TableDE5a!F14</f>
        <v>6.01261626677786</v>
      </c>
      <c r="O14" s="86" t="n">
        <f aca="false">DataDE1c!AW37/DataDE1c!B37</f>
        <v>0.961625051166599</v>
      </c>
      <c r="P14" s="87" t="n">
        <f aca="false">O14*L14</f>
        <v>4861.08703404576</v>
      </c>
      <c r="Q14" s="88" t="n">
        <f aca="false">M14/P14</f>
        <v>6.25255785452306</v>
      </c>
      <c r="R14" s="89" t="n">
        <f aca="false">DataDE1c!BK37</f>
        <v>41983</v>
      </c>
      <c r="S14" s="90" t="n">
        <f aca="false">R14*(1-DataDE1c!BN37)</f>
        <v>23940.2892983548</v>
      </c>
      <c r="T14" s="91" t="n">
        <f aca="false">DataDE1c!BO37</f>
        <v>18316.5</v>
      </c>
      <c r="U14" s="92" t="n">
        <v>540.6</v>
      </c>
      <c r="V14" s="25"/>
      <c r="W14" s="25"/>
      <c r="X14" s="25"/>
      <c r="Y14" s="25"/>
      <c r="Z14" s="25"/>
      <c r="AA14" s="25"/>
      <c r="AB14" s="93"/>
    </row>
    <row r="15" customFormat="false" ht="12" hidden="false" customHeight="true" outlineLevel="0" collapsed="false">
      <c r="A15" s="76" t="n">
        <v>1875</v>
      </c>
      <c r="B15" s="77" t="n">
        <f aca="false">DataDE1c!B38</f>
        <v>18.242</v>
      </c>
      <c r="C15" s="78" t="n">
        <f aca="false">N15*B15</f>
        <v>116.485606993465</v>
      </c>
      <c r="D15" s="79" t="n">
        <f aca="false">B15*(TableDE15a!C$149/TableDE15a!C14)/1.95583</f>
        <v>119.472034145605</v>
      </c>
      <c r="E15" s="80" t="n">
        <f aca="false">D15*N15</f>
        <v>762.897292851377</v>
      </c>
      <c r="F15" s="81" t="n">
        <f aca="false">1000000*B15/R15</f>
        <v>429.122559397789</v>
      </c>
      <c r="G15" s="82" t="n">
        <f aca="false">1000000*C15/R15</f>
        <v>2740.19306030264</v>
      </c>
      <c r="H15" s="83" t="n">
        <f aca="false">1000000*B15/S15</f>
        <v>750.300037696135</v>
      </c>
      <c r="I15" s="84" t="n">
        <f aca="false">1000000*C15/S15</f>
        <v>4791.09501799441</v>
      </c>
      <c r="J15" s="82" t="n">
        <f aca="false">1000000*D15/R15</f>
        <v>2810.4454045073</v>
      </c>
      <c r="K15" s="82" t="n">
        <f aca="false">1000000*E15/R15</f>
        <v>17946.301878414</v>
      </c>
      <c r="L15" s="83" t="n">
        <f aca="false">1000000*D15/S15</f>
        <v>4913.92784360715</v>
      </c>
      <c r="M15" s="84" t="n">
        <f aca="false">1000000*E15/S15</f>
        <v>31378.2407403063</v>
      </c>
      <c r="N15" s="85" t="n">
        <f aca="false">TableDE5a!F15</f>
        <v>6.38557214085435</v>
      </c>
      <c r="O15" s="86" t="n">
        <f aca="false">DataDE1c!AW38/DataDE1c!B38</f>
        <v>0.959434272557833</v>
      </c>
      <c r="P15" s="87" t="n">
        <f aca="false">O15*L15</f>
        <v>4714.59078603291</v>
      </c>
      <c r="Q15" s="88" t="n">
        <f aca="false">M15/P15</f>
        <v>6.65555976422495</v>
      </c>
      <c r="R15" s="89" t="n">
        <f aca="false">DataDE1c!BK38</f>
        <v>42510</v>
      </c>
      <c r="S15" s="90" t="n">
        <f aca="false">R15*(1-DataDE1c!BN38)</f>
        <v>24312.9402685541</v>
      </c>
      <c r="T15" s="91" t="n">
        <f aca="false">DataDE1c!BO38</f>
        <v>18643</v>
      </c>
      <c r="U15" s="92" t="n">
        <v>540.6</v>
      </c>
      <c r="V15" s="25"/>
      <c r="W15" s="25"/>
      <c r="X15" s="25"/>
      <c r="Y15" s="25"/>
      <c r="Z15" s="25"/>
      <c r="AA15" s="25"/>
      <c r="AB15" s="93"/>
    </row>
    <row r="16" customFormat="false" ht="12" hidden="false" customHeight="true" outlineLevel="0" collapsed="false">
      <c r="A16" s="76" t="n">
        <v>1876</v>
      </c>
      <c r="B16" s="77" t="n">
        <f aca="false">DataDE1c!B39</f>
        <v>17.912</v>
      </c>
      <c r="C16" s="78" t="n">
        <f aca="false">N16*B16</f>
        <v>114.166707250994</v>
      </c>
      <c r="D16" s="79" t="n">
        <f aca="false">B16*(TableDE15a!C$149/TableDE15a!C15)/1.95583</f>
        <v>118.265625617292</v>
      </c>
      <c r="E16" s="80" t="n">
        <f aca="false">D16*N16</f>
        <v>753.796173386832</v>
      </c>
      <c r="F16" s="81" t="n">
        <f aca="false">1000000*B16/R16</f>
        <v>416.006688807859</v>
      </c>
      <c r="G16" s="82" t="n">
        <f aca="false">1000000*C16/R16</f>
        <v>2651.52489144607</v>
      </c>
      <c r="H16" s="83" t="n">
        <f aca="false">1000000*B16/S16</f>
        <v>725.215880475695</v>
      </c>
      <c r="I16" s="84" t="n">
        <f aca="false">1000000*C16/S16</f>
        <v>4622.34865565209</v>
      </c>
      <c r="J16" s="82" t="n">
        <f aca="false">1000000*D16/R16</f>
        <v>2746.7223823604</v>
      </c>
      <c r="K16" s="82" t="n">
        <f aca="false">1000000*E16/R16</f>
        <v>17506.9366975598</v>
      </c>
      <c r="L16" s="83" t="n">
        <f aca="false">1000000*D16/S16</f>
        <v>4788.30447811819</v>
      </c>
      <c r="M16" s="84" t="n">
        <f aca="false">1000000*E16/S16</f>
        <v>30519.4816649141</v>
      </c>
      <c r="N16" s="85" t="n">
        <f aca="false">TableDE5a!F16</f>
        <v>6.3737554293766</v>
      </c>
      <c r="O16" s="86" t="n">
        <f aca="false">DataDE1c!AW39/DataDE1c!B39</f>
        <v>0.958016971862439</v>
      </c>
      <c r="P16" s="87" t="n">
        <f aca="false">O16*L16</f>
        <v>4587.27695648214</v>
      </c>
      <c r="Q16" s="88" t="n">
        <f aca="false">M16/P16</f>
        <v>6.65307151812317</v>
      </c>
      <c r="R16" s="89" t="n">
        <f aca="false">DataDE1c!BK39</f>
        <v>43057</v>
      </c>
      <c r="S16" s="90" t="n">
        <f aca="false">R16*(1-DataDE1c!BN39)</f>
        <v>24698.8524137818</v>
      </c>
      <c r="T16" s="91" t="n">
        <f aca="false">DataDE1c!BO39</f>
        <v>18891</v>
      </c>
      <c r="U16" s="92" t="n">
        <v>540.6</v>
      </c>
      <c r="V16" s="25"/>
      <c r="W16" s="25"/>
      <c r="X16" s="25"/>
      <c r="Y16" s="25"/>
      <c r="Z16" s="25"/>
      <c r="AA16" s="25"/>
      <c r="AB16" s="93"/>
    </row>
    <row r="17" customFormat="false" ht="12" hidden="false" customHeight="true" outlineLevel="0" collapsed="false">
      <c r="A17" s="76" t="n">
        <v>1877</v>
      </c>
      <c r="B17" s="77" t="n">
        <f aca="false">DataDE1c!B40</f>
        <v>17.414</v>
      </c>
      <c r="C17" s="78" t="n">
        <f aca="false">N17*B17</f>
        <v>111.593359700493</v>
      </c>
      <c r="D17" s="79" t="n">
        <f aca="false">B17*(TableDE15a!C$149/TableDE15a!C16)/1.95583</f>
        <v>117.575124832089</v>
      </c>
      <c r="E17" s="80" t="n">
        <f aca="false">D17*N17</f>
        <v>753.451429724222</v>
      </c>
      <c r="F17" s="81" t="n">
        <f aca="false">1000000*B17/R17</f>
        <v>399.330398092093</v>
      </c>
      <c r="G17" s="82" t="n">
        <f aca="false">1000000*C17/R17</f>
        <v>2559.01118373906</v>
      </c>
      <c r="H17" s="83" t="n">
        <f aca="false">1000000*B17/S17</f>
        <v>694.091192761394</v>
      </c>
      <c r="I17" s="84" t="n">
        <f aca="false">1000000*C17/S17</f>
        <v>4447.91364067798</v>
      </c>
      <c r="J17" s="82" t="n">
        <f aca="false">1000000*D17/R17</f>
        <v>2696.18246266943</v>
      </c>
      <c r="K17" s="82" t="n">
        <f aca="false">1000000*E17/R17</f>
        <v>17277.8258513168</v>
      </c>
      <c r="L17" s="83" t="n">
        <f aca="false">1000000*D17/S17</f>
        <v>4686.3362026975</v>
      </c>
      <c r="M17" s="84" t="n">
        <f aca="false">1000000*E17/S17</f>
        <v>30031.2393215265</v>
      </c>
      <c r="N17" s="85" t="n">
        <f aca="false">TableDE5a!F17</f>
        <v>6.40825540946898</v>
      </c>
      <c r="O17" s="86" t="n">
        <f aca="false">DataDE1c!AW40/DataDE1c!B40</f>
        <v>0.95716090501895</v>
      </c>
      <c r="P17" s="87" t="n">
        <f aca="false">O17*L17</f>
        <v>4485.57780099701</v>
      </c>
      <c r="Q17" s="88" t="n">
        <f aca="false">M17/P17</f>
        <v>6.69506597675143</v>
      </c>
      <c r="R17" s="89" t="n">
        <f aca="false">DataDE1c!BK40</f>
        <v>43608</v>
      </c>
      <c r="S17" s="90" t="n">
        <f aca="false">R17*(1-DataDE1c!BN40)</f>
        <v>25088.9222937977</v>
      </c>
      <c r="T17" s="91" t="n">
        <f aca="false">DataDE1c!BO40</f>
        <v>19108</v>
      </c>
      <c r="U17" s="92" t="n">
        <v>540.6</v>
      </c>
      <c r="V17" s="25"/>
      <c r="W17" s="25"/>
      <c r="X17" s="25"/>
      <c r="Y17" s="25"/>
      <c r="Z17" s="25"/>
      <c r="AA17" s="25"/>
      <c r="AB17" s="93"/>
    </row>
    <row r="18" customFormat="false" ht="12" hidden="false" customHeight="true" outlineLevel="0" collapsed="false">
      <c r="A18" s="76" t="n">
        <v>1878</v>
      </c>
      <c r="B18" s="77" t="n">
        <f aca="false">DataDE1c!B41</f>
        <v>17.874</v>
      </c>
      <c r="C18" s="78" t="n">
        <f aca="false">N18*B18</f>
        <v>109.901733557616</v>
      </c>
      <c r="D18" s="79" t="n">
        <f aca="false">B18*(TableDE15a!C$149/TableDE15a!C17)/1.95583</f>
        <v>123.771543083516</v>
      </c>
      <c r="E18" s="80" t="n">
        <f aca="false">D18*N18</f>
        <v>761.033185072148</v>
      </c>
      <c r="F18" s="81" t="n">
        <f aca="false">1000000*B18/R18</f>
        <v>405.058127676933</v>
      </c>
      <c r="G18" s="82" t="n">
        <f aca="false">1000000*C18/R18</f>
        <v>2490.57795811219</v>
      </c>
      <c r="H18" s="83" t="n">
        <f aca="false">1000000*B18/S18</f>
        <v>701.976320135318</v>
      </c>
      <c r="I18" s="84" t="n">
        <f aca="false">1000000*C18/S18</f>
        <v>4316.2366845288</v>
      </c>
      <c r="J18" s="82" t="n">
        <f aca="false">1000000*D18/R18</f>
        <v>2804.89367243447</v>
      </c>
      <c r="K18" s="82" t="n">
        <f aca="false">1000000*E18/R18</f>
        <v>17246.4292852935</v>
      </c>
      <c r="L18" s="83" t="n">
        <f aca="false">1000000*D18/S18</f>
        <v>4860.95403106391</v>
      </c>
      <c r="M18" s="84" t="n">
        <f aca="false">1000000*E18/S18</f>
        <v>29888.512630514</v>
      </c>
      <c r="N18" s="85" t="n">
        <f aca="false">TableDE5a!F18</f>
        <v>6.14869271330516</v>
      </c>
      <c r="O18" s="86" t="n">
        <f aca="false">DataDE1c!AW41/DataDE1c!B41</f>
        <v>0.957032561262169</v>
      </c>
      <c r="P18" s="87" t="n">
        <f aca="false">O18*L18</f>
        <v>4652.09128652676</v>
      </c>
      <c r="Q18" s="88" t="n">
        <f aca="false">M18/P18</f>
        <v>6.42474766500739</v>
      </c>
      <c r="R18" s="89" t="n">
        <f aca="false">DataDE1c!BK41</f>
        <v>44127</v>
      </c>
      <c r="S18" s="90" t="n">
        <f aca="false">R18*(1-DataDE1c!BN41)</f>
        <v>25462.3973591509</v>
      </c>
      <c r="T18" s="91" t="n">
        <f aca="false">DataDE1c!BO41</f>
        <v>19277</v>
      </c>
      <c r="U18" s="92" t="n">
        <v>540.6</v>
      </c>
      <c r="V18" s="25"/>
      <c r="W18" s="25"/>
      <c r="X18" s="25"/>
      <c r="Y18" s="25"/>
      <c r="Z18" s="25"/>
      <c r="AA18" s="25"/>
      <c r="AB18" s="93"/>
    </row>
    <row r="19" customFormat="false" ht="12" hidden="false" customHeight="true" outlineLevel="0" collapsed="false">
      <c r="A19" s="94" t="n">
        <v>1879</v>
      </c>
      <c r="B19" s="95" t="n">
        <f aca="false">DataDE1c!B42</f>
        <v>16.678</v>
      </c>
      <c r="C19" s="96" t="n">
        <f aca="false">N19*B19</f>
        <v>108.400437241913</v>
      </c>
      <c r="D19" s="97" t="n">
        <f aca="false">B19*(TableDE15a!C$149/TableDE15a!C18)/1.95583</f>
        <v>120.332278821185</v>
      </c>
      <c r="E19" s="98" t="n">
        <f aca="false">D19*N19</f>
        <v>782.112461837884</v>
      </c>
      <c r="F19" s="99" t="n">
        <f aca="false">1000000*B19/R19</f>
        <v>373.619480723135</v>
      </c>
      <c r="G19" s="100" t="n">
        <f aca="false">1000000*C19/R19</f>
        <v>2428.37960621683</v>
      </c>
      <c r="H19" s="101" t="n">
        <f aca="false">1000000*B19/S19</f>
        <v>645.593766578045</v>
      </c>
      <c r="I19" s="102" t="n">
        <f aca="false">1000000*C19/S19</f>
        <v>4196.10544296161</v>
      </c>
      <c r="J19" s="100" t="n">
        <f aca="false">1000000*D19/R19</f>
        <v>2695.67595199679</v>
      </c>
      <c r="K19" s="100" t="n">
        <f aca="false">1000000*E19/R19</f>
        <v>17520.8329451351</v>
      </c>
      <c r="L19" s="101" t="n">
        <f aca="false">1000000*D19/S19</f>
        <v>4657.97872197434</v>
      </c>
      <c r="M19" s="102" t="n">
        <f aca="false">1000000*E19/S19</f>
        <v>30275.028787957</v>
      </c>
      <c r="N19" s="103" t="n">
        <f aca="false">TableDE5a!F19</f>
        <v>6.49960650209336</v>
      </c>
      <c r="O19" s="104" t="n">
        <f aca="false">DataDE1c!AW42/DataDE1c!B42</f>
        <v>0.950413718671303</v>
      </c>
      <c r="P19" s="105" t="n">
        <f aca="false">O19*L19</f>
        <v>4427.00687864344</v>
      </c>
      <c r="Q19" s="106" t="n">
        <f aca="false">M19/P19</f>
        <v>6.83871284095093</v>
      </c>
      <c r="R19" s="107" t="n">
        <f aca="false">DataDE1c!BK42</f>
        <v>44639</v>
      </c>
      <c r="S19" s="108" t="n">
        <f aca="false">R19*(1-DataDE1c!BN42)</f>
        <v>25833.5827627354</v>
      </c>
      <c r="T19" s="109" t="n">
        <f aca="false">DataDE1c!BO42</f>
        <v>19554</v>
      </c>
      <c r="U19" s="92" t="n">
        <v>540.6</v>
      </c>
      <c r="V19" s="25"/>
      <c r="W19" s="25"/>
      <c r="X19" s="25"/>
      <c r="Y19" s="25"/>
      <c r="Z19" s="25"/>
      <c r="AA19" s="25"/>
      <c r="AB19" s="93"/>
    </row>
    <row r="20" customFormat="false" ht="12" hidden="false" customHeight="true" outlineLevel="0" collapsed="false">
      <c r="A20" s="76" t="n">
        <v>1880</v>
      </c>
      <c r="B20" s="77" t="n">
        <f aca="false">DataDE1c!B43</f>
        <v>16.914</v>
      </c>
      <c r="C20" s="78" t="n">
        <f aca="false">N20*B20</f>
        <v>109.260945454545</v>
      </c>
      <c r="D20" s="79" t="n">
        <f aca="false">B20*(TableDE15a!C$149/TableDE15a!C19)/1.95583</f>
        <v>116.838887443652</v>
      </c>
      <c r="E20" s="80" t="n">
        <f aca="false">D20*N20</f>
        <v>754.755073190884</v>
      </c>
      <c r="F20" s="81" t="n">
        <f aca="false">1000000*B20/R20</f>
        <v>375.091477612933</v>
      </c>
      <c r="G20" s="82" t="n">
        <f aca="false">1000000*C20/R20</f>
        <v>2423.01344897313</v>
      </c>
      <c r="H20" s="83" t="n">
        <f aca="false">1000000*B20/S20</f>
        <v>646.242403799895</v>
      </c>
      <c r="I20" s="84" t="n">
        <f aca="false">1000000*C20/S20</f>
        <v>4174.59241054716</v>
      </c>
      <c r="J20" s="82" t="n">
        <f aca="false">1000000*D20/R20</f>
        <v>2591.06485360592</v>
      </c>
      <c r="K20" s="82" t="n">
        <f aca="false">1000000*E20/R20</f>
        <v>16737.7436229766</v>
      </c>
      <c r="L20" s="83" t="n">
        <f aca="false">1000000*D20/S20</f>
        <v>4464.1269645791</v>
      </c>
      <c r="M20" s="84" t="n">
        <f aca="false">1000000*E20/S20</f>
        <v>28837.3378727115</v>
      </c>
      <c r="N20" s="85" t="n">
        <f aca="false">TableDE5a!F20</f>
        <v>6.45979339331592</v>
      </c>
      <c r="O20" s="86" t="n">
        <f aca="false">DataDE1c!AW43/DataDE1c!B43</f>
        <v>0.949923140593591</v>
      </c>
      <c r="P20" s="87" t="n">
        <f aca="false">O20*L20</f>
        <v>4240.57750620151</v>
      </c>
      <c r="Q20" s="88" t="n">
        <f aca="false">M20/P20</f>
        <v>6.80033269773732</v>
      </c>
      <c r="R20" s="89" t="n">
        <f aca="false">DataDE1c!BK43</f>
        <v>45093</v>
      </c>
      <c r="S20" s="90" t="n">
        <f aca="false">R20*(1-DataDE1c!BN43)</f>
        <v>26172.8414919014</v>
      </c>
      <c r="T20" s="91" t="n">
        <f aca="false">DataDE1c!BO43</f>
        <v>19638</v>
      </c>
      <c r="U20" s="110" t="n">
        <v>540.6</v>
      </c>
      <c r="V20" s="25"/>
      <c r="W20" s="25"/>
      <c r="X20" s="25"/>
      <c r="Y20" s="25"/>
      <c r="Z20" s="25"/>
      <c r="AA20" s="25"/>
      <c r="AB20" s="93"/>
    </row>
    <row r="21" customFormat="false" ht="12" hidden="false" customHeight="true" outlineLevel="0" collapsed="false">
      <c r="A21" s="76" t="n">
        <v>1881</v>
      </c>
      <c r="B21" s="77" t="n">
        <f aca="false">DataDE1c!B44</f>
        <v>17.368</v>
      </c>
      <c r="C21" s="78" t="n">
        <f aca="false">N21*B21</f>
        <v>111.427463636364</v>
      </c>
      <c r="D21" s="79" t="n">
        <f aca="false">B21*(TableDE15a!C$149/TableDE15a!C20)/1.95583</f>
        <v>121.752446233725</v>
      </c>
      <c r="E21" s="80" t="n">
        <f aca="false">D21*N21</f>
        <v>781.124267350683</v>
      </c>
      <c r="F21" s="81" t="n">
        <f aca="false">1000000*B21/R21</f>
        <v>382.336107075243</v>
      </c>
      <c r="G21" s="82" t="n">
        <f aca="false">1000000*C21/R21</f>
        <v>2452.94464923972</v>
      </c>
      <c r="H21" s="83" t="n">
        <f aca="false">1000000*B21/S21</f>
        <v>658.887725074308</v>
      </c>
      <c r="I21" s="84" t="n">
        <f aca="false">1000000*C21/S21</f>
        <v>4227.2102732706</v>
      </c>
      <c r="J21" s="82" t="n">
        <f aca="false">1000000*D21/R21</f>
        <v>2680.2370059817</v>
      </c>
      <c r="K21" s="82" t="n">
        <f aca="false">1000000*E21/R21</f>
        <v>17195.5326762357</v>
      </c>
      <c r="L21" s="83" t="n">
        <f aca="false">1000000*D21/S21</f>
        <v>4618.90789504668</v>
      </c>
      <c r="M21" s="84" t="n">
        <f aca="false">1000000*E21/S21</f>
        <v>29633.4172912844</v>
      </c>
      <c r="N21" s="85" t="n">
        <f aca="false">TableDE5a!F21</f>
        <v>6.41567616515221</v>
      </c>
      <c r="O21" s="86" t="n">
        <f aca="false">DataDE1c!AW44/DataDE1c!B44</f>
        <v>0.948641179180101</v>
      </c>
      <c r="P21" s="87" t="n">
        <f aca="false">O21*L21</f>
        <v>4381.68623208136</v>
      </c>
      <c r="Q21" s="88" t="n">
        <f aca="false">M21/P21</f>
        <v>6.76301672956808</v>
      </c>
      <c r="R21" s="89" t="n">
        <f aca="false">DataDE1c!BK44</f>
        <v>45426</v>
      </c>
      <c r="S21" s="90" t="n">
        <f aca="false">R21*(1-DataDE1c!BN44)</f>
        <v>26359.5743843024</v>
      </c>
      <c r="T21" s="91" t="n">
        <f aca="false">DataDE1c!BO44</f>
        <v>19745</v>
      </c>
      <c r="U21" s="92" t="n">
        <v>540.6</v>
      </c>
      <c r="V21" s="25"/>
      <c r="W21" s="25"/>
      <c r="X21" s="25"/>
      <c r="Y21" s="25"/>
      <c r="Z21" s="25"/>
      <c r="AA21" s="25"/>
      <c r="AB21" s="93"/>
    </row>
    <row r="22" customFormat="false" ht="12" hidden="false" customHeight="true" outlineLevel="0" collapsed="false">
      <c r="A22" s="76" t="n">
        <v>1882</v>
      </c>
      <c r="B22" s="77" t="n">
        <f aca="false">DataDE1c!B45</f>
        <v>17.509</v>
      </c>
      <c r="C22" s="78" t="n">
        <f aca="false">N22*B22</f>
        <v>113.731672727273</v>
      </c>
      <c r="D22" s="79" t="n">
        <f aca="false">B22*(TableDE15a!C$149/TableDE15a!C21)/1.95583</f>
        <v>121.987867165345</v>
      </c>
      <c r="E22" s="80" t="n">
        <f aca="false">D22*N22</f>
        <v>792.385869275634</v>
      </c>
      <c r="F22" s="81" t="n">
        <f aca="false">1000000*B22/R22</f>
        <v>382.986635168537</v>
      </c>
      <c r="G22" s="82" t="n">
        <f aca="false">1000000*C22/R22</f>
        <v>2487.73263178408</v>
      </c>
      <c r="H22" s="83" t="n">
        <f aca="false">1000000*B22/S22</f>
        <v>660.172754762391</v>
      </c>
      <c r="I22" s="84" t="n">
        <f aca="false">1000000*C22/S22</f>
        <v>4288.2261515848</v>
      </c>
      <c r="J22" s="82" t="n">
        <f aca="false">1000000*D22/R22</f>
        <v>2668.32616237604</v>
      </c>
      <c r="K22" s="82" t="n">
        <f aca="false">1000000*E22/R22</f>
        <v>17332.4117784551</v>
      </c>
      <c r="L22" s="83" t="n">
        <f aca="false">1000000*D22/S22</f>
        <v>4599.52403416155</v>
      </c>
      <c r="M22" s="84" t="n">
        <f aca="false">1000000*E22/S22</f>
        <v>29876.7240935797</v>
      </c>
      <c r="N22" s="85" t="n">
        <f aca="false">TableDE5a!F22</f>
        <v>6.4956121267504</v>
      </c>
      <c r="O22" s="86" t="n">
        <f aca="false">DataDE1c!AW45/DataDE1c!B45</f>
        <v>0.94814095607973</v>
      </c>
      <c r="P22" s="87" t="n">
        <f aca="false">O22*L22</f>
        <v>4360.99711526163</v>
      </c>
      <c r="Q22" s="88" t="n">
        <f aca="false">M22/P22</f>
        <v>6.85089288158983</v>
      </c>
      <c r="R22" s="89" t="n">
        <f aca="false">DataDE1c!BK45</f>
        <v>45717</v>
      </c>
      <c r="S22" s="90" t="n">
        <f aca="false">R22*(1-DataDE1c!BN45)</f>
        <v>26521.8457951992</v>
      </c>
      <c r="T22" s="91" t="n">
        <f aca="false">DataDE1c!BO45</f>
        <v>19958</v>
      </c>
      <c r="U22" s="92" t="n">
        <v>540.6</v>
      </c>
      <c r="V22" s="25"/>
      <c r="W22" s="25"/>
      <c r="X22" s="25"/>
      <c r="Y22" s="25"/>
      <c r="Z22" s="25"/>
      <c r="AA22" s="25"/>
      <c r="AB22" s="93"/>
    </row>
    <row r="23" customFormat="false" ht="12" hidden="false" customHeight="true" outlineLevel="0" collapsed="false">
      <c r="A23" s="76" t="n">
        <v>1883</v>
      </c>
      <c r="B23" s="77" t="n">
        <f aca="false">DataDE1c!B46</f>
        <v>18.051</v>
      </c>
      <c r="C23" s="78" t="n">
        <f aca="false">N23*B23</f>
        <v>115.6715</v>
      </c>
      <c r="D23" s="79" t="n">
        <f aca="false">B23*(TableDE15a!C$149/TableDE15a!C22)/1.95583</f>
        <v>129.090317208174</v>
      </c>
      <c r="E23" s="80" t="n">
        <f aca="false">D23*N23</f>
        <v>827.215701453951</v>
      </c>
      <c r="F23" s="81" t="n">
        <f aca="false">1000000*B23/R23</f>
        <v>392.293649758769</v>
      </c>
      <c r="G23" s="82" t="n">
        <f aca="false">1000000*C23/R23</f>
        <v>2513.8327465554</v>
      </c>
      <c r="H23" s="83" t="n">
        <f aca="false">1000000*B23/S23</f>
        <v>676.383739113383</v>
      </c>
      <c r="I23" s="84" t="n">
        <f aca="false">1000000*C23/S23</f>
        <v>4334.29292996807</v>
      </c>
      <c r="J23" s="82" t="n">
        <f aca="false">1000000*D23/R23</f>
        <v>2805.4574087924</v>
      </c>
      <c r="K23" s="82" t="n">
        <f aca="false">1000000*E23/R23</f>
        <v>17977.4786250696</v>
      </c>
      <c r="L23" s="83" t="n">
        <f aca="false">1000000*D23/S23</f>
        <v>4837.1055031077</v>
      </c>
      <c r="M23" s="84" t="n">
        <f aca="false">1000000*E23/S23</f>
        <v>30996.3574983504</v>
      </c>
      <c r="N23" s="85" t="n">
        <f aca="false">TableDE5a!F23</f>
        <v>6.40803833582627</v>
      </c>
      <c r="O23" s="86" t="n">
        <f aca="false">DataDE1c!AW46/DataDE1c!B46</f>
        <v>0.951858622790981</v>
      </c>
      <c r="P23" s="87" t="n">
        <f aca="false">O23*L23</f>
        <v>4604.24058248277</v>
      </c>
      <c r="Q23" s="88" t="n">
        <f aca="false">M23/P23</f>
        <v>6.73213246420673</v>
      </c>
      <c r="R23" s="89" t="n">
        <f aca="false">DataDE1c!BK46</f>
        <v>46014</v>
      </c>
      <c r="S23" s="90" t="n">
        <f aca="false">R23*(1-DataDE1c!BN46)</f>
        <v>26687.5132504835</v>
      </c>
      <c r="T23" s="91" t="n">
        <f aca="false">DataDE1c!BO46</f>
        <v>20188</v>
      </c>
      <c r="U23" s="92" t="n">
        <v>540.6</v>
      </c>
      <c r="V23" s="25"/>
      <c r="W23" s="25"/>
      <c r="X23" s="25"/>
      <c r="Y23" s="25"/>
      <c r="Z23" s="25"/>
      <c r="AA23" s="25"/>
      <c r="AB23" s="93"/>
    </row>
    <row r="24" customFormat="false" ht="12" hidden="false" customHeight="true" outlineLevel="0" collapsed="false">
      <c r="A24" s="76" t="n">
        <v>1884</v>
      </c>
      <c r="B24" s="77" t="n">
        <f aca="false">DataDE1c!B47</f>
        <v>18.581</v>
      </c>
      <c r="C24" s="78" t="n">
        <f aca="false">N24*B24</f>
        <v>116.694</v>
      </c>
      <c r="D24" s="79" t="n">
        <f aca="false">B24*(TableDE15a!C$149/TableDE15a!C23)/1.95583</f>
        <v>134.233044832953</v>
      </c>
      <c r="E24" s="80" t="n">
        <f aca="false">D24*N24</f>
        <v>843.021954347806</v>
      </c>
      <c r="F24" s="81" t="n">
        <f aca="false">1000000*B24/R24</f>
        <v>401.014352001727</v>
      </c>
      <c r="G24" s="82" t="n">
        <f aca="false">1000000*C24/R24</f>
        <v>2518.48494658466</v>
      </c>
      <c r="H24" s="83" t="n">
        <f aca="false">1000000*B24/S24</f>
        <v>691.591624223929</v>
      </c>
      <c r="I24" s="84" t="n">
        <f aca="false">1000000*C24/S24</f>
        <v>4343.39341247442</v>
      </c>
      <c r="J24" s="82" t="n">
        <f aca="false">1000000*D24/R24</f>
        <v>2897.01186647141</v>
      </c>
      <c r="K24" s="82" t="n">
        <f aca="false">1000000*E24/R24</f>
        <v>18194.0639764283</v>
      </c>
      <c r="L24" s="83" t="n">
        <f aca="false">1000000*D24/S24</f>
        <v>4996.20308382462</v>
      </c>
      <c r="M24" s="84" t="n">
        <f aca="false">1000000*E24/S24</f>
        <v>31377.5858491916</v>
      </c>
      <c r="N24" s="85" t="n">
        <f aca="false">TableDE5a!F24</f>
        <v>6.28028631397664</v>
      </c>
      <c r="O24" s="86" t="n">
        <f aca="false">DataDE1c!AW47/DataDE1c!B47</f>
        <v>0.953393251170551</v>
      </c>
      <c r="P24" s="87" t="n">
        <f aca="false">O24*L24</f>
        <v>4763.34630159588</v>
      </c>
      <c r="Q24" s="88" t="n">
        <f aca="false">M24/P24</f>
        <v>6.58729889923793</v>
      </c>
      <c r="R24" s="89" t="n">
        <f aca="false">DataDE1c!BK47</f>
        <v>46335</v>
      </c>
      <c r="S24" s="90" t="n">
        <f aca="false">R24*(1-DataDE1c!BN47)</f>
        <v>26867.011324567</v>
      </c>
      <c r="T24" s="91" t="n">
        <f aca="false">DataDE1c!BO47</f>
        <v>20430</v>
      </c>
      <c r="U24" s="92" t="n">
        <v>540.6</v>
      </c>
      <c r="V24" s="25"/>
      <c r="W24" s="25"/>
      <c r="X24" s="25"/>
      <c r="Y24" s="25"/>
      <c r="Z24" s="25"/>
      <c r="AA24" s="25"/>
      <c r="AB24" s="93"/>
    </row>
    <row r="25" customFormat="false" ht="12" hidden="false" customHeight="true" outlineLevel="0" collapsed="false">
      <c r="A25" s="76" t="n">
        <v>1885</v>
      </c>
      <c r="B25" s="77" t="n">
        <f aca="false">DataDE1c!B48</f>
        <v>18.734</v>
      </c>
      <c r="C25" s="78" t="n">
        <f aca="false">N25*B25</f>
        <v>119.6255</v>
      </c>
      <c r="D25" s="79" t="n">
        <f aca="false">B25*(TableDE15a!C$149/TableDE15a!C24)/1.95583</f>
        <v>138.510341506853</v>
      </c>
      <c r="E25" s="80" t="n">
        <f aca="false">D25*N25</f>
        <v>884.454406850006</v>
      </c>
      <c r="F25" s="81" t="n">
        <f aca="false">1000000*B25/R25</f>
        <v>401.113371159405</v>
      </c>
      <c r="G25" s="82" t="n">
        <f aca="false">1000000*C25/R25</f>
        <v>2561.29964671877</v>
      </c>
      <c r="H25" s="83" t="n">
        <f aca="false">1000000*B25/S25</f>
        <v>691.934370872123</v>
      </c>
      <c r="I25" s="84" t="n">
        <f aca="false">1000000*C25/S25</f>
        <v>4418.33004605333</v>
      </c>
      <c r="J25" s="82" t="n">
        <f aca="false">1000000*D25/R25</f>
        <v>2965.642682943</v>
      </c>
      <c r="K25" s="82" t="n">
        <f aca="false">1000000*E25/R25</f>
        <v>18937.039007601</v>
      </c>
      <c r="L25" s="83" t="n">
        <f aca="false">1000000*D25/S25</f>
        <v>5115.83570032172</v>
      </c>
      <c r="M25" s="84" t="n">
        <f aca="false">1000000*E25/S25</f>
        <v>32667.0440679425</v>
      </c>
      <c r="N25" s="85" t="n">
        <f aca="false">TableDE5a!F25</f>
        <v>6.38547560585033</v>
      </c>
      <c r="O25" s="86" t="n">
        <f aca="false">DataDE1c!AW48/DataDE1c!B48</f>
        <v>0.954627949183303</v>
      </c>
      <c r="P25" s="87" t="n">
        <f aca="false">O25*L25</f>
        <v>4883.71974295685</v>
      </c>
      <c r="Q25" s="88" t="n">
        <f aca="false">M25/P25</f>
        <v>6.68896779244017</v>
      </c>
      <c r="R25" s="89" t="n">
        <f aca="false">DataDE1c!BK48</f>
        <v>46705</v>
      </c>
      <c r="S25" s="90" t="n">
        <f aca="false">R25*(1-DataDE1c!BN48)</f>
        <v>27074.8221054367</v>
      </c>
      <c r="T25" s="91" t="n">
        <f aca="false">DataDE1c!BO48</f>
        <v>20577</v>
      </c>
      <c r="U25" s="92" t="n">
        <v>540.6</v>
      </c>
      <c r="V25" s="25"/>
      <c r="W25" s="25"/>
      <c r="X25" s="25"/>
      <c r="Y25" s="25"/>
      <c r="Z25" s="25"/>
      <c r="AA25" s="25"/>
      <c r="AB25" s="93"/>
    </row>
    <row r="26" customFormat="false" ht="12" hidden="false" customHeight="true" outlineLevel="0" collapsed="false">
      <c r="A26" s="76" t="n">
        <v>1886</v>
      </c>
      <c r="B26" s="77" t="n">
        <f aca="false">DataDE1c!B49</f>
        <v>18.934</v>
      </c>
      <c r="C26" s="78" t="n">
        <f aca="false">N26*B26</f>
        <v>123.4235</v>
      </c>
      <c r="D26" s="79" t="n">
        <f aca="false">B26*(TableDE15a!C$149/TableDE15a!C25)/1.95583</f>
        <v>140.906406394895</v>
      </c>
      <c r="E26" s="80" t="n">
        <f aca="false">D26*N26</f>
        <v>918.514938717667</v>
      </c>
      <c r="F26" s="81" t="n">
        <f aca="false">1000000*B26/R26</f>
        <v>401.722821013324</v>
      </c>
      <c r="G26" s="82" t="n">
        <f aca="false">1000000*C26/R26</f>
        <v>2618.67733174913</v>
      </c>
      <c r="H26" s="83" t="n">
        <f aca="false">1000000*B26/S26</f>
        <v>692.846453316073</v>
      </c>
      <c r="I26" s="84" t="n">
        <f aca="false">1000000*C26/S26</f>
        <v>4516.40087835937</v>
      </c>
      <c r="J26" s="82" t="n">
        <f aca="false">1000000*D26/R26</f>
        <v>2989.61228878246</v>
      </c>
      <c r="K26" s="82" t="n">
        <f aca="false">1000000*E26/R26</f>
        <v>19488.13839255</v>
      </c>
      <c r="L26" s="83" t="n">
        <f aca="false">1000000*D26/S26</f>
        <v>5156.14787790304</v>
      </c>
      <c r="M26" s="84" t="n">
        <f aca="false">1000000*E26/S26</f>
        <v>33610.9547696401</v>
      </c>
      <c r="N26" s="85" t="n">
        <f aca="false">TableDE5a!F26</f>
        <v>6.51861730220767</v>
      </c>
      <c r="O26" s="86" t="n">
        <f aca="false">DataDE1c!AW49/DataDE1c!B49</f>
        <v>0.947713108693356</v>
      </c>
      <c r="P26" s="87" t="n">
        <f aca="false">O26*L26</f>
        <v>4886.54893425014</v>
      </c>
      <c r="Q26" s="88" t="n">
        <f aca="false">M26/P26</f>
        <v>6.87826014266607</v>
      </c>
      <c r="R26" s="89" t="n">
        <f aca="false">DataDE1c!BK49</f>
        <v>47132</v>
      </c>
      <c r="S26" s="90" t="n">
        <f aca="false">R26*(1-DataDE1c!BN49)</f>
        <v>27327.8442999583</v>
      </c>
      <c r="T26" s="91" t="n">
        <f aca="false">DataDE1c!BO49</f>
        <v>20973</v>
      </c>
      <c r="U26" s="92" t="n">
        <v>540.6</v>
      </c>
      <c r="V26" s="25"/>
      <c r="W26" s="25"/>
      <c r="X26" s="25"/>
      <c r="Y26" s="25"/>
      <c r="Z26" s="25"/>
      <c r="AA26" s="25"/>
      <c r="AB26" s="93"/>
    </row>
    <row r="27" customFormat="false" ht="12" hidden="false" customHeight="true" outlineLevel="0" collapsed="false">
      <c r="A27" s="76" t="n">
        <v>1887</v>
      </c>
      <c r="B27" s="77" t="n">
        <f aca="false">DataDE1c!B50</f>
        <v>19.259</v>
      </c>
      <c r="C27" s="78" t="n">
        <f aca="false">N27*B27</f>
        <v>128.0385</v>
      </c>
      <c r="D27" s="79" t="n">
        <f aca="false">B27*(TableDE15a!C$149/TableDE15a!C26)/1.95583</f>
        <v>142.577591274606</v>
      </c>
      <c r="E27" s="80" t="n">
        <f aca="false">D27*N27</f>
        <v>947.890384776658</v>
      </c>
      <c r="F27" s="81" t="n">
        <f aca="false">1000000*B27/R27</f>
        <v>404.362979759805</v>
      </c>
      <c r="G27" s="82" t="n">
        <f aca="false">1000000*C27/R27</f>
        <v>2688.30309901739</v>
      </c>
      <c r="H27" s="83" t="n">
        <f aca="false">1000000*B27/S27</f>
        <v>697.259804613932</v>
      </c>
      <c r="I27" s="84" t="n">
        <f aca="false">1000000*C27/S27</f>
        <v>4635.55218303447</v>
      </c>
      <c r="J27" s="82" t="n">
        <f aca="false">1000000*D27/R27</f>
        <v>2993.56662624099</v>
      </c>
      <c r="K27" s="82" t="n">
        <f aca="false">1000000*E27/R27</f>
        <v>19901.9565124855</v>
      </c>
      <c r="L27" s="83" t="n">
        <f aca="false">1000000*D27/S27</f>
        <v>5161.93070431782</v>
      </c>
      <c r="M27" s="84" t="n">
        <f aca="false">1000000*E27/S27</f>
        <v>34317.7664720285</v>
      </c>
      <c r="N27" s="85" t="n">
        <f aca="false">TableDE5a!F27</f>
        <v>6.64824238018589</v>
      </c>
      <c r="O27" s="86" t="n">
        <f aca="false">DataDE1c!AW50/DataDE1c!B50</f>
        <v>0.951347421984527</v>
      </c>
      <c r="P27" s="87" t="n">
        <f aca="false">O27*L27</f>
        <v>4910.78946801553</v>
      </c>
      <c r="Q27" s="88" t="n">
        <f aca="false">M27/P27</f>
        <v>6.98823818360441</v>
      </c>
      <c r="R27" s="89" t="n">
        <f aca="false">DataDE1c!BK50</f>
        <v>47628</v>
      </c>
      <c r="S27" s="90" t="n">
        <f aca="false">R27*(1-DataDE1c!BN50)</f>
        <v>27620.9812648867</v>
      </c>
      <c r="T27" s="91" t="n">
        <f aca="false">DataDE1c!BO50</f>
        <v>21265</v>
      </c>
      <c r="U27" s="92" t="n">
        <v>540.6</v>
      </c>
      <c r="V27" s="25"/>
      <c r="W27" s="25"/>
      <c r="X27" s="25"/>
      <c r="Y27" s="25"/>
      <c r="Z27" s="25"/>
      <c r="AA27" s="25"/>
      <c r="AB27" s="93"/>
    </row>
    <row r="28" customFormat="false" ht="12" hidden="false" customHeight="true" outlineLevel="0" collapsed="false">
      <c r="A28" s="76" t="n">
        <v>1888</v>
      </c>
      <c r="B28" s="77" t="n">
        <f aca="false">DataDE1c!B51</f>
        <v>20.7</v>
      </c>
      <c r="C28" s="78" t="n">
        <f aca="false">N28*B28</f>
        <v>134.2195</v>
      </c>
      <c r="D28" s="79" t="n">
        <f aca="false">B28*(TableDE15a!C$149/TableDE15a!C27)/1.95583</f>
        <v>150.114100269904</v>
      </c>
      <c r="E28" s="80" t="n">
        <f aca="false">D28*N28</f>
        <v>973.344902472287</v>
      </c>
      <c r="F28" s="81" t="n">
        <f aca="false">1000000*B28/R28</f>
        <v>429.7637337541</v>
      </c>
      <c r="G28" s="82" t="n">
        <f aca="false">1000000*C28/R28</f>
        <v>2786.60258273471</v>
      </c>
      <c r="H28" s="83" t="n">
        <f aca="false">1000000*B28/S28</f>
        <v>740.910535915699</v>
      </c>
      <c r="I28" s="84" t="n">
        <f aca="false">1000000*C28/S28</f>
        <v>4804.08896982305</v>
      </c>
      <c r="J28" s="82" t="n">
        <f aca="false">1000000*D28/R28</f>
        <v>3116.59885126238</v>
      </c>
      <c r="K28" s="82" t="n">
        <f aca="false">1000000*E28/R28</f>
        <v>20208.1323438169</v>
      </c>
      <c r="L28" s="83" t="n">
        <f aca="false">1000000*D28/S28</f>
        <v>5373.00089272837</v>
      </c>
      <c r="M28" s="84" t="n">
        <f aca="false">1000000*E28/S28</f>
        <v>34838.7194841332</v>
      </c>
      <c r="N28" s="85" t="n">
        <f aca="false">TableDE5a!F28</f>
        <v>6.48403381642512</v>
      </c>
      <c r="O28" s="86" t="n">
        <f aca="false">DataDE1c!AW51/DataDE1c!B51</f>
        <v>0.949371980676329</v>
      </c>
      <c r="P28" s="87" t="n">
        <f aca="false">O28*L28</f>
        <v>5100.97649970522</v>
      </c>
      <c r="Q28" s="88" t="n">
        <f aca="false">M28/P28</f>
        <v>6.8298137594138</v>
      </c>
      <c r="R28" s="89" t="n">
        <f aca="false">DataDE1c!BK51</f>
        <v>48166</v>
      </c>
      <c r="S28" s="90" t="n">
        <f aca="false">R28*(1-DataDE1c!BN51)</f>
        <v>27938.5958176673</v>
      </c>
      <c r="T28" s="91" t="n">
        <f aca="false">DataDE1c!BO51</f>
        <v>21606</v>
      </c>
      <c r="U28" s="92" t="n">
        <v>540.6</v>
      </c>
      <c r="V28" s="25"/>
      <c r="W28" s="25"/>
      <c r="X28" s="25"/>
      <c r="Y28" s="25"/>
      <c r="Z28" s="25"/>
      <c r="AA28" s="25"/>
      <c r="AB28" s="93"/>
    </row>
    <row r="29" customFormat="false" ht="12" hidden="false" customHeight="true" outlineLevel="0" collapsed="false">
      <c r="A29" s="94" t="n">
        <v>1889</v>
      </c>
      <c r="B29" s="95" t="n">
        <f aca="false">DataDE1c!B52</f>
        <v>22.243</v>
      </c>
      <c r="C29" s="96" t="n">
        <f aca="false">N29*B29</f>
        <v>140.9695</v>
      </c>
      <c r="D29" s="97" t="n">
        <f aca="false">B29*(TableDE15a!C$149/TableDE15a!C28)/1.95583</f>
        <v>156.506626857606</v>
      </c>
      <c r="E29" s="98" t="n">
        <f aca="false">D29*N29</f>
        <v>991.892322744379</v>
      </c>
      <c r="F29" s="99" t="n">
        <f aca="false">1000000*B29/R29</f>
        <v>456.585105509484</v>
      </c>
      <c r="G29" s="100" t="n">
        <f aca="false">1000000*C29/R29</f>
        <v>2893.70022169308</v>
      </c>
      <c r="H29" s="101" t="n">
        <f aca="false">1000000*B29/S29</f>
        <v>786.992382705547</v>
      </c>
      <c r="I29" s="102" t="n">
        <f aca="false">1000000*C29/S29</f>
        <v>4987.72300021623</v>
      </c>
      <c r="J29" s="100" t="n">
        <f aca="false">1000000*D29/R29</f>
        <v>3212.63295134259</v>
      </c>
      <c r="K29" s="100" t="n">
        <f aca="false">1000000*E29/R29</f>
        <v>20360.7094741847</v>
      </c>
      <c r="L29" s="101" t="n">
        <f aca="false">1000000*D29/S29</f>
        <v>5537.4510263847</v>
      </c>
      <c r="M29" s="102" t="n">
        <f aca="false">1000000*E29/S29</f>
        <v>35094.7130541716</v>
      </c>
      <c r="N29" s="103" t="n">
        <f aca="false">TableDE5a!F29</f>
        <v>6.33770174886481</v>
      </c>
      <c r="O29" s="104" t="n">
        <f aca="false">DataDE1c!AW52/DataDE1c!B52</f>
        <v>0.945421031335701</v>
      </c>
      <c r="P29" s="105" t="n">
        <f aca="false">O29*L29</f>
        <v>5235.22266033556</v>
      </c>
      <c r="Q29" s="106" t="n">
        <f aca="false">M29/P29</f>
        <v>6.7035760140758</v>
      </c>
      <c r="R29" s="107" t="n">
        <f aca="false">DataDE1c!BK52</f>
        <v>48716</v>
      </c>
      <c r="S29" s="108" t="n">
        <f aca="false">R29*(1-DataDE1c!BN52)</f>
        <v>28263.2976999502</v>
      </c>
      <c r="T29" s="109" t="n">
        <f aca="false">DataDE1c!BO52</f>
        <v>22090</v>
      </c>
      <c r="U29" s="92" t="n">
        <v>540.6</v>
      </c>
      <c r="V29" s="25"/>
      <c r="W29" s="25"/>
      <c r="X29" s="25"/>
      <c r="Y29" s="25"/>
      <c r="Z29" s="25"/>
      <c r="AA29" s="25"/>
      <c r="AB29" s="93"/>
    </row>
    <row r="30" customFormat="false" ht="12" hidden="false" customHeight="true" outlineLevel="0" collapsed="false">
      <c r="A30" s="76" t="n">
        <v>1890</v>
      </c>
      <c r="B30" s="77" t="n">
        <f aca="false">DataDE1c!B53</f>
        <v>23.632</v>
      </c>
      <c r="C30" s="78" t="n">
        <f aca="false">N30*B30</f>
        <v>147.05</v>
      </c>
      <c r="D30" s="79" t="n">
        <f aca="false">B30*(TableDE15a!C$149/TableDE15a!C29)/1.95583</f>
        <v>162.062690784141</v>
      </c>
      <c r="E30" s="80" t="n">
        <f aca="false">D30*N30</f>
        <v>1008.43427047258</v>
      </c>
      <c r="F30" s="81" t="n">
        <f aca="false">1000000*B30/R30</f>
        <v>479.944759235565</v>
      </c>
      <c r="G30" s="82" t="n">
        <f aca="false">1000000*C30/R30</f>
        <v>2986.45382725076</v>
      </c>
      <c r="H30" s="83" t="n">
        <f aca="false">1000000*B30/S30</f>
        <v>827.090137889142</v>
      </c>
      <c r="I30" s="84" t="n">
        <f aca="false">1000000*C30/S30</f>
        <v>5146.56418316682</v>
      </c>
      <c r="J30" s="82" t="n">
        <f aca="false">1000000*D30/R30</f>
        <v>3291.34813428666</v>
      </c>
      <c r="K30" s="82" t="n">
        <f aca="false">1000000*E30/R30</f>
        <v>20480.397052592</v>
      </c>
      <c r="L30" s="83" t="n">
        <f aca="false">1000000*D30/S30</f>
        <v>5671.98939012104</v>
      </c>
      <c r="M30" s="84" t="n">
        <f aca="false">1000000*E30/S30</f>
        <v>35293.9251784571</v>
      </c>
      <c r="N30" s="85" t="n">
        <f aca="false">TableDE5a!F30</f>
        <v>6.22249492213947</v>
      </c>
      <c r="O30" s="86" t="n">
        <f aca="false">DataDE1c!AW53/DataDE1c!B53</f>
        <v>0.948628977657414</v>
      </c>
      <c r="P30" s="87" t="n">
        <f aca="false">O30*L30</f>
        <v>5380.61349643422</v>
      </c>
      <c r="Q30" s="88" t="n">
        <f aca="false">M30/P30</f>
        <v>6.55946114729235</v>
      </c>
      <c r="R30" s="89" t="n">
        <f aca="false">DataDE1c!BK53</f>
        <v>49239</v>
      </c>
      <c r="S30" s="90" t="n">
        <f aca="false">R30*(1-DataDE1c!BN53)</f>
        <v>28572.4601435974</v>
      </c>
      <c r="T30" s="91" t="n">
        <f aca="false">DataDE1c!BO53</f>
        <v>22372</v>
      </c>
      <c r="U30" s="110" t="n">
        <v>540.6</v>
      </c>
      <c r="V30" s="25"/>
      <c r="W30" s="25"/>
      <c r="X30" s="25"/>
      <c r="Y30" s="25"/>
      <c r="Z30" s="25"/>
      <c r="AA30" s="25"/>
      <c r="AB30" s="93"/>
    </row>
    <row r="31" customFormat="false" ht="12" hidden="false" customHeight="true" outlineLevel="0" collapsed="false">
      <c r="A31" s="76" t="n">
        <v>1891</v>
      </c>
      <c r="B31" s="77" t="n">
        <f aca="false">DataDE1c!B54</f>
        <v>22.553</v>
      </c>
      <c r="C31" s="78" t="n">
        <f aca="false">N31*B31</f>
        <v>147.6919</v>
      </c>
      <c r="D31" s="79" t="n">
        <f aca="false">B31*(TableDE15a!C$149/TableDE15a!C30)/1.95583</f>
        <v>155.792091079383</v>
      </c>
      <c r="E31" s="80" t="n">
        <f aca="false">D31*N31</f>
        <v>1020.22923497925</v>
      </c>
      <c r="F31" s="81" t="n">
        <f aca="false">1000000*B31/R31</f>
        <v>453.217314416623</v>
      </c>
      <c r="G31" s="82" t="n">
        <f aca="false">1000000*C31/R31</f>
        <v>2967.96551585547</v>
      </c>
      <c r="H31" s="83" t="n">
        <f aca="false">1000000*B31/S31</f>
        <v>780.180435314017</v>
      </c>
      <c r="I31" s="84" t="n">
        <f aca="false">1000000*C31/S31</f>
        <v>5109.13540701256</v>
      </c>
      <c r="J31" s="82" t="n">
        <f aca="false">1000000*D31/R31</f>
        <v>3130.74416380738</v>
      </c>
      <c r="K31" s="82" t="n">
        <f aca="false">1000000*E31/R31</f>
        <v>20502.1750528366</v>
      </c>
      <c r="L31" s="83" t="n">
        <f aca="false">1000000*D31/S31</f>
        <v>5389.3469355205</v>
      </c>
      <c r="M31" s="84" t="n">
        <f aca="false">1000000*E31/S31</f>
        <v>35292.9937775994</v>
      </c>
      <c r="N31" s="85" t="n">
        <f aca="false">TableDE5a!F31</f>
        <v>6.54865871502682</v>
      </c>
      <c r="O31" s="86" t="n">
        <f aca="false">DataDE1c!AW54/DataDE1c!B54</f>
        <v>0.946215581075688</v>
      </c>
      <c r="P31" s="87" t="n">
        <f aca="false">O31*L31</f>
        <v>5099.48404221201</v>
      </c>
      <c r="Q31" s="88" t="n">
        <f aca="false">M31/P31</f>
        <v>6.92089503280225</v>
      </c>
      <c r="R31" s="89" t="n">
        <f aca="false">DataDE1c!BK54</f>
        <v>49762</v>
      </c>
      <c r="S31" s="90" t="n">
        <f aca="false">R31*(1-DataDE1c!BN54)</f>
        <v>28907.4154889857</v>
      </c>
      <c r="T31" s="91" t="n">
        <f aca="false">DataDE1c!BO54</f>
        <v>22485</v>
      </c>
      <c r="U31" s="92" t="n">
        <v>540.6</v>
      </c>
      <c r="V31" s="25"/>
      <c r="W31" s="25"/>
      <c r="X31" s="25"/>
      <c r="Y31" s="25"/>
      <c r="Z31" s="25"/>
      <c r="AA31" s="25"/>
      <c r="AB31" s="93"/>
    </row>
    <row r="32" customFormat="false" ht="12" hidden="false" customHeight="true" outlineLevel="0" collapsed="false">
      <c r="A32" s="76" t="n">
        <v>1892</v>
      </c>
      <c r="B32" s="77" t="n">
        <f aca="false">DataDE1c!B55</f>
        <v>24.048</v>
      </c>
      <c r="C32" s="78" t="n">
        <f aca="false">N32*B32</f>
        <v>145.0948</v>
      </c>
      <c r="D32" s="79" t="n">
        <f aca="false">B32*(TableDE15a!C$149/TableDE15a!C31)/1.95583</f>
        <v>165.11493499095</v>
      </c>
      <c r="E32" s="80" t="n">
        <f aca="false">D32*N32</f>
        <v>996.229144607655</v>
      </c>
      <c r="F32" s="81" t="n">
        <f aca="false">1000000*B32/R32</f>
        <v>478.414833087972</v>
      </c>
      <c r="G32" s="82" t="n">
        <f aca="false">1000000*C32/R32</f>
        <v>2886.53960927864</v>
      </c>
      <c r="H32" s="83" t="n">
        <f aca="false">1000000*B32/S32</f>
        <v>822.660578920623</v>
      </c>
      <c r="I32" s="84" t="n">
        <f aca="false">1000000*C32/S32</f>
        <v>4963.56338017182</v>
      </c>
      <c r="J32" s="82" t="n">
        <f aca="false">1000000*D32/R32</f>
        <v>3284.82343912287</v>
      </c>
      <c r="K32" s="82" t="n">
        <f aca="false">1000000*E32/R32</f>
        <v>19819.1450405374</v>
      </c>
      <c r="L32" s="83" t="n">
        <f aca="false">1000000*D32/S32</f>
        <v>5648.43429840718</v>
      </c>
      <c r="M32" s="84" t="n">
        <f aca="false">1000000*E32/S32</f>
        <v>34080.1083183853</v>
      </c>
      <c r="N32" s="85" t="n">
        <f aca="false">TableDE5a!F32</f>
        <v>6.0335495675316</v>
      </c>
      <c r="O32" s="86" t="n">
        <f aca="false">DataDE1c!AW55/DataDE1c!B55</f>
        <v>0.951388888888889</v>
      </c>
      <c r="P32" s="87" t="n">
        <f aca="false">O32*L32</f>
        <v>5373.8576311235</v>
      </c>
      <c r="Q32" s="88" t="n">
        <f aca="false">M32/P32</f>
        <v>6.34183312207701</v>
      </c>
      <c r="R32" s="89" t="n">
        <f aca="false">DataDE1c!BK55</f>
        <v>50266</v>
      </c>
      <c r="S32" s="90" t="n">
        <f aca="false">R32*(1-DataDE1c!BN55)</f>
        <v>29231.9829297671</v>
      </c>
      <c r="T32" s="91" t="n">
        <f aca="false">DataDE1c!BO55</f>
        <v>22588</v>
      </c>
      <c r="U32" s="92" t="n">
        <v>540.6</v>
      </c>
      <c r="V32" s="25"/>
      <c r="W32" s="25"/>
      <c r="X32" s="25"/>
      <c r="Y32" s="25"/>
      <c r="Z32" s="25"/>
      <c r="AA32" s="25"/>
      <c r="AB32" s="93"/>
    </row>
    <row r="33" customFormat="false" ht="12" hidden="false" customHeight="true" outlineLevel="0" collapsed="false">
      <c r="A33" s="76" t="n">
        <v>1893</v>
      </c>
      <c r="B33" s="77" t="n">
        <f aca="false">DataDE1c!B56</f>
        <v>24.338</v>
      </c>
      <c r="C33" s="78" t="n">
        <f aca="false">N33*B33</f>
        <v>143.9832</v>
      </c>
      <c r="D33" s="79" t="n">
        <f aca="false">B33*(TableDE15a!C$149/TableDE15a!C32)/1.95583</f>
        <v>177.630768188273</v>
      </c>
      <c r="E33" s="80" t="n">
        <f aca="false">D33*N33</f>
        <v>1050.86064681592</v>
      </c>
      <c r="F33" s="81" t="n">
        <f aca="false">1000000*B33/R33</f>
        <v>479.500364481746</v>
      </c>
      <c r="G33" s="82" t="n">
        <f aca="false">1000000*C33/R33</f>
        <v>2836.71611797388</v>
      </c>
      <c r="H33" s="83" t="n">
        <f aca="false">1000000*B33/S33</f>
        <v>823.6315871499</v>
      </c>
      <c r="I33" s="84" t="n">
        <f aca="false">1000000*C33/S33</f>
        <v>4872.59066229442</v>
      </c>
      <c r="J33" s="82" t="n">
        <f aca="false">1000000*D33/R33</f>
        <v>3499.63095116482</v>
      </c>
      <c r="K33" s="82" t="n">
        <f aca="false">1000000*E33/R33</f>
        <v>20703.7580395988</v>
      </c>
      <c r="L33" s="83" t="n">
        <f aca="false">1000000*D33/S33</f>
        <v>6011.27091501205</v>
      </c>
      <c r="M33" s="84" t="n">
        <f aca="false">1000000*E33/S33</f>
        <v>35562.577960817</v>
      </c>
      <c r="N33" s="85" t="n">
        <f aca="false">TableDE5a!F33</f>
        <v>5.91598323609171</v>
      </c>
      <c r="O33" s="86" t="n">
        <f aca="false">DataDE1c!AW56/DataDE1c!B56</f>
        <v>0.951721587640726</v>
      </c>
      <c r="P33" s="87" t="n">
        <f aca="false">O33*L33</f>
        <v>5721.05629897379</v>
      </c>
      <c r="Q33" s="88" t="n">
        <f aca="false">M33/P33</f>
        <v>6.2160859992229</v>
      </c>
      <c r="R33" s="89" t="n">
        <f aca="false">DataDE1c!BK56</f>
        <v>50757</v>
      </c>
      <c r="S33" s="90" t="n">
        <f aca="false">R33*(1-DataDE1c!BN56)</f>
        <v>29549.6194897276</v>
      </c>
      <c r="T33" s="91" t="n">
        <f aca="false">DataDE1c!BO56</f>
        <v>22738</v>
      </c>
      <c r="U33" s="92" t="n">
        <v>540.6</v>
      </c>
      <c r="V33" s="25"/>
      <c r="W33" s="25"/>
      <c r="X33" s="25"/>
      <c r="Y33" s="25"/>
      <c r="Z33" s="25"/>
      <c r="AA33" s="25"/>
      <c r="AB33" s="93"/>
    </row>
    <row r="34" customFormat="false" ht="12" hidden="false" customHeight="true" outlineLevel="0" collapsed="false">
      <c r="A34" s="76" t="n">
        <v>1894</v>
      </c>
      <c r="B34" s="77" t="n">
        <f aca="false">DataDE1c!B57</f>
        <v>24.104</v>
      </c>
      <c r="C34" s="78" t="n">
        <f aca="false">N34*B34</f>
        <v>144.5476</v>
      </c>
      <c r="D34" s="79" t="n">
        <f aca="false">B34*(TableDE15a!C$149/TableDE15a!C33)/1.95583</f>
        <v>178.213583414176</v>
      </c>
      <c r="E34" s="80" t="n">
        <f aca="false">D34*N34</f>
        <v>1068.71663499498</v>
      </c>
      <c r="F34" s="81" t="n">
        <f aca="false">1000000*B34/R34</f>
        <v>469.497467861317</v>
      </c>
      <c r="G34" s="82" t="n">
        <f aca="false">1000000*C34/R34</f>
        <v>2815.49668874172</v>
      </c>
      <c r="H34" s="83" t="n">
        <f aca="false">1000000*B34/S34</f>
        <v>805.574704812706</v>
      </c>
      <c r="I34" s="84" t="n">
        <f aca="false">1000000*C34/S34</f>
        <v>4830.89488057522</v>
      </c>
      <c r="J34" s="82" t="n">
        <f aca="false">1000000*D34/R34</f>
        <v>3471.24237269529</v>
      </c>
      <c r="K34" s="82" t="n">
        <f aca="false">1000000*E34/R34</f>
        <v>20816.4517918773</v>
      </c>
      <c r="L34" s="83" t="n">
        <f aca="false">1000000*D34/S34</f>
        <v>5956.03861817498</v>
      </c>
      <c r="M34" s="84" t="n">
        <f aca="false">1000000*E34/S34</f>
        <v>35717.3534585342</v>
      </c>
      <c r="N34" s="85" t="n">
        <f aca="false">TableDE5a!F34</f>
        <v>5.9968304015931</v>
      </c>
      <c r="O34" s="86" t="n">
        <f aca="false">DataDE1c!AW57/DataDE1c!B57</f>
        <v>0.94789246598075</v>
      </c>
      <c r="P34" s="87" t="n">
        <f aca="false">O34*L34</f>
        <v>5645.68413325846</v>
      </c>
      <c r="Q34" s="88" t="n">
        <f aca="false">M34/P34</f>
        <v>6.3264880952381</v>
      </c>
      <c r="R34" s="89" t="n">
        <f aca="false">DataDE1c!BK57</f>
        <v>51340</v>
      </c>
      <c r="S34" s="90" t="n">
        <f aca="false">R34*(1-DataDE1c!BN57)</f>
        <v>29921.4956179689</v>
      </c>
      <c r="T34" s="91" t="n">
        <f aca="false">DataDE1c!BO57</f>
        <v>23070</v>
      </c>
      <c r="U34" s="92" t="n">
        <v>540.6</v>
      </c>
      <c r="V34" s="25"/>
      <c r="W34" s="25"/>
      <c r="X34" s="25"/>
      <c r="Y34" s="25"/>
      <c r="Z34" s="25"/>
      <c r="AA34" s="25"/>
      <c r="AB34" s="93"/>
    </row>
    <row r="35" customFormat="false" ht="12" hidden="false" customHeight="true" outlineLevel="0" collapsed="false">
      <c r="A35" s="76" t="n">
        <v>1895</v>
      </c>
      <c r="B35" s="77" t="n">
        <f aca="false">DataDE1c!B58</f>
        <v>25.235</v>
      </c>
      <c r="C35" s="78" t="n">
        <f aca="false">N35*B35</f>
        <v>146.89</v>
      </c>
      <c r="D35" s="79" t="n">
        <f aca="false">B35*(TableDE15a!C$149/TableDE15a!C34)/1.95583</f>
        <v>185.849687513144</v>
      </c>
      <c r="E35" s="80" t="n">
        <f aca="false">D35*N35</f>
        <v>1081.80941544703</v>
      </c>
      <c r="F35" s="81" t="n">
        <f aca="false">1000000*B35/R35</f>
        <v>485.279129247514</v>
      </c>
      <c r="G35" s="82" t="n">
        <f aca="false">1000000*C35/R35</f>
        <v>2824.7533701275</v>
      </c>
      <c r="H35" s="83" t="n">
        <f aca="false">1000000*B35/S35</f>
        <v>831.750758758476</v>
      </c>
      <c r="I35" s="84" t="n">
        <f aca="false">1000000*C35/S35</f>
        <v>4841.52442853309</v>
      </c>
      <c r="J35" s="82" t="n">
        <f aca="false">1000000*D35/R35</f>
        <v>3573.96372210427</v>
      </c>
      <c r="K35" s="82" t="n">
        <f aca="false">1000000*E35/R35</f>
        <v>20803.6271503823</v>
      </c>
      <c r="L35" s="83" t="n">
        <f aca="false">1000000*D35/S35</f>
        <v>6125.64369344495</v>
      </c>
      <c r="M35" s="84" t="n">
        <f aca="false">1000000*E35/S35</f>
        <v>35656.6594860364</v>
      </c>
      <c r="N35" s="85" t="n">
        <f aca="false">TableDE5a!F35</f>
        <v>5.82088369328314</v>
      </c>
      <c r="O35" s="86" t="n">
        <f aca="false">DataDE1c!AW58/DataDE1c!B58</f>
        <v>0.950227858133545</v>
      </c>
      <c r="P35" s="87" t="n">
        <f aca="false">O35*L35</f>
        <v>5820.75728651145</v>
      </c>
      <c r="Q35" s="88" t="n">
        <f aca="false">M35/P35</f>
        <v>6.1257767212978</v>
      </c>
      <c r="R35" s="89" t="n">
        <f aca="false">DataDE1c!BK58</f>
        <v>52001</v>
      </c>
      <c r="S35" s="90" t="n">
        <f aca="false">R35*(1-DataDE1c!BN58)</f>
        <v>30339.6176490027</v>
      </c>
      <c r="T35" s="91" t="n">
        <f aca="false">DataDE1c!BO58</f>
        <v>23405</v>
      </c>
      <c r="U35" s="92" t="n">
        <v>540.6</v>
      </c>
      <c r="V35" s="25"/>
      <c r="W35" s="25"/>
      <c r="X35" s="25"/>
      <c r="Y35" s="25"/>
      <c r="Z35" s="25"/>
      <c r="AA35" s="25"/>
      <c r="AB35" s="93"/>
    </row>
    <row r="36" customFormat="false" ht="12" hidden="false" customHeight="true" outlineLevel="0" collapsed="false">
      <c r="A36" s="76" t="n">
        <v>1896</v>
      </c>
      <c r="B36" s="77" t="n">
        <f aca="false">DataDE1c!B59</f>
        <v>26.957</v>
      </c>
      <c r="C36" s="78" t="n">
        <f aca="false">N36*B36</f>
        <v>152.6534</v>
      </c>
      <c r="D36" s="79" t="n">
        <f aca="false">B36*(TableDE15a!C$149/TableDE15a!C35)/1.95583</f>
        <v>195.489169129265</v>
      </c>
      <c r="E36" s="80" t="n">
        <f aca="false">D36*N36</f>
        <v>1107.02549730153</v>
      </c>
      <c r="F36" s="81" t="n">
        <f aca="false">1000000*B36/R36</f>
        <v>510.994426962884</v>
      </c>
      <c r="G36" s="82" t="n">
        <f aca="false">1000000*C36/R36</f>
        <v>2893.68389126891</v>
      </c>
      <c r="H36" s="83" t="n">
        <f aca="false">1000000*B36/S36</f>
        <v>874.877588307462</v>
      </c>
      <c r="I36" s="84" t="n">
        <f aca="false">1000000*C36/S36</f>
        <v>4954.29901097801</v>
      </c>
      <c r="J36" s="82" t="n">
        <f aca="false">1000000*D36/R36</f>
        <v>3705.67481383905</v>
      </c>
      <c r="K36" s="82" t="n">
        <f aca="false">1000000*E36/R36</f>
        <v>20984.67409678</v>
      </c>
      <c r="L36" s="83" t="n">
        <f aca="false">1000000*D36/S36</f>
        <v>6344.51507319217</v>
      </c>
      <c r="M36" s="84" t="n">
        <f aca="false">1000000*E36/S36</f>
        <v>35928.0260145429</v>
      </c>
      <c r="N36" s="85" t="n">
        <f aca="false">TableDE5a!F36</f>
        <v>5.66284823978929</v>
      </c>
      <c r="O36" s="86" t="n">
        <f aca="false">DataDE1c!AW59/DataDE1c!B59</f>
        <v>0.948621879289238</v>
      </c>
      <c r="P36" s="87" t="n">
        <f aca="false">O36*L36</f>
        <v>6018.54581191045</v>
      </c>
      <c r="Q36" s="88" t="n">
        <f aca="false">M36/P36</f>
        <v>5.96955263569529</v>
      </c>
      <c r="R36" s="89" t="n">
        <f aca="false">DataDE1c!BK59</f>
        <v>52754</v>
      </c>
      <c r="S36" s="90" t="n">
        <f aca="false">R36*(1-DataDE1c!BN59)</f>
        <v>30812.3106138209</v>
      </c>
      <c r="T36" s="91" t="n">
        <f aca="false">DataDE1c!BO59</f>
        <v>23891</v>
      </c>
      <c r="U36" s="92" t="n">
        <v>540.6</v>
      </c>
      <c r="V36" s="25"/>
      <c r="W36" s="25"/>
      <c r="X36" s="25"/>
      <c r="Y36" s="25"/>
      <c r="Z36" s="25"/>
      <c r="AA36" s="25"/>
      <c r="AB36" s="93"/>
    </row>
    <row r="37" customFormat="false" ht="12" hidden="false" customHeight="true" outlineLevel="0" collapsed="false">
      <c r="A37" s="76" t="n">
        <v>1897</v>
      </c>
      <c r="B37" s="77" t="n">
        <f aca="false">DataDE1c!B60</f>
        <v>28.681</v>
      </c>
      <c r="C37" s="78" t="n">
        <f aca="false">N37*B37</f>
        <v>161.6463</v>
      </c>
      <c r="D37" s="79" t="n">
        <f aca="false">B37*(TableDE15a!C$149/TableDE15a!C36)/1.95583</f>
        <v>203.063947932439</v>
      </c>
      <c r="E37" s="80" t="n">
        <f aca="false">D37*N37</f>
        <v>1144.46971328306</v>
      </c>
      <c r="F37" s="81" t="n">
        <f aca="false">1000000*B37/R37</f>
        <v>535.402938266535</v>
      </c>
      <c r="G37" s="82" t="n">
        <f aca="false">1000000*C37/R37</f>
        <v>3017.53439489257</v>
      </c>
      <c r="H37" s="83" t="n">
        <f aca="false">1000000*B37/S37</f>
        <v>915.676192677277</v>
      </c>
      <c r="I37" s="84" t="n">
        <f aca="false">1000000*C37/S37</f>
        <v>5160.75689635539</v>
      </c>
      <c r="J37" s="82" t="n">
        <f aca="false">1000000*D37/R37</f>
        <v>3790.69887308777</v>
      </c>
      <c r="K37" s="82" t="n">
        <f aca="false">1000000*E37/R37</f>
        <v>21364.4031675607</v>
      </c>
      <c r="L37" s="83" t="n">
        <f aca="false">1000000*D37/S37</f>
        <v>6483.06623593292</v>
      </c>
      <c r="M37" s="84" t="n">
        <f aca="false">1000000*E37/S37</f>
        <v>36538.6028971613</v>
      </c>
      <c r="N37" s="85" t="n">
        <f aca="false">TableDE5a!F37</f>
        <v>5.63600641539695</v>
      </c>
      <c r="O37" s="86" t="n">
        <f aca="false">DataDE1c!AW60/DataDE1c!B60</f>
        <v>0.949583347860953</v>
      </c>
      <c r="P37" s="87" t="n">
        <f aca="false">O37*L37</f>
        <v>6156.21174072149</v>
      </c>
      <c r="Q37" s="88" t="n">
        <f aca="false">M37/P37</f>
        <v>5.93524141729392</v>
      </c>
      <c r="R37" s="89" t="n">
        <f aca="false">DataDE1c!BK60</f>
        <v>53569</v>
      </c>
      <c r="S37" s="90" t="n">
        <f aca="false">R37*(1-DataDE1c!BN60)</f>
        <v>31322.2078168722</v>
      </c>
      <c r="T37" s="91" t="n">
        <f aca="false">DataDE1c!BO60</f>
        <v>24290</v>
      </c>
      <c r="U37" s="92" t="n">
        <v>540.6</v>
      </c>
      <c r="V37" s="25"/>
      <c r="W37" s="25"/>
      <c r="X37" s="25"/>
      <c r="Y37" s="25"/>
      <c r="Z37" s="25"/>
      <c r="AA37" s="25"/>
      <c r="AB37" s="93"/>
    </row>
    <row r="38" customFormat="false" ht="12" hidden="false" customHeight="true" outlineLevel="0" collapsed="false">
      <c r="A38" s="76" t="n">
        <v>1898</v>
      </c>
      <c r="B38" s="77" t="n">
        <f aca="false">DataDE1c!B61</f>
        <v>30.923</v>
      </c>
      <c r="C38" s="78" t="n">
        <f aca="false">N38*B38</f>
        <v>171.9112</v>
      </c>
      <c r="D38" s="79" t="n">
        <f aca="false">B38*(TableDE15a!C$149/TableDE15a!C37)/1.95583</f>
        <v>217.85096238549</v>
      </c>
      <c r="E38" s="80" t="n">
        <f aca="false">D38*N38</f>
        <v>1211.10566131503</v>
      </c>
      <c r="F38" s="81" t="n">
        <f aca="false">1000000*B38/R38</f>
        <v>568.374811601662</v>
      </c>
      <c r="G38" s="82" t="n">
        <f aca="false">1000000*C38/R38</f>
        <v>3159.78384736978</v>
      </c>
      <c r="H38" s="83" t="n">
        <f aca="false">1000000*B38/S38</f>
        <v>971.016363385842</v>
      </c>
      <c r="I38" s="84" t="n">
        <f aca="false">1000000*C38/S38</f>
        <v>5398.20160557825</v>
      </c>
      <c r="J38" s="82" t="n">
        <f aca="false">1000000*D38/R38</f>
        <v>4004.17164256682</v>
      </c>
      <c r="K38" s="82" t="n">
        <f aca="false">1000000*E38/R38</f>
        <v>22260.5165113227</v>
      </c>
      <c r="L38" s="83" t="n">
        <f aca="false">1000000*D38/S38</f>
        <v>6840.76089822025</v>
      </c>
      <c r="M38" s="84" t="n">
        <f aca="false">1000000*E38/S38</f>
        <v>38030.0557813317</v>
      </c>
      <c r="N38" s="85" t="n">
        <f aca="false">TableDE5a!F38</f>
        <v>5.55933124211752</v>
      </c>
      <c r="O38" s="86" t="n">
        <f aca="false">DataDE1c!AW61/DataDE1c!B61</f>
        <v>0.948646638424474</v>
      </c>
      <c r="P38" s="87" t="n">
        <f aca="false">O38*L38</f>
        <v>6489.46483036223</v>
      </c>
      <c r="Q38" s="88" t="n">
        <f aca="false">M38/P38</f>
        <v>5.86027612067496</v>
      </c>
      <c r="R38" s="89" t="n">
        <f aca="false">DataDE1c!BK61</f>
        <v>54406</v>
      </c>
      <c r="S38" s="90" t="n">
        <f aca="false">R38*(1-DataDE1c!BN61)</f>
        <v>31846.0132764132</v>
      </c>
      <c r="T38" s="91" t="n">
        <f aca="false">DataDE1c!BO61</f>
        <v>24719</v>
      </c>
      <c r="U38" s="92" t="n">
        <v>540.6</v>
      </c>
      <c r="V38" s="25"/>
      <c r="W38" s="25"/>
      <c r="X38" s="25"/>
      <c r="Y38" s="25"/>
      <c r="Z38" s="25"/>
      <c r="AA38" s="25"/>
      <c r="AB38" s="93"/>
    </row>
    <row r="39" customFormat="false" ht="12" hidden="false" customHeight="true" outlineLevel="0" collapsed="false">
      <c r="A39" s="94" t="n">
        <v>1899</v>
      </c>
      <c r="B39" s="95" t="n">
        <f aca="false">DataDE1c!B62</f>
        <v>31.621</v>
      </c>
      <c r="C39" s="96" t="n">
        <f aca="false">N39*B39</f>
        <v>184.4746</v>
      </c>
      <c r="D39" s="97" t="n">
        <f aca="false">B39*(TableDE15a!C$149/TableDE15a!C38)/1.95583</f>
        <v>214.517657744124</v>
      </c>
      <c r="E39" s="98" t="n">
        <f aca="false">D39*N39</f>
        <v>1251.48031704513</v>
      </c>
      <c r="F39" s="99" t="n">
        <f aca="false">1000000*B39/R39</f>
        <v>572.346510280915</v>
      </c>
      <c r="G39" s="100" t="n">
        <f aca="false">1000000*C39/R39</f>
        <v>3339.02765710976</v>
      </c>
      <c r="H39" s="101" t="n">
        <f aca="false">1000000*B39/S39</f>
        <v>976.746411298214</v>
      </c>
      <c r="I39" s="102" t="n">
        <f aca="false">1000000*C39/S39</f>
        <v>5698.26708597684</v>
      </c>
      <c r="J39" s="100" t="n">
        <f aca="false">1000000*D39/R39</f>
        <v>3882.81309267528</v>
      </c>
      <c r="K39" s="100" t="n">
        <f aca="false">1000000*E39/R39</f>
        <v>22652.0474414482</v>
      </c>
      <c r="L39" s="101" t="n">
        <f aca="false">1000000*D39/S39</f>
        <v>6626.27217234342</v>
      </c>
      <c r="M39" s="102" t="n">
        <f aca="false">1000000*E39/S39</f>
        <v>38657.1869480467</v>
      </c>
      <c r="N39" s="103" t="n">
        <f aca="false">TableDE5a!F39</f>
        <v>5.83392682078366</v>
      </c>
      <c r="O39" s="104" t="n">
        <f aca="false">DataDE1c!AW62/DataDE1c!B62</f>
        <v>0.947787862496442</v>
      </c>
      <c r="P39" s="105" t="n">
        <f aca="false">O39*L39</f>
        <v>6280.30033854503</v>
      </c>
      <c r="Q39" s="106" t="n">
        <f aca="false">M39/P39</f>
        <v>6.15530864197531</v>
      </c>
      <c r="R39" s="107" t="n">
        <f aca="false">DataDE1c!BK62</f>
        <v>55248</v>
      </c>
      <c r="S39" s="108" t="n">
        <f aca="false">R39*(1-DataDE1c!BN62)</f>
        <v>32373.8071972764</v>
      </c>
      <c r="T39" s="109" t="n">
        <f aca="false">DataDE1c!BO62</f>
        <v>25082</v>
      </c>
      <c r="U39" s="92" t="n">
        <v>540.6</v>
      </c>
      <c r="V39" s="24"/>
      <c r="W39" s="25"/>
      <c r="X39" s="25"/>
      <c r="Y39" s="25"/>
      <c r="Z39" s="25"/>
      <c r="AA39" s="25"/>
      <c r="AB39" s="93"/>
    </row>
    <row r="40" customFormat="false" ht="12" hidden="false" customHeight="true" outlineLevel="0" collapsed="false">
      <c r="A40" s="76" t="n">
        <v>1900</v>
      </c>
      <c r="B40" s="77" t="n">
        <f aca="false">DataDE1c!B63</f>
        <v>32.312</v>
      </c>
      <c r="C40" s="78" t="n">
        <f aca="false">N40*B40</f>
        <v>198.4915</v>
      </c>
      <c r="D40" s="79" t="n">
        <f aca="false">B40*(TableDE15a!C$149/TableDE15a!C39)/1.95583</f>
        <v>212.109752344377</v>
      </c>
      <c r="E40" s="80" t="n">
        <f aca="false">D40*N40</f>
        <v>1302.98288275142</v>
      </c>
      <c r="F40" s="81" t="n">
        <f aca="false">1000000*B40/R40</f>
        <v>576.526424722549</v>
      </c>
      <c r="G40" s="82" t="n">
        <f aca="false">1000000*C40/R40</f>
        <v>3541.58191485565</v>
      </c>
      <c r="H40" s="83" t="n">
        <f aca="false">1000000*B40/S40</f>
        <v>982.819055529566</v>
      </c>
      <c r="I40" s="84" t="n">
        <f aca="false">1000000*C40/S40</f>
        <v>6037.42351326587</v>
      </c>
      <c r="J40" s="82" t="n">
        <f aca="false">1000000*D40/R40</f>
        <v>3784.56539885767</v>
      </c>
      <c r="K40" s="82" t="n">
        <f aca="false">1000000*E40/R40</f>
        <v>23248.4545329091</v>
      </c>
      <c r="L40" s="83" t="n">
        <f aca="false">1000000*D40/S40</f>
        <v>6451.64355247929</v>
      </c>
      <c r="M40" s="84" t="n">
        <f aca="false">1000000*E40/S40</f>
        <v>39632.2235143892</v>
      </c>
      <c r="N40" s="85" t="n">
        <f aca="false">TableDE5a!F40</f>
        <v>6.14296546174796</v>
      </c>
      <c r="O40" s="86" t="n">
        <f aca="false">DataDE1c!AW63/DataDE1c!B63</f>
        <v>0.946242881901461</v>
      </c>
      <c r="P40" s="87" t="n">
        <f aca="false">O40*L40</f>
        <v>6104.82178809898</v>
      </c>
      <c r="Q40" s="88" t="n">
        <f aca="false">M40/P40</f>
        <v>6.49195421095667</v>
      </c>
      <c r="R40" s="89" t="n">
        <f aca="false">DataDE1c!BK63</f>
        <v>56046</v>
      </c>
      <c r="S40" s="90" t="n">
        <f aca="false">R40*(1-DataDE1c!BN63)</f>
        <v>32876.8554274617</v>
      </c>
      <c r="T40" s="91" t="n">
        <f aca="false">DataDE1c!BO63</f>
        <v>25548</v>
      </c>
      <c r="U40" s="110" t="n">
        <v>540.6</v>
      </c>
      <c r="V40" s="24"/>
      <c r="W40" s="25"/>
      <c r="X40" s="25"/>
      <c r="Y40" s="25"/>
      <c r="Z40" s="25"/>
      <c r="AA40" s="25"/>
      <c r="AB40" s="93"/>
    </row>
    <row r="41" customFormat="false" ht="12" hidden="false" customHeight="true" outlineLevel="0" collapsed="false">
      <c r="A41" s="76" t="n">
        <v>1901</v>
      </c>
      <c r="B41" s="77" t="n">
        <f aca="false">DataDE1c!B64</f>
        <v>31.409</v>
      </c>
      <c r="C41" s="78" t="n">
        <f aca="false">N41*B41</f>
        <v>203.388</v>
      </c>
      <c r="D41" s="79" t="n">
        <f aca="false">B41*(TableDE15a!C$149/TableDE15a!C40)/1.95583</f>
        <v>210.563748502559</v>
      </c>
      <c r="E41" s="80" t="n">
        <f aca="false">D41*N41</f>
        <v>1363.49898692854</v>
      </c>
      <c r="F41" s="81" t="n">
        <f aca="false">1000000*B41/R41</f>
        <v>552.255863839364</v>
      </c>
      <c r="G41" s="82" t="n">
        <f aca="false">1000000*C41/R41</f>
        <v>3576.11562401097</v>
      </c>
      <c r="H41" s="83" t="n">
        <f aca="false">1000000*B41/S41</f>
        <v>944.415706994778</v>
      </c>
      <c r="I41" s="84" t="n">
        <f aca="false">1000000*C41/S41</f>
        <v>6115.53445873011</v>
      </c>
      <c r="J41" s="82" t="n">
        <f aca="false">1000000*D41/R41</f>
        <v>3702.28484900936</v>
      </c>
      <c r="K41" s="82" t="n">
        <f aca="false">1000000*E41/R41</f>
        <v>23974.0300827889</v>
      </c>
      <c r="L41" s="83" t="n">
        <f aca="false">1000000*D41/S41</f>
        <v>6331.29712533078</v>
      </c>
      <c r="M41" s="84" t="n">
        <f aca="false">1000000*E41/S41</f>
        <v>40998.1170914953</v>
      </c>
      <c r="N41" s="85" t="n">
        <f aca="false">TableDE5a!F41</f>
        <v>6.47546881467095</v>
      </c>
      <c r="O41" s="86" t="n">
        <f aca="false">DataDE1c!AW64/DataDE1c!B64</f>
        <v>0.944283485625139</v>
      </c>
      <c r="P41" s="87" t="n">
        <f aca="false">O41*L41</f>
        <v>5978.53931803577</v>
      </c>
      <c r="Q41" s="88" t="n">
        <f aca="false">M41/P41</f>
        <v>6.85754745608415</v>
      </c>
      <c r="R41" s="89" t="n">
        <f aca="false">DataDE1c!BK64</f>
        <v>56874</v>
      </c>
      <c r="S41" s="90" t="n">
        <f aca="false">R41*(1-DataDE1c!BN64)</f>
        <v>33257.6001938241</v>
      </c>
      <c r="T41" s="91" t="n">
        <f aca="false">DataDE1c!BO64</f>
        <v>25617</v>
      </c>
      <c r="U41" s="92" t="n">
        <v>540.6</v>
      </c>
      <c r="V41" s="24"/>
      <c r="W41" s="25"/>
      <c r="X41" s="25"/>
      <c r="Y41" s="25"/>
      <c r="Z41" s="25"/>
      <c r="AA41" s="25"/>
      <c r="AB41" s="93"/>
    </row>
    <row r="42" customFormat="false" ht="12" hidden="false" customHeight="true" outlineLevel="0" collapsed="false">
      <c r="A42" s="76" t="n">
        <v>1902</v>
      </c>
      <c r="B42" s="77" t="n">
        <f aca="false">DataDE1c!B65</f>
        <v>31.888</v>
      </c>
      <c r="C42" s="78" t="n">
        <f aca="false">N42*B42</f>
        <v>202.19</v>
      </c>
      <c r="D42" s="79" t="n">
        <f aca="false">B42*(TableDE15a!C$149/TableDE15a!C41)/1.95583</f>
        <v>213.522838063157</v>
      </c>
      <c r="E42" s="80" t="n">
        <f aca="false">D42*N42</f>
        <v>1353.86924949792</v>
      </c>
      <c r="F42" s="81" t="n">
        <f aca="false">1000000*B42/R42</f>
        <v>552.01066352762</v>
      </c>
      <c r="G42" s="82" t="n">
        <f aca="false">1000000*C42/R42</f>
        <v>3500.09521006803</v>
      </c>
      <c r="H42" s="83" t="n">
        <f aca="false">1000000*B42/S42</f>
        <v>946.985161023065</v>
      </c>
      <c r="I42" s="84" t="n">
        <f aca="false">1000000*C42/S42</f>
        <v>6004.48224119586</v>
      </c>
      <c r="J42" s="82" t="n">
        <f aca="false">1000000*D42/R42</f>
        <v>3696.27707970221</v>
      </c>
      <c r="K42" s="82" t="n">
        <f aca="false">1000000*E42/R42</f>
        <v>23436.7242456406</v>
      </c>
      <c r="L42" s="83" t="n">
        <f aca="false">1000000*D42/S42</f>
        <v>6341.03610089504</v>
      </c>
      <c r="M42" s="84" t="n">
        <f aca="false">1000000*E42/S42</f>
        <v>40206.1618552423</v>
      </c>
      <c r="N42" s="85" t="n">
        <f aca="false">TableDE5a!F42</f>
        <v>6.34062970396387</v>
      </c>
      <c r="O42" s="86" t="n">
        <f aca="false">DataDE1c!AW65/DataDE1c!B65</f>
        <v>0.944869543401906</v>
      </c>
      <c r="P42" s="87" t="n">
        <f aca="false">O42*L42</f>
        <v>5991.4518853477</v>
      </c>
      <c r="Q42" s="88" t="n">
        <f aca="false">M42/P42</f>
        <v>6.71058745436442</v>
      </c>
      <c r="R42" s="89" t="n">
        <f aca="false">DataDE1c!BK65</f>
        <v>57767</v>
      </c>
      <c r="S42" s="90" t="n">
        <f aca="false">R42*(1-DataDE1c!BN65)</f>
        <v>33673.1781156424</v>
      </c>
      <c r="T42" s="91" t="n">
        <f aca="false">DataDE1c!BO65</f>
        <v>25869</v>
      </c>
      <c r="U42" s="92" t="n">
        <v>540.6</v>
      </c>
      <c r="V42" s="24"/>
      <c r="W42" s="25"/>
      <c r="X42" s="25"/>
      <c r="Y42" s="25"/>
      <c r="Z42" s="25"/>
      <c r="AA42" s="25"/>
      <c r="AB42" s="93"/>
    </row>
    <row r="43" customFormat="false" ht="12" hidden="false" customHeight="true" outlineLevel="0" collapsed="false">
      <c r="A43" s="76" t="n">
        <v>1903</v>
      </c>
      <c r="B43" s="77" t="n">
        <f aca="false">DataDE1c!B66</f>
        <v>34.2</v>
      </c>
      <c r="C43" s="78" t="n">
        <f aca="false">N43*B43</f>
        <v>206.498</v>
      </c>
      <c r="D43" s="79" t="n">
        <f aca="false">B43*(TableDE15a!C$149/TableDE15a!C42)/1.95583</f>
        <v>228.19674753133</v>
      </c>
      <c r="E43" s="80" t="n">
        <f aca="false">D43*N43</f>
        <v>1377.84128572294</v>
      </c>
      <c r="F43" s="81" t="n">
        <f aca="false">1000000*B43/R43</f>
        <v>583.32906923195</v>
      </c>
      <c r="G43" s="82" t="n">
        <f aca="false">1000000*C43/R43</f>
        <v>3522.11362977366</v>
      </c>
      <c r="H43" s="83" t="n">
        <f aca="false">1000000*B43/S43</f>
        <v>1003.89090609194</v>
      </c>
      <c r="I43" s="84" t="n">
        <f aca="false">1000000*C43/S43</f>
        <v>6061.44632532669</v>
      </c>
      <c r="J43" s="82" t="n">
        <f aca="false">1000000*D43/R43</f>
        <v>3892.21626722833</v>
      </c>
      <c r="K43" s="82" t="n">
        <f aca="false">1000000*E43/R43</f>
        <v>23501.0197295355</v>
      </c>
      <c r="L43" s="83" t="n">
        <f aca="false">1000000*D43/S43</f>
        <v>6698.38127621226</v>
      </c>
      <c r="M43" s="84" t="n">
        <f aca="false">1000000*E43/S43</f>
        <v>40444.512771207</v>
      </c>
      <c r="N43" s="85" t="n">
        <f aca="false">TableDE5a!F43</f>
        <v>6.03795321637427</v>
      </c>
      <c r="O43" s="86" t="n">
        <f aca="false">DataDE1c!AW66/DataDE1c!B66</f>
        <v>0.947631578947369</v>
      </c>
      <c r="P43" s="87" t="n">
        <f aca="false">O43*L43</f>
        <v>6347.59762516852</v>
      </c>
      <c r="Q43" s="88" t="n">
        <f aca="false">M43/P43</f>
        <v>6.37162516584899</v>
      </c>
      <c r="R43" s="89" t="n">
        <f aca="false">DataDE1c!BK66</f>
        <v>58629</v>
      </c>
      <c r="S43" s="90" t="n">
        <f aca="false">R43*(1-DataDE1c!BN66)</f>
        <v>34067.4467638498</v>
      </c>
      <c r="T43" s="91" t="n">
        <f aca="false">DataDE1c!BO66</f>
        <v>26349</v>
      </c>
      <c r="U43" s="92" t="n">
        <v>540.6</v>
      </c>
      <c r="V43" s="24"/>
      <c r="W43" s="25"/>
      <c r="X43" s="25"/>
      <c r="Y43" s="25"/>
      <c r="Z43" s="25"/>
      <c r="AA43" s="25"/>
      <c r="AB43" s="93"/>
    </row>
    <row r="44" customFormat="false" ht="12" hidden="false" customHeight="true" outlineLevel="0" collapsed="false">
      <c r="A44" s="76" t="n">
        <v>1904</v>
      </c>
      <c r="B44" s="77" t="n">
        <f aca="false">DataDE1c!B67</f>
        <v>35.877</v>
      </c>
      <c r="C44" s="78" t="n">
        <f aca="false">N44*B44</f>
        <v>214.823</v>
      </c>
      <c r="D44" s="79" t="n">
        <f aca="false">B44*(TableDE15a!C$149/TableDE15a!C43)/1.95583</f>
        <v>238.266458712611</v>
      </c>
      <c r="E44" s="80" t="n">
        <f aca="false">D44*N44</f>
        <v>1426.68326393008</v>
      </c>
      <c r="F44" s="81" t="n">
        <f aca="false">1000000*B44/R44</f>
        <v>603.228247162673</v>
      </c>
      <c r="G44" s="82" t="n">
        <f aca="false">1000000*C44/R44</f>
        <v>3611.98823034889</v>
      </c>
      <c r="H44" s="83" t="n">
        <f aca="false">1000000*B44/S44</f>
        <v>1041.44453704091</v>
      </c>
      <c r="I44" s="84" t="n">
        <f aca="false">1000000*C44/S44</f>
        <v>6235.9238448237</v>
      </c>
      <c r="J44" s="82" t="n">
        <f aca="false">1000000*D44/R44</f>
        <v>4006.16155885013</v>
      </c>
      <c r="K44" s="82" t="n">
        <f aca="false">1000000*E44/R44</f>
        <v>23987.948952166</v>
      </c>
      <c r="L44" s="83" t="n">
        <f aca="false">1000000*D44/S44</f>
        <v>6916.44512602316</v>
      </c>
      <c r="M44" s="84" t="n">
        <f aca="false">1000000*E44/S44</f>
        <v>41414.0393931397</v>
      </c>
      <c r="N44" s="85" t="n">
        <f aca="false">TableDE5a!F44</f>
        <v>5.98776374836246</v>
      </c>
      <c r="O44" s="86" t="n">
        <f aca="false">DataDE1c!AW67/DataDE1c!B67</f>
        <v>0.949159628731499</v>
      </c>
      <c r="P44" s="87" t="n">
        <f aca="false">O44*L44</f>
        <v>6564.81048795793</v>
      </c>
      <c r="Q44" s="88" t="n">
        <f aca="false">M44/P44</f>
        <v>6.3084897072211</v>
      </c>
      <c r="R44" s="89" t="n">
        <f aca="false">DataDE1c!BK67</f>
        <v>59475</v>
      </c>
      <c r="S44" s="90" t="n">
        <f aca="false">R44*(1-DataDE1c!BN67)</f>
        <v>34449.266114486</v>
      </c>
      <c r="T44" s="91" t="n">
        <f aca="false">DataDE1c!BO67</f>
        <v>26834</v>
      </c>
      <c r="U44" s="92" t="n">
        <v>540.6</v>
      </c>
      <c r="V44" s="24"/>
      <c r="W44" s="25"/>
      <c r="X44" s="25"/>
      <c r="Y44" s="25"/>
      <c r="Z44" s="25"/>
      <c r="AA44" s="25"/>
      <c r="AB44" s="93"/>
    </row>
    <row r="45" customFormat="false" ht="12" hidden="false" customHeight="true" outlineLevel="0" collapsed="false">
      <c r="A45" s="76" t="n">
        <v>1905</v>
      </c>
      <c r="B45" s="77" t="n">
        <f aca="false">DataDE1c!B68</f>
        <v>38.681</v>
      </c>
      <c r="C45" s="78" t="n">
        <f aca="false">N45*B45</f>
        <v>226.553</v>
      </c>
      <c r="D45" s="79" t="n">
        <f aca="false">B45*(TableDE15a!C$149/TableDE15a!C44)/1.95583</f>
        <v>249.024462974954</v>
      </c>
      <c r="E45" s="80" t="n">
        <f aca="false">D45*N45</f>
        <v>1458.52586955779</v>
      </c>
      <c r="F45" s="81" t="n">
        <f aca="false">1000000*B45/R45</f>
        <v>641.327055078423</v>
      </c>
      <c r="G45" s="82" t="n">
        <f aca="false">1000000*C45/R45</f>
        <v>3756.2257518984</v>
      </c>
      <c r="H45" s="83" t="n">
        <f aca="false">1000000*B45/S45</f>
        <v>1110.75946432794</v>
      </c>
      <c r="I45" s="84" t="n">
        <f aca="false">1000000*C45/S45</f>
        <v>6505.67174896946</v>
      </c>
      <c r="J45" s="82" t="n">
        <f aca="false">1000000*D45/R45</f>
        <v>4128.80032786674</v>
      </c>
      <c r="K45" s="82" t="n">
        <f aca="false">1000000*E45/R45</f>
        <v>24182.2109221373</v>
      </c>
      <c r="L45" s="83" t="n">
        <f aca="false">1000000*D45/S45</f>
        <v>7150.95987949156</v>
      </c>
      <c r="M45" s="84" t="n">
        <f aca="false">1000000*E45/S45</f>
        <v>41882.8730792496</v>
      </c>
      <c r="N45" s="85" t="n">
        <f aca="false">TableDE5a!F45</f>
        <v>5.8569581965306</v>
      </c>
      <c r="O45" s="86" t="n">
        <f aca="false">DataDE1c!AW68/DataDE1c!B68</f>
        <v>0.947416044052636</v>
      </c>
      <c r="P45" s="87" t="n">
        <f aca="false">O45*L45</f>
        <v>6774.93412020701</v>
      </c>
      <c r="Q45" s="88" t="n">
        <f aca="false">M45/P45</f>
        <v>6.18203400005458</v>
      </c>
      <c r="R45" s="89" t="n">
        <f aca="false">DataDE1c!BK68</f>
        <v>60314</v>
      </c>
      <c r="S45" s="90" t="n">
        <f aca="false">R45*(1-DataDE1c!BN68)</f>
        <v>34823.9211478642</v>
      </c>
      <c r="T45" s="91" t="n">
        <f aca="false">DataDE1c!BO68</f>
        <v>27221</v>
      </c>
      <c r="U45" s="92" t="n">
        <v>540.6</v>
      </c>
      <c r="V45" s="24"/>
      <c r="W45" s="25"/>
      <c r="X45" s="25"/>
      <c r="Y45" s="25"/>
      <c r="Z45" s="25"/>
      <c r="AA45" s="25"/>
      <c r="AB45" s="93"/>
    </row>
    <row r="46" customFormat="false" ht="12" hidden="false" customHeight="true" outlineLevel="0" collapsed="false">
      <c r="A46" s="76" t="n">
        <v>1906</v>
      </c>
      <c r="B46" s="77" t="n">
        <f aca="false">DataDE1c!B69</f>
        <v>40.346</v>
      </c>
      <c r="C46" s="78" t="n">
        <f aca="false">N46*B46</f>
        <v>242.3915</v>
      </c>
      <c r="D46" s="79" t="n">
        <f aca="false">B46*(TableDE15a!C$149/TableDE15a!C45)/1.95583</f>
        <v>247.401541734242</v>
      </c>
      <c r="E46" s="80" t="n">
        <f aca="false">D46*N46</f>
        <v>1486.34389538679</v>
      </c>
      <c r="F46" s="81" t="n">
        <f aca="false">1000000*B46/R46</f>
        <v>659.755040635782</v>
      </c>
      <c r="G46" s="82" t="n">
        <f aca="false">1000000*C46/R46</f>
        <v>3963.68943469658</v>
      </c>
      <c r="H46" s="83" t="n">
        <f aca="false">1000000*B46/S46</f>
        <v>1146.34040379896</v>
      </c>
      <c r="I46" s="84" t="n">
        <f aca="false">1000000*C46/S46</f>
        <v>6887.00664223057</v>
      </c>
      <c r="J46" s="82" t="n">
        <f aca="false">1000000*D46/R46</f>
        <v>4045.61577901726</v>
      </c>
      <c r="K46" s="82" t="n">
        <f aca="false">1000000*E46/R46</f>
        <v>24305.3308159337</v>
      </c>
      <c r="L46" s="83" t="n">
        <f aca="false">1000000*D46/S46</f>
        <v>7029.35565488811</v>
      </c>
      <c r="M46" s="84" t="n">
        <f aca="false">1000000*E46/S46</f>
        <v>42231.1024939724</v>
      </c>
      <c r="N46" s="85" t="n">
        <f aca="false">TableDE5a!F46</f>
        <v>6.00781985822634</v>
      </c>
      <c r="O46" s="86" t="n">
        <f aca="false">DataDE1c!AW69/DataDE1c!B69</f>
        <v>0.946165666980618</v>
      </c>
      <c r="P46" s="87" t="n">
        <f aca="false">O46*L46</f>
        <v>6650.93498165119</v>
      </c>
      <c r="Q46" s="88" t="n">
        <f aca="false">M46/P46</f>
        <v>6.34964897574265</v>
      </c>
      <c r="R46" s="89" t="n">
        <f aca="false">DataDE1c!BK69</f>
        <v>61153</v>
      </c>
      <c r="S46" s="90" t="n">
        <f aca="false">R46*(1-DataDE1c!BN69)</f>
        <v>35195.4793412968</v>
      </c>
      <c r="T46" s="91" t="n">
        <f aca="false">DataDE1c!BO69</f>
        <v>27734</v>
      </c>
      <c r="U46" s="92" t="n">
        <v>540.6</v>
      </c>
      <c r="V46" s="24"/>
      <c r="W46" s="25"/>
      <c r="X46" s="25"/>
      <c r="Y46" s="25"/>
      <c r="Z46" s="25"/>
      <c r="AA46" s="25"/>
      <c r="AB46" s="93"/>
    </row>
    <row r="47" customFormat="false" ht="12" hidden="false" customHeight="true" outlineLevel="0" collapsed="false">
      <c r="A47" s="76" t="n">
        <v>1907</v>
      </c>
      <c r="B47" s="77" t="n">
        <f aca="false">DataDE1c!B70</f>
        <v>42.973</v>
      </c>
      <c r="C47" s="78" t="n">
        <f aca="false">N47*B47</f>
        <v>257.393</v>
      </c>
      <c r="D47" s="79" t="n">
        <f aca="false">B47*(TableDE15a!C$149/TableDE15a!C46)/1.95583</f>
        <v>261.813879029752</v>
      </c>
      <c r="E47" s="80" t="n">
        <f aca="false">D47*N47</f>
        <v>1568.17210260175</v>
      </c>
      <c r="F47" s="81" t="n">
        <f aca="false">1000000*B47/R47</f>
        <v>692.967603566994</v>
      </c>
      <c r="G47" s="82" t="n">
        <f aca="false">1000000*C47/R47</f>
        <v>4150.62970667441</v>
      </c>
      <c r="H47" s="83" t="n">
        <f aca="false">1000000*B47/S47</f>
        <v>1207.92147442271</v>
      </c>
      <c r="I47" s="84" t="n">
        <f aca="false">1000000*C47/S47</f>
        <v>7235.02040970107</v>
      </c>
      <c r="J47" s="82" t="n">
        <f aca="false">1000000*D47/R47</f>
        <v>4221.91925934484</v>
      </c>
      <c r="K47" s="82" t="n">
        <f aca="false">1000000*E47/R47</f>
        <v>25287.7961492227</v>
      </c>
      <c r="L47" s="83" t="n">
        <f aca="false">1000000*D47/S47</f>
        <v>7359.28622116087</v>
      </c>
      <c r="M47" s="84" t="n">
        <f aca="false">1000000*E47/S47</f>
        <v>44079.5094204096</v>
      </c>
      <c r="N47" s="85" t="n">
        <f aca="false">TableDE5a!F47</f>
        <v>5.98964466060084</v>
      </c>
      <c r="O47" s="86" t="n">
        <f aca="false">DataDE1c!AW70/DataDE1c!B70</f>
        <v>0.944732739161799</v>
      </c>
      <c r="P47" s="87" t="n">
        <f aca="false">O47*L47</f>
        <v>6952.558629993</v>
      </c>
      <c r="Q47" s="88" t="n">
        <f aca="false">M47/P47</f>
        <v>6.34004138134883</v>
      </c>
      <c r="R47" s="89" t="n">
        <f aca="false">DataDE1c!BK70</f>
        <v>62013</v>
      </c>
      <c r="S47" s="90" t="n">
        <f aca="false">R47*(1-DataDE1c!BN70)</f>
        <v>35575.9881001683</v>
      </c>
      <c r="T47" s="91" t="n">
        <f aca="false">DataDE1c!BO70</f>
        <v>28166</v>
      </c>
      <c r="U47" s="92" t="n">
        <v>540.6</v>
      </c>
      <c r="V47" s="24"/>
      <c r="W47" s="25"/>
      <c r="X47" s="25"/>
      <c r="Y47" s="25"/>
      <c r="Z47" s="25"/>
      <c r="AA47" s="25"/>
      <c r="AB47" s="93"/>
    </row>
    <row r="48" customFormat="false" ht="12" hidden="false" customHeight="true" outlineLevel="0" collapsed="false">
      <c r="A48" s="76" t="n">
        <v>1908</v>
      </c>
      <c r="B48" s="77" t="n">
        <f aca="false">DataDE1c!B71</f>
        <v>42.112</v>
      </c>
      <c r="C48" s="78" t="n">
        <f aca="false">N48*B48</f>
        <v>263.503333333333</v>
      </c>
      <c r="D48" s="79" t="n">
        <f aca="false">B48*(TableDE15a!C$149/TableDE15a!C47)/1.95583</f>
        <v>260.481024050042</v>
      </c>
      <c r="E48" s="80" t="n">
        <f aca="false">D48*N48</f>
        <v>1629.88264882376</v>
      </c>
      <c r="F48" s="81" t="n">
        <f aca="false">1000000*B48/R48</f>
        <v>669.901213750537</v>
      </c>
      <c r="G48" s="82" t="n">
        <f aca="false">1000000*C48/R48</f>
        <v>4191.70789388565</v>
      </c>
      <c r="H48" s="83" t="n">
        <f aca="false">1000000*B48/S48</f>
        <v>1171.48280260668</v>
      </c>
      <c r="I48" s="84" t="n">
        <f aca="false">1000000*C48/S48</f>
        <v>7330.20572353573</v>
      </c>
      <c r="J48" s="82" t="n">
        <f aca="false">1000000*D48/R48</f>
        <v>4143.6301807111</v>
      </c>
      <c r="K48" s="82" t="n">
        <f aca="false">1000000*E48/R48</f>
        <v>25927.5352564109</v>
      </c>
      <c r="L48" s="83" t="n">
        <f aca="false">1000000*D48/S48</f>
        <v>7246.13032104868</v>
      </c>
      <c r="M48" s="84" t="n">
        <f aca="false">1000000*E48/S48</f>
        <v>45340.5084860388</v>
      </c>
      <c r="N48" s="85" t="n">
        <f aca="false">TableDE5a!F48</f>
        <v>6.2572030141844</v>
      </c>
      <c r="O48" s="86" t="n">
        <f aca="false">DataDE1c!AW71/DataDE1c!B71</f>
        <v>0.942510448328268</v>
      </c>
      <c r="P48" s="87" t="n">
        <f aca="false">O48*L48</f>
        <v>6829.55353753665</v>
      </c>
      <c r="Q48" s="88" t="n">
        <f aca="false">M48/P48</f>
        <v>6.63886859321593</v>
      </c>
      <c r="R48" s="89" t="n">
        <f aca="false">DataDE1c!BK71</f>
        <v>62863</v>
      </c>
      <c r="S48" s="90" t="n">
        <f aca="false">R48*(1-DataDE1c!BN71)</f>
        <v>35947.604101653</v>
      </c>
      <c r="T48" s="91" t="n">
        <f aca="false">DataDE1c!BO71</f>
        <v>28350</v>
      </c>
      <c r="U48" s="92" t="n">
        <v>540.6</v>
      </c>
      <c r="V48" s="24"/>
      <c r="W48" s="25"/>
      <c r="X48" s="25"/>
      <c r="Y48" s="25"/>
      <c r="Z48" s="25"/>
      <c r="AA48" s="25"/>
      <c r="AB48" s="93"/>
    </row>
    <row r="49" customFormat="false" ht="12" hidden="false" customHeight="true" outlineLevel="0" collapsed="false">
      <c r="A49" s="94" t="n">
        <v>1909</v>
      </c>
      <c r="B49" s="95" t="n">
        <f aca="false">DataDE1c!B72</f>
        <v>44.289</v>
      </c>
      <c r="C49" s="96" t="n">
        <f aca="false">N49*B49</f>
        <v>266.949666666667</v>
      </c>
      <c r="D49" s="97" t="n">
        <f aca="false">B49*(TableDE15a!C$149/TableDE15a!C48)/1.95583</f>
        <v>267.82011143042</v>
      </c>
      <c r="E49" s="98" t="n">
        <f aca="false">D49*N49</f>
        <v>1614.27192921448</v>
      </c>
      <c r="F49" s="99" t="n">
        <f aca="false">1000000*B49/R49</f>
        <v>695.089222656434</v>
      </c>
      <c r="G49" s="100" t="n">
        <f aca="false">1000000*C49/R49</f>
        <v>4189.61449325402</v>
      </c>
      <c r="H49" s="101" t="n">
        <f aca="false">1000000*B49/S49</f>
        <v>1219.46576827982</v>
      </c>
      <c r="I49" s="102" t="n">
        <f aca="false">1000000*C49/S49</f>
        <v>7350.26711720084</v>
      </c>
      <c r="J49" s="100" t="n">
        <f aca="false">1000000*D49/R49</f>
        <v>4203.27560039581</v>
      </c>
      <c r="K49" s="100" t="n">
        <f aca="false">1000000*E49/R49</f>
        <v>25335.0272174534</v>
      </c>
      <c r="L49" s="101" t="n">
        <f aca="false">1000000*D49/S49</f>
        <v>7374.23418786342</v>
      </c>
      <c r="M49" s="102" t="n">
        <f aca="false">1000000*E49/S49</f>
        <v>44447.816802639</v>
      </c>
      <c r="N49" s="103" t="n">
        <f aca="false">TableDE5a!F49</f>
        <v>6.02744850113271</v>
      </c>
      <c r="O49" s="104" t="n">
        <f aca="false">DataDE1c!AW72/DataDE1c!B72</f>
        <v>0.936417620628147</v>
      </c>
      <c r="P49" s="105" t="n">
        <f aca="false">O49*L49</f>
        <v>6905.3628321538</v>
      </c>
      <c r="Q49" s="106" t="n">
        <f aca="false">M49/P49</f>
        <v>6.43670982727718</v>
      </c>
      <c r="R49" s="107" t="n">
        <f aca="false">DataDE1c!BK72</f>
        <v>63717</v>
      </c>
      <c r="S49" s="108" t="n">
        <f aca="false">R49*(1-DataDE1c!BN72)</f>
        <v>36318.3626404489</v>
      </c>
      <c r="T49" s="109" t="n">
        <f aca="false">DataDE1c!BO72</f>
        <v>28762</v>
      </c>
      <c r="U49" s="92" t="n">
        <v>540.6</v>
      </c>
      <c r="V49" s="24"/>
      <c r="W49" s="25"/>
      <c r="X49" s="25"/>
      <c r="Y49" s="25"/>
      <c r="Z49" s="25"/>
      <c r="AA49" s="25"/>
      <c r="AB49" s="93"/>
    </row>
    <row r="50" customFormat="false" ht="12" hidden="false" customHeight="true" outlineLevel="0" collapsed="false">
      <c r="A50" s="76" t="n">
        <v>1910</v>
      </c>
      <c r="B50" s="77" t="n">
        <f aca="false">DataDE1c!B73</f>
        <v>45.579</v>
      </c>
      <c r="C50" s="78" t="n">
        <f aca="false">N50*B50</f>
        <v>277.152</v>
      </c>
      <c r="D50" s="79" t="n">
        <f aca="false">B50*(TableDE15a!C$149/TableDE15a!C49)/1.95583</f>
        <v>265.989722565606</v>
      </c>
      <c r="E50" s="80" t="n">
        <f aca="false">D50*N50</f>
        <v>1617.40239119996</v>
      </c>
      <c r="F50" s="81" t="n">
        <f aca="false">1000000*B50/R50</f>
        <v>705.906950811548</v>
      </c>
      <c r="G50" s="82" t="n">
        <f aca="false">1000000*C50/R50</f>
        <v>4292.40490645521</v>
      </c>
      <c r="H50" s="83" t="n">
        <f aca="false">1000000*B50/S50</f>
        <v>1242.46732462771</v>
      </c>
      <c r="I50" s="84" t="n">
        <f aca="false">1000000*C50/S50</f>
        <v>7555.06491926586</v>
      </c>
      <c r="J50" s="82" t="n">
        <f aca="false">1000000*D50/R50</f>
        <v>4119.52859877347</v>
      </c>
      <c r="K50" s="82" t="n">
        <f aca="false">1000000*E50/R50</f>
        <v>25049.5971874606</v>
      </c>
      <c r="L50" s="83" t="n">
        <f aca="false">1000000*D50/S50</f>
        <v>7250.78520754195</v>
      </c>
      <c r="M50" s="84" t="n">
        <f aca="false">1000000*E50/S50</f>
        <v>44089.8137703913</v>
      </c>
      <c r="N50" s="85" t="n">
        <f aca="false">TableDE5a!F50</f>
        <v>6.08069505693412</v>
      </c>
      <c r="O50" s="86" t="n">
        <f aca="false">DataDE1c!AW73/DataDE1c!B73</f>
        <v>0.932227560938151</v>
      </c>
      <c r="P50" s="87" t="n">
        <f aca="false">O50*L50</f>
        <v>6759.38180891326</v>
      </c>
      <c r="Q50" s="88" t="n">
        <f aca="false">M50/P50</f>
        <v>6.52275829606966</v>
      </c>
      <c r="R50" s="89" t="n">
        <f aca="false">DataDE1c!BK73</f>
        <v>64568</v>
      </c>
      <c r="S50" s="90" t="n">
        <f aca="false">R50*(1-DataDE1c!BN73)</f>
        <v>36684.264524749</v>
      </c>
      <c r="T50" s="91" t="n">
        <f aca="false">DataDE1c!BO73</f>
        <v>29420</v>
      </c>
      <c r="U50" s="110" t="n">
        <v>540.9</v>
      </c>
      <c r="V50" s="24"/>
      <c r="W50" s="25"/>
      <c r="X50" s="25"/>
      <c r="Y50" s="25"/>
      <c r="Z50" s="25"/>
      <c r="AA50" s="25"/>
      <c r="AB50" s="93"/>
    </row>
    <row r="51" customFormat="false" ht="12" hidden="false" customHeight="true" outlineLevel="0" collapsed="false">
      <c r="A51" s="76" t="n">
        <v>1911</v>
      </c>
      <c r="B51" s="77" t="n">
        <f aca="false">DataDE1c!B74</f>
        <v>47.923</v>
      </c>
      <c r="C51" s="78" t="n">
        <f aca="false">N51*B51</f>
        <v>289.818333333333</v>
      </c>
      <c r="D51" s="79" t="n">
        <f aca="false">B51*(TableDE15a!C$149/TableDE15a!C50)/1.95583</f>
        <v>280.533782326047</v>
      </c>
      <c r="E51" s="80" t="n">
        <f aca="false">D51*N51</f>
        <v>1696.55141033389</v>
      </c>
      <c r="F51" s="81" t="n">
        <f aca="false">1000000*B51/R51</f>
        <v>733.227252558944</v>
      </c>
      <c r="G51" s="82" t="n">
        <f aca="false">1000000*C51/R51</f>
        <v>4434.25287004595</v>
      </c>
      <c r="H51" s="83" t="n">
        <f aca="false">1000000*B51/S51</f>
        <v>1290.55380710402</v>
      </c>
      <c r="I51" s="84" t="n">
        <f aca="false">1000000*C51/S51</f>
        <v>7804.7316205554</v>
      </c>
      <c r="J51" s="82" t="n">
        <f aca="false">1000000*D51/R51</f>
        <v>4292.19820263539</v>
      </c>
      <c r="K51" s="82" t="n">
        <f aca="false">1000000*E51/R51</f>
        <v>25957.4260673188</v>
      </c>
      <c r="L51" s="83" t="n">
        <f aca="false">1000000*D51/S51</f>
        <v>7554.70109972604</v>
      </c>
      <c r="M51" s="84" t="n">
        <f aca="false">1000000*E51/S51</f>
        <v>45687.6840255013</v>
      </c>
      <c r="N51" s="85" t="n">
        <f aca="false">TableDE5a!F51</f>
        <v>6.04758327594961</v>
      </c>
      <c r="O51" s="86" t="n">
        <f aca="false">DataDE1c!AW74/DataDE1c!B74</f>
        <v>0.928656386286335</v>
      </c>
      <c r="P51" s="87" t="n">
        <f aca="false">O51*L51</f>
        <v>7015.72142274498</v>
      </c>
      <c r="Q51" s="88" t="n">
        <f aca="false">M51/P51</f>
        <v>6.51218617053149</v>
      </c>
      <c r="R51" s="89" t="n">
        <f aca="false">DataDE1c!BK74</f>
        <v>65359</v>
      </c>
      <c r="S51" s="90" t="n">
        <f aca="false">R51*(1-DataDE1c!BN74)</f>
        <v>37133.6706274481</v>
      </c>
      <c r="T51" s="91" t="n">
        <f aca="false">DataDE1c!BO74</f>
        <v>30034</v>
      </c>
      <c r="U51" s="92" t="n">
        <v>540.9</v>
      </c>
      <c r="V51" s="24"/>
      <c r="W51" s="25"/>
      <c r="X51" s="25"/>
      <c r="Y51" s="25"/>
      <c r="Z51" s="25"/>
      <c r="AA51" s="25"/>
      <c r="AB51" s="93"/>
    </row>
    <row r="52" customFormat="false" ht="12" hidden="false" customHeight="true" outlineLevel="0" collapsed="false">
      <c r="A52" s="76" t="n">
        <v>1912</v>
      </c>
      <c r="B52" s="77" t="n">
        <f aca="false">DataDE1c!B75</f>
        <v>51.38</v>
      </c>
      <c r="C52" s="78" t="n">
        <f aca="false">N52*B52</f>
        <v>307.144666666667</v>
      </c>
      <c r="D52" s="79" t="n">
        <f aca="false">B52*(TableDE15a!C$149/TableDE15a!C51)/1.95583</f>
        <v>293.508457288289</v>
      </c>
      <c r="E52" s="80" t="n">
        <f aca="false">D52*N52</f>
        <v>1754.56514748266</v>
      </c>
      <c r="F52" s="81" t="n">
        <f aca="false">1000000*B52/R52</f>
        <v>776.766546729961</v>
      </c>
      <c r="G52" s="82" t="n">
        <f aca="false">1000000*C52/R52</f>
        <v>4643.43522913958</v>
      </c>
      <c r="H52" s="83" t="n">
        <f aca="false">1000000*B52/S52</f>
        <v>1367.1873496448</v>
      </c>
      <c r="I52" s="84" t="n">
        <f aca="false">1000000*C52/S52</f>
        <v>8172.91363911121</v>
      </c>
      <c r="J52" s="82" t="n">
        <f aca="false">1000000*D52/R52</f>
        <v>4437.28203199421</v>
      </c>
      <c r="K52" s="82" t="n">
        <f aca="false">1000000*E52/R52</f>
        <v>26525.6424800087</v>
      </c>
      <c r="L52" s="83" t="n">
        <f aca="false">1000000*D52/S52</f>
        <v>7810.06325064827</v>
      </c>
      <c r="M52" s="84" t="n">
        <f aca="false">1000000*E52/S52</f>
        <v>46687.8021363555</v>
      </c>
      <c r="N52" s="85" t="n">
        <f aca="false">TableDE5a!F52</f>
        <v>5.97790320487868</v>
      </c>
      <c r="O52" s="86" t="n">
        <f aca="false">DataDE1c!AW75/DataDE1c!B75</f>
        <v>0.929719735305566</v>
      </c>
      <c r="P52" s="87" t="n">
        <f aca="false">O52*L52</f>
        <v>7261.16993811244</v>
      </c>
      <c r="Q52" s="88" t="n">
        <f aca="false">M52/P52</f>
        <v>6.42979058943387</v>
      </c>
      <c r="R52" s="89" t="n">
        <f aca="false">DataDE1c!BK75</f>
        <v>66146</v>
      </c>
      <c r="S52" s="90" t="n">
        <f aca="false">R52*(1-DataDE1c!BN75)</f>
        <v>37580.8041329148</v>
      </c>
      <c r="T52" s="91" t="n">
        <f aca="false">DataDE1c!BO75</f>
        <v>30549</v>
      </c>
      <c r="U52" s="92" t="n">
        <v>540.9</v>
      </c>
      <c r="V52" s="24"/>
      <c r="W52" s="25"/>
      <c r="X52" s="25"/>
      <c r="Y52" s="25"/>
      <c r="Z52" s="25"/>
      <c r="AA52" s="25"/>
      <c r="AB52" s="93"/>
    </row>
    <row r="53" s="29" customFormat="true" ht="12" hidden="false" customHeight="true" outlineLevel="0" collapsed="false">
      <c r="A53" s="76" t="n">
        <v>1913</v>
      </c>
      <c r="B53" s="77" t="n">
        <f aca="false">DataDE1c!B76</f>
        <v>52.105</v>
      </c>
      <c r="C53" s="78" t="n">
        <f aca="false">N53*B53</f>
        <v>324.696</v>
      </c>
      <c r="D53" s="79" t="n">
        <f aca="false">B53*(TableDE15a!C$149/TableDE15a!C52)/1.95583</f>
        <v>295.864122576961</v>
      </c>
      <c r="E53" s="80" t="n">
        <f aca="false">D53*N53</f>
        <v>1843.69824669895</v>
      </c>
      <c r="F53" s="81" t="n">
        <f aca="false">1000000*B53/R53</f>
        <v>777.94201080952</v>
      </c>
      <c r="G53" s="82" t="n">
        <f aca="false">1000000*C53/R53</f>
        <v>4847.80077040222</v>
      </c>
      <c r="H53" s="83" t="n">
        <f aca="false">1000000*B53/S53</f>
        <v>1369.25628480466</v>
      </c>
      <c r="I53" s="84" t="n">
        <f aca="false">1000000*C53/S53</f>
        <v>8532.61757318747</v>
      </c>
      <c r="J53" s="82" t="n">
        <f aca="false">1000000*D53/R53</f>
        <v>4417.33289403925</v>
      </c>
      <c r="K53" s="82" t="n">
        <f aca="false">1000000*E53/R53</f>
        <v>27526.9229702134</v>
      </c>
      <c r="L53" s="83" t="n">
        <f aca="false">1000000*D53/S53</f>
        <v>7774.95075878935</v>
      </c>
      <c r="M53" s="84" t="n">
        <f aca="false">1000000*E53/S53</f>
        <v>48450.1566370956</v>
      </c>
      <c r="N53" s="85" t="n">
        <f aca="false">TableDE5a!F53</f>
        <v>6.23157086651953</v>
      </c>
      <c r="O53" s="86" t="n">
        <f aca="false">DataDE1c!AW76/DataDE1c!B76</f>
        <v>0.92745417906151</v>
      </c>
      <c r="P53" s="111" t="n">
        <f aca="false">O53*L53</f>
        <v>7210.91057323664</v>
      </c>
      <c r="Q53" s="112" t="n">
        <f aca="false">M53/P53</f>
        <v>6.71900672529747</v>
      </c>
      <c r="R53" s="89" t="n">
        <f aca="false">DataDE1c!BK76</f>
        <v>66978</v>
      </c>
      <c r="S53" s="90" t="n">
        <f aca="false">R53*(1-DataDE1c!BN76)</f>
        <v>38053.5043572456</v>
      </c>
      <c r="T53" s="91" t="n">
        <f aca="false">DataDE1c!BO76</f>
        <v>30968</v>
      </c>
      <c r="U53" s="92" t="n">
        <v>540.9</v>
      </c>
      <c r="V53" s="24"/>
      <c r="W53" s="25"/>
      <c r="X53" s="25"/>
      <c r="Y53" s="25"/>
      <c r="Z53" s="25"/>
      <c r="AA53" s="25"/>
      <c r="AB53" s="113"/>
      <c r="AC53" s="114"/>
    </row>
    <row r="54" customFormat="false" ht="12" hidden="false" customHeight="true" outlineLevel="0" collapsed="false">
      <c r="A54" s="76" t="n">
        <v>1914</v>
      </c>
      <c r="B54" s="77" t="n">
        <f aca="false">D54*1.95583*TableDE15a!C53/TableDE15a!C$149</f>
        <v>49.5866254106468</v>
      </c>
      <c r="C54" s="78" t="n">
        <f aca="false">N54*B54</f>
        <v>295.814969322459</v>
      </c>
      <c r="D54" s="79" t="n">
        <f aca="false">D53*DataDE1c!C77/DataDE1c!C76</f>
        <v>273.169257262896</v>
      </c>
      <c r="E54" s="80" t="n">
        <f aca="false">D54*N54</f>
        <v>1629.62401227876</v>
      </c>
      <c r="F54" s="81" t="n">
        <f aca="false">1000000*B54/R54</f>
        <v>731.474043526284</v>
      </c>
      <c r="G54" s="82" t="n">
        <f aca="false">1000000*C54/R54</f>
        <v>4363.69625789141</v>
      </c>
      <c r="H54" s="83" t="n">
        <f aca="false">1000000*B54/S54</f>
        <v>1274.68484114258</v>
      </c>
      <c r="I54" s="84" t="n">
        <f aca="false">1000000*C54/S54</f>
        <v>7604.2855115814</v>
      </c>
      <c r="J54" s="82" t="n">
        <f aca="false">1000000*D54/R54</f>
        <v>4029.63943447257</v>
      </c>
      <c r="K54" s="82" t="n">
        <f aca="false">1000000*E54/R54</f>
        <v>24039.298012668</v>
      </c>
      <c r="L54" s="83" t="n">
        <f aca="false">1000000*D54/S54</f>
        <v>7022.14979171435</v>
      </c>
      <c r="M54" s="84" t="n">
        <f aca="false">1000000*E54/S54</f>
        <v>41891.4779542082</v>
      </c>
      <c r="N54" s="85" t="n">
        <f aca="false">TableDE5a!F54</f>
        <v>5.96562010164426</v>
      </c>
      <c r="O54" s="86"/>
      <c r="P54" s="115"/>
      <c r="Q54" s="112"/>
      <c r="R54" s="89" t="n">
        <f aca="false">DataDE1c!BK77</f>
        <v>67790</v>
      </c>
      <c r="S54" s="90" t="n">
        <f aca="false">R54*(1-DataDE1c!BN77)</f>
        <v>38901.0866138482</v>
      </c>
      <c r="T54" s="91"/>
      <c r="U54" s="92" t="n">
        <v>540.9</v>
      </c>
      <c r="V54" s="24"/>
      <c r="W54" s="25"/>
      <c r="X54" s="25"/>
      <c r="Y54" s="25"/>
      <c r="Z54" s="25"/>
      <c r="AA54" s="25"/>
      <c r="AB54" s="93"/>
    </row>
    <row r="55" customFormat="false" ht="12" hidden="false" customHeight="true" outlineLevel="0" collapsed="false">
      <c r="A55" s="76" t="n">
        <v>1915</v>
      </c>
      <c r="B55" s="77" t="n">
        <f aca="false">D55*1.95583*TableDE15a!C54/TableDE15a!C$149</f>
        <v>57.0428345743704</v>
      </c>
      <c r="C55" s="78" t="n">
        <f aca="false">N55*B55</f>
        <v>325.269236389929</v>
      </c>
      <c r="D55" s="79" t="n">
        <f aca="false">D54*DataDE1c!C78/DataDE1c!C77</f>
        <v>250.944697700216</v>
      </c>
      <c r="E55" s="80" t="n">
        <f aca="false">D55*N55</f>
        <v>1430.93502989637</v>
      </c>
      <c r="F55" s="81" t="n">
        <f aca="false">1000000*B55/R55</f>
        <v>840.311043624625</v>
      </c>
      <c r="G55" s="82" t="n">
        <f aca="false">1000000*C55/R55</f>
        <v>4791.61552067423</v>
      </c>
      <c r="H55" s="83" t="n">
        <f aca="false">1000000*B55/S55</f>
        <v>1449.95048736032</v>
      </c>
      <c r="I55" s="84" t="n">
        <f aca="false">1000000*C55/S55</f>
        <v>8267.89712232848</v>
      </c>
      <c r="J55" s="82" t="n">
        <f aca="false">1000000*D55/R55</f>
        <v>3696.7237408514</v>
      </c>
      <c r="K55" s="82" t="n">
        <f aca="false">1000000*E55/R55</f>
        <v>21079.4312257321</v>
      </c>
      <c r="L55" s="83" t="n">
        <f aca="false">1000000*D55/S55</f>
        <v>6378.66945858961</v>
      </c>
      <c r="M55" s="84" t="n">
        <f aca="false">1000000*E55/S55</f>
        <v>36372.402589394</v>
      </c>
      <c r="N55" s="85" t="n">
        <f aca="false">TableDE5a!F55</f>
        <v>5.70219272616711</v>
      </c>
      <c r="O55" s="86"/>
      <c r="P55" s="115"/>
      <c r="Q55" s="112"/>
      <c r="R55" s="89" t="n">
        <f aca="false">DataDE1c!BK78</f>
        <v>67883</v>
      </c>
      <c r="S55" s="90" t="n">
        <f aca="false">R55*(1-DataDE1c!BN78)</f>
        <v>39341.2292844693</v>
      </c>
      <c r="T55" s="91"/>
      <c r="U55" s="92" t="n">
        <v>540.9</v>
      </c>
      <c r="V55" s="24"/>
      <c r="W55" s="25"/>
      <c r="X55" s="25"/>
      <c r="Y55" s="25"/>
      <c r="Z55" s="25"/>
      <c r="AA55" s="25"/>
      <c r="AB55" s="93"/>
      <c r="AC55" s="25"/>
    </row>
    <row r="56" customFormat="false" ht="12" hidden="false" customHeight="true" outlineLevel="0" collapsed="false">
      <c r="A56" s="76" t="n">
        <v>1916</v>
      </c>
      <c r="B56" s="77" t="n">
        <f aca="false">D56*1.95583*TableDE15a!C55/TableDE15a!C$149</f>
        <v>70.8884208838178</v>
      </c>
      <c r="C56" s="78" t="n">
        <f aca="false">N56*B56</f>
        <v>381.553663954652</v>
      </c>
      <c r="D56" s="79" t="n">
        <f aca="false">D55*DataDE1c!C79/DataDE1c!C78</f>
        <v>239.317694402082</v>
      </c>
      <c r="E56" s="80" t="n">
        <f aca="false">D56*N56</f>
        <v>1288.11647952985</v>
      </c>
      <c r="F56" s="81" t="n">
        <f aca="false">1000000*B56/R56</f>
        <v>1046.86437102293</v>
      </c>
      <c r="G56" s="82" t="n">
        <f aca="false">1000000*C56/R56</f>
        <v>5634.6993126287</v>
      </c>
      <c r="H56" s="83" t="n">
        <f aca="false">1000000*B56/S56</f>
        <v>1788.77080673706</v>
      </c>
      <c r="I56" s="84" t="n">
        <f aca="false">1000000*C56/S56</f>
        <v>9627.97656904003</v>
      </c>
      <c r="J56" s="82" t="n">
        <f aca="false">1000000*D56/R56</f>
        <v>3534.190273973</v>
      </c>
      <c r="K56" s="82" t="n">
        <f aca="false">1000000*E56/R56</f>
        <v>19022.6165477347</v>
      </c>
      <c r="L56" s="83" t="n">
        <f aca="false">1000000*D56/S56</f>
        <v>6038.84950383748</v>
      </c>
      <c r="M56" s="84" t="n">
        <f aca="false">1000000*E56/S56</f>
        <v>32503.8296174814</v>
      </c>
      <c r="N56" s="85" t="n">
        <f aca="false">TableDE5a!F56</f>
        <v>5.38245399174567</v>
      </c>
      <c r="O56" s="86"/>
      <c r="P56" s="115"/>
      <c r="Q56" s="112"/>
      <c r="R56" s="89" t="n">
        <f aca="false">DataDE1c!BK79</f>
        <v>67715</v>
      </c>
      <c r="S56" s="90" t="n">
        <f aca="false">R56*(1-DataDE1c!BN79)</f>
        <v>39629.6834769609</v>
      </c>
      <c r="T56" s="91"/>
      <c r="U56" s="92" t="n">
        <v>540.9</v>
      </c>
      <c r="V56" s="24"/>
      <c r="W56" s="25"/>
      <c r="X56" s="25"/>
      <c r="Y56" s="25"/>
      <c r="Z56" s="25"/>
      <c r="AA56" s="25"/>
      <c r="AB56" s="93"/>
    </row>
    <row r="57" customFormat="false" ht="12" hidden="false" customHeight="true" outlineLevel="0" collapsed="false">
      <c r="A57" s="76" t="n">
        <v>1917</v>
      </c>
      <c r="B57" s="77" t="n">
        <f aca="false">D57*1.95583*TableDE15a!C56/TableDE15a!C$149</f>
        <v>103.078638119309</v>
      </c>
      <c r="C57" s="78" t="n">
        <f aca="false">N57*B57</f>
        <v>521.307557867124</v>
      </c>
      <c r="D57" s="79" t="n">
        <f aca="false">D56*DataDE1c!C80/DataDE1c!C79</f>
        <v>233.574738615723</v>
      </c>
      <c r="E57" s="80" t="n">
        <f aca="false">D57*N57</f>
        <v>1181.27556580906</v>
      </c>
      <c r="F57" s="81" t="n">
        <f aca="false">1000000*B57/R57</f>
        <v>1530.08309760285</v>
      </c>
      <c r="G57" s="82" t="n">
        <f aca="false">1000000*C57/R57</f>
        <v>7738.20742588653</v>
      </c>
      <c r="H57" s="83" t="n">
        <f aca="false">1000000*B57/S57</f>
        <v>2589.23601915029</v>
      </c>
      <c r="I57" s="84" t="n">
        <f aca="false">1000000*C57/S57</f>
        <v>13094.7432999892</v>
      </c>
      <c r="J57" s="82" t="n">
        <f aca="false">1000000*D57/R57</f>
        <v>3467.14669599398</v>
      </c>
      <c r="K57" s="82" t="n">
        <f aca="false">1000000*E57/R57</f>
        <v>17534.6687716581</v>
      </c>
      <c r="L57" s="83" t="n">
        <f aca="false">1000000*D57/S57</f>
        <v>5867.17226208828</v>
      </c>
      <c r="M57" s="84" t="n">
        <f aca="false">1000000*E57/S57</f>
        <v>29672.503433687</v>
      </c>
      <c r="N57" s="85" t="n">
        <f aca="false">TableDE5a!F57</f>
        <v>5.05737723526901</v>
      </c>
      <c r="O57" s="86"/>
      <c r="P57" s="115"/>
      <c r="Q57" s="112"/>
      <c r="R57" s="89" t="n">
        <f aca="false">DataDE1c!BK80</f>
        <v>67368</v>
      </c>
      <c r="S57" s="90" t="n">
        <f aca="false">R57*(1-DataDE1c!BN80)</f>
        <v>39810.4449949434</v>
      </c>
      <c r="T57" s="91"/>
      <c r="U57" s="92" t="n">
        <v>540.9</v>
      </c>
      <c r="V57" s="24"/>
      <c r="W57" s="25"/>
      <c r="X57" s="25"/>
      <c r="Y57" s="25"/>
      <c r="Z57" s="25"/>
      <c r="AA57" s="25"/>
      <c r="AB57" s="93"/>
    </row>
    <row r="58" customFormat="false" ht="12" hidden="false" customHeight="true" outlineLevel="0" collapsed="false">
      <c r="A58" s="76" t="n">
        <v>1918</v>
      </c>
      <c r="B58" s="77" t="n">
        <f aca="false">D58*1.95583*TableDE15a!C57/TableDE15a!C$149</f>
        <v>120.259646722537</v>
      </c>
      <c r="C58" s="78" t="n">
        <f aca="false">N58*B58</f>
        <v>569.751320134726</v>
      </c>
      <c r="D58" s="79" t="n">
        <f aca="false">D57*DataDE1c!C81/DataDE1c!C80</f>
        <v>227.32489774176</v>
      </c>
      <c r="E58" s="80" t="n">
        <f aca="false">D58*N58</f>
        <v>1076.99185984377</v>
      </c>
      <c r="F58" s="81" t="n">
        <f aca="false">1000000*B58/R58</f>
        <v>1799.99770580498</v>
      </c>
      <c r="G58" s="82" t="n">
        <f aca="false">1000000*C58/R58</f>
        <v>8527.80709965015</v>
      </c>
      <c r="H58" s="83" t="n">
        <f aca="false">1000000*B58/S58</f>
        <v>3016.90261797405</v>
      </c>
      <c r="I58" s="84" t="n">
        <f aca="false">1000000*C58/S58</f>
        <v>14293.1090864955</v>
      </c>
      <c r="J58" s="82" t="n">
        <f aca="false">1000000*D58/R58</f>
        <v>3402.50703838828</v>
      </c>
      <c r="K58" s="82" t="n">
        <f aca="false">1000000*E58/R58</f>
        <v>16119.9781449726</v>
      </c>
      <c r="L58" s="83" t="n">
        <f aca="false">1000000*D58/S58</f>
        <v>5702.80304173948</v>
      </c>
      <c r="M58" s="84" t="n">
        <f aca="false">1000000*E58/S58</f>
        <v>27018.0368066099</v>
      </c>
      <c r="N58" s="85" t="n">
        <f aca="false">TableDE5a!F58</f>
        <v>4.73767664933573</v>
      </c>
      <c r="O58" s="86"/>
      <c r="P58" s="115"/>
      <c r="Q58" s="112"/>
      <c r="R58" s="89" t="n">
        <f aca="false">DataDE1c!BK81</f>
        <v>66811</v>
      </c>
      <c r="S58" s="90" t="n">
        <f aca="false">R58*(1-DataDE1c!BN81)</f>
        <v>39861.958422541</v>
      </c>
      <c r="T58" s="91"/>
      <c r="U58" s="92" t="n">
        <v>540.9</v>
      </c>
      <c r="V58" s="24"/>
      <c r="W58" s="25"/>
      <c r="X58" s="25"/>
      <c r="Y58" s="25"/>
      <c r="Z58" s="25"/>
      <c r="AA58" s="25"/>
      <c r="AB58" s="93"/>
    </row>
    <row r="59" customFormat="false" ht="12" hidden="false" customHeight="true" outlineLevel="0" collapsed="false">
      <c r="A59" s="94" t="n">
        <v>1919</v>
      </c>
      <c r="B59" s="95" t="n">
        <f aca="false">D59*1.95583*TableDE15a!C58/TableDE15a!C$149</f>
        <v>146.67191022419</v>
      </c>
      <c r="C59" s="96" t="n">
        <f aca="false">N59*B59</f>
        <v>647.711881878782</v>
      </c>
      <c r="D59" s="97" t="n">
        <f aca="false">D58*DataDE1c!C82/DataDE1c!C81</f>
        <v>202.168765662112</v>
      </c>
      <c r="E59" s="98" t="n">
        <f aca="false">D59*N59</f>
        <v>892.789297309641</v>
      </c>
      <c r="F59" s="99" t="n">
        <f aca="false">1000000*B59/R59</f>
        <v>2331.93809282143</v>
      </c>
      <c r="G59" s="100" t="n">
        <f aca="false">1000000*C59/R59</f>
        <v>10297.9773578832</v>
      </c>
      <c r="H59" s="101" t="n">
        <f aca="false">1000000*B59/S59</f>
        <v>3871.49482132002</v>
      </c>
      <c r="I59" s="102" t="n">
        <f aca="false">1000000*C59/S59</f>
        <v>17096.7514677366</v>
      </c>
      <c r="J59" s="100" t="n">
        <f aca="false">1000000*D59/R59</f>
        <v>3214.28312418894</v>
      </c>
      <c r="K59" s="100" t="n">
        <f aca="false">1000000*E59/R59</f>
        <v>14194.4655120219</v>
      </c>
      <c r="L59" s="101" t="n">
        <f aca="false">1000000*D59/S59</f>
        <v>5336.36828004196</v>
      </c>
      <c r="M59" s="102" t="n">
        <f aca="false">1000000*E59/S59</f>
        <v>23565.7198149327</v>
      </c>
      <c r="N59" s="103" t="n">
        <f aca="false">TableDE5a!F59</f>
        <v>4.41605949556904</v>
      </c>
      <c r="O59" s="104"/>
      <c r="P59" s="116"/>
      <c r="Q59" s="117"/>
      <c r="R59" s="107" t="n">
        <f aca="false">DataDE1c!BK82</f>
        <v>62897</v>
      </c>
      <c r="S59" s="108" t="n">
        <f aca="false">R59*(1-DataDE1c!BN82)</f>
        <v>37885.0849590393</v>
      </c>
      <c r="T59" s="109"/>
      <c r="U59" s="92"/>
      <c r="V59" s="24"/>
      <c r="W59" s="25"/>
      <c r="X59" s="25"/>
      <c r="Y59" s="25"/>
      <c r="Z59" s="25"/>
      <c r="AA59" s="25"/>
      <c r="AB59" s="93"/>
    </row>
    <row r="60" customFormat="false" ht="12" hidden="false" customHeight="true" outlineLevel="0" collapsed="false">
      <c r="A60" s="76" t="n">
        <v>1920</v>
      </c>
      <c r="B60" s="77" t="n">
        <f aca="false">D60*1.95583*TableDE15a!C59/TableDE15a!C$149</f>
        <v>402.746879823619</v>
      </c>
      <c r="C60" s="78" t="n">
        <f aca="false">N60*B60</f>
        <v>1343.93153406895</v>
      </c>
      <c r="D60" s="79" t="n">
        <f aca="false">D59*DataDE1c!C83/DataDE1c!C82</f>
        <v>226.217066416274</v>
      </c>
      <c r="E60" s="80" t="n">
        <f aca="false">D60*N60</f>
        <v>754.866801785145</v>
      </c>
      <c r="F60" s="81" t="n">
        <f aca="false">1000000*B60/R60</f>
        <v>6592.68095962709</v>
      </c>
      <c r="G60" s="82" t="n">
        <f aca="false">1000000*C60/R60</f>
        <v>21999.2066470609</v>
      </c>
      <c r="H60" s="83" t="n">
        <f aca="false">1000000*B60/S60</f>
        <v>10842.6368550655</v>
      </c>
      <c r="I60" s="84" t="n">
        <f aca="false">1000000*C60/S60</f>
        <v>36180.9422045984</v>
      </c>
      <c r="J60" s="82" t="n">
        <f aca="false">1000000*D60/R60</f>
        <v>3703.01303676992</v>
      </c>
      <c r="K60" s="82" t="n">
        <f aca="false">1000000*E60/R60</f>
        <v>12356.6345029489</v>
      </c>
      <c r="L60" s="83" t="n">
        <f aca="false">1000000*D60/S60</f>
        <v>6090.15146844609</v>
      </c>
      <c r="M60" s="84" t="n">
        <f aca="false">1000000*E60/S60</f>
        <v>20322.3091617383</v>
      </c>
      <c r="N60" s="85" t="n">
        <f aca="false">TableDE5a!F60</f>
        <v>3.33691358368194</v>
      </c>
      <c r="O60" s="118"/>
      <c r="P60" s="115"/>
      <c r="Q60" s="112"/>
      <c r="R60" s="89" t="n">
        <f aca="false">DataDE1c!BK83</f>
        <v>61090</v>
      </c>
      <c r="S60" s="90" t="n">
        <f aca="false">R60*(1-DataDE1c!BN83)</f>
        <v>37144.7356586016</v>
      </c>
      <c r="T60" s="91"/>
      <c r="U60" s="110"/>
      <c r="V60" s="24"/>
      <c r="W60" s="25"/>
      <c r="X60" s="25"/>
      <c r="Y60" s="25"/>
      <c r="Z60" s="25"/>
      <c r="AA60" s="25"/>
      <c r="AB60" s="93"/>
    </row>
    <row r="61" customFormat="false" ht="12" hidden="false" customHeight="true" outlineLevel="0" collapsed="false">
      <c r="A61" s="76" t="n">
        <v>1921</v>
      </c>
      <c r="B61" s="81" t="n">
        <f aca="false">D61*1.95583*TableDE15a!C60/TableDE15a!C$149</f>
        <v>561.34927634528</v>
      </c>
      <c r="C61" s="82" t="n">
        <f aca="false">N61*B61</f>
        <v>1602.55668454286</v>
      </c>
      <c r="D61" s="79" t="n">
        <f aca="false">D60*DataDE1c!C84/DataDE1c!C83</f>
        <v>239.808902631306</v>
      </c>
      <c r="E61" s="80" t="n">
        <f aca="false">D61*N61</f>
        <v>684.613619575249</v>
      </c>
      <c r="F61" s="81" t="n">
        <f aca="false">1000000*B61/R61</f>
        <v>9089.64613477468</v>
      </c>
      <c r="G61" s="82" t="n">
        <f aca="false">1000000*C61/R61</f>
        <v>25949.3933407203</v>
      </c>
      <c r="H61" s="83" t="n">
        <f aca="false">1000000*B61/S61</f>
        <v>14810.4806576031</v>
      </c>
      <c r="I61" s="84" t="n">
        <f aca="false">1000000*C61/S61</f>
        <v>42281.4026476729</v>
      </c>
      <c r="J61" s="82" t="n">
        <f aca="false">1000000*D61/R61</f>
        <v>3883.10479186661</v>
      </c>
      <c r="K61" s="82" t="n">
        <f aca="false">1000000*E61/R61</f>
        <v>11085.6035684254</v>
      </c>
      <c r="L61" s="83" t="n">
        <f aca="false">1000000*D61/S61</f>
        <v>6327.05031182293</v>
      </c>
      <c r="M61" s="84" t="n">
        <f aca="false">1000000*E61/S61</f>
        <v>18062.6522522035</v>
      </c>
      <c r="N61" s="85" t="n">
        <f aca="false">TableDE5a!F61</f>
        <v>2.85482987521863</v>
      </c>
      <c r="O61" s="118"/>
      <c r="P61" s="115"/>
      <c r="Q61" s="112"/>
      <c r="R61" s="89" t="n">
        <f aca="false">DataDE1c!BK84</f>
        <v>61757</v>
      </c>
      <c r="S61" s="90" t="n">
        <f aca="false">R61*(1-DataDE1c!BN84)</f>
        <v>37902.1646442722</v>
      </c>
      <c r="T61" s="91"/>
      <c r="U61" s="92"/>
      <c r="V61" s="24"/>
      <c r="W61" s="25"/>
      <c r="X61" s="25"/>
      <c r="Y61" s="25"/>
      <c r="Z61" s="25"/>
      <c r="AA61" s="25"/>
      <c r="AB61" s="93"/>
    </row>
    <row r="62" customFormat="false" ht="12" hidden="false" customHeight="true" outlineLevel="0" collapsed="false">
      <c r="A62" s="76" t="n">
        <v>1922</v>
      </c>
      <c r="B62" s="81" t="n">
        <f aca="false">D62*1.95583*TableDE15a!C61/TableDE15a!C$149</f>
        <v>10728.3000506509</v>
      </c>
      <c r="C62" s="82" t="n">
        <f aca="false">N62*B62</f>
        <v>25382.0252047664</v>
      </c>
      <c r="D62" s="79" t="n">
        <f aca="false">D61*DataDE1c!C85/DataDE1c!C84</f>
        <v>254.132325570715</v>
      </c>
      <c r="E62" s="80" t="n">
        <f aca="false">D62*N62</f>
        <v>601.250250508276</v>
      </c>
      <c r="F62" s="81" t="n">
        <f aca="false">1000000*B62/R62</f>
        <v>174975.943937679</v>
      </c>
      <c r="G62" s="119" t="n">
        <f aca="false">1000000*C62/R62</f>
        <v>413974.609051367</v>
      </c>
      <c r="H62" s="83" t="n">
        <f aca="false">1000000*B62/S62</f>
        <v>282479.722569398</v>
      </c>
      <c r="I62" s="120" t="n">
        <f aca="false">1000000*C62/S62</f>
        <v>668317.198833089</v>
      </c>
      <c r="J62" s="82" t="n">
        <f aca="false">1000000*D62/R62</f>
        <v>4144.83593317429</v>
      </c>
      <c r="K62" s="82" t="n">
        <f aca="false">1000000*E62/R62</f>
        <v>9806.24419793969</v>
      </c>
      <c r="L62" s="83" t="n">
        <f aca="false">1000000*D62/S62</f>
        <v>6691.38898839581</v>
      </c>
      <c r="M62" s="84" t="n">
        <f aca="false">1000000*E62/S62</f>
        <v>15831.1198565009</v>
      </c>
      <c r="N62" s="85" t="n">
        <f aca="false">TableDE5a!F62</f>
        <v>2.36589441802819</v>
      </c>
      <c r="O62" s="118"/>
      <c r="P62" s="115"/>
      <c r="Q62" s="112"/>
      <c r="R62" s="89" t="n">
        <f aca="false">DataDE1c!BK85</f>
        <v>61313</v>
      </c>
      <c r="S62" s="90" t="n">
        <f aca="false">R62*(1-DataDE1c!BN85)</f>
        <v>37979.0094420502</v>
      </c>
      <c r="T62" s="91"/>
      <c r="U62" s="92"/>
      <c r="V62" s="24"/>
      <c r="W62" s="25"/>
      <c r="X62" s="25"/>
      <c r="Y62" s="25"/>
      <c r="Z62" s="25"/>
      <c r="AA62" s="25"/>
      <c r="AB62" s="93"/>
    </row>
    <row r="63" customFormat="false" ht="12" hidden="false" customHeight="true" outlineLevel="0" collapsed="false">
      <c r="A63" s="76" t="n">
        <v>1923</v>
      </c>
      <c r="B63" s="121" t="n">
        <f aca="false">D63*1.95583*TableDE15a!C62/TableDE15a!C$149</f>
        <v>2645468237748.74</v>
      </c>
      <c r="C63" s="119" t="n">
        <f aca="false">N63*B63</f>
        <v>6358065027735.45</v>
      </c>
      <c r="D63" s="79" t="n">
        <f aca="false">D62*DataDE1c!C86/DataDE1c!C85</f>
        <v>221.012349434278</v>
      </c>
      <c r="E63" s="80" t="n">
        <f aca="false">D63*N63</f>
        <v>531.176624835061</v>
      </c>
      <c r="F63" s="121" t="n">
        <f aca="false">1000000*B63/R63</f>
        <v>42863803716075.4</v>
      </c>
      <c r="G63" s="119" t="n">
        <f aca="false">1000000*C63/R63</f>
        <v>103018001680797</v>
      </c>
      <c r="H63" s="122" t="n">
        <f aca="false">1000000*B63/S63</f>
        <v>68568262196058.4</v>
      </c>
      <c r="I63" s="120" t="n">
        <f aca="false">1000000*C63/S63</f>
        <v>164795578968036</v>
      </c>
      <c r="J63" s="82" t="n">
        <f aca="false">1000000*D63/R63</f>
        <v>3581.00310175765</v>
      </c>
      <c r="K63" s="82" t="n">
        <f aca="false">1000000*E63/R63</f>
        <v>8606.51065872291</v>
      </c>
      <c r="L63" s="83" t="n">
        <f aca="false">1000000*D63/S63</f>
        <v>5728.45007486187</v>
      </c>
      <c r="M63" s="84" t="n">
        <f aca="false">1000000*E63/S63</f>
        <v>13767.6414195403</v>
      </c>
      <c r="N63" s="85" t="n">
        <f aca="false">TableDE5a!F63</f>
        <v>2.40337983915697</v>
      </c>
      <c r="O63" s="118"/>
      <c r="P63" s="115"/>
      <c r="Q63" s="112"/>
      <c r="R63" s="89" t="n">
        <f aca="false">DataDE1c!BK86</f>
        <v>61718</v>
      </c>
      <c r="S63" s="90" t="n">
        <f aca="false">R63*(1-DataDE1c!BN86)</f>
        <v>38581.5266862752</v>
      </c>
      <c r="T63" s="91"/>
      <c r="U63" s="92" t="n">
        <v>468.7</v>
      </c>
      <c r="V63" s="123"/>
      <c r="W63" s="25"/>
      <c r="X63" s="25"/>
      <c r="Y63" s="25"/>
      <c r="Z63" s="25"/>
      <c r="AA63" s="25"/>
      <c r="AB63" s="93"/>
    </row>
    <row r="64" customFormat="false" ht="12" hidden="false" customHeight="true" outlineLevel="0" collapsed="false">
      <c r="A64" s="76" t="n">
        <v>1924</v>
      </c>
      <c r="B64" s="77" t="n">
        <f aca="false">D64*1.95583*TableDE15a!C63/TableDE15a!C$149</f>
        <v>55.0654012640159</v>
      </c>
      <c r="C64" s="78" t="n">
        <f aca="false">N64*B64</f>
        <v>121.865265073995</v>
      </c>
      <c r="D64" s="79" t="n">
        <f aca="false">D63*DataDE1c!C87/DataDE1c!C86</f>
        <v>246.246865805824</v>
      </c>
      <c r="E64" s="80" t="n">
        <f aca="false">D64*N64</f>
        <v>544.969052911948</v>
      </c>
      <c r="F64" s="81" t="n">
        <f aca="false">1000000*B64/R64</f>
        <v>886.621496192312</v>
      </c>
      <c r="G64" s="82" t="n">
        <f aca="false">1000000*C64/R64</f>
        <v>1962.18244439427</v>
      </c>
      <c r="H64" s="83" t="n">
        <f aca="false">1000000*B64/S64</f>
        <v>1405.49813525784</v>
      </c>
      <c r="I64" s="84" t="n">
        <f aca="false">1000000*C64/S64</f>
        <v>3110.50857493944</v>
      </c>
      <c r="J64" s="82" t="n">
        <f aca="false">1000000*D64/R64</f>
        <v>3964.88102477697</v>
      </c>
      <c r="K64" s="82" t="n">
        <f aca="false">1000000*E64/R64</f>
        <v>8774.68003464903</v>
      </c>
      <c r="L64" s="83" t="n">
        <f aca="false">1000000*D64/S64</f>
        <v>6285.24450487102</v>
      </c>
      <c r="M64" s="84" t="n">
        <f aca="false">1000000*E64/S64</f>
        <v>13909.8775285146</v>
      </c>
      <c r="N64" s="85" t="n">
        <f aca="false">TableDE5a!F64</f>
        <v>2.21310046375039</v>
      </c>
      <c r="O64" s="86"/>
      <c r="P64" s="115"/>
      <c r="Q64" s="112"/>
      <c r="R64" s="89" t="n">
        <f aca="false">DataDE1c!BK87</f>
        <v>62107</v>
      </c>
      <c r="S64" s="90" t="n">
        <f aca="false">R64*(1-DataDE1c!BN87)</f>
        <v>39178.5658640621</v>
      </c>
      <c r="T64" s="91"/>
      <c r="U64" s="92" t="n">
        <v>468.7</v>
      </c>
      <c r="V64" s="24"/>
      <c r="W64" s="25"/>
      <c r="X64" s="25"/>
      <c r="Y64" s="25"/>
      <c r="Z64" s="25"/>
      <c r="AA64" s="25"/>
      <c r="AB64" s="93"/>
    </row>
    <row r="65" customFormat="false" ht="12" hidden="false" customHeight="true" outlineLevel="0" collapsed="false">
      <c r="A65" s="76" t="n">
        <v>1925</v>
      </c>
      <c r="B65" s="77" t="n">
        <f aca="false">DataDE1c!B88</f>
        <v>65.5139</v>
      </c>
      <c r="C65" s="78" t="n">
        <f aca="false">N65*B65</f>
        <v>150.751904258114</v>
      </c>
      <c r="D65" s="79" t="n">
        <f aca="false">B65*(TableDE15a!C$149/TableDE15a!C64)/1.95583</f>
        <v>267.862586258768</v>
      </c>
      <c r="E65" s="80" t="n">
        <f aca="false">D65*N65</f>
        <v>616.369884223236</v>
      </c>
      <c r="F65" s="81" t="n">
        <f aca="false">1000000*B65/R65</f>
        <v>1049.73401698446</v>
      </c>
      <c r="G65" s="82" t="n">
        <f aca="false">1000000*C65/R65</f>
        <v>2415.50880080299</v>
      </c>
      <c r="H65" s="83" t="n">
        <f aca="false">1000000*B65/S65</f>
        <v>1649.17332175182</v>
      </c>
      <c r="I65" s="84" t="n">
        <f aca="false">1000000*C65/S65</f>
        <v>3794.85908648039</v>
      </c>
      <c r="J65" s="82" t="n">
        <f aca="false">1000000*D65/R65</f>
        <v>4291.98183398122</v>
      </c>
      <c r="K65" s="82" t="n">
        <f aca="false">1000000*E65/R65</f>
        <v>9876.13978886775</v>
      </c>
      <c r="L65" s="83" t="n">
        <f aca="false">1000000*D65/S65</f>
        <v>6742.87183564719</v>
      </c>
      <c r="M65" s="84" t="n">
        <f aca="false">1000000*E65/S65</f>
        <v>15515.8030493105</v>
      </c>
      <c r="N65" s="85" t="n">
        <f aca="false">TableDE5a!F65</f>
        <v>2.30106747206493</v>
      </c>
      <c r="O65" s="86" t="n">
        <f aca="false">DataDE1c!AW88/DataDE1c!B88</f>
        <v>0.873167373641319</v>
      </c>
      <c r="P65" s="115" t="n">
        <f aca="false">O65*L65</f>
        <v>5887.65569153208</v>
      </c>
      <c r="Q65" s="112" t="n">
        <f aca="false">M65/P65</f>
        <v>2.63531087112076</v>
      </c>
      <c r="R65" s="89" t="n">
        <f aca="false">DataDE1c!BK88</f>
        <v>62410</v>
      </c>
      <c r="S65" s="90" t="n">
        <f aca="false">R65*(1-DataDE1c!BN88)</f>
        <v>39725.2969932889</v>
      </c>
      <c r="T65" s="91" t="n">
        <f aca="false">DataDE1c!BO88</f>
        <v>31033</v>
      </c>
      <c r="U65" s="92" t="n">
        <v>468.7</v>
      </c>
      <c r="V65" s="24"/>
      <c r="W65" s="25"/>
      <c r="X65" s="25"/>
      <c r="Y65" s="25"/>
      <c r="Z65" s="25"/>
      <c r="AA65" s="25"/>
      <c r="AB65" s="93"/>
    </row>
    <row r="66" customFormat="false" ht="12" hidden="false" customHeight="true" outlineLevel="0" collapsed="false">
      <c r="A66" s="76" t="n">
        <v>1926</v>
      </c>
      <c r="B66" s="77" t="n">
        <f aca="false">DataDE1c!B89</f>
        <v>67.7779154339143</v>
      </c>
      <c r="C66" s="78" t="n">
        <f aca="false">N66*B66</f>
        <v>181.084410665879</v>
      </c>
      <c r="D66" s="79" t="n">
        <f aca="false">B66*(TableDE15a!C$149/TableDE15a!C65)/1.95583</f>
        <v>269.784269314938</v>
      </c>
      <c r="E66" s="80" t="n">
        <f aca="false">D66*N66</f>
        <v>720.791206148176</v>
      </c>
      <c r="F66" s="81" t="n">
        <f aca="false">1000000*B66/R66</f>
        <v>1078.11595008374</v>
      </c>
      <c r="G66" s="82" t="n">
        <f aca="false">1000000*C66/R66</f>
        <v>2880.43664666484</v>
      </c>
      <c r="H66" s="83" t="n">
        <f aca="false">1000000*B66/S66</f>
        <v>1675.79250825753</v>
      </c>
      <c r="I66" s="84" t="n">
        <f aca="false">1000000*C66/S66</f>
        <v>4477.26810146577</v>
      </c>
      <c r="J66" s="82" t="n">
        <f aca="false">1000000*D66/R66</f>
        <v>4291.34950474713</v>
      </c>
      <c r="K66" s="82" t="n">
        <f aca="false">1000000*E66/R66</f>
        <v>11465.3348521192</v>
      </c>
      <c r="L66" s="83" t="n">
        <f aca="false">1000000*D66/S66</f>
        <v>6670.35057760841</v>
      </c>
      <c r="M66" s="84" t="n">
        <f aca="false">1000000*E66/S66</f>
        <v>17821.3876238014</v>
      </c>
      <c r="N66" s="85" t="n">
        <f aca="false">TableDE5a!F66</f>
        <v>2.6717317802794</v>
      </c>
      <c r="O66" s="86" t="n">
        <f aca="false">DataDE1c!AW89/DataDE1c!B89</f>
        <v>0.899918500141417</v>
      </c>
      <c r="P66" s="87" t="n">
        <f aca="false">O66*L66</f>
        <v>6002.7718872188</v>
      </c>
      <c r="Q66" s="112" t="n">
        <f aca="false">M66/P66</f>
        <v>2.96885971325131</v>
      </c>
      <c r="R66" s="89" t="n">
        <f aca="false">DataDE1c!BK89</f>
        <v>62867</v>
      </c>
      <c r="S66" s="90" t="n">
        <f aca="false">R66*(1-DataDE1c!BN89)</f>
        <v>40445.2908698041</v>
      </c>
      <c r="T66" s="91" t="n">
        <f aca="false">DataDE1c!BO89</f>
        <v>29852</v>
      </c>
      <c r="U66" s="92" t="n">
        <v>468.7</v>
      </c>
      <c r="V66" s="24"/>
      <c r="W66" s="25"/>
      <c r="X66" s="25"/>
      <c r="Y66" s="25"/>
      <c r="Z66" s="25"/>
      <c r="AA66" s="25"/>
      <c r="AB66" s="93"/>
    </row>
    <row r="67" customFormat="false" ht="12" hidden="false" customHeight="true" outlineLevel="0" collapsed="false">
      <c r="A67" s="76" t="n">
        <v>1927</v>
      </c>
      <c r="B67" s="77" t="n">
        <f aca="false">DataDE1c!B90</f>
        <v>76.393523741984</v>
      </c>
      <c r="C67" s="78" t="n">
        <f aca="false">N67*B67</f>
        <v>209.892</v>
      </c>
      <c r="D67" s="79" t="n">
        <f aca="false">B67*(TableDE15a!C$149/TableDE15a!C66)/1.95583</f>
        <v>297.208674881184</v>
      </c>
      <c r="E67" s="80" t="n">
        <f aca="false">D67*N67</f>
        <v>816.58392141791</v>
      </c>
      <c r="F67" s="81" t="n">
        <f aca="false">1000000*B67/R67</f>
        <v>1207.74546253907</v>
      </c>
      <c r="G67" s="82" t="n">
        <f aca="false">1000000*C67/R67</f>
        <v>3318.29320348442</v>
      </c>
      <c r="H67" s="83" t="n">
        <f aca="false">1000000*B67/S67</f>
        <v>1857.57697296119</v>
      </c>
      <c r="I67" s="84" t="n">
        <f aca="false">1000000*C67/S67</f>
        <v>5103.71202833382</v>
      </c>
      <c r="J67" s="82" t="n">
        <f aca="false">1000000*D67/R67</f>
        <v>4698.72851692701</v>
      </c>
      <c r="K67" s="82" t="n">
        <f aca="false">1000000*E67/R67</f>
        <v>12909.8054071413</v>
      </c>
      <c r="L67" s="83" t="n">
        <f aca="false">1000000*D67/S67</f>
        <v>7226.89520761275</v>
      </c>
      <c r="M67" s="84" t="n">
        <f aca="false">1000000*E67/S67</f>
        <v>19855.9696505088</v>
      </c>
      <c r="N67" s="85" t="n">
        <f aca="false">TableDE5a!F67</f>
        <v>2.74751038725353</v>
      </c>
      <c r="O67" s="86" t="n">
        <f aca="false">DataDE1c!AW90/DataDE1c!B90</f>
        <v>0.871696928458383</v>
      </c>
      <c r="P67" s="87" t="n">
        <f aca="false">O67*L67</f>
        <v>6299.66235476665</v>
      </c>
      <c r="Q67" s="112" t="n">
        <f aca="false">M67/P67</f>
        <v>3.15191013935608</v>
      </c>
      <c r="R67" s="89" t="n">
        <f aca="false">DataDE1c!BK90</f>
        <v>63253</v>
      </c>
      <c r="S67" s="90" t="n">
        <f aca="false">R67*(1-DataDE1c!BN90)</f>
        <v>41125.3610773416</v>
      </c>
      <c r="T67" s="91" t="n">
        <f aca="false">DataDE1c!BO90</f>
        <v>31963</v>
      </c>
      <c r="U67" s="92" t="n">
        <v>468.7</v>
      </c>
      <c r="V67" s="24"/>
      <c r="W67" s="25"/>
      <c r="X67" s="25"/>
      <c r="Y67" s="25"/>
      <c r="Z67" s="25"/>
      <c r="AA67" s="25"/>
      <c r="AB67" s="93"/>
    </row>
    <row r="68" customFormat="false" ht="12" hidden="false" customHeight="true" outlineLevel="0" collapsed="false">
      <c r="A68" s="76" t="n">
        <v>1928</v>
      </c>
      <c r="B68" s="77" t="n">
        <f aca="false">DataDE1c!B91</f>
        <v>81.7836226599453</v>
      </c>
      <c r="C68" s="78" t="n">
        <f aca="false">N68*B68</f>
        <v>228.947467223239</v>
      </c>
      <c r="D68" s="79" t="n">
        <f aca="false">B68*(TableDE15a!C$149/TableDE15a!C67)/1.95583</f>
        <v>307.09537833824</v>
      </c>
      <c r="E68" s="80" t="n">
        <f aca="false">D68*N68</f>
        <v>859.691791336325</v>
      </c>
      <c r="F68" s="81" t="n">
        <f aca="false">1000000*B68/R68</f>
        <v>1285.54218397223</v>
      </c>
      <c r="G68" s="82" t="n">
        <f aca="false">1000000*C68/R68</f>
        <v>3598.7844198692</v>
      </c>
      <c r="H68" s="83" t="n">
        <f aca="false">1000000*B68/S68</f>
        <v>1956.69093822134</v>
      </c>
      <c r="I68" s="84" t="n">
        <f aca="false">1000000*C68/S68</f>
        <v>5477.6178882064</v>
      </c>
      <c r="J68" s="82" t="n">
        <f aca="false">1000000*D68/R68</f>
        <v>4827.17750225157</v>
      </c>
      <c r="K68" s="82" t="n">
        <f aca="false">1000000*E68/R68</f>
        <v>13513.3419996907</v>
      </c>
      <c r="L68" s="83" t="n">
        <f aca="false">1000000*D68/S68</f>
        <v>7347.3236379193</v>
      </c>
      <c r="M68" s="84" t="n">
        <f aca="false">1000000*E68/S68</f>
        <v>20568.3128609429</v>
      </c>
      <c r="N68" s="85" t="n">
        <f aca="false">TableDE5a!F68</f>
        <v>2.7994292717406</v>
      </c>
      <c r="O68" s="86" t="n">
        <f aca="false">DataDE1c!AW91/DataDE1c!B91</f>
        <v>0.874211702473487</v>
      </c>
      <c r="P68" s="87" t="n">
        <f aca="false">O68*L68</f>
        <v>6423.11630612912</v>
      </c>
      <c r="Q68" s="112" t="n">
        <f aca="false">M68/P68</f>
        <v>3.20223266723601</v>
      </c>
      <c r="R68" s="89" t="n">
        <f aca="false">DataDE1c!BK91</f>
        <v>63618</v>
      </c>
      <c r="S68" s="90" t="n">
        <f aca="false">R68*(1-DataDE1c!BN91)</f>
        <v>41796.9036716079</v>
      </c>
      <c r="T68" s="91" t="n">
        <f aca="false">DataDE1c!BO91</f>
        <v>32531</v>
      </c>
      <c r="U68" s="92" t="n">
        <v>468.7</v>
      </c>
      <c r="V68" s="24"/>
      <c r="W68" s="25"/>
      <c r="X68" s="25"/>
      <c r="Y68" s="25"/>
      <c r="Z68" s="25"/>
      <c r="AA68" s="25"/>
      <c r="AB68" s="93"/>
    </row>
    <row r="69" customFormat="false" ht="12" hidden="false" customHeight="true" outlineLevel="0" collapsed="false">
      <c r="A69" s="94" t="n">
        <v>1929</v>
      </c>
      <c r="B69" s="95" t="n">
        <f aca="false">DataDE1c!B92</f>
        <v>81.5096417897266</v>
      </c>
      <c r="C69" s="96" t="n">
        <f aca="false">N69*B69</f>
        <v>248.287102161445</v>
      </c>
      <c r="D69" s="97" t="n">
        <f aca="false">B69*(TableDE15a!C$149/TableDE15a!C68)/1.95583</f>
        <v>300.762333439968</v>
      </c>
      <c r="E69" s="98" t="n">
        <f aca="false">D69*N69</f>
        <v>916.154292540833</v>
      </c>
      <c r="F69" s="99" t="n">
        <f aca="false">1000000*B69/R69</f>
        <v>1274.42449403869</v>
      </c>
      <c r="G69" s="100" t="n">
        <f aca="false">1000000*C69/R69</f>
        <v>3882.03355579356</v>
      </c>
      <c r="H69" s="101" t="n">
        <f aca="false">1000000*B69/S69</f>
        <v>1919.82386261356</v>
      </c>
      <c r="I69" s="102" t="n">
        <f aca="false">1000000*C69/S69</f>
        <v>5847.98918314949</v>
      </c>
      <c r="J69" s="100" t="n">
        <f aca="false">1000000*D69/R69</f>
        <v>4702.49747396679</v>
      </c>
      <c r="K69" s="100" t="n">
        <f aca="false">1000000*E69/R69</f>
        <v>14324.3111501428</v>
      </c>
      <c r="L69" s="101" t="n">
        <f aca="false">1000000*D69/S69</f>
        <v>7083.95586135629</v>
      </c>
      <c r="M69" s="102" t="n">
        <f aca="false">1000000*E69/S69</f>
        <v>21578.4885571343</v>
      </c>
      <c r="N69" s="103" t="n">
        <f aca="false">TableDE5a!F69</f>
        <v>3.04610714401076</v>
      </c>
      <c r="O69" s="104" t="n">
        <f aca="false">DataDE1c!AW92/DataDE1c!B92</f>
        <v>0.881598770675214</v>
      </c>
      <c r="P69" s="105" t="n">
        <f aca="false">O69*L69</f>
        <v>6245.20677888917</v>
      </c>
      <c r="Q69" s="124" t="n">
        <f aca="false">M69/P69</f>
        <v>3.45520802130629</v>
      </c>
      <c r="R69" s="107" t="n">
        <f aca="false">DataDE1c!BK92</f>
        <v>63958</v>
      </c>
      <c r="S69" s="108" t="n">
        <f aca="false">R69*(1-DataDE1c!BN92)</f>
        <v>42456.8333465568</v>
      </c>
      <c r="T69" s="109" t="n">
        <f aca="false">DataDE1c!BO92</f>
        <v>32266</v>
      </c>
      <c r="U69" s="92" t="n">
        <v>468.7</v>
      </c>
      <c r="V69" s="24"/>
      <c r="W69" s="25"/>
      <c r="X69" s="25"/>
      <c r="Y69" s="25"/>
      <c r="Z69" s="25"/>
      <c r="AA69" s="25"/>
      <c r="AB69" s="93"/>
    </row>
    <row r="70" customFormat="false" ht="12" hidden="false" customHeight="true" outlineLevel="0" collapsed="false">
      <c r="A70" s="76" t="n">
        <v>1930</v>
      </c>
      <c r="B70" s="77" t="n">
        <f aca="false">DataDE1c!B93</f>
        <v>75.0535904259243</v>
      </c>
      <c r="C70" s="78" t="n">
        <f aca="false">N70*B70</f>
        <v>240.563377629116</v>
      </c>
      <c r="D70" s="79" t="n">
        <f aca="false">B70*(TableDE15a!C$149/TableDE15a!C69)/1.95583</f>
        <v>277.650815851833</v>
      </c>
      <c r="E70" s="80" t="n">
        <f aca="false">D70*N70</f>
        <v>889.932349455272</v>
      </c>
      <c r="F70" s="81" t="n">
        <f aca="false">1000000*B70/R70</f>
        <v>1167.33168093824</v>
      </c>
      <c r="G70" s="82" t="n">
        <f aca="false">1000000*C70/R70</f>
        <v>3741.55653828627</v>
      </c>
      <c r="H70" s="83" t="n">
        <f aca="false">1000000*B70/S70</f>
        <v>1740.59944103874</v>
      </c>
      <c r="I70" s="84" t="n">
        <f aca="false">1000000*C70/S70</f>
        <v>5579.00665723512</v>
      </c>
      <c r="J70" s="82" t="n">
        <f aca="false">1000000*D70/R70</f>
        <v>4318.38892373953</v>
      </c>
      <c r="K70" s="82" t="n">
        <f aca="false">1000000*E70/R70</f>
        <v>13841.3927903456</v>
      </c>
      <c r="L70" s="83" t="n">
        <f aca="false">1000000*D70/S70</f>
        <v>6439.11706466104</v>
      </c>
      <c r="M70" s="84" t="n">
        <f aca="false">1000000*E70/S70</f>
        <v>20638.7961086681</v>
      </c>
      <c r="N70" s="85" t="n">
        <f aca="false">TableDE5a!F70</f>
        <v>3.20522144595527</v>
      </c>
      <c r="O70" s="86" t="n">
        <f aca="false">DataDE1c!AW93/DataDE1c!B93</f>
        <v>0.886514550768483</v>
      </c>
      <c r="P70" s="87" t="n">
        <f aca="false">O70*L70</f>
        <v>5708.37097192366</v>
      </c>
      <c r="Q70" s="112" t="n">
        <f aca="false">M70/P70</f>
        <v>3.61553168323836</v>
      </c>
      <c r="R70" s="89" t="n">
        <f aca="false">DataDE1c!BK93</f>
        <v>64295</v>
      </c>
      <c r="S70" s="90" t="n">
        <f aca="false">R70*(1-DataDE1c!BN93)</f>
        <v>43119.3924669622</v>
      </c>
      <c r="T70" s="91" t="n">
        <f aca="false">DataDE1c!BO93</f>
        <v>30483</v>
      </c>
      <c r="U70" s="110" t="n">
        <v>468.7</v>
      </c>
      <c r="V70" s="24"/>
      <c r="W70" s="25"/>
      <c r="X70" s="25"/>
      <c r="Y70" s="25"/>
      <c r="Z70" s="25"/>
      <c r="AA70" s="25"/>
      <c r="AB70" s="93"/>
    </row>
    <row r="71" customFormat="false" ht="12" hidden="false" customHeight="true" outlineLevel="0" collapsed="false">
      <c r="A71" s="76" t="n">
        <v>1931</v>
      </c>
      <c r="B71" s="77" t="n">
        <f aca="false">DataDE1c!B94</f>
        <v>61.589964635664</v>
      </c>
      <c r="C71" s="78" t="n">
        <f aca="false">N71*B71</f>
        <v>207.325467654126</v>
      </c>
      <c r="D71" s="79" t="n">
        <f aca="false">B71*(TableDE15a!C$149/TableDE15a!C70)/1.95583</f>
        <v>241.187094346391</v>
      </c>
      <c r="E71" s="80" t="n">
        <f aca="false">D71*N71</f>
        <v>811.889200185548</v>
      </c>
      <c r="F71" s="81" t="n">
        <f aca="false">1000000*B71/R71</f>
        <v>952.947728422335</v>
      </c>
      <c r="G71" s="82" t="n">
        <f aca="false">1000000*C71/R71</f>
        <v>3207.83320162346</v>
      </c>
      <c r="H71" s="83" t="n">
        <f aca="false">1000000*B71/S71</f>
        <v>1406.61720852868</v>
      </c>
      <c r="I71" s="84" t="n">
        <f aca="false">1000000*C71/S71</f>
        <v>4734.98519269616</v>
      </c>
      <c r="J71" s="82" t="n">
        <f aca="false">1000000*D71/R71</f>
        <v>3731.75557157388</v>
      </c>
      <c r="K71" s="82" t="n">
        <f aca="false">1000000*E71/R71</f>
        <v>12561.9161112399</v>
      </c>
      <c r="L71" s="83" t="n">
        <f aca="false">1000000*D71/S71</f>
        <v>5508.33109565085</v>
      </c>
      <c r="M71" s="84" t="n">
        <f aca="false">1000000*E71/S71</f>
        <v>18542.2629669491</v>
      </c>
      <c r="N71" s="85" t="n">
        <f aca="false">TableDE5a!F71</f>
        <v>3.36622157328003</v>
      </c>
      <c r="O71" s="86" t="n">
        <f aca="false">DataDE1c!AW94/DataDE1c!B94</f>
        <v>0.901874198639101</v>
      </c>
      <c r="P71" s="87" t="n">
        <f aca="false">O71*L71</f>
        <v>4967.82169272895</v>
      </c>
      <c r="Q71" s="112" t="n">
        <f aca="false">M71/P71</f>
        <v>3.73247352941191</v>
      </c>
      <c r="R71" s="89" t="n">
        <f aca="false">DataDE1c!BK94</f>
        <v>64631</v>
      </c>
      <c r="S71" s="90" t="n">
        <f aca="false">R71*(1-DataDE1c!BN94)</f>
        <v>43785.8745522438</v>
      </c>
      <c r="T71" s="91" t="n">
        <f aca="false">DataDE1c!BO94</f>
        <v>28115</v>
      </c>
      <c r="U71" s="92" t="n">
        <v>468.7</v>
      </c>
      <c r="V71" s="24"/>
      <c r="W71" s="25"/>
      <c r="X71" s="25"/>
      <c r="Y71" s="25"/>
      <c r="Z71" s="25"/>
      <c r="AA71" s="25"/>
      <c r="AB71" s="93"/>
    </row>
    <row r="72" customFormat="false" ht="12" hidden="false" customHeight="true" outlineLevel="0" collapsed="false">
      <c r="A72" s="76" t="n">
        <v>1932</v>
      </c>
      <c r="B72" s="77" t="n">
        <f aca="false">DataDE1c!B95</f>
        <v>49.7167544944325</v>
      </c>
      <c r="C72" s="78" t="n">
        <f aca="false">N72*B72</f>
        <v>173.313628253875</v>
      </c>
      <c r="D72" s="79" t="n">
        <f aca="false">B72*(TableDE15a!C$149/TableDE15a!C71)/1.95583</f>
        <v>220.045633489812</v>
      </c>
      <c r="E72" s="80" t="n">
        <f aca="false">D72*N72</f>
        <v>767.083602084531</v>
      </c>
      <c r="F72" s="81" t="n">
        <f aca="false">1000000*B72/R72</f>
        <v>765.910070471292</v>
      </c>
      <c r="G72" s="82" t="n">
        <f aca="false">1000000*C72/R72</f>
        <v>2669.97825138456</v>
      </c>
      <c r="H72" s="83" t="n">
        <f aca="false">1000000*B72/S72</f>
        <v>1119.26002360171</v>
      </c>
      <c r="I72" s="84" t="n">
        <f aca="false">1000000*C72/S72</f>
        <v>3901.76345223124</v>
      </c>
      <c r="J72" s="82" t="n">
        <f aca="false">1000000*D72/R72</f>
        <v>3389.90685065645</v>
      </c>
      <c r="K72" s="82" t="n">
        <f aca="false">1000000*E72/R72</f>
        <v>11817.2849717237</v>
      </c>
      <c r="L72" s="83" t="n">
        <f aca="false">1000000*D72/S72</f>
        <v>4953.82861246184</v>
      </c>
      <c r="M72" s="84" t="n">
        <f aca="false">1000000*E72/S72</f>
        <v>17269.1483847717</v>
      </c>
      <c r="N72" s="85" t="n">
        <f aca="false">TableDE5a!F72</f>
        <v>3.48602055818593</v>
      </c>
      <c r="O72" s="86" t="n">
        <f aca="false">DataDE1c!AW95/DataDE1c!B95</f>
        <v>0.91340837634696</v>
      </c>
      <c r="P72" s="87" t="n">
        <f aca="false">O72*L72</f>
        <v>4524.86854960988</v>
      </c>
      <c r="Q72" s="112" t="n">
        <f aca="false">M72/P72</f>
        <v>3.81649725189488</v>
      </c>
      <c r="R72" s="89" t="n">
        <f aca="false">DataDE1c!BK95</f>
        <v>64912</v>
      </c>
      <c r="S72" s="90" t="n">
        <f aca="false">R72*(1-DataDE1c!BN95)</f>
        <v>44419.3069046163</v>
      </c>
      <c r="T72" s="91" t="n">
        <f aca="false">DataDE1c!BO95</f>
        <v>26113</v>
      </c>
      <c r="U72" s="92" t="n">
        <v>468.7</v>
      </c>
      <c r="V72" s="24"/>
      <c r="W72" s="25"/>
      <c r="X72" s="25"/>
      <c r="Y72" s="25"/>
      <c r="Z72" s="25"/>
      <c r="AA72" s="25"/>
      <c r="AB72" s="93"/>
    </row>
    <row r="73" customFormat="false" ht="12" hidden="false" customHeight="true" outlineLevel="0" collapsed="false">
      <c r="A73" s="76" t="n">
        <v>1933</v>
      </c>
      <c r="B73" s="77" t="n">
        <f aca="false">DataDE1c!B96</f>
        <v>51.2088000306728</v>
      </c>
      <c r="C73" s="78" t="n">
        <f aca="false">N73*B73</f>
        <v>169.638020411436</v>
      </c>
      <c r="D73" s="79" t="n">
        <f aca="false">B73*(TableDE15a!C$149/TableDE15a!C72)/1.95583</f>
        <v>237.161991673149</v>
      </c>
      <c r="E73" s="80" t="n">
        <f aca="false">D73*N73</f>
        <v>785.640178253909</v>
      </c>
      <c r="F73" s="81" t="n">
        <f aca="false">1000000*B73/R73</f>
        <v>785.110004303147</v>
      </c>
      <c r="G73" s="82" t="n">
        <f aca="false">1000000*C73/R73</f>
        <v>2600.81288480546</v>
      </c>
      <c r="H73" s="83" t="n">
        <f aca="false">1000000*B73/S73</f>
        <v>1135.98683981362</v>
      </c>
      <c r="I73" s="84" t="n">
        <f aca="false">1000000*C73/S73</f>
        <v>3763.15318078141</v>
      </c>
      <c r="J73" s="82" t="n">
        <f aca="false">1000000*D73/R73</f>
        <v>3636.05966536066</v>
      </c>
      <c r="K73" s="82" t="n">
        <f aca="false">1000000*E73/R73</f>
        <v>12045.0774741879</v>
      </c>
      <c r="L73" s="83" t="n">
        <f aca="false">1000000*D73/S73</f>
        <v>5261.06648238806</v>
      </c>
      <c r="M73" s="84" t="n">
        <f aca="false">1000000*E73/S73</f>
        <v>17428.1940367807</v>
      </c>
      <c r="N73" s="85" t="n">
        <f aca="false">TableDE5a!F73</f>
        <v>3.31267321846689</v>
      </c>
      <c r="O73" s="86" t="n">
        <f aca="false">DataDE1c!AW96/DataDE1c!B96</f>
        <v>0.89933761330894</v>
      </c>
      <c r="P73" s="87" t="n">
        <f aca="false">O73*L73</f>
        <v>4731.47497373053</v>
      </c>
      <c r="Q73" s="112" t="n">
        <f aca="false">M73/P73</f>
        <v>3.68345899186685</v>
      </c>
      <c r="R73" s="89" t="n">
        <f aca="false">DataDE1c!BK96</f>
        <v>65225</v>
      </c>
      <c r="S73" s="90" t="n">
        <f aca="false">R73*(1-DataDE1c!BN96)</f>
        <v>45078.6912628975</v>
      </c>
      <c r="T73" s="91" t="n">
        <f aca="false">DataDE1c!BO96</f>
        <v>26687</v>
      </c>
      <c r="U73" s="92" t="n">
        <v>468.8</v>
      </c>
      <c r="V73" s="24"/>
      <c r="W73" s="25"/>
      <c r="X73" s="25"/>
      <c r="Y73" s="25"/>
      <c r="Z73" s="25"/>
      <c r="AA73" s="25"/>
      <c r="AB73" s="93"/>
    </row>
    <row r="74" customFormat="false" ht="12" hidden="false" customHeight="true" outlineLevel="0" collapsed="false">
      <c r="A74" s="76" t="n">
        <v>1934</v>
      </c>
      <c r="B74" s="77" t="n">
        <f aca="false">DataDE1c!B97</f>
        <v>57.9260605695827</v>
      </c>
      <c r="C74" s="78" t="n">
        <f aca="false">N74*B74</f>
        <v>176.602906195027</v>
      </c>
      <c r="D74" s="79" t="n">
        <f aca="false">B74*(TableDE15a!C$149/TableDE15a!C73)/1.95583</f>
        <v>267.548477903427</v>
      </c>
      <c r="E74" s="80" t="n">
        <f aca="false">D74*N74</f>
        <v>815.69225114218</v>
      </c>
      <c r="F74" s="81" t="n">
        <f aca="false">1000000*B74/R74</f>
        <v>887.850965920983</v>
      </c>
      <c r="G74" s="82" t="n">
        <f aca="false">1000000*C74/R74</f>
        <v>2706.84833920922</v>
      </c>
      <c r="H74" s="83" t="n">
        <f aca="false">1000000*B74/S74</f>
        <v>1284.43982858012</v>
      </c>
      <c r="I74" s="84" t="n">
        <f aca="false">1000000*C74/S74</f>
        <v>3915.95431019185</v>
      </c>
      <c r="J74" s="82" t="n">
        <f aca="false">1000000*D74/R74</f>
        <v>4100.79974715183</v>
      </c>
      <c r="K74" s="82" t="n">
        <f aca="false">1000000*E74/R74</f>
        <v>12502.371919473</v>
      </c>
      <c r="L74" s="83" t="n">
        <f aca="false">1000000*D74/S74</f>
        <v>5932.56157446345</v>
      </c>
      <c r="M74" s="84" t="n">
        <f aca="false">1000000*E74/S74</f>
        <v>18086.9820065297</v>
      </c>
      <c r="N74" s="85" t="n">
        <f aca="false">TableDE5a!F74</f>
        <v>3.04876431192634</v>
      </c>
      <c r="O74" s="86" t="n">
        <f aca="false">DataDE1c!AW97/DataDE1c!B97</f>
        <v>0.879472891804957</v>
      </c>
      <c r="P74" s="87" t="n">
        <f aca="false">O74*L74</f>
        <v>5217.52708370434</v>
      </c>
      <c r="Q74" s="112" t="n">
        <f aca="false">M74/P74</f>
        <v>3.46658133563311</v>
      </c>
      <c r="R74" s="89" t="n">
        <f aca="false">DataDE1c!BK97</f>
        <v>65243</v>
      </c>
      <c r="S74" s="90" t="n">
        <f aca="false">R74*(1-DataDE1c!BN97)</f>
        <v>45098.3061103119</v>
      </c>
      <c r="T74" s="91" t="n">
        <f aca="false">DataDE1c!BO97</f>
        <v>28811</v>
      </c>
      <c r="U74" s="92" t="n">
        <v>468.8</v>
      </c>
      <c r="V74" s="24"/>
      <c r="W74" s="25"/>
      <c r="X74" s="25"/>
      <c r="Y74" s="25"/>
      <c r="Z74" s="25"/>
      <c r="AA74" s="25"/>
      <c r="AB74" s="93"/>
    </row>
    <row r="75" customFormat="false" ht="12" hidden="false" customHeight="true" outlineLevel="0" collapsed="false">
      <c r="A75" s="76" t="n">
        <v>1935</v>
      </c>
      <c r="B75" s="77" t="n">
        <f aca="false">DataDE1c!B98</f>
        <v>64.7971041536662</v>
      </c>
      <c r="C75" s="78" t="n">
        <f aca="false">N75*B75</f>
        <v>188.233123331039</v>
      </c>
      <c r="D75" s="79" t="n">
        <f aca="false">B75*(TableDE15a!C$149/TableDE15a!C74)/1.95583</f>
        <v>300.598033184044</v>
      </c>
      <c r="E75" s="80" t="n">
        <f aca="false">D75*N75</f>
        <v>873.22585464953</v>
      </c>
      <c r="F75" s="81" t="n">
        <f aca="false">1000000*B75/R75</f>
        <v>968.986618319843</v>
      </c>
      <c r="G75" s="82" t="n">
        <f aca="false">1000000*C75/R75</f>
        <v>2814.86927563576</v>
      </c>
      <c r="H75" s="83" t="n">
        <f aca="false">1000000*B75/S75</f>
        <v>1401.59450628876</v>
      </c>
      <c r="I75" s="84" t="n">
        <f aca="false">1000000*C75/S75</f>
        <v>4071.57873809753</v>
      </c>
      <c r="J75" s="82" t="n">
        <f aca="false">1000000*D75/R75</f>
        <v>4495.19273203696</v>
      </c>
      <c r="K75" s="82" t="n">
        <f aca="false">1000000*E75/R75</f>
        <v>13058.3639342844</v>
      </c>
      <c r="L75" s="83" t="n">
        <f aca="false">1000000*D75/S75</f>
        <v>6502.08921239459</v>
      </c>
      <c r="M75" s="84" t="n">
        <f aca="false">1000000*E75/S75</f>
        <v>18888.321887404</v>
      </c>
      <c r="N75" s="85" t="n">
        <f aca="false">TableDE5a!F75</f>
        <v>2.904961969977</v>
      </c>
      <c r="O75" s="86" t="n">
        <f aca="false">DataDE1c!AW98/DataDE1c!B98</f>
        <v>0.867744025514737</v>
      </c>
      <c r="P75" s="87" t="n">
        <f aca="false">O75*L75</f>
        <v>5642.14906741923</v>
      </c>
      <c r="Q75" s="112" t="n">
        <f aca="false">M75/P75</f>
        <v>3.34771762704307</v>
      </c>
      <c r="R75" s="89" t="n">
        <f aca="false">DataDE1c!BK98</f>
        <v>66871</v>
      </c>
      <c r="S75" s="90" t="n">
        <f aca="false">R75*(1-DataDE1c!BN98)</f>
        <v>46230.991818911</v>
      </c>
      <c r="T75" s="91" t="n">
        <f aca="false">DataDE1c!BO98</f>
        <v>30086</v>
      </c>
      <c r="U75" s="92" t="n">
        <v>470.4</v>
      </c>
      <c r="V75" s="24"/>
      <c r="W75" s="25"/>
      <c r="X75" s="25"/>
      <c r="Y75" s="25"/>
      <c r="Z75" s="25"/>
      <c r="AA75" s="25"/>
      <c r="AB75" s="93"/>
    </row>
    <row r="76" customFormat="false" ht="12" hidden="false" customHeight="true" outlineLevel="0" collapsed="false">
      <c r="A76" s="76" t="n">
        <v>1936</v>
      </c>
      <c r="B76" s="77" t="n">
        <f aca="false">DataDE1c!B99</f>
        <v>72.1712546618537</v>
      </c>
      <c r="C76" s="78" t="n">
        <f aca="false">N76*B76</f>
        <v>200.055774710242</v>
      </c>
      <c r="D76" s="79" t="n">
        <f aca="false">B76*(TableDE15a!C$149/TableDE15a!C75)/1.95583</f>
        <v>336.294476637515</v>
      </c>
      <c r="E76" s="80" t="n">
        <f aca="false">D76*N76</f>
        <v>932.194574830544</v>
      </c>
      <c r="F76" s="81" t="n">
        <f aca="false">1000000*B76/R76</f>
        <v>1071.60098385802</v>
      </c>
      <c r="G76" s="82" t="n">
        <f aca="false">1000000*C76/R76</f>
        <v>2970.43422634697</v>
      </c>
      <c r="H76" s="83" t="n">
        <f aca="false">1000000*B76/S76</f>
        <v>1549.77494831452</v>
      </c>
      <c r="I76" s="84" t="n">
        <f aca="false">1000000*C76/S76</f>
        <v>4295.91295543127</v>
      </c>
      <c r="J76" s="82" t="n">
        <f aca="false">1000000*D76/R76</f>
        <v>4993.31061541397</v>
      </c>
      <c r="K76" s="82" t="n">
        <f aca="false">1000000*E76/R76</f>
        <v>13841.2533939709</v>
      </c>
      <c r="L76" s="83" t="n">
        <f aca="false">1000000*D76/S76</f>
        <v>7221.44512508849</v>
      </c>
      <c r="M76" s="84" t="n">
        <f aca="false">1000000*E76/S76</f>
        <v>20017.5513893439</v>
      </c>
      <c r="N76" s="85" t="n">
        <f aca="false">TableDE5a!F76</f>
        <v>2.77195921904878</v>
      </c>
      <c r="O76" s="86" t="n">
        <f aca="false">DataDE1c!AW99/DataDE1c!B99</f>
        <v>0.847498083365439</v>
      </c>
      <c r="P76" s="87" t="n">
        <f aca="false">O76*L76</f>
        <v>6120.16090264119</v>
      </c>
      <c r="Q76" s="112" t="n">
        <f aca="false">M76/P76</f>
        <v>3.27075573792598</v>
      </c>
      <c r="R76" s="89" t="n">
        <f aca="false">DataDE1c!BK99</f>
        <v>67349</v>
      </c>
      <c r="S76" s="90" t="n">
        <f aca="false">R76*(1-DataDE1c!BN99)</f>
        <v>46568.8613307014</v>
      </c>
      <c r="T76" s="91" t="n">
        <f aca="false">DataDE1c!BO99</f>
        <v>31409</v>
      </c>
      <c r="U76" s="125" t="n">
        <v>470.714</v>
      </c>
      <c r="V76" s="24"/>
      <c r="W76" s="25"/>
      <c r="X76" s="25"/>
      <c r="Y76" s="25"/>
      <c r="Z76" s="25"/>
      <c r="AA76" s="25"/>
      <c r="AB76" s="93"/>
    </row>
    <row r="77" customFormat="false" ht="12" hidden="false" customHeight="true" outlineLevel="0" collapsed="false">
      <c r="A77" s="76" t="n">
        <v>1937</v>
      </c>
      <c r="B77" s="77" t="n">
        <f aca="false">DataDE1c!B100</f>
        <v>81.2178823542437</v>
      </c>
      <c r="C77" s="78" t="n">
        <f aca="false">N77*B77</f>
        <v>216.896779731739</v>
      </c>
      <c r="D77" s="79" t="n">
        <f aca="false">B77*(TableDE15a!C$149/TableDE15a!C76)/1.95583</f>
        <v>375.476490926566</v>
      </c>
      <c r="E77" s="80" t="n">
        <f aca="false">D77*N77</f>
        <v>1002.73042569289</v>
      </c>
      <c r="F77" s="81" t="n">
        <f aca="false">1000000*B77/R77</f>
        <v>1197.35640568831</v>
      </c>
      <c r="G77" s="82" t="n">
        <f aca="false">1000000*C77/R77</f>
        <v>3197.60551564534</v>
      </c>
      <c r="H77" s="83" t="n">
        <f aca="false">1000000*B77/S77</f>
        <v>1731.37009238593</v>
      </c>
      <c r="I77" s="84" t="n">
        <f aca="false">1000000*C77/S77</f>
        <v>4623.71816005285</v>
      </c>
      <c r="J77" s="82" t="n">
        <f aca="false">1000000*D77/R77</f>
        <v>5535.47037381972</v>
      </c>
      <c r="K77" s="82" t="n">
        <f aca="false">1000000*E77/R77</f>
        <v>14782.7752162416</v>
      </c>
      <c r="L77" s="83" t="n">
        <f aca="false">1000000*D77/S77</f>
        <v>8004.25654966988</v>
      </c>
      <c r="M77" s="84" t="n">
        <f aca="false">1000000*E77/S77</f>
        <v>21375.8032030167</v>
      </c>
      <c r="N77" s="85" t="n">
        <f aca="false">TableDE5a!F77</f>
        <v>2.6705544819023</v>
      </c>
      <c r="O77" s="86" t="n">
        <f aca="false">DataDE1c!AW100/DataDE1c!B100</f>
        <v>0.822499898589261</v>
      </c>
      <c r="P77" s="87" t="n">
        <f aca="false">O77*L77</f>
        <v>6583.5002003859</v>
      </c>
      <c r="Q77" s="112" t="n">
        <f aca="false">M77/P77</f>
        <v>3.24687515035903</v>
      </c>
      <c r="R77" s="89" t="n">
        <f aca="false">DataDE1c!BK100</f>
        <v>67831</v>
      </c>
      <c r="S77" s="90" t="n">
        <f aca="false">R77*(1-DataDE1c!BN100)</f>
        <v>46909.6022343326</v>
      </c>
      <c r="T77" s="91" t="n">
        <f aca="false">DataDE1c!BO100</f>
        <v>32739</v>
      </c>
      <c r="U77" s="125" t="n">
        <v>470.714</v>
      </c>
      <c r="V77" s="24"/>
      <c r="W77" s="25"/>
      <c r="X77" s="25"/>
      <c r="Y77" s="75"/>
      <c r="Z77" s="25"/>
      <c r="AA77" s="25"/>
      <c r="AB77" s="93"/>
    </row>
    <row r="78" customFormat="false" ht="12" hidden="false" customHeight="true" outlineLevel="0" collapsed="false">
      <c r="A78" s="76" t="n">
        <v>1938</v>
      </c>
      <c r="B78" s="77" t="n">
        <f aca="false">DataDE1c!B101</f>
        <v>90.9199159348286</v>
      </c>
      <c r="C78" s="78" t="n">
        <f aca="false">N78*B78</f>
        <v>240.744128912641</v>
      </c>
      <c r="D78" s="79" t="n">
        <f aca="false">B78*(TableDE15a!C$149/TableDE15a!C77)/1.95583*DataDE1c!BK101/DataDE1c!BI101</f>
        <v>450.457182781291</v>
      </c>
      <c r="E78" s="80" t="n">
        <f aca="false">D78*N78</f>
        <v>1192.75211559651</v>
      </c>
      <c r="F78" s="81" t="n">
        <f aca="false">1000000*B78/R78</f>
        <v>1205.89840223392</v>
      </c>
      <c r="G78" s="82" t="n">
        <f aca="false">1000000*C78/R78</f>
        <v>3193.06234962917</v>
      </c>
      <c r="H78" s="83" t="n">
        <f aca="false">1000000*B78/S78</f>
        <v>1743.44453947772</v>
      </c>
      <c r="I78" s="84" t="n">
        <f aca="false">1000000*C78/S78</f>
        <v>4616.41470571665</v>
      </c>
      <c r="J78" s="82" t="n">
        <f aca="false">1000000*D78/R78</f>
        <v>5974.55014564818</v>
      </c>
      <c r="K78" s="82" t="n">
        <f aca="false">1000000*E78/R78</f>
        <v>15819.8328239763</v>
      </c>
      <c r="L78" s="83" t="n">
        <f aca="false">1000000*D78/S78</f>
        <v>8637.78972421726</v>
      </c>
      <c r="M78" s="84" t="n">
        <f aca="false">1000000*E78/S78</f>
        <v>22871.7453322089</v>
      </c>
      <c r="N78" s="85" t="n">
        <f aca="false">TableDE5a!F78</f>
        <v>2.6478701221546</v>
      </c>
      <c r="O78" s="86" t="n">
        <f aca="false">DataDE1c!AW101/DataDE1c!B101</f>
        <v>0.804213238080991</v>
      </c>
      <c r="P78" s="87" t="n">
        <f aca="false">O78*L78</f>
        <v>6946.62484397547</v>
      </c>
      <c r="Q78" s="112" t="n">
        <f aca="false">M78/P78</f>
        <v>3.2924975575793</v>
      </c>
      <c r="R78" s="89" t="n">
        <f aca="false">DataDE1c!BK101</f>
        <v>75396</v>
      </c>
      <c r="S78" s="90" t="n">
        <f aca="false">R78*(1-DataDE1c!BN101)</f>
        <v>52149.5888604894</v>
      </c>
      <c r="T78" s="91"/>
      <c r="U78" s="125" t="n">
        <v>583.279</v>
      </c>
      <c r="V78" s="24"/>
      <c r="W78" s="25"/>
      <c r="X78" s="25"/>
      <c r="Y78" s="75"/>
      <c r="Z78" s="25"/>
      <c r="AA78" s="25"/>
      <c r="AB78" s="93"/>
    </row>
    <row r="79" customFormat="false" ht="12" hidden="false" customHeight="true" outlineLevel="0" collapsed="false">
      <c r="A79" s="94" t="n">
        <v>1939</v>
      </c>
      <c r="B79" s="95" t="n">
        <f aca="false">DataDE1c!B102</f>
        <v>109.816837196195</v>
      </c>
      <c r="C79" s="96" t="n">
        <f aca="false">N79*B79</f>
        <v>309.27336342145</v>
      </c>
      <c r="D79" s="97" t="n">
        <f aca="false">D78*DataDE1c!C102/DataDE1c!C101</f>
        <v>535.544708393839</v>
      </c>
      <c r="E79" s="98" t="n">
        <f aca="false">D79*N79</f>
        <v>1508.23605429115</v>
      </c>
      <c r="F79" s="99" t="n">
        <f aca="false">1000000*B79/R79</f>
        <v>1263.56963751231</v>
      </c>
      <c r="G79" s="100" t="n">
        <f aca="false">1000000*C79/R79</f>
        <v>3558.54750226039</v>
      </c>
      <c r="H79" s="101" t="n">
        <f aca="false">1000000*B79/S79</f>
        <v>1826.53314335169</v>
      </c>
      <c r="I79" s="102" t="n">
        <f aca="false">1000000*C79/S79</f>
        <v>5144.00216822768</v>
      </c>
      <c r="J79" s="100" t="n">
        <f aca="false">1000000*D79/R79</f>
        <v>6162.06084908341</v>
      </c>
      <c r="K79" s="100" t="n">
        <f aca="false">1000000*E79/R79</f>
        <v>17353.9990138207</v>
      </c>
      <c r="L79" s="101" t="n">
        <f aca="false">1000000*D79/S79</f>
        <v>8907.46978881176</v>
      </c>
      <c r="M79" s="102" t="n">
        <f aca="false">1000000*E79/S79</f>
        <v>25085.7993318371</v>
      </c>
      <c r="N79" s="103" t="n">
        <f aca="false">TableDE5a!F79</f>
        <v>2.81626544087146</v>
      </c>
      <c r="O79" s="104" t="n">
        <f aca="false">DataDE1c!AW102/DataDE1c!B102</f>
        <v>0.804213238080991</v>
      </c>
      <c r="P79" s="105" t="n">
        <f aca="false">O79*L79</f>
        <v>7163.50512196891</v>
      </c>
      <c r="Q79" s="106" t="n">
        <f aca="false">M79/P79</f>
        <v>3.50188893631198</v>
      </c>
      <c r="R79" s="126" t="n">
        <f aca="false">DataDE1c!BK102</f>
        <v>86910</v>
      </c>
      <c r="S79" s="127" t="n">
        <f aca="false">R79*(1-DataDE1c!BN102)</f>
        <v>60123.101294883</v>
      </c>
      <c r="T79" s="109"/>
      <c r="U79" s="125" t="n">
        <v>680.747</v>
      </c>
      <c r="V79" s="24"/>
      <c r="W79" s="25"/>
      <c r="X79" s="25"/>
      <c r="Y79" s="75"/>
      <c r="Z79" s="25"/>
      <c r="AA79" s="25"/>
      <c r="AB79" s="93"/>
    </row>
    <row r="80" customFormat="false" ht="12" hidden="false" customHeight="true" outlineLevel="0" collapsed="false">
      <c r="A80" s="76" t="n">
        <v>1940</v>
      </c>
      <c r="B80" s="77" t="n">
        <f aca="false">D80*1.95583*TableDE15a!C79/TableDE15a!C$149</f>
        <v>135.554958320653</v>
      </c>
      <c r="C80" s="78" t="n">
        <f aca="false">N80*B80</f>
        <v>389.380080736038</v>
      </c>
      <c r="D80" s="79" t="n">
        <f aca="false">D79*DataDE1c!C103/DataDE1c!C102</f>
        <v>621.853697901781</v>
      </c>
      <c r="E80" s="80" t="n">
        <f aca="false">D80*N80</f>
        <v>1786.26769610468</v>
      </c>
      <c r="F80" s="81" t="n">
        <f aca="false">1000000*B80/R80</f>
        <v>1380.77636743965</v>
      </c>
      <c r="G80" s="82" t="n">
        <f aca="false">1000000*C80/R80</f>
        <v>3966.2644590268</v>
      </c>
      <c r="H80" s="83" t="n">
        <f aca="false">1000000*B80/S80</f>
        <v>1995.64225208156</v>
      </c>
      <c r="I80" s="84" t="n">
        <f aca="false">1000000*C80/S80</f>
        <v>5732.45974077639</v>
      </c>
      <c r="J80" s="82" t="n">
        <f aca="false">1000000*D80/R80</f>
        <v>6334.26398196837</v>
      </c>
      <c r="K80" s="82" t="n">
        <f aca="false">1000000*E80/R80</f>
        <v>18195.1014648089</v>
      </c>
      <c r="L80" s="83" t="n">
        <f aca="false">1000000*D80/S80</f>
        <v>9154.94002964018</v>
      </c>
      <c r="M80" s="84" t="n">
        <f aca="false">1000000*E80/S80</f>
        <v>26297.4614284674</v>
      </c>
      <c r="N80" s="85" t="n">
        <f aca="false">TableDE5a!F80</f>
        <v>2.87248866113009</v>
      </c>
      <c r="O80" s="118"/>
      <c r="P80" s="87"/>
      <c r="Q80" s="88"/>
      <c r="R80" s="128" t="n">
        <f aca="false">DataDE1c!BK103</f>
        <v>98173</v>
      </c>
      <c r="S80" s="91" t="n">
        <f aca="false">R80*(1-DataDE1c!BN103)</f>
        <v>67925.4802203463</v>
      </c>
      <c r="T80" s="91"/>
      <c r="U80" s="129" t="n">
        <v>729.773</v>
      </c>
      <c r="V80" s="24"/>
      <c r="W80" s="25"/>
      <c r="X80" s="25"/>
      <c r="Y80" s="75"/>
      <c r="Z80" s="25"/>
      <c r="AA80" s="25"/>
      <c r="AB80" s="93"/>
    </row>
    <row r="81" customFormat="false" ht="12" hidden="false" customHeight="true" outlineLevel="0" collapsed="false">
      <c r="A81" s="76" t="n">
        <v>1941</v>
      </c>
      <c r="B81" s="77" t="n">
        <f aca="false">D81*1.95583*TableDE15a!C80/TableDE15a!C$149</f>
        <v>147.844057975529</v>
      </c>
      <c r="C81" s="78" t="n">
        <f aca="false">N81*B81</f>
        <v>389.107661765932</v>
      </c>
      <c r="D81" s="79" t="n">
        <f aca="false">D80*DataDE1c!C104/DataDE1c!C103</f>
        <v>710.418596805041</v>
      </c>
      <c r="E81" s="80" t="n">
        <f aca="false">D81*N81</f>
        <v>1869.73573955605</v>
      </c>
      <c r="F81" s="81" t="n">
        <f aca="false">1000000*B81/R81</f>
        <v>1496.53367184793</v>
      </c>
      <c r="G81" s="82" t="n">
        <f aca="false">1000000*C81/R81</f>
        <v>3938.69544559658</v>
      </c>
      <c r="H81" s="83" t="n">
        <f aca="false">1000000*B81/S81</f>
        <v>2162.60308606744</v>
      </c>
      <c r="I81" s="84" t="n">
        <f aca="false">1000000*C81/S81</f>
        <v>5691.70950574674</v>
      </c>
      <c r="J81" s="82" t="n">
        <f aca="false">1000000*D81/R81</f>
        <v>7191.12668972923</v>
      </c>
      <c r="K81" s="82" t="n">
        <f aca="false">1000000*E81/R81</f>
        <v>18926.1748494909</v>
      </c>
      <c r="L81" s="83" t="n">
        <f aca="false">1000000*D81/S81</f>
        <v>10391.7159126177</v>
      </c>
      <c r="M81" s="84" t="n">
        <f aca="false">1000000*E81/S81</f>
        <v>27349.7382029637</v>
      </c>
      <c r="N81" s="85" t="n">
        <f aca="false">TableDE5a!F81</f>
        <v>2.63187893442654</v>
      </c>
      <c r="O81" s="118"/>
      <c r="P81" s="87"/>
      <c r="Q81" s="88"/>
      <c r="R81" s="89" t="n">
        <f aca="false">DataDE1c!BK104</f>
        <v>98791</v>
      </c>
      <c r="S81" s="90" t="n">
        <f aca="false">R81*(1-DataDE1c!BN104)</f>
        <v>68363.9355404667</v>
      </c>
      <c r="T81" s="90"/>
      <c r="U81" s="125" t="n">
        <f aca="false">U80</f>
        <v>729.773</v>
      </c>
      <c r="V81" s="24"/>
      <c r="W81" s="25"/>
      <c r="X81" s="25"/>
      <c r="Y81" s="75"/>
      <c r="Z81" s="25"/>
      <c r="AA81" s="25"/>
      <c r="AB81" s="93"/>
    </row>
    <row r="82" customFormat="false" ht="12" hidden="false" customHeight="true" outlineLevel="0" collapsed="false">
      <c r="A82" s="76" t="n">
        <v>1942</v>
      </c>
      <c r="B82" s="77" t="n">
        <f aca="false">D82*1.95583*TableDE15a!C81/TableDE15a!C$149</f>
        <v>153.987529783609</v>
      </c>
      <c r="C82" s="78" t="n">
        <f aca="false">N82*B82</f>
        <v>415.211860290479</v>
      </c>
      <c r="D82" s="79" t="n">
        <f aca="false">D81*DataDE1c!C105/DataDE1c!C104</f>
        <v>750.563264256967</v>
      </c>
      <c r="E82" s="80" t="n">
        <f aca="false">D82*N82</f>
        <v>2023.81822512359</v>
      </c>
      <c r="F82" s="81" t="n">
        <f aca="false">1000000*B82/R82</f>
        <v>1555.42959377383</v>
      </c>
      <c r="G82" s="82" t="n">
        <f aca="false">1000000*C82/R82</f>
        <v>4194.05919485333</v>
      </c>
      <c r="H82" s="83" t="n">
        <f aca="false">1000000*B82/S82</f>
        <v>2247.35496971215</v>
      </c>
      <c r="I82" s="84" t="n">
        <f aca="false">1000000*C82/S82</f>
        <v>6059.76626171296</v>
      </c>
      <c r="J82" s="82" t="n">
        <f aca="false">1000000*D82/R82</f>
        <v>7581.44711370674</v>
      </c>
      <c r="K82" s="82" t="n">
        <f aca="false">1000000*E82/R82</f>
        <v>20442.6083345817</v>
      </c>
      <c r="L82" s="83" t="n">
        <f aca="false">1000000*D82/S82</f>
        <v>10954.0174089526</v>
      </c>
      <c r="M82" s="84" t="n">
        <f aca="false">1000000*E82/S82</f>
        <v>29536.4043596058</v>
      </c>
      <c r="N82" s="85" t="n">
        <f aca="false">TableDE5a!F82</f>
        <v>2.6963992530691</v>
      </c>
      <c r="O82" s="118"/>
      <c r="P82" s="87"/>
      <c r="Q82" s="88"/>
      <c r="R82" s="89" t="n">
        <f aca="false">DataDE1c!BK105</f>
        <v>99000</v>
      </c>
      <c r="S82" s="90" t="n">
        <f aca="false">R82*(1-DataDE1c!BN105)</f>
        <v>68519.4514702466</v>
      </c>
      <c r="T82" s="90"/>
      <c r="U82" s="125" t="n">
        <f aca="false">U81</f>
        <v>729.773</v>
      </c>
      <c r="V82" s="24"/>
      <c r="W82" s="25"/>
      <c r="X82" s="25"/>
      <c r="Y82" s="75"/>
      <c r="Z82" s="25"/>
      <c r="AA82" s="25"/>
      <c r="AB82" s="93"/>
    </row>
    <row r="83" customFormat="false" ht="12" hidden="false" customHeight="true" outlineLevel="0" collapsed="false">
      <c r="A83" s="76" t="n">
        <v>1943</v>
      </c>
      <c r="B83" s="77" t="n">
        <f aca="false">D83*1.95583*TableDE15a!C82/TableDE15a!C$149</f>
        <v>166.312569155718</v>
      </c>
      <c r="C83" s="78" t="n">
        <f aca="false">N83*B83</f>
        <v>463.528260875735</v>
      </c>
      <c r="D83" s="79" t="n">
        <f aca="false">D82*DataDE1c!C106/DataDE1c!C105</f>
        <v>798.498416745059</v>
      </c>
      <c r="E83" s="80" t="n">
        <f aca="false">D83*N83</f>
        <v>2225.48773255565</v>
      </c>
      <c r="F83" s="81" t="n">
        <f aca="false">1000000*B83/R83</f>
        <v>1679.92494096685</v>
      </c>
      <c r="G83" s="82" t="n">
        <f aca="false">1000000*C83/R83</f>
        <v>4682.10364520945</v>
      </c>
      <c r="H83" s="83" t="n">
        <f aca="false">1000000*B83/S83</f>
        <v>2426.84588322602</v>
      </c>
      <c r="I83" s="84" t="n">
        <f aca="false">1000000*C83/S83</f>
        <v>6763.84026400279</v>
      </c>
      <c r="J83" s="82" t="n">
        <f aca="false">1000000*D83/R83</f>
        <v>8065.64057318241</v>
      </c>
      <c r="K83" s="82" t="n">
        <f aca="false">1000000*E83/R83</f>
        <v>22479.6740662187</v>
      </c>
      <c r="L83" s="83" t="n">
        <f aca="false">1000000*D83/S83</f>
        <v>11651.7507081852</v>
      </c>
      <c r="M83" s="84" t="n">
        <f aca="false">1000000*E83/S83</f>
        <v>32474.4892664476</v>
      </c>
      <c r="N83" s="85" t="n">
        <f aca="false">TableDE5a!F83</f>
        <v>2.78709097712112</v>
      </c>
      <c r="O83" s="118"/>
      <c r="P83" s="87"/>
      <c r="Q83" s="88"/>
      <c r="R83" s="89" t="n">
        <f aca="false">DataDE1c!BK106</f>
        <v>99000</v>
      </c>
      <c r="S83" s="90" t="n">
        <f aca="false">R83*(1-DataDE1c!BN106)</f>
        <v>68530.3382078132</v>
      </c>
      <c r="T83" s="90"/>
      <c r="U83" s="125" t="n">
        <f aca="false">U82</f>
        <v>729.773</v>
      </c>
      <c r="V83" s="24"/>
      <c r="W83" s="25"/>
      <c r="X83" s="25"/>
      <c r="Y83" s="75"/>
      <c r="Z83" s="25"/>
      <c r="AA83" s="25"/>
      <c r="AB83" s="93"/>
    </row>
    <row r="84" customFormat="false" ht="12" hidden="false" customHeight="true" outlineLevel="0" collapsed="false">
      <c r="A84" s="76" t="n">
        <v>1944</v>
      </c>
      <c r="B84" s="77" t="n">
        <f aca="false">D84*1.95583*TableDE15a!C83/TableDE15a!C$149</f>
        <v>160.171650364831</v>
      </c>
      <c r="C84" s="78" t="n">
        <f aca="false">N84*B84</f>
        <v>474.438501130862</v>
      </c>
      <c r="D84" s="79" t="n">
        <f aca="false">D83*DataDE1c!C107/DataDE1c!C106</f>
        <v>730.71593703805</v>
      </c>
      <c r="E84" s="80" t="n">
        <f aca="false">D84*N84</f>
        <v>2164.4265582025</v>
      </c>
      <c r="F84" s="81" t="n">
        <f aca="false">1000000*B84/R84</f>
        <v>1617.89545823062</v>
      </c>
      <c r="G84" s="82" t="n">
        <f aca="false">1000000*C84/R84</f>
        <v>4792.30809223093</v>
      </c>
      <c r="H84" s="83" t="n">
        <f aca="false">1000000*B84/S84</f>
        <v>2336.86588607763</v>
      </c>
      <c r="I84" s="84" t="n">
        <f aca="false">1000000*C84/S84</f>
        <v>6921.94371356713</v>
      </c>
      <c r="J84" s="82" t="n">
        <f aca="false">1000000*D84/R84</f>
        <v>7380.96906099041</v>
      </c>
      <c r="K84" s="82" t="n">
        <f aca="false">1000000*E84/R84</f>
        <v>21862.894527298</v>
      </c>
      <c r="L84" s="83" t="n">
        <f aca="false">1000000*D84/S84</f>
        <v>10660.9699143888</v>
      </c>
      <c r="M84" s="84" t="n">
        <f aca="false">1000000*E84/S84</f>
        <v>31578.463325208</v>
      </c>
      <c r="N84" s="85" t="n">
        <f aca="false">TableDE5a!F84</f>
        <v>2.96206288722261</v>
      </c>
      <c r="O84" s="118"/>
      <c r="P84" s="87"/>
      <c r="Q84" s="88"/>
      <c r="R84" s="89" t="n">
        <f aca="false">DataDE1c!BK107</f>
        <v>99000</v>
      </c>
      <c r="S84" s="90" t="n">
        <f aca="false">R84*(1-DataDE1c!BN107)</f>
        <v>68541.2249453797</v>
      </c>
      <c r="T84" s="90"/>
      <c r="U84" s="125" t="n">
        <f aca="false">U83</f>
        <v>729.773</v>
      </c>
      <c r="V84" s="24"/>
      <c r="W84" s="25"/>
      <c r="X84" s="75"/>
      <c r="Y84" s="75"/>
      <c r="Z84" s="25"/>
      <c r="AA84" s="25"/>
      <c r="AB84" s="93"/>
    </row>
    <row r="85" customFormat="false" ht="12" hidden="false" customHeight="true" outlineLevel="0" collapsed="false">
      <c r="A85" s="76" t="n">
        <v>1945</v>
      </c>
      <c r="B85" s="77" t="n">
        <f aca="false">D85*1.95583*TableDE15a!C84/TableDE15a!C$149</f>
        <v>50.9037606369684</v>
      </c>
      <c r="C85" s="78" t="n">
        <f aca="false">N85*B85</f>
        <v>132.596797447028</v>
      </c>
      <c r="D85" s="79" t="n">
        <f aca="false">D84*DataDE1c!C108/DataDE1c!C107</f>
        <v>204.075868482159</v>
      </c>
      <c r="E85" s="80" t="n">
        <f aca="false">D85*N85</f>
        <v>531.587573459221</v>
      </c>
      <c r="F85" s="81" t="n">
        <f aca="false">1000000*B85/R85</f>
        <v>805.542481880656</v>
      </c>
      <c r="G85" s="82" t="n">
        <f aca="false">1000000*C85/R85</f>
        <v>2098.31949483382</v>
      </c>
      <c r="H85" s="83" t="n">
        <f aca="false">1000000*B85/S85</f>
        <v>1163.32967356313</v>
      </c>
      <c r="I85" s="84" t="n">
        <f aca="false">1000000*C85/S85</f>
        <v>3030.3024208695</v>
      </c>
      <c r="J85" s="82" t="n">
        <f aca="false">1000000*D85/R85</f>
        <v>3229.46241165688</v>
      </c>
      <c r="K85" s="82" t="n">
        <f aca="false">1000000*E85/R85</f>
        <v>8412.27382619485</v>
      </c>
      <c r="L85" s="83" t="n">
        <f aca="false">1000000*D85/S85</f>
        <v>4663.85018499099</v>
      </c>
      <c r="M85" s="84" t="n">
        <f aca="false">1000000*E85/S85</f>
        <v>12148.6426653793</v>
      </c>
      <c r="N85" s="85" t="n">
        <f aca="false">TableDE5a!F85</f>
        <v>2.60485268254877</v>
      </c>
      <c r="O85" s="118"/>
      <c r="P85" s="87"/>
      <c r="Q85" s="88"/>
      <c r="R85" s="89" t="n">
        <f aca="false">DataDE1c!BK108+DataDE1c!BL108</f>
        <v>63191.9008394519</v>
      </c>
      <c r="S85" s="90" t="n">
        <f aca="false">R85*(1-DataDE1c!BN108)</f>
        <v>43756.9519576138</v>
      </c>
      <c r="T85" s="90"/>
      <c r="U85" s="125" t="n">
        <f aca="false">U$150</f>
        <v>357</v>
      </c>
      <c r="V85" s="24"/>
      <c r="W85" s="25"/>
      <c r="X85" s="75"/>
      <c r="Y85" s="25"/>
      <c r="Z85" s="25"/>
      <c r="AA85" s="25"/>
      <c r="AB85" s="93"/>
    </row>
    <row r="86" customFormat="false" ht="12" hidden="false" customHeight="true" outlineLevel="0" collapsed="false">
      <c r="A86" s="76" t="n">
        <v>1946</v>
      </c>
      <c r="B86" s="77" t="n">
        <f aca="false">D86*1.95583*TableDE15a!C85/TableDE15a!C$149</f>
        <v>49.3275186223159</v>
      </c>
      <c r="C86" s="78" t="n">
        <f aca="false">N86*B86</f>
        <v>115.979900788046</v>
      </c>
      <c r="D86" s="79" t="n">
        <f aca="false">D85*DataDE1c!C109/DataDE1c!C108</f>
        <v>176.375879899794</v>
      </c>
      <c r="E86" s="80" t="n">
        <f aca="false">D86*N86</f>
        <v>414.698683888959</v>
      </c>
      <c r="F86" s="81" t="n">
        <f aca="false">1000000*B86/R86</f>
        <v>760.488062775984</v>
      </c>
      <c r="G86" s="82" t="n">
        <f aca="false">1000000*C86/R86</f>
        <v>1788.07555163234</v>
      </c>
      <c r="H86" s="83" t="n">
        <f aca="false">1000000*B86/S86</f>
        <v>1098.08963944461</v>
      </c>
      <c r="I86" s="84" t="n">
        <f aca="false">1000000*C86/S86</f>
        <v>2581.851489719</v>
      </c>
      <c r="J86" s="82" t="n">
        <f aca="false">1000000*D86/R86</f>
        <v>2719.2073506151</v>
      </c>
      <c r="K86" s="82" t="n">
        <f aca="false">1000000*E86/R86</f>
        <v>6393.45759840815</v>
      </c>
      <c r="L86" s="83" t="n">
        <f aca="false">1000000*D86/S86</f>
        <v>3926.33831530849</v>
      </c>
      <c r="M86" s="84" t="n">
        <f aca="false">1000000*E86/S86</f>
        <v>9231.6893488287</v>
      </c>
      <c r="N86" s="85" t="n">
        <f aca="false">TableDE5a!F86</f>
        <v>2.35122106335948</v>
      </c>
      <c r="O86" s="118"/>
      <c r="P86" s="87"/>
      <c r="Q86" s="88"/>
      <c r="R86" s="89" t="n">
        <f aca="false">DataDE1c!BK109+DataDE1c!BL109</f>
        <v>64862.9755505396</v>
      </c>
      <c r="S86" s="90" t="n">
        <f aca="false">R86*(1-DataDE1c!BN109)</f>
        <v>44921.2130325394</v>
      </c>
      <c r="T86" s="90"/>
      <c r="U86" s="125" t="n">
        <f aca="false">U$150</f>
        <v>357</v>
      </c>
      <c r="V86" s="24"/>
      <c r="W86" s="25"/>
      <c r="X86" s="75"/>
      <c r="Y86" s="75"/>
      <c r="Z86" s="25"/>
      <c r="AA86" s="25"/>
      <c r="AB86" s="93"/>
    </row>
    <row r="87" customFormat="false" ht="12" hidden="false" customHeight="true" outlineLevel="0" collapsed="false">
      <c r="A87" s="76" t="n">
        <v>1947</v>
      </c>
      <c r="B87" s="77" t="n">
        <f aca="false">D87*1.95583*TableDE15a!C86/TableDE15a!C$149</f>
        <v>62.0983141886192</v>
      </c>
      <c r="C87" s="78" t="n">
        <f aca="false">N87*B87</f>
        <v>133.171416823978</v>
      </c>
      <c r="D87" s="79" t="n">
        <f aca="false">D86*DataDE1c!C110/DataDE1c!C109</f>
        <v>208.841104487864</v>
      </c>
      <c r="E87" s="80" t="n">
        <f aca="false">D87*N87</f>
        <v>447.865069110528</v>
      </c>
      <c r="F87" s="81" t="n">
        <f aca="false">1000000*B87/R87</f>
        <v>938.372047077726</v>
      </c>
      <c r="G87" s="82" t="n">
        <f aca="false">1000000*C87/R87</f>
        <v>2012.36276137524</v>
      </c>
      <c r="H87" s="83" t="n">
        <f aca="false">1000000*B87/S87</f>
        <v>1354.72610960486</v>
      </c>
      <c r="I87" s="84" t="n">
        <f aca="false">1000000*C87/S87</f>
        <v>2905.24465570078</v>
      </c>
      <c r="J87" s="82" t="n">
        <f aca="false">1000000*D87/R87</f>
        <v>3155.81279931374</v>
      </c>
      <c r="K87" s="82" t="n">
        <f aca="false">1000000*E87/R87</f>
        <v>6767.72094713122</v>
      </c>
      <c r="L87" s="83" t="n">
        <f aca="false">1000000*D87/S87</f>
        <v>4556.04150781081</v>
      </c>
      <c r="M87" s="84" t="n">
        <f aca="false">1000000*E87/S87</f>
        <v>9770.54708540241</v>
      </c>
      <c r="N87" s="85" t="n">
        <f aca="false">TableDE5a!F87</f>
        <v>2.14452547648039</v>
      </c>
      <c r="O87" s="118"/>
      <c r="P87" s="87"/>
      <c r="Q87" s="88"/>
      <c r="R87" s="89" t="n">
        <f aca="false">DataDE1c!BK110+DataDE1c!BL110</f>
        <v>66176.6453743006</v>
      </c>
      <c r="S87" s="90" t="n">
        <f aca="false">R87*(1-DataDE1c!BN110)</f>
        <v>45838.2795964063</v>
      </c>
      <c r="T87" s="90"/>
      <c r="U87" s="125" t="n">
        <f aca="false">U$150</f>
        <v>357</v>
      </c>
      <c r="V87" s="24"/>
      <c r="W87" s="25"/>
      <c r="X87" s="75"/>
      <c r="Y87" s="75"/>
      <c r="Z87" s="25"/>
      <c r="AA87" s="25"/>
      <c r="AB87" s="93"/>
    </row>
    <row r="88" customFormat="false" ht="12" hidden="false" customHeight="true" outlineLevel="0" collapsed="false">
      <c r="A88" s="76" t="n">
        <v>1948</v>
      </c>
      <c r="B88" s="77" t="n">
        <f aca="false">D88*1.95583*TableDE15a!C87/TableDE15a!C$149</f>
        <v>85.339440366927</v>
      </c>
      <c r="C88" s="78" t="n">
        <f aca="false">N88*B88</f>
        <v>169.66176209211</v>
      </c>
      <c r="D88" s="79" t="n">
        <f aca="false">D87*DataDE1c!C111/DataDE1c!C110</f>
        <v>248.10912321104</v>
      </c>
      <c r="E88" s="80" t="n">
        <f aca="false">D88*N88</f>
        <v>493.261156320251</v>
      </c>
      <c r="F88" s="81" t="n">
        <f aca="false">1000000*B88/R88</f>
        <v>1255.90168492416</v>
      </c>
      <c r="G88" s="82" t="n">
        <f aca="false">1000000*C88/R88</f>
        <v>2496.83489793849</v>
      </c>
      <c r="H88" s="83" t="n">
        <f aca="false">1000000*B88/S88</f>
        <v>1812.85529383507</v>
      </c>
      <c r="I88" s="84" t="n">
        <f aca="false">1000000*C88/S88</f>
        <v>3604.10406076751</v>
      </c>
      <c r="J88" s="82" t="n">
        <f aca="false">1000000*D88/R88</f>
        <v>3651.30899084922</v>
      </c>
      <c r="K88" s="82" t="n">
        <f aca="false">1000000*E88/R88</f>
        <v>7259.0998331684</v>
      </c>
      <c r="L88" s="83" t="n">
        <f aca="false">1000000*D88/S88</f>
        <v>5270.5517581086</v>
      </c>
      <c r="M88" s="84" t="n">
        <f aca="false">1000000*E88/S88</f>
        <v>10478.2864128662</v>
      </c>
      <c r="N88" s="85" t="n">
        <f aca="false">TableDE5a!F88</f>
        <v>1.98808149388641</v>
      </c>
      <c r="O88" s="118"/>
      <c r="P88" s="87"/>
      <c r="Q88" s="88"/>
      <c r="R88" s="89" t="n">
        <f aca="false">DataDE1c!BK111+DataDE1c!BL111</f>
        <v>67950.7332391868</v>
      </c>
      <c r="S88" s="90" t="n">
        <f aca="false">R88*(1-DataDE1c!BN111)</f>
        <v>47074.6014075909</v>
      </c>
      <c r="T88" s="90"/>
      <c r="U88" s="125" t="n">
        <f aca="false">U$150</f>
        <v>357</v>
      </c>
      <c r="V88" s="24"/>
      <c r="W88" s="25"/>
      <c r="X88" s="75"/>
      <c r="Y88" s="75"/>
      <c r="Z88" s="25"/>
      <c r="AA88" s="25"/>
      <c r="AB88" s="130"/>
    </row>
    <row r="89" customFormat="false" ht="12" hidden="false" customHeight="true" outlineLevel="0" collapsed="false">
      <c r="A89" s="76" t="n">
        <v>1949</v>
      </c>
      <c r="B89" s="77" t="n">
        <f aca="false">D89*1.95583*TableDE15a!C88/TableDE15a!C$149</f>
        <v>109.295125777685</v>
      </c>
      <c r="C89" s="78" t="n">
        <f aca="false">N89*B89</f>
        <v>200.102723518374</v>
      </c>
      <c r="D89" s="79" t="n">
        <f aca="false">D88*DataDE1c!C112/DataDE1c!C111</f>
        <v>298.083945074692</v>
      </c>
      <c r="E89" s="80" t="n">
        <f aca="false">D89*N89</f>
        <v>545.746288520445</v>
      </c>
      <c r="F89" s="81" t="n">
        <f aca="false">1000000*B89/R89</f>
        <v>1590.59941455125</v>
      </c>
      <c r="G89" s="82" t="n">
        <f aca="false">1000000*C89/R89</f>
        <v>2912.1451904987</v>
      </c>
      <c r="H89" s="83" t="n">
        <f aca="false">1000000*B89/S89</f>
        <v>2295.61673695092</v>
      </c>
      <c r="I89" s="84" t="n">
        <f aca="false">1000000*C89/S89</f>
        <v>4202.92449411342</v>
      </c>
      <c r="J89" s="82" t="n">
        <f aca="false">1000000*D89/R89</f>
        <v>4338.09051546684</v>
      </c>
      <c r="K89" s="82" t="n">
        <f aca="false">1000000*E89/R89</f>
        <v>7942.38279920962</v>
      </c>
      <c r="L89" s="83" t="n">
        <f aca="false">1000000*D89/S89</f>
        <v>6260.90585889175</v>
      </c>
      <c r="M89" s="84" t="n">
        <f aca="false">1000000*E89/S89</f>
        <v>11462.7647403483</v>
      </c>
      <c r="N89" s="85" t="n">
        <f aca="false">TableDE5a!F89</f>
        <v>1.83084764388668</v>
      </c>
      <c r="O89" s="118"/>
      <c r="P89" s="87"/>
      <c r="Q89" s="88"/>
      <c r="R89" s="89" t="n">
        <f aca="false">DataDE1c!BK112+DataDE1c!BL112</f>
        <v>68713.1686192153</v>
      </c>
      <c r="S89" s="90" t="n">
        <f aca="false">R89*(1-DataDE1c!BN112)</f>
        <v>47610.3541233338</v>
      </c>
      <c r="T89" s="90"/>
      <c r="U89" s="125" t="n">
        <f aca="false">U$150</f>
        <v>357</v>
      </c>
      <c r="V89" s="24"/>
      <c r="W89" s="25"/>
      <c r="X89" s="75"/>
      <c r="Y89" s="75"/>
      <c r="Z89" s="25"/>
      <c r="AA89" s="25"/>
      <c r="AB89" s="130"/>
    </row>
    <row r="90" customFormat="false" ht="12" hidden="false" customHeight="false" outlineLevel="0" collapsed="false">
      <c r="A90" s="131" t="n">
        <v>1950</v>
      </c>
      <c r="B90" s="132" t="n">
        <f aca="false">TableDE8!B8</f>
        <v>50.7503830983098</v>
      </c>
      <c r="C90" s="133" t="n">
        <f aca="false">N90*B90</f>
        <v>91.9071630653557</v>
      </c>
      <c r="D90" s="134" t="n">
        <f aca="false">B90*(TableDE15a!$C$149/TableDE15a!$C89)</f>
        <v>279.700942992654</v>
      </c>
      <c r="E90" s="135" t="n">
        <f aca="false">D90*N90</f>
        <v>506.528593633724</v>
      </c>
      <c r="F90" s="136" t="n">
        <f aca="false">1000000*B90/R90</f>
        <v>1000.05542347102</v>
      </c>
      <c r="G90" s="137" t="n">
        <f aca="false">1000000*C90/R90</f>
        <v>1811.06528203539</v>
      </c>
      <c r="H90" s="138" t="n">
        <f aca="false">1000000*B90/S90</f>
        <v>1438.92866686478</v>
      </c>
      <c r="I90" s="139" t="n">
        <f aca="false">1000000*C90/S90</f>
        <v>2605.84932666963</v>
      </c>
      <c r="J90" s="137" t="n">
        <f aca="false">1000000*D90/R90</f>
        <v>5511.61248276524</v>
      </c>
      <c r="K90" s="137" t="n">
        <f aca="false">1000000*E90/R90</f>
        <v>9981.33681523726</v>
      </c>
      <c r="L90" s="138" t="n">
        <f aca="false">1000000*D90/S90</f>
        <v>7930.37767304351</v>
      </c>
      <c r="M90" s="139" t="n">
        <f aca="false">K90/(1-DataDE1!GL11)</f>
        <v>14361.6357053774</v>
      </c>
      <c r="N90" s="140" t="n">
        <f aca="false">TableDE5a!F90</f>
        <v>1.81096491207406</v>
      </c>
      <c r="O90" s="141" t="n">
        <f aca="false">TableDE12!F10</f>
        <v>0.836673485793907</v>
      </c>
      <c r="P90" s="142" t="n">
        <f aca="false">L90*O90</f>
        <v>6635.13673136749</v>
      </c>
      <c r="Q90" s="143" t="n">
        <f aca="false">N90/O90</f>
        <v>2.16448225361852</v>
      </c>
      <c r="R90" s="144" t="n">
        <f aca="false">DataDE1!GH11</f>
        <v>50747.5704918072</v>
      </c>
      <c r="S90" s="142" t="n">
        <f aca="false">R90*(1-DataDE1!GL11)</f>
        <v>35269.561491806</v>
      </c>
      <c r="T90" s="142" t="n">
        <f aca="false">DataDE1!GI11</f>
        <v>20726.7589206878</v>
      </c>
      <c r="U90" s="110" t="n">
        <v>248.6</v>
      </c>
      <c r="V90" s="24"/>
      <c r="W90" s="25"/>
      <c r="X90" s="25"/>
      <c r="Y90" s="75"/>
      <c r="Z90" s="25"/>
      <c r="AA90" s="25"/>
      <c r="AB90" s="93"/>
    </row>
    <row r="91" customFormat="false" ht="12" hidden="false" customHeight="false" outlineLevel="0" collapsed="false">
      <c r="A91" s="145" t="n">
        <f aca="false">A90+1</f>
        <v>1951</v>
      </c>
      <c r="B91" s="146" t="n">
        <f aca="false">TableDE8!B9</f>
        <v>62.1959264596005</v>
      </c>
      <c r="C91" s="147" t="n">
        <f aca="false">N91*B91</f>
        <v>107.349366570451</v>
      </c>
      <c r="D91" s="148" t="n">
        <f aca="false">B91*(TableDE15a!$C$149/TableDE15a!$C90)</f>
        <v>307.002122630658</v>
      </c>
      <c r="E91" s="149" t="n">
        <f aca="false">D91*N91</f>
        <v>529.881702487251</v>
      </c>
      <c r="F91" s="150" t="n">
        <f aca="false">1000000*B91/R91</f>
        <v>1214.84842131829</v>
      </c>
      <c r="G91" s="90" t="n">
        <f aca="false">1000000*C91/R91</f>
        <v>2096.81270030346</v>
      </c>
      <c r="H91" s="151" t="n">
        <f aca="false">1000000*B91/S91</f>
        <v>1742.71757469271</v>
      </c>
      <c r="I91" s="152" t="n">
        <f aca="false">1000000*C91/S91</f>
        <v>3007.90804806119</v>
      </c>
      <c r="J91" s="90" t="n">
        <f aca="false">1000000*D91/R91</f>
        <v>5996.55098411429</v>
      </c>
      <c r="K91" s="90" t="n">
        <f aca="false">1000000*E91/R91</f>
        <v>10349.9696265513</v>
      </c>
      <c r="L91" s="151" t="n">
        <f aca="false">1000000*D91/S91</f>
        <v>8602.13883820727</v>
      </c>
      <c r="M91" s="152" t="n">
        <f aca="false">K91/(1-DataDE1!GL12)</f>
        <v>14847.1806434533</v>
      </c>
      <c r="N91" s="153" t="n">
        <f aca="false">TableDE5a!F91</f>
        <v>1.7259870972447</v>
      </c>
      <c r="O91" s="154" t="n">
        <f aca="false">TableDE12!F11</f>
        <v>0.809876610026131</v>
      </c>
      <c r="P91" s="155" t="n">
        <f aca="false">L91*O91</f>
        <v>6966.67104126142</v>
      </c>
      <c r="Q91" s="156" t="n">
        <f aca="false">N91/O91</f>
        <v>2.13117291680891</v>
      </c>
      <c r="R91" s="157" t="n">
        <f aca="false">DataDE1!GH12</f>
        <v>51196.45</v>
      </c>
      <c r="S91" s="155" t="n">
        <f aca="false">R91*(1-DataDE1!GL12)</f>
        <v>35689.045295</v>
      </c>
      <c r="T91" s="155" t="n">
        <f aca="false">DataDE1!GI12</f>
        <v>21278.5545976259</v>
      </c>
      <c r="U91" s="92" t="n">
        <v>248.6</v>
      </c>
      <c r="V91" s="24"/>
      <c r="W91" s="25"/>
      <c r="X91" s="158"/>
      <c r="Y91" s="158"/>
      <c r="Z91" s="25"/>
      <c r="AA91" s="25"/>
      <c r="AB91" s="93"/>
    </row>
    <row r="92" customFormat="false" ht="12" hidden="false" customHeight="false" outlineLevel="0" collapsed="false">
      <c r="A92" s="145" t="n">
        <f aca="false">A91+1</f>
        <v>1952</v>
      </c>
      <c r="B92" s="146" t="n">
        <f aca="false">TableDE8!B10</f>
        <v>71.0613197081928</v>
      </c>
      <c r="C92" s="147" t="n">
        <f aca="false">N92*B92</f>
        <v>120.296327055651</v>
      </c>
      <c r="D92" s="148" t="n">
        <f aca="false">B92*(TableDE15a!$C$149/TableDE15a!$C91)</f>
        <v>335.187512947771</v>
      </c>
      <c r="E92" s="149" t="n">
        <f aca="false">D92*N92</f>
        <v>567.422992538183</v>
      </c>
      <c r="F92" s="150" t="n">
        <f aca="false">1000000*B92/R92</f>
        <v>1375.84284217197</v>
      </c>
      <c r="G92" s="90" t="n">
        <f aca="false">1000000*C92/R92</f>
        <v>2329.09888528307</v>
      </c>
      <c r="H92" s="151" t="n">
        <f aca="false">1000000*B92/S92</f>
        <v>1967.73861866701</v>
      </c>
      <c r="I92" s="152" t="n">
        <f aca="false">1000000*C92/S92</f>
        <v>3331.09108307076</v>
      </c>
      <c r="J92" s="90" t="n">
        <f aca="false">1000000*D92/R92</f>
        <v>6489.68162100494</v>
      </c>
      <c r="K92" s="90" t="n">
        <f aca="false">1000000*E92/R92</f>
        <v>10986.0732389051</v>
      </c>
      <c r="L92" s="151" t="n">
        <f aca="false">1000000*D92/S92</f>
        <v>9281.58126573934</v>
      </c>
      <c r="M92" s="152" t="n">
        <f aca="false">K92/(1-DataDE1!GL13)</f>
        <v>15712.3473096469</v>
      </c>
      <c r="N92" s="153" t="n">
        <f aca="false">TableDE5a!F92</f>
        <v>1.6928524202708</v>
      </c>
      <c r="O92" s="154" t="n">
        <f aca="false">TableDE12!F12</f>
        <v>0.801425992857281</v>
      </c>
      <c r="P92" s="155" t="n">
        <f aca="false">L92*O92</f>
        <v>7438.50048118069</v>
      </c>
      <c r="Q92" s="156" t="n">
        <f aca="false">N92/O92</f>
        <v>2.11230036879059</v>
      </c>
      <c r="R92" s="157" t="n">
        <f aca="false">DataDE1!GH13</f>
        <v>51649.3</v>
      </c>
      <c r="S92" s="155" t="n">
        <f aca="false">R92*(1-DataDE1!GL13)</f>
        <v>36113.19056</v>
      </c>
      <c r="T92" s="155" t="n">
        <f aca="false">DataDE1!GI13</f>
        <v>21735.0304839221</v>
      </c>
      <c r="U92" s="92" t="n">
        <v>248.6</v>
      </c>
      <c r="V92" s="24"/>
      <c r="W92" s="25"/>
      <c r="X92" s="158"/>
      <c r="Y92" s="158"/>
      <c r="Z92" s="25"/>
      <c r="AA92" s="25"/>
      <c r="AB92" s="93"/>
    </row>
    <row r="93" customFormat="false" ht="12" hidden="false" customHeight="false" outlineLevel="0" collapsed="false">
      <c r="A93" s="145" t="n">
        <f aca="false">A92+1</f>
        <v>1953</v>
      </c>
      <c r="B93" s="146" t="n">
        <f aca="false">TableDE8!B11</f>
        <v>76.4154369443251</v>
      </c>
      <c r="C93" s="147" t="n">
        <f aca="false">N93*B93</f>
        <v>128.456338906438</v>
      </c>
      <c r="D93" s="148" t="n">
        <f aca="false">B93*(TableDE15a!$C$149/TableDE15a!$C92)</f>
        <v>365.609763870559</v>
      </c>
      <c r="E93" s="149" t="n">
        <f aca="false">D93*N93</f>
        <v>614.59953136795</v>
      </c>
      <c r="F93" s="150" t="n">
        <f aca="false">1000000*B93/R93</f>
        <v>1465.0535852881</v>
      </c>
      <c r="G93" s="90" t="n">
        <f aca="false">1000000*C93/R93</f>
        <v>2462.79321814225</v>
      </c>
      <c r="H93" s="151" t="n">
        <f aca="false">1000000*B93/S93</f>
        <v>2089.05402151448</v>
      </c>
      <c r="I93" s="152" t="n">
        <f aca="false">1000000*C93/S93</f>
        <v>3511.75419669507</v>
      </c>
      <c r="J93" s="90" t="n">
        <f aca="false">1000000*D93/R93</f>
        <v>7009.5509074319</v>
      </c>
      <c r="K93" s="90" t="n">
        <f aca="false">1000000*E93/R93</f>
        <v>11783.2375623663</v>
      </c>
      <c r="L93" s="151" t="n">
        <f aca="false">1000000*D93/S93</f>
        <v>9995.0818585939</v>
      </c>
      <c r="M93" s="152" t="n">
        <f aca="false">K93/(1-DataDE1!GL14)</f>
        <v>16801.9928167208</v>
      </c>
      <c r="N93" s="153" t="n">
        <f aca="false">TableDE5a!F93</f>
        <v>1.68102603404635</v>
      </c>
      <c r="O93" s="154" t="n">
        <f aca="false">TableDE12!F13</f>
        <v>0.798335122046656</v>
      </c>
      <c r="P93" s="155" t="n">
        <f aca="false">L93*O93</f>
        <v>7979.42489544688</v>
      </c>
      <c r="Q93" s="156" t="n">
        <f aca="false">N93/O93</f>
        <v>2.10566463584463</v>
      </c>
      <c r="R93" s="157" t="n">
        <f aca="false">DataDE1!GH14</f>
        <v>52158.8</v>
      </c>
      <c r="S93" s="155" t="n">
        <f aca="false">R93*(1-DataDE1!GL14)</f>
        <v>36578.96644</v>
      </c>
      <c r="T93" s="155" t="n">
        <f aca="false">DataDE1!GI14</f>
        <v>22319.6585331924</v>
      </c>
      <c r="U93" s="92" t="n">
        <v>248.6</v>
      </c>
      <c r="V93" s="24"/>
      <c r="W93" s="25"/>
      <c r="X93" s="158"/>
      <c r="Y93" s="158"/>
      <c r="Z93" s="25"/>
      <c r="AA93" s="25"/>
      <c r="AB93" s="93"/>
    </row>
    <row r="94" customFormat="false" ht="12" hidden="false" customHeight="false" outlineLevel="0" collapsed="false">
      <c r="A94" s="145" t="n">
        <f aca="false">A93+1</f>
        <v>1954</v>
      </c>
      <c r="B94" s="146" t="n">
        <f aca="false">TableDE8!B12</f>
        <v>81.8499263433462</v>
      </c>
      <c r="C94" s="147" t="n">
        <f aca="false">N94*B94</f>
        <v>139.318322014559</v>
      </c>
      <c r="D94" s="148" t="n">
        <f aca="false">B94*(TableDE15a!$C$149/TableDE15a!$C93)</f>
        <v>392.791348846661</v>
      </c>
      <c r="E94" s="149" t="n">
        <f aca="false">D94*N94</f>
        <v>668.577652637077</v>
      </c>
      <c r="F94" s="150" t="n">
        <f aca="false">1000000*B94/R94</f>
        <v>1553.1722664731</v>
      </c>
      <c r="G94" s="90" t="n">
        <f aca="false">1000000*C94/R94</f>
        <v>2643.68416236422</v>
      </c>
      <c r="H94" s="151" t="n">
        <f aca="false">1000000*B94/S94</f>
        <v>2208.09250280509</v>
      </c>
      <c r="I94" s="152" t="n">
        <f aca="false">1000000*C94/S94</f>
        <v>3758.43639801566</v>
      </c>
      <c r="J94" s="90" t="n">
        <f aca="false">1000000*D94/R94</f>
        <v>7453.55135666278</v>
      </c>
      <c r="K94" s="90" t="n">
        <f aca="false">1000000*E94/R94</f>
        <v>12686.8320406743</v>
      </c>
      <c r="L94" s="151" t="n">
        <f aca="false">1000000*D94/S94</f>
        <v>10596.4619799016</v>
      </c>
      <c r="M94" s="152" t="n">
        <f aca="false">K94/(1-DataDE1!GL15)</f>
        <v>18036.4402056786</v>
      </c>
      <c r="N94" s="153" t="n">
        <f aca="false">TableDE5a!F94</f>
        <v>1.70211908841729</v>
      </c>
      <c r="O94" s="154" t="n">
        <f aca="false">TableDE12!F14</f>
        <v>0.79708304578875</v>
      </c>
      <c r="P94" s="155" t="n">
        <f aca="false">L94*O94</f>
        <v>8446.26018952465</v>
      </c>
      <c r="Q94" s="156" t="n">
        <f aca="false">N94/O94</f>
        <v>2.1354350684162</v>
      </c>
      <c r="R94" s="157" t="n">
        <f aca="false">DataDE1!GH15</f>
        <v>52698.55</v>
      </c>
      <c r="S94" s="155" t="n">
        <f aca="false">R94*(1-DataDE1!GL15)</f>
        <v>37068.16007</v>
      </c>
      <c r="T94" s="155" t="n">
        <f aca="false">DataDE1!GI15</f>
        <v>22951.9464777836</v>
      </c>
      <c r="U94" s="92" t="n">
        <v>248.6</v>
      </c>
      <c r="V94" s="24"/>
      <c r="W94" s="25"/>
      <c r="X94" s="158"/>
      <c r="Y94" s="158"/>
      <c r="Z94" s="25"/>
      <c r="AA94" s="25"/>
      <c r="AB94" s="93"/>
    </row>
    <row r="95" customFormat="false" ht="12" hidden="false" customHeight="false" outlineLevel="0" collapsed="false">
      <c r="A95" s="145" t="n">
        <f aca="false">A94+1</f>
        <v>1955</v>
      </c>
      <c r="B95" s="146" t="n">
        <f aca="false">TableDE8!B13</f>
        <v>93.7018568297592</v>
      </c>
      <c r="C95" s="147" t="n">
        <f aca="false">N95*B95</f>
        <v>150.108909713996</v>
      </c>
      <c r="D95" s="148" t="n">
        <f aca="false">B95*(TableDE15a!$C$149/TableDE15a!$C94)</f>
        <v>440.996934252996</v>
      </c>
      <c r="E95" s="149" t="n">
        <f aca="false">D95*N95</f>
        <v>706.470194162767</v>
      </c>
      <c r="F95" s="150" t="n">
        <f aca="false">1000000*B95/R95</f>
        <v>1760.3039015181</v>
      </c>
      <c r="G95" s="90" t="n">
        <f aca="false">1000000*C95/R95</f>
        <v>2819.97932978266</v>
      </c>
      <c r="H95" s="151" t="n">
        <f aca="false">1000000*B95/S95</f>
        <v>2495.11538131552</v>
      </c>
      <c r="I95" s="152" t="n">
        <f aca="false">1000000*C95/S95</f>
        <v>3997.13583243467</v>
      </c>
      <c r="J95" s="90" t="n">
        <f aca="false">1000000*D95/R95</f>
        <v>8284.66638962617</v>
      </c>
      <c r="K95" s="90" t="n">
        <f aca="false">1000000*E95/R95</f>
        <v>13271.9060343744</v>
      </c>
      <c r="L95" s="151" t="n">
        <f aca="false">1000000*D95/S95</f>
        <v>11742.9714948635</v>
      </c>
      <c r="M95" s="152" t="n">
        <f aca="false">K95/(1-DataDE1!GL16)</f>
        <v>18812.0567461012</v>
      </c>
      <c r="N95" s="153" t="n">
        <f aca="false">TableDE5a!F95</f>
        <v>1.60198436608059</v>
      </c>
      <c r="O95" s="154" t="n">
        <f aca="false">TableDE12!F15</f>
        <v>0.806522328884201</v>
      </c>
      <c r="P95" s="155" t="n">
        <f aca="false">L95*O95</f>
        <v>9470.96871805806</v>
      </c>
      <c r="Q95" s="156" t="n">
        <f aca="false">N95/O95</f>
        <v>1.98628644081917</v>
      </c>
      <c r="R95" s="157" t="n">
        <f aca="false">DataDE1!GH16</f>
        <v>53230.5</v>
      </c>
      <c r="S95" s="155" t="n">
        <f aca="false">R95*(1-DataDE1!GL16)</f>
        <v>37554.11775</v>
      </c>
      <c r="T95" s="155" t="n">
        <f aca="false">DataDE1!GI16</f>
        <v>23829.947660474</v>
      </c>
      <c r="U95" s="92" t="n">
        <v>248.6</v>
      </c>
      <c r="V95" s="24"/>
      <c r="W95" s="25"/>
      <c r="X95" s="158"/>
      <c r="Y95" s="158"/>
      <c r="Z95" s="25"/>
      <c r="AA95" s="25"/>
      <c r="AB95" s="93"/>
    </row>
    <row r="96" customFormat="false" ht="12" hidden="false" customHeight="false" outlineLevel="0" collapsed="false">
      <c r="A96" s="145" t="n">
        <f aca="false">A95+1</f>
        <v>1956</v>
      </c>
      <c r="B96" s="146" t="n">
        <f aca="false">TableDE8!B14</f>
        <v>103.437600145709</v>
      </c>
      <c r="C96" s="147" t="n">
        <f aca="false">N96*B96</f>
        <v>159.435431149165</v>
      </c>
      <c r="D96" s="148" t="n">
        <f aca="false">B96*(TableDE15a!$C$149/TableDE15a!$C95)</f>
        <v>473.849140727837</v>
      </c>
      <c r="E96" s="149" t="n">
        <f aca="false">D96*N96</f>
        <v>730.376013608025</v>
      </c>
      <c r="F96" s="150" t="n">
        <f aca="false">1000000*B96/R96</f>
        <v>1935.99501663825</v>
      </c>
      <c r="G96" s="90" t="n">
        <f aca="false">1000000*C96/R96</f>
        <v>2984.08122138899</v>
      </c>
      <c r="H96" s="151" t="n">
        <f aca="false">1000000*B96/S96</f>
        <v>2736.00200203258</v>
      </c>
      <c r="I96" s="152" t="n">
        <f aca="false">1000000*C96/S96</f>
        <v>4217.18657629874</v>
      </c>
      <c r="J96" s="90" t="n">
        <f aca="false">1000000*D96/R96</f>
        <v>8868.82114236159</v>
      </c>
      <c r="K96" s="90" t="n">
        <f aca="false">1000000*E96/R96</f>
        <v>13670.1191890124</v>
      </c>
      <c r="L96" s="151" t="n">
        <f aca="false">1000000*D96/S96</f>
        <v>12533.6647009067</v>
      </c>
      <c r="M96" s="152" t="n">
        <f aca="false">K96/(1-DataDE1!GL17)</f>
        <v>19318.9926356873</v>
      </c>
      <c r="N96" s="153" t="n">
        <f aca="false">TableDE5a!F96</f>
        <v>1.54136823480604</v>
      </c>
      <c r="O96" s="154" t="n">
        <f aca="false">TableDE12!F16</f>
        <v>0.804920783101322</v>
      </c>
      <c r="P96" s="155" t="n">
        <f aca="false">L96*O96</f>
        <v>10088.6072061832</v>
      </c>
      <c r="Q96" s="156" t="n">
        <f aca="false">N96/O96</f>
        <v>1.91493158974877</v>
      </c>
      <c r="R96" s="157" t="n">
        <f aca="false">DataDE1!GH17</f>
        <v>53428.65</v>
      </c>
      <c r="S96" s="155" t="n">
        <f aca="false">R96*(1-DataDE1!GL17)</f>
        <v>37806.11274</v>
      </c>
      <c r="T96" s="155" t="n">
        <f aca="false">DataDE1!GI17</f>
        <v>24522.6048058051</v>
      </c>
      <c r="U96" s="92" t="n">
        <v>248.6</v>
      </c>
      <c r="V96" s="24"/>
      <c r="W96" s="25"/>
      <c r="X96" s="158"/>
      <c r="Y96" s="158"/>
      <c r="Z96" s="25"/>
      <c r="AA96" s="25"/>
      <c r="AB96" s="93"/>
    </row>
    <row r="97" customFormat="false" ht="12" hidden="false" customHeight="false" outlineLevel="0" collapsed="false">
      <c r="A97" s="145" t="n">
        <f aca="false">A96+1</f>
        <v>1957</v>
      </c>
      <c r="B97" s="146" t="n">
        <f aca="false">TableDE8!B15</f>
        <v>112.53719409896</v>
      </c>
      <c r="C97" s="147" t="n">
        <f aca="false">N97*B97</f>
        <v>173.102802791232</v>
      </c>
      <c r="D97" s="148" t="n">
        <f aca="false">B97*(TableDE15a!$C$149/TableDE15a!$C96)</f>
        <v>500.614389666437</v>
      </c>
      <c r="E97" s="149" t="n">
        <f aca="false">D97*N97</f>
        <v>770.036561358369</v>
      </c>
      <c r="F97" s="150" t="n">
        <f aca="false">1000000*B97/R97</f>
        <v>2095.58664666046</v>
      </c>
      <c r="G97" s="90" t="n">
        <f aca="false">1000000*C97/R97</f>
        <v>3223.39582866993</v>
      </c>
      <c r="H97" s="151" t="n">
        <f aca="false">1000000*B97/S97</f>
        <v>2952.77814098979</v>
      </c>
      <c r="I97" s="152" t="n">
        <f aca="false">1000000*C97/S97</f>
        <v>4541.91324315898</v>
      </c>
      <c r="J97" s="90" t="n">
        <f aca="false">1000000*D97/R97</f>
        <v>9322.08092187324</v>
      </c>
      <c r="K97" s="90" t="n">
        <f aca="false">1000000*E97/R97</f>
        <v>14339.066726721</v>
      </c>
      <c r="L97" s="151" t="n">
        <f aca="false">1000000*D97/S97</f>
        <v>13135.2415413178</v>
      </c>
      <c r="M97" s="152" t="n">
        <f aca="false">K97/(1-DataDE1!GL18)</f>
        <v>20204.4057020163</v>
      </c>
      <c r="N97" s="153" t="n">
        <f aca="false">TableDE5a!F97</f>
        <v>1.53818303519292</v>
      </c>
      <c r="O97" s="154" t="n">
        <f aca="false">TableDE12!F17</f>
        <v>0.813826299901277</v>
      </c>
      <c r="P97" s="155" t="n">
        <f aca="false">L97*O97</f>
        <v>10689.8050218802</v>
      </c>
      <c r="Q97" s="156" t="n">
        <f aca="false">N97/O97</f>
        <v>1.89006307043593</v>
      </c>
      <c r="R97" s="157" t="n">
        <f aca="false">DataDE1!GH18</f>
        <v>53702</v>
      </c>
      <c r="S97" s="155" t="n">
        <f aca="false">R97*(1-DataDE1!GL18)</f>
        <v>38112.3094</v>
      </c>
      <c r="T97" s="155" t="n">
        <f aca="false">DataDE1!GI18</f>
        <v>25082.8733530225</v>
      </c>
      <c r="U97" s="92" t="n">
        <v>248.6</v>
      </c>
      <c r="V97" s="24"/>
      <c r="W97" s="25"/>
      <c r="X97" s="158"/>
      <c r="Y97" s="158"/>
      <c r="Z97" s="25"/>
      <c r="AA97" s="25"/>
      <c r="AB97" s="93"/>
    </row>
    <row r="98" customFormat="false" ht="12" hidden="false" customHeight="false" outlineLevel="0" collapsed="false">
      <c r="A98" s="145" t="n">
        <f aca="false">A97+1</f>
        <v>1958</v>
      </c>
      <c r="B98" s="146" t="n">
        <f aca="false">TableDE8!B16</f>
        <v>120.433115708075</v>
      </c>
      <c r="C98" s="147" t="n">
        <f aca="false">N98*B98</f>
        <v>194.096105983086</v>
      </c>
      <c r="D98" s="148" t="n">
        <f aca="false">B98*(TableDE15a!$C$149/TableDE15a!$C97)</f>
        <v>520.198809538169</v>
      </c>
      <c r="E98" s="149" t="n">
        <f aca="false">D98*N98</f>
        <v>838.378735572532</v>
      </c>
      <c r="F98" s="150" t="n">
        <f aca="false">1000000*B98/R98</f>
        <v>2214.1777934923</v>
      </c>
      <c r="G98" s="90" t="n">
        <f aca="false">1000000*C98/R98</f>
        <v>3568.4810207253</v>
      </c>
      <c r="H98" s="151" t="n">
        <f aca="false">1000000*B98/S98</f>
        <v>3110.67405660621</v>
      </c>
      <c r="I98" s="152" t="n">
        <f aca="false">1000000*C98/S98</f>
        <v>5013.31978185628</v>
      </c>
      <c r="J98" s="90" t="n">
        <f aca="false">1000000*D98/R98</f>
        <v>9563.91973676491</v>
      </c>
      <c r="K98" s="90" t="n">
        <f aca="false">1000000*E98/R98</f>
        <v>15413.697203853</v>
      </c>
      <c r="L98" s="151" t="n">
        <f aca="false">1000000*D98/S98</f>
        <v>13436.2457667391</v>
      </c>
      <c r="M98" s="152" t="n">
        <f aca="false">K98/(1-DataDE1!GL19)</f>
        <v>21654.5338632383</v>
      </c>
      <c r="N98" s="153" t="n">
        <f aca="false">TableDE5a!F98</f>
        <v>1.61165062318547</v>
      </c>
      <c r="O98" s="154" t="n">
        <f aca="false">TableDE12!F18</f>
        <v>0.821037851153641</v>
      </c>
      <c r="P98" s="155" t="n">
        <f aca="false">L98*O98</f>
        <v>11031.6663518957</v>
      </c>
      <c r="Q98" s="156" t="n">
        <f aca="false">N98/O98</f>
        <v>1.96294314680004</v>
      </c>
      <c r="R98" s="157" t="n">
        <f aca="false">DataDE1!GH19</f>
        <v>54391.8</v>
      </c>
      <c r="S98" s="155" t="n">
        <f aca="false">R98*(1-DataDE1!GL19)</f>
        <v>38716.08324</v>
      </c>
      <c r="T98" s="155" t="n">
        <f aca="false">DataDE1!GI19</f>
        <v>25307.4044154234</v>
      </c>
      <c r="U98" s="92" t="n">
        <v>248.6</v>
      </c>
      <c r="V98" s="24"/>
      <c r="W98" s="25"/>
      <c r="X98" s="158"/>
      <c r="Y98" s="158"/>
      <c r="Z98" s="25"/>
      <c r="AA98" s="25"/>
      <c r="AB98" s="93"/>
    </row>
    <row r="99" customFormat="false" ht="12" hidden="false" customHeight="false" outlineLevel="0" collapsed="false">
      <c r="A99" s="145" t="n">
        <f aca="false">A98+1</f>
        <v>1959</v>
      </c>
      <c r="B99" s="146" t="n">
        <f aca="false">TableDE8!B17</f>
        <v>131.635584833392</v>
      </c>
      <c r="C99" s="147" t="n">
        <f aca="false">N99*B99</f>
        <v>218.411663642621</v>
      </c>
      <c r="D99" s="148" t="n">
        <f aca="false">B99*(TableDE15a!$C$149/TableDE15a!$C98)</f>
        <v>559.777913353076</v>
      </c>
      <c r="E99" s="149" t="n">
        <f aca="false">D99*N99</f>
        <v>928.791599023808</v>
      </c>
      <c r="F99" s="150" t="n">
        <f aca="false">1000000*B99/R99</f>
        <v>2393.89004418938</v>
      </c>
      <c r="G99" s="90" t="n">
        <f aca="false">1000000*C99/R99</f>
        <v>3971.97693762422</v>
      </c>
      <c r="H99" s="151" t="n">
        <f aca="false">1000000*B99/S99</f>
        <v>3353.25682054823</v>
      </c>
      <c r="I99" s="152" t="n">
        <f aca="false">1000000*C99/S99</f>
        <v>5563.77214963471</v>
      </c>
      <c r="J99" s="90" t="n">
        <f aca="false">1000000*D99/R99</f>
        <v>10179.9735643603</v>
      </c>
      <c r="K99" s="90" t="n">
        <f aca="false">1000000*E99/R99</f>
        <v>16890.7591730911</v>
      </c>
      <c r="L99" s="151" t="n">
        <f aca="false">1000000*D99/S99</f>
        <v>14259.6632082368</v>
      </c>
      <c r="M99" s="152" t="n">
        <f aca="false">K99/(1-DataDE1!GL20)</f>
        <v>23659.8391554715</v>
      </c>
      <c r="N99" s="153" t="n">
        <f aca="false">TableDE5a!F99</f>
        <v>1.65921444356448</v>
      </c>
      <c r="O99" s="154" t="n">
        <f aca="false">TableDE12!F19</f>
        <v>0.808693510478179</v>
      </c>
      <c r="P99" s="155" t="n">
        <f aca="false">L99*O99</f>
        <v>11531.6970981055</v>
      </c>
      <c r="Q99" s="156" t="n">
        <f aca="false">N99/O99</f>
        <v>2.0517222186974</v>
      </c>
      <c r="R99" s="157" t="n">
        <f aca="false">DataDE1!GH20</f>
        <v>54988.15</v>
      </c>
      <c r="S99" s="155" t="n">
        <f aca="false">R99*(1-DataDE1!GL20)</f>
        <v>39256.040285</v>
      </c>
      <c r="T99" s="155" t="n">
        <f aca="false">DataDE1!GI20</f>
        <v>25599.7184400585</v>
      </c>
      <c r="U99" s="92" t="n">
        <v>248.6</v>
      </c>
      <c r="V99" s="24"/>
      <c r="W99" s="25"/>
      <c r="X99" s="158"/>
      <c r="Y99" s="158"/>
      <c r="Z99" s="25"/>
      <c r="AA99" s="25"/>
      <c r="AB99" s="93"/>
    </row>
    <row r="100" customFormat="false" ht="12" hidden="false" customHeight="false" outlineLevel="0" collapsed="false">
      <c r="A100" s="131" t="n">
        <f aca="false">A99+1</f>
        <v>1960</v>
      </c>
      <c r="B100" s="132" t="n">
        <f aca="false">TableDE8!B18</f>
        <v>147.636954320336</v>
      </c>
      <c r="C100" s="133" t="n">
        <f aca="false">N100*B100</f>
        <v>254.365280205183</v>
      </c>
      <c r="D100" s="134" t="n">
        <f aca="false">B100*(TableDE15a!$C$149/TableDE15a!$C99)</f>
        <v>608.431680029515</v>
      </c>
      <c r="E100" s="135" t="n">
        <f aca="false">D100*N100</f>
        <v>1048.27341832464</v>
      </c>
      <c r="F100" s="136" t="n">
        <f aca="false">1000000*B100/R100</f>
        <v>2654.97321990185</v>
      </c>
      <c r="G100" s="137" t="n">
        <f aca="false">1000000*C100/R100</f>
        <v>4574.28162296198</v>
      </c>
      <c r="H100" s="138" t="n">
        <f aca="false">1000000*B100/S100</f>
        <v>3708.0631562875</v>
      </c>
      <c r="I100" s="139" t="n">
        <f aca="false">1000000*C100/S100</f>
        <v>6388.66148458378</v>
      </c>
      <c r="J100" s="137" t="n">
        <f aca="false">1000000*D100/R100</f>
        <v>10941.5005481168</v>
      </c>
      <c r="K100" s="137" t="n">
        <f aca="false">1000000*E100/R100</f>
        <v>18851.227767461</v>
      </c>
      <c r="L100" s="138" t="n">
        <f aca="false">1000000*D100/S100</f>
        <v>15281.4253465319</v>
      </c>
      <c r="M100" s="139" t="n">
        <f aca="false">K100/(1-DataDE1!GL21)</f>
        <v>26328.5304014819</v>
      </c>
      <c r="N100" s="140" t="n">
        <f aca="false">TableDE5a!F100</f>
        <v>1.72291064507652</v>
      </c>
      <c r="O100" s="141" t="n">
        <f aca="false">TableDE12!F20</f>
        <v>0.796279167778889</v>
      </c>
      <c r="P100" s="142" t="n">
        <f aca="false">L100*O100</f>
        <v>12168.2806574116</v>
      </c>
      <c r="Q100" s="159" t="n">
        <f aca="false">N100/O100</f>
        <v>2.163701770426</v>
      </c>
      <c r="R100" s="144" t="n">
        <f aca="false">DataDE1!GH21</f>
        <v>55607.7</v>
      </c>
      <c r="S100" s="142" t="n">
        <f aca="false">R100*(1-DataDE1!GL21)</f>
        <v>39815.1132</v>
      </c>
      <c r="T100" s="142" t="n">
        <f aca="false">DataDE1!GI21</f>
        <v>26053.017</v>
      </c>
      <c r="U100" s="110" t="n">
        <v>248.6</v>
      </c>
      <c r="V100" s="24"/>
      <c r="W100" s="25"/>
      <c r="X100" s="158"/>
      <c r="Y100" s="158"/>
      <c r="Z100" s="25"/>
      <c r="AA100" s="25"/>
      <c r="AB100" s="93"/>
    </row>
    <row r="101" customFormat="false" ht="12" hidden="false" customHeight="false" outlineLevel="0" collapsed="false">
      <c r="A101" s="145" t="n">
        <f aca="false">A100+1</f>
        <v>1961</v>
      </c>
      <c r="B101" s="146" t="n">
        <f aca="false">TableDE8!B19</f>
        <v>160.780980025015</v>
      </c>
      <c r="C101" s="147" t="n">
        <f aca="false">N101*B101</f>
        <v>297.59428864005</v>
      </c>
      <c r="D101" s="148" t="n">
        <f aca="false">B101*(TableDE15a!$C$149/TableDE15a!$C100)</f>
        <v>632.697874885159</v>
      </c>
      <c r="E101" s="149" t="n">
        <f aca="false">D101*N101</f>
        <v>1171.07927797943</v>
      </c>
      <c r="F101" s="150" t="n">
        <f aca="false">1000000*B101/R101</f>
        <v>2857.12351336506</v>
      </c>
      <c r="G101" s="90" t="n">
        <f aca="false">1000000*C101/R101</f>
        <v>5288.33472332576</v>
      </c>
      <c r="H101" s="151" t="n">
        <f aca="false">1000000*B101/S101</f>
        <v>3997.65427922912</v>
      </c>
      <c r="I101" s="152" t="n">
        <f aca="false">1000000*C101/S101</f>
        <v>7399.37697401114</v>
      </c>
      <c r="J101" s="90" t="n">
        <f aca="false">1000000*D101/R101</f>
        <v>11243.2202795955</v>
      </c>
      <c r="K101" s="90" t="n">
        <f aca="false">1000000*E101/R101</f>
        <v>20810.4101654874</v>
      </c>
      <c r="L101" s="151" t="n">
        <f aca="false">1000000*D101/S101</f>
        <v>15731.3841886043</v>
      </c>
      <c r="M101" s="152" t="n">
        <f aca="false">K101/(1-DataDE1!GL22)</f>
        <v>29117.6859738175</v>
      </c>
      <c r="N101" s="153" t="n">
        <f aca="false">TableDE5a!F101</f>
        <v>1.85092968455441</v>
      </c>
      <c r="O101" s="154" t="n">
        <f aca="false">TableDE12!F21</f>
        <v>0.781843774921514</v>
      </c>
      <c r="P101" s="155" t="n">
        <f aca="false">L101*O101</f>
        <v>12299.484798759</v>
      </c>
      <c r="Q101" s="156" t="n">
        <f aca="false">N101/O101</f>
        <v>2.3673907037761</v>
      </c>
      <c r="R101" s="157" t="n">
        <f aca="false">DataDE1!GH22</f>
        <v>56273.724</v>
      </c>
      <c r="S101" s="155" t="n">
        <f aca="false">R101*(1-DataDE1!GL22)</f>
        <v>40218.8305428</v>
      </c>
      <c r="T101" s="155" t="n">
        <f aca="false">DataDE1!GI22</f>
        <v>26420.825</v>
      </c>
      <c r="U101" s="92" t="n">
        <v>248.6</v>
      </c>
      <c r="V101" s="24"/>
      <c r="W101" s="25"/>
      <c r="X101" s="158"/>
      <c r="Y101" s="158"/>
      <c r="Z101" s="25"/>
      <c r="AA101" s="25"/>
      <c r="AB101" s="93"/>
    </row>
    <row r="102" customFormat="false" ht="12" hidden="false" customHeight="false" outlineLevel="0" collapsed="false">
      <c r="A102" s="145" t="n">
        <f aca="false">A101+1</f>
        <v>1962</v>
      </c>
      <c r="B102" s="146" t="n">
        <f aca="false">TableDE8!B20</f>
        <v>173.972243457862</v>
      </c>
      <c r="C102" s="147" t="n">
        <f aca="false">N102*B102</f>
        <v>334.824290947867</v>
      </c>
      <c r="D102" s="148" t="n">
        <f aca="false">B102*(TableDE15a!$C$149/TableDE15a!$C101)</f>
        <v>658.515369471787</v>
      </c>
      <c r="E102" s="149" t="n">
        <f aca="false">D102*N102</f>
        <v>1267.36850246498</v>
      </c>
      <c r="F102" s="150" t="n">
        <f aca="false">1000000*B102/R102</f>
        <v>3056.53117328826</v>
      </c>
      <c r="G102" s="90" t="n">
        <f aca="false">1000000*C102/R102</f>
        <v>5882.55265618949</v>
      </c>
      <c r="H102" s="151" t="n">
        <f aca="false">1000000*B102/S102</f>
        <v>4284.4563685005</v>
      </c>
      <c r="I102" s="152" t="n">
        <f aca="false">1000000*C102/S102</f>
        <v>8245.79850881622</v>
      </c>
      <c r="J102" s="90" t="n">
        <f aca="false">1000000*D102/R102</f>
        <v>11569.5050823867</v>
      </c>
      <c r="K102" s="90" t="n">
        <f aca="false">1000000*E102/R102</f>
        <v>22266.4906701978</v>
      </c>
      <c r="L102" s="151" t="n">
        <f aca="false">1000000*D102/S102</f>
        <v>16217.4167120643</v>
      </c>
      <c r="M102" s="152" t="n">
        <f aca="false">K102/(1-DataDE1!GL23)</f>
        <v>31211.789557328</v>
      </c>
      <c r="N102" s="153" t="n">
        <f aca="false">TableDE5a!F102</f>
        <v>1.92458454459699</v>
      </c>
      <c r="O102" s="154" t="n">
        <f aca="false">TableDE12!F22</f>
        <v>0.777303577133665</v>
      </c>
      <c r="P102" s="155" t="n">
        <f aca="false">L102*O102</f>
        <v>12605.8560221549</v>
      </c>
      <c r="Q102" s="156" t="n">
        <f aca="false">N102/O102</f>
        <v>2.47597541194133</v>
      </c>
      <c r="R102" s="157" t="n">
        <f aca="false">DataDE1!GH23</f>
        <v>56918.197</v>
      </c>
      <c r="S102" s="155" t="n">
        <f aca="false">R102*(1-DataDE1!GL23)</f>
        <v>40605.4417398</v>
      </c>
      <c r="T102" s="155" t="n">
        <f aca="false">DataDE1!GI23</f>
        <v>26518.01</v>
      </c>
      <c r="U102" s="92" t="n">
        <v>248.6</v>
      </c>
      <c r="V102" s="24"/>
      <c r="W102" s="25"/>
      <c r="X102" s="158"/>
      <c r="Y102" s="158"/>
      <c r="Z102" s="25"/>
      <c r="AA102" s="25"/>
      <c r="AB102" s="93"/>
    </row>
    <row r="103" customFormat="false" ht="12" hidden="false" customHeight="false" outlineLevel="0" collapsed="false">
      <c r="A103" s="145" t="n">
        <f aca="false">A102+1</f>
        <v>1963</v>
      </c>
      <c r="B103" s="146" t="n">
        <f aca="false">TableDE8!B21</f>
        <v>183.375176190734</v>
      </c>
      <c r="C103" s="147" t="n">
        <f aca="false">N103*B103</f>
        <v>372.654280520784</v>
      </c>
      <c r="D103" s="148" t="n">
        <f aca="false">B103*(TableDE15a!$C$149/TableDE15a!$C102)</f>
        <v>673.094695639308</v>
      </c>
      <c r="E103" s="149" t="n">
        <f aca="false">D103*N103</f>
        <v>1367.86027823594</v>
      </c>
      <c r="F103" s="150" t="n">
        <f aca="false">1000000*B103/R103</f>
        <v>3186.03736326902</v>
      </c>
      <c r="G103" s="90" t="n">
        <f aca="false">1000000*C103/R103</f>
        <v>6474.6520547929</v>
      </c>
      <c r="H103" s="151" t="n">
        <f aca="false">1000000*B103/S103</f>
        <v>4474.14318672801</v>
      </c>
      <c r="I103" s="152" t="n">
        <f aca="false">1000000*C103/S103</f>
        <v>9092.33542310477</v>
      </c>
      <c r="J103" s="90" t="n">
        <f aca="false">1000000*D103/R103</f>
        <v>11694.6300686547</v>
      </c>
      <c r="K103" s="90" t="n">
        <f aca="false">1000000*E103/R103</f>
        <v>23765.7792331624</v>
      </c>
      <c r="L103" s="151" t="n">
        <f aca="false">1000000*D103/S103</f>
        <v>16422.7356672584</v>
      </c>
      <c r="M103" s="152" t="n">
        <f aca="false">K103/(1-DataDE1!GL24)</f>
        <v>33374.2160274714</v>
      </c>
      <c r="N103" s="153" t="n">
        <f aca="false">TableDE5a!F103</f>
        <v>2.03219589620557</v>
      </c>
      <c r="O103" s="154" t="n">
        <f aca="false">TableDE12!F23</f>
        <v>0.774946404011977</v>
      </c>
      <c r="P103" s="155" t="n">
        <f aca="false">L103*O103</f>
        <v>12726.7399493811</v>
      </c>
      <c r="Q103" s="156" t="n">
        <f aca="false">N103/O103</f>
        <v>2.6223696060588</v>
      </c>
      <c r="R103" s="157" t="n">
        <f aca="false">DataDE1!GH24</f>
        <v>57555.8775</v>
      </c>
      <c r="S103" s="155" t="n">
        <f aca="false">R103*(1-DataDE1!GL24)</f>
        <v>40985.54036775</v>
      </c>
      <c r="T103" s="155" t="n">
        <f aca="false">DataDE1!GI24</f>
        <v>26585.397</v>
      </c>
      <c r="U103" s="92" t="n">
        <v>248.6</v>
      </c>
      <c r="V103" s="24"/>
      <c r="W103" s="25"/>
      <c r="X103" s="158"/>
      <c r="Y103" s="158"/>
      <c r="Z103" s="25"/>
      <c r="AA103" s="25"/>
      <c r="AB103" s="93"/>
    </row>
    <row r="104" customFormat="false" ht="12" hidden="false" customHeight="false" outlineLevel="0" collapsed="false">
      <c r="A104" s="145" t="n">
        <f aca="false">A103+1</f>
        <v>1964</v>
      </c>
      <c r="B104" s="146" t="n">
        <f aca="false">TableDE8!B22</f>
        <v>201.143744286343</v>
      </c>
      <c r="C104" s="147" t="n">
        <f aca="false">N104*B104</f>
        <v>414.187217013075</v>
      </c>
      <c r="D104" s="148" t="n">
        <f aca="false">B104*(TableDE15a!$C$149/TableDE15a!$C103)</f>
        <v>716.298047246754</v>
      </c>
      <c r="E104" s="149" t="n">
        <f aca="false">D104*N104</f>
        <v>1474.97251676237</v>
      </c>
      <c r="F104" s="150" t="n">
        <f aca="false">1000000*B104/R104</f>
        <v>3454.53600414013</v>
      </c>
      <c r="G104" s="90" t="n">
        <f aca="false">1000000*C104/R104</f>
        <v>7113.44346652603</v>
      </c>
      <c r="H104" s="151" t="n">
        <f aca="false">1000000*B104/S104</f>
        <v>4860.06753536878</v>
      </c>
      <c r="I104" s="152" t="n">
        <f aca="false">1000000*C104/S104</f>
        <v>10007.6582252758</v>
      </c>
      <c r="J104" s="90" t="n">
        <f aca="false">1000000*D104/R104</f>
        <v>12302.035058006</v>
      </c>
      <c r="K104" s="90" t="n">
        <f aca="false">1000000*E104/R104</f>
        <v>25331.8624566279</v>
      </c>
      <c r="L104" s="151" t="n">
        <f aca="false">1000000*D104/S104</f>
        <v>17307.3087478981</v>
      </c>
      <c r="M104" s="152" t="n">
        <f aca="false">K104/(1-DataDE1!GL25)</f>
        <v>35638.5234336352</v>
      </c>
      <c r="N104" s="153" t="n">
        <f aca="false">TableDE5a!F104</f>
        <v>2.05916032080744</v>
      </c>
      <c r="O104" s="154" t="n">
        <f aca="false">TableDE12!F24</f>
        <v>0.779444179390359</v>
      </c>
      <c r="P104" s="155" t="n">
        <f aca="false">L104*O104</f>
        <v>13490.081064461</v>
      </c>
      <c r="Q104" s="156" t="n">
        <f aca="false">N104/O104</f>
        <v>2.64183167345993</v>
      </c>
      <c r="R104" s="157" t="n">
        <f aca="false">DataDE1!GH25</f>
        <v>58225.98</v>
      </c>
      <c r="S104" s="155" t="n">
        <f aca="false">R104*(1-DataDE1!GL25)</f>
        <v>41387.026584</v>
      </c>
      <c r="T104" s="155" t="n">
        <f aca="false">DataDE1!GI25</f>
        <v>26613.495</v>
      </c>
      <c r="U104" s="92" t="n">
        <v>248.6</v>
      </c>
      <c r="V104" s="24"/>
      <c r="W104" s="25"/>
      <c r="X104" s="158"/>
      <c r="Y104" s="158"/>
      <c r="Z104" s="25"/>
      <c r="AA104" s="25"/>
      <c r="AB104" s="93"/>
    </row>
    <row r="105" customFormat="false" ht="12" hidden="false" customHeight="false" outlineLevel="0" collapsed="false">
      <c r="A105" s="145" t="n">
        <f aca="false">A104+1</f>
        <v>1965</v>
      </c>
      <c r="B105" s="146" t="n">
        <f aca="false">TableDE8!B23</f>
        <v>219.320184347369</v>
      </c>
      <c r="C105" s="147" t="n">
        <f aca="false">N105*B105</f>
        <v>456.23672326461</v>
      </c>
      <c r="D105" s="148" t="n">
        <f aca="false">B105*(TableDE15a!$C$149/TableDE15a!$C104)</f>
        <v>752.773120301056</v>
      </c>
      <c r="E105" s="149" t="n">
        <f aca="false">D105*N105</f>
        <v>1565.942244622</v>
      </c>
      <c r="F105" s="150" t="n">
        <f aca="false">1000000*B105/R105</f>
        <v>3720.94781662423</v>
      </c>
      <c r="G105" s="90" t="n">
        <f aca="false">1000000*C105/R105</f>
        <v>7740.4323015088</v>
      </c>
      <c r="H105" s="151" t="n">
        <f aca="false">1000000*B105/S105</f>
        <v>5244.46485782132</v>
      </c>
      <c r="I105" s="152" t="n">
        <f aca="false">1000000*C105/S105</f>
        <v>10909.7002135431</v>
      </c>
      <c r="J105" s="90" t="n">
        <f aca="false">1000000*D105/R105</f>
        <v>12771.4168521818</v>
      </c>
      <c r="K105" s="90" t="n">
        <f aca="false">1000000*E105/R105</f>
        <v>26567.5017255007</v>
      </c>
      <c r="L105" s="151" t="n">
        <f aca="false">1000000*D105/S105</f>
        <v>18000.5875295023</v>
      </c>
      <c r="M105" s="152" t="n">
        <f aca="false">K105/(1-DataDE1!GL26)</f>
        <v>37445.3865052864</v>
      </c>
      <c r="N105" s="153" t="n">
        <f aca="false">TableDE5a!F105</f>
        <v>2.08023135044425</v>
      </c>
      <c r="O105" s="154" t="n">
        <f aca="false">TableDE12!F25</f>
        <v>0.794272585504152</v>
      </c>
      <c r="P105" s="155" t="n">
        <f aca="false">L105*O105</f>
        <v>14297.3731976516</v>
      </c>
      <c r="Q105" s="156" t="n">
        <f aca="false">N105/O105</f>
        <v>2.61903959473039</v>
      </c>
      <c r="R105" s="157" t="n">
        <f aca="false">DataDE1!GH26</f>
        <v>58942.021</v>
      </c>
      <c r="S105" s="155" t="n">
        <f aca="false">R105*(1-DataDE1!GL26)</f>
        <v>41819.3638995</v>
      </c>
      <c r="T105" s="155" t="n">
        <f aca="false">DataDE1!GI26</f>
        <v>26768.482</v>
      </c>
      <c r="U105" s="92" t="n">
        <v>248.6</v>
      </c>
      <c r="V105" s="24"/>
      <c r="W105" s="25"/>
      <c r="X105" s="158"/>
      <c r="Y105" s="158"/>
      <c r="Z105" s="25"/>
      <c r="AA105" s="25"/>
      <c r="AB105" s="93"/>
    </row>
    <row r="106" customFormat="false" ht="12" hidden="false" customHeight="false" outlineLevel="0" collapsed="false">
      <c r="A106" s="145" t="n">
        <f aca="false">A105+1</f>
        <v>1966</v>
      </c>
      <c r="B106" s="146" t="n">
        <f aca="false">TableDE8!B24</f>
        <v>232.323428114566</v>
      </c>
      <c r="C106" s="147" t="n">
        <f aca="false">N106*B106</f>
        <v>501.053341616563</v>
      </c>
      <c r="D106" s="148" t="n">
        <f aca="false">B106*(TableDE15a!$C$149/TableDE15a!$C105)</f>
        <v>770.575529288917</v>
      </c>
      <c r="E106" s="149" t="n">
        <f aca="false">D106*N106</f>
        <v>1661.90490150553</v>
      </c>
      <c r="F106" s="150" t="n">
        <f aca="false">1000000*B106/R106</f>
        <v>3901.66016892864</v>
      </c>
      <c r="G106" s="90" t="n">
        <f aca="false">1000000*C106/R106</f>
        <v>8414.73406861877</v>
      </c>
      <c r="H106" s="151" t="n">
        <f aca="false">1000000*B106/S106</f>
        <v>5509.26315861146</v>
      </c>
      <c r="I106" s="152" t="n">
        <f aca="false">1000000*C106/S106</f>
        <v>11881.8611530906</v>
      </c>
      <c r="J106" s="90" t="n">
        <f aca="false">1000000*D106/R106</f>
        <v>12941.113490694</v>
      </c>
      <c r="K106" s="90" t="n">
        <f aca="false">1000000*E106/R106</f>
        <v>27910.1776836465</v>
      </c>
      <c r="L106" s="151" t="n">
        <f aca="false">1000000*D106/S106</f>
        <v>18273.246950994</v>
      </c>
      <c r="M106" s="152" t="n">
        <f aca="false">K106/(1-DataDE1!GL27)</f>
        <v>39410.0221457872</v>
      </c>
      <c r="N106" s="153" t="n">
        <f aca="false">TableDE5a!F106</f>
        <v>2.15670604416821</v>
      </c>
      <c r="O106" s="154" t="n">
        <f aca="false">TableDE12!F26</f>
        <v>0.789199673627094</v>
      </c>
      <c r="P106" s="155" t="n">
        <f aca="false">L106*O106</f>
        <v>14421.2405298318</v>
      </c>
      <c r="Q106" s="156" t="n">
        <f aca="false">N106/O106</f>
        <v>2.73277614808959</v>
      </c>
      <c r="R106" s="157" t="n">
        <f aca="false">DataDE1!GH27</f>
        <v>59544.7625</v>
      </c>
      <c r="S106" s="155" t="n">
        <f aca="false">R106*(1-DataDE1!GL27)</f>
        <v>42169.6008025</v>
      </c>
      <c r="T106" s="155" t="n">
        <f aca="false">DataDE1!GI27</f>
        <v>26688.264</v>
      </c>
      <c r="U106" s="92" t="n">
        <v>248.6</v>
      </c>
      <c r="V106" s="24"/>
      <c r="W106" s="25"/>
      <c r="X106" s="158"/>
      <c r="Y106" s="158"/>
      <c r="Z106" s="25"/>
      <c r="AA106" s="25"/>
      <c r="AB106" s="93"/>
    </row>
    <row r="107" customFormat="false" ht="12" hidden="false" customHeight="false" outlineLevel="0" collapsed="false">
      <c r="A107" s="145" t="n">
        <f aca="false">A106+1</f>
        <v>1967</v>
      </c>
      <c r="B107" s="146" t="n">
        <f aca="false">TableDE8!B25</f>
        <v>234.034914214422</v>
      </c>
      <c r="C107" s="147" t="n">
        <f aca="false">N107*B107</f>
        <v>552.792286839515</v>
      </c>
      <c r="D107" s="148" t="n">
        <f aca="false">B107*(TableDE15a!$C$149/TableDE15a!$C106)</f>
        <v>764.475496619115</v>
      </c>
      <c r="E107" s="149" t="n">
        <f aca="false">D107*N107</f>
        <v>1805.69706630043</v>
      </c>
      <c r="F107" s="150" t="n">
        <f aca="false">1000000*B107/R107</f>
        <v>3909.00554993343</v>
      </c>
      <c r="G107" s="90" t="n">
        <f aca="false">1000000*C107/R107</f>
        <v>9233.1014988485</v>
      </c>
      <c r="H107" s="151" t="n">
        <f aca="false">1000000*B107/S107</f>
        <v>5529.78575460947</v>
      </c>
      <c r="I107" s="152" t="n">
        <f aca="false">1000000*C107/S107</f>
        <v>13061.3969427762</v>
      </c>
      <c r="J107" s="90" t="n">
        <f aca="false">1000000*D107/R107</f>
        <v>12768.7741339924</v>
      </c>
      <c r="K107" s="90" t="n">
        <f aca="false">1000000*E107/R107</f>
        <v>30159.9437731754</v>
      </c>
      <c r="L107" s="151" t="n">
        <f aca="false">1000000*D107/S107</f>
        <v>18063.0557844</v>
      </c>
      <c r="M107" s="152" t="n">
        <f aca="false">K107/(1-DataDE1!GL28)</f>
        <v>42665.0781909399</v>
      </c>
      <c r="N107" s="153" t="n">
        <f aca="false">TableDE5a!F107</f>
        <v>2.36200777433169</v>
      </c>
      <c r="O107" s="154" t="n">
        <f aca="false">TableDE12!F27</f>
        <v>0.795775297740516</v>
      </c>
      <c r="P107" s="155" t="n">
        <f aca="false">L107*O107</f>
        <v>14374.1335949345</v>
      </c>
      <c r="Q107" s="156" t="n">
        <f aca="false">N107/O107</f>
        <v>2.96818433675719</v>
      </c>
      <c r="R107" s="157" t="n">
        <f aca="false">DataDE1!GH28</f>
        <v>59870.704</v>
      </c>
      <c r="S107" s="155" t="n">
        <f aca="false">R107*(1-DataDE1!GL28)</f>
        <v>42322.6006576</v>
      </c>
      <c r="T107" s="155" t="n">
        <f aca="false">DataDE1!GI28</f>
        <v>25818.206</v>
      </c>
      <c r="U107" s="92" t="n">
        <v>248.6</v>
      </c>
      <c r="V107" s="24"/>
      <c r="W107" s="25"/>
      <c r="X107" s="158"/>
      <c r="Y107" s="158"/>
      <c r="Z107" s="25"/>
      <c r="AA107" s="25"/>
      <c r="AB107" s="93"/>
    </row>
    <row r="108" customFormat="false" ht="12" hidden="false" customHeight="false" outlineLevel="0" collapsed="false">
      <c r="A108" s="145" t="n">
        <f aca="false">A107+1</f>
        <v>1968</v>
      </c>
      <c r="B108" s="146" t="n">
        <f aca="false">TableDE8!B26</f>
        <v>253.708420528518</v>
      </c>
      <c r="C108" s="147" t="n">
        <f aca="false">N108*B108</f>
        <v>609.377843718029</v>
      </c>
      <c r="D108" s="148" t="n">
        <f aca="false">B108*(TableDE15a!$C$149/TableDE15a!$C107)</f>
        <v>809.149432910318</v>
      </c>
      <c r="E108" s="149" t="n">
        <f aca="false">D108*N108</f>
        <v>1943.48195320199</v>
      </c>
      <c r="F108" s="150" t="n">
        <f aca="false">1000000*B108/R108</f>
        <v>4214.02284299154</v>
      </c>
      <c r="G108" s="90" t="n">
        <f aca="false">1000000*C108/R108</f>
        <v>10121.5881920327</v>
      </c>
      <c r="H108" s="151" t="n">
        <f aca="false">1000000*B108/S108</f>
        <v>5972.25459607644</v>
      </c>
      <c r="I108" s="152" t="n">
        <f aca="false">1000000*C108/S108</f>
        <v>14344.6544671665</v>
      </c>
      <c r="J108" s="90" t="n">
        <f aca="false">1000000*D108/R108</f>
        <v>13439.7360031433</v>
      </c>
      <c r="K108" s="90" t="n">
        <f aca="false">1000000*E108/R108</f>
        <v>32280.6682122497</v>
      </c>
      <c r="L108" s="151" t="n">
        <f aca="false">1000000*D108/S108</f>
        <v>19047.2449024139</v>
      </c>
      <c r="M108" s="152" t="n">
        <f aca="false">K108/(1-DataDE1!GL29)</f>
        <v>45749.2463325535</v>
      </c>
      <c r="N108" s="153" t="n">
        <f aca="false">TableDE5a!F108</f>
        <v>2.40188261173434</v>
      </c>
      <c r="O108" s="154" t="n">
        <f aca="false">TableDE12!F28</f>
        <v>0.782805810065987</v>
      </c>
      <c r="P108" s="155" t="n">
        <f aca="false">L108*O108</f>
        <v>14910.2939753594</v>
      </c>
      <c r="Q108" s="156" t="n">
        <f aca="false">N108/O108</f>
        <v>3.0682994183856</v>
      </c>
      <c r="R108" s="157" t="n">
        <f aca="false">DataDE1!GH29</f>
        <v>60205.7535</v>
      </c>
      <c r="S108" s="155" t="n">
        <f aca="false">R108*(1-DataDE1!GL29)</f>
        <v>42481.1796696</v>
      </c>
      <c r="T108" s="155" t="n">
        <f aca="false">DataDE1!GI29</f>
        <v>25842.9</v>
      </c>
      <c r="U108" s="92" t="n">
        <v>248.6</v>
      </c>
      <c r="V108" s="24"/>
      <c r="W108" s="25"/>
      <c r="X108" s="158"/>
      <c r="Y108" s="158"/>
      <c r="Z108" s="25"/>
      <c r="AA108" s="25"/>
      <c r="AB108" s="93"/>
    </row>
    <row r="109" customFormat="false" ht="12" hidden="false" customHeight="false" outlineLevel="0" collapsed="false">
      <c r="A109" s="160" t="n">
        <f aca="false">A108+1</f>
        <v>1969</v>
      </c>
      <c r="B109" s="161" t="n">
        <f aca="false">TableDE8!B27</f>
        <v>284.726698676712</v>
      </c>
      <c r="C109" s="162" t="n">
        <f aca="false">N109*B109</f>
        <v>667.060712226549</v>
      </c>
      <c r="D109" s="163" t="n">
        <f aca="false">B109*(TableDE15a!$C$149/TableDE15a!$C108)</f>
        <v>872.925962313461</v>
      </c>
      <c r="E109" s="164" t="n">
        <f aca="false">D109*N109</f>
        <v>2045.10014989152</v>
      </c>
      <c r="F109" s="165" t="n">
        <f aca="false">1000000*B109/R109</f>
        <v>4680.78677381883</v>
      </c>
      <c r="G109" s="108" t="n">
        <f aca="false">1000000*C109/R109</f>
        <v>10966.196614633</v>
      </c>
      <c r="H109" s="166" t="n">
        <f aca="false">1000000*B109/S109</f>
        <v>6646.01274147215</v>
      </c>
      <c r="I109" s="167" t="n">
        <f aca="false">1000000*C109/S109</f>
        <v>15570.3487358129</v>
      </c>
      <c r="J109" s="108" t="n">
        <f aca="false">1000000*D109/R109</f>
        <v>14350.5344525463</v>
      </c>
      <c r="K109" s="108" t="n">
        <f aca="false">1000000*E109/R109</f>
        <v>33620.5834480463</v>
      </c>
      <c r="L109" s="166" t="n">
        <f aca="false">1000000*D109/S109</f>
        <v>20375.5991091102</v>
      </c>
      <c r="M109" s="167" t="n">
        <f aca="false">K109/(1-DataDE1!GL30)</f>
        <v>47736.1684623688</v>
      </c>
      <c r="N109" s="168" t="n">
        <f aca="false">TableDE5a!F109</f>
        <v>2.34281054543449</v>
      </c>
      <c r="O109" s="169" t="n">
        <f aca="false">TableDE12!F29</f>
        <v>0.764248434956551</v>
      </c>
      <c r="P109" s="170" t="n">
        <f aca="false">L109*O109</f>
        <v>15572.0197304395</v>
      </c>
      <c r="Q109" s="171" t="n">
        <f aca="false">N109/O109</f>
        <v>3.06550911755244</v>
      </c>
      <c r="R109" s="157" t="n">
        <f aca="false">DataDE1!GH30</f>
        <v>60828.812</v>
      </c>
      <c r="S109" s="155" t="n">
        <f aca="false">R109*(1-DataDE1!GL30)</f>
        <v>42841.7322916</v>
      </c>
      <c r="T109" s="155" t="n">
        <f aca="false">DataDE1!GI30</f>
        <v>26251.112</v>
      </c>
      <c r="U109" s="92" t="n">
        <v>248.6</v>
      </c>
      <c r="V109" s="24"/>
      <c r="W109" s="25"/>
      <c r="X109" s="158"/>
      <c r="Y109" s="158"/>
      <c r="Z109" s="25"/>
      <c r="AA109" s="25"/>
      <c r="AB109" s="93"/>
    </row>
    <row r="110" customFormat="false" ht="12" hidden="false" customHeight="false" outlineLevel="0" collapsed="false">
      <c r="A110" s="145" t="n">
        <f aca="false">A109+1</f>
        <v>1970</v>
      </c>
      <c r="B110" s="146" t="n">
        <f aca="false">TableDE8!B28</f>
        <v>321.12</v>
      </c>
      <c r="C110" s="147" t="n">
        <f aca="false">N110*B110</f>
        <v>722.610915381989</v>
      </c>
      <c r="D110" s="148" t="n">
        <f aca="false">B110*(TableDE15a!$C$149/TableDE15a!$C109)</f>
        <v>914.319408652464</v>
      </c>
      <c r="E110" s="149" t="n">
        <f aca="false">D110*N110</f>
        <v>2057.47753125895</v>
      </c>
      <c r="F110" s="150" t="n">
        <f aca="false">1000000*B110/R110</f>
        <v>5255.82905887361</v>
      </c>
      <c r="G110" s="90" t="n">
        <f aca="false">1000000*C110/R110</f>
        <v>11827.1034109489</v>
      </c>
      <c r="H110" s="151" t="n">
        <f aca="false">1000000*B110/S110</f>
        <v>7476.28600124269</v>
      </c>
      <c r="I110" s="152" t="n">
        <f aca="false">1000000*C110/S110</f>
        <v>16823.7601862716</v>
      </c>
      <c r="J110" s="90" t="n">
        <f aca="false">1000000*D110/R110</f>
        <v>14964.8309575478</v>
      </c>
      <c r="K110" s="90" t="n">
        <f aca="false">1000000*E110/R110</f>
        <v>33675.1064921847</v>
      </c>
      <c r="L110" s="151" t="n">
        <f aca="false">1000000*D110/S110</f>
        <v>21287.0995128703</v>
      </c>
      <c r="M110" s="152" t="n">
        <f aca="false">K110/(1-DataDE1!GL31)</f>
        <v>47902.0007001204</v>
      </c>
      <c r="N110" s="153" t="n">
        <f aca="false">TableDE5a!F110</f>
        <v>2.25028311964994</v>
      </c>
      <c r="O110" s="154" t="n">
        <f aca="false">TableDE12!F30</f>
        <v>0.763546350274041</v>
      </c>
      <c r="P110" s="155" t="n">
        <f aca="false">L110*O110</f>
        <v>16253.6871409724</v>
      </c>
      <c r="Q110" s="156" t="n">
        <f aca="false">N110/O110</f>
        <v>2.94714671721278</v>
      </c>
      <c r="R110" s="144" t="n">
        <f aca="false">DataDE1!GH31</f>
        <v>61097.8775</v>
      </c>
      <c r="S110" s="142" t="n">
        <f aca="false">R110*(1-DataDE1!GL31)</f>
        <v>42951.8078825</v>
      </c>
      <c r="T110" s="142" t="n">
        <f aca="false">DataDE1!GI31</f>
        <v>26589</v>
      </c>
      <c r="U110" s="110" t="n">
        <v>248.6</v>
      </c>
      <c r="V110" s="24"/>
      <c r="W110" s="25"/>
      <c r="X110" s="158"/>
      <c r="Y110" s="158"/>
      <c r="Z110" s="25"/>
      <c r="AA110" s="25"/>
      <c r="AB110" s="93"/>
    </row>
    <row r="111" customFormat="false" ht="12" hidden="false" customHeight="false" outlineLevel="0" collapsed="false">
      <c r="A111" s="145" t="n">
        <v>1971</v>
      </c>
      <c r="B111" s="146" t="n">
        <f aca="false">TableDE8!B29</f>
        <v>354.54</v>
      </c>
      <c r="C111" s="147" t="n">
        <f aca="false">N111*B111</f>
        <v>779.97867049369</v>
      </c>
      <c r="D111" s="148" t="n">
        <f aca="false">B111*(TableDE15a!$C$149/TableDE15a!$C110)</f>
        <v>938.007414851958</v>
      </c>
      <c r="E111" s="149" t="n">
        <f aca="false">D111*N111</f>
        <v>2063.59162957481</v>
      </c>
      <c r="F111" s="150" t="n">
        <f aca="false">1000000*B111/R111</f>
        <v>5788.23489422566</v>
      </c>
      <c r="G111" s="90" t="n">
        <f aca="false">1000000*C111/R111</f>
        <v>12733.9644533856</v>
      </c>
      <c r="H111" s="151" t="n">
        <f aca="false">1000000*B111/S111</f>
        <v>8195.1506360267</v>
      </c>
      <c r="I111" s="152" t="n">
        <f aca="false">1000000*C111/S111</f>
        <v>18029.1157488115</v>
      </c>
      <c r="J111" s="90" t="n">
        <f aca="false">1000000*D111/R111</f>
        <v>15313.9483547371</v>
      </c>
      <c r="K111" s="90" t="n">
        <f aca="false">1000000*E111/R111</f>
        <v>33690.2834031052</v>
      </c>
      <c r="L111" s="151" t="n">
        <f aca="false">1000000*D111/S111</f>
        <v>21681.9316929593</v>
      </c>
      <c r="M111" s="152" t="n">
        <f aca="false">K111/(1-DataDE1!GL32)</f>
        <v>47699.6791775523</v>
      </c>
      <c r="N111" s="153" t="n">
        <f aca="false">TableDE5a!F111</f>
        <v>2.19997368560301</v>
      </c>
      <c r="O111" s="154" t="n">
        <f aca="false">TableDE12!F31</f>
        <v>0.76008349974615</v>
      </c>
      <c r="P111" s="155" t="n">
        <f aca="false">L111*O111</f>
        <v>16480.0785224414</v>
      </c>
      <c r="Q111" s="156" t="n">
        <f aca="false">N111/O111</f>
        <v>2.89438421744157</v>
      </c>
      <c r="R111" s="157" t="n">
        <f aca="false">DataDE1!GH32</f>
        <v>61251.8335</v>
      </c>
      <c r="S111" s="155" t="n">
        <f aca="false">R111*(1-DataDE1!GL32)</f>
        <v>43262.17000105</v>
      </c>
      <c r="T111" s="155" t="n">
        <f aca="false">DataDE1!GI32</f>
        <v>26710</v>
      </c>
      <c r="U111" s="92" t="n">
        <v>248.6</v>
      </c>
      <c r="V111" s="24"/>
      <c r="W111" s="25"/>
      <c r="X111" s="158"/>
      <c r="Y111" s="158"/>
      <c r="Z111" s="25"/>
      <c r="AA111" s="25"/>
      <c r="AB111" s="93"/>
    </row>
    <row r="112" customFormat="false" ht="12" hidden="false" customHeight="false" outlineLevel="0" collapsed="false">
      <c r="A112" s="145" t="n">
        <v>1972</v>
      </c>
      <c r="B112" s="146" t="n">
        <f aca="false">TableDE8!B30</f>
        <v>385.44</v>
      </c>
      <c r="C112" s="147" t="n">
        <f aca="false">N112*B112</f>
        <v>854.844013887677</v>
      </c>
      <c r="D112" s="148" t="n">
        <f aca="false">B112*(TableDE15a!$C$149/TableDE15a!$C111)</f>
        <v>975.507087806522</v>
      </c>
      <c r="E112" s="149" t="n">
        <f aca="false">D112*N112</f>
        <v>2163.51804305834</v>
      </c>
      <c r="F112" s="150" t="n">
        <f aca="false">1000000*B112/R112</f>
        <v>6251.46574481335</v>
      </c>
      <c r="G112" s="90" t="n">
        <f aca="false">1000000*C112/R112</f>
        <v>13864.7469644499</v>
      </c>
      <c r="H112" s="151" t="n">
        <f aca="false">1000000*B112/S112</f>
        <v>8809.84462346864</v>
      </c>
      <c r="I112" s="152" t="n">
        <f aca="false">1000000*C112/S112</f>
        <v>19538.8204121334</v>
      </c>
      <c r="J112" s="90" t="n">
        <f aca="false">1000000*D112/R112</f>
        <v>15821.7858635458</v>
      </c>
      <c r="K112" s="90" t="n">
        <f aca="false">1000000*E112/R112</f>
        <v>35090.1798839374</v>
      </c>
      <c r="L112" s="151" t="n">
        <f aca="false">1000000*D112/S112</f>
        <v>22296.7670004873</v>
      </c>
      <c r="M112" s="152" t="n">
        <f aca="false">K112/(1-DataDE1!GL33)</f>
        <v>49450.648088976</v>
      </c>
      <c r="N112" s="153" t="n">
        <f aca="false">TableDE5a!F112</f>
        <v>2.21783938845911</v>
      </c>
      <c r="O112" s="154" t="n">
        <f aca="false">TableDE12!F32</f>
        <v>0.766967631797426</v>
      </c>
      <c r="P112" s="155" t="n">
        <f aca="false">L112*O112</f>
        <v>17100.8985831028</v>
      </c>
      <c r="Q112" s="156" t="n">
        <f aca="false">N112/O112</f>
        <v>2.89169881036764</v>
      </c>
      <c r="R112" s="157" t="n">
        <f aca="false">DataDE1!GH33</f>
        <v>61655.9405</v>
      </c>
      <c r="S112" s="155" t="n">
        <f aca="false">R112*(1-DataDE1!GL33)</f>
        <v>43751.0553788</v>
      </c>
      <c r="T112" s="155" t="n">
        <f aca="false">DataDE1!GI33</f>
        <v>26857</v>
      </c>
      <c r="U112" s="92" t="n">
        <v>248.6</v>
      </c>
      <c r="V112" s="24"/>
      <c r="W112" s="25"/>
      <c r="X112" s="158"/>
      <c r="Y112" s="158"/>
      <c r="Z112" s="25"/>
      <c r="AA112" s="25"/>
      <c r="AB112" s="93"/>
    </row>
    <row r="113" customFormat="false" ht="12" hidden="false" customHeight="false" outlineLevel="0" collapsed="false">
      <c r="A113" s="145" t="n">
        <v>1973</v>
      </c>
      <c r="B113" s="146" t="n">
        <f aca="false">TableDE8!B31</f>
        <v>429.54</v>
      </c>
      <c r="C113" s="147" t="n">
        <f aca="false">N113*B113</f>
        <v>938.458614716783</v>
      </c>
      <c r="D113" s="148" t="n">
        <f aca="false">B113*(TableDE15a!$C$149/TableDE15a!$C112)</f>
        <v>1022.714129215</v>
      </c>
      <c r="E113" s="149" t="n">
        <f aca="false">D113*N113</f>
        <v>2234.42493121569</v>
      </c>
      <c r="F113" s="150" t="n">
        <f aca="false">1000000*B113/R113</f>
        <v>6933.05480597256</v>
      </c>
      <c r="G113" s="90" t="n">
        <f aca="false">1000000*C113/R113</f>
        <v>15147.3320504925</v>
      </c>
      <c r="H113" s="151" t="n">
        <f aca="false">1000000*B113/S113</f>
        <v>9725.14350676471</v>
      </c>
      <c r="I113" s="152" t="n">
        <f aca="false">1000000*C113/S113</f>
        <v>21247.4849915731</v>
      </c>
      <c r="J113" s="90" t="n">
        <f aca="false">1000000*D113/R113</f>
        <v>16507.2708215535</v>
      </c>
      <c r="K113" s="90" t="n">
        <f aca="false">1000000*E113/R113</f>
        <v>36065.0707918933</v>
      </c>
      <c r="L113" s="151" t="n">
        <f aca="false">1000000*D113/S113</f>
        <v>23155.1000442608</v>
      </c>
      <c r="M113" s="152" t="n">
        <f aca="false">K113/(1-DataDE1!GL34)</f>
        <v>50589.2422385935</v>
      </c>
      <c r="N113" s="153" t="n">
        <f aca="false">TableDE5a!F113</f>
        <v>2.18479912165755</v>
      </c>
      <c r="O113" s="154" t="n">
        <f aca="false">TableDE12!F33</f>
        <v>0.746635945429995</v>
      </c>
      <c r="P113" s="155" t="n">
        <f aca="false">L113*O113</f>
        <v>17288.4300130728</v>
      </c>
      <c r="Q113" s="156" t="n">
        <f aca="false">N113/O113</f>
        <v>2.92619064891029</v>
      </c>
      <c r="R113" s="157" t="n">
        <f aca="false">DataDE1!GH34</f>
        <v>61955.3735</v>
      </c>
      <c r="S113" s="155" t="n">
        <f aca="false">R113*(1-DataDE1!GL34)</f>
        <v>44167.98576815</v>
      </c>
      <c r="T113" s="155" t="n">
        <f aca="false">DataDE1!GI34</f>
        <v>27181</v>
      </c>
      <c r="U113" s="92" t="n">
        <v>248.6</v>
      </c>
      <c r="V113" s="24"/>
      <c r="W113" s="25"/>
      <c r="X113" s="158"/>
      <c r="Y113" s="158"/>
      <c r="Z113" s="25"/>
      <c r="AA113" s="25"/>
      <c r="AB113" s="93"/>
    </row>
    <row r="114" customFormat="false" ht="12" hidden="false" customHeight="false" outlineLevel="0" collapsed="false">
      <c r="A114" s="145" t="n">
        <v>1974</v>
      </c>
      <c r="B114" s="146" t="n">
        <f aca="false">TableDE8!B32</f>
        <v>462.37</v>
      </c>
      <c r="C114" s="147" t="n">
        <f aca="false">N114*B114</f>
        <v>1017.79981397141</v>
      </c>
      <c r="D114" s="148" t="n">
        <f aca="false">B114*(TableDE15a!$C$149/TableDE15a!$C113)</f>
        <v>1026.22001537585</v>
      </c>
      <c r="E114" s="149" t="n">
        <f aca="false">D114*N114</f>
        <v>2258.9842350137</v>
      </c>
      <c r="F114" s="150" t="n">
        <f aca="false">1000000*B114/R114</f>
        <v>7452.00101949473</v>
      </c>
      <c r="G114" s="90" t="n">
        <f aca="false">1000000*C114/R114</f>
        <v>16403.8437860512</v>
      </c>
      <c r="H114" s="151" t="n">
        <f aca="false">1000000*B114/S114</f>
        <v>10404.916251738</v>
      </c>
      <c r="I114" s="152" t="n">
        <f aca="false">1000000*C114/S114</f>
        <v>22903.9985842659</v>
      </c>
      <c r="J114" s="90" t="n">
        <f aca="false">1000000*D114/R114</f>
        <v>16539.5518757851</v>
      </c>
      <c r="K114" s="90" t="n">
        <f aca="false">1000000*E114/R114</f>
        <v>36407.9694235019</v>
      </c>
      <c r="L114" s="151" t="n">
        <f aca="false">1000000*D114/S114</f>
        <v>23093.482094087</v>
      </c>
      <c r="M114" s="152" t="n">
        <f aca="false">K114/(1-DataDE1!GL35)</f>
        <v>50834.9196083523</v>
      </c>
      <c r="N114" s="153" t="n">
        <f aca="false">TableDE5a!F114</f>
        <v>2.20126698092742</v>
      </c>
      <c r="O114" s="154" t="n">
        <f aca="false">TableDE12!F34</f>
        <v>0.755066297553907</v>
      </c>
      <c r="P114" s="155" t="n">
        <f aca="false">L114*O114</f>
        <v>17437.1100224097</v>
      </c>
      <c r="Q114" s="156" t="n">
        <f aca="false">N114/O114</f>
        <v>2.91532940625027</v>
      </c>
      <c r="R114" s="157" t="n">
        <f aca="false">DataDE1!GH35</f>
        <v>62046.422</v>
      </c>
      <c r="S114" s="155" t="n">
        <f aca="false">R114*(1-DataDE1!GL35)</f>
        <v>44437.6474364</v>
      </c>
      <c r="T114" s="155" t="n">
        <f aca="false">DataDE1!GI35</f>
        <v>26924</v>
      </c>
      <c r="U114" s="92" t="n">
        <v>248.6</v>
      </c>
      <c r="V114" s="24"/>
      <c r="W114" s="25"/>
      <c r="X114" s="158"/>
      <c r="Y114" s="158"/>
      <c r="Z114" s="25"/>
      <c r="AA114" s="25"/>
      <c r="AB114" s="93"/>
    </row>
    <row r="115" customFormat="false" ht="12" hidden="false" customHeight="false" outlineLevel="0" collapsed="false">
      <c r="A115" s="145" t="n">
        <v>1975</v>
      </c>
      <c r="B115" s="146" t="n">
        <f aca="false">TableDE8!B33</f>
        <v>482.61</v>
      </c>
      <c r="C115" s="147" t="n">
        <f aca="false">N115*B115</f>
        <v>1107.42312061203</v>
      </c>
      <c r="D115" s="148" t="n">
        <f aca="false">B115*(TableDE15a!$C$149/TableDE15a!$C114)</f>
        <v>1013.72963314898</v>
      </c>
      <c r="E115" s="149" t="n">
        <f aca="false">D115*N115</f>
        <v>2326.15908041427</v>
      </c>
      <c r="F115" s="150" t="n">
        <f aca="false">1000000*B115/R115</f>
        <v>7806.94318089088</v>
      </c>
      <c r="G115" s="90" t="n">
        <f aca="false">1000000*C115/R115</f>
        <v>17914.2358836805</v>
      </c>
      <c r="H115" s="151" t="n">
        <f aca="false">1000000*B115/S115</f>
        <v>10850.511717708</v>
      </c>
      <c r="I115" s="152" t="n">
        <f aca="false">1000000*C115/S115</f>
        <v>24898.173570091</v>
      </c>
      <c r="J115" s="90" t="n">
        <f aca="false">1000000*D115/R115</f>
        <v>16398.6026953014</v>
      </c>
      <c r="K115" s="90" t="n">
        <f aca="false">1000000*E115/R115</f>
        <v>37629.1244908054</v>
      </c>
      <c r="L115" s="151" t="n">
        <f aca="false">1000000*D115/S115</f>
        <v>22791.6646216837</v>
      </c>
      <c r="M115" s="152" t="n">
        <f aca="false">K115/(1-DataDE1!GL36)</f>
        <v>52298.9916480965</v>
      </c>
      <c r="N115" s="153" t="n">
        <f aca="false">TableDE5a!F115</f>
        <v>2.29465431841867</v>
      </c>
      <c r="O115" s="154" t="n">
        <f aca="false">TableDE12!F35</f>
        <v>0.791840210521954</v>
      </c>
      <c r="P115" s="155" t="n">
        <f aca="false">L115*O115</f>
        <v>18047.3565121798</v>
      </c>
      <c r="Q115" s="156" t="n">
        <f aca="false">N115/O115</f>
        <v>2.89787546518522</v>
      </c>
      <c r="R115" s="157" t="n">
        <f aca="false">DataDE1!GH36</f>
        <v>61818.0495</v>
      </c>
      <c r="S115" s="155" t="n">
        <f aca="false">R115*(1-DataDE1!GL36)</f>
        <v>44478.08661525</v>
      </c>
      <c r="T115" s="155" t="n">
        <f aca="false">DataDE1!GI36</f>
        <v>26248</v>
      </c>
      <c r="U115" s="92" t="n">
        <v>248.6</v>
      </c>
      <c r="V115" s="24"/>
      <c r="W115" s="25"/>
      <c r="X115" s="158"/>
      <c r="Y115" s="158"/>
      <c r="Z115" s="25"/>
      <c r="AA115" s="25"/>
      <c r="AB115" s="93"/>
    </row>
    <row r="116" customFormat="false" ht="12" hidden="false" customHeight="false" outlineLevel="0" collapsed="false">
      <c r="A116" s="145" t="n">
        <v>1976</v>
      </c>
      <c r="B116" s="146" t="n">
        <f aca="false">TableDE8!B34</f>
        <v>524.83</v>
      </c>
      <c r="C116" s="147" t="n">
        <f aca="false">N116*B116</f>
        <v>1200.16491165855</v>
      </c>
      <c r="D116" s="148" t="n">
        <f aca="false">B116*(TableDE15a!$C$149/TableDE15a!$C115)</f>
        <v>1067.13890282505</v>
      </c>
      <c r="E116" s="149" t="n">
        <f aca="false">D116*N116</f>
        <v>2440.30003436624</v>
      </c>
      <c r="F116" s="150" t="n">
        <f aca="false">1000000*B116/R116</f>
        <v>8527.81561472726</v>
      </c>
      <c r="G116" s="90" t="n">
        <f aca="false">1000000*C116/R116</f>
        <v>19501.1433681183</v>
      </c>
      <c r="H116" s="151" t="n">
        <f aca="false">1000000*B116/S116</f>
        <v>11798.3060524727</v>
      </c>
      <c r="I116" s="152" t="n">
        <f aca="false">1000000*C116/S116</f>
        <v>26979.9991257863</v>
      </c>
      <c r="J116" s="90" t="n">
        <f aca="false">1000000*D116/R116</f>
        <v>17339.64102394</v>
      </c>
      <c r="K116" s="90" t="n">
        <f aca="false">1000000*E116/R116</f>
        <v>39651.7514960804</v>
      </c>
      <c r="L116" s="151" t="n">
        <f aca="false">1000000*D116/S116</f>
        <v>23989.5420917819</v>
      </c>
      <c r="M116" s="152" t="n">
        <f aca="false">K116/(1-DataDE1!GL37)</f>
        <v>54858.5383177648</v>
      </c>
      <c r="N116" s="153" t="n">
        <f aca="false">TableDE5a!F116</f>
        <v>2.28676888070146</v>
      </c>
      <c r="O116" s="154" t="n">
        <f aca="false">TableDE12!F36</f>
        <v>0.775755966693977</v>
      </c>
      <c r="P116" s="155" t="n">
        <f aca="false">L116*O116</f>
        <v>18610.0304159561</v>
      </c>
      <c r="Q116" s="156" t="n">
        <f aca="false">N116/O116</f>
        <v>2.9477941245453</v>
      </c>
      <c r="R116" s="157" t="n">
        <f aca="false">DataDE1!GH37</f>
        <v>61543.31</v>
      </c>
      <c r="S116" s="155" t="n">
        <f aca="false">R116*(1-DataDE1!GL37)</f>
        <v>44483.504468</v>
      </c>
      <c r="T116" s="155" t="n">
        <f aca="false">DataDE1!GI37</f>
        <v>26139</v>
      </c>
      <c r="U116" s="92" t="n">
        <v>248.6</v>
      </c>
      <c r="V116" s="24"/>
      <c r="W116" s="25"/>
      <c r="X116" s="158"/>
      <c r="Y116" s="158"/>
      <c r="Z116" s="25"/>
      <c r="AA116" s="25"/>
      <c r="AB116" s="93"/>
    </row>
    <row r="117" customFormat="false" ht="12" hidden="false" customHeight="false" outlineLevel="0" collapsed="false">
      <c r="A117" s="145" t="n">
        <v>1977</v>
      </c>
      <c r="B117" s="146" t="n">
        <f aca="false">TableDE8!B35</f>
        <v>558.19</v>
      </c>
      <c r="C117" s="147" t="n">
        <f aca="false">N117*B117</f>
        <v>1319.84008697672</v>
      </c>
      <c r="D117" s="148" t="n">
        <f aca="false">B117*(TableDE15a!$C$149/TableDE15a!$C116)</f>
        <v>1100.74464681018</v>
      </c>
      <c r="E117" s="149" t="n">
        <f aca="false">D117*N117</f>
        <v>2602.71038604257</v>
      </c>
      <c r="F117" s="150" t="n">
        <f aca="false">1000000*B117/R117</f>
        <v>9091.43169250221</v>
      </c>
      <c r="G117" s="90" t="n">
        <f aca="false">1000000*C117/R117</f>
        <v>21496.6875002688</v>
      </c>
      <c r="H117" s="151" t="n">
        <f aca="false">1000000*B117/S117</f>
        <v>12520.9085422149</v>
      </c>
      <c r="I117" s="152" t="n">
        <f aca="false">1000000*C117/S117</f>
        <v>29605.6844790921</v>
      </c>
      <c r="J117" s="90" t="n">
        <f aca="false">1000000*D117/R117</f>
        <v>17928.2050329855</v>
      </c>
      <c r="K117" s="90" t="n">
        <f aca="false">1000000*E117/R117</f>
        <v>42391.2354038448</v>
      </c>
      <c r="L117" s="151" t="n">
        <f aca="false">1000000*D117/S117</f>
        <v>24691.0963131601</v>
      </c>
      <c r="M117" s="152" t="n">
        <f aca="false">K117/(1-DataDE1!GL38)</f>
        <v>58382.0898000892</v>
      </c>
      <c r="N117" s="153" t="n">
        <f aca="false">TableDE5a!F117</f>
        <v>2.36449969898551</v>
      </c>
      <c r="O117" s="154" t="n">
        <f aca="false">TableDE12!F37</f>
        <v>0.765832429817804</v>
      </c>
      <c r="P117" s="155" t="n">
        <f aca="false">L117*O117</f>
        <v>18909.2422843728</v>
      </c>
      <c r="Q117" s="156" t="n">
        <f aca="false">N117/O117</f>
        <v>3.08748964776542</v>
      </c>
      <c r="R117" s="157" t="n">
        <f aca="false">DataDE1!GH38</f>
        <v>61397.3705</v>
      </c>
      <c r="S117" s="155" t="n">
        <f aca="false">R117*(1-DataDE1!GL38)</f>
        <v>44580.63072005</v>
      </c>
      <c r="T117" s="155" t="n">
        <f aca="false">DataDE1!GI38</f>
        <v>26198</v>
      </c>
      <c r="U117" s="92" t="n">
        <v>248.6</v>
      </c>
      <c r="V117" s="24"/>
      <c r="W117" s="25"/>
      <c r="X117" s="158"/>
      <c r="Y117" s="158"/>
      <c r="Z117" s="25"/>
      <c r="AA117" s="25"/>
      <c r="AB117" s="93"/>
    </row>
    <row r="118" customFormat="false" ht="12" hidden="false" customHeight="false" outlineLevel="0" collapsed="false">
      <c r="A118" s="145" t="n">
        <v>1978</v>
      </c>
      <c r="B118" s="146" t="n">
        <f aca="false">TableDE8!B36</f>
        <v>596.72</v>
      </c>
      <c r="C118" s="147" t="n">
        <f aca="false">N118*B118</f>
        <v>1466.44992371339</v>
      </c>
      <c r="D118" s="148" t="n">
        <f aca="false">B118*(TableDE15a!$C$149/TableDE15a!$C117)</f>
        <v>1136.42999863656</v>
      </c>
      <c r="E118" s="149" t="n">
        <f aca="false">D118*N118</f>
        <v>2792.79676365162</v>
      </c>
      <c r="F118" s="150" t="n">
        <f aca="false">1000000*B118/R118</f>
        <v>9728.51648079688</v>
      </c>
      <c r="G118" s="90" t="n">
        <f aca="false">1000000*C118/R118</f>
        <v>23908.0008230142</v>
      </c>
      <c r="H118" s="151" t="n">
        <f aca="false">1000000*B118/S118</f>
        <v>13337.6973962118</v>
      </c>
      <c r="I118" s="152" t="n">
        <f aca="false">1000000*C118/S118</f>
        <v>32777.6265739158</v>
      </c>
      <c r="J118" s="90" t="n">
        <f aca="false">1000000*D118/R118</f>
        <v>18527.5807263168</v>
      </c>
      <c r="K118" s="90" t="n">
        <f aca="false">1000000*E118/R118</f>
        <v>45531.8563860789</v>
      </c>
      <c r="L118" s="151" t="n">
        <f aca="false">1000000*D118/S118</f>
        <v>25401.1252074538</v>
      </c>
      <c r="M118" s="152" t="n">
        <f aca="false">K118/(1-DataDE1!GL39)</f>
        <v>62423.7131698367</v>
      </c>
      <c r="N118" s="153" t="n">
        <f aca="false">TableDE5a!F118</f>
        <v>2.45751763593208</v>
      </c>
      <c r="O118" s="154" t="n">
        <f aca="false">TableDE12!F38</f>
        <v>0.768082189301515</v>
      </c>
      <c r="P118" s="155" t="n">
        <f aca="false">L118*O118</f>
        <v>19510.151860063</v>
      </c>
      <c r="Q118" s="156" t="n">
        <f aca="false">N118/O118</f>
        <v>3.19955034781749</v>
      </c>
      <c r="R118" s="157" t="n">
        <f aca="false">DataDE1!GH39</f>
        <v>61337.204</v>
      </c>
      <c r="S118" s="155" t="n">
        <f aca="false">R118*(1-DataDE1!GL39)</f>
        <v>44739.3565976</v>
      </c>
      <c r="T118" s="155" t="n">
        <f aca="false">DataDE1!GI39</f>
        <v>26457</v>
      </c>
      <c r="U118" s="92" t="n">
        <v>248.6</v>
      </c>
      <c r="V118" s="24"/>
      <c r="W118" s="25"/>
      <c r="X118" s="158"/>
      <c r="Y118" s="158"/>
      <c r="Z118" s="25"/>
      <c r="AA118" s="25"/>
      <c r="AB118" s="93"/>
    </row>
    <row r="119" customFormat="false" ht="12.75" hidden="false" customHeight="true" outlineLevel="0" collapsed="false">
      <c r="A119" s="145" t="n">
        <v>1979</v>
      </c>
      <c r="B119" s="146" t="n">
        <f aca="false">TableDE8!B37</f>
        <v>645.02</v>
      </c>
      <c r="C119" s="147" t="n">
        <f aca="false">N119*B119</f>
        <v>1603.54234292718</v>
      </c>
      <c r="D119" s="148" t="n">
        <f aca="false">B119*(TableDE15a!$C$149/TableDE15a!$C118)</f>
        <v>1177.99925418438</v>
      </c>
      <c r="E119" s="149" t="n">
        <f aca="false">D119*N119</f>
        <v>2928.54746212722</v>
      </c>
      <c r="F119" s="150" t="n">
        <f aca="false">1000000*B119/R119</f>
        <v>10508.5487040449</v>
      </c>
      <c r="G119" s="90" t="n">
        <f aca="false">1000000*C119/R119</f>
        <v>26124.6206468769</v>
      </c>
      <c r="H119" s="151" t="n">
        <f aca="false">1000000*B119/S119</f>
        <v>14342.2256094512</v>
      </c>
      <c r="I119" s="152" t="n">
        <f aca="false">1000000*C119/S119</f>
        <v>35655.2758931035</v>
      </c>
      <c r="J119" s="90" t="n">
        <f aca="false">1000000*D119/R119</f>
        <v>19191.7499239174</v>
      </c>
      <c r="K119" s="90" t="n">
        <f aca="false">1000000*E119/R119</f>
        <v>47711.3634272906</v>
      </c>
      <c r="L119" s="151" t="n">
        <f aca="false">1000000*D119/S119</f>
        <v>26193.1894689741</v>
      </c>
      <c r="M119" s="152" t="n">
        <f aca="false">K119/(1-DataDE1!GL40)</f>
        <v>65117.1876993184</v>
      </c>
      <c r="N119" s="153" t="n">
        <f aca="false">TableDE5a!F119</f>
        <v>2.48603507321817</v>
      </c>
      <c r="O119" s="154" t="n">
        <f aca="false">TableDE12!F39</f>
        <v>0.767883172614803</v>
      </c>
      <c r="P119" s="155" t="n">
        <f aca="false">L119*O119</f>
        <v>20113.3094303365</v>
      </c>
      <c r="Q119" s="156" t="n">
        <f aca="false">N119/O119</f>
        <v>3.23751732278844</v>
      </c>
      <c r="R119" s="157" t="n">
        <f aca="false">DataDE1!GH40</f>
        <v>61380.5025</v>
      </c>
      <c r="S119" s="155" t="n">
        <f aca="false">R119*(1-DataDE1!GL40)</f>
        <v>44973.49418175</v>
      </c>
      <c r="T119" s="155" t="n">
        <f aca="false">DataDE1!GI40</f>
        <v>26968</v>
      </c>
      <c r="U119" s="92" t="n">
        <v>248.6</v>
      </c>
      <c r="V119" s="24"/>
      <c r="W119" s="25"/>
      <c r="X119" s="158"/>
      <c r="Y119" s="158"/>
      <c r="Z119" s="25"/>
      <c r="AA119" s="25"/>
      <c r="AB119" s="93"/>
    </row>
    <row r="120" customFormat="false" ht="12" hidden="false" customHeight="false" outlineLevel="0" collapsed="false">
      <c r="A120" s="131" t="n">
        <v>1980</v>
      </c>
      <c r="B120" s="132" t="n">
        <f aca="false">TableDE8!B38</f>
        <v>685.85</v>
      </c>
      <c r="C120" s="133" t="n">
        <f aca="false">N120*B120</f>
        <v>1734.95635264274</v>
      </c>
      <c r="D120" s="134" t="n">
        <f aca="false">B120*(TableDE15a!$C$149/TableDE15a!$C119)</f>
        <v>1187.9254909252</v>
      </c>
      <c r="E120" s="135" t="n">
        <f aca="false">D120*N120</f>
        <v>3005.02861696716</v>
      </c>
      <c r="F120" s="136" t="n">
        <f aca="false">1000000*B120/R120</f>
        <v>11143.2187778436</v>
      </c>
      <c r="G120" s="137" t="n">
        <f aca="false">1000000*C120/R120</f>
        <v>28188.3767697129</v>
      </c>
      <c r="H120" s="138" t="n">
        <f aca="false">1000000*B120/S120</f>
        <v>15140.2429046788</v>
      </c>
      <c r="I120" s="139" t="n">
        <f aca="false">1000000*C120/S120</f>
        <v>38299.4249588491</v>
      </c>
      <c r="J120" s="137" t="n">
        <f aca="false">1000000*D120/R120</f>
        <v>19300.595811266</v>
      </c>
      <c r="K120" s="137" t="n">
        <f aca="false">1000000*E120/R120</f>
        <v>48823.6368193421</v>
      </c>
      <c r="L120" s="138" t="n">
        <f aca="false">1000000*D120/S120</f>
        <v>26223.6356131331</v>
      </c>
      <c r="M120" s="139" t="n">
        <f aca="false">K120/(1-DataDE1!GL41)</f>
        <v>66336.4630697583</v>
      </c>
      <c r="N120" s="140" t="n">
        <f aca="false">TableDE5a!F120</f>
        <v>2.5296440222246</v>
      </c>
      <c r="O120" s="141" t="n">
        <f aca="false">TableDE12!F40</f>
        <v>0.765721373478166</v>
      </c>
      <c r="P120" s="142" t="n">
        <f aca="false">L120*O120</f>
        <v>20079.9982792792</v>
      </c>
      <c r="Q120" s="159" t="n">
        <f aca="false">N120/O120</f>
        <v>3.30360900171051</v>
      </c>
      <c r="R120" s="144" t="n">
        <f aca="false">DataDE1!GH41</f>
        <v>61548.6435</v>
      </c>
      <c r="S120" s="142" t="n">
        <f aca="false">R120*(1-DataDE1!GL41)</f>
        <v>45299.801616</v>
      </c>
      <c r="T120" s="142" t="n">
        <f aca="false">DataDE1!GI41</f>
        <v>27420</v>
      </c>
      <c r="U120" s="110" t="n">
        <v>248.6</v>
      </c>
      <c r="V120" s="24"/>
      <c r="W120" s="25"/>
      <c r="X120" s="158"/>
      <c r="Y120" s="158"/>
      <c r="Z120" s="25"/>
      <c r="AA120" s="25"/>
      <c r="AB120" s="93"/>
    </row>
    <row r="121" customFormat="false" ht="12" hidden="false" customHeight="false" outlineLevel="0" collapsed="false">
      <c r="A121" s="145" t="n">
        <v>1981</v>
      </c>
      <c r="B121" s="146" t="n">
        <f aca="false">TableDE8!B39</f>
        <v>712.68</v>
      </c>
      <c r="C121" s="147" t="n">
        <f aca="false">N121*B121</f>
        <v>1867.31587820385</v>
      </c>
      <c r="D121" s="148" t="n">
        <f aca="false">B121*(TableDE15a!$C$149/TableDE15a!$C120)</f>
        <v>1184.79592444161</v>
      </c>
      <c r="E121" s="149" t="n">
        <f aca="false">D121*N121</f>
        <v>3104.32205497702</v>
      </c>
      <c r="F121" s="150" t="n">
        <f aca="false">1000000*B121/R121</f>
        <v>11553.4787638361</v>
      </c>
      <c r="G121" s="90" t="n">
        <f aca="false">1000000*C121/R121</f>
        <v>30271.6427347508</v>
      </c>
      <c r="H121" s="151" t="n">
        <f aca="false">1000000*B121/S121</f>
        <v>15579.1245467046</v>
      </c>
      <c r="I121" s="152" t="n">
        <f aca="false">1000000*C121/S121</f>
        <v>40819.3672259315</v>
      </c>
      <c r="J121" s="90" t="n">
        <f aca="false">1000000*D121/R121</f>
        <v>19207.0979296679</v>
      </c>
      <c r="K121" s="90" t="n">
        <f aca="false">1000000*E121/R121</f>
        <v>50325.1374225251</v>
      </c>
      <c r="L121" s="151" t="n">
        <f aca="false">1000000*D121/S121</f>
        <v>25899.5387401131</v>
      </c>
      <c r="M121" s="152" t="n">
        <f aca="false">K121/(1-DataDE1!GL42)</f>
        <v>67860.2176679141</v>
      </c>
      <c r="N121" s="153" t="n">
        <f aca="false">TableDE5a!F121</f>
        <v>2.62013228686627</v>
      </c>
      <c r="O121" s="154" t="n">
        <f aca="false">TableDE12!F41</f>
        <v>0.777600050513555</v>
      </c>
      <c r="P121" s="155" t="n">
        <f aca="false">L121*O121</f>
        <v>20139.4826325897</v>
      </c>
      <c r="Q121" s="156" t="n">
        <f aca="false">N121/O121</f>
        <v>3.36951146689849</v>
      </c>
      <c r="R121" s="157" t="n">
        <f aca="false">DataDE1!GH42</f>
        <v>61685.317</v>
      </c>
      <c r="S121" s="155" t="n">
        <f aca="false">R121*(1-DataDE1!GL42)</f>
        <v>45745.8310872</v>
      </c>
      <c r="T121" s="155" t="n">
        <f aca="false">DataDE1!GI42</f>
        <v>27453</v>
      </c>
      <c r="U121" s="92" t="n">
        <v>248.6</v>
      </c>
      <c r="V121" s="24"/>
      <c r="W121" s="25"/>
      <c r="X121" s="158"/>
      <c r="Y121" s="158"/>
      <c r="Z121" s="25"/>
      <c r="AA121" s="25"/>
      <c r="AB121" s="93"/>
    </row>
    <row r="122" customFormat="false" ht="12" hidden="false" customHeight="false" outlineLevel="0" collapsed="false">
      <c r="A122" s="145" t="n">
        <v>1982</v>
      </c>
      <c r="B122" s="146" t="n">
        <f aca="false">TableDE8!B40</f>
        <v>738.71</v>
      </c>
      <c r="C122" s="147" t="n">
        <f aca="false">N122*B122</f>
        <v>2014.78900604218</v>
      </c>
      <c r="D122" s="148" t="n">
        <f aca="false">B122*(TableDE15a!$C$149/TableDE15a!$C121)</f>
        <v>1174.32355887525</v>
      </c>
      <c r="E122" s="149" t="n">
        <f aca="false">D122*N122</f>
        <v>3202.89991465959</v>
      </c>
      <c r="F122" s="150" t="n">
        <f aca="false">1000000*B122/R122</f>
        <v>11986.3256811137</v>
      </c>
      <c r="G122" s="90" t="n">
        <f aca="false">1000000*C122/R122</f>
        <v>32692.0133816369</v>
      </c>
      <c r="H122" s="151" t="n">
        <f aca="false">1000000*B122/S122</f>
        <v>16041.6564254734</v>
      </c>
      <c r="I122" s="152" t="n">
        <f aca="false">1000000*C122/S122</f>
        <v>43752.6945685718</v>
      </c>
      <c r="J122" s="90" t="n">
        <f aca="false">1000000*D122/R122</f>
        <v>19054.6014426273</v>
      </c>
      <c r="K122" s="90" t="n">
        <f aca="false">1000000*E122/R122</f>
        <v>51970.3286825968</v>
      </c>
      <c r="L122" s="151" t="n">
        <f aca="false">1000000*D122/S122</f>
        <v>25501.3402604756</v>
      </c>
      <c r="M122" s="152" t="n">
        <f aca="false">K122/(1-DataDE1!GL43)</f>
        <v>69553.4377443748</v>
      </c>
      <c r="N122" s="153" t="n">
        <f aca="false">TableDE5a!F122</f>
        <v>2.72744244161063</v>
      </c>
      <c r="O122" s="154" t="n">
        <f aca="false">TableDE12!F42</f>
        <v>0.778735909896983</v>
      </c>
      <c r="P122" s="155" t="n">
        <f aca="false">L122*O122</f>
        <v>19858.809411334</v>
      </c>
      <c r="Q122" s="156" t="n">
        <f aca="false">N122/O122</f>
        <v>3.5023971630786</v>
      </c>
      <c r="R122" s="157" t="n">
        <f aca="false">DataDE1!GH43</f>
        <v>61629.395</v>
      </c>
      <c r="S122" s="155" t="n">
        <f aca="false">R122*(1-DataDE1!GL43)</f>
        <v>46049.483944</v>
      </c>
      <c r="T122" s="155" t="n">
        <f aca="false">DataDE1!GI43</f>
        <v>27241</v>
      </c>
      <c r="U122" s="92" t="n">
        <v>248.6</v>
      </c>
      <c r="V122" s="24"/>
      <c r="W122" s="25"/>
      <c r="X122" s="158"/>
      <c r="Y122" s="158"/>
      <c r="Z122" s="25"/>
      <c r="AA122" s="25"/>
      <c r="AB122" s="93"/>
    </row>
    <row r="123" customFormat="false" ht="12" hidden="false" customHeight="false" outlineLevel="0" collapsed="false">
      <c r="A123" s="145" t="n">
        <v>1983</v>
      </c>
      <c r="B123" s="146" t="n">
        <f aca="false">TableDE8!B41</f>
        <v>773.45</v>
      </c>
      <c r="C123" s="147" t="n">
        <f aca="false">N123*B123</f>
        <v>2163.03991184716</v>
      </c>
      <c r="D123" s="148" t="n">
        <f aca="false">B123*(TableDE15a!$C$149/TableDE15a!$C122)</f>
        <v>1195.9287852439</v>
      </c>
      <c r="E123" s="149" t="n">
        <f aca="false">D123*N123</f>
        <v>3344.5493492914</v>
      </c>
      <c r="F123" s="150" t="n">
        <f aca="false">1000000*B123/R123</f>
        <v>12591.4946809909</v>
      </c>
      <c r="G123" s="90" t="n">
        <f aca="false">1000000*C123/R123</f>
        <v>35213.5309907487</v>
      </c>
      <c r="H123" s="151" t="n">
        <f aca="false">1000000*B123/S123</f>
        <v>16726.2150385108</v>
      </c>
      <c r="I123" s="152" t="n">
        <f aca="false">1000000*C123/S123</f>
        <v>46776.7414861167</v>
      </c>
      <c r="J123" s="90" t="n">
        <f aca="false">1000000*D123/R123</f>
        <v>19469.3011031643</v>
      </c>
      <c r="K123" s="90" t="n">
        <f aca="false">1000000*E123/R123</f>
        <v>54448.0901699067</v>
      </c>
      <c r="L123" s="151" t="n">
        <f aca="false">1000000*D123/S123</f>
        <v>25862.5147491556</v>
      </c>
      <c r="M123" s="152" t="n">
        <f aca="false">K123/(1-DataDE1!GL44)</f>
        <v>72327.431150248</v>
      </c>
      <c r="N123" s="153" t="n">
        <f aca="false">TableDE5a!F123</f>
        <v>2.79661246602516</v>
      </c>
      <c r="O123" s="154" t="n">
        <f aca="false">TableDE12!F43</f>
        <v>0.777930058827332</v>
      </c>
      <c r="P123" s="155" t="n">
        <f aca="false">L123*O123</f>
        <v>20119.2276202333</v>
      </c>
      <c r="Q123" s="156" t="n">
        <f aca="false">N123/O123</f>
        <v>3.59494074601106</v>
      </c>
      <c r="R123" s="157" t="n">
        <f aca="false">DataDE1!GH44</f>
        <v>61426.385</v>
      </c>
      <c r="S123" s="155" t="n">
        <f aca="false">R123*(1-DataDE1!GL44)</f>
        <v>46241.782628</v>
      </c>
      <c r="T123" s="155" t="n">
        <f aca="false">DataDE1!GI44</f>
        <v>26993</v>
      </c>
      <c r="U123" s="92" t="n">
        <v>248.6</v>
      </c>
      <c r="V123" s="24"/>
      <c r="W123" s="25"/>
      <c r="X123" s="158"/>
      <c r="Y123" s="158"/>
      <c r="Z123" s="25"/>
      <c r="AA123" s="25"/>
      <c r="AB123" s="93"/>
    </row>
    <row r="124" customFormat="false" ht="12" hidden="false" customHeight="false" outlineLevel="0" collapsed="false">
      <c r="A124" s="145" t="n">
        <v>1984</v>
      </c>
      <c r="B124" s="146" t="n">
        <f aca="false">TableDE8!B42</f>
        <v>813.91</v>
      </c>
      <c r="C124" s="147" t="n">
        <f aca="false">N124*B124</f>
        <v>2308.84122267675</v>
      </c>
      <c r="D124" s="148" t="n">
        <f aca="false">B124*(TableDE15a!$C$149/TableDE15a!$C123)</f>
        <v>1233.99431485133</v>
      </c>
      <c r="E124" s="149" t="n">
        <f aca="false">D124*N124</f>
        <v>3500.5061280455</v>
      </c>
      <c r="F124" s="150" t="n">
        <f aca="false">1000000*B124/R124</f>
        <v>13303.9736326623</v>
      </c>
      <c r="G124" s="90" t="n">
        <f aca="false">1000000*C124/R124</f>
        <v>37739.7534721225</v>
      </c>
      <c r="H124" s="151" t="n">
        <f aca="false">1000000*B124/S124</f>
        <v>17542.1593257677</v>
      </c>
      <c r="I124" s="152" t="n">
        <f aca="false">1000000*C124/S124</f>
        <v>49762.3331647185</v>
      </c>
      <c r="J124" s="90" t="n">
        <f aca="false">1000000*D124/R124</f>
        <v>20170.5690157846</v>
      </c>
      <c r="K124" s="90" t="n">
        <f aca="false">1000000*E124/R124</f>
        <v>57218.4163218169</v>
      </c>
      <c r="L124" s="151" t="n">
        <f aca="false">1000000*D124/S124</f>
        <v>26596.2144195472</v>
      </c>
      <c r="M124" s="152" t="n">
        <f aca="false">K124/(1-DataDE1!GL45)</f>
        <v>75446.2240530286</v>
      </c>
      <c r="N124" s="153" t="n">
        <f aca="false">TableDE5a!F124</f>
        <v>2.83672792160897</v>
      </c>
      <c r="O124" s="154" t="n">
        <f aca="false">TableDE12!F44</f>
        <v>0.771276927424408</v>
      </c>
      <c r="P124" s="155" t="n">
        <f aca="false">L124*O124</f>
        <v>20513.0465386291</v>
      </c>
      <c r="Q124" s="156" t="n">
        <f aca="false">N124/O124</f>
        <v>3.67796289600144</v>
      </c>
      <c r="R124" s="157" t="n">
        <f aca="false">DataDE1!GH45</f>
        <v>61177.9625</v>
      </c>
      <c r="S124" s="155" t="n">
        <f aca="false">R124*(1-DataDE1!GL45)</f>
        <v>46397.36676</v>
      </c>
      <c r="T124" s="155" t="n">
        <f aca="false">DataDE1!GI45</f>
        <v>27226</v>
      </c>
      <c r="U124" s="92" t="n">
        <v>248.6</v>
      </c>
      <c r="V124" s="24"/>
      <c r="W124" s="25"/>
      <c r="X124" s="158"/>
      <c r="Y124" s="158"/>
      <c r="Z124" s="25"/>
      <c r="AA124" s="25"/>
      <c r="AB124" s="93"/>
    </row>
    <row r="125" customFormat="false" ht="12" hidden="false" customHeight="false" outlineLevel="0" collapsed="false">
      <c r="A125" s="145" t="n">
        <v>1985</v>
      </c>
      <c r="B125" s="146" t="n">
        <f aca="false">TableDE8!B43</f>
        <v>850.91</v>
      </c>
      <c r="C125" s="147" t="n">
        <f aca="false">N125*B125</f>
        <v>2470.55627196252</v>
      </c>
      <c r="D125" s="148" t="n">
        <f aca="false">B125*(TableDE15a!$C$149/TableDE15a!$C124)</f>
        <v>1263.26032059475</v>
      </c>
      <c r="E125" s="149" t="n">
        <f aca="false">D125*N125</f>
        <v>3667.78590939904</v>
      </c>
      <c r="F125" s="150" t="n">
        <f aca="false">1000000*B125/R125</f>
        <v>13941.3759660155</v>
      </c>
      <c r="G125" s="90" t="n">
        <f aca="false">1000000*C125/R125</f>
        <v>40477.7871133576</v>
      </c>
      <c r="H125" s="151" t="n">
        <f aca="false">1000000*B125/S125</f>
        <v>18247.8743010674</v>
      </c>
      <c r="I125" s="152" t="n">
        <f aca="false">1000000*C125/S125</f>
        <v>52981.3967452325</v>
      </c>
      <c r="J125" s="90" t="n">
        <f aca="false">1000000*D125/R125</f>
        <v>20697.3558570949</v>
      </c>
      <c r="K125" s="90" t="n">
        <f aca="false">1000000*E125/R125</f>
        <v>60093.2910951641</v>
      </c>
      <c r="L125" s="151" t="n">
        <f aca="false">1000000*D125/S125</f>
        <v>27090.7799176635</v>
      </c>
      <c r="M125" s="152" t="n">
        <f aca="false">K125/(1-DataDE1!GL46)</f>
        <v>78656.1401769163</v>
      </c>
      <c r="N125" s="153" t="n">
        <f aca="false">TableDE5a!F125</f>
        <v>2.90342841424184</v>
      </c>
      <c r="O125" s="154" t="n">
        <f aca="false">TableDE12!F45</f>
        <v>0.76419363269911</v>
      </c>
      <c r="P125" s="155" t="n">
        <f aca="false">L125*O125</f>
        <v>20702.6015179314</v>
      </c>
      <c r="Q125" s="156" t="n">
        <f aca="false">N125/O125</f>
        <v>3.79933604522064</v>
      </c>
      <c r="R125" s="172" t="n">
        <f aca="false">DataDE1!GH46</f>
        <v>61034.865</v>
      </c>
      <c r="S125" s="155" t="n">
        <f aca="false">R125*(1-DataDE1!GL46)</f>
        <v>46630.63686</v>
      </c>
      <c r="T125" s="155" t="n">
        <f aca="false">DataDE1!GI46</f>
        <v>27608</v>
      </c>
      <c r="U125" s="92" t="n">
        <v>248.6</v>
      </c>
      <c r="V125" s="24"/>
      <c r="W125" s="25"/>
      <c r="X125" s="158"/>
      <c r="Y125" s="158"/>
      <c r="Z125" s="25"/>
      <c r="AA125" s="25"/>
      <c r="AB125" s="93"/>
    </row>
    <row r="126" customFormat="false" ht="12" hidden="false" customHeight="false" outlineLevel="0" collapsed="false">
      <c r="A126" s="145" t="n">
        <v>1986</v>
      </c>
      <c r="B126" s="146" t="n">
        <f aca="false">TableDE8!B44</f>
        <v>895.79</v>
      </c>
      <c r="C126" s="147" t="n">
        <f aca="false">N126*B126</f>
        <v>2639.38508761985</v>
      </c>
      <c r="D126" s="148" t="n">
        <f aca="false">B126*(TableDE15a!$C$149/TableDE15a!$C125)</f>
        <v>1291.19901957663</v>
      </c>
      <c r="E126" s="149" t="n">
        <f aca="false">D126*N126</f>
        <v>3804.43121425772</v>
      </c>
      <c r="F126" s="150" t="n">
        <f aca="false">1000000*B126/R126</f>
        <v>14665.7358180829</v>
      </c>
      <c r="G126" s="90" t="n">
        <f aca="false">1000000*C126/R126</f>
        <v>43211.6058643435</v>
      </c>
      <c r="H126" s="151" t="n">
        <f aca="false">1000000*B126/S126</f>
        <v>19056.309534931</v>
      </c>
      <c r="I126" s="152" t="n">
        <f aca="false">1000000*C126/S126</f>
        <v>56148.1365181179</v>
      </c>
      <c r="J126" s="90" t="n">
        <f aca="false">1000000*D126/R126</f>
        <v>21139.3113449341</v>
      </c>
      <c r="K126" s="90" t="n">
        <f aca="false">1000000*E126/R126</f>
        <v>62285.5614891572</v>
      </c>
      <c r="L126" s="151" t="n">
        <f aca="false">1000000*D126/S126</f>
        <v>27467.9201467439</v>
      </c>
      <c r="M126" s="152" t="n">
        <f aca="false">K126/(1-DataDE1!GL47)</f>
        <v>80932.3823923561</v>
      </c>
      <c r="N126" s="153" t="n">
        <f aca="false">TableDE5a!F126</f>
        <v>2.94643285549051</v>
      </c>
      <c r="O126" s="154" t="n">
        <f aca="false">TableDE12!F46</f>
        <v>0.766898496299356</v>
      </c>
      <c r="P126" s="155" t="n">
        <f aca="false">L126*O126</f>
        <v>21065.1066570087</v>
      </c>
      <c r="Q126" s="156" t="n">
        <f aca="false">N126/O126</f>
        <v>3.84201151744126</v>
      </c>
      <c r="R126" s="172" t="n">
        <f aca="false">DataDE1!GH47</f>
        <v>61080.4675</v>
      </c>
      <c r="S126" s="155" t="n">
        <f aca="false">R126*(1-DataDE1!GL47)</f>
        <v>47007.527788</v>
      </c>
      <c r="T126" s="155" t="n">
        <f aca="false">DataDE1!GI47</f>
        <v>28138</v>
      </c>
      <c r="U126" s="92" t="n">
        <v>248.6</v>
      </c>
      <c r="V126" s="24"/>
      <c r="W126" s="25"/>
      <c r="X126" s="158"/>
      <c r="Y126" s="158"/>
      <c r="Z126" s="25"/>
      <c r="AA126" s="25"/>
      <c r="AB126" s="93"/>
    </row>
    <row r="127" customFormat="false" ht="12" hidden="false" customHeight="false" outlineLevel="0" collapsed="false">
      <c r="A127" s="145" t="n">
        <v>1987</v>
      </c>
      <c r="B127" s="146" t="n">
        <f aca="false">TableDE8!B45</f>
        <v>916.96</v>
      </c>
      <c r="C127" s="147" t="n">
        <f aca="false">N127*B127</f>
        <v>2789.80463416419</v>
      </c>
      <c r="D127" s="148" t="n">
        <f aca="false">B127*(TableDE15a!$C$149/TableDE15a!$C126)</f>
        <v>1304.88677211093</v>
      </c>
      <c r="E127" s="149" t="n">
        <f aca="false">D127*N127</f>
        <v>3970.05230751027</v>
      </c>
      <c r="F127" s="150" t="n">
        <f aca="false">1000000*B127/R127</f>
        <v>14985.6339191496</v>
      </c>
      <c r="G127" s="90" t="n">
        <f aca="false">1000000*C127/R127</f>
        <v>45593.0367230103</v>
      </c>
      <c r="H127" s="151" t="n">
        <f aca="false">1000000*B127/S127</f>
        <v>19331.3131051981</v>
      </c>
      <c r="I127" s="152" t="n">
        <f aca="false">1000000*C127/S127</f>
        <v>58814.5468563084</v>
      </c>
      <c r="J127" s="90" t="n">
        <f aca="false">1000000*D127/R127</f>
        <v>21325.4182001342</v>
      </c>
      <c r="K127" s="90" t="n">
        <f aca="false">1000000*E127/R127</f>
        <v>64881.511211202</v>
      </c>
      <c r="L127" s="151" t="n">
        <f aca="false">1000000*D127/S127</f>
        <v>27509.5694016179</v>
      </c>
      <c r="M127" s="152" t="n">
        <f aca="false">K127/(1-DataDE1!GL48)</f>
        <v>83696.4798906115</v>
      </c>
      <c r="N127" s="153" t="n">
        <f aca="false">TableDE5a!F127</f>
        <v>3.04244965338094</v>
      </c>
      <c r="O127" s="154" t="n">
        <f aca="false">TableDE12!F47</f>
        <v>0.771800299904031</v>
      </c>
      <c r="P127" s="155" t="n">
        <f aca="false">L127*O127</f>
        <v>21231.8939143995</v>
      </c>
      <c r="Q127" s="156" t="n">
        <f aca="false">N127/O127</f>
        <v>3.94201667680002</v>
      </c>
      <c r="R127" s="172" t="n">
        <f aca="false">DataDE1!GH48</f>
        <v>61189.27</v>
      </c>
      <c r="S127" s="155" t="n">
        <f aca="false">R127*(1-DataDE1!GL48)</f>
        <v>47433.922104</v>
      </c>
      <c r="T127" s="155" t="n">
        <f aca="false">DataDE1!GI48</f>
        <v>28531</v>
      </c>
      <c r="U127" s="92" t="n">
        <v>248.6</v>
      </c>
      <c r="V127" s="24"/>
      <c r="W127" s="25"/>
      <c r="X127" s="158"/>
      <c r="Y127" s="158"/>
      <c r="Z127" s="25"/>
      <c r="AA127" s="25"/>
      <c r="AB127" s="93"/>
    </row>
    <row r="128" customFormat="false" ht="12" hidden="false" customHeight="false" outlineLevel="0" collapsed="false">
      <c r="A128" s="145" t="n">
        <v>1988</v>
      </c>
      <c r="B128" s="146" t="n">
        <f aca="false">TableDE8!B46</f>
        <v>973.9</v>
      </c>
      <c r="C128" s="147" t="n">
        <f aca="false">N128*B128</f>
        <v>2953.81396487652</v>
      </c>
      <c r="D128" s="148" t="n">
        <f aca="false">B128*(TableDE15a!$C$149/TableDE15a!$C127)</f>
        <v>1362.89924668043</v>
      </c>
      <c r="E128" s="149" t="n">
        <f aca="false">D128*N128</f>
        <v>4133.63880025088</v>
      </c>
      <c r="F128" s="150" t="n">
        <f aca="false">1000000*B128/R128</f>
        <v>15841.8022886142</v>
      </c>
      <c r="G128" s="90" t="n">
        <f aca="false">1000000*C128/R128</f>
        <v>48047.783991089</v>
      </c>
      <c r="H128" s="151" t="n">
        <f aca="false">1000000*B128/S128</f>
        <v>20289.193504885</v>
      </c>
      <c r="I128" s="152" t="n">
        <f aca="false">1000000*C128/S128</f>
        <v>61536.6085951447</v>
      </c>
      <c r="J128" s="90" t="n">
        <f aca="false">1000000*D128/R128</f>
        <v>22169.4017919833</v>
      </c>
      <c r="K128" s="90" t="n">
        <f aca="false">1000000*E128/R128</f>
        <v>67239.232576362</v>
      </c>
      <c r="L128" s="151" t="n">
        <f aca="false">1000000*D128/S128</f>
        <v>28393.1887704705</v>
      </c>
      <c r="M128" s="152" t="n">
        <f aca="false">K128/(1-DataDE1!GL49)</f>
        <v>86115.8204102997</v>
      </c>
      <c r="N128" s="153" t="n">
        <f aca="false">TableDE5a!F128</f>
        <v>3.03297460198842</v>
      </c>
      <c r="O128" s="154" t="n">
        <f aca="false">TableDE12!F48</f>
        <v>0.779669373652326</v>
      </c>
      <c r="P128" s="155" t="n">
        <f aca="false">L128*O128</f>
        <v>22137.2997046649</v>
      </c>
      <c r="Q128" s="156" t="n">
        <f aca="false">N128/O128</f>
        <v>3.89007790286874</v>
      </c>
      <c r="R128" s="172" t="n">
        <f aca="false">DataDE1!GH49</f>
        <v>61476.591</v>
      </c>
      <c r="S128" s="155" t="n">
        <f aca="false">R128*(1-DataDE1!GL49)</f>
        <v>48000.9222528</v>
      </c>
      <c r="T128" s="155" t="n">
        <f aca="false">DataDE1!GI49</f>
        <v>28937</v>
      </c>
      <c r="U128" s="92" t="n">
        <v>248.6</v>
      </c>
      <c r="V128" s="24"/>
      <c r="W128" s="25"/>
      <c r="X128" s="158"/>
      <c r="Y128" s="158"/>
      <c r="Z128" s="25"/>
      <c r="AA128" s="25"/>
      <c r="AB128" s="93"/>
    </row>
    <row r="129" customFormat="false" ht="12" hidden="false" customHeight="false" outlineLevel="0" collapsed="false">
      <c r="A129" s="160" t="n">
        <v>1989</v>
      </c>
      <c r="B129" s="161" t="n">
        <f aca="false">TableDE8!B47</f>
        <v>1043.5</v>
      </c>
      <c r="C129" s="162" t="n">
        <f aca="false">N129*B129</f>
        <v>3142.9583461315</v>
      </c>
      <c r="D129" s="163" t="n">
        <f aca="false">B129*(TableDE15a!$C$149/TableDE15a!$C128)</f>
        <v>1419.53320121557</v>
      </c>
      <c r="E129" s="164" t="n">
        <f aca="false">D129*N129</f>
        <v>4275.54741003474</v>
      </c>
      <c r="F129" s="165" t="n">
        <f aca="false">1000000*B129/R129</f>
        <v>16777.3179150934</v>
      </c>
      <c r="G129" s="108" t="n">
        <f aca="false">1000000*C129/R129</f>
        <v>50532.2581379438</v>
      </c>
      <c r="H129" s="166" t="n">
        <f aca="false">1000000*B129/S129</f>
        <v>21334.3310212276</v>
      </c>
      <c r="I129" s="167" t="n">
        <f aca="false">1000000*C129/S129</f>
        <v>64257.7036342113</v>
      </c>
      <c r="J129" s="108" t="n">
        <f aca="false">1000000*D129/R129</f>
        <v>22823.1526668174</v>
      </c>
      <c r="K129" s="108" t="n">
        <f aca="false">1000000*E129/R129</f>
        <v>68741.9436120815</v>
      </c>
      <c r="L129" s="166" t="n">
        <f aca="false">1000000*D129/S129</f>
        <v>29022.320278252</v>
      </c>
      <c r="M129" s="167" t="n">
        <f aca="false">K129/(1-DataDE1!GL50)</f>
        <v>87413.4583063091</v>
      </c>
      <c r="N129" s="168" t="n">
        <f aca="false">TableDE5a!F129</f>
        <v>3.01193899964686</v>
      </c>
      <c r="O129" s="169" t="n">
        <f aca="false">TableDE12!F49</f>
        <v>0.769381890752276</v>
      </c>
      <c r="P129" s="170" t="n">
        <f aca="false">L129*O129</f>
        <v>22329.2476496996</v>
      </c>
      <c r="Q129" s="171" t="n">
        <f aca="false">N129/O129</f>
        <v>3.91475161535436</v>
      </c>
      <c r="R129" s="172" t="n">
        <f aca="false">DataDE1!GH50</f>
        <v>62197.069</v>
      </c>
      <c r="S129" s="155" t="n">
        <f aca="false">R129*(1-DataDE1!GL50)</f>
        <v>48911.7750616</v>
      </c>
      <c r="T129" s="155" t="n">
        <f aca="false">DataDE1!GI50</f>
        <v>29480</v>
      </c>
      <c r="U129" s="92" t="n">
        <f aca="false">U128</f>
        <v>248.6</v>
      </c>
      <c r="V129" s="24"/>
      <c r="W129" s="25"/>
      <c r="X129" s="158"/>
      <c r="Y129" s="158"/>
      <c r="Z129" s="25"/>
      <c r="AA129" s="25"/>
      <c r="AB129" s="93"/>
    </row>
    <row r="130" customFormat="false" ht="12" hidden="false" customHeight="false" outlineLevel="0" collapsed="false">
      <c r="A130" s="145" t="n">
        <v>1990</v>
      </c>
      <c r="B130" s="146" t="n">
        <f aca="false">TableDE8!B48</f>
        <v>1136.5</v>
      </c>
      <c r="C130" s="147" t="n">
        <f aca="false">N130*B130</f>
        <v>3333.78029691417</v>
      </c>
      <c r="D130" s="148" t="n">
        <f aca="false">B130*(TableDE15a!$C$149/TableDE15a!$C129)</f>
        <v>1495.25581753388</v>
      </c>
      <c r="E130" s="149" t="n">
        <f aca="false">D130*N130</f>
        <v>4386.14551987745</v>
      </c>
      <c r="F130" s="150" t="n">
        <f aca="false">1000000*B130/R130</f>
        <v>17981.928012037</v>
      </c>
      <c r="G130" s="90" t="n">
        <f aca="false">1000000*C130/R130</f>
        <v>52747.7319023828</v>
      </c>
      <c r="H130" s="151" t="n">
        <f aca="false">1000000*B130/S130</f>
        <v>22704.4545606528</v>
      </c>
      <c r="I130" s="152" t="n">
        <f aca="false">1000000*C130/S130</f>
        <v>66600.6715939177</v>
      </c>
      <c r="J130" s="90" t="n">
        <f aca="false">1000000*D130/R130</f>
        <v>23658.2335859866</v>
      </c>
      <c r="K130" s="90" t="n">
        <f aca="false">1000000*E130/R130</f>
        <v>69398.4628145667</v>
      </c>
      <c r="L130" s="151" t="n">
        <f aca="false">1000000*D130/S130</f>
        <v>29871.5070530133</v>
      </c>
      <c r="M130" s="152" t="n">
        <f aca="false">K130/(1-DataDE1!GL51)</f>
        <v>87624.321735564</v>
      </c>
      <c r="N130" s="153" t="n">
        <f aca="false">TableDE5a!F130</f>
        <v>2.93337465632571</v>
      </c>
      <c r="O130" s="154" t="n">
        <f aca="false">TableDE12!F50</f>
        <v>0.775987683238012</v>
      </c>
      <c r="P130" s="155" t="n">
        <f aca="false">L130*O130</f>
        <v>23179.9215528957</v>
      </c>
      <c r="Q130" s="156" t="n">
        <f aca="false">N130/O130</f>
        <v>3.78018197928792</v>
      </c>
      <c r="R130" s="173" t="n">
        <f aca="false">DataDE1!GH51</f>
        <v>63202.344</v>
      </c>
      <c r="S130" s="142" t="n">
        <f aca="false">R130*(1-DataDE1!GL51)</f>
        <v>50056.256448</v>
      </c>
      <c r="T130" s="142" t="n">
        <f aca="false">DataDE1!GI51</f>
        <v>30409</v>
      </c>
      <c r="U130" s="110" t="n">
        <f aca="false">U129</f>
        <v>248.6</v>
      </c>
      <c r="V130" s="24"/>
      <c r="W130" s="25"/>
      <c r="X130" s="158"/>
      <c r="Y130" s="158"/>
      <c r="Z130" s="25"/>
      <c r="AA130" s="25"/>
      <c r="AB130" s="93"/>
    </row>
    <row r="131" customFormat="false" ht="12" hidden="false" customHeight="false" outlineLevel="0" collapsed="false">
      <c r="A131" s="145" t="n">
        <v>1991</v>
      </c>
      <c r="B131" s="146" t="n">
        <f aca="false">TableDE8!B49</f>
        <v>1330.57</v>
      </c>
      <c r="C131" s="147" t="n">
        <f aca="false">N131*B131</f>
        <v>3817.15858551027</v>
      </c>
      <c r="D131" s="148" t="n">
        <f aca="false">B131*(TableDE15a!$C$149/TableDE15a!$C130)</f>
        <v>1698.19795186175</v>
      </c>
      <c r="E131" s="149" t="n">
        <f aca="false">D131*N131</f>
        <v>4871.81500548264</v>
      </c>
      <c r="F131" s="150" t="n">
        <f aca="false">1000000*B131/R131</f>
        <v>16629.2366055343</v>
      </c>
      <c r="G131" s="90" t="n">
        <f aca="false">1000000*C131/R131</f>
        <v>47706.1960507881</v>
      </c>
      <c r="H131" s="151" t="n">
        <f aca="false">1000000*B131/S131</f>
        <v>21237.8500709251</v>
      </c>
      <c r="I131" s="152" t="n">
        <f aca="false">1000000*C131/S131</f>
        <v>60927.4534492824</v>
      </c>
      <c r="J131" s="90" t="n">
        <f aca="false">1000000*D131/R131</f>
        <v>21223.787958952</v>
      </c>
      <c r="K131" s="90" t="n">
        <f aca="false">1000000*E131/R131</f>
        <v>60887.1118577477</v>
      </c>
      <c r="L131" s="151" t="n">
        <f aca="false">1000000*D131/S131</f>
        <v>27105.7317483423</v>
      </c>
      <c r="M131" s="152" t="n">
        <f aca="false">K131/(1-DataDE1!GL52)</f>
        <v>77761.3178259868</v>
      </c>
      <c r="N131" s="153" t="n">
        <f aca="false">TableDE5a!F131</f>
        <v>2.86881455730272</v>
      </c>
      <c r="O131" s="154" t="n">
        <f aca="false">TableDE12!F51</f>
        <v>0.778681317029544</v>
      </c>
      <c r="P131" s="155" t="n">
        <f aca="false">L131*O131</f>
        <v>21106.7268968487</v>
      </c>
      <c r="Q131" s="156" t="n">
        <f aca="false">N131/O131</f>
        <v>3.68419595354677</v>
      </c>
      <c r="R131" s="172" t="n">
        <f aca="false">DataDE1!GH52</f>
        <v>80013.8955</v>
      </c>
      <c r="S131" s="155" t="n">
        <f aca="false">R131*(1-DataDE1!GL52)</f>
        <v>62650.8801765</v>
      </c>
      <c r="T131" s="155" t="n">
        <f aca="false">DataDE1!GI52</f>
        <v>38712</v>
      </c>
      <c r="U131" s="92" t="n">
        <v>357</v>
      </c>
      <c r="V131" s="24"/>
      <c r="W131" s="25"/>
      <c r="X131" s="158"/>
      <c r="Y131" s="158"/>
      <c r="Z131" s="25"/>
      <c r="AA131" s="25"/>
      <c r="AB131" s="93"/>
    </row>
    <row r="132" customFormat="false" ht="12" hidden="false" customHeight="false" outlineLevel="0" collapsed="false">
      <c r="A132" s="145" t="n">
        <v>1992</v>
      </c>
      <c r="B132" s="146" t="n">
        <f aca="false">TableDE8!B50</f>
        <v>1423.96</v>
      </c>
      <c r="C132" s="147" t="n">
        <f aca="false">N132*B132</f>
        <v>4125.95</v>
      </c>
      <c r="D132" s="148" t="n">
        <f aca="false">B132*(TableDE15a!$C$149/TableDE15a!$C131)</f>
        <v>1724.2721202782</v>
      </c>
      <c r="E132" s="149" t="n">
        <f aca="false">D132*N132</f>
        <v>4996.10983079709</v>
      </c>
      <c r="F132" s="150" t="n">
        <f aca="false">1000000*B132/R132</f>
        <v>17661.6074414411</v>
      </c>
      <c r="G132" s="90" t="n">
        <f aca="false">1000000*C132/R132</f>
        <v>51174.8288034875</v>
      </c>
      <c r="H132" s="151" t="n">
        <f aca="false">1000000*B132/S132</f>
        <v>22541.9367472127</v>
      </c>
      <c r="I132" s="152" t="n">
        <f aca="false">1000000*C132/S132</f>
        <v>65315.6717338705</v>
      </c>
      <c r="J132" s="90" t="n">
        <f aca="false">1000000*D132/R132</f>
        <v>21386.4275053898</v>
      </c>
      <c r="K132" s="90" t="n">
        <f aca="false">1000000*E132/R132</f>
        <v>61967.5626884625</v>
      </c>
      <c r="L132" s="151" t="n">
        <f aca="false">1000000*D132/S132</f>
        <v>27296.0146846073</v>
      </c>
      <c r="M132" s="152" t="n">
        <f aca="false">K132/(1-DataDE1!GL53)</f>
        <v>79090.6990280313</v>
      </c>
      <c r="N132" s="153" t="n">
        <f aca="false">TableDE5a!F132</f>
        <v>2.89751818871317</v>
      </c>
      <c r="O132" s="154" t="n">
        <f aca="false">TableDE12!F52</f>
        <v>0.778512036854968</v>
      </c>
      <c r="P132" s="155" t="n">
        <f aca="false">L132*O132</f>
        <v>21250.2759901367</v>
      </c>
      <c r="Q132" s="156" t="n">
        <f aca="false">N132/O132</f>
        <v>3.72186690962231</v>
      </c>
      <c r="R132" s="172" t="n">
        <f aca="false">DataDE1!GH53</f>
        <v>80624.598</v>
      </c>
      <c r="S132" s="155" t="n">
        <f aca="false">R132*(1-DataDE1!GL53)</f>
        <v>63169.372533</v>
      </c>
      <c r="T132" s="155" t="n">
        <f aca="false">DataDE1!GI53</f>
        <v>38183</v>
      </c>
      <c r="U132" s="92" t="n">
        <v>357</v>
      </c>
      <c r="V132" s="24"/>
      <c r="W132" s="25"/>
      <c r="X132" s="158"/>
      <c r="Y132" s="158"/>
      <c r="Z132" s="25"/>
      <c r="AA132" s="25"/>
      <c r="AB132" s="93"/>
    </row>
    <row r="133" customFormat="false" ht="12" hidden="false" customHeight="false" outlineLevel="0" collapsed="false">
      <c r="A133" s="145" t="n">
        <v>1993</v>
      </c>
      <c r="B133" s="146" t="n">
        <f aca="false">TableDE8!B51</f>
        <v>1454.58</v>
      </c>
      <c r="C133" s="147" t="n">
        <f aca="false">N133*B133</f>
        <v>4417.35</v>
      </c>
      <c r="D133" s="148" t="n">
        <f aca="false">B133*(TableDE15a!$C$149/TableDE15a!$C132)</f>
        <v>1693.86181557471</v>
      </c>
      <c r="E133" s="149" t="n">
        <f aca="false">D133*N133</f>
        <v>5144.01441723998</v>
      </c>
      <c r="F133" s="150" t="n">
        <f aca="false">1000000*B133/R133</f>
        <v>17923.1788511961</v>
      </c>
      <c r="G133" s="90" t="n">
        <f aca="false">1000000*C133/R133</f>
        <v>54430.1132274133</v>
      </c>
      <c r="H133" s="151" t="n">
        <f aca="false">1000000*B133/S133</f>
        <v>22861.1975142807</v>
      </c>
      <c r="I133" s="152" t="n">
        <f aca="false">1000000*C133/S133</f>
        <v>69426.1648308843</v>
      </c>
      <c r="J133" s="90" t="n">
        <f aca="false">1000000*D133/R133</f>
        <v>20871.5837353443</v>
      </c>
      <c r="K133" s="90" t="n">
        <f aca="false">1000000*E133/R133</f>
        <v>63383.9942892953</v>
      </c>
      <c r="L133" s="151" t="n">
        <f aca="false">1000000*D133/S133</f>
        <v>26621.9180297759</v>
      </c>
      <c r="M133" s="152" t="n">
        <f aca="false">K133/(1-DataDE1!GL54)</f>
        <v>80846.9314914481</v>
      </c>
      <c r="N133" s="153" t="n">
        <f aca="false">TableDE5a!F133</f>
        <v>3.03685599967001</v>
      </c>
      <c r="O133" s="154" t="n">
        <f aca="false">TableDE12!F53</f>
        <v>0.780287093181537</v>
      </c>
      <c r="P133" s="155" t="n">
        <f aca="false">L133*O133</f>
        <v>20772.739034371</v>
      </c>
      <c r="Q133" s="156" t="n">
        <f aca="false">N133/O133</f>
        <v>3.89197261649882</v>
      </c>
      <c r="R133" s="172" t="n">
        <f aca="false">DataDE1!GH54</f>
        <v>81156.3625</v>
      </c>
      <c r="S133" s="155" t="n">
        <f aca="false">R133*(1-DataDE1!GL54)</f>
        <v>63626.5882</v>
      </c>
      <c r="T133" s="155" t="n">
        <f aca="false">DataDE1!GI54</f>
        <v>37695</v>
      </c>
      <c r="U133" s="92" t="n">
        <v>357</v>
      </c>
      <c r="V133" s="24"/>
      <c r="W133" s="25"/>
      <c r="X133" s="158"/>
      <c r="Y133" s="158"/>
      <c r="Z133" s="25"/>
      <c r="AA133" s="25"/>
      <c r="AB133" s="93"/>
    </row>
    <row r="134" customFormat="false" ht="12" hidden="false" customHeight="false" outlineLevel="0" collapsed="false">
      <c r="A134" s="145" t="n">
        <v>1994</v>
      </c>
      <c r="B134" s="146" t="n">
        <f aca="false">TableDE8!B52</f>
        <v>1517.52</v>
      </c>
      <c r="C134" s="147" t="n">
        <f aca="false">N134*B134</f>
        <v>4661.4</v>
      </c>
      <c r="D134" s="148" t="n">
        <f aca="false">B134*(TableDE15a!$C$149/TableDE15a!$C133)</f>
        <v>1724.164738671</v>
      </c>
      <c r="E134" s="149" t="n">
        <f aca="false">D134*N134</f>
        <v>5296.15524859048</v>
      </c>
      <c r="F134" s="150" t="n">
        <f aca="false">1000000*B134/R134</f>
        <v>18633.9732726406</v>
      </c>
      <c r="G134" s="90" t="n">
        <f aca="false">1000000*C134/R134</f>
        <v>57238.3909359262</v>
      </c>
      <c r="H134" s="151" t="n">
        <f aca="false">1000000*B134/S134</f>
        <v>23752.6746623844</v>
      </c>
      <c r="I134" s="152" t="n">
        <f aca="false">1000000*C134/S134</f>
        <v>72961.620058542</v>
      </c>
      <c r="J134" s="90" t="n">
        <f aca="false">1000000*D134/R134</f>
        <v>21171.4110245827</v>
      </c>
      <c r="K134" s="90" t="n">
        <f aca="false">1000000*E134/R134</f>
        <v>65032.6950221347</v>
      </c>
      <c r="L134" s="151" t="n">
        <f aca="false">1000000*D134/S134</f>
        <v>26987.1396106854</v>
      </c>
      <c r="M134" s="152" t="n">
        <f aca="false">K134/(1-DataDE1!GL55)</f>
        <v>82896.9981161692</v>
      </c>
      <c r="N134" s="153" t="n">
        <f aca="false">TableDE5a!F134</f>
        <v>3.07172228372608</v>
      </c>
      <c r="O134" s="154" t="n">
        <f aca="false">TableDE12!F54</f>
        <v>0.781887553376562</v>
      </c>
      <c r="P134" s="155" t="n">
        <f aca="false">L134*O134</f>
        <v>21100.9085628305</v>
      </c>
      <c r="Q134" s="156" t="n">
        <f aca="false">N134/O134</f>
        <v>3.92859851836869</v>
      </c>
      <c r="R134" s="172" t="n">
        <f aca="false">DataDE1!GH55</f>
        <v>81438.348</v>
      </c>
      <c r="S134" s="155" t="n">
        <f aca="false">R134*(1-DataDE1!GL55)</f>
        <v>63888.384006</v>
      </c>
      <c r="T134" s="155" t="n">
        <f aca="false">DataDE1!GI55</f>
        <v>37667</v>
      </c>
      <c r="U134" s="92" t="n">
        <v>357</v>
      </c>
      <c r="V134" s="24"/>
      <c r="W134" s="25"/>
      <c r="X134" s="158"/>
      <c r="Y134" s="158"/>
      <c r="Z134" s="25"/>
      <c r="AA134" s="25"/>
      <c r="AB134" s="93"/>
    </row>
    <row r="135" customFormat="false" ht="12" hidden="false" customHeight="false" outlineLevel="0" collapsed="false">
      <c r="A135" s="145" t="n">
        <v>1995</v>
      </c>
      <c r="B135" s="146" t="n">
        <f aca="false">TableDE8!B53</f>
        <v>1569.37</v>
      </c>
      <c r="C135" s="147" t="n">
        <f aca="false">N135*B135</f>
        <v>4869.4</v>
      </c>
      <c r="D135" s="148" t="n">
        <f aca="false">B135*(TableDE15a!$C$149/TableDE15a!$C134)</f>
        <v>1747.95162281849</v>
      </c>
      <c r="E135" s="149" t="n">
        <f aca="false">D135*N135</f>
        <v>5423.49836695767</v>
      </c>
      <c r="F135" s="150" t="n">
        <f aca="false">1000000*B135/R135</f>
        <v>19214.0970650732</v>
      </c>
      <c r="G135" s="90" t="n">
        <f aca="false">1000000*C135/R135</f>
        <v>59616.9955132744</v>
      </c>
      <c r="H135" s="151" t="n">
        <f aca="false">1000000*B135/S135</f>
        <v>24476.5567707939</v>
      </c>
      <c r="I135" s="152" t="n">
        <f aca="false">1000000*C135/S135</f>
        <v>75945.2172143623</v>
      </c>
      <c r="J135" s="90" t="n">
        <f aca="false">1000000*D135/R135</f>
        <v>21400.5060284616</v>
      </c>
      <c r="K135" s="90" t="n">
        <f aca="false">1000000*E135/R135</f>
        <v>66400.9277958612</v>
      </c>
      <c r="L135" s="151" t="n">
        <f aca="false">1000000*D135/S135</f>
        <v>27261.7911190593</v>
      </c>
      <c r="M135" s="152" t="n">
        <f aca="false">K135/(1-DataDE1!GL56)</f>
        <v>84587.1691667022</v>
      </c>
      <c r="N135" s="153" t="n">
        <f aca="false">TableDE5a!F135</f>
        <v>3.10277372448817</v>
      </c>
      <c r="O135" s="154" t="n">
        <f aca="false">TableDE12!F55</f>
        <v>0.792043941199335</v>
      </c>
      <c r="P135" s="155" t="n">
        <f aca="false">L135*O135</f>
        <v>21592.5364820928</v>
      </c>
      <c r="Q135" s="156" t="n">
        <f aca="false">N135/O135</f>
        <v>3.91742624757645</v>
      </c>
      <c r="R135" s="157" t="n">
        <f aca="false">DataDE1!GH56</f>
        <v>81678.051</v>
      </c>
      <c r="S135" s="155" t="n">
        <f aca="false">R135*(1-DataDE1!GL56)</f>
        <v>64117.270035</v>
      </c>
      <c r="T135" s="155" t="n">
        <f aca="false">DataDE1!GI56</f>
        <v>37802</v>
      </c>
      <c r="U135" s="92" t="n">
        <v>357</v>
      </c>
      <c r="V135" s="24"/>
      <c r="W135" s="25"/>
      <c r="X135" s="158"/>
      <c r="Y135" s="158"/>
      <c r="Z135" s="25"/>
      <c r="AA135" s="25"/>
      <c r="AB135" s="93"/>
    </row>
    <row r="136" customFormat="false" ht="12" hidden="false" customHeight="false" outlineLevel="0" collapsed="false">
      <c r="A136" s="145" t="n">
        <v>1996</v>
      </c>
      <c r="B136" s="146" t="n">
        <f aca="false">TableDE8!B54</f>
        <v>1593.78</v>
      </c>
      <c r="C136" s="147" t="n">
        <f aca="false">N136*B136</f>
        <v>5112.05</v>
      </c>
      <c r="D136" s="148" t="n">
        <f aca="false">B136*(TableDE15a!$C$149/TableDE15a!$C135)</f>
        <v>1763.88972937868</v>
      </c>
      <c r="E136" s="149" t="n">
        <f aca="false">D136*N136</f>
        <v>5657.67702635891</v>
      </c>
      <c r="F136" s="150" t="n">
        <f aca="false">1000000*B136/R136</f>
        <v>19456.5500565859</v>
      </c>
      <c r="G136" s="90" t="n">
        <f aca="false">1000000*C136/R136</f>
        <v>62406.8922415703</v>
      </c>
      <c r="H136" s="151" t="n">
        <f aca="false">1000000*B136/S136</f>
        <v>24778.4450620527</v>
      </c>
      <c r="I136" s="152" t="n">
        <f aca="false">1000000*C136/S136</f>
        <v>79476.8726420626</v>
      </c>
      <c r="J136" s="90" t="n">
        <f aca="false">1000000*D136/R136</f>
        <v>21533.2158854761</v>
      </c>
      <c r="K136" s="90" t="n">
        <f aca="false">1000000*E136/R136</f>
        <v>69067.7987346737</v>
      </c>
      <c r="L136" s="151" t="n">
        <f aca="false">1000000*D136/S136</f>
        <v>27423.1354107397</v>
      </c>
      <c r="M136" s="152" t="n">
        <f aca="false">K136/(1-DataDE1!GL57)</f>
        <v>87959.7180140746</v>
      </c>
      <c r="N136" s="153" t="n">
        <f aca="false">TableDE5a!F136</f>
        <v>3.20750040783546</v>
      </c>
      <c r="O136" s="154" t="n">
        <f aca="false">TableDE12!F56</f>
        <v>0.793127031334312</v>
      </c>
      <c r="P136" s="155" t="n">
        <f aca="false">L136*O136</f>
        <v>21750.0299781988</v>
      </c>
      <c r="Q136" s="156" t="n">
        <f aca="false">N136/O136</f>
        <v>4.04411939212227</v>
      </c>
      <c r="R136" s="157" t="n">
        <f aca="false">DataDE1!GH57</f>
        <v>81914.8305</v>
      </c>
      <c r="S136" s="155" t="n">
        <f aca="false">R136*(1-DataDE1!GL57)</f>
        <v>64321.2274220071</v>
      </c>
      <c r="T136" s="155" t="n">
        <f aca="false">DataDE1!GI57</f>
        <v>37772</v>
      </c>
      <c r="U136" s="92" t="n">
        <v>357</v>
      </c>
      <c r="V136" s="24"/>
      <c r="W136" s="25"/>
      <c r="X136" s="158"/>
      <c r="Y136" s="158"/>
      <c r="Z136" s="25"/>
      <c r="AA136" s="25"/>
      <c r="AB136" s="93"/>
    </row>
    <row r="137" customFormat="false" ht="12" hidden="false" customHeight="false" outlineLevel="0" collapsed="false">
      <c r="A137" s="145" t="n">
        <v>1997</v>
      </c>
      <c r="B137" s="146" t="n">
        <f aca="false">TableDE8!B55</f>
        <v>1621.1</v>
      </c>
      <c r="C137" s="147" t="n">
        <f aca="false">N137*B137</f>
        <v>5368.15</v>
      </c>
      <c r="D137" s="148" t="n">
        <f aca="false">B137*(TableDE15a!$C$149/TableDE15a!$C136)</f>
        <v>1789.41099594195</v>
      </c>
      <c r="E137" s="149" t="n">
        <f aca="false">D137*N137</f>
        <v>5925.4991289037</v>
      </c>
      <c r="F137" s="150" t="n">
        <f aca="false">1000000*B137/R137</f>
        <v>19761.1328723105</v>
      </c>
      <c r="G137" s="90" t="n">
        <f aca="false">1000000*C137/R137</f>
        <v>65437.496408916</v>
      </c>
      <c r="H137" s="151" t="n">
        <f aca="false">1000000*B137/S137</f>
        <v>25159.2654121303</v>
      </c>
      <c r="I137" s="152" t="n">
        <f aca="false">1000000*C137/S137</f>
        <v>83313.0038998996</v>
      </c>
      <c r="J137" s="90" t="n">
        <f aca="false">1000000*D137/R137</f>
        <v>21812.836008872</v>
      </c>
      <c r="K137" s="90" t="n">
        <f aca="false">1000000*E137/R137</f>
        <v>72231.5561168505</v>
      </c>
      <c r="L137" s="151" t="n">
        <f aca="false">1000000*D137/S137</f>
        <v>27771.4306201271</v>
      </c>
      <c r="M137" s="152" t="n">
        <f aca="false">K137/(1-DataDE1!GL58)</f>
        <v>91962.9913536705</v>
      </c>
      <c r="N137" s="153" t="n">
        <f aca="false">TableDE5a!F137</f>
        <v>3.31142434149651</v>
      </c>
      <c r="O137" s="154" t="n">
        <f aca="false">TableDE12!F57</f>
        <v>0.790882733946086</v>
      </c>
      <c r="P137" s="155" t="n">
        <f aca="false">L137*O137</f>
        <v>21963.9449744402</v>
      </c>
      <c r="Q137" s="156" t="n">
        <f aca="false">N137/O137</f>
        <v>4.18699789408002</v>
      </c>
      <c r="R137" s="157" t="n">
        <f aca="false">DataDE1!GH58</f>
        <v>82034.7705</v>
      </c>
      <c r="S137" s="155" t="n">
        <f aca="false">R137*(1-DataDE1!GL58)</f>
        <v>64433.5187631671</v>
      </c>
      <c r="T137" s="155" t="n">
        <f aca="false">DataDE1!GI58</f>
        <v>37716</v>
      </c>
      <c r="U137" s="92" t="n">
        <v>357</v>
      </c>
      <c r="V137" s="24"/>
      <c r="W137" s="25"/>
      <c r="X137" s="158"/>
      <c r="Y137" s="158"/>
      <c r="Z137" s="25"/>
      <c r="AA137" s="25"/>
      <c r="AB137" s="93"/>
    </row>
    <row r="138" customFormat="false" ht="12" hidden="false" customHeight="false" outlineLevel="0" collapsed="false">
      <c r="A138" s="145" t="n">
        <v>1998</v>
      </c>
      <c r="B138" s="146" t="n">
        <f aca="false">TableDE8!B56</f>
        <v>1655.4</v>
      </c>
      <c r="C138" s="147" t="n">
        <f aca="false">N138*B138</f>
        <v>5639.75</v>
      </c>
      <c r="D138" s="148" t="n">
        <f aca="false">B138*(TableDE15a!$C$149/TableDE15a!$C137)</f>
        <v>1816.55837858552</v>
      </c>
      <c r="E138" s="149" t="n">
        <f aca="false">D138*N138</f>
        <v>6188.79733939089</v>
      </c>
      <c r="F138" s="150" t="n">
        <f aca="false">1000000*B138/R138</f>
        <v>20176.1924950634</v>
      </c>
      <c r="G138" s="90" t="n">
        <f aca="false">1000000*C138/R138</f>
        <v>68737.8770230963</v>
      </c>
      <c r="H138" s="151" t="n">
        <f aca="false">1000000*B138/S138</f>
        <v>25680.4878684448</v>
      </c>
      <c r="I138" s="152" t="n">
        <f aca="false">1000000*C138/S138</f>
        <v>87490.3536644084</v>
      </c>
      <c r="J138" s="90" t="n">
        <f aca="false">1000000*D138/R138</f>
        <v>22140.4080734938</v>
      </c>
      <c r="K138" s="90" t="n">
        <f aca="false">1000000*E138/R138</f>
        <v>75429.7247991341</v>
      </c>
      <c r="L138" s="151" t="n">
        <f aca="false">1000000*D138/S138</f>
        <v>28180.563853804</v>
      </c>
      <c r="M138" s="152" t="n">
        <f aca="false">K138/(1-DataDE1!GL59)</f>
        <v>96007.8138181052</v>
      </c>
      <c r="N138" s="153" t="n">
        <f aca="false">TableDE5a!F138</f>
        <v>3.4068805122629</v>
      </c>
      <c r="O138" s="154" t="n">
        <f aca="false">TableDE12!F58</f>
        <v>0.782940678989972</v>
      </c>
      <c r="P138" s="155" t="n">
        <f aca="false">L138*O138</f>
        <v>22063.7097980176</v>
      </c>
      <c r="Q138" s="156" t="n">
        <f aca="false">N138/O138</f>
        <v>4.35139034627492</v>
      </c>
      <c r="R138" s="157" t="n">
        <f aca="false">DataDE1!GH59</f>
        <v>82047.195</v>
      </c>
      <c r="S138" s="155" t="n">
        <f aca="false">R138*(1-DataDE1!GL59)</f>
        <v>64461.3921853911</v>
      </c>
      <c r="T138" s="155" t="n">
        <f aca="false">DataDE1!GI59</f>
        <v>38148</v>
      </c>
      <c r="U138" s="92" t="n">
        <v>357</v>
      </c>
      <c r="V138" s="24"/>
      <c r="W138" s="25"/>
      <c r="X138" s="158"/>
      <c r="Y138" s="158"/>
      <c r="Z138" s="25"/>
      <c r="AA138" s="25"/>
      <c r="AB138" s="93"/>
    </row>
    <row r="139" customFormat="false" ht="12" hidden="false" customHeight="false" outlineLevel="0" collapsed="false">
      <c r="A139" s="174" t="n">
        <f aca="false">A138+1</f>
        <v>1999</v>
      </c>
      <c r="B139" s="146" t="n">
        <f aca="false">TableDE8!B57</f>
        <v>1687.07</v>
      </c>
      <c r="C139" s="147" t="n">
        <f aca="false">N139*B139</f>
        <v>5918.25</v>
      </c>
      <c r="D139" s="148" t="n">
        <f aca="false">B139*(TableDE15a!$C$149/TableDE15a!$C138)</f>
        <v>1847.76437085111</v>
      </c>
      <c r="E139" s="164" t="n">
        <f aca="false">D139*N139</f>
        <v>6481.96665686047</v>
      </c>
      <c r="F139" s="165" t="n">
        <f aca="false">1000000*B139/R139</f>
        <v>20548.9038564721</v>
      </c>
      <c r="G139" s="108" t="n">
        <f aca="false">1000000*C139/R139</f>
        <v>72085.6575296616</v>
      </c>
      <c r="H139" s="166" t="n">
        <f aca="false">1000000*B139/S139</f>
        <v>26122.2602813422</v>
      </c>
      <c r="I139" s="167" t="n">
        <f aca="false">1000000*C139/S139</f>
        <v>91637.0197502496</v>
      </c>
      <c r="J139" s="108" t="n">
        <f aca="false">1000000*D139/R139</f>
        <v>22506.1985608388</v>
      </c>
      <c r="K139" s="108" t="n">
        <f aca="false">1000000*E139/R139</f>
        <v>78951.857144448</v>
      </c>
      <c r="L139" s="166" t="n">
        <f aca="false">1000000*D139/S139</f>
        <v>28610.4203346413</v>
      </c>
      <c r="M139" s="167" t="n">
        <f aca="false">K139/(1-DataDE1!GL60)</f>
        <v>100365.497664881</v>
      </c>
      <c r="N139" s="168" t="n">
        <f aca="false">TableDE5a!F139</f>
        <v>3.50800500275626</v>
      </c>
      <c r="O139" s="154" t="n">
        <f aca="false">TableDE12!F59</f>
        <v>0.770679343477153</v>
      </c>
      <c r="P139" s="155" t="n">
        <f aca="false">L139*O139</f>
        <v>22049.4599601067</v>
      </c>
      <c r="Q139" s="156" t="n">
        <f aca="false">N139/O139</f>
        <v>4.55183473184688</v>
      </c>
      <c r="R139" s="157" t="n">
        <f aca="false">DataDE1!GH60</f>
        <v>82100.243</v>
      </c>
      <c r="S139" s="155" t="n">
        <f aca="false">R139*(1-DataDE1!GL60)</f>
        <v>64583.6149640154</v>
      </c>
      <c r="T139" s="155" t="n">
        <f aca="false">DataDE1!GI60</f>
        <v>38721</v>
      </c>
      <c r="U139" s="92" t="n">
        <v>357</v>
      </c>
      <c r="V139" s="24"/>
      <c r="W139" s="25"/>
      <c r="X139" s="158"/>
      <c r="Y139" s="158"/>
      <c r="Z139" s="25"/>
      <c r="AA139" s="25"/>
      <c r="AB139" s="93"/>
    </row>
    <row r="140" customFormat="false" ht="12" hidden="false" customHeight="false" outlineLevel="0" collapsed="false">
      <c r="A140" s="175" t="n">
        <f aca="false">A139+1</f>
        <v>2000</v>
      </c>
      <c r="B140" s="132" t="n">
        <f aca="false">TableDE8!B58</f>
        <v>1724.53</v>
      </c>
      <c r="C140" s="133" t="n">
        <f aca="false">N140*B140</f>
        <v>6147.5</v>
      </c>
      <c r="D140" s="134" t="n">
        <f aca="false">B140*(TableDE15a!$C$149/TableDE15a!$C139)</f>
        <v>1901.57730243133</v>
      </c>
      <c r="E140" s="149" t="n">
        <f aca="false">D140*N140</f>
        <v>6778.62749079262</v>
      </c>
      <c r="F140" s="150" t="n">
        <f aca="false">1000000*B140/R140</f>
        <v>20976.7483570806</v>
      </c>
      <c r="G140" s="90" t="n">
        <f aca="false">1000000*C140/R140</f>
        <v>74776.6408964488</v>
      </c>
      <c r="H140" s="151" t="n">
        <f aca="false">1000000*B140/S140</f>
        <v>26586.49981886</v>
      </c>
      <c r="I140" s="152" t="n">
        <f aca="false">1000000*C140/S140</f>
        <v>94773.9428345359</v>
      </c>
      <c r="J140" s="90" t="n">
        <f aca="false">1000000*D140/R140</f>
        <v>23130.3071298488</v>
      </c>
      <c r="K140" s="90" t="n">
        <f aca="false">1000000*E140/R140</f>
        <v>82453.5166571444</v>
      </c>
      <c r="L140" s="151" t="n">
        <f aca="false">1000000*D140/S140</f>
        <v>29315.9786183128</v>
      </c>
      <c r="M140" s="152" t="n">
        <f aca="false">K140/(1-DataDE1!GL61)</f>
        <v>104503.823393085</v>
      </c>
      <c r="N140" s="153" t="n">
        <f aca="false">TableDE5a!F140</f>
        <v>3.56473937826538</v>
      </c>
      <c r="O140" s="141" t="n">
        <f aca="false">TableDE12!F60</f>
        <v>0.76771062260442</v>
      </c>
      <c r="P140" s="142" t="n">
        <f aca="false">L140*O140</f>
        <v>22506.1881973227</v>
      </c>
      <c r="Q140" s="159" t="n">
        <f aca="false">N140/O140</f>
        <v>4.64333731135852</v>
      </c>
      <c r="R140" s="144" t="n">
        <f aca="false">DataDE1!GH61</f>
        <v>82211.5025</v>
      </c>
      <c r="S140" s="142" t="n">
        <f aca="false">R140*(1-DataDE1!GL61)</f>
        <v>64864.8754725</v>
      </c>
      <c r="T140" s="142" t="n">
        <f aca="false">DataDE1!GI61</f>
        <v>39382</v>
      </c>
      <c r="U140" s="110" t="n">
        <v>357</v>
      </c>
      <c r="V140" s="24"/>
      <c r="W140" s="25"/>
      <c r="X140" s="158"/>
      <c r="Y140" s="158"/>
      <c r="Z140" s="25"/>
      <c r="AA140" s="25"/>
      <c r="AB140" s="93"/>
    </row>
    <row r="141" customFormat="false" ht="12" hidden="false" customHeight="false" outlineLevel="0" collapsed="false">
      <c r="A141" s="174" t="n">
        <f aca="false">A140+1</f>
        <v>2001</v>
      </c>
      <c r="B141" s="146" t="n">
        <f aca="false">TableDE8!B59</f>
        <v>1767.48</v>
      </c>
      <c r="C141" s="147" t="n">
        <f aca="false">N141*B141</f>
        <v>6336.15</v>
      </c>
      <c r="D141" s="148" t="n">
        <f aca="false">B141*(TableDE15a!$C$149/TableDE15a!$C140)</f>
        <v>1927.24588892589</v>
      </c>
      <c r="E141" s="149" t="n">
        <f aca="false">D141*N141</f>
        <v>6908.88668563027</v>
      </c>
      <c r="F141" s="150" t="n">
        <f aca="false">1000000*B141/R141</f>
        <v>21463.0458331378</v>
      </c>
      <c r="G141" s="90" t="n">
        <f aca="false">1000000*C141/R141</f>
        <v>76941.7916217643</v>
      </c>
      <c r="H141" s="151" t="n">
        <f aca="false">1000000*B141/S141</f>
        <v>27134.0655286192</v>
      </c>
      <c r="I141" s="152" t="n">
        <f aca="false">1000000*C141/S141</f>
        <v>97271.5444017247</v>
      </c>
      <c r="J141" s="90" t="n">
        <f aca="false">1000000*D141/R141</f>
        <v>23403.1314898855</v>
      </c>
      <c r="K141" s="90" t="n">
        <f aca="false">1000000*E141/R141</f>
        <v>83896.7069441452</v>
      </c>
      <c r="L141" s="151" t="n">
        <f aca="false">1000000*D141/S141</f>
        <v>29586.7654739386</v>
      </c>
      <c r="M141" s="152" t="n">
        <f aca="false">K141/(1-DataDE1!GL62)</f>
        <v>106064.104859855</v>
      </c>
      <c r="N141" s="153" t="n">
        <f aca="false">TableDE5a!F141</f>
        <v>3.58484961640301</v>
      </c>
      <c r="O141" s="154" t="n">
        <f aca="false">TableDE12!F61</f>
        <v>0.785197003643606</v>
      </c>
      <c r="P141" s="155" t="n">
        <f aca="false">L141*O141</f>
        <v>23231.4395976427</v>
      </c>
      <c r="Q141" s="156" t="n">
        <f aca="false">N141/O141</f>
        <v>4.56554164084679</v>
      </c>
      <c r="R141" s="157" t="n">
        <f aca="false">DataDE1!GH62</f>
        <v>82349.915</v>
      </c>
      <c r="S141" s="155" t="n">
        <f aca="false">R141*(1-DataDE1!GL62)</f>
        <v>65138.782765</v>
      </c>
      <c r="T141" s="155" t="n">
        <f aca="false">DataDE1!GI62</f>
        <v>39485</v>
      </c>
      <c r="U141" s="92" t="n">
        <v>357</v>
      </c>
      <c r="V141" s="24"/>
      <c r="W141" s="176"/>
      <c r="X141" s="158"/>
      <c r="Y141" s="158"/>
      <c r="Z141" s="25"/>
      <c r="AA141" s="25"/>
      <c r="AB141" s="93"/>
    </row>
    <row r="142" customFormat="false" ht="12" hidden="false" customHeight="false" outlineLevel="0" collapsed="false">
      <c r="A142" s="174" t="n">
        <f aca="false">A141+1</f>
        <v>2002</v>
      </c>
      <c r="B142" s="146" t="n">
        <f aca="false">TableDE8!B60</f>
        <v>1787.41</v>
      </c>
      <c r="C142" s="147" t="n">
        <f aca="false">N142*B142</f>
        <v>6488.6</v>
      </c>
      <c r="D142" s="148" t="n">
        <f aca="false">B142*(TableDE15a!$C$149/TableDE15a!$C141)</f>
        <v>1921.47609110833</v>
      </c>
      <c r="E142" s="149" t="n">
        <f aca="false">D142*N142</f>
        <v>6975.28253996872</v>
      </c>
      <c r="F142" s="150" t="n">
        <f aca="false">1000000*B142/R142</f>
        <v>21668.5988554282</v>
      </c>
      <c r="G142" s="90" t="n">
        <f aca="false">1000000*C142/R142</f>
        <v>78660.6713251752</v>
      </c>
      <c r="H142" s="151" t="n">
        <f aca="false">1000000*B142/S142</f>
        <v>27324.8409274</v>
      </c>
      <c r="I142" s="152" t="n">
        <f aca="false">1000000*C142/S142</f>
        <v>99193.7847732348</v>
      </c>
      <c r="J142" s="90" t="n">
        <f aca="false">1000000*D142/R142</f>
        <v>23293.8691338431</v>
      </c>
      <c r="K142" s="90" t="n">
        <f aca="false">1000000*E142/R142</f>
        <v>84560.6767679797</v>
      </c>
      <c r="L142" s="151" t="n">
        <f aca="false">1000000*D142/S142</f>
        <v>29374.3620855525</v>
      </c>
      <c r="M142" s="152" t="n">
        <f aca="false">K142/(1-DataDE1!GL63)</f>
        <v>106633.89251952</v>
      </c>
      <c r="N142" s="153" t="n">
        <f aca="false">TableDE5a!F142</f>
        <v>3.63016879171539</v>
      </c>
      <c r="O142" s="154" t="n">
        <f aca="false">TableDE12!F62</f>
        <v>0.7910608086561</v>
      </c>
      <c r="P142" s="155" t="n">
        <f aca="false">L142*O142</f>
        <v>23236.9066251542</v>
      </c>
      <c r="Q142" s="156" t="n">
        <f aca="false">N142/O142</f>
        <v>4.58898829520139</v>
      </c>
      <c r="R142" s="157" t="n">
        <f aca="false">DataDE1!GH63</f>
        <v>82488.49</v>
      </c>
      <c r="S142" s="155" t="n">
        <f aca="false">R142*(1-DataDE1!GL63)</f>
        <v>65413.37257</v>
      </c>
      <c r="T142" s="155" t="n">
        <f aca="false">DataDE1!GI63</f>
        <v>39257</v>
      </c>
      <c r="U142" s="92" t="n">
        <f aca="false">U141</f>
        <v>357</v>
      </c>
      <c r="V142" s="24"/>
      <c r="W142" s="176"/>
      <c r="X142" s="158"/>
      <c r="Y142" s="158"/>
      <c r="Z142" s="25"/>
      <c r="AA142" s="25"/>
      <c r="AB142" s="93"/>
    </row>
    <row r="143" customFormat="false" ht="12" hidden="false" customHeight="false" outlineLevel="0" collapsed="false">
      <c r="A143" s="174" t="n">
        <f aca="false">A142+1</f>
        <v>2003</v>
      </c>
      <c r="B143" s="146" t="n">
        <f aca="false">TableDE8!B61</f>
        <v>1811.5</v>
      </c>
      <c r="C143" s="147" t="n">
        <f aca="false">N143*B143</f>
        <v>6712.45</v>
      </c>
      <c r="D143" s="148" t="n">
        <f aca="false">B143*(TableDE15a!$C$149/TableDE15a!$C142)</f>
        <v>1926.23959411821</v>
      </c>
      <c r="E143" s="149" t="n">
        <f aca="false">D143*N143</f>
        <v>7137.61355977853</v>
      </c>
      <c r="F143" s="150" t="n">
        <f aca="false">1000000*B143/R143</f>
        <v>21948.4836314867</v>
      </c>
      <c r="G143" s="90" t="n">
        <f aca="false">1000000*C143/R143</f>
        <v>81329.3397472663</v>
      </c>
      <c r="H143" s="151" t="n">
        <f aca="false">1000000*B143/S143</f>
        <v>27608.155511304</v>
      </c>
      <c r="I143" s="152" t="n">
        <f aca="false">1000000*C143/S143</f>
        <v>102301.05628587</v>
      </c>
      <c r="J143" s="90" t="n">
        <f aca="false">1000000*D143/R143</f>
        <v>23338.6906993239</v>
      </c>
      <c r="K143" s="90" t="n">
        <f aca="false">1000000*E143/R143</f>
        <v>86480.7034969233</v>
      </c>
      <c r="L143" s="151" t="n">
        <f aca="false">1000000*D143/S143</f>
        <v>29356.8436469483</v>
      </c>
      <c r="M143" s="152" t="n">
        <f aca="false">K143/(1-DataDE1!GL64)</f>
        <v>108780.759115627</v>
      </c>
      <c r="N143" s="153" t="n">
        <f aca="false">TableDE5a!F143</f>
        <v>3.70546508418438</v>
      </c>
      <c r="O143" s="154" t="n">
        <f aca="false">TableDE12!F63</f>
        <v>0.794650841843776</v>
      </c>
      <c r="P143" s="155" t="n">
        <f aca="false">L143*O143</f>
        <v>23328.4405179235</v>
      </c>
      <c r="Q143" s="156" t="n">
        <f aca="false">N143/O143</f>
        <v>4.66301032990393</v>
      </c>
      <c r="R143" s="157" t="n">
        <f aca="false">DataDE1!GH64</f>
        <v>82534.1755</v>
      </c>
      <c r="S143" s="155" t="n">
        <f aca="false">R143*(1-DataDE1!GL64)</f>
        <v>65614.6695225</v>
      </c>
      <c r="T143" s="155" t="n">
        <f aca="false">DataDE1!GI64</f>
        <v>38918</v>
      </c>
      <c r="U143" s="92" t="n">
        <f aca="false">U142</f>
        <v>357</v>
      </c>
      <c r="V143" s="24"/>
      <c r="W143" s="176"/>
      <c r="X143" s="158"/>
      <c r="Y143" s="158"/>
      <c r="Z143" s="25"/>
      <c r="AA143" s="25"/>
      <c r="AB143" s="93"/>
    </row>
    <row r="144" customFormat="false" ht="12" hidden="false" customHeight="false" outlineLevel="0" collapsed="false">
      <c r="A144" s="174" t="n">
        <f aca="false">A143+1</f>
        <v>2004</v>
      </c>
      <c r="B144" s="146" t="n">
        <f aca="false">TableDE8!B62</f>
        <v>1891.58</v>
      </c>
      <c r="C144" s="147" t="n">
        <f aca="false">N144*B144</f>
        <v>7042.05</v>
      </c>
      <c r="D144" s="148" t="n">
        <f aca="false">B144*(TableDE15a!$C$149/TableDE15a!$C143)</f>
        <v>1990.07999695766</v>
      </c>
      <c r="E144" s="149" t="n">
        <f aca="false">D144*N144</f>
        <v>7408.74974496226</v>
      </c>
      <c r="F144" s="150" t="n">
        <f aca="false">1000000*B144/R144</f>
        <v>22923.7243665673</v>
      </c>
      <c r="G144" s="90" t="n">
        <f aca="false">1000000*C144/R144</f>
        <v>85341.3618115993</v>
      </c>
      <c r="H144" s="151" t="n">
        <f aca="false">1000000*B144/S144</f>
        <v>28762.514889043</v>
      </c>
      <c r="I144" s="152" t="n">
        <f aca="false">1000000*C144/S144</f>
        <v>107078.245685821</v>
      </c>
      <c r="J144" s="90" t="n">
        <f aca="false">1000000*D144/R144</f>
        <v>24117.4284554058</v>
      </c>
      <c r="K144" s="90" t="n">
        <f aca="false">1000000*E144/R144</f>
        <v>89785.3313390871</v>
      </c>
      <c r="L144" s="151" t="n">
        <f aca="false">1000000*D144/S144</f>
        <v>30260.26155007</v>
      </c>
      <c r="M144" s="152" t="n">
        <f aca="false">K144/(1-DataDE1!GL65)</f>
        <v>112654.117113033</v>
      </c>
      <c r="N144" s="153" t="n">
        <f aca="false">TableDE5a!F144</f>
        <v>3.7228401653644</v>
      </c>
      <c r="O144" s="154" t="n">
        <f aca="false">TableDE12!F64</f>
        <v>0.803201556370865</v>
      </c>
      <c r="P144" s="155" t="n">
        <f aca="false">L144*O144</f>
        <v>24305.0891732056</v>
      </c>
      <c r="Q144" s="156" t="n">
        <f aca="false">N144/O144</f>
        <v>4.63500118474054</v>
      </c>
      <c r="R144" s="157" t="n">
        <f aca="false">DataDE1!GH65</f>
        <v>82516.26</v>
      </c>
      <c r="S144" s="155" t="n">
        <f aca="false">R144*(1-DataDE1!GL65)</f>
        <v>65765.45922</v>
      </c>
      <c r="T144" s="155" t="n">
        <f aca="false">DataDE1!GI65</f>
        <v>39034</v>
      </c>
      <c r="U144" s="92" t="n">
        <f aca="false">U143</f>
        <v>357</v>
      </c>
      <c r="V144" s="24"/>
      <c r="W144" s="176"/>
      <c r="X144" s="158"/>
      <c r="Y144" s="158"/>
      <c r="Z144" s="25"/>
      <c r="AA144" s="25"/>
      <c r="AB144" s="93"/>
    </row>
    <row r="145" customFormat="false" ht="12" hidden="false" customHeight="false" outlineLevel="0" collapsed="false">
      <c r="A145" s="174" t="n">
        <f aca="false">A144+1</f>
        <v>2005</v>
      </c>
      <c r="B145" s="146" t="n">
        <f aca="false">TableDE8!B63</f>
        <v>1921.63</v>
      </c>
      <c r="C145" s="147" t="n">
        <f aca="false">N145*B145</f>
        <v>7373.2</v>
      </c>
      <c r="D145" s="148" t="n">
        <f aca="false">B145*(TableDE15a!$C$149/TableDE15a!$C144)</f>
        <v>2009.27321931616</v>
      </c>
      <c r="E145" s="149" t="n">
        <f aca="false">D145*N145</f>
        <v>7709.48273115111</v>
      </c>
      <c r="F145" s="150" t="n">
        <f aca="false">1000000*B145/R145</f>
        <v>23301.121232546</v>
      </c>
      <c r="G145" s="90" t="n">
        <f aca="false">1000000*C145/R145</f>
        <v>89405.2585939065</v>
      </c>
      <c r="H145" s="151" t="n">
        <f aca="false">1000000*B145/S145</f>
        <v>29126.4015406826</v>
      </c>
      <c r="I145" s="152" t="n">
        <f aca="false">1000000*C145/S145</f>
        <v>111756.573242383</v>
      </c>
      <c r="J145" s="90" t="n">
        <f aca="false">1000000*D145/R145</f>
        <v>24363.857179891</v>
      </c>
      <c r="K145" s="90" t="n">
        <f aca="false">1000000*E145/R145</f>
        <v>93482.9242667799</v>
      </c>
      <c r="L145" s="151" t="n">
        <f aca="false">1000000*D145/S145</f>
        <v>30454.8214748637</v>
      </c>
      <c r="M145" s="152" t="n">
        <f aca="false">K145/(1-DataDE1!GL66)</f>
        <v>116853.655333475</v>
      </c>
      <c r="N145" s="153" t="n">
        <f aca="false">TableDE5a!F145</f>
        <v>3.83695092187362</v>
      </c>
      <c r="O145" s="154" t="n">
        <f aca="false">TableDE12!F65</f>
        <v>0.800278929866832</v>
      </c>
      <c r="P145" s="155" t="n">
        <f aca="false">L145*O145</f>
        <v>24372.3519391894</v>
      </c>
      <c r="Q145" s="156" t="n">
        <f aca="false">N145/O145</f>
        <v>4.79451698486188</v>
      </c>
      <c r="R145" s="157" t="n">
        <f aca="false">DataDE1!GH66</f>
        <v>82469.422</v>
      </c>
      <c r="S145" s="155" t="n">
        <f aca="false">R145*(1-DataDE1!GL66)</f>
        <v>65975.5376</v>
      </c>
      <c r="T145" s="155" t="n">
        <f aca="false">DataDE1!GI66</f>
        <v>38976</v>
      </c>
      <c r="U145" s="92" t="n">
        <f aca="false">U144</f>
        <v>357</v>
      </c>
      <c r="V145" s="24"/>
      <c r="W145" s="176"/>
      <c r="X145" s="158"/>
      <c r="Y145" s="158"/>
      <c r="Z145" s="25"/>
      <c r="AA145" s="25"/>
      <c r="AB145" s="93"/>
    </row>
    <row r="146" customFormat="false" ht="12" hidden="false" customHeight="false" outlineLevel="0" collapsed="false">
      <c r="A146" s="174" t="n">
        <f aca="false">A145+1</f>
        <v>2006</v>
      </c>
      <c r="B146" s="146" t="n">
        <f aca="false">TableDE8!B64</f>
        <v>2025.2</v>
      </c>
      <c r="C146" s="147" t="n">
        <f aca="false">N146*B146</f>
        <v>7651</v>
      </c>
      <c r="D146" s="148" t="n">
        <f aca="false">B146*(TableDE15a!$C$149/TableDE15a!$C145)</f>
        <v>2110.9803999689</v>
      </c>
      <c r="E146" s="149" t="n">
        <f aca="false">D146*N146</f>
        <v>7975.06964258445</v>
      </c>
      <c r="F146" s="150" t="n">
        <f aca="false">1000000*B146/R146</f>
        <v>24584.696083743</v>
      </c>
      <c r="G146" s="90" t="n">
        <f aca="false">1000000*C146/R146</f>
        <v>92878.4859454463</v>
      </c>
      <c r="H146" s="151" t="n">
        <f aca="false">1000000*B146/S146</f>
        <v>30610.3607531028</v>
      </c>
      <c r="I146" s="152" t="n">
        <f aca="false">1000000*C146/S146</f>
        <v>115642.835335764</v>
      </c>
      <c r="J146" s="90" t="n">
        <f aca="false">1000000*D146/R146</f>
        <v>25626.0179596946</v>
      </c>
      <c r="K146" s="90" t="n">
        <f aca="false">1000000*E146/R146</f>
        <v>96812.4942769227</v>
      </c>
      <c r="L146" s="151" t="n">
        <f aca="false">1000000*D146/S146</f>
        <v>31906.9087427302</v>
      </c>
      <c r="M146" s="152" t="n">
        <f aca="false">K146/(1-DataDE1!GL67)</f>
        <v>120541.062013939</v>
      </c>
      <c r="N146" s="153" t="n">
        <f aca="false">TableDE5a!F146</f>
        <v>3.77789847916255</v>
      </c>
      <c r="O146" s="154" t="n">
        <f aca="false">TableDE12!F66</f>
        <v>0.789146750938179</v>
      </c>
      <c r="P146" s="155" t="n">
        <f aca="false">L146*O146</f>
        <v>25179.2333668065</v>
      </c>
      <c r="Q146" s="156" t="n">
        <f aca="false">N146/O146</f>
        <v>4.78732057715652</v>
      </c>
      <c r="R146" s="157" t="n">
        <f aca="false">DataDE1!GH67</f>
        <v>82376.4505</v>
      </c>
      <c r="S146" s="155" t="n">
        <f aca="false">R146*(1-DataDE1!GL67)</f>
        <v>66160.6054347045</v>
      </c>
      <c r="T146" s="155" t="n">
        <f aca="false">DataDE1!GI67</f>
        <v>39192</v>
      </c>
      <c r="U146" s="92" t="n">
        <f aca="false">U145</f>
        <v>357</v>
      </c>
      <c r="V146" s="24"/>
      <c r="W146" s="176"/>
      <c r="X146" s="158"/>
      <c r="Y146" s="158"/>
      <c r="Z146" s="25"/>
      <c r="AA146" s="25"/>
      <c r="AB146" s="93"/>
      <c r="AC146" s="25"/>
    </row>
    <row r="147" customFormat="false" ht="12" hidden="false" customHeight="false" outlineLevel="0" collapsed="false">
      <c r="A147" s="174" t="n">
        <f aca="false">A146+1</f>
        <v>2007</v>
      </c>
      <c r="B147" s="146" t="n">
        <f aca="false">TableDE8!B65</f>
        <v>2118</v>
      </c>
      <c r="C147" s="147" t="n">
        <f aca="false">N147*B147</f>
        <v>8028.25</v>
      </c>
      <c r="D147" s="148" t="n">
        <f aca="false">B147*(TableDE15a!$C$149/TableDE15a!$C146)</f>
        <v>2172.29537972607</v>
      </c>
      <c r="E147" s="149" t="n">
        <f aca="false">D147*N147</f>
        <v>8234.05589343051</v>
      </c>
      <c r="F147" s="150" t="n">
        <f aca="false">1000000*B147/R147</f>
        <v>25745.635323177</v>
      </c>
      <c r="G147" s="90" t="n">
        <f aca="false">1000000*C147/R147</f>
        <v>97588.478179082</v>
      </c>
      <c r="H147" s="151" t="n">
        <f aca="false">1000000*B147/S147</f>
        <v>31942.4755870682</v>
      </c>
      <c r="I147" s="152" t="n">
        <f aca="false">1000000*C147/S147</f>
        <v>121077.516351218</v>
      </c>
      <c r="J147" s="90" t="n">
        <f aca="false">1000000*D147/R147</f>
        <v>26405.6301513927</v>
      </c>
      <c r="K147" s="90" t="n">
        <f aca="false">1000000*E147/R147</f>
        <v>100090.179538677</v>
      </c>
      <c r="L147" s="151" t="n">
        <f aca="false">1000000*D147/S147</f>
        <v>32761.3277312564</v>
      </c>
      <c r="M147" s="152" t="n">
        <f aca="false">K147/(1-DataDE1!GL68)</f>
        <v>124181.364191907</v>
      </c>
      <c r="N147" s="153" t="n">
        <f aca="false">TableDE5a!F147</f>
        <v>3.79048630783758</v>
      </c>
      <c r="O147" s="154" t="n">
        <f aca="false">TableDE12!F67</f>
        <v>0.7747686496695</v>
      </c>
      <c r="P147" s="155" t="n">
        <f aca="false">L147*O147</f>
        <v>25382.4496477254</v>
      </c>
      <c r="Q147" s="156" t="n">
        <f aca="false">N147/O147</f>
        <v>4.89241054017161</v>
      </c>
      <c r="R147" s="157" t="n">
        <f aca="false">DataDE1!GH68</f>
        <v>82266.3715</v>
      </c>
      <c r="S147" s="155" t="n">
        <f aca="false">R147*(1-DataDE1!GL68)</f>
        <v>66306.695429</v>
      </c>
      <c r="T147" s="155" t="n">
        <f aca="false">DataDE1!GI68</f>
        <v>39857</v>
      </c>
      <c r="U147" s="92" t="n">
        <f aca="false">U146</f>
        <v>357</v>
      </c>
      <c r="V147" s="24"/>
      <c r="W147" s="176"/>
      <c r="X147" s="158"/>
      <c r="Y147" s="158"/>
      <c r="Z147" s="25"/>
      <c r="AA147" s="25"/>
      <c r="AB147" s="93"/>
    </row>
    <row r="148" customFormat="false" ht="12" hidden="false" customHeight="false" outlineLevel="0" collapsed="false">
      <c r="A148" s="174" t="n">
        <f aca="false">A147+1</f>
        <v>2008</v>
      </c>
      <c r="B148" s="146" t="n">
        <f aca="false">TableDE8!B66</f>
        <v>2139.41</v>
      </c>
      <c r="C148" s="147" t="n">
        <f aca="false">N148*B148</f>
        <v>8336.3</v>
      </c>
      <c r="D148" s="148" t="n">
        <f aca="false">B148*(TableDE15a!$C$149/TableDE15a!$C147)</f>
        <v>2177.40619020797</v>
      </c>
      <c r="E148" s="149" t="n">
        <f aca="false">D148*N148</f>
        <v>8484.35373464211</v>
      </c>
      <c r="F148" s="150" t="n">
        <f aca="false">1000000*B148/R148</f>
        <v>26055.3828480764</v>
      </c>
      <c r="G148" s="90" t="n">
        <f aca="false">1000000*C148/R148</f>
        <v>101525.882386461</v>
      </c>
      <c r="H148" s="151" t="n">
        <f aca="false">1000000*B148/S148</f>
        <v>32185.6924949898</v>
      </c>
      <c r="I148" s="152" t="n">
        <f aca="false">1000000*C148/S148</f>
        <v>125412.888761847</v>
      </c>
      <c r="J148" s="90" t="n">
        <f aca="false">1000000*D148/R148</f>
        <v>26518.129718773</v>
      </c>
      <c r="K148" s="90" t="n">
        <f aca="false">1000000*E148/R148</f>
        <v>103328.994804459</v>
      </c>
      <c r="L148" s="151" t="n">
        <f aca="false">1000000*D148/S148</f>
        <v>32757.3144346904</v>
      </c>
      <c r="M148" s="152" t="n">
        <f aca="false">K148/(1-DataDE1!GL69)</f>
        <v>127640.237412141</v>
      </c>
      <c r="N148" s="153" t="n">
        <f aca="false">TableDE5a!F148</f>
        <v>3.89654156987207</v>
      </c>
      <c r="O148" s="154" t="n">
        <f aca="false">TableDE12!F68</f>
        <v>0.767520017201004</v>
      </c>
      <c r="P148" s="155" t="n">
        <f aca="false">L148*O148</f>
        <v>25141.8945383723</v>
      </c>
      <c r="Q148" s="156" t="n">
        <f aca="false">N148/O148</f>
        <v>5.07679471876447</v>
      </c>
      <c r="R148" s="157" t="n">
        <f aca="false">DataDE1!GH69</f>
        <v>82110.0965</v>
      </c>
      <c r="S148" s="155" t="n">
        <f aca="false">R148*(1-DataDE1!GL69)</f>
        <v>66470.8394990423</v>
      </c>
      <c r="T148" s="155" t="n">
        <f aca="false">DataDE1!GI69</f>
        <v>40345</v>
      </c>
      <c r="U148" s="92" t="n">
        <f aca="false">U147</f>
        <v>357</v>
      </c>
      <c r="V148" s="24"/>
      <c r="W148" s="176"/>
      <c r="X148" s="158"/>
      <c r="Y148" s="158"/>
      <c r="Z148" s="25"/>
      <c r="AA148" s="25"/>
      <c r="AB148" s="93"/>
    </row>
    <row r="149" customFormat="false" ht="12" hidden="false" customHeight="false" outlineLevel="0" collapsed="false">
      <c r="A149" s="174" t="n">
        <f aca="false">A148+1</f>
        <v>2009</v>
      </c>
      <c r="B149" s="146" t="n">
        <f aca="false">TableDE8!B67</f>
        <v>2051.36</v>
      </c>
      <c r="C149" s="147" t="n">
        <f aca="false">N149*B149</f>
        <v>8517.15</v>
      </c>
      <c r="D149" s="148" t="n">
        <f aca="false">B149*(TableDE15a!$C$149/TableDE15a!$C148)</f>
        <v>2063.58453491818</v>
      </c>
      <c r="E149" s="149" t="n">
        <f aca="false">D149*N149</f>
        <v>8567.90569260312</v>
      </c>
      <c r="F149" s="150" t="n">
        <f aca="false">1000000*B149/R149</f>
        <v>25046.4187049726</v>
      </c>
      <c r="G149" s="90" t="n">
        <f aca="false">1000000*C149/R149</f>
        <v>103991.549544233</v>
      </c>
      <c r="H149" s="151" t="n">
        <f aca="false">1000000*B149/S149</f>
        <v>30845.3432327249</v>
      </c>
      <c r="I149" s="152" t="n">
        <f aca="false">1000000*C149/S149</f>
        <v>128068.41076876</v>
      </c>
      <c r="J149" s="90" t="n">
        <f aca="false">1000000*D149/R149</f>
        <v>25195.6761829551</v>
      </c>
      <c r="K149" s="90" t="n">
        <f aca="false">1000000*E149/R149</f>
        <v>104611.259555444</v>
      </c>
      <c r="L149" s="151" t="n">
        <f aca="false">1000000*D149/S149</f>
        <v>31029.1578607821</v>
      </c>
      <c r="M149" s="152" t="n">
        <f aca="false">K149/(1-DataDE1!GL70)</f>
        <v>128831.600437739</v>
      </c>
      <c r="N149" s="153" t="n">
        <f aca="false">TableDE5a!F149</f>
        <v>4.15195285079167</v>
      </c>
      <c r="O149" s="154" t="n">
        <f aca="false">TableDE12!F69</f>
        <v>0.776796856719445</v>
      </c>
      <c r="P149" s="155" t="n">
        <f aca="false">L149*O149</f>
        <v>24103.352292907</v>
      </c>
      <c r="Q149" s="156" t="n">
        <f aca="false">N149/O149</f>
        <v>5.34496608074101</v>
      </c>
      <c r="R149" s="157" t="n">
        <f aca="false">DataDE1!GH70</f>
        <v>81902.328</v>
      </c>
      <c r="S149" s="155" t="n">
        <f aca="false">R149*(1-DataDE1!GL70)</f>
        <v>66504.690336</v>
      </c>
      <c r="T149" s="155" t="n">
        <f aca="false">DataDE1!GI70</f>
        <v>40362</v>
      </c>
      <c r="U149" s="92" t="n">
        <f aca="false">U148</f>
        <v>357</v>
      </c>
      <c r="V149" s="24"/>
      <c r="W149" s="176"/>
      <c r="X149" s="158"/>
      <c r="Y149" s="158"/>
      <c r="Z149" s="25"/>
      <c r="AA149" s="25"/>
      <c r="AB149" s="93"/>
    </row>
    <row r="150" customFormat="false" ht="12" hidden="false" customHeight="false" outlineLevel="0" collapsed="false">
      <c r="A150" s="175" t="n">
        <f aca="false">A149+1</f>
        <v>2010</v>
      </c>
      <c r="B150" s="132" t="n">
        <f aca="false">TableDE8!B68</f>
        <v>2146.06</v>
      </c>
      <c r="C150" s="133" t="n">
        <f aca="false">N150*B150</f>
        <v>8835.75</v>
      </c>
      <c r="D150" s="134" t="n">
        <f aca="false">B150*(TableDE15a!$C$149/TableDE15a!$C149)</f>
        <v>2146.06</v>
      </c>
      <c r="E150" s="135" t="n">
        <f aca="false">D150*N150</f>
        <v>8835.75</v>
      </c>
      <c r="F150" s="136" t="n">
        <f aca="false">1000000*B150/R150</f>
        <v>26242.8468383469</v>
      </c>
      <c r="G150" s="137" t="n">
        <f aca="false">1000000*C150/R150</f>
        <v>108046.948338781</v>
      </c>
      <c r="H150" s="138" t="n">
        <f aca="false">1000000*B150/S150</f>
        <v>32179.3092068446</v>
      </c>
      <c r="I150" s="139" t="n">
        <f aca="false">1000000*C150/S150</f>
        <v>132488.528430881</v>
      </c>
      <c r="J150" s="137" t="n">
        <f aca="false">1000000*D150/R150</f>
        <v>26242.8468383469</v>
      </c>
      <c r="K150" s="137" t="n">
        <f aca="false">1000000*E150/R150</f>
        <v>108046.948338781</v>
      </c>
      <c r="L150" s="138" t="n">
        <f aca="false">1000000*D150/S150</f>
        <v>32179.3092068446</v>
      </c>
      <c r="M150" s="139" t="n">
        <f aca="false">K150/(1-DataDE1!GL71)</f>
        <v>132488.528430881</v>
      </c>
      <c r="N150" s="140" t="n">
        <f aca="false">TableDE5a!F150</f>
        <v>4.11719616413334</v>
      </c>
      <c r="O150" s="141" t="n">
        <f aca="false">TableDE12!F70</f>
        <v>0.783295900394211</v>
      </c>
      <c r="P150" s="142" t="n">
        <f aca="false">L150*O150</f>
        <v>25205.9209792391</v>
      </c>
      <c r="Q150" s="159" t="n">
        <f aca="false">N150/O150</f>
        <v>5.25624628197502</v>
      </c>
      <c r="R150" s="144" t="n">
        <f aca="false">DataDE1!GH71</f>
        <v>81776.951</v>
      </c>
      <c r="S150" s="142" t="n">
        <f aca="false">R150*(1-DataDE1!GL71)</f>
        <v>66690.6795980421</v>
      </c>
      <c r="T150" s="142" t="n">
        <f aca="false">DataDE1!GI71</f>
        <v>40553</v>
      </c>
      <c r="U150" s="110" t="n">
        <f aca="false">U149</f>
        <v>357</v>
      </c>
      <c r="V150" s="24"/>
      <c r="W150" s="176"/>
      <c r="X150" s="158"/>
      <c r="Y150" s="158"/>
      <c r="AA150" s="25"/>
    </row>
    <row r="151" customFormat="false" ht="13" hidden="false" customHeight="false" outlineLevel="0" collapsed="false">
      <c r="A151" s="177" t="n">
        <f aca="false">A150+1</f>
        <v>2011</v>
      </c>
      <c r="B151" s="178" t="n">
        <f aca="false">TableDE8!B69</f>
        <v>2228.7</v>
      </c>
      <c r="C151" s="179" t="n">
        <f aca="false">N151*B151</f>
        <v>9173.55</v>
      </c>
      <c r="D151" s="180" t="n">
        <f aca="false">B151*(TableDE15a!$C$149/TableDE15a!$C150)</f>
        <v>2211.53020629425</v>
      </c>
      <c r="E151" s="179" t="n">
        <f aca="false">D151*N151</f>
        <v>9102.87742807493</v>
      </c>
      <c r="F151" s="181" t="n">
        <f aca="false">1000000*B151/R151</f>
        <v>27253.4005333606</v>
      </c>
      <c r="G151" s="182" t="n">
        <f aca="false">1000000*C151/R151</f>
        <v>112177.696622609</v>
      </c>
      <c r="H151" s="183" t="n">
        <f aca="false">1000000*B151/S151</f>
        <v>33418.462871166</v>
      </c>
      <c r="I151" s="184" t="n">
        <f aca="false">1000000*C151/S151</f>
        <v>137553.703985187</v>
      </c>
      <c r="J151" s="182" t="n">
        <f aca="false">1000000*D151/R151</f>
        <v>27043.4416941547</v>
      </c>
      <c r="K151" s="182" t="n">
        <f aca="false">1000000*E151/R151</f>
        <v>111313.485239563</v>
      </c>
      <c r="L151" s="183" t="n">
        <f aca="false">1000000*D151/S151</f>
        <v>33161.0086990203</v>
      </c>
      <c r="M151" s="184" t="n">
        <f aca="false">K151/(1-DataDE1!GL72)</f>
        <v>136493.997106339</v>
      </c>
      <c r="N151" s="185" t="n">
        <f aca="false">TableDE5a!F151</f>
        <v>4.11609907120743</v>
      </c>
      <c r="O151" s="186" t="n">
        <f aca="false">TableDE12!F71</f>
        <v>0.762767532642348</v>
      </c>
      <c r="P151" s="187" t="n">
        <f aca="false">L151*O151</f>
        <v>25294.1407852831</v>
      </c>
      <c r="Q151" s="188" t="n">
        <f aca="false">N151/O151</f>
        <v>5.39626936787492</v>
      </c>
      <c r="R151" s="189" t="n">
        <f aca="false">DataDE1!GH72</f>
        <v>81776.951</v>
      </c>
      <c r="S151" s="187" t="n">
        <f aca="false">R151*(1-DataDE1!GL72)</f>
        <v>66690.6795980421</v>
      </c>
      <c r="T151" s="187" t="n">
        <f aca="false">DataDE1!GI72</f>
        <v>41077.78</v>
      </c>
      <c r="U151" s="190" t="n">
        <f aca="false">U150</f>
        <v>357</v>
      </c>
      <c r="V151" s="24"/>
      <c r="W151" s="176"/>
      <c r="X151" s="158"/>
      <c r="Y151" s="158"/>
    </row>
    <row r="152" customFormat="false" ht="13" hidden="false" customHeight="false" outlineLevel="0" collapsed="false">
      <c r="A152" s="191"/>
      <c r="B152" s="192"/>
      <c r="C152" s="149"/>
      <c r="D152" s="149"/>
      <c r="E152" s="149"/>
      <c r="F152" s="90"/>
      <c r="G152" s="90"/>
      <c r="H152" s="193"/>
      <c r="I152" s="193"/>
      <c r="J152" s="90"/>
      <c r="K152" s="90"/>
      <c r="L152" s="193"/>
      <c r="M152" s="193"/>
      <c r="N152" s="156"/>
      <c r="O152" s="154"/>
      <c r="P152" s="155"/>
      <c r="Q152" s="156"/>
      <c r="R152" s="155"/>
      <c r="S152" s="155"/>
      <c r="T152" s="155"/>
      <c r="U152" s="115"/>
      <c r="V152" s="24"/>
    </row>
    <row r="153" customFormat="false" ht="12" hidden="false" customHeight="true" outlineLevel="0" collapsed="false">
      <c r="A153" s="194" t="s">
        <v>53</v>
      </c>
      <c r="B153" s="194"/>
      <c r="C153" s="194"/>
      <c r="D153" s="194"/>
      <c r="E153" s="194"/>
      <c r="F153" s="194"/>
      <c r="G153" s="194"/>
      <c r="H153" s="194"/>
      <c r="I153" s="194"/>
      <c r="J153" s="194"/>
      <c r="K153" s="194"/>
      <c r="L153" s="194"/>
      <c r="M153" s="194"/>
      <c r="N153" s="194"/>
      <c r="O153" s="194"/>
      <c r="P153" s="194"/>
      <c r="Q153" s="194"/>
      <c r="R153" s="194"/>
      <c r="S153" s="194"/>
      <c r="T153" s="194"/>
      <c r="U153" s="194"/>
      <c r="W153" s="195"/>
    </row>
    <row r="154" customFormat="false" ht="12" hidden="false" customHeight="false" outlineLevel="0" collapsed="false">
      <c r="A154" s="194"/>
      <c r="B154" s="194"/>
      <c r="C154" s="194"/>
      <c r="D154" s="194"/>
      <c r="E154" s="194"/>
      <c r="F154" s="194"/>
      <c r="G154" s="194"/>
      <c r="H154" s="194"/>
      <c r="I154" s="194"/>
      <c r="J154" s="194"/>
      <c r="K154" s="194"/>
      <c r="L154" s="194"/>
      <c r="M154" s="194"/>
      <c r="N154" s="194"/>
      <c r="O154" s="194"/>
      <c r="P154" s="194"/>
      <c r="Q154" s="194"/>
      <c r="R154" s="194"/>
      <c r="S154" s="194"/>
      <c r="T154" s="194"/>
      <c r="U154" s="194"/>
    </row>
    <row r="155" customFormat="false" ht="12" hidden="false" customHeight="false" outlineLevel="0" collapsed="false">
      <c r="A155" s="194"/>
      <c r="B155" s="194"/>
      <c r="C155" s="194"/>
      <c r="D155" s="194"/>
      <c r="E155" s="194"/>
      <c r="F155" s="194"/>
      <c r="G155" s="194"/>
      <c r="H155" s="194"/>
      <c r="I155" s="194"/>
      <c r="J155" s="194"/>
      <c r="K155" s="194"/>
      <c r="L155" s="194"/>
      <c r="M155" s="194"/>
      <c r="N155" s="194"/>
      <c r="O155" s="194"/>
      <c r="P155" s="194"/>
      <c r="Q155" s="194"/>
      <c r="R155" s="194"/>
      <c r="S155" s="194"/>
      <c r="T155" s="194"/>
      <c r="U155" s="194"/>
      <c r="W155" s="195"/>
    </row>
    <row r="156" customFormat="false" ht="12" hidden="false" customHeight="false" outlineLevel="0" collapsed="false">
      <c r="B156" s="196"/>
      <c r="C156" s="197"/>
      <c r="D156" s="197"/>
      <c r="E156" s="197"/>
      <c r="F156" s="197"/>
      <c r="G156" s="197"/>
      <c r="H156" s="197"/>
      <c r="I156" s="197"/>
      <c r="J156" s="197"/>
      <c r="K156" s="197"/>
      <c r="L156" s="197"/>
      <c r="M156" s="197"/>
      <c r="N156" s="197"/>
      <c r="O156" s="197"/>
      <c r="P156" s="197"/>
      <c r="Q156" s="197"/>
      <c r="R156" s="115"/>
      <c r="S156" s="115"/>
      <c r="T156" s="115"/>
      <c r="U156" s="115"/>
      <c r="W156" s="26"/>
    </row>
    <row r="157" customFormat="false" ht="12" hidden="false" customHeight="true" outlineLevel="0" collapsed="false"/>
    <row r="160" customFormat="false" ht="12" hidden="false" customHeight="false" outlineLevel="0" collapsed="false">
      <c r="B160" s="197"/>
      <c r="C160" s="197"/>
      <c r="D160" s="197"/>
      <c r="E160" s="197"/>
      <c r="F160" s="197"/>
      <c r="G160" s="197"/>
      <c r="H160" s="197"/>
      <c r="I160" s="197"/>
      <c r="J160" s="197"/>
      <c r="K160" s="197"/>
      <c r="L160" s="25"/>
      <c r="M160" s="197"/>
      <c r="N160" s="197"/>
      <c r="O160" s="197"/>
      <c r="P160" s="197"/>
      <c r="Q160" s="197"/>
      <c r="R160" s="115"/>
      <c r="S160" s="115"/>
      <c r="T160" s="115"/>
      <c r="U160" s="115"/>
    </row>
    <row r="161" customFormat="false" ht="12" hidden="false" customHeight="false" outlineLevel="0" collapsed="false">
      <c r="B161" s="197"/>
      <c r="C161" s="197"/>
      <c r="D161" s="197"/>
      <c r="E161" s="197"/>
      <c r="F161" s="197"/>
      <c r="G161" s="197"/>
      <c r="H161" s="197"/>
      <c r="I161" s="197"/>
      <c r="J161" s="197"/>
      <c r="K161" s="197"/>
      <c r="L161" s="197"/>
      <c r="M161" s="197"/>
      <c r="N161" s="197"/>
      <c r="O161" s="197"/>
      <c r="P161" s="197"/>
      <c r="Q161" s="197"/>
      <c r="R161" s="115"/>
      <c r="S161" s="115"/>
      <c r="T161" s="115"/>
      <c r="U161" s="115"/>
    </row>
    <row r="162" customFormat="false" ht="12" hidden="false" customHeight="false" outlineLevel="0" collapsed="false">
      <c r="B162" s="197"/>
      <c r="C162" s="197"/>
      <c r="D162" s="197"/>
      <c r="E162" s="197"/>
      <c r="F162" s="197"/>
      <c r="G162" s="197"/>
      <c r="H162" s="197"/>
      <c r="I162" s="197"/>
      <c r="J162" s="197"/>
      <c r="K162" s="197"/>
      <c r="L162" s="197"/>
      <c r="M162" s="197"/>
      <c r="N162" s="197"/>
      <c r="O162" s="197"/>
      <c r="P162" s="197"/>
      <c r="Q162" s="197"/>
      <c r="R162" s="115"/>
      <c r="S162" s="115"/>
      <c r="T162" s="115"/>
      <c r="U162" s="115"/>
    </row>
    <row r="163" customFormat="false" ht="12" hidden="false" customHeight="false" outlineLevel="0" collapsed="false">
      <c r="B163" s="197"/>
      <c r="C163" s="197"/>
      <c r="D163" s="197"/>
      <c r="E163" s="197"/>
      <c r="F163" s="197"/>
      <c r="G163" s="197"/>
      <c r="H163" s="197"/>
      <c r="I163" s="197"/>
      <c r="J163" s="197"/>
      <c r="K163" s="197"/>
      <c r="L163" s="197"/>
      <c r="M163" s="197"/>
      <c r="N163" s="197"/>
      <c r="O163" s="197"/>
      <c r="P163" s="197"/>
      <c r="Q163" s="197"/>
      <c r="R163" s="115"/>
      <c r="S163" s="115"/>
      <c r="T163" s="115"/>
      <c r="U163" s="115"/>
    </row>
    <row r="164" customFormat="false" ht="12" hidden="false" customHeight="false" outlineLevel="0" collapsed="false">
      <c r="B164" s="197"/>
      <c r="C164" s="197"/>
      <c r="D164" s="197"/>
      <c r="E164" s="197"/>
      <c r="F164" s="197"/>
      <c r="G164" s="197"/>
      <c r="H164" s="197"/>
      <c r="I164" s="197"/>
      <c r="J164" s="197"/>
      <c r="K164" s="197"/>
      <c r="L164" s="197"/>
      <c r="M164" s="197"/>
      <c r="N164" s="197"/>
      <c r="O164" s="197"/>
      <c r="P164" s="197"/>
      <c r="Q164" s="197"/>
      <c r="R164" s="115"/>
      <c r="S164" s="115"/>
      <c r="T164" s="115"/>
      <c r="U164" s="115"/>
    </row>
    <row r="165" customFormat="false" ht="12" hidden="false" customHeight="false" outlineLevel="0" collapsed="false">
      <c r="B165" s="197"/>
      <c r="C165" s="197"/>
      <c r="D165" s="197"/>
      <c r="E165" s="197"/>
      <c r="F165" s="197"/>
      <c r="G165" s="197"/>
      <c r="H165" s="197"/>
      <c r="I165" s="197"/>
      <c r="J165" s="197"/>
      <c r="K165" s="197"/>
      <c r="L165" s="197"/>
      <c r="M165" s="197"/>
      <c r="N165" s="197"/>
      <c r="O165" s="197"/>
      <c r="P165" s="197"/>
      <c r="Q165" s="197"/>
      <c r="R165" s="197"/>
      <c r="S165" s="197"/>
      <c r="T165" s="197"/>
      <c r="U165" s="197"/>
    </row>
    <row r="166" customFormat="false" ht="12" hidden="false" customHeight="false" outlineLevel="0" collapsed="false">
      <c r="B166" s="197"/>
      <c r="C166" s="197"/>
      <c r="D166" s="197"/>
      <c r="E166" s="197"/>
      <c r="F166" s="197"/>
      <c r="G166" s="197"/>
      <c r="H166" s="197"/>
      <c r="I166" s="197"/>
      <c r="J166" s="197"/>
      <c r="K166" s="197"/>
      <c r="L166" s="197"/>
      <c r="M166" s="197"/>
      <c r="N166" s="197"/>
      <c r="O166" s="197"/>
      <c r="P166" s="197"/>
      <c r="Q166" s="197"/>
      <c r="R166" s="25"/>
      <c r="S166" s="197"/>
      <c r="T166" s="197"/>
      <c r="U166" s="197"/>
    </row>
    <row r="167" customFormat="false" ht="12" hidden="false" customHeight="false" outlineLevel="0" collapsed="false">
      <c r="B167" s="197"/>
      <c r="C167" s="197"/>
      <c r="D167" s="197"/>
      <c r="E167" s="197"/>
      <c r="F167" s="197"/>
      <c r="G167" s="197"/>
      <c r="H167" s="197"/>
      <c r="I167" s="197"/>
      <c r="J167" s="197"/>
      <c r="K167" s="197"/>
      <c r="L167" s="197"/>
      <c r="M167" s="197"/>
      <c r="N167" s="197"/>
      <c r="O167" s="197"/>
      <c r="P167" s="197"/>
      <c r="Q167" s="197"/>
      <c r="R167" s="197"/>
      <c r="S167" s="197"/>
      <c r="T167" s="197"/>
      <c r="U167" s="197"/>
    </row>
    <row r="168" customFormat="false" ht="12" hidden="false" customHeight="false" outlineLevel="0" collapsed="false">
      <c r="B168" s="197"/>
      <c r="C168" s="197"/>
      <c r="D168" s="197"/>
      <c r="E168" s="197"/>
      <c r="F168" s="197"/>
      <c r="G168" s="197"/>
      <c r="H168" s="197"/>
      <c r="I168" s="197"/>
      <c r="J168" s="197"/>
      <c r="K168" s="197"/>
      <c r="L168" s="197"/>
      <c r="M168" s="197"/>
      <c r="N168" s="197"/>
      <c r="O168" s="197"/>
      <c r="P168" s="197"/>
      <c r="Q168" s="197"/>
      <c r="R168" s="197"/>
      <c r="S168" s="197"/>
      <c r="T168" s="197"/>
      <c r="U168" s="197"/>
    </row>
    <row r="169" customFormat="false" ht="12" hidden="false" customHeight="false" outlineLevel="0" collapsed="false">
      <c r="B169" s="197"/>
      <c r="C169" s="197"/>
      <c r="D169" s="197"/>
      <c r="E169" s="197"/>
      <c r="F169" s="197"/>
      <c r="G169" s="197"/>
      <c r="H169" s="197"/>
      <c r="I169" s="197"/>
      <c r="J169" s="197"/>
      <c r="K169" s="197"/>
      <c r="L169" s="197"/>
      <c r="M169" s="197"/>
      <c r="N169" s="197"/>
      <c r="O169" s="197"/>
      <c r="P169" s="197"/>
      <c r="Q169" s="197"/>
      <c r="R169" s="197"/>
      <c r="S169" s="197"/>
      <c r="T169" s="197"/>
      <c r="U169" s="197"/>
    </row>
    <row r="170" customFormat="false" ht="12" hidden="false" customHeight="false" outlineLevel="0" collapsed="false">
      <c r="B170" s="197"/>
      <c r="C170" s="197"/>
      <c r="D170" s="197"/>
      <c r="E170" s="197"/>
      <c r="F170" s="197"/>
      <c r="G170" s="197"/>
      <c r="H170" s="197"/>
      <c r="I170" s="197"/>
      <c r="J170" s="197"/>
      <c r="K170" s="197"/>
      <c r="L170" s="197"/>
      <c r="M170" s="197"/>
      <c r="N170" s="197"/>
      <c r="O170" s="197"/>
      <c r="P170" s="197"/>
      <c r="Q170" s="197"/>
      <c r="R170" s="197"/>
      <c r="S170" s="197"/>
      <c r="T170" s="197"/>
      <c r="U170" s="197"/>
    </row>
    <row r="171" customFormat="false" ht="12" hidden="false" customHeight="false" outlineLevel="0" collapsed="false">
      <c r="B171" s="197"/>
      <c r="C171" s="197"/>
      <c r="D171" s="197"/>
      <c r="E171" s="197"/>
      <c r="F171" s="197"/>
      <c r="G171" s="197"/>
      <c r="H171" s="197"/>
      <c r="I171" s="197"/>
      <c r="J171" s="197"/>
      <c r="K171" s="197"/>
      <c r="L171" s="197"/>
      <c r="M171" s="197"/>
      <c r="N171" s="197"/>
      <c r="O171" s="197"/>
      <c r="P171" s="197"/>
      <c r="Q171" s="197"/>
      <c r="R171" s="197"/>
      <c r="S171" s="197"/>
      <c r="T171" s="197"/>
      <c r="U171" s="197"/>
    </row>
    <row r="172" customFormat="false" ht="12" hidden="false" customHeight="false" outlineLevel="0" collapsed="false">
      <c r="B172" s="197"/>
      <c r="C172" s="197"/>
      <c r="D172" s="197"/>
      <c r="E172" s="197"/>
      <c r="F172" s="197"/>
      <c r="G172" s="197"/>
      <c r="H172" s="197"/>
      <c r="I172" s="197"/>
      <c r="J172" s="197"/>
      <c r="K172" s="197"/>
      <c r="L172" s="197"/>
      <c r="M172" s="197"/>
      <c r="N172" s="197"/>
      <c r="O172" s="197"/>
      <c r="P172" s="197"/>
      <c r="Q172" s="197"/>
      <c r="R172" s="197"/>
      <c r="S172" s="197"/>
      <c r="T172" s="197"/>
      <c r="U172" s="197"/>
    </row>
    <row r="173" customFormat="false" ht="12" hidden="false" customHeight="false" outlineLevel="0" collapsed="false">
      <c r="B173" s="197"/>
      <c r="C173" s="197"/>
      <c r="D173" s="197"/>
      <c r="E173" s="197"/>
      <c r="F173" s="197"/>
      <c r="G173" s="197"/>
      <c r="H173" s="197"/>
      <c r="I173" s="197"/>
      <c r="J173" s="197"/>
      <c r="K173" s="197"/>
      <c r="L173" s="197"/>
      <c r="M173" s="197"/>
      <c r="N173" s="197"/>
      <c r="O173" s="197"/>
      <c r="P173" s="197"/>
      <c r="Q173" s="197"/>
      <c r="R173" s="197"/>
      <c r="S173" s="197"/>
      <c r="T173" s="197"/>
      <c r="U173" s="197"/>
    </row>
    <row r="174" customFormat="false" ht="12" hidden="false" customHeight="false" outlineLevel="0" collapsed="false">
      <c r="B174" s="197"/>
      <c r="C174" s="197"/>
      <c r="D174" s="197"/>
      <c r="E174" s="197"/>
      <c r="F174" s="197"/>
      <c r="G174" s="197"/>
      <c r="H174" s="197"/>
      <c r="I174" s="197"/>
      <c r="J174" s="197"/>
      <c r="K174" s="197"/>
      <c r="L174" s="197"/>
      <c r="M174" s="197"/>
      <c r="N174" s="197"/>
      <c r="O174" s="197"/>
      <c r="P174" s="197"/>
      <c r="Q174" s="197"/>
      <c r="R174" s="197"/>
      <c r="S174" s="197"/>
      <c r="T174" s="197"/>
      <c r="U174" s="197"/>
    </row>
    <row r="175" customFormat="false" ht="12" hidden="false" customHeight="false" outlineLevel="0" collapsed="false">
      <c r="B175" s="197"/>
      <c r="C175" s="197"/>
      <c r="D175" s="197"/>
      <c r="E175" s="197"/>
      <c r="F175" s="197"/>
      <c r="G175" s="197"/>
      <c r="H175" s="197"/>
      <c r="I175" s="197"/>
      <c r="J175" s="197"/>
      <c r="K175" s="197"/>
      <c r="L175" s="197"/>
      <c r="M175" s="197"/>
      <c r="N175" s="197"/>
      <c r="O175" s="197"/>
      <c r="P175" s="197"/>
      <c r="Q175" s="197"/>
      <c r="R175" s="197"/>
      <c r="S175" s="197"/>
      <c r="T175" s="197"/>
      <c r="U175" s="197"/>
    </row>
    <row r="176" customFormat="false" ht="12" hidden="false" customHeight="false" outlineLevel="0" collapsed="false">
      <c r="B176" s="197"/>
      <c r="C176" s="197"/>
      <c r="D176" s="197"/>
      <c r="E176" s="197"/>
      <c r="F176" s="197"/>
      <c r="G176" s="197"/>
      <c r="H176" s="197"/>
      <c r="I176" s="197"/>
      <c r="J176" s="197"/>
      <c r="K176" s="197"/>
      <c r="L176" s="197"/>
      <c r="M176" s="197"/>
      <c r="N176" s="197"/>
      <c r="O176" s="197"/>
      <c r="P176" s="197"/>
      <c r="Q176" s="197"/>
      <c r="R176" s="197"/>
      <c r="S176" s="197"/>
      <c r="T176" s="197"/>
      <c r="U176" s="197"/>
    </row>
    <row r="177" customFormat="false" ht="12" hidden="false" customHeight="false" outlineLevel="0" collapsed="false">
      <c r="B177" s="197"/>
      <c r="C177" s="197"/>
      <c r="D177" s="197"/>
      <c r="E177" s="197"/>
      <c r="F177" s="197"/>
      <c r="G177" s="197"/>
      <c r="H177" s="197"/>
      <c r="I177" s="197"/>
      <c r="J177" s="197"/>
      <c r="K177" s="197"/>
      <c r="L177" s="197"/>
      <c r="M177" s="197"/>
      <c r="N177" s="197"/>
      <c r="O177" s="197"/>
      <c r="P177" s="197"/>
      <c r="Q177" s="197"/>
      <c r="R177" s="197"/>
      <c r="S177" s="197"/>
      <c r="T177" s="197"/>
      <c r="U177" s="197"/>
    </row>
    <row r="178" customFormat="false" ht="12" hidden="false" customHeight="false" outlineLevel="0" collapsed="false">
      <c r="B178" s="197"/>
      <c r="C178" s="197"/>
      <c r="D178" s="197"/>
      <c r="E178" s="197"/>
      <c r="F178" s="197"/>
      <c r="G178" s="197"/>
      <c r="H178" s="197"/>
      <c r="I178" s="197"/>
      <c r="J178" s="197"/>
      <c r="K178" s="197"/>
      <c r="L178" s="197"/>
      <c r="M178" s="197"/>
      <c r="N178" s="197"/>
      <c r="O178" s="197"/>
      <c r="P178" s="197"/>
      <c r="Q178" s="197"/>
      <c r="R178" s="197"/>
      <c r="S178" s="197"/>
      <c r="T178" s="197"/>
      <c r="U178" s="197"/>
    </row>
    <row r="179" customFormat="false" ht="12" hidden="false" customHeight="false" outlineLevel="0" collapsed="false">
      <c r="B179" s="197"/>
      <c r="C179" s="197"/>
      <c r="D179" s="197"/>
      <c r="E179" s="197"/>
      <c r="F179" s="197"/>
      <c r="G179" s="197"/>
      <c r="H179" s="197"/>
      <c r="I179" s="197"/>
      <c r="J179" s="197"/>
      <c r="K179" s="197"/>
      <c r="L179" s="197"/>
      <c r="M179" s="197"/>
      <c r="N179" s="197"/>
      <c r="O179" s="197"/>
      <c r="P179" s="197"/>
      <c r="Q179" s="197"/>
      <c r="R179" s="197"/>
      <c r="S179" s="197"/>
      <c r="T179" s="197"/>
      <c r="U179" s="197"/>
    </row>
    <row r="180" customFormat="false" ht="12" hidden="false" customHeight="false" outlineLevel="0" collapsed="false">
      <c r="B180" s="197"/>
      <c r="C180" s="197"/>
      <c r="D180" s="197"/>
      <c r="E180" s="197"/>
      <c r="F180" s="197"/>
      <c r="G180" s="197"/>
      <c r="H180" s="197"/>
      <c r="I180" s="197"/>
      <c r="J180" s="197"/>
      <c r="K180" s="197"/>
      <c r="L180" s="197"/>
      <c r="M180" s="197"/>
      <c r="N180" s="197"/>
      <c r="O180" s="197"/>
      <c r="P180" s="197"/>
      <c r="Q180" s="197"/>
      <c r="R180" s="197"/>
      <c r="S180" s="197"/>
      <c r="T180" s="197"/>
      <c r="U180" s="197"/>
    </row>
    <row r="181" customFormat="false" ht="12" hidden="false" customHeight="false" outlineLevel="0" collapsed="false">
      <c r="B181" s="197"/>
      <c r="C181" s="197"/>
      <c r="D181" s="197"/>
      <c r="E181" s="197"/>
      <c r="F181" s="197"/>
      <c r="G181" s="197"/>
      <c r="H181" s="197"/>
      <c r="I181" s="197"/>
      <c r="J181" s="197"/>
      <c r="K181" s="197"/>
      <c r="L181" s="197"/>
      <c r="M181" s="197"/>
      <c r="N181" s="197"/>
      <c r="O181" s="197"/>
      <c r="P181" s="197"/>
      <c r="Q181" s="197"/>
      <c r="R181" s="197"/>
      <c r="S181" s="197"/>
      <c r="T181" s="197"/>
      <c r="U181" s="197"/>
    </row>
    <row r="182" customFormat="false" ht="12" hidden="false" customHeight="false" outlineLevel="0" collapsed="false">
      <c r="B182" s="197"/>
      <c r="C182" s="197"/>
      <c r="D182" s="197"/>
      <c r="E182" s="197"/>
      <c r="F182" s="197"/>
      <c r="G182" s="197"/>
      <c r="H182" s="197"/>
      <c r="I182" s="197"/>
      <c r="J182" s="197"/>
      <c r="K182" s="197"/>
      <c r="L182" s="197"/>
      <c r="M182" s="197"/>
      <c r="N182" s="197"/>
      <c r="O182" s="197"/>
      <c r="P182" s="197"/>
      <c r="Q182" s="197"/>
      <c r="R182" s="197"/>
      <c r="S182" s="197"/>
      <c r="T182" s="197"/>
      <c r="U182" s="197"/>
    </row>
    <row r="183" customFormat="false" ht="12" hidden="false" customHeight="false" outlineLevel="0" collapsed="false">
      <c r="B183" s="197"/>
      <c r="C183" s="197"/>
      <c r="D183" s="197"/>
      <c r="E183" s="197"/>
      <c r="F183" s="197"/>
      <c r="G183" s="197"/>
      <c r="H183" s="197"/>
      <c r="I183" s="197"/>
      <c r="J183" s="197"/>
      <c r="K183" s="197"/>
      <c r="L183" s="197"/>
      <c r="M183" s="197"/>
      <c r="N183" s="197"/>
      <c r="O183" s="197"/>
      <c r="P183" s="197"/>
      <c r="Q183" s="197"/>
      <c r="R183" s="197"/>
      <c r="S183" s="197"/>
      <c r="T183" s="197"/>
      <c r="U183" s="197"/>
    </row>
    <row r="184" customFormat="false" ht="12" hidden="false" customHeight="false" outlineLevel="0" collapsed="false">
      <c r="B184" s="197"/>
      <c r="C184" s="197"/>
      <c r="D184" s="197"/>
      <c r="E184" s="197"/>
      <c r="F184" s="197"/>
      <c r="G184" s="197"/>
      <c r="H184" s="197"/>
      <c r="I184" s="197"/>
      <c r="J184" s="197"/>
      <c r="K184" s="197"/>
      <c r="L184" s="197"/>
      <c r="M184" s="197"/>
      <c r="N184" s="197"/>
      <c r="O184" s="197"/>
      <c r="P184" s="197"/>
      <c r="Q184" s="197"/>
      <c r="R184" s="197"/>
      <c r="S184" s="197"/>
      <c r="T184" s="197"/>
      <c r="U184" s="197"/>
    </row>
    <row r="185" customFormat="false" ht="12" hidden="false" customHeight="false" outlineLevel="0" collapsed="false">
      <c r="B185" s="197"/>
      <c r="C185" s="197"/>
      <c r="D185" s="197"/>
      <c r="E185" s="197"/>
      <c r="F185" s="197"/>
      <c r="G185" s="197"/>
      <c r="H185" s="197"/>
      <c r="I185" s="197"/>
      <c r="J185" s="197"/>
      <c r="K185" s="197"/>
      <c r="L185" s="197"/>
      <c r="M185" s="197"/>
      <c r="N185" s="197"/>
      <c r="O185" s="197"/>
      <c r="P185" s="197"/>
      <c r="Q185" s="197"/>
      <c r="R185" s="197"/>
      <c r="S185" s="197"/>
      <c r="T185" s="197"/>
      <c r="U185" s="197"/>
    </row>
    <row r="186" customFormat="false" ht="12" hidden="false" customHeight="false" outlineLevel="0" collapsed="false">
      <c r="B186" s="197"/>
      <c r="C186" s="197"/>
      <c r="D186" s="197"/>
      <c r="E186" s="197"/>
      <c r="F186" s="197"/>
      <c r="G186" s="197"/>
      <c r="H186" s="197"/>
      <c r="I186" s="197"/>
      <c r="J186" s="197"/>
      <c r="K186" s="197"/>
      <c r="L186" s="197"/>
      <c r="M186" s="197"/>
      <c r="N186" s="197"/>
      <c r="O186" s="197"/>
      <c r="P186" s="197"/>
      <c r="Q186" s="197"/>
      <c r="R186" s="197"/>
      <c r="S186" s="197"/>
      <c r="T186" s="197"/>
      <c r="U186" s="197"/>
    </row>
    <row r="187" customFormat="false" ht="12" hidden="false" customHeight="false" outlineLevel="0" collapsed="false">
      <c r="B187" s="197"/>
      <c r="C187" s="197"/>
      <c r="D187" s="197"/>
      <c r="E187" s="197"/>
      <c r="F187" s="197"/>
      <c r="G187" s="197"/>
      <c r="H187" s="197"/>
      <c r="I187" s="197"/>
      <c r="J187" s="197"/>
      <c r="K187" s="197"/>
      <c r="L187" s="197"/>
      <c r="M187" s="197"/>
      <c r="N187" s="197"/>
      <c r="O187" s="197"/>
      <c r="P187" s="197"/>
      <c r="Q187" s="197"/>
      <c r="R187" s="197"/>
      <c r="S187" s="197"/>
      <c r="T187" s="197"/>
      <c r="U187" s="197"/>
    </row>
    <row r="188" customFormat="false" ht="12" hidden="false" customHeight="false" outlineLevel="0" collapsed="false">
      <c r="B188" s="197"/>
      <c r="C188" s="197"/>
      <c r="D188" s="197"/>
      <c r="E188" s="197"/>
      <c r="F188" s="197"/>
      <c r="G188" s="197"/>
      <c r="H188" s="197"/>
      <c r="I188" s="197"/>
      <c r="J188" s="197"/>
      <c r="K188" s="197"/>
      <c r="L188" s="197"/>
      <c r="M188" s="197"/>
      <c r="N188" s="197"/>
      <c r="O188" s="197"/>
      <c r="P188" s="197"/>
      <c r="Q188" s="197"/>
      <c r="R188" s="197"/>
      <c r="S188" s="197"/>
      <c r="T188" s="197"/>
      <c r="U188" s="197"/>
    </row>
    <row r="189" customFormat="false" ht="12" hidden="false" customHeight="false" outlineLevel="0" collapsed="false">
      <c r="B189" s="197"/>
      <c r="C189" s="197"/>
      <c r="D189" s="197"/>
      <c r="E189" s="197"/>
      <c r="F189" s="197"/>
      <c r="G189" s="197"/>
      <c r="H189" s="197"/>
      <c r="I189" s="197"/>
      <c r="J189" s="197"/>
      <c r="K189" s="197"/>
      <c r="L189" s="197"/>
      <c r="M189" s="197"/>
      <c r="N189" s="197"/>
      <c r="O189" s="197"/>
      <c r="P189" s="197"/>
      <c r="Q189" s="197"/>
      <c r="R189" s="197"/>
      <c r="S189" s="197"/>
      <c r="T189" s="197"/>
      <c r="U189" s="197"/>
    </row>
    <row r="190" customFormat="false" ht="12" hidden="false" customHeight="false" outlineLevel="0" collapsed="false">
      <c r="B190" s="197"/>
      <c r="C190" s="197"/>
      <c r="D190" s="197"/>
      <c r="E190" s="197"/>
      <c r="F190" s="197"/>
      <c r="G190" s="197"/>
      <c r="H190" s="197"/>
      <c r="I190" s="197"/>
      <c r="J190" s="197"/>
      <c r="K190" s="197"/>
      <c r="L190" s="197"/>
      <c r="M190" s="197"/>
      <c r="N190" s="197"/>
      <c r="O190" s="197"/>
      <c r="P190" s="197"/>
      <c r="Q190" s="197"/>
      <c r="R190" s="197"/>
      <c r="S190" s="197"/>
      <c r="T190" s="197"/>
      <c r="U190" s="197"/>
    </row>
    <row r="191" customFormat="false" ht="12" hidden="false" customHeight="false" outlineLevel="0" collapsed="false">
      <c r="B191" s="197"/>
      <c r="C191" s="197"/>
      <c r="D191" s="197"/>
      <c r="E191" s="197"/>
      <c r="F191" s="197"/>
      <c r="G191" s="197"/>
      <c r="H191" s="197"/>
      <c r="I191" s="197"/>
      <c r="J191" s="197"/>
      <c r="K191" s="197"/>
      <c r="L191" s="197"/>
      <c r="M191" s="197"/>
      <c r="N191" s="197"/>
      <c r="O191" s="197"/>
      <c r="P191" s="197"/>
      <c r="Q191" s="197"/>
      <c r="R191" s="197"/>
      <c r="S191" s="197"/>
      <c r="T191" s="197"/>
      <c r="U191" s="197"/>
    </row>
    <row r="192" customFormat="false" ht="12" hidden="false" customHeight="false" outlineLevel="0" collapsed="false">
      <c r="B192" s="197"/>
      <c r="C192" s="197"/>
      <c r="D192" s="197"/>
      <c r="E192" s="197"/>
      <c r="F192" s="197"/>
      <c r="G192" s="197"/>
      <c r="H192" s="197"/>
      <c r="I192" s="197"/>
      <c r="J192" s="197"/>
      <c r="K192" s="197"/>
      <c r="L192" s="197"/>
      <c r="M192" s="197"/>
      <c r="N192" s="197"/>
      <c r="O192" s="197"/>
      <c r="P192" s="197"/>
      <c r="Q192" s="197"/>
      <c r="R192" s="197"/>
      <c r="S192" s="197"/>
      <c r="T192" s="197"/>
      <c r="U192" s="197"/>
    </row>
    <row r="193" customFormat="false" ht="12" hidden="false" customHeight="false" outlineLevel="0" collapsed="false">
      <c r="B193" s="197"/>
      <c r="C193" s="197"/>
      <c r="D193" s="197"/>
      <c r="E193" s="197"/>
      <c r="F193" s="197"/>
      <c r="G193" s="197"/>
      <c r="H193" s="197"/>
      <c r="I193" s="197"/>
      <c r="J193" s="197"/>
      <c r="K193" s="197"/>
      <c r="L193" s="197"/>
      <c r="M193" s="197"/>
      <c r="N193" s="197"/>
      <c r="O193" s="197"/>
      <c r="P193" s="197"/>
      <c r="Q193" s="197"/>
      <c r="R193" s="197"/>
      <c r="S193" s="197"/>
      <c r="T193" s="197"/>
      <c r="U193" s="197"/>
    </row>
    <row r="194" customFormat="false" ht="12" hidden="false" customHeight="false" outlineLevel="0" collapsed="false">
      <c r="B194" s="197"/>
      <c r="C194" s="197"/>
      <c r="D194" s="197"/>
      <c r="E194" s="197"/>
      <c r="F194" s="197"/>
      <c r="G194" s="197"/>
      <c r="H194" s="197"/>
      <c r="I194" s="197"/>
      <c r="J194" s="197"/>
      <c r="K194" s="197"/>
      <c r="L194" s="197"/>
      <c r="M194" s="197"/>
      <c r="N194" s="197"/>
      <c r="O194" s="197"/>
      <c r="P194" s="197"/>
      <c r="Q194" s="197"/>
      <c r="R194" s="197"/>
      <c r="S194" s="197"/>
      <c r="T194" s="197"/>
      <c r="U194" s="197"/>
    </row>
    <row r="195" customFormat="false" ht="12" hidden="false" customHeight="false" outlineLevel="0" collapsed="false">
      <c r="B195" s="197"/>
      <c r="C195" s="197"/>
      <c r="D195" s="197"/>
      <c r="E195" s="197"/>
      <c r="F195" s="197"/>
      <c r="G195" s="197"/>
      <c r="H195" s="197"/>
      <c r="I195" s="197"/>
      <c r="J195" s="197"/>
      <c r="K195" s="197"/>
      <c r="L195" s="197"/>
      <c r="M195" s="197"/>
      <c r="N195" s="197"/>
      <c r="O195" s="197"/>
      <c r="P195" s="197"/>
      <c r="Q195" s="197"/>
      <c r="R195" s="197"/>
      <c r="S195" s="197"/>
      <c r="T195" s="197"/>
      <c r="U195" s="197"/>
    </row>
    <row r="196" customFormat="false" ht="12" hidden="false" customHeight="false" outlineLevel="0" collapsed="false">
      <c r="B196" s="197"/>
      <c r="C196" s="197"/>
      <c r="D196" s="197"/>
      <c r="E196" s="197"/>
      <c r="F196" s="197"/>
      <c r="G196" s="197"/>
      <c r="H196" s="197"/>
      <c r="I196" s="197"/>
      <c r="J196" s="197"/>
      <c r="K196" s="197"/>
      <c r="L196" s="197"/>
      <c r="M196" s="197"/>
      <c r="N196" s="197"/>
      <c r="O196" s="197"/>
      <c r="P196" s="197"/>
      <c r="Q196" s="197"/>
      <c r="R196" s="197"/>
      <c r="S196" s="197"/>
      <c r="T196" s="197"/>
      <c r="U196" s="197"/>
    </row>
    <row r="197" customFormat="false" ht="12" hidden="false" customHeight="false" outlineLevel="0" collapsed="false">
      <c r="B197" s="197"/>
      <c r="C197" s="197"/>
      <c r="D197" s="197"/>
      <c r="E197" s="197"/>
      <c r="F197" s="197"/>
      <c r="G197" s="197"/>
      <c r="H197" s="197"/>
      <c r="I197" s="197"/>
      <c r="J197" s="197"/>
      <c r="K197" s="197"/>
      <c r="L197" s="197"/>
      <c r="M197" s="197"/>
      <c r="N197" s="197"/>
      <c r="O197" s="197"/>
      <c r="P197" s="197"/>
      <c r="Q197" s="197"/>
      <c r="R197" s="197"/>
      <c r="S197" s="197"/>
      <c r="T197" s="197"/>
      <c r="U197" s="197"/>
    </row>
    <row r="198" customFormat="false" ht="12" hidden="false" customHeight="false" outlineLevel="0" collapsed="false">
      <c r="B198" s="197"/>
      <c r="C198" s="197"/>
      <c r="D198" s="197"/>
      <c r="E198" s="197"/>
      <c r="F198" s="197"/>
      <c r="G198" s="197"/>
      <c r="H198" s="197"/>
      <c r="I198" s="197"/>
      <c r="J198" s="197"/>
      <c r="K198" s="197"/>
      <c r="L198" s="197"/>
      <c r="M198" s="197"/>
      <c r="N198" s="197"/>
      <c r="O198" s="197"/>
      <c r="P198" s="197"/>
      <c r="Q198" s="197"/>
      <c r="R198" s="197"/>
      <c r="S198" s="197"/>
      <c r="T198" s="197"/>
      <c r="U198" s="197"/>
    </row>
    <row r="199" customFormat="false" ht="12" hidden="false" customHeight="false" outlineLevel="0" collapsed="false">
      <c r="B199" s="197"/>
      <c r="C199" s="197"/>
      <c r="D199" s="197"/>
      <c r="E199" s="197"/>
      <c r="F199" s="197"/>
      <c r="G199" s="197"/>
      <c r="H199" s="197"/>
      <c r="I199" s="197"/>
      <c r="J199" s="197"/>
      <c r="K199" s="197"/>
      <c r="L199" s="197"/>
      <c r="M199" s="197"/>
      <c r="N199" s="197"/>
      <c r="O199" s="197"/>
      <c r="P199" s="197"/>
      <c r="Q199" s="197"/>
      <c r="R199" s="197"/>
      <c r="S199" s="197"/>
      <c r="T199" s="197"/>
      <c r="U199" s="197"/>
    </row>
    <row r="200" customFormat="false" ht="12" hidden="false" customHeight="false" outlineLevel="0" collapsed="false">
      <c r="B200" s="197"/>
      <c r="C200" s="197"/>
      <c r="D200" s="197"/>
      <c r="E200" s="197"/>
      <c r="F200" s="197"/>
      <c r="G200" s="197"/>
      <c r="H200" s="197"/>
      <c r="I200" s="197"/>
      <c r="J200" s="197"/>
      <c r="K200" s="197"/>
      <c r="L200" s="197"/>
      <c r="M200" s="197"/>
      <c r="N200" s="197"/>
      <c r="O200" s="197"/>
      <c r="P200" s="197"/>
      <c r="Q200" s="197"/>
      <c r="R200" s="197"/>
      <c r="S200" s="197"/>
      <c r="T200" s="197"/>
      <c r="U200" s="197"/>
    </row>
    <row r="201" customFormat="false" ht="12" hidden="false" customHeight="false" outlineLevel="0" collapsed="false">
      <c r="B201" s="197"/>
      <c r="C201" s="197"/>
      <c r="D201" s="197"/>
      <c r="E201" s="197"/>
      <c r="F201" s="197"/>
      <c r="G201" s="197"/>
      <c r="H201" s="197"/>
      <c r="I201" s="197"/>
      <c r="J201" s="197"/>
      <c r="K201" s="197"/>
      <c r="L201" s="197"/>
      <c r="M201" s="197"/>
      <c r="N201" s="197"/>
      <c r="O201" s="197"/>
      <c r="P201" s="197"/>
      <c r="Q201" s="197"/>
      <c r="R201" s="197"/>
      <c r="S201" s="197"/>
      <c r="T201" s="197"/>
      <c r="U201" s="197"/>
    </row>
    <row r="202" customFormat="false" ht="12" hidden="false" customHeight="false" outlineLevel="0" collapsed="false">
      <c r="B202" s="197"/>
      <c r="C202" s="197"/>
      <c r="D202" s="197"/>
      <c r="E202" s="197"/>
      <c r="F202" s="197"/>
      <c r="G202" s="197"/>
      <c r="H202" s="197"/>
      <c r="I202" s="197"/>
      <c r="J202" s="197"/>
      <c r="K202" s="197"/>
      <c r="L202" s="197"/>
      <c r="M202" s="197"/>
      <c r="N202" s="197"/>
      <c r="O202" s="197"/>
      <c r="P202" s="197"/>
      <c r="Q202" s="197"/>
      <c r="R202" s="197"/>
      <c r="S202" s="197"/>
      <c r="T202" s="197"/>
      <c r="U202" s="197"/>
    </row>
    <row r="203" customFormat="false" ht="12" hidden="false" customHeight="false" outlineLevel="0" collapsed="false">
      <c r="B203" s="197"/>
      <c r="C203" s="197"/>
      <c r="D203" s="197"/>
      <c r="E203" s="197"/>
      <c r="F203" s="197"/>
      <c r="G203" s="197"/>
      <c r="H203" s="197"/>
      <c r="I203" s="197"/>
      <c r="J203" s="197"/>
      <c r="K203" s="197"/>
      <c r="L203" s="197"/>
      <c r="M203" s="197"/>
      <c r="N203" s="197"/>
      <c r="O203" s="197"/>
      <c r="P203" s="197"/>
      <c r="Q203" s="197"/>
      <c r="R203" s="197"/>
      <c r="S203" s="197"/>
      <c r="T203" s="197"/>
      <c r="U203" s="197"/>
    </row>
    <row r="204" customFormat="false" ht="12" hidden="false" customHeight="false" outlineLevel="0" collapsed="false">
      <c r="B204" s="197"/>
      <c r="C204" s="197"/>
      <c r="D204" s="197"/>
      <c r="E204" s="197"/>
      <c r="F204" s="197"/>
      <c r="G204" s="197"/>
      <c r="H204" s="197"/>
      <c r="I204" s="197"/>
      <c r="J204" s="197"/>
      <c r="K204" s="197"/>
      <c r="L204" s="197"/>
      <c r="M204" s="197"/>
      <c r="N204" s="197"/>
      <c r="O204" s="197"/>
      <c r="P204" s="197"/>
      <c r="Q204" s="197"/>
      <c r="R204" s="197"/>
      <c r="S204" s="197"/>
      <c r="T204" s="197"/>
      <c r="U204" s="197"/>
    </row>
    <row r="205" customFormat="false" ht="12" hidden="false" customHeight="false" outlineLevel="0" collapsed="false">
      <c r="B205" s="197"/>
      <c r="C205" s="197"/>
      <c r="D205" s="197"/>
      <c r="E205" s="197"/>
      <c r="F205" s="197"/>
      <c r="G205" s="197"/>
      <c r="H205" s="197"/>
      <c r="I205" s="197"/>
      <c r="J205" s="197"/>
      <c r="K205" s="197"/>
      <c r="L205" s="197"/>
      <c r="M205" s="197"/>
      <c r="N205" s="197"/>
      <c r="O205" s="197"/>
      <c r="P205" s="197"/>
      <c r="Q205" s="197"/>
      <c r="R205" s="197"/>
      <c r="S205" s="197"/>
      <c r="T205" s="197"/>
      <c r="U205" s="197"/>
    </row>
    <row r="206" customFormat="false" ht="12" hidden="false" customHeight="false" outlineLevel="0" collapsed="false">
      <c r="B206" s="197"/>
      <c r="C206" s="197"/>
      <c r="D206" s="197"/>
      <c r="E206" s="197"/>
      <c r="F206" s="197"/>
      <c r="G206" s="197"/>
      <c r="H206" s="197"/>
      <c r="I206" s="197"/>
      <c r="J206" s="197"/>
      <c r="K206" s="197"/>
      <c r="L206" s="197"/>
      <c r="M206" s="197"/>
      <c r="N206" s="197"/>
      <c r="O206" s="197"/>
      <c r="P206" s="197"/>
      <c r="Q206" s="197"/>
      <c r="R206" s="197"/>
      <c r="S206" s="197"/>
      <c r="T206" s="197"/>
      <c r="U206" s="197"/>
    </row>
    <row r="207" customFormat="false" ht="12" hidden="false" customHeight="false" outlineLevel="0" collapsed="false">
      <c r="B207" s="197"/>
      <c r="C207" s="197"/>
      <c r="D207" s="197"/>
      <c r="E207" s="197"/>
      <c r="F207" s="197"/>
      <c r="G207" s="197"/>
      <c r="H207" s="197"/>
      <c r="I207" s="197"/>
      <c r="J207" s="197"/>
      <c r="K207" s="197"/>
      <c r="L207" s="197"/>
      <c r="M207" s="197"/>
      <c r="N207" s="197"/>
      <c r="O207" s="197"/>
      <c r="P207" s="197"/>
      <c r="Q207" s="197"/>
      <c r="R207" s="197"/>
      <c r="S207" s="197"/>
      <c r="T207" s="197"/>
      <c r="U207" s="197"/>
    </row>
    <row r="208" customFormat="false" ht="12" hidden="false" customHeight="false" outlineLevel="0" collapsed="false">
      <c r="B208" s="197"/>
      <c r="C208" s="197"/>
      <c r="D208" s="197"/>
      <c r="E208" s="197"/>
      <c r="F208" s="197"/>
      <c r="G208" s="197"/>
      <c r="H208" s="197"/>
      <c r="I208" s="197"/>
      <c r="J208" s="197"/>
      <c r="K208" s="197"/>
      <c r="L208" s="197"/>
      <c r="M208" s="197"/>
      <c r="N208" s="197"/>
      <c r="O208" s="197"/>
      <c r="P208" s="197"/>
      <c r="Q208" s="197"/>
      <c r="R208" s="197"/>
      <c r="S208" s="197"/>
      <c r="T208" s="197"/>
      <c r="U208" s="197"/>
    </row>
    <row r="209" customFormat="false" ht="12" hidden="false" customHeight="false" outlineLevel="0" collapsed="false">
      <c r="B209" s="197"/>
      <c r="C209" s="197"/>
      <c r="D209" s="197"/>
      <c r="E209" s="197"/>
      <c r="F209" s="197"/>
      <c r="G209" s="197"/>
      <c r="H209" s="197"/>
      <c r="I209" s="197"/>
      <c r="J209" s="197"/>
      <c r="K209" s="197"/>
      <c r="L209" s="197"/>
      <c r="M209" s="197"/>
      <c r="N209" s="197"/>
      <c r="O209" s="197"/>
      <c r="P209" s="197"/>
      <c r="Q209" s="197"/>
      <c r="R209" s="197"/>
      <c r="S209" s="197"/>
      <c r="T209" s="197"/>
      <c r="U209" s="197"/>
    </row>
    <row r="210" customFormat="false" ht="12" hidden="false" customHeight="false" outlineLevel="0" collapsed="false">
      <c r="B210" s="197"/>
      <c r="C210" s="197"/>
      <c r="D210" s="197"/>
      <c r="E210" s="197"/>
      <c r="F210" s="197"/>
      <c r="G210" s="197"/>
      <c r="H210" s="197"/>
      <c r="I210" s="197"/>
      <c r="J210" s="197"/>
      <c r="K210" s="197"/>
      <c r="L210" s="197"/>
      <c r="M210" s="197"/>
      <c r="N210" s="197"/>
      <c r="O210" s="197"/>
      <c r="P210" s="197"/>
      <c r="Q210" s="197"/>
      <c r="R210" s="197"/>
      <c r="S210" s="197"/>
      <c r="T210" s="197"/>
      <c r="U210" s="197"/>
    </row>
    <row r="211" customFormat="false" ht="12" hidden="false" customHeight="false" outlineLevel="0" collapsed="false">
      <c r="B211" s="197"/>
      <c r="C211" s="197"/>
      <c r="D211" s="197"/>
      <c r="E211" s="197"/>
      <c r="F211" s="197"/>
      <c r="G211" s="197"/>
      <c r="H211" s="197"/>
      <c r="I211" s="197"/>
      <c r="J211" s="197"/>
      <c r="K211" s="197"/>
      <c r="L211" s="197"/>
      <c r="M211" s="197"/>
      <c r="N211" s="197"/>
      <c r="O211" s="197"/>
      <c r="P211" s="197"/>
      <c r="Q211" s="197"/>
      <c r="R211" s="197"/>
      <c r="S211" s="197"/>
      <c r="T211" s="197"/>
      <c r="U211" s="197"/>
    </row>
    <row r="212" customFormat="false" ht="12" hidden="false" customHeight="false" outlineLevel="0" collapsed="false">
      <c r="B212" s="197"/>
      <c r="C212" s="197"/>
      <c r="D212" s="197"/>
      <c r="E212" s="197"/>
      <c r="F212" s="197"/>
      <c r="G212" s="197"/>
      <c r="H212" s="197"/>
      <c r="I212" s="197"/>
      <c r="J212" s="197"/>
      <c r="K212" s="197"/>
      <c r="L212" s="197"/>
      <c r="M212" s="197"/>
      <c r="N212" s="197"/>
      <c r="O212" s="197"/>
      <c r="P212" s="197"/>
      <c r="Q212" s="197"/>
      <c r="R212" s="197"/>
      <c r="S212" s="197"/>
      <c r="T212" s="197"/>
      <c r="U212" s="197"/>
    </row>
    <row r="213" customFormat="false" ht="12" hidden="false" customHeight="false" outlineLevel="0" collapsed="false">
      <c r="B213" s="197"/>
      <c r="C213" s="197"/>
      <c r="D213" s="197"/>
      <c r="E213" s="197"/>
      <c r="F213" s="197"/>
      <c r="G213" s="197"/>
      <c r="H213" s="197"/>
      <c r="I213" s="197"/>
      <c r="J213" s="197"/>
      <c r="K213" s="197"/>
      <c r="L213" s="197"/>
      <c r="M213" s="197"/>
      <c r="N213" s="197"/>
      <c r="O213" s="197"/>
      <c r="P213" s="197"/>
      <c r="Q213" s="197"/>
      <c r="R213" s="197"/>
      <c r="S213" s="197"/>
      <c r="T213" s="197"/>
      <c r="U213" s="197"/>
    </row>
    <row r="214" customFormat="false" ht="12" hidden="false" customHeight="false" outlineLevel="0" collapsed="false">
      <c r="B214" s="197"/>
      <c r="C214" s="197"/>
      <c r="D214" s="197"/>
      <c r="E214" s="197"/>
      <c r="F214" s="197"/>
      <c r="G214" s="197"/>
      <c r="H214" s="197"/>
      <c r="I214" s="197"/>
      <c r="J214" s="197"/>
      <c r="K214" s="197"/>
      <c r="L214" s="197"/>
      <c r="M214" s="197"/>
      <c r="N214" s="197"/>
      <c r="O214" s="197"/>
      <c r="P214" s="197"/>
      <c r="Q214" s="197"/>
      <c r="R214" s="197"/>
      <c r="S214" s="197"/>
      <c r="T214" s="197"/>
      <c r="U214" s="197"/>
    </row>
    <row r="215" customFormat="false" ht="12" hidden="false" customHeight="false" outlineLevel="0" collapsed="false">
      <c r="B215" s="197"/>
      <c r="C215" s="197"/>
      <c r="D215" s="197"/>
      <c r="E215" s="197"/>
      <c r="F215" s="197"/>
      <c r="G215" s="197"/>
      <c r="H215" s="197"/>
      <c r="I215" s="197"/>
      <c r="J215" s="197"/>
      <c r="K215" s="197"/>
      <c r="L215" s="197"/>
      <c r="M215" s="197"/>
      <c r="N215" s="197"/>
      <c r="O215" s="197"/>
      <c r="P215" s="197"/>
      <c r="Q215" s="197"/>
      <c r="R215" s="197"/>
      <c r="S215" s="197"/>
      <c r="T215" s="197"/>
      <c r="U215" s="197"/>
    </row>
    <row r="216" customFormat="false" ht="12" hidden="false" customHeight="false" outlineLevel="0" collapsed="false">
      <c r="B216" s="197"/>
      <c r="C216" s="197"/>
      <c r="D216" s="197"/>
      <c r="E216" s="197"/>
      <c r="F216" s="197"/>
      <c r="G216" s="197"/>
      <c r="H216" s="197"/>
      <c r="I216" s="197"/>
      <c r="J216" s="197"/>
      <c r="K216" s="197"/>
      <c r="L216" s="197"/>
      <c r="M216" s="197"/>
      <c r="N216" s="197"/>
      <c r="O216" s="197"/>
      <c r="P216" s="197"/>
      <c r="Q216" s="197"/>
      <c r="R216" s="197"/>
      <c r="S216" s="197"/>
      <c r="T216" s="197"/>
      <c r="U216" s="197"/>
    </row>
    <row r="217" customFormat="false" ht="12" hidden="false" customHeight="false" outlineLevel="0" collapsed="false">
      <c r="B217" s="197"/>
      <c r="C217" s="197"/>
      <c r="D217" s="197"/>
      <c r="E217" s="197"/>
      <c r="F217" s="197"/>
      <c r="G217" s="197"/>
      <c r="H217" s="197"/>
      <c r="I217" s="197"/>
      <c r="J217" s="197"/>
      <c r="K217" s="197"/>
      <c r="L217" s="197"/>
      <c r="M217" s="197"/>
      <c r="N217" s="197"/>
      <c r="O217" s="197"/>
      <c r="P217" s="197"/>
      <c r="Q217" s="197"/>
      <c r="R217" s="197"/>
      <c r="S217" s="197"/>
      <c r="T217" s="197"/>
      <c r="U217" s="197"/>
    </row>
    <row r="218" customFormat="false" ht="12" hidden="false" customHeight="false" outlineLevel="0" collapsed="false">
      <c r="B218" s="197"/>
      <c r="C218" s="197"/>
      <c r="D218" s="197"/>
      <c r="E218" s="197"/>
      <c r="F218" s="197"/>
      <c r="G218" s="197"/>
      <c r="H218" s="197"/>
      <c r="I218" s="197"/>
      <c r="J218" s="197"/>
      <c r="K218" s="197"/>
      <c r="L218" s="197"/>
      <c r="M218" s="197"/>
      <c r="N218" s="197"/>
      <c r="O218" s="197"/>
      <c r="P218" s="197"/>
      <c r="Q218" s="197"/>
      <c r="R218" s="197"/>
      <c r="S218" s="197"/>
      <c r="T218" s="197"/>
      <c r="U218" s="197"/>
    </row>
    <row r="219" customFormat="false" ht="12" hidden="false" customHeight="false" outlineLevel="0" collapsed="false">
      <c r="B219" s="197"/>
      <c r="C219" s="197"/>
      <c r="D219" s="197"/>
      <c r="E219" s="197"/>
      <c r="F219" s="197"/>
      <c r="G219" s="197"/>
      <c r="H219" s="197"/>
      <c r="I219" s="197"/>
      <c r="J219" s="197"/>
      <c r="K219" s="197"/>
      <c r="L219" s="197"/>
      <c r="M219" s="197"/>
      <c r="N219" s="197"/>
      <c r="O219" s="197"/>
      <c r="P219" s="197"/>
      <c r="Q219" s="197"/>
      <c r="R219" s="197"/>
      <c r="S219" s="197"/>
      <c r="T219" s="197"/>
      <c r="U219" s="197"/>
    </row>
    <row r="220" customFormat="false" ht="12" hidden="false" customHeight="false" outlineLevel="0" collapsed="false">
      <c r="B220" s="197"/>
      <c r="C220" s="197"/>
      <c r="D220" s="197"/>
      <c r="E220" s="197"/>
      <c r="F220" s="197"/>
      <c r="G220" s="197"/>
      <c r="H220" s="197"/>
      <c r="I220" s="197"/>
      <c r="J220" s="197"/>
      <c r="K220" s="197"/>
      <c r="L220" s="197"/>
      <c r="M220" s="197"/>
      <c r="N220" s="197"/>
      <c r="O220" s="197"/>
      <c r="P220" s="197"/>
      <c r="Q220" s="197"/>
      <c r="R220" s="197"/>
      <c r="S220" s="197"/>
      <c r="T220" s="197"/>
      <c r="U220" s="197"/>
    </row>
    <row r="221" customFormat="false" ht="12" hidden="false" customHeight="false" outlineLevel="0" collapsed="false">
      <c r="B221" s="197"/>
      <c r="C221" s="197"/>
      <c r="D221" s="197"/>
      <c r="E221" s="197"/>
      <c r="F221" s="197"/>
      <c r="G221" s="197"/>
      <c r="H221" s="197"/>
      <c r="I221" s="197"/>
      <c r="J221" s="197"/>
      <c r="K221" s="197"/>
      <c r="L221" s="197"/>
      <c r="M221" s="197"/>
      <c r="N221" s="197"/>
      <c r="O221" s="197"/>
      <c r="P221" s="197"/>
      <c r="Q221" s="197"/>
      <c r="R221" s="197"/>
      <c r="S221" s="197"/>
      <c r="T221" s="197"/>
      <c r="U221" s="197"/>
    </row>
    <row r="222" customFormat="false" ht="12" hidden="false" customHeight="false" outlineLevel="0" collapsed="false">
      <c r="B222" s="197"/>
      <c r="C222" s="197"/>
      <c r="D222" s="197"/>
      <c r="E222" s="197"/>
      <c r="F222" s="197"/>
      <c r="G222" s="197"/>
      <c r="H222" s="197"/>
      <c r="I222" s="197"/>
      <c r="J222" s="197"/>
      <c r="K222" s="197"/>
      <c r="L222" s="197"/>
      <c r="M222" s="197"/>
      <c r="N222" s="197"/>
      <c r="O222" s="197"/>
      <c r="P222" s="197"/>
      <c r="Q222" s="197"/>
      <c r="R222" s="197"/>
      <c r="S222" s="197"/>
      <c r="T222" s="197"/>
      <c r="U222" s="197"/>
    </row>
    <row r="223" customFormat="false" ht="12" hidden="false" customHeight="false" outlineLevel="0" collapsed="false">
      <c r="B223" s="197"/>
      <c r="C223" s="197"/>
      <c r="D223" s="197"/>
      <c r="E223" s="197"/>
      <c r="F223" s="197"/>
      <c r="G223" s="197"/>
      <c r="H223" s="197"/>
      <c r="I223" s="197"/>
      <c r="J223" s="197"/>
      <c r="K223" s="197"/>
      <c r="L223" s="197"/>
      <c r="M223" s="197"/>
      <c r="N223" s="197"/>
      <c r="O223" s="197"/>
      <c r="P223" s="197"/>
      <c r="Q223" s="197"/>
      <c r="R223" s="197"/>
      <c r="S223" s="197"/>
      <c r="T223" s="197"/>
      <c r="U223" s="197"/>
    </row>
    <row r="224" customFormat="false" ht="12" hidden="false" customHeight="false" outlineLevel="0" collapsed="false">
      <c r="B224" s="197"/>
      <c r="C224" s="197"/>
      <c r="D224" s="197"/>
      <c r="E224" s="197"/>
      <c r="F224" s="197"/>
      <c r="G224" s="197"/>
      <c r="H224" s="197"/>
      <c r="I224" s="197"/>
      <c r="J224" s="197"/>
      <c r="K224" s="197"/>
      <c r="L224" s="197"/>
      <c r="M224" s="197"/>
      <c r="N224" s="197"/>
      <c r="O224" s="197"/>
      <c r="P224" s="197"/>
      <c r="Q224" s="197"/>
      <c r="R224" s="197"/>
      <c r="S224" s="197"/>
      <c r="T224" s="197"/>
      <c r="U224" s="197"/>
    </row>
    <row r="225" customFormat="false" ht="12" hidden="false" customHeight="false" outlineLevel="0" collapsed="false">
      <c r="B225" s="197"/>
      <c r="C225" s="197"/>
      <c r="D225" s="197"/>
      <c r="E225" s="197"/>
      <c r="F225" s="197"/>
      <c r="G225" s="197"/>
      <c r="H225" s="197"/>
      <c r="I225" s="197"/>
      <c r="J225" s="197"/>
      <c r="K225" s="197"/>
      <c r="L225" s="197"/>
      <c r="M225" s="197"/>
      <c r="N225" s="197"/>
      <c r="O225" s="197"/>
      <c r="P225" s="197"/>
      <c r="Q225" s="197"/>
      <c r="R225" s="197"/>
      <c r="S225" s="197"/>
      <c r="T225" s="197"/>
      <c r="U225" s="197"/>
    </row>
    <row r="226" customFormat="false" ht="12" hidden="false" customHeight="false" outlineLevel="0" collapsed="false">
      <c r="B226" s="197"/>
      <c r="C226" s="197"/>
      <c r="D226" s="197"/>
      <c r="E226" s="197"/>
      <c r="F226" s="197"/>
      <c r="G226" s="197"/>
      <c r="H226" s="197"/>
      <c r="I226" s="197"/>
      <c r="J226" s="197"/>
      <c r="K226" s="197"/>
      <c r="L226" s="197"/>
      <c r="M226" s="197"/>
      <c r="N226" s="197"/>
      <c r="O226" s="197"/>
      <c r="P226" s="197"/>
      <c r="Q226" s="197"/>
      <c r="R226" s="197"/>
      <c r="S226" s="197"/>
      <c r="T226" s="197"/>
      <c r="U226" s="197"/>
    </row>
    <row r="227" customFormat="false" ht="12" hidden="false" customHeight="false" outlineLevel="0" collapsed="false">
      <c r="B227" s="197"/>
      <c r="C227" s="197"/>
      <c r="D227" s="197"/>
      <c r="E227" s="197"/>
      <c r="F227" s="197"/>
      <c r="G227" s="197"/>
      <c r="H227" s="197"/>
      <c r="I227" s="197"/>
      <c r="J227" s="197"/>
      <c r="K227" s="197"/>
      <c r="L227" s="197"/>
      <c r="M227" s="197"/>
      <c r="N227" s="197"/>
      <c r="O227" s="197"/>
      <c r="P227" s="197"/>
      <c r="Q227" s="197"/>
      <c r="R227" s="197"/>
      <c r="S227" s="197"/>
      <c r="T227" s="197"/>
      <c r="U227" s="197"/>
    </row>
    <row r="228" customFormat="false" ht="12" hidden="false" customHeight="false" outlineLevel="0" collapsed="false">
      <c r="B228" s="197"/>
      <c r="C228" s="197"/>
      <c r="D228" s="197"/>
      <c r="E228" s="197"/>
      <c r="F228" s="197"/>
      <c r="G228" s="197"/>
      <c r="H228" s="197"/>
      <c r="I228" s="197"/>
      <c r="J228" s="197"/>
      <c r="K228" s="197"/>
      <c r="L228" s="197"/>
      <c r="M228" s="197"/>
      <c r="N228" s="197"/>
      <c r="O228" s="197"/>
      <c r="P228" s="197"/>
      <c r="Q228" s="197"/>
      <c r="R228" s="197"/>
      <c r="S228" s="197"/>
      <c r="T228" s="197"/>
      <c r="U228" s="197"/>
    </row>
    <row r="229" customFormat="false" ht="12" hidden="false" customHeight="false" outlineLevel="0" collapsed="false">
      <c r="B229" s="197"/>
      <c r="C229" s="197"/>
      <c r="D229" s="197"/>
      <c r="E229" s="197"/>
      <c r="F229" s="197"/>
      <c r="G229" s="197"/>
      <c r="H229" s="197"/>
      <c r="I229" s="197"/>
      <c r="J229" s="197"/>
      <c r="K229" s="197"/>
      <c r="L229" s="197"/>
      <c r="M229" s="197"/>
      <c r="N229" s="197"/>
      <c r="O229" s="197"/>
      <c r="P229" s="197"/>
      <c r="Q229" s="197"/>
      <c r="R229" s="197"/>
      <c r="S229" s="197"/>
      <c r="T229" s="197"/>
      <c r="U229" s="197"/>
    </row>
    <row r="230" customFormat="false" ht="12" hidden="false" customHeight="false" outlineLevel="0" collapsed="false">
      <c r="B230" s="197"/>
      <c r="C230" s="197"/>
      <c r="D230" s="197"/>
      <c r="E230" s="197"/>
      <c r="F230" s="197"/>
      <c r="G230" s="197"/>
      <c r="H230" s="197"/>
      <c r="I230" s="197"/>
      <c r="J230" s="197"/>
      <c r="K230" s="197"/>
      <c r="L230" s="197"/>
      <c r="M230" s="197"/>
      <c r="N230" s="197"/>
      <c r="O230" s="197"/>
      <c r="P230" s="197"/>
      <c r="Q230" s="197"/>
      <c r="R230" s="197"/>
      <c r="S230" s="197"/>
      <c r="T230" s="197"/>
      <c r="U230" s="197"/>
    </row>
    <row r="231" customFormat="false" ht="12" hidden="false" customHeight="false" outlineLevel="0" collapsed="false">
      <c r="B231" s="197"/>
      <c r="C231" s="197"/>
      <c r="D231" s="197"/>
      <c r="E231" s="197"/>
      <c r="F231" s="197"/>
      <c r="G231" s="197"/>
      <c r="H231" s="197"/>
      <c r="I231" s="197"/>
      <c r="J231" s="197"/>
      <c r="K231" s="197"/>
      <c r="L231" s="197"/>
      <c r="M231" s="197"/>
      <c r="N231" s="197"/>
      <c r="O231" s="197"/>
      <c r="P231" s="197"/>
      <c r="Q231" s="197"/>
      <c r="R231" s="197"/>
      <c r="S231" s="197"/>
      <c r="T231" s="197"/>
      <c r="U231" s="197"/>
    </row>
    <row r="232" customFormat="false" ht="12" hidden="false" customHeight="false" outlineLevel="0" collapsed="false">
      <c r="B232" s="197"/>
      <c r="C232" s="197"/>
      <c r="D232" s="197"/>
      <c r="E232" s="197"/>
      <c r="F232" s="197"/>
      <c r="G232" s="197"/>
      <c r="H232" s="197"/>
      <c r="I232" s="197"/>
      <c r="J232" s="197"/>
      <c r="K232" s="197"/>
      <c r="L232" s="197"/>
      <c r="M232" s="197"/>
      <c r="N232" s="197"/>
      <c r="O232" s="197"/>
      <c r="P232" s="197"/>
      <c r="Q232" s="197"/>
      <c r="R232" s="197"/>
      <c r="S232" s="197"/>
      <c r="T232" s="197"/>
      <c r="U232" s="197"/>
    </row>
    <row r="233" customFormat="false" ht="12" hidden="false" customHeight="false" outlineLevel="0" collapsed="false">
      <c r="B233" s="197"/>
      <c r="C233" s="197"/>
      <c r="D233" s="197"/>
      <c r="E233" s="197"/>
      <c r="F233" s="197"/>
      <c r="G233" s="197"/>
      <c r="H233" s="197"/>
      <c r="I233" s="197"/>
      <c r="J233" s="197"/>
      <c r="K233" s="197"/>
      <c r="L233" s="197"/>
      <c r="M233" s="197"/>
      <c r="N233" s="197"/>
      <c r="O233" s="197"/>
      <c r="P233" s="197"/>
      <c r="Q233" s="197"/>
      <c r="R233" s="197"/>
      <c r="S233" s="197"/>
      <c r="T233" s="197"/>
      <c r="U233" s="197"/>
    </row>
    <row r="234" customFormat="false" ht="12" hidden="false" customHeight="false" outlineLevel="0" collapsed="false">
      <c r="B234" s="197"/>
      <c r="C234" s="197"/>
      <c r="D234" s="197"/>
      <c r="E234" s="197"/>
      <c r="F234" s="197"/>
      <c r="G234" s="197"/>
      <c r="H234" s="197"/>
      <c r="I234" s="197"/>
      <c r="J234" s="197"/>
      <c r="K234" s="197"/>
      <c r="L234" s="197"/>
      <c r="M234" s="197"/>
      <c r="N234" s="197"/>
      <c r="O234" s="197"/>
      <c r="P234" s="197"/>
      <c r="Q234" s="197"/>
      <c r="R234" s="197"/>
      <c r="S234" s="197"/>
      <c r="T234" s="197"/>
      <c r="U234" s="197"/>
    </row>
    <row r="235" customFormat="false" ht="12" hidden="false" customHeight="false" outlineLevel="0" collapsed="false">
      <c r="B235" s="197"/>
      <c r="C235" s="197"/>
      <c r="D235" s="197"/>
      <c r="E235" s="197"/>
      <c r="F235" s="197"/>
      <c r="G235" s="197"/>
      <c r="H235" s="197"/>
      <c r="I235" s="197"/>
      <c r="J235" s="197"/>
      <c r="K235" s="197"/>
      <c r="L235" s="197"/>
      <c r="M235" s="197"/>
      <c r="N235" s="197"/>
      <c r="O235" s="197"/>
      <c r="P235" s="197"/>
      <c r="Q235" s="197"/>
      <c r="R235" s="197"/>
      <c r="S235" s="197"/>
      <c r="T235" s="197"/>
      <c r="U235" s="197"/>
    </row>
    <row r="236" customFormat="false" ht="12" hidden="false" customHeight="false" outlineLevel="0" collapsed="false">
      <c r="B236" s="197"/>
      <c r="C236" s="197"/>
      <c r="D236" s="197"/>
      <c r="E236" s="197"/>
      <c r="F236" s="197"/>
      <c r="G236" s="197"/>
      <c r="H236" s="197"/>
      <c r="I236" s="197"/>
      <c r="J236" s="197"/>
      <c r="K236" s="197"/>
      <c r="L236" s="197"/>
      <c r="M236" s="197"/>
      <c r="N236" s="197"/>
      <c r="O236" s="197"/>
      <c r="P236" s="197"/>
      <c r="Q236" s="197"/>
      <c r="R236" s="197"/>
      <c r="S236" s="197"/>
      <c r="T236" s="197"/>
      <c r="U236" s="197"/>
    </row>
    <row r="237" customFormat="false" ht="12" hidden="false" customHeight="false" outlineLevel="0" collapsed="false">
      <c r="B237" s="197"/>
      <c r="C237" s="197"/>
      <c r="D237" s="197"/>
      <c r="E237" s="197"/>
      <c r="F237" s="197"/>
      <c r="G237" s="197"/>
      <c r="H237" s="197"/>
      <c r="I237" s="197"/>
      <c r="J237" s="197"/>
      <c r="K237" s="197"/>
      <c r="L237" s="197"/>
      <c r="M237" s="197"/>
      <c r="N237" s="197"/>
      <c r="O237" s="197"/>
      <c r="P237" s="197"/>
      <c r="Q237" s="197"/>
      <c r="R237" s="197"/>
      <c r="S237" s="197"/>
      <c r="T237" s="197"/>
      <c r="U237" s="197"/>
    </row>
    <row r="238" customFormat="false" ht="12" hidden="false" customHeight="false" outlineLevel="0" collapsed="false">
      <c r="B238" s="197"/>
      <c r="C238" s="197"/>
      <c r="D238" s="197"/>
      <c r="E238" s="197"/>
      <c r="F238" s="197"/>
      <c r="G238" s="197"/>
      <c r="H238" s="197"/>
      <c r="I238" s="197"/>
      <c r="J238" s="197"/>
      <c r="K238" s="197"/>
      <c r="L238" s="197"/>
      <c r="M238" s="197"/>
      <c r="N238" s="197"/>
      <c r="O238" s="197"/>
      <c r="P238" s="197"/>
      <c r="Q238" s="197"/>
      <c r="R238" s="197"/>
      <c r="S238" s="197"/>
      <c r="T238" s="197"/>
      <c r="U238" s="197"/>
    </row>
    <row r="239" customFormat="false" ht="12" hidden="false" customHeight="false" outlineLevel="0" collapsed="false">
      <c r="B239" s="197"/>
      <c r="C239" s="197"/>
      <c r="D239" s="197"/>
      <c r="E239" s="197"/>
      <c r="F239" s="197"/>
      <c r="G239" s="197"/>
      <c r="H239" s="197"/>
      <c r="I239" s="197"/>
      <c r="J239" s="197"/>
      <c r="K239" s="197"/>
      <c r="L239" s="197"/>
      <c r="M239" s="197"/>
      <c r="N239" s="197"/>
      <c r="O239" s="197"/>
      <c r="P239" s="197"/>
      <c r="Q239" s="197"/>
      <c r="R239" s="197"/>
      <c r="S239" s="197"/>
      <c r="T239" s="197"/>
      <c r="U239" s="197"/>
    </row>
    <row r="240" customFormat="false" ht="12" hidden="false" customHeight="false" outlineLevel="0" collapsed="false">
      <c r="B240" s="197"/>
      <c r="C240" s="197"/>
      <c r="D240" s="197"/>
      <c r="E240" s="197"/>
      <c r="F240" s="197"/>
      <c r="G240" s="197"/>
      <c r="H240" s="197"/>
      <c r="I240" s="197"/>
      <c r="J240" s="197"/>
      <c r="K240" s="197"/>
      <c r="L240" s="197"/>
      <c r="M240" s="197"/>
      <c r="N240" s="197"/>
      <c r="O240" s="197"/>
      <c r="P240" s="197"/>
      <c r="Q240" s="197"/>
      <c r="R240" s="197"/>
      <c r="S240" s="197"/>
      <c r="T240" s="197"/>
      <c r="U240" s="197"/>
    </row>
    <row r="241" customFormat="false" ht="12" hidden="false" customHeight="false" outlineLevel="0" collapsed="false">
      <c r="B241" s="197"/>
      <c r="C241" s="197"/>
      <c r="D241" s="197"/>
      <c r="E241" s="197"/>
      <c r="F241" s="197"/>
      <c r="G241" s="197"/>
      <c r="H241" s="197"/>
      <c r="I241" s="197"/>
      <c r="J241" s="197"/>
      <c r="K241" s="197"/>
      <c r="L241" s="197"/>
      <c r="M241" s="197"/>
      <c r="N241" s="197"/>
      <c r="O241" s="197"/>
      <c r="P241" s="197"/>
      <c r="Q241" s="197"/>
      <c r="R241" s="197"/>
      <c r="S241" s="197"/>
      <c r="T241" s="197"/>
      <c r="U241" s="197"/>
    </row>
    <row r="242" customFormat="false" ht="12" hidden="false" customHeight="false" outlineLevel="0" collapsed="false">
      <c r="B242" s="197"/>
      <c r="C242" s="197"/>
      <c r="D242" s="197"/>
      <c r="E242" s="197"/>
      <c r="F242" s="197"/>
      <c r="G242" s="197"/>
      <c r="H242" s="197"/>
      <c r="I242" s="197"/>
      <c r="J242" s="197"/>
      <c r="K242" s="197"/>
      <c r="L242" s="197"/>
      <c r="M242" s="197"/>
      <c r="N242" s="197"/>
      <c r="O242" s="197"/>
      <c r="P242" s="197"/>
      <c r="Q242" s="197"/>
      <c r="R242" s="197"/>
      <c r="S242" s="197"/>
      <c r="T242" s="197"/>
      <c r="U242" s="197"/>
    </row>
    <row r="243" customFormat="false" ht="12" hidden="false" customHeight="false" outlineLevel="0" collapsed="false">
      <c r="B243" s="197"/>
      <c r="C243" s="197"/>
      <c r="D243" s="197"/>
      <c r="E243" s="197"/>
      <c r="F243" s="197"/>
      <c r="G243" s="197"/>
      <c r="H243" s="197"/>
      <c r="I243" s="197"/>
      <c r="J243" s="197"/>
      <c r="K243" s="197"/>
      <c r="L243" s="197"/>
      <c r="M243" s="197"/>
      <c r="N243" s="197"/>
      <c r="O243" s="197"/>
      <c r="P243" s="197"/>
      <c r="Q243" s="197"/>
      <c r="R243" s="197"/>
      <c r="S243" s="197"/>
      <c r="T243" s="197"/>
      <c r="U243" s="197"/>
    </row>
    <row r="244" customFormat="false" ht="12" hidden="false" customHeight="false" outlineLevel="0" collapsed="false">
      <c r="B244" s="197"/>
      <c r="C244" s="197"/>
      <c r="D244" s="197"/>
      <c r="E244" s="197"/>
      <c r="F244" s="197"/>
      <c r="G244" s="197"/>
      <c r="H244" s="197"/>
      <c r="I244" s="197"/>
      <c r="J244" s="197"/>
      <c r="K244" s="197"/>
      <c r="L244" s="197"/>
      <c r="M244" s="197"/>
      <c r="N244" s="197"/>
      <c r="O244" s="197"/>
      <c r="P244" s="197"/>
      <c r="Q244" s="197"/>
      <c r="R244" s="197"/>
      <c r="S244" s="197"/>
      <c r="T244" s="197"/>
      <c r="U244" s="197"/>
    </row>
    <row r="245" customFormat="false" ht="12" hidden="false" customHeight="false" outlineLevel="0" collapsed="false">
      <c r="B245" s="197"/>
      <c r="C245" s="197"/>
      <c r="D245" s="197"/>
      <c r="E245" s="197"/>
      <c r="F245" s="197"/>
      <c r="G245" s="197"/>
      <c r="H245" s="197"/>
      <c r="I245" s="197"/>
      <c r="J245" s="197"/>
      <c r="K245" s="197"/>
      <c r="L245" s="197"/>
      <c r="M245" s="197"/>
      <c r="N245" s="197"/>
      <c r="O245" s="197"/>
      <c r="P245" s="197"/>
      <c r="Q245" s="197"/>
      <c r="R245" s="197"/>
      <c r="S245" s="197"/>
      <c r="T245" s="197"/>
      <c r="U245" s="197"/>
    </row>
    <row r="246" customFormat="false" ht="12" hidden="false" customHeight="false" outlineLevel="0" collapsed="false">
      <c r="B246" s="197"/>
      <c r="C246" s="197"/>
      <c r="D246" s="197"/>
      <c r="E246" s="197"/>
      <c r="F246" s="197"/>
      <c r="G246" s="197"/>
      <c r="H246" s="197"/>
      <c r="I246" s="197"/>
      <c r="J246" s="197"/>
      <c r="K246" s="197"/>
      <c r="L246" s="197"/>
      <c r="M246" s="197"/>
      <c r="N246" s="197"/>
      <c r="O246" s="197"/>
      <c r="P246" s="197"/>
      <c r="Q246" s="197"/>
      <c r="R246" s="197"/>
      <c r="S246" s="197"/>
      <c r="T246" s="197"/>
      <c r="U246" s="197"/>
    </row>
    <row r="247" customFormat="false" ht="12" hidden="false" customHeight="false" outlineLevel="0" collapsed="false">
      <c r="B247" s="197"/>
      <c r="C247" s="197"/>
      <c r="D247" s="197"/>
      <c r="E247" s="197"/>
      <c r="F247" s="197"/>
      <c r="G247" s="197"/>
      <c r="H247" s="197"/>
      <c r="I247" s="197"/>
      <c r="J247" s="197"/>
      <c r="K247" s="197"/>
      <c r="L247" s="197"/>
      <c r="M247" s="197"/>
      <c r="N247" s="197"/>
      <c r="O247" s="197"/>
      <c r="P247" s="197"/>
      <c r="Q247" s="197"/>
      <c r="R247" s="197"/>
      <c r="S247" s="197"/>
      <c r="T247" s="197"/>
      <c r="U247" s="197"/>
    </row>
    <row r="248" customFormat="false" ht="12" hidden="false" customHeight="false" outlineLevel="0" collapsed="false">
      <c r="B248" s="197"/>
      <c r="C248" s="197"/>
      <c r="D248" s="197"/>
      <c r="E248" s="197"/>
      <c r="F248" s="197"/>
      <c r="G248" s="197"/>
      <c r="H248" s="197"/>
      <c r="I248" s="197"/>
      <c r="J248" s="197"/>
      <c r="K248" s="197"/>
      <c r="L248" s="197"/>
      <c r="M248" s="197"/>
      <c r="N248" s="197"/>
      <c r="O248" s="197"/>
      <c r="P248" s="197"/>
      <c r="Q248" s="197"/>
      <c r="R248" s="197"/>
      <c r="S248" s="197"/>
      <c r="T248" s="197"/>
      <c r="U248" s="197"/>
    </row>
    <row r="249" customFormat="false" ht="12" hidden="false" customHeight="false" outlineLevel="0" collapsed="false">
      <c r="B249" s="197"/>
      <c r="C249" s="197"/>
      <c r="D249" s="197"/>
      <c r="E249" s="197"/>
      <c r="F249" s="197"/>
      <c r="G249" s="197"/>
      <c r="H249" s="197"/>
      <c r="I249" s="197"/>
      <c r="J249" s="197"/>
      <c r="K249" s="197"/>
      <c r="L249" s="197"/>
      <c r="M249" s="197"/>
      <c r="N249" s="197"/>
      <c r="O249" s="197"/>
      <c r="P249" s="197"/>
      <c r="Q249" s="197"/>
      <c r="R249" s="197"/>
      <c r="S249" s="197"/>
      <c r="T249" s="197"/>
      <c r="U249" s="197"/>
    </row>
    <row r="250" customFormat="false" ht="12" hidden="false" customHeight="false" outlineLevel="0" collapsed="false">
      <c r="B250" s="197"/>
      <c r="C250" s="197"/>
      <c r="D250" s="197"/>
      <c r="E250" s="197"/>
      <c r="F250" s="197"/>
      <c r="G250" s="197"/>
      <c r="H250" s="197"/>
      <c r="I250" s="197"/>
      <c r="J250" s="197"/>
      <c r="K250" s="197"/>
      <c r="L250" s="197"/>
      <c r="M250" s="197"/>
      <c r="N250" s="197"/>
      <c r="O250" s="197"/>
      <c r="P250" s="197"/>
      <c r="Q250" s="197"/>
      <c r="R250" s="197"/>
      <c r="S250" s="197"/>
      <c r="T250" s="197"/>
      <c r="U250" s="197"/>
    </row>
    <row r="251" customFormat="false" ht="12" hidden="false" customHeight="false" outlineLevel="0" collapsed="false">
      <c r="B251" s="197"/>
      <c r="C251" s="197"/>
      <c r="D251" s="197"/>
      <c r="E251" s="197"/>
      <c r="F251" s="197"/>
      <c r="G251" s="197"/>
      <c r="H251" s="197"/>
      <c r="I251" s="197"/>
      <c r="J251" s="197"/>
      <c r="K251" s="197"/>
      <c r="L251" s="197"/>
      <c r="M251" s="197"/>
      <c r="N251" s="197"/>
      <c r="O251" s="197"/>
      <c r="P251" s="197"/>
      <c r="Q251" s="197"/>
      <c r="R251" s="197"/>
      <c r="S251" s="197"/>
      <c r="T251" s="197"/>
      <c r="U251" s="197"/>
    </row>
    <row r="252" customFormat="false" ht="12" hidden="false" customHeight="false" outlineLevel="0" collapsed="false">
      <c r="B252" s="197"/>
      <c r="C252" s="197"/>
      <c r="D252" s="197"/>
      <c r="E252" s="197"/>
      <c r="F252" s="197"/>
      <c r="G252" s="197"/>
      <c r="H252" s="197"/>
      <c r="I252" s="197"/>
      <c r="J252" s="197"/>
      <c r="K252" s="197"/>
      <c r="L252" s="197"/>
      <c r="M252" s="197"/>
      <c r="N252" s="197"/>
      <c r="O252" s="197"/>
      <c r="P252" s="197"/>
      <c r="Q252" s="197"/>
      <c r="R252" s="197"/>
      <c r="S252" s="197"/>
      <c r="T252" s="197"/>
      <c r="U252" s="197"/>
    </row>
    <row r="253" customFormat="false" ht="12" hidden="false" customHeight="false" outlineLevel="0" collapsed="false">
      <c r="B253" s="197"/>
      <c r="C253" s="197"/>
      <c r="D253" s="197"/>
      <c r="E253" s="197"/>
      <c r="F253" s="197"/>
      <c r="G253" s="197"/>
      <c r="H253" s="197"/>
      <c r="I253" s="197"/>
      <c r="J253" s="197"/>
      <c r="K253" s="197"/>
      <c r="L253" s="197"/>
      <c r="M253" s="197"/>
      <c r="N253" s="197"/>
      <c r="O253" s="197"/>
      <c r="P253" s="197"/>
      <c r="Q253" s="197"/>
      <c r="R253" s="197"/>
      <c r="S253" s="197"/>
      <c r="T253" s="197"/>
      <c r="U253" s="197"/>
    </row>
    <row r="254" customFormat="false" ht="12" hidden="false" customHeight="false" outlineLevel="0" collapsed="false">
      <c r="B254" s="197"/>
      <c r="C254" s="197"/>
      <c r="D254" s="197"/>
      <c r="E254" s="197"/>
      <c r="F254" s="197"/>
      <c r="G254" s="197"/>
      <c r="H254" s="197"/>
      <c r="I254" s="197"/>
      <c r="J254" s="197"/>
      <c r="K254" s="197"/>
      <c r="L254" s="197"/>
      <c r="M254" s="197"/>
      <c r="N254" s="197"/>
      <c r="O254" s="197"/>
      <c r="P254" s="197"/>
      <c r="Q254" s="197"/>
      <c r="R254" s="197"/>
      <c r="S254" s="197"/>
      <c r="T254" s="197"/>
      <c r="U254" s="197"/>
    </row>
    <row r="255" customFormat="false" ht="12" hidden="false" customHeight="false" outlineLevel="0" collapsed="false">
      <c r="B255" s="197"/>
      <c r="C255" s="197"/>
      <c r="D255" s="197"/>
      <c r="E255" s="197"/>
      <c r="F255" s="197"/>
      <c r="G255" s="197"/>
      <c r="H255" s="197"/>
      <c r="I255" s="197"/>
      <c r="J255" s="197"/>
      <c r="K255" s="197"/>
      <c r="L255" s="197"/>
      <c r="M255" s="197"/>
      <c r="N255" s="197"/>
      <c r="O255" s="197"/>
      <c r="P255" s="197"/>
      <c r="Q255" s="197"/>
      <c r="R255" s="197"/>
      <c r="S255" s="197"/>
      <c r="T255" s="197"/>
      <c r="U255" s="197"/>
    </row>
    <row r="256" customFormat="false" ht="12" hidden="false" customHeight="false" outlineLevel="0" collapsed="false">
      <c r="B256" s="197"/>
      <c r="C256" s="197"/>
      <c r="D256" s="197"/>
      <c r="E256" s="197"/>
      <c r="F256" s="197"/>
      <c r="G256" s="197"/>
      <c r="H256" s="197"/>
      <c r="I256" s="197"/>
      <c r="J256" s="197"/>
      <c r="K256" s="197"/>
      <c r="L256" s="197"/>
      <c r="M256" s="197"/>
      <c r="N256" s="197"/>
      <c r="O256" s="197"/>
      <c r="P256" s="197"/>
      <c r="Q256" s="197"/>
      <c r="R256" s="197"/>
      <c r="S256" s="197"/>
      <c r="T256" s="197"/>
      <c r="U256" s="197"/>
    </row>
    <row r="257" customFormat="false" ht="12" hidden="false" customHeight="false" outlineLevel="0" collapsed="false">
      <c r="B257" s="197"/>
      <c r="C257" s="197"/>
      <c r="D257" s="197"/>
      <c r="E257" s="197"/>
      <c r="F257" s="197"/>
      <c r="G257" s="197"/>
      <c r="H257" s="197"/>
      <c r="I257" s="197"/>
      <c r="J257" s="197"/>
      <c r="K257" s="197"/>
      <c r="L257" s="197"/>
      <c r="M257" s="197"/>
      <c r="N257" s="197"/>
      <c r="O257" s="197"/>
      <c r="P257" s="197"/>
      <c r="Q257" s="197"/>
      <c r="R257" s="197"/>
      <c r="S257" s="197"/>
      <c r="T257" s="197"/>
      <c r="U257" s="197"/>
    </row>
    <row r="258" customFormat="false" ht="12" hidden="false" customHeight="false" outlineLevel="0" collapsed="false">
      <c r="B258" s="197"/>
      <c r="C258" s="197"/>
      <c r="D258" s="197"/>
      <c r="E258" s="197"/>
      <c r="F258" s="197"/>
      <c r="G258" s="197"/>
      <c r="H258" s="197"/>
      <c r="I258" s="197"/>
      <c r="J258" s="197"/>
      <c r="K258" s="197"/>
      <c r="L258" s="197"/>
      <c r="M258" s="197"/>
      <c r="N258" s="197"/>
      <c r="O258" s="197"/>
      <c r="P258" s="197"/>
      <c r="Q258" s="197"/>
      <c r="R258" s="197"/>
      <c r="S258" s="197"/>
      <c r="T258" s="197"/>
      <c r="U258" s="197"/>
    </row>
    <row r="259" customFormat="false" ht="12" hidden="false" customHeight="false" outlineLevel="0" collapsed="false">
      <c r="B259" s="197"/>
      <c r="C259" s="197"/>
      <c r="D259" s="197"/>
      <c r="E259" s="197"/>
      <c r="F259" s="197"/>
      <c r="G259" s="197"/>
      <c r="H259" s="197"/>
      <c r="I259" s="197"/>
      <c r="J259" s="197"/>
      <c r="K259" s="197"/>
      <c r="L259" s="197"/>
      <c r="M259" s="197"/>
      <c r="N259" s="197"/>
      <c r="O259" s="197"/>
      <c r="P259" s="197"/>
      <c r="Q259" s="197"/>
      <c r="R259" s="197"/>
      <c r="S259" s="197"/>
      <c r="T259" s="197"/>
      <c r="U259" s="197"/>
    </row>
    <row r="260" customFormat="false" ht="12" hidden="false" customHeight="false" outlineLevel="0" collapsed="false">
      <c r="B260" s="197"/>
      <c r="C260" s="197"/>
      <c r="D260" s="197"/>
      <c r="E260" s="197"/>
      <c r="F260" s="197"/>
      <c r="G260" s="197"/>
      <c r="H260" s="197"/>
      <c r="I260" s="197"/>
      <c r="J260" s="197"/>
      <c r="K260" s="197"/>
      <c r="L260" s="197"/>
      <c r="M260" s="197"/>
      <c r="N260" s="197"/>
      <c r="O260" s="197"/>
      <c r="P260" s="197"/>
      <c r="Q260" s="197"/>
      <c r="R260" s="197"/>
      <c r="S260" s="197"/>
      <c r="T260" s="197"/>
      <c r="U260" s="197"/>
    </row>
    <row r="261" customFormat="false" ht="12" hidden="false" customHeight="false" outlineLevel="0" collapsed="false">
      <c r="B261" s="197"/>
      <c r="C261" s="197"/>
      <c r="D261" s="197"/>
      <c r="E261" s="197"/>
      <c r="F261" s="197"/>
      <c r="G261" s="197"/>
      <c r="H261" s="197"/>
      <c r="I261" s="197"/>
      <c r="J261" s="197"/>
      <c r="K261" s="197"/>
      <c r="L261" s="197"/>
      <c r="M261" s="197"/>
      <c r="N261" s="197"/>
      <c r="O261" s="197"/>
      <c r="P261" s="197"/>
      <c r="Q261" s="197"/>
      <c r="R261" s="197"/>
      <c r="S261" s="197"/>
      <c r="T261" s="197"/>
      <c r="U261" s="197"/>
    </row>
    <row r="262" customFormat="false" ht="12" hidden="false" customHeight="false" outlineLevel="0" collapsed="false">
      <c r="B262" s="197"/>
      <c r="C262" s="197"/>
      <c r="D262" s="197"/>
      <c r="E262" s="197"/>
      <c r="F262" s="197"/>
      <c r="G262" s="197"/>
      <c r="H262" s="197"/>
      <c r="I262" s="197"/>
      <c r="J262" s="197"/>
      <c r="K262" s="197"/>
      <c r="L262" s="197"/>
      <c r="M262" s="197"/>
      <c r="N262" s="197"/>
      <c r="O262" s="197"/>
      <c r="P262" s="197"/>
      <c r="Q262" s="197"/>
      <c r="R262" s="197"/>
      <c r="S262" s="197"/>
      <c r="T262" s="197"/>
      <c r="U262" s="197"/>
    </row>
    <row r="263" customFormat="false" ht="12" hidden="false" customHeight="false" outlineLevel="0" collapsed="false">
      <c r="B263" s="197"/>
      <c r="C263" s="197"/>
      <c r="D263" s="197"/>
      <c r="E263" s="197"/>
      <c r="F263" s="197"/>
      <c r="G263" s="197"/>
      <c r="H263" s="197"/>
      <c r="I263" s="197"/>
      <c r="J263" s="197"/>
      <c r="K263" s="197"/>
      <c r="L263" s="197"/>
      <c r="M263" s="197"/>
      <c r="N263" s="197"/>
      <c r="O263" s="197"/>
      <c r="P263" s="197"/>
      <c r="Q263" s="197"/>
      <c r="R263" s="197"/>
      <c r="S263" s="197"/>
      <c r="T263" s="197"/>
      <c r="U263" s="197"/>
    </row>
    <row r="264" customFormat="false" ht="12" hidden="false" customHeight="false" outlineLevel="0" collapsed="false">
      <c r="B264" s="197"/>
      <c r="C264" s="197"/>
      <c r="D264" s="197"/>
      <c r="E264" s="197"/>
      <c r="F264" s="197"/>
      <c r="G264" s="197"/>
      <c r="H264" s="197"/>
      <c r="I264" s="197"/>
      <c r="J264" s="197"/>
      <c r="K264" s="197"/>
      <c r="L264" s="197"/>
      <c r="M264" s="197"/>
      <c r="N264" s="197"/>
      <c r="O264" s="197"/>
      <c r="P264" s="197"/>
      <c r="Q264" s="197"/>
      <c r="R264" s="197"/>
      <c r="S264" s="197"/>
      <c r="T264" s="197"/>
      <c r="U264" s="197"/>
    </row>
    <row r="265" customFormat="false" ht="12" hidden="false" customHeight="false" outlineLevel="0" collapsed="false">
      <c r="B265" s="197"/>
      <c r="C265" s="197"/>
      <c r="D265" s="197"/>
      <c r="E265" s="197"/>
      <c r="F265" s="197"/>
      <c r="G265" s="197"/>
      <c r="H265" s="197"/>
      <c r="I265" s="197"/>
      <c r="J265" s="197"/>
      <c r="K265" s="197"/>
      <c r="L265" s="197"/>
      <c r="M265" s="197"/>
      <c r="N265" s="197"/>
      <c r="O265" s="197"/>
      <c r="P265" s="197"/>
      <c r="Q265" s="197"/>
      <c r="R265" s="197"/>
      <c r="S265" s="197"/>
      <c r="T265" s="197"/>
      <c r="U265" s="197"/>
    </row>
    <row r="266" customFormat="false" ht="12" hidden="false" customHeight="false" outlineLevel="0" collapsed="false">
      <c r="B266" s="197"/>
      <c r="C266" s="197"/>
      <c r="D266" s="197"/>
      <c r="E266" s="197"/>
      <c r="F266" s="197"/>
      <c r="G266" s="197"/>
      <c r="H266" s="197"/>
      <c r="I266" s="197"/>
      <c r="J266" s="197"/>
      <c r="K266" s="197"/>
      <c r="L266" s="197"/>
      <c r="M266" s="197"/>
      <c r="N266" s="197"/>
      <c r="O266" s="197"/>
      <c r="P266" s="197"/>
      <c r="Q266" s="197"/>
      <c r="R266" s="197"/>
      <c r="S266" s="197"/>
      <c r="T266" s="197"/>
      <c r="U266" s="197"/>
    </row>
    <row r="267" customFormat="false" ht="12" hidden="false" customHeight="false" outlineLevel="0" collapsed="false">
      <c r="B267" s="197"/>
      <c r="C267" s="197"/>
      <c r="D267" s="197"/>
      <c r="E267" s="197"/>
      <c r="F267" s="197"/>
      <c r="G267" s="197"/>
      <c r="H267" s="197"/>
      <c r="I267" s="197"/>
      <c r="J267" s="197"/>
      <c r="K267" s="197"/>
      <c r="L267" s="197"/>
      <c r="M267" s="197"/>
      <c r="N267" s="197"/>
      <c r="O267" s="197"/>
      <c r="P267" s="197"/>
      <c r="Q267" s="197"/>
      <c r="R267" s="197"/>
      <c r="S267" s="197"/>
      <c r="T267" s="197"/>
      <c r="U267" s="197"/>
    </row>
    <row r="268" customFormat="false" ht="12" hidden="false" customHeight="false" outlineLevel="0" collapsed="false">
      <c r="B268" s="197"/>
      <c r="C268" s="197"/>
      <c r="D268" s="197"/>
      <c r="E268" s="197"/>
      <c r="F268" s="197"/>
      <c r="G268" s="197"/>
      <c r="H268" s="197"/>
      <c r="I268" s="197"/>
      <c r="J268" s="197"/>
      <c r="K268" s="197"/>
      <c r="L268" s="197"/>
      <c r="M268" s="197"/>
      <c r="N268" s="197"/>
      <c r="O268" s="197"/>
      <c r="P268" s="197"/>
      <c r="Q268" s="197"/>
      <c r="R268" s="197"/>
      <c r="S268" s="197"/>
      <c r="T268" s="197"/>
      <c r="U268" s="197"/>
    </row>
    <row r="269" customFormat="false" ht="12" hidden="false" customHeight="false" outlineLevel="0" collapsed="false">
      <c r="B269" s="197"/>
      <c r="C269" s="197"/>
      <c r="D269" s="197"/>
      <c r="E269" s="197"/>
      <c r="F269" s="197"/>
      <c r="G269" s="197"/>
      <c r="H269" s="197"/>
      <c r="I269" s="197"/>
      <c r="J269" s="197"/>
      <c r="K269" s="197"/>
      <c r="L269" s="197"/>
      <c r="M269" s="197"/>
      <c r="N269" s="197"/>
      <c r="O269" s="197"/>
      <c r="P269" s="197"/>
      <c r="Q269" s="197"/>
      <c r="R269" s="197"/>
      <c r="S269" s="197"/>
      <c r="T269" s="197"/>
      <c r="U269" s="197"/>
    </row>
    <row r="270" customFormat="false" ht="12" hidden="false" customHeight="false" outlineLevel="0" collapsed="false">
      <c r="B270" s="197"/>
      <c r="C270" s="197"/>
      <c r="D270" s="197"/>
      <c r="E270" s="197"/>
      <c r="F270" s="197"/>
      <c r="G270" s="197"/>
      <c r="H270" s="197"/>
      <c r="I270" s="197"/>
      <c r="J270" s="197"/>
      <c r="K270" s="197"/>
      <c r="L270" s="197"/>
      <c r="M270" s="197"/>
      <c r="N270" s="197"/>
      <c r="O270" s="197"/>
      <c r="P270" s="197"/>
      <c r="Q270" s="197"/>
      <c r="R270" s="197"/>
      <c r="S270" s="197"/>
      <c r="T270" s="197"/>
      <c r="U270" s="197"/>
    </row>
    <row r="271" customFormat="false" ht="12" hidden="false" customHeight="false" outlineLevel="0" collapsed="false">
      <c r="B271" s="197"/>
      <c r="C271" s="197"/>
      <c r="D271" s="197"/>
      <c r="E271" s="197"/>
      <c r="F271" s="197"/>
      <c r="G271" s="197"/>
      <c r="H271" s="197"/>
      <c r="I271" s="197"/>
      <c r="J271" s="197"/>
      <c r="K271" s="197"/>
      <c r="L271" s="197"/>
      <c r="M271" s="197"/>
      <c r="N271" s="197"/>
      <c r="O271" s="197"/>
      <c r="P271" s="197"/>
      <c r="Q271" s="197"/>
      <c r="R271" s="197"/>
      <c r="S271" s="197"/>
      <c r="T271" s="197"/>
      <c r="U271" s="197"/>
    </row>
    <row r="272" customFormat="false" ht="12" hidden="false" customHeight="false" outlineLevel="0" collapsed="false">
      <c r="B272" s="197"/>
      <c r="C272" s="197"/>
      <c r="D272" s="197"/>
      <c r="E272" s="197"/>
      <c r="F272" s="197"/>
      <c r="G272" s="197"/>
      <c r="H272" s="197"/>
      <c r="I272" s="197"/>
      <c r="J272" s="197"/>
      <c r="K272" s="197"/>
      <c r="L272" s="197"/>
      <c r="M272" s="197"/>
      <c r="N272" s="197"/>
      <c r="O272" s="197"/>
      <c r="P272" s="197"/>
      <c r="Q272" s="197"/>
      <c r="R272" s="197"/>
      <c r="S272" s="197"/>
      <c r="T272" s="197"/>
      <c r="U272" s="197"/>
    </row>
    <row r="273" customFormat="false" ht="12" hidden="false" customHeight="false" outlineLevel="0" collapsed="false">
      <c r="B273" s="197"/>
      <c r="C273" s="197"/>
      <c r="D273" s="197"/>
      <c r="E273" s="197"/>
      <c r="F273" s="197"/>
      <c r="G273" s="197"/>
      <c r="H273" s="197"/>
      <c r="I273" s="197"/>
      <c r="J273" s="197"/>
      <c r="K273" s="197"/>
      <c r="L273" s="197"/>
      <c r="M273" s="197"/>
      <c r="N273" s="197"/>
      <c r="O273" s="197"/>
      <c r="P273" s="197"/>
      <c r="Q273" s="197"/>
      <c r="R273" s="197"/>
      <c r="S273" s="197"/>
      <c r="T273" s="197"/>
      <c r="U273" s="197"/>
    </row>
    <row r="274" customFormat="false" ht="12" hidden="false" customHeight="false" outlineLevel="0" collapsed="false">
      <c r="B274" s="197"/>
      <c r="C274" s="197"/>
      <c r="D274" s="197"/>
      <c r="E274" s="197"/>
      <c r="F274" s="197"/>
      <c r="G274" s="197"/>
      <c r="H274" s="197"/>
      <c r="I274" s="197"/>
      <c r="J274" s="197"/>
      <c r="K274" s="197"/>
      <c r="L274" s="197"/>
      <c r="M274" s="197"/>
      <c r="N274" s="197"/>
      <c r="O274" s="197"/>
      <c r="P274" s="197"/>
      <c r="Q274" s="197"/>
      <c r="R274" s="197"/>
      <c r="S274" s="197"/>
      <c r="T274" s="197"/>
      <c r="U274" s="197"/>
    </row>
    <row r="275" customFormat="false" ht="12" hidden="false" customHeight="false" outlineLevel="0" collapsed="false">
      <c r="B275" s="197"/>
      <c r="C275" s="197"/>
      <c r="D275" s="197"/>
      <c r="E275" s="197"/>
      <c r="F275" s="197"/>
      <c r="G275" s="197"/>
      <c r="H275" s="197"/>
      <c r="I275" s="197"/>
      <c r="J275" s="197"/>
      <c r="K275" s="197"/>
      <c r="L275" s="197"/>
      <c r="M275" s="197"/>
      <c r="N275" s="197"/>
      <c r="O275" s="197"/>
      <c r="P275" s="197"/>
      <c r="Q275" s="197"/>
      <c r="R275" s="197"/>
      <c r="S275" s="197"/>
      <c r="T275" s="197"/>
      <c r="U275" s="197"/>
    </row>
    <row r="276" customFormat="false" ht="12" hidden="false" customHeight="false" outlineLevel="0" collapsed="false">
      <c r="B276" s="197"/>
      <c r="C276" s="197"/>
      <c r="D276" s="197"/>
      <c r="E276" s="197"/>
      <c r="F276" s="197"/>
      <c r="G276" s="197"/>
      <c r="H276" s="197"/>
      <c r="I276" s="197"/>
      <c r="J276" s="197"/>
      <c r="K276" s="197"/>
      <c r="L276" s="197"/>
      <c r="M276" s="197"/>
      <c r="N276" s="197"/>
      <c r="O276" s="197"/>
      <c r="P276" s="197"/>
      <c r="Q276" s="197"/>
      <c r="R276" s="197"/>
      <c r="S276" s="197"/>
      <c r="T276" s="197"/>
      <c r="U276" s="197"/>
    </row>
    <row r="277" customFormat="false" ht="12" hidden="false" customHeight="false" outlineLevel="0" collapsed="false">
      <c r="B277" s="197"/>
      <c r="C277" s="197"/>
      <c r="D277" s="197"/>
      <c r="E277" s="197"/>
      <c r="F277" s="197"/>
      <c r="G277" s="197"/>
      <c r="H277" s="197"/>
      <c r="I277" s="197"/>
      <c r="J277" s="197"/>
      <c r="K277" s="197"/>
      <c r="L277" s="197"/>
      <c r="M277" s="197"/>
      <c r="N277" s="197"/>
      <c r="O277" s="197"/>
      <c r="P277" s="197"/>
      <c r="Q277" s="197"/>
      <c r="R277" s="197"/>
      <c r="S277" s="197"/>
      <c r="T277" s="197"/>
      <c r="U277" s="197"/>
    </row>
    <row r="278" customFormat="false" ht="12" hidden="false" customHeight="false" outlineLevel="0" collapsed="false">
      <c r="B278" s="197"/>
      <c r="C278" s="197"/>
      <c r="D278" s="197"/>
      <c r="E278" s="197"/>
      <c r="F278" s="197"/>
      <c r="G278" s="197"/>
      <c r="H278" s="197"/>
      <c r="I278" s="197"/>
      <c r="J278" s="197"/>
      <c r="K278" s="197"/>
      <c r="L278" s="197"/>
      <c r="M278" s="197"/>
      <c r="N278" s="197"/>
      <c r="O278" s="197"/>
      <c r="P278" s="197"/>
      <c r="Q278" s="197"/>
      <c r="R278" s="197"/>
      <c r="S278" s="197"/>
      <c r="T278" s="197"/>
      <c r="U278" s="197"/>
    </row>
    <row r="279" customFormat="false" ht="12" hidden="false" customHeight="false" outlineLevel="0" collapsed="false">
      <c r="B279" s="197"/>
      <c r="C279" s="197"/>
      <c r="D279" s="197"/>
      <c r="E279" s="197"/>
      <c r="F279" s="197"/>
      <c r="G279" s="197"/>
      <c r="H279" s="197"/>
      <c r="I279" s="197"/>
      <c r="J279" s="197"/>
      <c r="K279" s="197"/>
      <c r="L279" s="197"/>
      <c r="M279" s="197"/>
      <c r="N279" s="197"/>
      <c r="O279" s="197"/>
      <c r="P279" s="197"/>
      <c r="Q279" s="197"/>
      <c r="R279" s="197"/>
      <c r="S279" s="197"/>
      <c r="T279" s="197"/>
      <c r="U279" s="197"/>
    </row>
    <row r="280" customFormat="false" ht="12" hidden="false" customHeight="false" outlineLevel="0" collapsed="false">
      <c r="B280" s="197"/>
      <c r="C280" s="197"/>
      <c r="D280" s="197"/>
      <c r="E280" s="197"/>
      <c r="F280" s="197"/>
      <c r="G280" s="197"/>
      <c r="H280" s="197"/>
      <c r="I280" s="197"/>
      <c r="J280" s="197"/>
      <c r="K280" s="197"/>
      <c r="L280" s="197"/>
      <c r="M280" s="197"/>
      <c r="N280" s="197"/>
      <c r="O280" s="197"/>
      <c r="P280" s="197"/>
      <c r="Q280" s="197"/>
      <c r="R280" s="197"/>
      <c r="S280" s="197"/>
      <c r="T280" s="197"/>
      <c r="U280" s="197"/>
    </row>
    <row r="281" customFormat="false" ht="12" hidden="false" customHeight="false" outlineLevel="0" collapsed="false">
      <c r="B281" s="197"/>
      <c r="C281" s="197"/>
      <c r="D281" s="197"/>
      <c r="E281" s="197"/>
      <c r="F281" s="197"/>
      <c r="G281" s="197"/>
      <c r="H281" s="197"/>
      <c r="I281" s="197"/>
      <c r="J281" s="197"/>
      <c r="K281" s="197"/>
      <c r="L281" s="197"/>
      <c r="M281" s="197"/>
      <c r="N281" s="197"/>
      <c r="O281" s="197"/>
      <c r="P281" s="197"/>
      <c r="Q281" s="197"/>
      <c r="R281" s="197"/>
      <c r="S281" s="197"/>
      <c r="T281" s="197"/>
      <c r="U281" s="197"/>
    </row>
    <row r="282" customFormat="false" ht="12" hidden="false" customHeight="false" outlineLevel="0" collapsed="false">
      <c r="B282" s="197"/>
      <c r="C282" s="197"/>
      <c r="D282" s="197"/>
      <c r="E282" s="197"/>
      <c r="F282" s="197"/>
      <c r="G282" s="197"/>
      <c r="H282" s="197"/>
      <c r="I282" s="197"/>
      <c r="J282" s="197"/>
      <c r="K282" s="197"/>
      <c r="L282" s="197"/>
      <c r="M282" s="197"/>
      <c r="N282" s="197"/>
      <c r="O282" s="197"/>
      <c r="P282" s="197"/>
      <c r="Q282" s="197"/>
      <c r="R282" s="197"/>
      <c r="S282" s="197"/>
      <c r="T282" s="197"/>
      <c r="U282" s="197"/>
    </row>
    <row r="283" customFormat="false" ht="12" hidden="false" customHeight="false" outlineLevel="0" collapsed="false">
      <c r="B283" s="197"/>
      <c r="C283" s="197"/>
      <c r="D283" s="197"/>
      <c r="E283" s="197"/>
      <c r="F283" s="197"/>
      <c r="G283" s="197"/>
      <c r="H283" s="197"/>
      <c r="I283" s="197"/>
      <c r="J283" s="197"/>
      <c r="K283" s="197"/>
      <c r="L283" s="197"/>
      <c r="M283" s="197"/>
      <c r="N283" s="197"/>
      <c r="O283" s="197"/>
      <c r="P283" s="197"/>
      <c r="Q283" s="197"/>
      <c r="R283" s="197"/>
      <c r="S283" s="197"/>
      <c r="T283" s="197"/>
      <c r="U283" s="197"/>
    </row>
    <row r="284" customFormat="false" ht="12" hidden="false" customHeight="false" outlineLevel="0" collapsed="false">
      <c r="B284" s="197"/>
      <c r="C284" s="197"/>
      <c r="D284" s="197"/>
      <c r="E284" s="197"/>
      <c r="F284" s="197"/>
      <c r="G284" s="197"/>
      <c r="H284" s="197"/>
      <c r="I284" s="197"/>
      <c r="J284" s="197"/>
      <c r="K284" s="197"/>
      <c r="L284" s="197"/>
      <c r="M284" s="197"/>
      <c r="N284" s="197"/>
      <c r="O284" s="197"/>
      <c r="P284" s="197"/>
      <c r="Q284" s="197"/>
      <c r="R284" s="197"/>
      <c r="S284" s="197"/>
      <c r="T284" s="197"/>
      <c r="U284" s="197"/>
    </row>
    <row r="285" customFormat="false" ht="12" hidden="false" customHeight="false" outlineLevel="0" collapsed="false">
      <c r="B285" s="197"/>
      <c r="C285" s="197"/>
      <c r="D285" s="197"/>
      <c r="E285" s="197"/>
      <c r="F285" s="197"/>
      <c r="G285" s="197"/>
      <c r="H285" s="197"/>
      <c r="I285" s="197"/>
      <c r="J285" s="197"/>
      <c r="K285" s="197"/>
      <c r="L285" s="197"/>
      <c r="M285" s="197"/>
      <c r="N285" s="197"/>
      <c r="O285" s="197"/>
      <c r="P285" s="197"/>
      <c r="Q285" s="197"/>
      <c r="R285" s="197"/>
      <c r="S285" s="197"/>
      <c r="T285" s="197"/>
      <c r="U285" s="197"/>
    </row>
    <row r="286" customFormat="false" ht="12" hidden="false" customHeight="false" outlineLevel="0" collapsed="false">
      <c r="B286" s="197"/>
      <c r="C286" s="197"/>
      <c r="D286" s="197"/>
      <c r="E286" s="197"/>
      <c r="F286" s="197"/>
      <c r="G286" s="197"/>
      <c r="H286" s="197"/>
      <c r="I286" s="197"/>
      <c r="J286" s="197"/>
      <c r="K286" s="197"/>
      <c r="L286" s="197"/>
      <c r="M286" s="197"/>
      <c r="N286" s="197"/>
      <c r="O286" s="197"/>
      <c r="P286" s="197"/>
      <c r="Q286" s="197"/>
      <c r="R286" s="197"/>
      <c r="S286" s="197"/>
      <c r="T286" s="197"/>
      <c r="U286" s="197"/>
    </row>
    <row r="287" customFormat="false" ht="12" hidden="false" customHeight="false" outlineLevel="0" collapsed="false">
      <c r="B287" s="197"/>
      <c r="C287" s="197"/>
      <c r="D287" s="197"/>
      <c r="E287" s="197"/>
      <c r="F287" s="197"/>
      <c r="G287" s="197"/>
      <c r="H287" s="197"/>
      <c r="I287" s="197"/>
      <c r="J287" s="197"/>
      <c r="K287" s="197"/>
      <c r="L287" s="197"/>
      <c r="M287" s="197"/>
      <c r="N287" s="197"/>
      <c r="O287" s="197"/>
      <c r="P287" s="197"/>
      <c r="Q287" s="197"/>
      <c r="R287" s="197"/>
      <c r="S287" s="197"/>
      <c r="T287" s="197"/>
      <c r="U287" s="197"/>
    </row>
    <row r="288" customFormat="false" ht="12" hidden="false" customHeight="false" outlineLevel="0" collapsed="false">
      <c r="B288" s="197"/>
      <c r="C288" s="197"/>
      <c r="D288" s="197"/>
      <c r="E288" s="197"/>
      <c r="F288" s="197"/>
      <c r="G288" s="197"/>
      <c r="H288" s="197"/>
      <c r="I288" s="197"/>
      <c r="J288" s="197"/>
      <c r="K288" s="197"/>
      <c r="L288" s="197"/>
      <c r="M288" s="197"/>
      <c r="N288" s="197"/>
      <c r="O288" s="197"/>
      <c r="P288" s="197"/>
      <c r="Q288" s="197"/>
      <c r="R288" s="197"/>
      <c r="S288" s="197"/>
      <c r="T288" s="197"/>
      <c r="U288" s="197"/>
    </row>
    <row r="289" customFormat="false" ht="12" hidden="false" customHeight="false" outlineLevel="0" collapsed="false">
      <c r="B289" s="197"/>
      <c r="C289" s="197"/>
      <c r="D289" s="197"/>
      <c r="E289" s="197"/>
      <c r="F289" s="197"/>
      <c r="G289" s="197"/>
      <c r="H289" s="197"/>
      <c r="I289" s="197"/>
      <c r="J289" s="197"/>
      <c r="K289" s="197"/>
      <c r="L289" s="197"/>
      <c r="M289" s="197"/>
      <c r="N289" s="197"/>
      <c r="O289" s="197"/>
      <c r="P289" s="197"/>
      <c r="Q289" s="197"/>
      <c r="R289" s="197"/>
      <c r="S289" s="197"/>
      <c r="T289" s="197"/>
      <c r="U289" s="197"/>
    </row>
    <row r="290" customFormat="false" ht="12" hidden="false" customHeight="false" outlineLevel="0" collapsed="false">
      <c r="B290" s="197"/>
      <c r="C290" s="197"/>
      <c r="D290" s="197"/>
      <c r="E290" s="197"/>
      <c r="F290" s="197"/>
      <c r="G290" s="197"/>
      <c r="H290" s="197"/>
      <c r="I290" s="197"/>
      <c r="J290" s="197"/>
      <c r="K290" s="197"/>
      <c r="L290" s="197"/>
      <c r="M290" s="197"/>
      <c r="N290" s="197"/>
      <c r="O290" s="197"/>
      <c r="P290" s="197"/>
      <c r="Q290" s="197"/>
      <c r="R290" s="197"/>
      <c r="S290" s="197"/>
      <c r="T290" s="197"/>
      <c r="U290" s="197"/>
    </row>
    <row r="291" customFormat="false" ht="12" hidden="false" customHeight="false" outlineLevel="0" collapsed="false">
      <c r="B291" s="197"/>
      <c r="C291" s="197"/>
      <c r="D291" s="197"/>
      <c r="E291" s="197"/>
      <c r="F291" s="197"/>
      <c r="G291" s="197"/>
      <c r="H291" s="197"/>
      <c r="I291" s="197"/>
      <c r="J291" s="197"/>
      <c r="K291" s="197"/>
      <c r="L291" s="197"/>
      <c r="M291" s="197"/>
      <c r="N291" s="197"/>
      <c r="O291" s="197"/>
      <c r="P291" s="197"/>
      <c r="Q291" s="197"/>
      <c r="R291" s="197"/>
      <c r="S291" s="197"/>
      <c r="T291" s="197"/>
      <c r="U291" s="197"/>
    </row>
    <row r="292" customFormat="false" ht="12" hidden="false" customHeight="false" outlineLevel="0" collapsed="false">
      <c r="B292" s="197"/>
      <c r="C292" s="197"/>
      <c r="D292" s="197"/>
      <c r="E292" s="197"/>
      <c r="F292" s="197"/>
      <c r="G292" s="197"/>
      <c r="H292" s="197"/>
      <c r="I292" s="197"/>
      <c r="J292" s="197"/>
      <c r="K292" s="197"/>
      <c r="L292" s="197"/>
      <c r="M292" s="197"/>
      <c r="N292" s="197"/>
      <c r="O292" s="197"/>
      <c r="P292" s="197"/>
      <c r="Q292" s="197"/>
      <c r="R292" s="197"/>
      <c r="S292" s="197"/>
      <c r="T292" s="197"/>
      <c r="U292" s="197"/>
    </row>
    <row r="293" customFormat="false" ht="12" hidden="false" customHeight="false" outlineLevel="0" collapsed="false">
      <c r="B293" s="197"/>
      <c r="C293" s="197"/>
      <c r="D293" s="197"/>
      <c r="E293" s="197"/>
      <c r="F293" s="197"/>
      <c r="G293" s="197"/>
      <c r="H293" s="197"/>
      <c r="I293" s="197"/>
      <c r="J293" s="197"/>
      <c r="K293" s="197"/>
      <c r="L293" s="197"/>
      <c r="M293" s="197"/>
      <c r="N293" s="197"/>
      <c r="O293" s="197"/>
      <c r="P293" s="197"/>
      <c r="Q293" s="197"/>
      <c r="R293" s="197"/>
      <c r="S293" s="197"/>
      <c r="T293" s="197"/>
      <c r="U293" s="197"/>
    </row>
    <row r="294" customFormat="false" ht="12" hidden="false" customHeight="false" outlineLevel="0" collapsed="false">
      <c r="B294" s="197"/>
      <c r="C294" s="197"/>
      <c r="D294" s="197"/>
      <c r="E294" s="197"/>
      <c r="F294" s="197"/>
      <c r="G294" s="197"/>
      <c r="H294" s="197"/>
      <c r="I294" s="197"/>
      <c r="J294" s="197"/>
      <c r="K294" s="197"/>
      <c r="L294" s="197"/>
      <c r="M294" s="197"/>
      <c r="N294" s="197"/>
      <c r="O294" s="197"/>
      <c r="P294" s="197"/>
      <c r="Q294" s="197"/>
      <c r="R294" s="197"/>
      <c r="S294" s="197"/>
      <c r="T294" s="197"/>
      <c r="U294" s="197"/>
    </row>
    <row r="295" customFormat="false" ht="12" hidden="false" customHeight="false" outlineLevel="0" collapsed="false">
      <c r="B295" s="197"/>
      <c r="C295" s="197"/>
      <c r="D295" s="197"/>
      <c r="E295" s="197"/>
      <c r="F295" s="197"/>
      <c r="G295" s="197"/>
      <c r="H295" s="197"/>
      <c r="I295" s="197"/>
      <c r="J295" s="197"/>
      <c r="K295" s="197"/>
      <c r="L295" s="197"/>
      <c r="M295" s="197"/>
      <c r="N295" s="197"/>
      <c r="O295" s="197"/>
      <c r="P295" s="197"/>
      <c r="Q295" s="197"/>
      <c r="R295" s="197"/>
      <c r="S295" s="197"/>
      <c r="T295" s="197"/>
      <c r="U295" s="197"/>
    </row>
    <row r="296" customFormat="false" ht="12" hidden="false" customHeight="false" outlineLevel="0" collapsed="false">
      <c r="B296" s="197"/>
      <c r="C296" s="197"/>
      <c r="D296" s="197"/>
      <c r="E296" s="197"/>
      <c r="F296" s="197"/>
      <c r="G296" s="197"/>
      <c r="H296" s="197"/>
      <c r="I296" s="197"/>
      <c r="J296" s="197"/>
      <c r="K296" s="197"/>
      <c r="L296" s="197"/>
      <c r="M296" s="197"/>
      <c r="N296" s="197"/>
      <c r="O296" s="197"/>
      <c r="P296" s="197"/>
      <c r="Q296" s="197"/>
      <c r="R296" s="197"/>
      <c r="S296" s="197"/>
      <c r="T296" s="197"/>
      <c r="U296" s="197"/>
    </row>
    <row r="297" customFormat="false" ht="12" hidden="false" customHeight="false" outlineLevel="0" collapsed="false">
      <c r="B297" s="197"/>
      <c r="C297" s="197"/>
      <c r="D297" s="197"/>
      <c r="E297" s="197"/>
      <c r="F297" s="197"/>
      <c r="G297" s="197"/>
      <c r="H297" s="197"/>
      <c r="I297" s="197"/>
      <c r="J297" s="197"/>
      <c r="K297" s="197"/>
      <c r="L297" s="197"/>
      <c r="M297" s="197"/>
      <c r="N297" s="197"/>
      <c r="O297" s="197"/>
      <c r="P297" s="197"/>
      <c r="Q297" s="197"/>
      <c r="R297" s="197"/>
      <c r="S297" s="197"/>
      <c r="T297" s="197"/>
      <c r="U297" s="197"/>
    </row>
    <row r="298" customFormat="false" ht="12" hidden="false" customHeight="false" outlineLevel="0" collapsed="false">
      <c r="B298" s="197"/>
      <c r="C298" s="197"/>
      <c r="D298" s="197"/>
      <c r="E298" s="197"/>
      <c r="F298" s="197"/>
      <c r="G298" s="197"/>
      <c r="H298" s="197"/>
      <c r="I298" s="197"/>
      <c r="J298" s="197"/>
      <c r="K298" s="197"/>
      <c r="L298" s="197"/>
      <c r="M298" s="197"/>
      <c r="N298" s="197"/>
      <c r="O298" s="197"/>
      <c r="P298" s="197"/>
      <c r="Q298" s="197"/>
      <c r="R298" s="197"/>
      <c r="S298" s="197"/>
      <c r="T298" s="197"/>
      <c r="U298" s="197"/>
    </row>
    <row r="299" customFormat="false" ht="12" hidden="false" customHeight="false" outlineLevel="0" collapsed="false">
      <c r="B299" s="197"/>
      <c r="C299" s="197"/>
      <c r="D299" s="197"/>
      <c r="E299" s="197"/>
      <c r="F299" s="197"/>
      <c r="G299" s="197"/>
      <c r="H299" s="197"/>
      <c r="I299" s="197"/>
      <c r="J299" s="197"/>
      <c r="K299" s="197"/>
      <c r="L299" s="197"/>
      <c r="M299" s="197"/>
      <c r="N299" s="197"/>
      <c r="O299" s="197"/>
      <c r="P299" s="197"/>
      <c r="Q299" s="197"/>
      <c r="R299" s="197"/>
      <c r="S299" s="197"/>
      <c r="T299" s="197"/>
      <c r="U299" s="197"/>
    </row>
    <row r="300" customFormat="false" ht="12" hidden="false" customHeight="false" outlineLevel="0" collapsed="false">
      <c r="B300" s="197"/>
      <c r="C300" s="197"/>
      <c r="D300" s="197"/>
      <c r="E300" s="197"/>
      <c r="F300" s="197"/>
      <c r="G300" s="197"/>
      <c r="H300" s="197"/>
      <c r="I300" s="197"/>
      <c r="J300" s="197"/>
      <c r="K300" s="197"/>
      <c r="L300" s="197"/>
      <c r="M300" s="197"/>
      <c r="N300" s="197"/>
      <c r="O300" s="197"/>
      <c r="P300" s="197"/>
      <c r="Q300" s="197"/>
      <c r="R300" s="197"/>
      <c r="S300" s="197"/>
      <c r="T300" s="197"/>
      <c r="U300" s="197"/>
    </row>
    <row r="301" customFormat="false" ht="12" hidden="false" customHeight="false" outlineLevel="0" collapsed="false">
      <c r="B301" s="197"/>
      <c r="C301" s="197"/>
      <c r="D301" s="197"/>
      <c r="E301" s="197"/>
      <c r="F301" s="197"/>
      <c r="G301" s="197"/>
      <c r="H301" s="197"/>
      <c r="I301" s="197"/>
      <c r="J301" s="197"/>
      <c r="K301" s="197"/>
      <c r="L301" s="197"/>
      <c r="M301" s="197"/>
      <c r="N301" s="197"/>
      <c r="O301" s="197"/>
      <c r="P301" s="197"/>
      <c r="Q301" s="197"/>
      <c r="R301" s="197"/>
      <c r="S301" s="197"/>
      <c r="T301" s="197"/>
      <c r="U301" s="197"/>
    </row>
    <row r="302" customFormat="false" ht="12" hidden="false" customHeight="false" outlineLevel="0" collapsed="false">
      <c r="B302" s="197"/>
      <c r="C302" s="197"/>
      <c r="D302" s="197"/>
      <c r="E302" s="197"/>
      <c r="F302" s="197"/>
      <c r="G302" s="197"/>
      <c r="H302" s="197"/>
      <c r="I302" s="197"/>
      <c r="J302" s="197"/>
      <c r="K302" s="197"/>
      <c r="L302" s="197"/>
      <c r="M302" s="197"/>
      <c r="N302" s="197"/>
      <c r="O302" s="197"/>
      <c r="P302" s="197"/>
      <c r="Q302" s="197"/>
      <c r="R302" s="197"/>
      <c r="S302" s="197"/>
      <c r="T302" s="197"/>
      <c r="U302" s="197"/>
    </row>
    <row r="303" customFormat="false" ht="12" hidden="false" customHeight="false" outlineLevel="0" collapsed="false">
      <c r="B303" s="197"/>
      <c r="C303" s="197"/>
      <c r="D303" s="197"/>
      <c r="E303" s="197"/>
      <c r="F303" s="197"/>
      <c r="G303" s="197"/>
      <c r="H303" s="197"/>
      <c r="I303" s="197"/>
      <c r="J303" s="197"/>
      <c r="K303" s="197"/>
      <c r="L303" s="197"/>
      <c r="M303" s="197"/>
      <c r="N303" s="197"/>
      <c r="O303" s="197"/>
      <c r="P303" s="197"/>
      <c r="Q303" s="197"/>
      <c r="R303" s="197"/>
      <c r="S303" s="197"/>
      <c r="T303" s="197"/>
      <c r="U303" s="197"/>
    </row>
    <row r="304" customFormat="false" ht="12" hidden="false" customHeight="false" outlineLevel="0" collapsed="false">
      <c r="B304" s="197"/>
      <c r="C304" s="197"/>
      <c r="D304" s="197"/>
      <c r="E304" s="197"/>
      <c r="F304" s="197"/>
      <c r="G304" s="197"/>
      <c r="H304" s="197"/>
      <c r="I304" s="197"/>
      <c r="J304" s="197"/>
      <c r="K304" s="197"/>
      <c r="L304" s="197"/>
      <c r="M304" s="197"/>
      <c r="N304" s="197"/>
      <c r="O304" s="197"/>
      <c r="P304" s="197"/>
      <c r="Q304" s="197"/>
      <c r="R304" s="197"/>
      <c r="S304" s="197"/>
      <c r="T304" s="197"/>
      <c r="U304" s="197"/>
    </row>
    <row r="305" customFormat="false" ht="12" hidden="false" customHeight="false" outlineLevel="0" collapsed="false">
      <c r="B305" s="197"/>
      <c r="C305" s="197"/>
      <c r="D305" s="197"/>
      <c r="E305" s="197"/>
      <c r="F305" s="197"/>
      <c r="G305" s="197"/>
      <c r="H305" s="197"/>
      <c r="I305" s="197"/>
      <c r="J305" s="197"/>
      <c r="K305" s="197"/>
      <c r="L305" s="197"/>
      <c r="M305" s="197"/>
      <c r="N305" s="197"/>
      <c r="O305" s="197"/>
      <c r="P305" s="197"/>
      <c r="Q305" s="197"/>
      <c r="R305" s="197"/>
      <c r="S305" s="197"/>
      <c r="T305" s="197"/>
      <c r="U305" s="197"/>
    </row>
    <row r="306" customFormat="false" ht="12" hidden="false" customHeight="false" outlineLevel="0" collapsed="false">
      <c r="B306" s="197"/>
      <c r="C306" s="197"/>
      <c r="D306" s="197"/>
      <c r="E306" s="197"/>
      <c r="F306" s="197"/>
      <c r="G306" s="197"/>
      <c r="H306" s="197"/>
      <c r="I306" s="197"/>
      <c r="J306" s="197"/>
      <c r="K306" s="197"/>
      <c r="L306" s="197"/>
      <c r="M306" s="197"/>
      <c r="N306" s="197"/>
      <c r="O306" s="197"/>
      <c r="P306" s="197"/>
      <c r="Q306" s="197"/>
      <c r="R306" s="197"/>
      <c r="S306" s="197"/>
      <c r="T306" s="197"/>
      <c r="U306" s="197"/>
    </row>
    <row r="307" customFormat="false" ht="12" hidden="false" customHeight="false" outlineLevel="0" collapsed="false">
      <c r="B307" s="197"/>
      <c r="C307" s="197"/>
      <c r="D307" s="197"/>
      <c r="E307" s="197"/>
      <c r="F307" s="197"/>
      <c r="G307" s="197"/>
      <c r="H307" s="197"/>
      <c r="I307" s="197"/>
      <c r="J307" s="197"/>
      <c r="K307" s="197"/>
      <c r="L307" s="197"/>
      <c r="M307" s="197"/>
      <c r="N307" s="197"/>
      <c r="O307" s="197"/>
      <c r="P307" s="197"/>
      <c r="Q307" s="197"/>
      <c r="R307" s="197"/>
      <c r="S307" s="197"/>
      <c r="T307" s="197"/>
      <c r="U307" s="197"/>
    </row>
    <row r="308" customFormat="false" ht="12" hidden="false" customHeight="false" outlineLevel="0" collapsed="false">
      <c r="B308" s="197"/>
      <c r="C308" s="197"/>
      <c r="D308" s="197"/>
      <c r="E308" s="197"/>
      <c r="F308" s="197"/>
      <c r="G308" s="197"/>
      <c r="H308" s="197"/>
      <c r="I308" s="197"/>
      <c r="J308" s="197"/>
      <c r="K308" s="197"/>
      <c r="L308" s="197"/>
      <c r="M308" s="197"/>
      <c r="N308" s="197"/>
      <c r="O308" s="197"/>
      <c r="P308" s="197"/>
      <c r="Q308" s="197"/>
      <c r="R308" s="197"/>
      <c r="S308" s="197"/>
      <c r="T308" s="197"/>
      <c r="U308" s="197"/>
    </row>
    <row r="309" customFormat="false" ht="12" hidden="false" customHeight="false" outlineLevel="0" collapsed="false">
      <c r="B309" s="197"/>
      <c r="C309" s="197"/>
      <c r="D309" s="197"/>
      <c r="E309" s="197"/>
      <c r="F309" s="197"/>
      <c r="G309" s="197"/>
      <c r="H309" s="197"/>
      <c r="I309" s="197"/>
      <c r="J309" s="197"/>
      <c r="K309" s="197"/>
      <c r="L309" s="197"/>
      <c r="M309" s="197"/>
      <c r="N309" s="197"/>
      <c r="O309" s="197"/>
      <c r="P309" s="197"/>
      <c r="Q309" s="197"/>
      <c r="R309" s="197"/>
      <c r="S309" s="197"/>
      <c r="T309" s="197"/>
      <c r="U309" s="197"/>
    </row>
    <row r="310" customFormat="false" ht="12" hidden="false" customHeight="false" outlineLevel="0" collapsed="false">
      <c r="B310" s="197"/>
      <c r="C310" s="197"/>
      <c r="D310" s="197"/>
      <c r="E310" s="197"/>
      <c r="F310" s="197"/>
      <c r="G310" s="197"/>
      <c r="H310" s="197"/>
      <c r="I310" s="197"/>
      <c r="J310" s="197"/>
      <c r="K310" s="197"/>
      <c r="L310" s="197"/>
      <c r="M310" s="197"/>
      <c r="N310" s="197"/>
      <c r="O310" s="197"/>
      <c r="P310" s="197"/>
      <c r="Q310" s="197"/>
      <c r="R310" s="197"/>
      <c r="S310" s="197"/>
      <c r="T310" s="197"/>
      <c r="U310" s="197"/>
    </row>
    <row r="311" customFormat="false" ht="12" hidden="false" customHeight="false" outlineLevel="0" collapsed="false">
      <c r="B311" s="197"/>
      <c r="C311" s="197"/>
      <c r="D311" s="197"/>
      <c r="E311" s="197"/>
      <c r="F311" s="197"/>
      <c r="G311" s="197"/>
      <c r="H311" s="197"/>
      <c r="I311" s="197"/>
      <c r="J311" s="197"/>
      <c r="K311" s="197"/>
      <c r="L311" s="197"/>
      <c r="M311" s="197"/>
      <c r="N311" s="197"/>
      <c r="O311" s="197"/>
      <c r="P311" s="197"/>
      <c r="Q311" s="197"/>
      <c r="R311" s="197"/>
      <c r="S311" s="197"/>
      <c r="T311" s="197"/>
      <c r="U311" s="197"/>
    </row>
    <row r="312" customFormat="false" ht="12" hidden="false" customHeight="false" outlineLevel="0" collapsed="false">
      <c r="B312" s="197"/>
      <c r="C312" s="197"/>
      <c r="D312" s="197"/>
      <c r="E312" s="197"/>
      <c r="F312" s="197"/>
      <c r="G312" s="197"/>
      <c r="H312" s="197"/>
      <c r="I312" s="197"/>
      <c r="J312" s="197"/>
      <c r="K312" s="197"/>
      <c r="L312" s="197"/>
      <c r="M312" s="197"/>
      <c r="N312" s="197"/>
      <c r="O312" s="197"/>
      <c r="P312" s="197"/>
      <c r="Q312" s="197"/>
      <c r="R312" s="197"/>
      <c r="S312" s="197"/>
      <c r="T312" s="197"/>
      <c r="U312" s="197"/>
    </row>
    <row r="313" customFormat="false" ht="12" hidden="false" customHeight="false" outlineLevel="0" collapsed="false">
      <c r="B313" s="197"/>
      <c r="C313" s="197"/>
      <c r="D313" s="197"/>
      <c r="E313" s="197"/>
      <c r="F313" s="197"/>
      <c r="G313" s="197"/>
      <c r="H313" s="197"/>
      <c r="I313" s="197"/>
      <c r="J313" s="197"/>
      <c r="K313" s="197"/>
      <c r="L313" s="197"/>
      <c r="M313" s="197"/>
      <c r="N313" s="197"/>
      <c r="O313" s="197"/>
      <c r="P313" s="197"/>
      <c r="Q313" s="197"/>
      <c r="R313" s="197"/>
      <c r="S313" s="197"/>
      <c r="T313" s="197"/>
      <c r="U313" s="197"/>
    </row>
    <row r="314" customFormat="false" ht="12" hidden="false" customHeight="false" outlineLevel="0" collapsed="false">
      <c r="B314" s="197"/>
      <c r="C314" s="197"/>
      <c r="D314" s="197"/>
      <c r="E314" s="197"/>
      <c r="F314" s="197"/>
      <c r="G314" s="197"/>
      <c r="H314" s="197"/>
      <c r="I314" s="197"/>
      <c r="J314" s="197"/>
      <c r="K314" s="197"/>
      <c r="L314" s="197"/>
      <c r="M314" s="197"/>
      <c r="N314" s="197"/>
      <c r="O314" s="197"/>
      <c r="P314" s="197"/>
      <c r="Q314" s="197"/>
      <c r="R314" s="197"/>
      <c r="S314" s="197"/>
      <c r="T314" s="197"/>
      <c r="U314" s="197"/>
    </row>
    <row r="315" customFormat="false" ht="12" hidden="false" customHeight="false" outlineLevel="0" collapsed="false">
      <c r="B315" s="197"/>
      <c r="C315" s="197"/>
      <c r="D315" s="197"/>
      <c r="E315" s="197"/>
      <c r="F315" s="197"/>
      <c r="G315" s="197"/>
      <c r="H315" s="197"/>
      <c r="I315" s="197"/>
      <c r="J315" s="197"/>
      <c r="K315" s="197"/>
      <c r="L315" s="197"/>
      <c r="M315" s="197"/>
      <c r="N315" s="197"/>
      <c r="O315" s="197"/>
      <c r="P315" s="197"/>
      <c r="Q315" s="197"/>
      <c r="R315" s="197"/>
      <c r="S315" s="197"/>
      <c r="T315" s="197"/>
      <c r="U315" s="197"/>
    </row>
    <row r="316" customFormat="false" ht="12" hidden="false" customHeight="false" outlineLevel="0" collapsed="false">
      <c r="B316" s="197"/>
      <c r="C316" s="197"/>
      <c r="D316" s="197"/>
      <c r="E316" s="197"/>
      <c r="F316" s="197"/>
      <c r="G316" s="197"/>
      <c r="H316" s="197"/>
      <c r="I316" s="197"/>
      <c r="J316" s="197"/>
      <c r="K316" s="197"/>
      <c r="L316" s="197"/>
      <c r="M316" s="197"/>
      <c r="N316" s="197"/>
      <c r="O316" s="197"/>
      <c r="P316" s="197"/>
      <c r="Q316" s="197"/>
      <c r="R316" s="197"/>
      <c r="S316" s="197"/>
      <c r="T316" s="197"/>
      <c r="U316" s="197"/>
    </row>
    <row r="317" customFormat="false" ht="12" hidden="false" customHeight="false" outlineLevel="0" collapsed="false">
      <c r="B317" s="197"/>
      <c r="C317" s="197"/>
      <c r="D317" s="197"/>
      <c r="E317" s="197"/>
      <c r="F317" s="197"/>
      <c r="G317" s="197"/>
      <c r="H317" s="197"/>
      <c r="I317" s="197"/>
      <c r="J317" s="197"/>
      <c r="K317" s="197"/>
      <c r="L317" s="197"/>
      <c r="M317" s="197"/>
      <c r="N317" s="197"/>
      <c r="O317" s="197"/>
      <c r="P317" s="197"/>
      <c r="Q317" s="197"/>
      <c r="R317" s="197"/>
      <c r="S317" s="197"/>
      <c r="T317" s="197"/>
      <c r="U317" s="197"/>
    </row>
    <row r="318" customFormat="false" ht="12" hidden="false" customHeight="false" outlineLevel="0" collapsed="false">
      <c r="B318" s="197"/>
      <c r="C318" s="197"/>
      <c r="D318" s="197"/>
      <c r="E318" s="197"/>
      <c r="F318" s="197"/>
      <c r="G318" s="197"/>
      <c r="H318" s="197"/>
      <c r="I318" s="197"/>
      <c r="J318" s="197"/>
      <c r="K318" s="197"/>
      <c r="L318" s="197"/>
      <c r="M318" s="197"/>
      <c r="N318" s="197"/>
      <c r="O318" s="197"/>
      <c r="P318" s="197"/>
      <c r="Q318" s="197"/>
      <c r="R318" s="197"/>
      <c r="S318" s="197"/>
      <c r="T318" s="197"/>
      <c r="U318" s="197"/>
    </row>
    <row r="319" customFormat="false" ht="12" hidden="false" customHeight="false" outlineLevel="0" collapsed="false">
      <c r="B319" s="197"/>
      <c r="C319" s="197"/>
      <c r="D319" s="197"/>
      <c r="E319" s="197"/>
      <c r="F319" s="197"/>
      <c r="G319" s="197"/>
      <c r="H319" s="197"/>
      <c r="I319" s="197"/>
      <c r="J319" s="197"/>
      <c r="K319" s="197"/>
      <c r="L319" s="197"/>
      <c r="M319" s="197"/>
      <c r="N319" s="197"/>
      <c r="O319" s="197"/>
      <c r="P319" s="197"/>
      <c r="Q319" s="197"/>
      <c r="R319" s="197"/>
      <c r="S319" s="197"/>
      <c r="T319" s="197"/>
      <c r="U319" s="197"/>
    </row>
    <row r="320" customFormat="false" ht="12" hidden="false" customHeight="false" outlineLevel="0" collapsed="false">
      <c r="B320" s="197"/>
      <c r="C320" s="197"/>
      <c r="D320" s="197"/>
      <c r="E320" s="197"/>
      <c r="F320" s="197"/>
      <c r="G320" s="197"/>
      <c r="H320" s="197"/>
      <c r="I320" s="197"/>
      <c r="J320" s="197"/>
      <c r="K320" s="197"/>
      <c r="L320" s="197"/>
      <c r="M320" s="197"/>
      <c r="N320" s="197"/>
      <c r="O320" s="197"/>
      <c r="P320" s="197"/>
      <c r="Q320" s="197"/>
      <c r="R320" s="197"/>
      <c r="S320" s="197"/>
      <c r="T320" s="197"/>
      <c r="U320" s="197"/>
    </row>
    <row r="321" customFormat="false" ht="12" hidden="false" customHeight="false" outlineLevel="0" collapsed="false">
      <c r="B321" s="197"/>
      <c r="C321" s="197"/>
      <c r="D321" s="197"/>
      <c r="E321" s="197"/>
      <c r="F321" s="197"/>
      <c r="G321" s="197"/>
      <c r="H321" s="197"/>
      <c r="I321" s="197"/>
      <c r="J321" s="197"/>
      <c r="K321" s="197"/>
      <c r="L321" s="197"/>
      <c r="M321" s="197"/>
      <c r="N321" s="197"/>
      <c r="O321" s="197"/>
      <c r="P321" s="197"/>
      <c r="Q321" s="197"/>
      <c r="R321" s="197"/>
      <c r="S321" s="197"/>
      <c r="T321" s="197"/>
      <c r="U321" s="197"/>
    </row>
    <row r="322" customFormat="false" ht="12" hidden="false" customHeight="false" outlineLevel="0" collapsed="false">
      <c r="B322" s="197"/>
      <c r="C322" s="197"/>
      <c r="D322" s="197"/>
      <c r="E322" s="197"/>
      <c r="F322" s="197"/>
      <c r="G322" s="197"/>
      <c r="H322" s="197"/>
      <c r="I322" s="197"/>
      <c r="J322" s="197"/>
      <c r="K322" s="197"/>
      <c r="L322" s="197"/>
      <c r="M322" s="197"/>
      <c r="N322" s="197"/>
      <c r="O322" s="197"/>
      <c r="P322" s="197"/>
      <c r="Q322" s="197"/>
      <c r="R322" s="197"/>
      <c r="S322" s="197"/>
      <c r="T322" s="197"/>
      <c r="U322" s="197"/>
    </row>
    <row r="323" customFormat="false" ht="12" hidden="false" customHeight="false" outlineLevel="0" collapsed="false">
      <c r="B323" s="197"/>
      <c r="C323" s="197"/>
      <c r="D323" s="197"/>
      <c r="E323" s="197"/>
      <c r="F323" s="197"/>
      <c r="G323" s="197"/>
      <c r="H323" s="197"/>
      <c r="I323" s="197"/>
      <c r="J323" s="197"/>
      <c r="K323" s="197"/>
      <c r="L323" s="197"/>
      <c r="M323" s="197"/>
      <c r="N323" s="197"/>
      <c r="O323" s="197"/>
      <c r="P323" s="197"/>
      <c r="Q323" s="197"/>
      <c r="R323" s="197"/>
      <c r="S323" s="197"/>
      <c r="T323" s="197"/>
      <c r="U323" s="197"/>
    </row>
    <row r="324" customFormat="false" ht="12" hidden="false" customHeight="false" outlineLevel="0" collapsed="false">
      <c r="B324" s="197"/>
      <c r="C324" s="197"/>
      <c r="D324" s="197"/>
      <c r="E324" s="197"/>
      <c r="F324" s="197"/>
      <c r="G324" s="197"/>
      <c r="H324" s="197"/>
      <c r="I324" s="197"/>
      <c r="J324" s="197"/>
      <c r="K324" s="197"/>
      <c r="L324" s="197"/>
      <c r="M324" s="197"/>
      <c r="N324" s="197"/>
      <c r="O324" s="197"/>
      <c r="P324" s="197"/>
      <c r="Q324" s="197"/>
      <c r="R324" s="197"/>
      <c r="S324" s="197"/>
      <c r="T324" s="197"/>
      <c r="U324" s="197"/>
    </row>
    <row r="325" customFormat="false" ht="12" hidden="false" customHeight="false" outlineLevel="0" collapsed="false">
      <c r="B325" s="197"/>
      <c r="C325" s="197"/>
      <c r="D325" s="197"/>
      <c r="E325" s="197"/>
      <c r="F325" s="197"/>
      <c r="G325" s="197"/>
      <c r="H325" s="197"/>
      <c r="I325" s="197"/>
      <c r="J325" s="197"/>
      <c r="K325" s="197"/>
      <c r="L325" s="197"/>
      <c r="M325" s="197"/>
      <c r="N325" s="197"/>
      <c r="O325" s="197"/>
      <c r="P325" s="197"/>
      <c r="Q325" s="197"/>
      <c r="R325" s="197"/>
      <c r="S325" s="197"/>
      <c r="T325" s="197"/>
      <c r="U325" s="197"/>
    </row>
    <row r="326" customFormat="false" ht="12" hidden="false" customHeight="false" outlineLevel="0" collapsed="false">
      <c r="B326" s="197"/>
      <c r="C326" s="197"/>
      <c r="D326" s="197"/>
      <c r="E326" s="197"/>
      <c r="F326" s="197"/>
      <c r="G326" s="197"/>
      <c r="H326" s="197"/>
      <c r="I326" s="197"/>
      <c r="J326" s="197"/>
      <c r="K326" s="197"/>
      <c r="L326" s="197"/>
      <c r="M326" s="197"/>
      <c r="N326" s="197"/>
      <c r="O326" s="197"/>
      <c r="P326" s="197"/>
      <c r="Q326" s="197"/>
      <c r="R326" s="197"/>
      <c r="S326" s="197"/>
      <c r="T326" s="197"/>
      <c r="U326" s="197"/>
    </row>
    <row r="327" customFormat="false" ht="12" hidden="false" customHeight="false" outlineLevel="0" collapsed="false">
      <c r="B327" s="197"/>
      <c r="C327" s="197"/>
      <c r="D327" s="197"/>
      <c r="E327" s="197"/>
      <c r="F327" s="197"/>
      <c r="G327" s="197"/>
      <c r="H327" s="197"/>
      <c r="I327" s="197"/>
      <c r="J327" s="197"/>
      <c r="K327" s="197"/>
      <c r="L327" s="197"/>
      <c r="M327" s="197"/>
      <c r="N327" s="197"/>
      <c r="O327" s="197"/>
      <c r="P327" s="197"/>
      <c r="Q327" s="197"/>
      <c r="R327" s="197"/>
      <c r="S327" s="197"/>
      <c r="T327" s="197"/>
      <c r="U327" s="197"/>
    </row>
    <row r="328" customFormat="false" ht="12" hidden="false" customHeight="false" outlineLevel="0" collapsed="false">
      <c r="B328" s="197"/>
      <c r="C328" s="197"/>
      <c r="D328" s="197"/>
      <c r="E328" s="197"/>
      <c r="F328" s="197"/>
      <c r="G328" s="197"/>
      <c r="H328" s="197"/>
      <c r="I328" s="197"/>
      <c r="J328" s="197"/>
      <c r="K328" s="197"/>
      <c r="L328" s="197"/>
      <c r="M328" s="197"/>
      <c r="N328" s="197"/>
      <c r="O328" s="197"/>
      <c r="P328" s="197"/>
      <c r="Q328" s="197"/>
      <c r="R328" s="197"/>
      <c r="S328" s="197"/>
      <c r="T328" s="197"/>
      <c r="U328" s="197"/>
    </row>
    <row r="329" customFormat="false" ht="12" hidden="false" customHeight="false" outlineLevel="0" collapsed="false">
      <c r="B329" s="197"/>
      <c r="C329" s="197"/>
      <c r="D329" s="197"/>
      <c r="E329" s="197"/>
      <c r="F329" s="197"/>
      <c r="G329" s="197"/>
      <c r="H329" s="197"/>
      <c r="I329" s="197"/>
      <c r="J329" s="197"/>
      <c r="K329" s="197"/>
      <c r="L329" s="197"/>
      <c r="M329" s="197"/>
      <c r="N329" s="197"/>
      <c r="O329" s="197"/>
      <c r="P329" s="197"/>
      <c r="Q329" s="197"/>
      <c r="R329" s="197"/>
      <c r="S329" s="197"/>
      <c r="T329" s="197"/>
      <c r="U329" s="197"/>
    </row>
    <row r="330" customFormat="false" ht="12" hidden="false" customHeight="false" outlineLevel="0" collapsed="false">
      <c r="B330" s="197"/>
      <c r="C330" s="197"/>
      <c r="D330" s="197"/>
      <c r="E330" s="197"/>
      <c r="F330" s="197"/>
      <c r="G330" s="197"/>
      <c r="H330" s="197"/>
      <c r="I330" s="197"/>
      <c r="J330" s="197"/>
      <c r="K330" s="197"/>
      <c r="L330" s="197"/>
      <c r="M330" s="197"/>
      <c r="N330" s="197"/>
      <c r="O330" s="197"/>
      <c r="P330" s="197"/>
      <c r="Q330" s="197"/>
      <c r="R330" s="197"/>
      <c r="S330" s="197"/>
      <c r="T330" s="197"/>
      <c r="U330" s="197"/>
    </row>
    <row r="331" customFormat="false" ht="12" hidden="false" customHeight="false" outlineLevel="0" collapsed="false">
      <c r="B331" s="197"/>
      <c r="C331" s="197"/>
      <c r="D331" s="197"/>
      <c r="E331" s="197"/>
      <c r="F331" s="197"/>
      <c r="G331" s="197"/>
      <c r="H331" s="197"/>
      <c r="I331" s="197"/>
      <c r="J331" s="197"/>
      <c r="K331" s="197"/>
      <c r="L331" s="197"/>
      <c r="M331" s="197"/>
      <c r="N331" s="197"/>
      <c r="O331" s="197"/>
      <c r="P331" s="197"/>
      <c r="Q331" s="197"/>
      <c r="R331" s="197"/>
      <c r="S331" s="197"/>
      <c r="T331" s="197"/>
      <c r="U331" s="197"/>
    </row>
    <row r="332" customFormat="false" ht="12" hidden="false" customHeight="false" outlineLevel="0" collapsed="false">
      <c r="B332" s="197"/>
      <c r="C332" s="197"/>
      <c r="D332" s="197"/>
      <c r="E332" s="197"/>
      <c r="F332" s="197"/>
      <c r="G332" s="197"/>
      <c r="H332" s="197"/>
      <c r="I332" s="197"/>
      <c r="J332" s="197"/>
      <c r="K332" s="197"/>
      <c r="L332" s="197"/>
      <c r="M332" s="197"/>
      <c r="N332" s="197"/>
      <c r="O332" s="197"/>
      <c r="P332" s="197"/>
      <c r="Q332" s="197"/>
      <c r="R332" s="197"/>
      <c r="S332" s="197"/>
      <c r="T332" s="197"/>
      <c r="U332" s="197"/>
    </row>
    <row r="333" customFormat="false" ht="12" hidden="false" customHeight="false" outlineLevel="0" collapsed="false">
      <c r="B333" s="197"/>
      <c r="C333" s="197"/>
      <c r="D333" s="197"/>
      <c r="E333" s="197"/>
      <c r="F333" s="197"/>
      <c r="G333" s="197"/>
      <c r="H333" s="197"/>
      <c r="I333" s="197"/>
      <c r="J333" s="197"/>
      <c r="K333" s="197"/>
      <c r="L333" s="197"/>
      <c r="M333" s="197"/>
      <c r="N333" s="197"/>
      <c r="O333" s="197"/>
      <c r="P333" s="197"/>
      <c r="Q333" s="197"/>
      <c r="R333" s="197"/>
      <c r="S333" s="197"/>
      <c r="T333" s="197"/>
      <c r="U333" s="197"/>
    </row>
    <row r="334" customFormat="false" ht="12" hidden="false" customHeight="false" outlineLevel="0" collapsed="false">
      <c r="B334" s="197"/>
      <c r="C334" s="197"/>
      <c r="D334" s="197"/>
      <c r="E334" s="197"/>
      <c r="F334" s="197"/>
      <c r="G334" s="197"/>
      <c r="H334" s="197"/>
      <c r="I334" s="197"/>
      <c r="J334" s="197"/>
      <c r="K334" s="197"/>
      <c r="L334" s="197"/>
      <c r="M334" s="197"/>
      <c r="N334" s="197"/>
      <c r="O334" s="197"/>
      <c r="P334" s="197"/>
      <c r="Q334" s="197"/>
      <c r="R334" s="197"/>
      <c r="S334" s="197"/>
      <c r="T334" s="197"/>
      <c r="U334" s="197"/>
    </row>
    <row r="335" customFormat="false" ht="12" hidden="false" customHeight="false" outlineLevel="0" collapsed="false">
      <c r="B335" s="197"/>
      <c r="C335" s="197"/>
      <c r="D335" s="197"/>
      <c r="E335" s="197"/>
      <c r="F335" s="197"/>
      <c r="G335" s="197"/>
      <c r="H335" s="197"/>
      <c r="I335" s="197"/>
      <c r="J335" s="197"/>
      <c r="K335" s="197"/>
      <c r="L335" s="197"/>
      <c r="M335" s="197"/>
      <c r="N335" s="197"/>
      <c r="O335" s="197"/>
      <c r="P335" s="197"/>
      <c r="Q335" s="197"/>
      <c r="R335" s="197"/>
      <c r="S335" s="197"/>
      <c r="T335" s="197"/>
      <c r="U335" s="197"/>
    </row>
    <row r="336" customFormat="false" ht="12" hidden="false" customHeight="false" outlineLevel="0" collapsed="false">
      <c r="B336" s="197"/>
      <c r="C336" s="197"/>
      <c r="D336" s="197"/>
      <c r="E336" s="197"/>
      <c r="F336" s="197"/>
      <c r="G336" s="197"/>
      <c r="H336" s="197"/>
      <c r="I336" s="197"/>
      <c r="J336" s="197"/>
      <c r="K336" s="197"/>
      <c r="L336" s="197"/>
      <c r="M336" s="197"/>
      <c r="N336" s="197"/>
      <c r="O336" s="197"/>
      <c r="P336" s="197"/>
      <c r="Q336" s="197"/>
      <c r="R336" s="197"/>
      <c r="S336" s="197"/>
      <c r="T336" s="197"/>
      <c r="U336" s="197"/>
    </row>
    <row r="337" customFormat="false" ht="12" hidden="false" customHeight="false" outlineLevel="0" collapsed="false">
      <c r="B337" s="197"/>
      <c r="C337" s="197"/>
      <c r="D337" s="197"/>
      <c r="E337" s="197"/>
      <c r="F337" s="197"/>
      <c r="G337" s="197"/>
      <c r="H337" s="197"/>
      <c r="I337" s="197"/>
      <c r="J337" s="197"/>
      <c r="K337" s="197"/>
      <c r="L337" s="197"/>
      <c r="M337" s="197"/>
      <c r="N337" s="197"/>
      <c r="O337" s="197"/>
      <c r="P337" s="197"/>
      <c r="Q337" s="197"/>
      <c r="R337" s="197"/>
      <c r="S337" s="197"/>
      <c r="T337" s="197"/>
      <c r="U337" s="197"/>
    </row>
    <row r="338" customFormat="false" ht="12" hidden="false" customHeight="false" outlineLevel="0" collapsed="false">
      <c r="B338" s="197"/>
      <c r="C338" s="197"/>
      <c r="D338" s="197"/>
      <c r="E338" s="197"/>
      <c r="F338" s="197"/>
      <c r="G338" s="197"/>
      <c r="H338" s="197"/>
      <c r="I338" s="197"/>
      <c r="J338" s="197"/>
      <c r="K338" s="197"/>
      <c r="L338" s="197"/>
      <c r="M338" s="197"/>
      <c r="N338" s="197"/>
      <c r="O338" s="197"/>
      <c r="P338" s="197"/>
      <c r="Q338" s="197"/>
      <c r="R338" s="197"/>
      <c r="S338" s="197"/>
      <c r="T338" s="197"/>
      <c r="U338" s="197"/>
    </row>
    <row r="339" customFormat="false" ht="12" hidden="false" customHeight="false" outlineLevel="0" collapsed="false">
      <c r="B339" s="197"/>
      <c r="C339" s="197"/>
      <c r="D339" s="197"/>
      <c r="E339" s="197"/>
      <c r="F339" s="197"/>
      <c r="G339" s="197"/>
      <c r="H339" s="197"/>
      <c r="I339" s="197"/>
      <c r="J339" s="197"/>
      <c r="K339" s="197"/>
      <c r="L339" s="197"/>
      <c r="M339" s="197"/>
      <c r="N339" s="197"/>
      <c r="O339" s="197"/>
      <c r="P339" s="197"/>
      <c r="Q339" s="197"/>
      <c r="R339" s="197"/>
      <c r="S339" s="197"/>
      <c r="T339" s="197"/>
      <c r="U339" s="197"/>
    </row>
    <row r="340" customFormat="false" ht="12" hidden="false" customHeight="false" outlineLevel="0" collapsed="false">
      <c r="B340" s="197"/>
      <c r="C340" s="197"/>
      <c r="D340" s="197"/>
      <c r="E340" s="197"/>
      <c r="F340" s="197"/>
      <c r="G340" s="197"/>
      <c r="H340" s="197"/>
      <c r="I340" s="197"/>
      <c r="J340" s="197"/>
      <c r="K340" s="197"/>
      <c r="L340" s="197"/>
      <c r="M340" s="197"/>
      <c r="N340" s="197"/>
      <c r="O340" s="197"/>
      <c r="P340" s="197"/>
      <c r="Q340" s="197"/>
      <c r="R340" s="197"/>
      <c r="S340" s="197"/>
      <c r="T340" s="197"/>
      <c r="U340" s="197"/>
    </row>
    <row r="341" customFormat="false" ht="12" hidden="false" customHeight="false" outlineLevel="0" collapsed="false">
      <c r="B341" s="197"/>
      <c r="C341" s="197"/>
      <c r="D341" s="197"/>
      <c r="E341" s="197"/>
      <c r="F341" s="197"/>
      <c r="G341" s="197"/>
      <c r="H341" s="197"/>
      <c r="I341" s="197"/>
      <c r="J341" s="197"/>
      <c r="K341" s="197"/>
      <c r="L341" s="197"/>
      <c r="M341" s="197"/>
      <c r="N341" s="197"/>
      <c r="O341" s="197"/>
      <c r="P341" s="197"/>
      <c r="Q341" s="197"/>
      <c r="R341" s="197"/>
      <c r="S341" s="197"/>
      <c r="T341" s="197"/>
      <c r="U341" s="197"/>
    </row>
    <row r="342" customFormat="false" ht="12" hidden="false" customHeight="false" outlineLevel="0" collapsed="false">
      <c r="B342" s="197"/>
      <c r="C342" s="197"/>
      <c r="D342" s="197"/>
      <c r="E342" s="197"/>
      <c r="F342" s="197"/>
      <c r="G342" s="197"/>
      <c r="H342" s="197"/>
      <c r="I342" s="197"/>
      <c r="J342" s="197"/>
      <c r="K342" s="197"/>
      <c r="L342" s="197"/>
      <c r="M342" s="197"/>
      <c r="N342" s="197"/>
      <c r="O342" s="197"/>
      <c r="P342" s="197"/>
      <c r="Q342" s="197"/>
      <c r="R342" s="197"/>
      <c r="S342" s="197"/>
      <c r="T342" s="197"/>
      <c r="U342" s="197"/>
    </row>
    <row r="343" customFormat="false" ht="12" hidden="false" customHeight="false" outlineLevel="0" collapsed="false">
      <c r="B343" s="197"/>
      <c r="C343" s="197"/>
      <c r="D343" s="197"/>
      <c r="E343" s="197"/>
      <c r="F343" s="197"/>
      <c r="G343" s="197"/>
      <c r="H343" s="197"/>
      <c r="I343" s="197"/>
      <c r="J343" s="197"/>
      <c r="K343" s="197"/>
      <c r="L343" s="197"/>
      <c r="M343" s="197"/>
      <c r="N343" s="197"/>
      <c r="O343" s="197"/>
      <c r="P343" s="197"/>
      <c r="Q343" s="197"/>
      <c r="R343" s="197"/>
      <c r="S343" s="197"/>
      <c r="T343" s="197"/>
      <c r="U343" s="197"/>
    </row>
    <row r="344" customFormat="false" ht="12" hidden="false" customHeight="false" outlineLevel="0" collapsed="false">
      <c r="B344" s="197"/>
      <c r="C344" s="197"/>
      <c r="D344" s="197"/>
      <c r="E344" s="197"/>
      <c r="F344" s="197"/>
      <c r="G344" s="197"/>
      <c r="H344" s="197"/>
      <c r="I344" s="197"/>
      <c r="J344" s="197"/>
      <c r="K344" s="197"/>
      <c r="L344" s="197"/>
      <c r="M344" s="197"/>
      <c r="N344" s="197"/>
      <c r="O344" s="197"/>
      <c r="P344" s="197"/>
      <c r="Q344" s="197"/>
      <c r="R344" s="197"/>
      <c r="S344" s="197"/>
      <c r="T344" s="197"/>
      <c r="U344" s="197"/>
    </row>
    <row r="345" customFormat="false" ht="12" hidden="false" customHeight="false" outlineLevel="0" collapsed="false">
      <c r="B345" s="197"/>
      <c r="C345" s="197"/>
      <c r="D345" s="197"/>
      <c r="E345" s="197"/>
      <c r="F345" s="197"/>
      <c r="G345" s="197"/>
      <c r="H345" s="197"/>
      <c r="I345" s="197"/>
      <c r="J345" s="197"/>
      <c r="K345" s="197"/>
      <c r="L345" s="197"/>
      <c r="M345" s="197"/>
      <c r="N345" s="197"/>
      <c r="O345" s="197"/>
      <c r="P345" s="197"/>
      <c r="Q345" s="197"/>
      <c r="R345" s="197"/>
      <c r="S345" s="197"/>
      <c r="T345" s="197"/>
      <c r="U345" s="197"/>
    </row>
    <row r="346" customFormat="false" ht="12" hidden="false" customHeight="false" outlineLevel="0" collapsed="false">
      <c r="B346" s="197"/>
      <c r="C346" s="197"/>
      <c r="D346" s="197"/>
      <c r="E346" s="197"/>
      <c r="F346" s="197"/>
      <c r="G346" s="197"/>
      <c r="H346" s="197"/>
      <c r="I346" s="197"/>
      <c r="J346" s="197"/>
      <c r="K346" s="197"/>
      <c r="L346" s="197"/>
      <c r="M346" s="197"/>
      <c r="N346" s="197"/>
      <c r="O346" s="197"/>
      <c r="P346" s="197"/>
      <c r="Q346" s="197"/>
      <c r="R346" s="197"/>
      <c r="S346" s="197"/>
      <c r="T346" s="197"/>
      <c r="U346" s="197"/>
    </row>
    <row r="347" customFormat="false" ht="12" hidden="false" customHeight="false" outlineLevel="0" collapsed="false">
      <c r="B347" s="197"/>
      <c r="C347" s="197"/>
      <c r="D347" s="197"/>
      <c r="E347" s="197"/>
      <c r="F347" s="197"/>
      <c r="G347" s="197"/>
      <c r="H347" s="197"/>
      <c r="I347" s="197"/>
      <c r="J347" s="197"/>
      <c r="K347" s="197"/>
      <c r="L347" s="197"/>
      <c r="M347" s="197"/>
      <c r="N347" s="197"/>
      <c r="O347" s="197"/>
      <c r="P347" s="197"/>
      <c r="Q347" s="197"/>
      <c r="R347" s="197"/>
      <c r="S347" s="197"/>
      <c r="T347" s="197"/>
      <c r="U347" s="197"/>
    </row>
    <row r="348" customFormat="false" ht="12" hidden="false" customHeight="false" outlineLevel="0" collapsed="false">
      <c r="B348" s="197"/>
      <c r="C348" s="197"/>
      <c r="D348" s="197"/>
      <c r="E348" s="197"/>
      <c r="F348" s="197"/>
      <c r="G348" s="197"/>
      <c r="H348" s="197"/>
      <c r="I348" s="197"/>
      <c r="J348" s="197"/>
      <c r="K348" s="197"/>
      <c r="L348" s="197"/>
      <c r="M348" s="197"/>
      <c r="N348" s="197"/>
      <c r="O348" s="197"/>
      <c r="P348" s="197"/>
      <c r="Q348" s="197"/>
      <c r="R348" s="197"/>
      <c r="S348" s="197"/>
      <c r="T348" s="197"/>
      <c r="U348" s="197"/>
    </row>
    <row r="349" customFormat="false" ht="12" hidden="false" customHeight="false" outlineLevel="0" collapsed="false">
      <c r="B349" s="197"/>
      <c r="C349" s="197"/>
      <c r="D349" s="197"/>
      <c r="E349" s="197"/>
      <c r="F349" s="197"/>
      <c r="G349" s="197"/>
      <c r="H349" s="197"/>
      <c r="I349" s="197"/>
      <c r="J349" s="197"/>
      <c r="K349" s="197"/>
      <c r="L349" s="197"/>
      <c r="M349" s="197"/>
      <c r="N349" s="197"/>
      <c r="O349" s="197"/>
      <c r="P349" s="197"/>
      <c r="Q349" s="197"/>
      <c r="R349" s="197"/>
      <c r="S349" s="197"/>
      <c r="T349" s="197"/>
      <c r="U349" s="197"/>
    </row>
    <row r="350" customFormat="false" ht="12" hidden="false" customHeight="false" outlineLevel="0" collapsed="false">
      <c r="B350" s="197"/>
      <c r="C350" s="197"/>
      <c r="D350" s="197"/>
      <c r="E350" s="197"/>
      <c r="F350" s="197"/>
      <c r="G350" s="197"/>
      <c r="H350" s="197"/>
      <c r="I350" s="197"/>
      <c r="J350" s="197"/>
      <c r="K350" s="197"/>
      <c r="L350" s="197"/>
      <c r="M350" s="197"/>
      <c r="N350" s="197"/>
      <c r="O350" s="197"/>
      <c r="P350" s="197"/>
      <c r="Q350" s="197"/>
      <c r="R350" s="197"/>
      <c r="S350" s="197"/>
      <c r="T350" s="197"/>
      <c r="U350" s="197"/>
    </row>
    <row r="351" customFormat="false" ht="12" hidden="false" customHeight="false" outlineLevel="0" collapsed="false">
      <c r="B351" s="197"/>
      <c r="C351" s="197"/>
      <c r="D351" s="197"/>
      <c r="E351" s="197"/>
      <c r="F351" s="197"/>
      <c r="G351" s="197"/>
      <c r="H351" s="197"/>
      <c r="I351" s="197"/>
      <c r="J351" s="197"/>
      <c r="K351" s="197"/>
      <c r="L351" s="197"/>
      <c r="M351" s="197"/>
      <c r="N351" s="197"/>
      <c r="O351" s="197"/>
      <c r="P351" s="197"/>
      <c r="Q351" s="197"/>
      <c r="R351" s="197"/>
      <c r="S351" s="197"/>
      <c r="T351" s="197"/>
      <c r="U351" s="197"/>
    </row>
    <row r="352" customFormat="false" ht="12" hidden="false" customHeight="false" outlineLevel="0" collapsed="false">
      <c r="B352" s="197"/>
      <c r="C352" s="197"/>
      <c r="D352" s="197"/>
      <c r="E352" s="197"/>
      <c r="F352" s="197"/>
      <c r="G352" s="197"/>
      <c r="H352" s="197"/>
      <c r="I352" s="197"/>
      <c r="J352" s="197"/>
      <c r="K352" s="197"/>
      <c r="L352" s="197"/>
      <c r="M352" s="197"/>
      <c r="N352" s="197"/>
      <c r="O352" s="197"/>
      <c r="P352" s="197"/>
      <c r="Q352" s="197"/>
      <c r="R352" s="197"/>
      <c r="S352" s="197"/>
      <c r="T352" s="197"/>
      <c r="U352" s="197"/>
    </row>
    <row r="353" customFormat="false" ht="12" hidden="false" customHeight="false" outlineLevel="0" collapsed="false">
      <c r="B353" s="197"/>
      <c r="C353" s="197"/>
      <c r="D353" s="197"/>
      <c r="E353" s="197"/>
      <c r="F353" s="197"/>
      <c r="G353" s="197"/>
      <c r="H353" s="197"/>
      <c r="I353" s="197"/>
      <c r="J353" s="197"/>
      <c r="K353" s="197"/>
      <c r="L353" s="197"/>
      <c r="M353" s="197"/>
      <c r="N353" s="197"/>
      <c r="O353" s="197"/>
      <c r="P353" s="197"/>
      <c r="Q353" s="197"/>
      <c r="R353" s="197"/>
      <c r="S353" s="197"/>
      <c r="T353" s="197"/>
      <c r="U353" s="197"/>
    </row>
    <row r="354" customFormat="false" ht="12" hidden="false" customHeight="false" outlineLevel="0" collapsed="false">
      <c r="B354" s="197"/>
      <c r="C354" s="197"/>
      <c r="D354" s="197"/>
      <c r="E354" s="197"/>
      <c r="F354" s="197"/>
      <c r="G354" s="197"/>
      <c r="H354" s="197"/>
      <c r="I354" s="197"/>
      <c r="J354" s="197"/>
      <c r="K354" s="197"/>
      <c r="L354" s="197"/>
      <c r="M354" s="197"/>
      <c r="N354" s="197"/>
      <c r="O354" s="197"/>
      <c r="P354" s="197"/>
      <c r="Q354" s="197"/>
      <c r="R354" s="197"/>
      <c r="S354" s="197"/>
      <c r="T354" s="197"/>
      <c r="U354" s="197"/>
    </row>
    <row r="355" customFormat="false" ht="12" hidden="false" customHeight="false" outlineLevel="0" collapsed="false">
      <c r="B355" s="197"/>
      <c r="C355" s="197"/>
      <c r="D355" s="197"/>
      <c r="E355" s="197"/>
      <c r="F355" s="197"/>
      <c r="G355" s="197"/>
      <c r="H355" s="197"/>
      <c r="I355" s="197"/>
      <c r="J355" s="197"/>
      <c r="K355" s="197"/>
      <c r="L355" s="197"/>
      <c r="M355" s="197"/>
      <c r="N355" s="197"/>
      <c r="O355" s="197"/>
      <c r="P355" s="197"/>
      <c r="Q355" s="197"/>
      <c r="R355" s="197"/>
      <c r="S355" s="197"/>
      <c r="T355" s="197"/>
      <c r="U355" s="197"/>
    </row>
    <row r="356" customFormat="false" ht="12" hidden="false" customHeight="false" outlineLevel="0" collapsed="false">
      <c r="B356" s="197"/>
      <c r="C356" s="197"/>
      <c r="D356" s="197"/>
      <c r="E356" s="197"/>
      <c r="F356" s="197"/>
      <c r="G356" s="197"/>
      <c r="H356" s="197"/>
      <c r="I356" s="197"/>
      <c r="J356" s="197"/>
      <c r="K356" s="197"/>
      <c r="L356" s="197"/>
      <c r="M356" s="197"/>
      <c r="N356" s="197"/>
      <c r="O356" s="197"/>
      <c r="P356" s="197"/>
      <c r="Q356" s="197"/>
      <c r="R356" s="197"/>
      <c r="S356" s="197"/>
      <c r="T356" s="197"/>
      <c r="U356" s="197"/>
    </row>
    <row r="357" customFormat="false" ht="12" hidden="false" customHeight="false" outlineLevel="0" collapsed="false">
      <c r="B357" s="197"/>
      <c r="C357" s="197"/>
      <c r="D357" s="197"/>
      <c r="E357" s="197"/>
      <c r="F357" s="197"/>
      <c r="G357" s="197"/>
      <c r="H357" s="197"/>
      <c r="I357" s="197"/>
      <c r="J357" s="197"/>
      <c r="K357" s="197"/>
      <c r="L357" s="197"/>
      <c r="M357" s="197"/>
      <c r="N357" s="197"/>
      <c r="O357" s="197"/>
      <c r="P357" s="197"/>
      <c r="Q357" s="197"/>
      <c r="R357" s="197"/>
      <c r="S357" s="197"/>
      <c r="T357" s="197"/>
      <c r="U357" s="197"/>
    </row>
    <row r="358" customFormat="false" ht="12" hidden="false" customHeight="false" outlineLevel="0" collapsed="false">
      <c r="B358" s="197"/>
      <c r="C358" s="197"/>
      <c r="D358" s="197"/>
      <c r="E358" s="197"/>
      <c r="F358" s="197"/>
      <c r="G358" s="197"/>
      <c r="H358" s="197"/>
      <c r="I358" s="197"/>
      <c r="J358" s="197"/>
      <c r="K358" s="197"/>
      <c r="L358" s="197"/>
      <c r="M358" s="197"/>
      <c r="N358" s="197"/>
      <c r="O358" s="197"/>
      <c r="P358" s="197"/>
      <c r="Q358" s="197"/>
      <c r="R358" s="197"/>
      <c r="S358" s="197"/>
      <c r="T358" s="197"/>
      <c r="U358" s="197"/>
    </row>
    <row r="359" customFormat="false" ht="12" hidden="false" customHeight="false" outlineLevel="0" collapsed="false">
      <c r="R359" s="197"/>
      <c r="S359" s="197"/>
      <c r="T359" s="197"/>
      <c r="U359" s="197"/>
    </row>
    <row r="360" customFormat="false" ht="12" hidden="false" customHeight="false" outlineLevel="0" collapsed="false">
      <c r="R360" s="197"/>
      <c r="S360" s="197"/>
      <c r="T360" s="197"/>
      <c r="U360" s="197"/>
    </row>
    <row r="361" customFormat="false" ht="12" hidden="false" customHeight="false" outlineLevel="0" collapsed="false">
      <c r="R361" s="197"/>
      <c r="S361" s="197"/>
      <c r="T361" s="197"/>
      <c r="U361" s="197"/>
    </row>
    <row r="362" customFormat="false" ht="12" hidden="false" customHeight="false" outlineLevel="0" collapsed="false">
      <c r="R362" s="197"/>
      <c r="S362" s="197"/>
      <c r="T362" s="197"/>
      <c r="U362" s="197"/>
    </row>
    <row r="363" customFormat="false" ht="12" hidden="false" customHeight="false" outlineLevel="0" collapsed="false">
      <c r="R363" s="197"/>
      <c r="S363" s="197"/>
      <c r="T363" s="197"/>
      <c r="U363" s="197"/>
    </row>
    <row r="364" customFormat="false" ht="12" hidden="false" customHeight="false" outlineLevel="0" collapsed="false">
      <c r="R364" s="197"/>
      <c r="S364" s="197"/>
      <c r="T364" s="197"/>
      <c r="U364" s="197"/>
    </row>
    <row r="365" customFormat="false" ht="12" hidden="false" customHeight="false" outlineLevel="0" collapsed="false">
      <c r="R365" s="197"/>
      <c r="S365" s="197"/>
      <c r="T365" s="197"/>
      <c r="U365" s="197"/>
    </row>
    <row r="366" customFormat="false" ht="12" hidden="false" customHeight="false" outlineLevel="0" collapsed="false">
      <c r="R366" s="197"/>
      <c r="S366" s="197"/>
      <c r="T366" s="197"/>
      <c r="U366" s="197"/>
    </row>
    <row r="367" customFormat="false" ht="12" hidden="false" customHeight="false" outlineLevel="0" collapsed="false">
      <c r="R367" s="197"/>
      <c r="S367" s="197"/>
      <c r="T367" s="197"/>
      <c r="U367" s="197"/>
    </row>
    <row r="368" customFormat="false" ht="12" hidden="false" customHeight="false" outlineLevel="0" collapsed="false">
      <c r="R368" s="197"/>
      <c r="S368" s="197"/>
      <c r="T368" s="197"/>
      <c r="U368" s="197"/>
    </row>
    <row r="369" customFormat="false" ht="12" hidden="false" customHeight="false" outlineLevel="0" collapsed="false">
      <c r="R369" s="197"/>
      <c r="S369" s="197"/>
      <c r="T369" s="197"/>
      <c r="U369" s="197"/>
    </row>
    <row r="370" customFormat="false" ht="12" hidden="false" customHeight="false" outlineLevel="0" collapsed="false">
      <c r="R370" s="197"/>
      <c r="S370" s="197"/>
      <c r="T370" s="197"/>
      <c r="U370" s="197"/>
    </row>
  </sheetData>
  <mergeCells count="26">
    <mergeCell ref="A3:U3"/>
    <mergeCell ref="B6:U6"/>
    <mergeCell ref="A7:A9"/>
    <mergeCell ref="B7:C8"/>
    <mergeCell ref="D7:E7"/>
    <mergeCell ref="F7:I7"/>
    <mergeCell ref="J7:M7"/>
    <mergeCell ref="N7:N9"/>
    <mergeCell ref="O7:O9"/>
    <mergeCell ref="P7:P9"/>
    <mergeCell ref="Q7:Q9"/>
    <mergeCell ref="R7:R8"/>
    <mergeCell ref="S7:S8"/>
    <mergeCell ref="T7:T8"/>
    <mergeCell ref="U7:U9"/>
    <mergeCell ref="D8:D9"/>
    <mergeCell ref="E8:E9"/>
    <mergeCell ref="F8:F9"/>
    <mergeCell ref="G8:G9"/>
    <mergeCell ref="H8:H9"/>
    <mergeCell ref="I8:I9"/>
    <mergeCell ref="J8:J9"/>
    <mergeCell ref="K8:K9"/>
    <mergeCell ref="L8:L9"/>
    <mergeCell ref="M8:M9"/>
    <mergeCell ref="A153:U155"/>
  </mergeCells>
  <hyperlinks>
    <hyperlink ref="B1" location="Index!A1" display="Back to index"/>
  </hyperlinks>
  <printOptions headings="false" gridLines="false" gridLinesSet="true" horizontalCentered="true" verticalCentered="true"/>
  <pageMargins left="0.75" right="0" top="0.984027777777778" bottom="0.984027777777778" header="0.511811023622047" footer="0.511811023622047"/>
  <pageSetup paperSize="9" scale="100" fitToWidth="1" fitToHeight="4"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CCFF"/>
    <pageSetUpPr fitToPage="true"/>
  </sheetPr>
  <dimension ref="A1:V2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A3" activeCellId="0" sqref="A3"/>
    </sheetView>
  </sheetViews>
  <sheetFormatPr defaultColWidth="11.0546875" defaultRowHeight="12" zeroHeight="false" outlineLevelRow="0" outlineLevelCol="0"/>
  <cols>
    <col collapsed="false" customWidth="true" hidden="false" outlineLevel="0" max="1" min="1" style="0" width="9.99"/>
    <col collapsed="false" customWidth="true" hidden="false" outlineLevel="0" max="20" min="2" style="0" width="8.33"/>
  </cols>
  <sheetData>
    <row r="1" customFormat="false" ht="12" hidden="false" customHeight="false" outlineLevel="0" collapsed="false">
      <c r="B1" s="21" t="s">
        <v>9</v>
      </c>
      <c r="C1" s="198"/>
      <c r="D1" s="198"/>
      <c r="E1" s="198"/>
      <c r="F1" s="198"/>
      <c r="G1" s="198"/>
      <c r="H1" s="198"/>
      <c r="I1" s="198"/>
      <c r="J1" s="198"/>
      <c r="K1" s="198"/>
      <c r="L1" s="198"/>
      <c r="M1" s="198"/>
      <c r="N1" s="198"/>
      <c r="O1" s="198"/>
      <c r="P1" s="198"/>
      <c r="Q1" s="198"/>
    </row>
    <row r="2" customFormat="false" ht="13" hidden="false" customHeight="false" outlineLevel="0" collapsed="false"/>
    <row r="3" customFormat="false" ht="19.75" hidden="false" customHeight="true" outlineLevel="0" collapsed="false">
      <c r="A3" s="27" t="s">
        <v>54</v>
      </c>
      <c r="B3" s="27"/>
      <c r="C3" s="27"/>
      <c r="D3" s="27"/>
      <c r="E3" s="27"/>
      <c r="F3" s="27"/>
      <c r="G3" s="27"/>
      <c r="H3" s="27"/>
      <c r="I3" s="27"/>
      <c r="J3" s="27"/>
      <c r="K3" s="27"/>
      <c r="L3" s="27"/>
      <c r="M3" s="27"/>
      <c r="N3" s="27"/>
      <c r="O3" s="27"/>
      <c r="P3" s="27"/>
      <c r="Q3" s="27"/>
      <c r="R3" s="27"/>
      <c r="S3" s="27"/>
      <c r="T3" s="27"/>
    </row>
    <row r="4" customFormat="false" ht="12" hidden="false" customHeight="true" outlineLevel="0" collapsed="false">
      <c r="A4" s="28"/>
      <c r="B4" s="29"/>
      <c r="C4" s="29"/>
      <c r="D4" s="29"/>
      <c r="E4" s="29"/>
      <c r="F4" s="29"/>
      <c r="G4" s="29"/>
      <c r="H4" s="29"/>
      <c r="I4" s="29"/>
      <c r="J4" s="29"/>
      <c r="K4" s="29"/>
      <c r="L4" s="29"/>
      <c r="M4" s="29"/>
      <c r="N4" s="29"/>
      <c r="O4" s="29"/>
      <c r="P4" s="29"/>
      <c r="Q4" s="29"/>
      <c r="R4" s="29"/>
      <c r="S4" s="29"/>
      <c r="T4" s="199"/>
    </row>
    <row r="5" customFormat="false" ht="12" hidden="false" customHeight="false" outlineLevel="0" collapsed="false">
      <c r="A5" s="28"/>
      <c r="B5" s="31" t="s">
        <v>11</v>
      </c>
      <c r="C5" s="31" t="s">
        <v>12</v>
      </c>
      <c r="D5" s="31" t="s">
        <v>13</v>
      </c>
      <c r="E5" s="31" t="s">
        <v>14</v>
      </c>
      <c r="F5" s="31" t="s">
        <v>15</v>
      </c>
      <c r="G5" s="31" t="s">
        <v>16</v>
      </c>
      <c r="H5" s="31" t="s">
        <v>17</v>
      </c>
      <c r="I5" s="31" t="s">
        <v>18</v>
      </c>
      <c r="J5" s="31" t="s">
        <v>19</v>
      </c>
      <c r="K5" s="31" t="s">
        <v>20</v>
      </c>
      <c r="L5" s="31" t="s">
        <v>21</v>
      </c>
      <c r="M5" s="32" t="s">
        <v>22</v>
      </c>
      <c r="N5" s="32" t="s">
        <v>23</v>
      </c>
      <c r="O5" s="31" t="s">
        <v>24</v>
      </c>
      <c r="P5" s="32" t="s">
        <v>25</v>
      </c>
      <c r="Q5" s="32" t="s">
        <v>26</v>
      </c>
      <c r="R5" s="32" t="s">
        <v>27</v>
      </c>
      <c r="S5" s="32" t="s">
        <v>28</v>
      </c>
      <c r="T5" s="200" t="s">
        <v>29</v>
      </c>
    </row>
    <row r="6" customFormat="false" ht="34.75" hidden="false" customHeight="true" outlineLevel="0" collapsed="false">
      <c r="A6" s="28"/>
      <c r="B6" s="34" t="s">
        <v>31</v>
      </c>
      <c r="C6" s="34"/>
      <c r="D6" s="34"/>
      <c r="E6" s="34"/>
      <c r="F6" s="34"/>
      <c r="G6" s="34"/>
      <c r="H6" s="34"/>
      <c r="I6" s="34"/>
      <c r="J6" s="34"/>
      <c r="K6" s="34"/>
      <c r="L6" s="34"/>
      <c r="M6" s="34"/>
      <c r="N6" s="34"/>
      <c r="O6" s="34"/>
      <c r="P6" s="34"/>
      <c r="Q6" s="34"/>
      <c r="R6" s="34"/>
      <c r="S6" s="34"/>
      <c r="T6" s="34"/>
    </row>
    <row r="7" customFormat="false" ht="34.75" hidden="false" customHeight="true" outlineLevel="0" collapsed="false">
      <c r="A7" s="35"/>
      <c r="B7" s="201" t="s">
        <v>55</v>
      </c>
      <c r="C7" s="201"/>
      <c r="D7" s="36" t="s">
        <v>33</v>
      </c>
      <c r="E7" s="36"/>
      <c r="F7" s="36" t="s">
        <v>56</v>
      </c>
      <c r="G7" s="36"/>
      <c r="H7" s="36"/>
      <c r="I7" s="36"/>
      <c r="J7" s="36" t="s">
        <v>57</v>
      </c>
      <c r="K7" s="36"/>
      <c r="L7" s="36"/>
      <c r="M7" s="36"/>
      <c r="N7" s="202" t="s">
        <v>35</v>
      </c>
      <c r="O7" s="39" t="s">
        <v>36</v>
      </c>
      <c r="P7" s="40" t="s">
        <v>37</v>
      </c>
      <c r="Q7" s="203" t="s">
        <v>38</v>
      </c>
      <c r="R7" s="204" t="s">
        <v>58</v>
      </c>
      <c r="S7" s="43" t="s">
        <v>40</v>
      </c>
      <c r="T7" s="205" t="s">
        <v>41</v>
      </c>
    </row>
    <row r="8" customFormat="false" ht="34.75" hidden="false" customHeight="true" outlineLevel="0" collapsed="false">
      <c r="A8" s="35"/>
      <c r="B8" s="206" t="s">
        <v>43</v>
      </c>
      <c r="C8" s="207" t="s">
        <v>44</v>
      </c>
      <c r="D8" s="46" t="s">
        <v>43</v>
      </c>
      <c r="E8" s="47" t="s">
        <v>44</v>
      </c>
      <c r="F8" s="46" t="s">
        <v>45</v>
      </c>
      <c r="G8" s="48" t="s">
        <v>46</v>
      </c>
      <c r="H8" s="49" t="s">
        <v>47</v>
      </c>
      <c r="I8" s="50" t="s">
        <v>48</v>
      </c>
      <c r="J8" s="51" t="s">
        <v>49</v>
      </c>
      <c r="K8" s="48" t="s">
        <v>46</v>
      </c>
      <c r="L8" s="49" t="s">
        <v>47</v>
      </c>
      <c r="M8" s="38" t="s">
        <v>48</v>
      </c>
      <c r="N8" s="202"/>
      <c r="O8" s="39"/>
      <c r="P8" s="40"/>
      <c r="Q8" s="203"/>
      <c r="R8" s="204"/>
      <c r="S8" s="43"/>
      <c r="T8" s="205"/>
    </row>
    <row r="9" customFormat="false" ht="49.75" hidden="false" customHeight="true" outlineLevel="0" collapsed="false">
      <c r="A9" s="35"/>
      <c r="B9" s="206"/>
      <c r="C9" s="207"/>
      <c r="D9" s="46"/>
      <c r="E9" s="47"/>
      <c r="F9" s="46"/>
      <c r="G9" s="48"/>
      <c r="H9" s="49"/>
      <c r="I9" s="50"/>
      <c r="J9" s="51"/>
      <c r="K9" s="48"/>
      <c r="L9" s="49"/>
      <c r="M9" s="38"/>
      <c r="N9" s="202"/>
      <c r="O9" s="39"/>
      <c r="P9" s="40"/>
      <c r="Q9" s="203"/>
      <c r="R9" s="55" t="s">
        <v>50</v>
      </c>
      <c r="S9" s="55" t="s">
        <v>51</v>
      </c>
      <c r="T9" s="208" t="s">
        <v>52</v>
      </c>
    </row>
    <row r="10" customFormat="false" ht="12" hidden="false" customHeight="false" outlineLevel="0" collapsed="false">
      <c r="A10" s="145" t="n">
        <v>1870</v>
      </c>
      <c r="B10" s="209" t="n">
        <f aca="false">AVERAGE(TableDE1!B10:B19)</f>
        <v>16.913</v>
      </c>
      <c r="C10" s="210" t="n">
        <f aca="false">AVERAGE(TableDE1!C10:C19)</f>
        <v>108.36457488962</v>
      </c>
      <c r="D10" s="211" t="n">
        <f aca="false">AVERAGE(TableDE1!D10:D19)</f>
        <v>113.489180171247</v>
      </c>
      <c r="E10" s="212" t="n">
        <f aca="false">AVERAGE(TableDE1!E10:E19)</f>
        <v>728.389803230886</v>
      </c>
      <c r="F10" s="150" t="n">
        <f aca="false">AVERAGE(TableDE1!F10:F19)</f>
        <v>399.460282601431</v>
      </c>
      <c r="G10" s="213" t="n">
        <f aca="false">AVERAGE(TableDE1!G10:G19)</f>
        <v>2561.40300870727</v>
      </c>
      <c r="H10" s="151" t="n">
        <f aca="false">AVERAGE(TableDE1!H10:H19)</f>
        <v>699.153218350534</v>
      </c>
      <c r="I10" s="152" t="n">
        <f aca="false">AVERAGE(TableDE1!I10:I19)</f>
        <v>4483.76120740135</v>
      </c>
      <c r="J10" s="90" t="n">
        <f aca="false">AVERAGE(TableDE1!J10:J19)</f>
        <v>2680.28906803719</v>
      </c>
      <c r="K10" s="90" t="n">
        <f aca="false">AVERAGE(TableDE1!K10:K19)</f>
        <v>17217.1341884884</v>
      </c>
      <c r="L10" s="151" t="n">
        <f aca="false">AVERAGE(TableDE1!L10:L19)</f>
        <v>4690.90230320228</v>
      </c>
      <c r="M10" s="193" t="n">
        <f aca="false">AVERAGE(TableDE1!M10:M19)</f>
        <v>30137.5153282808</v>
      </c>
      <c r="N10" s="214" t="n">
        <f aca="false">AVERAGE(TableDE1!N10:N19)</f>
        <v>6.43898758884511</v>
      </c>
      <c r="O10" s="215" t="n">
        <f aca="false">AVERAGE(TableDE1!O10:O19)</f>
        <v>0.957723558445079</v>
      </c>
      <c r="P10" s="216" t="n">
        <f aca="false">AVERAGE(TableDE1!P10:P19)</f>
        <v>4492.87928408711</v>
      </c>
      <c r="Q10" s="217" t="n">
        <f aca="false">AVERAGE(TableDE1!Q10:Q19)</f>
        <v>6.72375201747823</v>
      </c>
      <c r="R10" s="218" t="n">
        <f aca="false">AVERAGE(TableDE1!R10:R19)</f>
        <v>42286.7</v>
      </c>
      <c r="S10" s="218" t="n">
        <f aca="false">AVERAGE(TableDE1!S10:S19)</f>
        <v>24163.4565758237</v>
      </c>
      <c r="T10" s="219" t="n">
        <f aca="false">AVERAGE(TableDE1!T10:T19)</f>
        <v>18382.55</v>
      </c>
      <c r="V10" s="158"/>
    </row>
    <row r="11" customFormat="false" ht="12" hidden="true" customHeight="true" outlineLevel="0" collapsed="false">
      <c r="A11" s="145" t="n">
        <f aca="false">A10+1</f>
        <v>1871</v>
      </c>
      <c r="B11" s="209" t="e">
        <f aca="false">#REF!</f>
        <v>#REF!</v>
      </c>
      <c r="C11" s="220" t="e">
        <f aca="false">#REF!</f>
        <v>#REF!</v>
      </c>
      <c r="D11" s="221"/>
      <c r="E11" s="220"/>
      <c r="F11" s="222" t="e">
        <f aca="false">1000000*B11/R11</f>
        <v>#REF!</v>
      </c>
      <c r="G11" s="223" t="e">
        <f aca="false">1000000*C11/R11</f>
        <v>#REF!</v>
      </c>
      <c r="H11" s="224" t="e">
        <f aca="false">1000000*B11/S11</f>
        <v>#REF!</v>
      </c>
      <c r="I11" s="225" t="e">
        <f aca="false">1000000*C11/S11</f>
        <v>#REF!</v>
      </c>
      <c r="J11" s="91" t="e">
        <f aca="false">1000000*D11/R11</f>
        <v>#DIV/0!</v>
      </c>
      <c r="K11" s="91" t="e">
        <f aca="false">1000000*E11/R11</f>
        <v>#DIV/0!</v>
      </c>
      <c r="L11" s="224" t="e">
        <f aca="false">1000000*D11/S11</f>
        <v>#DIV/0!</v>
      </c>
      <c r="M11" s="226" t="e">
        <f aca="false">1000000*E11/S11</f>
        <v>#DIV/0!</v>
      </c>
      <c r="N11" s="214" t="n">
        <f aca="false">AVERAGE(TableDE1!N11:N20)</f>
        <v>6.38125057397899</v>
      </c>
      <c r="O11" s="215" t="n">
        <f aca="false">AVERAGE(TableDE1!O11:O20)</f>
        <v>0.957127180364022</v>
      </c>
      <c r="P11" s="216" t="n">
        <f aca="false">AVERAGE(TableDE1!P11:P20)</f>
        <v>4508.09528705867</v>
      </c>
      <c r="Q11" s="217" t="n">
        <f aca="false">AVERAGE(TableDE1!Q11:Q20)</f>
        <v>6.66759323520047</v>
      </c>
      <c r="R11" s="218" t="n">
        <v>0</v>
      </c>
      <c r="S11" s="218" t="n">
        <v>0</v>
      </c>
      <c r="T11" s="219" t="n">
        <v>0</v>
      </c>
      <c r="V11" s="158"/>
    </row>
    <row r="12" customFormat="false" ht="12" hidden="true" customHeight="true" outlineLevel="0" collapsed="false">
      <c r="A12" s="145" t="n">
        <f aca="false">A11+1</f>
        <v>1872</v>
      </c>
      <c r="B12" s="209" t="e">
        <f aca="false">#REF!</f>
        <v>#REF!</v>
      </c>
      <c r="C12" s="220" t="e">
        <f aca="false">#REF!</f>
        <v>#REF!</v>
      </c>
      <c r="D12" s="221"/>
      <c r="E12" s="220"/>
      <c r="F12" s="222" t="e">
        <f aca="false">1000000*B12/R12</f>
        <v>#REF!</v>
      </c>
      <c r="G12" s="223" t="e">
        <f aca="false">1000000*C12/R12</f>
        <v>#REF!</v>
      </c>
      <c r="H12" s="224" t="e">
        <f aca="false">1000000*B12/S12</f>
        <v>#REF!</v>
      </c>
      <c r="I12" s="225" t="e">
        <f aca="false">1000000*C12/S12</f>
        <v>#REF!</v>
      </c>
      <c r="J12" s="91" t="e">
        <f aca="false">1000000*D12/R12</f>
        <v>#DIV/0!</v>
      </c>
      <c r="K12" s="91" t="e">
        <f aca="false">1000000*E12/R12</f>
        <v>#DIV/0!</v>
      </c>
      <c r="L12" s="224" t="e">
        <f aca="false">1000000*D12/S12</f>
        <v>#DIV/0!</v>
      </c>
      <c r="M12" s="226" t="e">
        <f aca="false">1000000*E12/S12</f>
        <v>#DIV/0!</v>
      </c>
      <c r="N12" s="214" t="n">
        <f aca="false">AVERAGE(TableDE1!N12:N21)</f>
        <v>6.33311769588577</v>
      </c>
      <c r="O12" s="215" t="n">
        <f aca="false">AVERAGE(TableDE1!O12:O21)</f>
        <v>0.956287309129103</v>
      </c>
      <c r="P12" s="216" t="n">
        <f aca="false">AVERAGE(TableDE1!P12:P21)</f>
        <v>4538.46436707061</v>
      </c>
      <c r="Q12" s="217" t="n">
        <f aca="false">AVERAGE(TableDE1!Q12:Q21)</f>
        <v>6.62323477610537</v>
      </c>
      <c r="R12" s="218" t="n">
        <v>0</v>
      </c>
      <c r="S12" s="218" t="n">
        <v>0</v>
      </c>
      <c r="T12" s="219" t="n">
        <v>0</v>
      </c>
      <c r="V12" s="158"/>
    </row>
    <row r="13" customFormat="false" ht="12" hidden="true" customHeight="true" outlineLevel="0" collapsed="false">
      <c r="A13" s="145" t="n">
        <f aca="false">A12+1</f>
        <v>1873</v>
      </c>
      <c r="B13" s="209" t="e">
        <f aca="false">#REF!</f>
        <v>#REF!</v>
      </c>
      <c r="C13" s="220" t="e">
        <f aca="false">#REF!</f>
        <v>#REF!</v>
      </c>
      <c r="D13" s="221"/>
      <c r="E13" s="220"/>
      <c r="F13" s="222" t="e">
        <f aca="false">1000000*B13/R13</f>
        <v>#REF!</v>
      </c>
      <c r="G13" s="223" t="e">
        <f aca="false">1000000*C13/R13</f>
        <v>#REF!</v>
      </c>
      <c r="H13" s="224" t="e">
        <f aca="false">1000000*B13/S13</f>
        <v>#REF!</v>
      </c>
      <c r="I13" s="225" t="e">
        <f aca="false">1000000*C13/S13</f>
        <v>#REF!</v>
      </c>
      <c r="J13" s="91" t="e">
        <f aca="false">1000000*D13/R13</f>
        <v>#DIV/0!</v>
      </c>
      <c r="K13" s="91" t="e">
        <f aca="false">1000000*E13/R13</f>
        <v>#DIV/0!</v>
      </c>
      <c r="L13" s="224" t="e">
        <f aca="false">1000000*D13/S13</f>
        <v>#DIV/0!</v>
      </c>
      <c r="M13" s="226" t="e">
        <f aca="false">1000000*E13/S13</f>
        <v>#DIV/0!</v>
      </c>
      <c r="N13" s="214" t="n">
        <f aca="false">AVERAGE(TableDE1!N13:N22)</f>
        <v>6.35310092757224</v>
      </c>
      <c r="O13" s="215" t="n">
        <f aca="false">AVERAGE(TableDE1!O13:O22)</f>
        <v>0.954788179260442</v>
      </c>
      <c r="P13" s="216" t="n">
        <f aca="false">AVERAGE(TableDE1!P13:P22)</f>
        <v>4524.27222325402</v>
      </c>
      <c r="Q13" s="217" t="n">
        <f aca="false">AVERAGE(TableDE1!Q13:Q22)</f>
        <v>6.65464646404599</v>
      </c>
      <c r="R13" s="218" t="n">
        <v>0</v>
      </c>
      <c r="S13" s="218" t="n">
        <v>0</v>
      </c>
      <c r="T13" s="219" t="n">
        <v>0</v>
      </c>
      <c r="V13" s="158"/>
    </row>
    <row r="14" customFormat="false" ht="12" hidden="true" customHeight="true" outlineLevel="0" collapsed="false">
      <c r="A14" s="145" t="n">
        <f aca="false">A13+1</f>
        <v>1874</v>
      </c>
      <c r="B14" s="209" t="e">
        <f aca="false">#REF!</f>
        <v>#REF!</v>
      </c>
      <c r="C14" s="220" t="e">
        <f aca="false">#REF!</f>
        <v>#REF!</v>
      </c>
      <c r="D14" s="221"/>
      <c r="E14" s="220"/>
      <c r="F14" s="222" t="e">
        <f aca="false">1000000*B14/R14</f>
        <v>#REF!</v>
      </c>
      <c r="G14" s="223" t="e">
        <f aca="false">1000000*C14/R14</f>
        <v>#REF!</v>
      </c>
      <c r="H14" s="224" t="e">
        <f aca="false">1000000*B14/S14</f>
        <v>#REF!</v>
      </c>
      <c r="I14" s="225" t="e">
        <f aca="false">1000000*C14/S14</f>
        <v>#REF!</v>
      </c>
      <c r="J14" s="91" t="e">
        <f aca="false">1000000*D14/R14</f>
        <v>#DIV/0!</v>
      </c>
      <c r="K14" s="91" t="e">
        <f aca="false">1000000*E14/R14</f>
        <v>#DIV/0!</v>
      </c>
      <c r="L14" s="224" t="e">
        <f aca="false">1000000*D14/S14</f>
        <v>#DIV/0!</v>
      </c>
      <c r="M14" s="226" t="e">
        <f aca="false">1000000*E14/S14</f>
        <v>#DIV/0!</v>
      </c>
      <c r="N14" s="214" t="n">
        <f aca="false">AVERAGE(TableDE1!N14:N23)</f>
        <v>6.36076184829211</v>
      </c>
      <c r="O14" s="215" t="n">
        <f aca="false">AVERAGE(TableDE1!O14:O23)</f>
        <v>0.95422473791837</v>
      </c>
      <c r="P14" s="216" t="n">
        <f aca="false">AVERAGE(TableDE1!P14:P23)</f>
        <v>4531.51321787553</v>
      </c>
      <c r="Q14" s="217" t="n">
        <f aca="false">AVERAGE(TableDE1!Q14:Q23)</f>
        <v>6.66660903926829</v>
      </c>
      <c r="R14" s="218" t="n">
        <v>0</v>
      </c>
      <c r="S14" s="218" t="n">
        <v>0</v>
      </c>
      <c r="T14" s="219" t="n">
        <v>0</v>
      </c>
      <c r="V14" s="158"/>
    </row>
    <row r="15" customFormat="false" ht="12" hidden="true" customHeight="true" outlineLevel="0" collapsed="false">
      <c r="A15" s="145" t="n">
        <f aca="false">A14+1</f>
        <v>1875</v>
      </c>
      <c r="B15" s="209" t="e">
        <f aca="false">#REF!</f>
        <v>#REF!</v>
      </c>
      <c r="C15" s="220" t="e">
        <f aca="false">#REF!</f>
        <v>#REF!</v>
      </c>
      <c r="D15" s="221"/>
      <c r="E15" s="220"/>
      <c r="F15" s="222" t="e">
        <f aca="false">1000000*B15/R15</f>
        <v>#REF!</v>
      </c>
      <c r="G15" s="223" t="e">
        <f aca="false">1000000*C15/R15</f>
        <v>#REF!</v>
      </c>
      <c r="H15" s="224" t="e">
        <f aca="false">1000000*B15/S15</f>
        <v>#REF!</v>
      </c>
      <c r="I15" s="225" t="e">
        <f aca="false">1000000*C15/S15</f>
        <v>#REF!</v>
      </c>
      <c r="J15" s="91" t="e">
        <f aca="false">1000000*D15/R15</f>
        <v>#DIV/0!</v>
      </c>
      <c r="K15" s="91" t="e">
        <f aca="false">1000000*E15/R15</f>
        <v>#DIV/0!</v>
      </c>
      <c r="L15" s="224" t="e">
        <f aca="false">1000000*D15/S15</f>
        <v>#DIV/0!</v>
      </c>
      <c r="M15" s="226" t="e">
        <f aca="false">1000000*E15/S15</f>
        <v>#DIV/0!</v>
      </c>
      <c r="N15" s="214" t="n">
        <f aca="false">AVERAGE(TableDE1!N15:N24)</f>
        <v>6.38752885301199</v>
      </c>
      <c r="O15" s="215" t="n">
        <f aca="false">AVERAGE(TableDE1!O15:O24)</f>
        <v>0.953401557918765</v>
      </c>
      <c r="P15" s="216" t="n">
        <f aca="false">AVERAGE(TableDE1!P15:P24)</f>
        <v>4521.73914463054</v>
      </c>
      <c r="Q15" s="217" t="n">
        <f aca="false">AVERAGE(TableDE1!Q15:Q24)</f>
        <v>6.70008314373978</v>
      </c>
      <c r="R15" s="218" t="n">
        <v>0</v>
      </c>
      <c r="S15" s="218" t="n">
        <v>0</v>
      </c>
      <c r="T15" s="219" t="n">
        <v>0</v>
      </c>
      <c r="V15" s="158"/>
    </row>
    <row r="16" customFormat="false" ht="12" hidden="true" customHeight="true" outlineLevel="0" collapsed="false">
      <c r="A16" s="145" t="n">
        <f aca="false">A15+1</f>
        <v>1876</v>
      </c>
      <c r="B16" s="209" t="e">
        <f aca="false">#REF!</f>
        <v>#REF!</v>
      </c>
      <c r="C16" s="220" t="e">
        <f aca="false">#REF!</f>
        <v>#REF!</v>
      </c>
      <c r="D16" s="221"/>
      <c r="E16" s="220"/>
      <c r="F16" s="222" t="e">
        <f aca="false">1000000*B16/R16</f>
        <v>#REF!</v>
      </c>
      <c r="G16" s="223" t="e">
        <f aca="false">1000000*C16/R16</f>
        <v>#REF!</v>
      </c>
      <c r="H16" s="224" t="e">
        <f aca="false">1000000*B16/S16</f>
        <v>#REF!</v>
      </c>
      <c r="I16" s="225" t="e">
        <f aca="false">1000000*C16/S16</f>
        <v>#REF!</v>
      </c>
      <c r="J16" s="91" t="e">
        <f aca="false">1000000*D16/R16</f>
        <v>#DIV/0!</v>
      </c>
      <c r="K16" s="91" t="e">
        <f aca="false">1000000*E16/R16</f>
        <v>#DIV/0!</v>
      </c>
      <c r="L16" s="224" t="e">
        <f aca="false">1000000*D16/S16</f>
        <v>#DIV/0!</v>
      </c>
      <c r="M16" s="226" t="e">
        <f aca="false">1000000*E16/S16</f>
        <v>#DIV/0!</v>
      </c>
      <c r="N16" s="214" t="n">
        <f aca="false">AVERAGE(TableDE1!N16:N25)</f>
        <v>6.38751919951159</v>
      </c>
      <c r="O16" s="215" t="n">
        <f aca="false">AVERAGE(TableDE1!O16:O25)</f>
        <v>0.952920925581312</v>
      </c>
      <c r="P16" s="216" t="n">
        <f aca="false">AVERAGE(TableDE1!P16:P25)</f>
        <v>4538.65204032294</v>
      </c>
      <c r="Q16" s="217" t="n">
        <f aca="false">AVERAGE(TableDE1!Q16:Q25)</f>
        <v>6.7034239465613</v>
      </c>
      <c r="R16" s="218" t="n">
        <v>0</v>
      </c>
      <c r="S16" s="218" t="n">
        <v>0</v>
      </c>
      <c r="T16" s="219" t="n">
        <v>0</v>
      </c>
      <c r="V16" s="158"/>
    </row>
    <row r="17" customFormat="false" ht="12" hidden="true" customHeight="true" outlineLevel="0" collapsed="false">
      <c r="A17" s="145" t="n">
        <f aca="false">A16+1</f>
        <v>1877</v>
      </c>
      <c r="B17" s="209" t="e">
        <f aca="false">#REF!</f>
        <v>#REF!</v>
      </c>
      <c r="C17" s="220" t="e">
        <f aca="false">#REF!</f>
        <v>#REF!</v>
      </c>
      <c r="D17" s="221"/>
      <c r="E17" s="220"/>
      <c r="F17" s="222" t="e">
        <f aca="false">1000000*B17/R17</f>
        <v>#REF!</v>
      </c>
      <c r="G17" s="223" t="e">
        <f aca="false">1000000*C17/R17</f>
        <v>#REF!</v>
      </c>
      <c r="H17" s="224" t="e">
        <f aca="false">1000000*B17/S17</f>
        <v>#REF!</v>
      </c>
      <c r="I17" s="225" t="e">
        <f aca="false">1000000*C17/S17</f>
        <v>#REF!</v>
      </c>
      <c r="J17" s="91" t="e">
        <f aca="false">1000000*D17/R17</f>
        <v>#DIV/0!</v>
      </c>
      <c r="K17" s="91" t="e">
        <f aca="false">1000000*E17/R17</f>
        <v>#DIV/0!</v>
      </c>
      <c r="L17" s="224" t="e">
        <f aca="false">1000000*D17/S17</f>
        <v>#DIV/0!</v>
      </c>
      <c r="M17" s="226" t="e">
        <f aca="false">1000000*E17/S17</f>
        <v>#DIV/0!</v>
      </c>
      <c r="N17" s="214" t="n">
        <f aca="false">AVERAGE(TableDE1!N17:N26)</f>
        <v>6.40200538679469</v>
      </c>
      <c r="O17" s="215" t="n">
        <f aca="false">AVERAGE(TableDE1!O17:O26)</f>
        <v>0.951890539264404</v>
      </c>
      <c r="P17" s="216" t="n">
        <f aca="false">AVERAGE(TableDE1!P17:P26)</f>
        <v>4568.57923809974</v>
      </c>
      <c r="Q17" s="217" t="n">
        <f aca="false">AVERAGE(TableDE1!Q17:Q26)</f>
        <v>6.72594280901559</v>
      </c>
      <c r="R17" s="218" t="n">
        <v>0</v>
      </c>
      <c r="S17" s="218" t="n">
        <v>0</v>
      </c>
      <c r="T17" s="219" t="n">
        <v>0</v>
      </c>
      <c r="V17" s="158"/>
    </row>
    <row r="18" customFormat="false" ht="12" hidden="true" customHeight="true" outlineLevel="0" collapsed="false">
      <c r="A18" s="145" t="n">
        <f aca="false">A17+1</f>
        <v>1878</v>
      </c>
      <c r="B18" s="209" t="e">
        <f aca="false">#REF!</f>
        <v>#REF!</v>
      </c>
      <c r="C18" s="220" t="e">
        <f aca="false">#REF!</f>
        <v>#REF!</v>
      </c>
      <c r="D18" s="221"/>
      <c r="E18" s="220"/>
      <c r="F18" s="222" t="e">
        <f aca="false">1000000*B18/R18</f>
        <v>#REF!</v>
      </c>
      <c r="G18" s="223" t="e">
        <f aca="false">1000000*C18/R18</f>
        <v>#REF!</v>
      </c>
      <c r="H18" s="224" t="e">
        <f aca="false">1000000*B18/S18</f>
        <v>#REF!</v>
      </c>
      <c r="I18" s="225" t="e">
        <f aca="false">1000000*C18/S18</f>
        <v>#REF!</v>
      </c>
      <c r="J18" s="91" t="e">
        <f aca="false">1000000*D18/R18</f>
        <v>#DIV/0!</v>
      </c>
      <c r="K18" s="91" t="e">
        <f aca="false">1000000*E18/R18</f>
        <v>#DIV/0!</v>
      </c>
      <c r="L18" s="224" t="e">
        <f aca="false">1000000*D18/S18</f>
        <v>#DIV/0!</v>
      </c>
      <c r="M18" s="226" t="e">
        <f aca="false">1000000*E18/S18</f>
        <v>#DIV/0!</v>
      </c>
      <c r="N18" s="214" t="n">
        <f aca="false">AVERAGE(TableDE1!N18:N27)</f>
        <v>6.42600408386639</v>
      </c>
      <c r="O18" s="215" t="n">
        <f aca="false">AVERAGE(TableDE1!O18:O27)</f>
        <v>0.951309190960961</v>
      </c>
      <c r="P18" s="216" t="n">
        <f aca="false">AVERAGE(TableDE1!P18:P27)</f>
        <v>4611.10040480159</v>
      </c>
      <c r="Q18" s="217" t="n">
        <f aca="false">AVERAGE(TableDE1!Q18:Q27)</f>
        <v>6.75526002970089</v>
      </c>
      <c r="R18" s="218" t="n">
        <v>0</v>
      </c>
      <c r="S18" s="218" t="n">
        <v>0</v>
      </c>
      <c r="T18" s="219" t="n">
        <v>0</v>
      </c>
      <c r="V18" s="158"/>
    </row>
    <row r="19" customFormat="false" ht="12" hidden="true" customHeight="true" outlineLevel="0" collapsed="false">
      <c r="A19" s="145" t="n">
        <f aca="false">A18+1</f>
        <v>1879</v>
      </c>
      <c r="B19" s="209" t="e">
        <f aca="false">#REF!</f>
        <v>#REF!</v>
      </c>
      <c r="C19" s="220" t="e">
        <f aca="false">#REF!</f>
        <v>#REF!</v>
      </c>
      <c r="D19" s="221"/>
      <c r="E19" s="220"/>
      <c r="F19" s="222" t="e">
        <f aca="false">1000000*B19/R19</f>
        <v>#REF!</v>
      </c>
      <c r="G19" s="223" t="e">
        <f aca="false">1000000*C19/R19</f>
        <v>#REF!</v>
      </c>
      <c r="H19" s="224" t="e">
        <f aca="false">1000000*B19/S19</f>
        <v>#REF!</v>
      </c>
      <c r="I19" s="225" t="e">
        <f aca="false">1000000*C19/S19</f>
        <v>#REF!</v>
      </c>
      <c r="J19" s="91" t="e">
        <f aca="false">1000000*D19/R19</f>
        <v>#DIV/0!</v>
      </c>
      <c r="K19" s="91" t="e">
        <f aca="false">1000000*E19/R19</f>
        <v>#DIV/0!</v>
      </c>
      <c r="L19" s="224" t="e">
        <f aca="false">1000000*D19/S19</f>
        <v>#DIV/0!</v>
      </c>
      <c r="M19" s="226" t="e">
        <f aca="false">1000000*E19/S19</f>
        <v>#DIV/0!</v>
      </c>
      <c r="N19" s="214" t="n">
        <f aca="false">AVERAGE(TableDE1!N19:N28)</f>
        <v>6.45953819417838</v>
      </c>
      <c r="O19" s="215" t="n">
        <f aca="false">AVERAGE(TableDE1!O19:O28)</f>
        <v>0.950543132902377</v>
      </c>
      <c r="P19" s="216" t="n">
        <f aca="false">AVERAGE(TableDE1!P19:P28)</f>
        <v>4655.98892611943</v>
      </c>
      <c r="Q19" s="217" t="n">
        <f aca="false">AVERAGE(TableDE1!Q19:Q28)</f>
        <v>6.79576663914153</v>
      </c>
      <c r="R19" s="218" t="n">
        <v>0</v>
      </c>
      <c r="S19" s="218" t="n">
        <v>0</v>
      </c>
      <c r="T19" s="219" t="n">
        <v>0</v>
      </c>
      <c r="V19" s="158"/>
    </row>
    <row r="20" customFormat="false" ht="12" hidden="false" customHeight="false" outlineLevel="0" collapsed="false">
      <c r="A20" s="145" t="n">
        <v>1880</v>
      </c>
      <c r="B20" s="209" t="n">
        <f aca="false">AVERAGE(TableDE1!B20:B29)</f>
        <v>18.8293</v>
      </c>
      <c r="C20" s="227" t="n">
        <f aca="false">AVERAGE(TableDE1!C20:C29)</f>
        <v>121.306208181818</v>
      </c>
      <c r="D20" s="146" t="n">
        <f aca="false">AVERAGE(TableDE1!D20:D29)</f>
        <v>135.251762918771</v>
      </c>
      <c r="E20" s="228" t="n">
        <f aca="false">AVERAGE(TableDE1!E20:E29)</f>
        <v>871.459982117995</v>
      </c>
      <c r="F20" s="150" t="n">
        <f aca="false">AVERAGE(TableDE1!F20:F29)</f>
        <v>402.727023281333</v>
      </c>
      <c r="G20" s="213" t="n">
        <f aca="false">AVERAGE(TableDE1!G20:G29)</f>
        <v>2594.45913050501</v>
      </c>
      <c r="H20" s="151" t="n">
        <f aca="false">AVERAGE(TableDE1!H20:H29)</f>
        <v>694.322179439728</v>
      </c>
      <c r="I20" s="152" t="n">
        <f aca="false">AVERAGE(TableDE1!I20:I29)</f>
        <v>4472.98102553315</v>
      </c>
      <c r="J20" s="90" t="n">
        <f aca="false">AVERAGE(TableDE1!J20:J29)</f>
        <v>2892.01506977989</v>
      </c>
      <c r="K20" s="90" t="n">
        <f aca="false">AVERAGE(TableDE1!K20:K29)</f>
        <v>18633.3206409803</v>
      </c>
      <c r="L20" s="151" t="n">
        <f aca="false">AVERAGE(TableDE1!L20:L29)</f>
        <v>4986.02336823753</v>
      </c>
      <c r="M20" s="193" t="n">
        <f aca="false">AVERAGE(TableDE1!M20:M29)</f>
        <v>32125.0620453033</v>
      </c>
      <c r="N20" s="214" t="n">
        <f aca="false">AVERAGE(TableDE1!N20:N29)</f>
        <v>6.44334771885553</v>
      </c>
      <c r="O20" s="215" t="n">
        <f aca="false">AVERAGE(TableDE1!O20:O29)</f>
        <v>0.950043864168817</v>
      </c>
      <c r="P20" s="216" t="n">
        <f aca="false">AVERAGE(TableDE1!P20:P29)</f>
        <v>4736.81050428865</v>
      </c>
      <c r="Q20" s="217" t="n">
        <f aca="false">AVERAGE(TableDE1!Q20:Q29)</f>
        <v>6.78225295645401</v>
      </c>
      <c r="R20" s="218" t="n">
        <f aca="false">AVERAGE(TableDE1!R20:R29)</f>
        <v>46693.2</v>
      </c>
      <c r="S20" s="218" t="n">
        <f aca="false">AVERAGE(TableDE1!S20:S29)</f>
        <v>27083.4327434353</v>
      </c>
      <c r="T20" s="219" t="n">
        <f aca="false">AVERAGE(TableDE1!T20:T29)</f>
        <v>20647</v>
      </c>
      <c r="V20" s="158"/>
    </row>
    <row r="21" customFormat="false" ht="12" hidden="true" customHeight="true" outlineLevel="0" collapsed="false">
      <c r="A21" s="145" t="n">
        <f aca="false">A20+1</f>
        <v>1881</v>
      </c>
      <c r="B21" s="209" t="e">
        <f aca="false">#REF!</f>
        <v>#REF!</v>
      </c>
      <c r="C21" s="220" t="e">
        <f aca="false">#REF!</f>
        <v>#REF!</v>
      </c>
      <c r="D21" s="221"/>
      <c r="E21" s="220"/>
      <c r="F21" s="222" t="e">
        <f aca="false">1000000*B21/R21</f>
        <v>#REF!</v>
      </c>
      <c r="G21" s="223" t="e">
        <f aca="false">1000000*C21/R21</f>
        <v>#REF!</v>
      </c>
      <c r="H21" s="224" t="e">
        <f aca="false">1000000*B21/S21</f>
        <v>#REF!</v>
      </c>
      <c r="I21" s="225" t="e">
        <f aca="false">1000000*C21/S21</f>
        <v>#REF!</v>
      </c>
      <c r="J21" s="91" t="e">
        <f aca="false">1000000*D21/R21</f>
        <v>#DIV/0!</v>
      </c>
      <c r="K21" s="91" t="e">
        <f aca="false">1000000*E21/R21</f>
        <v>#DIV/0!</v>
      </c>
      <c r="L21" s="224" t="e">
        <f aca="false">1000000*D21/S21</f>
        <v>#DIV/0!</v>
      </c>
      <c r="M21" s="226" t="e">
        <f aca="false">1000000*E21/S21</f>
        <v>#DIV/0!</v>
      </c>
      <c r="N21" s="214" t="n">
        <f aca="false">AVERAGE(TableDE1!N21:N30)</f>
        <v>6.41961787173788</v>
      </c>
      <c r="O21" s="215" t="n">
        <f aca="false">AVERAGE(TableDE1!O21:O30)</f>
        <v>0.949914447875199</v>
      </c>
      <c r="P21" s="216" t="n">
        <f aca="false">AVERAGE(TableDE1!P21:P30)</f>
        <v>4850.81410331192</v>
      </c>
      <c r="Q21" s="217" t="n">
        <f aca="false">AVERAGE(TableDE1!Q21:Q30)</f>
        <v>6.75816580140952</v>
      </c>
      <c r="R21" s="218" t="n">
        <v>0</v>
      </c>
      <c r="S21" s="218" t="n">
        <v>0</v>
      </c>
      <c r="T21" s="219" t="n">
        <v>0</v>
      </c>
      <c r="V21" s="158"/>
    </row>
    <row r="22" customFormat="false" ht="12" hidden="true" customHeight="true" outlineLevel="0" collapsed="false">
      <c r="A22" s="145" t="n">
        <f aca="false">A21+1</f>
        <v>1882</v>
      </c>
      <c r="B22" s="209" t="e">
        <f aca="false">#REF!</f>
        <v>#REF!</v>
      </c>
      <c r="C22" s="220" t="e">
        <f aca="false">#REF!</f>
        <v>#REF!</v>
      </c>
      <c r="D22" s="221"/>
      <c r="E22" s="220"/>
      <c r="F22" s="222" t="e">
        <f aca="false">1000000*B22/R22</f>
        <v>#REF!</v>
      </c>
      <c r="G22" s="223" t="e">
        <f aca="false">1000000*C22/R22</f>
        <v>#REF!</v>
      </c>
      <c r="H22" s="224" t="e">
        <f aca="false">1000000*B22/S22</f>
        <v>#REF!</v>
      </c>
      <c r="I22" s="225" t="e">
        <f aca="false">1000000*C22/S22</f>
        <v>#REF!</v>
      </c>
      <c r="J22" s="91" t="e">
        <f aca="false">1000000*D22/R22</f>
        <v>#DIV/0!</v>
      </c>
      <c r="K22" s="91" t="e">
        <f aca="false">1000000*E22/R22</f>
        <v>#DIV/0!</v>
      </c>
      <c r="L22" s="224" t="e">
        <f aca="false">1000000*D22/S22</f>
        <v>#DIV/0!</v>
      </c>
      <c r="M22" s="226" t="e">
        <f aca="false">1000000*E22/S22</f>
        <v>#DIV/0!</v>
      </c>
      <c r="N22" s="214" t="n">
        <f aca="false">AVERAGE(TableDE1!N22:N31)</f>
        <v>6.43291612672534</v>
      </c>
      <c r="O22" s="215" t="n">
        <f aca="false">AVERAGE(TableDE1!O22:O31)</f>
        <v>0.949671888064758</v>
      </c>
      <c r="P22" s="216" t="n">
        <f aca="false">AVERAGE(TableDE1!P22:P31)</f>
        <v>4922.59388432498</v>
      </c>
      <c r="Q22" s="217" t="n">
        <f aca="false">AVERAGE(TableDE1!Q22:Q31)</f>
        <v>6.77395363173293</v>
      </c>
      <c r="R22" s="218" t="n">
        <v>0</v>
      </c>
      <c r="S22" s="218" t="n">
        <v>0</v>
      </c>
      <c r="T22" s="219" t="n">
        <v>0</v>
      </c>
      <c r="V22" s="158"/>
    </row>
    <row r="23" customFormat="false" ht="12" hidden="true" customHeight="true" outlineLevel="0" collapsed="false">
      <c r="A23" s="145" t="n">
        <f aca="false">A22+1</f>
        <v>1883</v>
      </c>
      <c r="B23" s="209" t="e">
        <f aca="false">#REF!</f>
        <v>#REF!</v>
      </c>
      <c r="C23" s="220" t="e">
        <f aca="false">#REF!</f>
        <v>#REF!</v>
      </c>
      <c r="D23" s="221"/>
      <c r="E23" s="220"/>
      <c r="F23" s="222" t="e">
        <f aca="false">1000000*B23/R23</f>
        <v>#REF!</v>
      </c>
      <c r="G23" s="223" t="e">
        <f aca="false">1000000*C23/R23</f>
        <v>#REF!</v>
      </c>
      <c r="H23" s="224" t="e">
        <f aca="false">1000000*B23/S23</f>
        <v>#REF!</v>
      </c>
      <c r="I23" s="225" t="e">
        <f aca="false">1000000*C23/S23</f>
        <v>#REF!</v>
      </c>
      <c r="J23" s="91" t="e">
        <f aca="false">1000000*D23/R23</f>
        <v>#DIV/0!</v>
      </c>
      <c r="K23" s="91" t="e">
        <f aca="false">1000000*E23/R23</f>
        <v>#DIV/0!</v>
      </c>
      <c r="L23" s="224" t="e">
        <f aca="false">1000000*D23/S23</f>
        <v>#DIV/0!</v>
      </c>
      <c r="M23" s="226" t="e">
        <f aca="false">1000000*E23/S23</f>
        <v>#DIV/0!</v>
      </c>
      <c r="N23" s="214" t="n">
        <f aca="false">AVERAGE(TableDE1!N23:N32)</f>
        <v>6.38670987080346</v>
      </c>
      <c r="O23" s="215" t="n">
        <f aca="false">AVERAGE(TableDE1!O23:O32)</f>
        <v>0.949996681345674</v>
      </c>
      <c r="P23" s="216" t="n">
        <f aca="false">AVERAGE(TableDE1!P23:P32)</f>
        <v>5023.87993591117</v>
      </c>
      <c r="Q23" s="217" t="n">
        <f aca="false">AVERAGE(TableDE1!Q23:Q32)</f>
        <v>6.72304765578165</v>
      </c>
      <c r="R23" s="218" t="n">
        <v>0</v>
      </c>
      <c r="S23" s="218" t="n">
        <v>0</v>
      </c>
      <c r="T23" s="219" t="n">
        <v>0</v>
      </c>
      <c r="V23" s="158"/>
    </row>
    <row r="24" customFormat="false" ht="12" hidden="true" customHeight="true" outlineLevel="0" collapsed="false">
      <c r="A24" s="145" t="n">
        <f aca="false">A23+1</f>
        <v>1884</v>
      </c>
      <c r="B24" s="209" t="e">
        <f aca="false">#REF!</f>
        <v>#REF!</v>
      </c>
      <c r="C24" s="220" t="e">
        <f aca="false">#REF!</f>
        <v>#REF!</v>
      </c>
      <c r="D24" s="221"/>
      <c r="E24" s="220"/>
      <c r="F24" s="222" t="e">
        <f aca="false">1000000*B24/R24</f>
        <v>#REF!</v>
      </c>
      <c r="G24" s="223" t="e">
        <f aca="false">1000000*C24/R24</f>
        <v>#REF!</v>
      </c>
      <c r="H24" s="224" t="e">
        <f aca="false">1000000*B24/S24</f>
        <v>#REF!</v>
      </c>
      <c r="I24" s="225" t="e">
        <f aca="false">1000000*C24/S24</f>
        <v>#REF!</v>
      </c>
      <c r="J24" s="91" t="e">
        <f aca="false">1000000*D24/R24</f>
        <v>#DIV/0!</v>
      </c>
      <c r="K24" s="91" t="e">
        <f aca="false">1000000*E24/R24</f>
        <v>#DIV/0!</v>
      </c>
      <c r="L24" s="224" t="e">
        <f aca="false">1000000*D24/S24</f>
        <v>#DIV/0!</v>
      </c>
      <c r="M24" s="226" t="e">
        <f aca="false">1000000*E24/S24</f>
        <v>#DIV/0!</v>
      </c>
      <c r="N24" s="214" t="n">
        <f aca="false">AVERAGE(TableDE1!N24:N33)</f>
        <v>6.33750436083001</v>
      </c>
      <c r="O24" s="215" t="n">
        <f aca="false">AVERAGE(TableDE1!O24:O33)</f>
        <v>0.949982977830648</v>
      </c>
      <c r="P24" s="216" t="n">
        <f aca="false">AVERAGE(TableDE1!P24:P33)</f>
        <v>5135.56150756027</v>
      </c>
      <c r="Q24" s="217" t="n">
        <f aca="false">AVERAGE(TableDE1!Q24:Q33)</f>
        <v>6.67144300928327</v>
      </c>
      <c r="R24" s="218" t="n">
        <v>0</v>
      </c>
      <c r="S24" s="218" t="n">
        <v>0</v>
      </c>
      <c r="T24" s="219" t="n">
        <v>0</v>
      </c>
      <c r="V24" s="158"/>
    </row>
    <row r="25" customFormat="false" ht="12" hidden="true" customHeight="true" outlineLevel="0" collapsed="false">
      <c r="A25" s="145" t="n">
        <f aca="false">A24+1</f>
        <v>1885</v>
      </c>
      <c r="B25" s="209" t="e">
        <f aca="false">#REF!</f>
        <v>#REF!</v>
      </c>
      <c r="C25" s="220" t="e">
        <f aca="false">#REF!</f>
        <v>#REF!</v>
      </c>
      <c r="D25" s="221"/>
      <c r="E25" s="220"/>
      <c r="F25" s="222" t="e">
        <f aca="false">1000000*B25/R25</f>
        <v>#REF!</v>
      </c>
      <c r="G25" s="223" t="e">
        <f aca="false">1000000*C25/R25</f>
        <v>#REF!</v>
      </c>
      <c r="H25" s="224" t="e">
        <f aca="false">1000000*B25/S25</f>
        <v>#REF!</v>
      </c>
      <c r="I25" s="225" t="e">
        <f aca="false">1000000*C25/S25</f>
        <v>#REF!</v>
      </c>
      <c r="J25" s="91" t="e">
        <f aca="false">1000000*D25/R25</f>
        <v>#DIV/0!</v>
      </c>
      <c r="K25" s="91" t="e">
        <f aca="false">1000000*E25/R25</f>
        <v>#DIV/0!</v>
      </c>
      <c r="L25" s="224" t="e">
        <f aca="false">1000000*D25/S25</f>
        <v>#DIV/0!</v>
      </c>
      <c r="M25" s="226" t="e">
        <f aca="false">1000000*E25/S25</f>
        <v>#DIV/0!</v>
      </c>
      <c r="N25" s="214" t="n">
        <f aca="false">AVERAGE(TableDE1!N25:N34)</f>
        <v>6.30915876959165</v>
      </c>
      <c r="O25" s="215" t="n">
        <f aca="false">AVERAGE(TableDE1!O25:O34)</f>
        <v>0.949432899311668</v>
      </c>
      <c r="P25" s="216" t="n">
        <f aca="false">AVERAGE(TableDE1!P25:P34)</f>
        <v>5223.79529072653</v>
      </c>
      <c r="Q25" s="217" t="n">
        <f aca="false">AVERAGE(TableDE1!Q25:Q34)</f>
        <v>6.64536192888329</v>
      </c>
      <c r="R25" s="218" t="n">
        <v>0</v>
      </c>
      <c r="S25" s="218" t="n">
        <v>0</v>
      </c>
      <c r="T25" s="219" t="n">
        <v>0</v>
      </c>
      <c r="V25" s="158"/>
    </row>
    <row r="26" customFormat="false" ht="12" hidden="true" customHeight="true" outlineLevel="0" collapsed="false">
      <c r="A26" s="145" t="n">
        <f aca="false">A25+1</f>
        <v>1886</v>
      </c>
      <c r="B26" s="209" t="e">
        <f aca="false">#REF!</f>
        <v>#REF!</v>
      </c>
      <c r="C26" s="220" t="e">
        <f aca="false">#REF!</f>
        <v>#REF!</v>
      </c>
      <c r="D26" s="221"/>
      <c r="E26" s="220"/>
      <c r="F26" s="222" t="e">
        <f aca="false">1000000*B26/R26</f>
        <v>#REF!</v>
      </c>
      <c r="G26" s="223" t="e">
        <f aca="false">1000000*C26/R26</f>
        <v>#REF!</v>
      </c>
      <c r="H26" s="224" t="e">
        <f aca="false">1000000*B26/S26</f>
        <v>#REF!</v>
      </c>
      <c r="I26" s="225" t="e">
        <f aca="false">1000000*C26/S26</f>
        <v>#REF!</v>
      </c>
      <c r="J26" s="91" t="e">
        <f aca="false">1000000*D26/R26</f>
        <v>#DIV/0!</v>
      </c>
      <c r="K26" s="91" t="e">
        <f aca="false">1000000*E26/R26</f>
        <v>#DIV/0!</v>
      </c>
      <c r="L26" s="224" t="e">
        <f aca="false">1000000*D26/S26</f>
        <v>#DIV/0!</v>
      </c>
      <c r="M26" s="226" t="e">
        <f aca="false">1000000*E26/S26</f>
        <v>#DIV/0!</v>
      </c>
      <c r="N26" s="214" t="n">
        <f aca="false">AVERAGE(TableDE1!N26:N35)</f>
        <v>6.25269957833493</v>
      </c>
      <c r="O26" s="215" t="n">
        <f aca="false">AVERAGE(TableDE1!O26:O35)</f>
        <v>0.948992890206693</v>
      </c>
      <c r="P26" s="216" t="n">
        <f aca="false">AVERAGE(TableDE1!P26:P35)</f>
        <v>5317.49904508199</v>
      </c>
      <c r="Q26" s="217" t="n">
        <f aca="false">AVERAGE(TableDE1!Q26:Q35)</f>
        <v>6.58904282176905</v>
      </c>
      <c r="R26" s="218" t="n">
        <v>0</v>
      </c>
      <c r="S26" s="218" t="n">
        <v>0</v>
      </c>
      <c r="T26" s="219" t="n">
        <v>0</v>
      </c>
      <c r="V26" s="158"/>
    </row>
    <row r="27" customFormat="false" ht="12" hidden="true" customHeight="true" outlineLevel="0" collapsed="false">
      <c r="A27" s="145" t="n">
        <f aca="false">A26+1</f>
        <v>1887</v>
      </c>
      <c r="B27" s="209" t="e">
        <f aca="false">#REF!</f>
        <v>#REF!</v>
      </c>
      <c r="C27" s="220" t="e">
        <f aca="false">#REF!</f>
        <v>#REF!</v>
      </c>
      <c r="D27" s="221"/>
      <c r="E27" s="220"/>
      <c r="F27" s="222" t="e">
        <f aca="false">1000000*B27/R27</f>
        <v>#REF!</v>
      </c>
      <c r="G27" s="223" t="e">
        <f aca="false">1000000*C27/R27</f>
        <v>#REF!</v>
      </c>
      <c r="H27" s="224" t="e">
        <f aca="false">1000000*B27/S27</f>
        <v>#REF!</v>
      </c>
      <c r="I27" s="225" t="e">
        <f aca="false">1000000*C27/S27</f>
        <v>#REF!</v>
      </c>
      <c r="J27" s="91" t="e">
        <f aca="false">1000000*D27/R27</f>
        <v>#DIV/0!</v>
      </c>
      <c r="K27" s="91" t="e">
        <f aca="false">1000000*E27/R27</f>
        <v>#DIV/0!</v>
      </c>
      <c r="L27" s="224" t="e">
        <f aca="false">1000000*D27/S27</f>
        <v>#DIV/0!</v>
      </c>
      <c r="M27" s="226" t="e">
        <f aca="false">1000000*E27/S27</f>
        <v>#DIV/0!</v>
      </c>
      <c r="N27" s="214" t="n">
        <f aca="false">AVERAGE(TableDE1!N27:N36)</f>
        <v>6.1671226720931</v>
      </c>
      <c r="O27" s="215" t="n">
        <f aca="false">AVERAGE(TableDE1!O27:O36)</f>
        <v>0.949083767266281</v>
      </c>
      <c r="P27" s="216" t="n">
        <f aca="false">AVERAGE(TableDE1!P27:P36)</f>
        <v>5430.69873284802</v>
      </c>
      <c r="Q27" s="217" t="n">
        <f aca="false">AVERAGE(TableDE1!Q27:Q36)</f>
        <v>6.49817207107197</v>
      </c>
      <c r="R27" s="218" t="n">
        <v>0</v>
      </c>
      <c r="S27" s="218" t="n">
        <v>0</v>
      </c>
      <c r="T27" s="219" t="n">
        <v>0</v>
      </c>
      <c r="V27" s="158"/>
    </row>
    <row r="28" customFormat="false" ht="12" hidden="true" customHeight="true" outlineLevel="0" collapsed="false">
      <c r="A28" s="145" t="n">
        <f aca="false">A27+1</f>
        <v>1888</v>
      </c>
      <c r="B28" s="209" t="e">
        <f aca="false">#REF!</f>
        <v>#REF!</v>
      </c>
      <c r="C28" s="220" t="e">
        <f aca="false">#REF!</f>
        <v>#REF!</v>
      </c>
      <c r="D28" s="221"/>
      <c r="E28" s="220"/>
      <c r="F28" s="222" t="e">
        <f aca="false">1000000*B28/R28</f>
        <v>#REF!</v>
      </c>
      <c r="G28" s="223" t="e">
        <f aca="false">1000000*C28/R28</f>
        <v>#REF!</v>
      </c>
      <c r="H28" s="224" t="e">
        <f aca="false">1000000*B28/S28</f>
        <v>#REF!</v>
      </c>
      <c r="I28" s="225" t="e">
        <f aca="false">1000000*C28/S28</f>
        <v>#REF!</v>
      </c>
      <c r="J28" s="91" t="e">
        <f aca="false">1000000*D28/R28</f>
        <v>#DIV/0!</v>
      </c>
      <c r="K28" s="91" t="e">
        <f aca="false">1000000*E28/R28</f>
        <v>#DIV/0!</v>
      </c>
      <c r="L28" s="224" t="e">
        <f aca="false">1000000*D28/S28</f>
        <v>#DIV/0!</v>
      </c>
      <c r="M28" s="226" t="e">
        <f aca="false">1000000*E28/S28</f>
        <v>#DIV/0!</v>
      </c>
      <c r="N28" s="214" t="n">
        <f aca="false">AVERAGE(TableDE1!N28:N37)</f>
        <v>6.0658990756142</v>
      </c>
      <c r="O28" s="215" t="n">
        <f aca="false">AVERAGE(TableDE1!O28:O37)</f>
        <v>0.948907359853923</v>
      </c>
      <c r="P28" s="216" t="n">
        <f aca="false">AVERAGE(TableDE1!P28:P37)</f>
        <v>5555.24096011862</v>
      </c>
      <c r="Q28" s="217" t="n">
        <f aca="false">AVERAGE(TableDE1!Q28:Q37)</f>
        <v>6.39287239444092</v>
      </c>
      <c r="R28" s="218" t="n">
        <v>0</v>
      </c>
      <c r="S28" s="218" t="n">
        <v>0</v>
      </c>
      <c r="T28" s="219" t="n">
        <v>0</v>
      </c>
      <c r="V28" s="158"/>
    </row>
    <row r="29" customFormat="false" ht="12" hidden="true" customHeight="true" outlineLevel="0" collapsed="false">
      <c r="A29" s="145" t="n">
        <f aca="false">A28+1</f>
        <v>1889</v>
      </c>
      <c r="B29" s="209" t="e">
        <f aca="false">#REF!</f>
        <v>#REF!</v>
      </c>
      <c r="C29" s="220" t="e">
        <f aca="false">#REF!</f>
        <v>#REF!</v>
      </c>
      <c r="D29" s="221"/>
      <c r="E29" s="220"/>
      <c r="F29" s="222" t="e">
        <f aca="false">1000000*B29/R29</f>
        <v>#REF!</v>
      </c>
      <c r="G29" s="223" t="e">
        <f aca="false">1000000*C29/R29</f>
        <v>#REF!</v>
      </c>
      <c r="H29" s="224" t="e">
        <f aca="false">1000000*B29/S29</f>
        <v>#REF!</v>
      </c>
      <c r="I29" s="225" t="e">
        <f aca="false">1000000*C29/S29</f>
        <v>#REF!</v>
      </c>
      <c r="J29" s="91" t="e">
        <f aca="false">1000000*D29/R29</f>
        <v>#DIV/0!</v>
      </c>
      <c r="K29" s="91" t="e">
        <f aca="false">1000000*E29/R29</f>
        <v>#DIV/0!</v>
      </c>
      <c r="L29" s="224" t="e">
        <f aca="false">1000000*D29/S29</f>
        <v>#DIV/0!</v>
      </c>
      <c r="M29" s="226" t="e">
        <f aca="false">1000000*E29/S29</f>
        <v>#DIV/0!</v>
      </c>
      <c r="N29" s="214" t="n">
        <f aca="false">AVERAGE(TableDE1!N29:N38)</f>
        <v>5.97342881818344</v>
      </c>
      <c r="O29" s="215" t="n">
        <f aca="false">AVERAGE(TableDE1!O29:O38)</f>
        <v>0.948834825628738</v>
      </c>
      <c r="P29" s="216" t="n">
        <f aca="false">AVERAGE(TableDE1!P29:P38)</f>
        <v>5694.08979318432</v>
      </c>
      <c r="Q29" s="217" t="n">
        <f aca="false">AVERAGE(TableDE1!Q29:Q38)</f>
        <v>6.29591863056704</v>
      </c>
      <c r="R29" s="218" t="n">
        <v>0</v>
      </c>
      <c r="S29" s="218" t="n">
        <v>0</v>
      </c>
      <c r="T29" s="219" t="n">
        <v>0</v>
      </c>
      <c r="V29" s="158"/>
    </row>
    <row r="30" customFormat="false" ht="12" hidden="false" customHeight="false" outlineLevel="0" collapsed="false">
      <c r="A30" s="160" t="n">
        <v>1890</v>
      </c>
      <c r="B30" s="229" t="n">
        <f aca="false">AVERAGE(TableDE1!B30:B39)</f>
        <v>26.2092</v>
      </c>
      <c r="C30" s="230" t="n">
        <f aca="false">AVERAGE(TableDE1!C30:C39)</f>
        <v>154.5943</v>
      </c>
      <c r="D30" s="161" t="n">
        <f aca="false">AVERAGE(TableDE1!D30:D39)</f>
        <v>185.558549316139</v>
      </c>
      <c r="E30" s="231" t="n">
        <f aca="false">AVERAGE(TableDE1!E30:E39)</f>
        <v>1094.03605362622</v>
      </c>
      <c r="F30" s="165" t="n">
        <f aca="false">AVERAGE(TableDE1!F30:F39)</f>
        <v>503.297255544273</v>
      </c>
      <c r="G30" s="232" t="n">
        <f aca="false">AVERAGE(TableDE1!G30:G39)</f>
        <v>2972.7954919869</v>
      </c>
      <c r="H30" s="166" t="n">
        <f aca="false">AVERAGE(TableDE1!H30:H39)</f>
        <v>862.920475851366</v>
      </c>
      <c r="I30" s="167" t="n">
        <f aca="false">AVERAGE(TableDE1!I30:I39)</f>
        <v>5097.57975406424</v>
      </c>
      <c r="J30" s="108" t="n">
        <f aca="false">AVERAGE(TableDE1!J30:J39)</f>
        <v>3563.51112053502</v>
      </c>
      <c r="K30" s="108" t="n">
        <f aca="false">AVERAGE(TableDE1!K30:K39)</f>
        <v>21038.7195344936</v>
      </c>
      <c r="L30" s="166" t="n">
        <f aca="false">AVERAGE(TableDE1!L30:L39)</f>
        <v>6109.73382303695</v>
      </c>
      <c r="M30" s="233" t="n">
        <f aca="false">AVERAGE(TableDE1!M30:M39)</f>
        <v>36075.7489820912</v>
      </c>
      <c r="N30" s="234" t="n">
        <f aca="false">AVERAGE(TableDE1!N30:N39)</f>
        <v>5.92305132537533</v>
      </c>
      <c r="O30" s="235" t="n">
        <f aca="false">AVERAGE(TableDE1!O30:O39)</f>
        <v>0.949071508744812</v>
      </c>
      <c r="P30" s="236" t="n">
        <f aca="false">AVERAGE(TableDE1!P30:P39)</f>
        <v>5798.59756100526</v>
      </c>
      <c r="Q30" s="237" t="n">
        <f aca="false">AVERAGE(TableDE1!Q30:Q39)</f>
        <v>6.24109189335699</v>
      </c>
      <c r="R30" s="238" t="n">
        <f aca="false">AVERAGE(TableDE1!R30:R39)</f>
        <v>51934.2</v>
      </c>
      <c r="S30" s="238" t="n">
        <f aca="false">AVERAGE(TableDE1!S30:S39)</f>
        <v>30287.6930223432</v>
      </c>
      <c r="T30" s="239" t="n">
        <f aca="false">AVERAGE(TableDE1!T30:T39)</f>
        <v>23464</v>
      </c>
      <c r="V30" s="158"/>
    </row>
    <row r="31" customFormat="false" ht="12" hidden="true" customHeight="true" outlineLevel="0" collapsed="false">
      <c r="A31" s="145" t="n">
        <f aca="false">A30+1</f>
        <v>1891</v>
      </c>
      <c r="B31" s="146" t="e">
        <f aca="false">#REF!</f>
        <v>#REF!</v>
      </c>
      <c r="C31" s="220" t="e">
        <f aca="false">#REF!</f>
        <v>#REF!</v>
      </c>
      <c r="D31" s="148"/>
      <c r="E31" s="147"/>
      <c r="F31" s="150" t="e">
        <f aca="false">1000000*B31/R31</f>
        <v>#REF!</v>
      </c>
      <c r="G31" s="213" t="e">
        <f aca="false">1000000*C31/R31</f>
        <v>#REF!</v>
      </c>
      <c r="H31" s="151" t="e">
        <f aca="false">1000000*B31/S31</f>
        <v>#REF!</v>
      </c>
      <c r="I31" s="152" t="e">
        <f aca="false">1000000*C31/S31</f>
        <v>#REF!</v>
      </c>
      <c r="J31" s="90" t="e">
        <f aca="false">1000000*D31/R31</f>
        <v>#DIV/0!</v>
      </c>
      <c r="K31" s="90" t="e">
        <f aca="false">1000000*E31/R31</f>
        <v>#DIV/0!</v>
      </c>
      <c r="L31" s="151" t="e">
        <f aca="false">1000000*D31/S31</f>
        <v>#DIV/0!</v>
      </c>
      <c r="M31" s="193" t="e">
        <f aca="false">1000000*E31/S31</f>
        <v>#DIV/0!</v>
      </c>
      <c r="N31" s="214" t="n">
        <f aca="false">AVERAGE(TableDE1!N31:N40)</f>
        <v>5.91509837933618</v>
      </c>
      <c r="O31" s="215" t="n">
        <f aca="false">AVERAGE(TableDE1!O31:O40)</f>
        <v>0.948832899169217</v>
      </c>
      <c r="P31" s="216" t="n">
        <f aca="false">AVERAGE(TableDE1!P31:P40)</f>
        <v>5871.01839017174</v>
      </c>
      <c r="Q31" s="153" t="n">
        <f aca="false">AVERAGE(TableDE1!Q31:Q40)</f>
        <v>6.23434119972342</v>
      </c>
      <c r="R31" s="111" t="n">
        <v>0</v>
      </c>
      <c r="S31" s="218" t="n">
        <v>0</v>
      </c>
      <c r="T31" s="219" t="n">
        <v>0</v>
      </c>
      <c r="V31" s="158"/>
    </row>
    <row r="32" customFormat="false" ht="12" hidden="true" customHeight="true" outlineLevel="0" collapsed="false">
      <c r="A32" s="145" t="n">
        <f aca="false">A31+1</f>
        <v>1892</v>
      </c>
      <c r="B32" s="146" t="e">
        <f aca="false">#REF!</f>
        <v>#REF!</v>
      </c>
      <c r="C32" s="220" t="e">
        <f aca="false">#REF!</f>
        <v>#REF!</v>
      </c>
      <c r="D32" s="148"/>
      <c r="E32" s="147"/>
      <c r="F32" s="150" t="e">
        <f aca="false">1000000*B32/R32</f>
        <v>#REF!</v>
      </c>
      <c r="G32" s="213" t="e">
        <f aca="false">1000000*C32/R32</f>
        <v>#REF!</v>
      </c>
      <c r="H32" s="151" t="e">
        <f aca="false">1000000*B32/S32</f>
        <v>#REF!</v>
      </c>
      <c r="I32" s="152" t="e">
        <f aca="false">1000000*C32/S32</f>
        <v>#REF!</v>
      </c>
      <c r="J32" s="90" t="e">
        <f aca="false">1000000*D32/R32</f>
        <v>#DIV/0!</v>
      </c>
      <c r="K32" s="90" t="e">
        <f aca="false">1000000*E32/R32</f>
        <v>#DIV/0!</v>
      </c>
      <c r="L32" s="151" t="e">
        <f aca="false">1000000*D32/S32</f>
        <v>#DIV/0!</v>
      </c>
      <c r="M32" s="193" t="e">
        <f aca="false">1000000*E32/S32</f>
        <v>#DIV/0!</v>
      </c>
      <c r="N32" s="214" t="n">
        <f aca="false">AVERAGE(TableDE1!N32:N41)</f>
        <v>5.90777938930059</v>
      </c>
      <c r="O32" s="215" t="n">
        <f aca="false">AVERAGE(TableDE1!O32:O41)</f>
        <v>0.948639689624162</v>
      </c>
      <c r="P32" s="216" t="n">
        <f aca="false">AVERAGE(TableDE1!P32:P41)</f>
        <v>5958.92391775412</v>
      </c>
      <c r="Q32" s="153" t="n">
        <f aca="false">AVERAGE(TableDE1!Q32:Q41)</f>
        <v>6.22800644205161</v>
      </c>
      <c r="R32" s="111" t="n">
        <v>0</v>
      </c>
      <c r="S32" s="218" t="n">
        <v>0</v>
      </c>
      <c r="T32" s="219" t="n">
        <v>0</v>
      </c>
      <c r="V32" s="158"/>
    </row>
    <row r="33" customFormat="false" ht="12" hidden="true" customHeight="true" outlineLevel="0" collapsed="false">
      <c r="A33" s="145" t="n">
        <f aca="false">A32+1</f>
        <v>1893</v>
      </c>
      <c r="B33" s="146" t="e">
        <f aca="false">#REF!</f>
        <v>#REF!</v>
      </c>
      <c r="C33" s="220" t="e">
        <f aca="false">#REF!</f>
        <v>#REF!</v>
      </c>
      <c r="D33" s="148"/>
      <c r="E33" s="147"/>
      <c r="F33" s="150" t="e">
        <f aca="false">1000000*B33/R33</f>
        <v>#REF!</v>
      </c>
      <c r="G33" s="213" t="e">
        <f aca="false">1000000*C33/R33</f>
        <v>#REF!</v>
      </c>
      <c r="H33" s="151" t="e">
        <f aca="false">1000000*B33/S33</f>
        <v>#REF!</v>
      </c>
      <c r="I33" s="152" t="e">
        <f aca="false">1000000*C33/S33</f>
        <v>#REF!</v>
      </c>
      <c r="J33" s="90" t="e">
        <f aca="false">1000000*D33/R33</f>
        <v>#DIV/0!</v>
      </c>
      <c r="K33" s="90" t="e">
        <f aca="false">1000000*E33/R33</f>
        <v>#DIV/0!</v>
      </c>
      <c r="L33" s="151" t="e">
        <f aca="false">1000000*D33/S33</f>
        <v>#DIV/0!</v>
      </c>
      <c r="M33" s="193" t="e">
        <f aca="false">1000000*E33/S33</f>
        <v>#DIV/0!</v>
      </c>
      <c r="N33" s="214" t="n">
        <f aca="false">AVERAGE(TableDE1!N33:N42)</f>
        <v>5.93848740294382</v>
      </c>
      <c r="O33" s="215" t="n">
        <f aca="false">AVERAGE(TableDE1!O33:O42)</f>
        <v>0.947987755075464</v>
      </c>
      <c r="P33" s="216" t="n">
        <f aca="false">AVERAGE(TableDE1!P33:P42)</f>
        <v>6020.68334317654</v>
      </c>
      <c r="Q33" s="153" t="n">
        <f aca="false">AVERAGE(TableDE1!Q33:Q42)</f>
        <v>6.26488187528035</v>
      </c>
      <c r="R33" s="111" t="n">
        <v>0</v>
      </c>
      <c r="S33" s="218" t="n">
        <v>0</v>
      </c>
      <c r="T33" s="219" t="n">
        <v>0</v>
      </c>
      <c r="V33" s="158"/>
    </row>
    <row r="34" customFormat="false" ht="12" hidden="true" customHeight="true" outlineLevel="0" collapsed="false">
      <c r="A34" s="145" t="n">
        <f aca="false">A33+1</f>
        <v>1894</v>
      </c>
      <c r="B34" s="146" t="e">
        <f aca="false">#REF!</f>
        <v>#REF!</v>
      </c>
      <c r="C34" s="220" t="e">
        <f aca="false">#REF!</f>
        <v>#REF!</v>
      </c>
      <c r="D34" s="148"/>
      <c r="E34" s="147"/>
      <c r="F34" s="150" t="e">
        <f aca="false">1000000*B34/R34</f>
        <v>#REF!</v>
      </c>
      <c r="G34" s="213" t="e">
        <f aca="false">1000000*C34/R34</f>
        <v>#REF!</v>
      </c>
      <c r="H34" s="151" t="e">
        <f aca="false">1000000*B34/S34</f>
        <v>#REF!</v>
      </c>
      <c r="I34" s="152" t="e">
        <f aca="false">1000000*C34/S34</f>
        <v>#REF!</v>
      </c>
      <c r="J34" s="90" t="e">
        <f aca="false">1000000*D34/R34</f>
        <v>#DIV/0!</v>
      </c>
      <c r="K34" s="90" t="e">
        <f aca="false">1000000*E34/R34</f>
        <v>#DIV/0!</v>
      </c>
      <c r="L34" s="151" t="e">
        <f aca="false">1000000*D34/S34</f>
        <v>#DIV/0!</v>
      </c>
      <c r="M34" s="193" t="e">
        <f aca="false">1000000*E34/S34</f>
        <v>#DIV/0!</v>
      </c>
      <c r="N34" s="214" t="n">
        <f aca="false">AVERAGE(TableDE1!N34:N43)</f>
        <v>5.95068440097207</v>
      </c>
      <c r="O34" s="215" t="n">
        <f aca="false">AVERAGE(TableDE1!O34:O43)</f>
        <v>0.947578754206128</v>
      </c>
      <c r="P34" s="216" t="n">
        <f aca="false">AVERAGE(TableDE1!P34:P43)</f>
        <v>6083.33747579601</v>
      </c>
      <c r="Q34" s="153" t="n">
        <f aca="false">AVERAGE(TableDE1!Q34:Q43)</f>
        <v>6.28043579194296</v>
      </c>
      <c r="R34" s="111" t="n">
        <v>0</v>
      </c>
      <c r="S34" s="218" t="n">
        <v>0</v>
      </c>
      <c r="T34" s="219" t="n">
        <v>0</v>
      </c>
      <c r="V34" s="158"/>
    </row>
    <row r="35" customFormat="false" ht="12" hidden="true" customHeight="true" outlineLevel="0" collapsed="false">
      <c r="A35" s="145" t="n">
        <f aca="false">A34+1</f>
        <v>1895</v>
      </c>
      <c r="B35" s="146" t="e">
        <f aca="false">#REF!</f>
        <v>#REF!</v>
      </c>
      <c r="C35" s="220" t="e">
        <f aca="false">#REF!</f>
        <v>#REF!</v>
      </c>
      <c r="D35" s="148"/>
      <c r="E35" s="147"/>
      <c r="F35" s="150" t="e">
        <f aca="false">1000000*B35/R35</f>
        <v>#REF!</v>
      </c>
      <c r="G35" s="213" t="e">
        <f aca="false">1000000*C35/R35</f>
        <v>#REF!</v>
      </c>
      <c r="H35" s="151" t="e">
        <f aca="false">1000000*B35/S35</f>
        <v>#REF!</v>
      </c>
      <c r="I35" s="152" t="e">
        <f aca="false">1000000*C35/S35</f>
        <v>#REF!</v>
      </c>
      <c r="J35" s="90" t="e">
        <f aca="false">1000000*D35/R35</f>
        <v>#DIV/0!</v>
      </c>
      <c r="K35" s="90" t="e">
        <f aca="false">1000000*E35/R35</f>
        <v>#DIV/0!</v>
      </c>
      <c r="L35" s="151" t="e">
        <f aca="false">1000000*D35/S35</f>
        <v>#DIV/0!</v>
      </c>
      <c r="M35" s="193" t="e">
        <f aca="false">1000000*E35/S35</f>
        <v>#DIV/0!</v>
      </c>
      <c r="N35" s="214" t="n">
        <f aca="false">AVERAGE(TableDE1!N35:N44)</f>
        <v>5.94977773564901</v>
      </c>
      <c r="O35" s="215" t="n">
        <f aca="false">AVERAGE(TableDE1!O35:O44)</f>
        <v>0.947705470481203</v>
      </c>
      <c r="P35" s="216" t="n">
        <f aca="false">AVERAGE(TableDE1!P35:P44)</f>
        <v>6175.25011126596</v>
      </c>
      <c r="Q35" s="153" t="n">
        <f aca="false">AVERAGE(TableDE1!Q35:Q44)</f>
        <v>6.27863595314126</v>
      </c>
      <c r="R35" s="111" t="n">
        <v>0</v>
      </c>
      <c r="S35" s="218" t="n">
        <v>0</v>
      </c>
      <c r="T35" s="219" t="n">
        <v>0</v>
      </c>
      <c r="V35" s="158"/>
    </row>
    <row r="36" customFormat="false" ht="12" hidden="true" customHeight="true" outlineLevel="0" collapsed="false">
      <c r="A36" s="145" t="n">
        <f aca="false">A35+1</f>
        <v>1896</v>
      </c>
      <c r="B36" s="146" t="e">
        <f aca="false">#REF!</f>
        <v>#REF!</v>
      </c>
      <c r="C36" s="220" t="e">
        <f aca="false">#REF!</f>
        <v>#REF!</v>
      </c>
      <c r="D36" s="148"/>
      <c r="E36" s="147"/>
      <c r="F36" s="150" t="e">
        <f aca="false">1000000*B36/R36</f>
        <v>#REF!</v>
      </c>
      <c r="G36" s="213" t="e">
        <f aca="false">1000000*C36/R36</f>
        <v>#REF!</v>
      </c>
      <c r="H36" s="151" t="e">
        <f aca="false">1000000*B36/S36</f>
        <v>#REF!</v>
      </c>
      <c r="I36" s="152" t="e">
        <f aca="false">1000000*C36/S36</f>
        <v>#REF!</v>
      </c>
      <c r="J36" s="90" t="e">
        <f aca="false">1000000*D36/R36</f>
        <v>#DIV/0!</v>
      </c>
      <c r="K36" s="90" t="e">
        <f aca="false">1000000*E36/R36</f>
        <v>#DIV/0!</v>
      </c>
      <c r="L36" s="151" t="e">
        <f aca="false">1000000*D36/S36</f>
        <v>#DIV/0!</v>
      </c>
      <c r="M36" s="193" t="e">
        <f aca="false">1000000*E36/S36</f>
        <v>#DIV/0!</v>
      </c>
      <c r="N36" s="214" t="n">
        <f aca="false">AVERAGE(TableDE1!N36:N45)</f>
        <v>5.95338518597375</v>
      </c>
      <c r="O36" s="215" t="n">
        <f aca="false">AVERAGE(TableDE1!O36:O45)</f>
        <v>0.947424289073112</v>
      </c>
      <c r="P36" s="216" t="n">
        <f aca="false">AVERAGE(TableDE1!P36:P45)</f>
        <v>6270.66779463551</v>
      </c>
      <c r="Q36" s="153" t="n">
        <f aca="false">AVERAGE(TableDE1!Q36:Q45)</f>
        <v>6.28426168101694</v>
      </c>
      <c r="R36" s="111" t="n">
        <v>0</v>
      </c>
      <c r="S36" s="218" t="n">
        <v>0</v>
      </c>
      <c r="T36" s="219" t="n">
        <v>0</v>
      </c>
      <c r="V36" s="158"/>
    </row>
    <row r="37" customFormat="false" ht="12" hidden="true" customHeight="true" outlineLevel="0" collapsed="false">
      <c r="A37" s="145" t="n">
        <f aca="false">A36+1</f>
        <v>1897</v>
      </c>
      <c r="B37" s="146" t="e">
        <f aca="false">#REF!</f>
        <v>#REF!</v>
      </c>
      <c r="C37" s="220" t="e">
        <f aca="false">#REF!</f>
        <v>#REF!</v>
      </c>
      <c r="D37" s="148"/>
      <c r="E37" s="147"/>
      <c r="F37" s="150" t="e">
        <f aca="false">1000000*B37/R37</f>
        <v>#REF!</v>
      </c>
      <c r="G37" s="213" t="e">
        <f aca="false">1000000*C37/R37</f>
        <v>#REF!</v>
      </c>
      <c r="H37" s="151" t="e">
        <f aca="false">1000000*B37/S37</f>
        <v>#REF!</v>
      </c>
      <c r="I37" s="152" t="e">
        <f aca="false">1000000*C37/S37</f>
        <v>#REF!</v>
      </c>
      <c r="J37" s="90" t="e">
        <f aca="false">1000000*D37/R37</f>
        <v>#DIV/0!</v>
      </c>
      <c r="K37" s="90" t="e">
        <f aca="false">1000000*E37/R37</f>
        <v>#DIV/0!</v>
      </c>
      <c r="L37" s="151" t="e">
        <f aca="false">1000000*D37/S37</f>
        <v>#DIV/0!</v>
      </c>
      <c r="M37" s="193" t="e">
        <f aca="false">1000000*E37/S37</f>
        <v>#DIV/0!</v>
      </c>
      <c r="N37" s="214" t="n">
        <f aca="false">AVERAGE(TableDE1!N37:N46)</f>
        <v>5.98788234781746</v>
      </c>
      <c r="O37" s="215" t="n">
        <f aca="false">AVERAGE(TableDE1!O37:O46)</f>
        <v>0.94717866784225</v>
      </c>
      <c r="P37" s="216" t="n">
        <f aca="false">AVERAGE(TableDE1!P37:P46)</f>
        <v>6333.90671160958</v>
      </c>
      <c r="Q37" s="153" t="n">
        <f aca="false">AVERAGE(TableDE1!Q37:Q46)</f>
        <v>6.32227131502168</v>
      </c>
      <c r="R37" s="111" t="n">
        <v>0</v>
      </c>
      <c r="S37" s="218" t="n">
        <v>0</v>
      </c>
      <c r="T37" s="219" t="n">
        <v>0</v>
      </c>
      <c r="V37" s="158"/>
    </row>
    <row r="38" customFormat="false" ht="12" hidden="true" customHeight="true" outlineLevel="0" collapsed="false">
      <c r="A38" s="145" t="n">
        <f aca="false">A37+1</f>
        <v>1898</v>
      </c>
      <c r="B38" s="146" t="e">
        <f aca="false">#REF!</f>
        <v>#REF!</v>
      </c>
      <c r="C38" s="220" t="e">
        <f aca="false">#REF!</f>
        <v>#REF!</v>
      </c>
      <c r="D38" s="148"/>
      <c r="E38" s="147"/>
      <c r="F38" s="150" t="e">
        <f aca="false">1000000*B38/R38</f>
        <v>#REF!</v>
      </c>
      <c r="G38" s="213" t="e">
        <f aca="false">1000000*C38/R38</f>
        <v>#REF!</v>
      </c>
      <c r="H38" s="151" t="e">
        <f aca="false">1000000*B38/S38</f>
        <v>#REF!</v>
      </c>
      <c r="I38" s="152" t="e">
        <f aca="false">1000000*C38/S38</f>
        <v>#REF!</v>
      </c>
      <c r="J38" s="90" t="e">
        <f aca="false">1000000*D38/R38</f>
        <v>#DIV/0!</v>
      </c>
      <c r="K38" s="90" t="e">
        <f aca="false">1000000*E38/R38</f>
        <v>#DIV/0!</v>
      </c>
      <c r="L38" s="151" t="e">
        <f aca="false">1000000*D38/S38</f>
        <v>#DIV/0!</v>
      </c>
      <c r="M38" s="193" t="e">
        <f aca="false">1000000*E38/S38</f>
        <v>#DIV/0!</v>
      </c>
      <c r="N38" s="214" t="n">
        <f aca="false">AVERAGE(TableDE1!N38:N47)</f>
        <v>6.02324617233785</v>
      </c>
      <c r="O38" s="215" t="n">
        <f aca="false">AVERAGE(TableDE1!O38:O47)</f>
        <v>0.946693606972334</v>
      </c>
      <c r="P38" s="216" t="n">
        <f aca="false">AVERAGE(TableDE1!P38:P47)</f>
        <v>6413.54140053673</v>
      </c>
      <c r="Q38" s="153" t="n">
        <f aca="false">AVERAGE(TableDE1!Q38:Q47)</f>
        <v>6.36275131142717</v>
      </c>
      <c r="R38" s="111" t="n">
        <v>0</v>
      </c>
      <c r="S38" s="218" t="n">
        <v>0</v>
      </c>
      <c r="T38" s="219" t="n">
        <v>0</v>
      </c>
      <c r="V38" s="158"/>
    </row>
    <row r="39" customFormat="false" ht="12" hidden="true" customHeight="true" outlineLevel="0" collapsed="false">
      <c r="A39" s="145" t="n">
        <f aca="false">A38+1</f>
        <v>1899</v>
      </c>
      <c r="B39" s="146" t="e">
        <f aca="false">#REF!</f>
        <v>#REF!</v>
      </c>
      <c r="C39" s="220" t="e">
        <f aca="false">#REF!</f>
        <v>#REF!</v>
      </c>
      <c r="D39" s="148"/>
      <c r="E39" s="147"/>
      <c r="F39" s="150" t="e">
        <f aca="false">1000000*B39/R39</f>
        <v>#REF!</v>
      </c>
      <c r="G39" s="213" t="e">
        <f aca="false">1000000*C39/R39</f>
        <v>#REF!</v>
      </c>
      <c r="H39" s="151" t="e">
        <f aca="false">1000000*B39/S39</f>
        <v>#REF!</v>
      </c>
      <c r="I39" s="152" t="e">
        <f aca="false">1000000*C39/S39</f>
        <v>#REF!</v>
      </c>
      <c r="J39" s="90" t="e">
        <f aca="false">1000000*D39/R39</f>
        <v>#DIV/0!</v>
      </c>
      <c r="K39" s="90" t="e">
        <f aca="false">1000000*E39/R39</f>
        <v>#DIV/0!</v>
      </c>
      <c r="L39" s="151" t="e">
        <f aca="false">1000000*D39/S39</f>
        <v>#DIV/0!</v>
      </c>
      <c r="M39" s="193" t="e">
        <f aca="false">1000000*E39/S39</f>
        <v>#DIV/0!</v>
      </c>
      <c r="N39" s="214" t="n">
        <f aca="false">AVERAGE(TableDE1!N39:N48)</f>
        <v>6.09303334954454</v>
      </c>
      <c r="O39" s="215" t="n">
        <f aca="false">AVERAGE(TableDE1!O39:O48)</f>
        <v>0.946079987962714</v>
      </c>
      <c r="P39" s="216" t="n">
        <f aca="false">AVERAGE(TableDE1!P39:P48)</f>
        <v>6447.55027125418</v>
      </c>
      <c r="Q39" s="153" t="n">
        <f aca="false">AVERAGE(TableDE1!Q39:Q48)</f>
        <v>6.44061055868126</v>
      </c>
      <c r="R39" s="111" t="n">
        <v>0</v>
      </c>
      <c r="S39" s="218" t="n">
        <v>0</v>
      </c>
      <c r="T39" s="219" t="n">
        <v>0</v>
      </c>
      <c r="V39" s="158"/>
    </row>
    <row r="40" customFormat="false" ht="12" hidden="false" customHeight="false" outlineLevel="0" collapsed="false">
      <c r="A40" s="131" t="n">
        <v>1900</v>
      </c>
      <c r="B40" s="240" t="n">
        <f aca="false">AVERAGE(TableDE1!B40:B49)</f>
        <v>37.4087</v>
      </c>
      <c r="C40" s="241" t="n">
        <f aca="false">AVERAGE(TableDE1!C40:C49)</f>
        <v>228.2181</v>
      </c>
      <c r="D40" s="132" t="n">
        <f aca="false">AVERAGE(TableDE1!D40:D49)</f>
        <v>238.920056437344</v>
      </c>
      <c r="E40" s="242" t="n">
        <f aca="false">AVERAGE(TableDE1!E40:E49)</f>
        <v>1458.20721144155</v>
      </c>
      <c r="F40" s="136" t="n">
        <f aca="false">AVERAGE(TableDE1!F40:F49)</f>
        <v>622.639040417233</v>
      </c>
      <c r="G40" s="243" t="n">
        <f aca="false">AVERAGE(TableDE1!G40:G49)</f>
        <v>3800.37618894663</v>
      </c>
      <c r="H40" s="138" t="n">
        <f aca="false">AVERAGE(TableDE1!H40:H49)</f>
        <v>1077.55252801164</v>
      </c>
      <c r="I40" s="139" t="n">
        <f aca="false">AVERAGE(TableDE1!I40:I49)</f>
        <v>6576.29820249799</v>
      </c>
      <c r="J40" s="137" t="n">
        <f aca="false">AVERAGE(TableDE1!J40:J49)</f>
        <v>3982.47463009834</v>
      </c>
      <c r="K40" s="243" t="n">
        <f aca="false">AVERAGE(TableDE1!K40:K49)</f>
        <v>24318.6077904198</v>
      </c>
      <c r="L40" s="138" t="n">
        <f aca="false">AVERAGE(TableDE1!L40:L49)</f>
        <v>6889.87694453932</v>
      </c>
      <c r="M40" s="244" t="n">
        <f aca="false">AVERAGE(TableDE1!M40:M49)</f>
        <v>42067.6864907783</v>
      </c>
      <c r="N40" s="245" t="n">
        <f aca="false">AVERAGE(TableDE1!N40:N49)</f>
        <v>6.11238551757944</v>
      </c>
      <c r="O40" s="246" t="n">
        <f aca="false">AVERAGE(TableDE1!O40:O49)</f>
        <v>0.944942963775884</v>
      </c>
      <c r="P40" s="247" t="n">
        <f aca="false">AVERAGE(TableDE1!P40:P49)</f>
        <v>6510.05652061505</v>
      </c>
      <c r="Q40" s="140" t="n">
        <f aca="false">AVERAGE(TableDE1!Q40:Q49)</f>
        <v>6.46875067721145</v>
      </c>
      <c r="R40" s="248" t="n">
        <f aca="false">AVERAGE(TableDE1!R40:R49)</f>
        <v>59885.1</v>
      </c>
      <c r="S40" s="249" t="n">
        <f aca="false">AVERAGE(TableDE1!S40:S49)</f>
        <v>34618.5701946695</v>
      </c>
      <c r="T40" s="250" t="n">
        <f aca="false">AVERAGE(TableDE1!T40:T49)</f>
        <v>27045</v>
      </c>
      <c r="V40" s="158"/>
    </row>
    <row r="41" customFormat="false" ht="12" hidden="true" customHeight="true" outlineLevel="0" collapsed="false">
      <c r="A41" s="145" t="n">
        <f aca="false">A40+1</f>
        <v>1901</v>
      </c>
      <c r="B41" s="209" t="e">
        <f aca="false">#REF!</f>
        <v>#REF!</v>
      </c>
      <c r="C41" s="227" t="e">
        <f aca="false">#REF!</f>
        <v>#REF!</v>
      </c>
      <c r="D41" s="146"/>
      <c r="E41" s="220" t="e">
        <f aca="false">C41*(TableDE15a!$B$149/AVERAGE(TableDE15a!$B$39:$B$48))/1.95583</f>
        <v>#REF!</v>
      </c>
      <c r="F41" s="150" t="e">
        <f aca="false">1000000*B41/R41</f>
        <v>#REF!</v>
      </c>
      <c r="G41" s="213" t="e">
        <f aca="false">1000000*C41/R41</f>
        <v>#REF!</v>
      </c>
      <c r="H41" s="151" t="e">
        <f aca="false">1000000*B41/S41</f>
        <v>#REF!</v>
      </c>
      <c r="I41" s="152" t="e">
        <f aca="false">1000000*C41/S41</f>
        <v>#REF!</v>
      </c>
      <c r="J41" s="89" t="e">
        <f aca="false">1000000*D41/R41</f>
        <v>#REF!</v>
      </c>
      <c r="K41" s="213" t="e">
        <f aca="false">1000000*E41/R41</f>
        <v>#REF!</v>
      </c>
      <c r="L41" s="151" t="e">
        <f aca="false">1000000*D41/S41</f>
        <v>#REF!</v>
      </c>
      <c r="M41" s="193" t="e">
        <f aca="false">1000000*E41/S41</f>
        <v>#REF!</v>
      </c>
      <c r="N41" s="214" t="n">
        <f aca="false">AVERAGE(TableDE1!N41:N50)</f>
        <v>6.10615847709806</v>
      </c>
      <c r="O41" s="251" t="n">
        <f aca="false">AVERAGE(TableDE1!O41:O50)</f>
        <v>0.943541431679553</v>
      </c>
      <c r="P41" s="252" t="n">
        <f aca="false">AVERAGE(TableDE1!P41:P50)</f>
        <v>6575.51252269648</v>
      </c>
      <c r="Q41" s="153" t="n">
        <f aca="false">AVERAGE(TableDE1!Q41:Q50)</f>
        <v>6.47183108572275</v>
      </c>
      <c r="R41" s="253" t="e">
        <f aca="false">AVERAGE(#REF!)</f>
        <v>#REF!</v>
      </c>
      <c r="S41" s="218" t="e">
        <f aca="false">AVERAGE(#REF!)</f>
        <v>#REF!</v>
      </c>
      <c r="T41" s="219" t="e">
        <f aca="false">AVERAGE(#REF!)</f>
        <v>#REF!</v>
      </c>
      <c r="V41" s="158"/>
    </row>
    <row r="42" customFormat="false" ht="12" hidden="true" customHeight="true" outlineLevel="0" collapsed="false">
      <c r="A42" s="145" t="n">
        <f aca="false">A41+1</f>
        <v>1902</v>
      </c>
      <c r="B42" s="209" t="e">
        <f aca="false">#REF!</f>
        <v>#REF!</v>
      </c>
      <c r="C42" s="227" t="e">
        <f aca="false">#REF!</f>
        <v>#REF!</v>
      </c>
      <c r="D42" s="146"/>
      <c r="E42" s="220" t="e">
        <f aca="false">C42*(TableDE15a!$B$149/AVERAGE(TableDE15a!$B$39:$B$48))/1.95583</f>
        <v>#REF!</v>
      </c>
      <c r="F42" s="150" t="e">
        <f aca="false">1000000*B42/R42</f>
        <v>#REF!</v>
      </c>
      <c r="G42" s="213" t="e">
        <f aca="false">1000000*C42/R42</f>
        <v>#REF!</v>
      </c>
      <c r="H42" s="151" t="e">
        <f aca="false">1000000*B42/S42</f>
        <v>#REF!</v>
      </c>
      <c r="I42" s="152" t="e">
        <f aca="false">1000000*C42/S42</f>
        <v>#REF!</v>
      </c>
      <c r="J42" s="89" t="e">
        <f aca="false">1000000*D42/R42</f>
        <v>#REF!</v>
      </c>
      <c r="K42" s="213" t="e">
        <f aca="false">1000000*E42/R42</f>
        <v>#REF!</v>
      </c>
      <c r="L42" s="151" t="e">
        <f aca="false">1000000*D42/S42</f>
        <v>#REF!</v>
      </c>
      <c r="M42" s="193" t="e">
        <f aca="false">1000000*E42/S42</f>
        <v>#REF!</v>
      </c>
      <c r="N42" s="214" t="n">
        <f aca="false">AVERAGE(TableDE1!N42:N51)</f>
        <v>6.06336992322592</v>
      </c>
      <c r="O42" s="215" t="n">
        <f aca="false">AVERAGE(TableDE1!O42:O51)</f>
        <v>0.941978721745673</v>
      </c>
      <c r="P42" s="216" t="n">
        <f aca="false">AVERAGE(TableDE1!P42:P51)</f>
        <v>6679.2307331674</v>
      </c>
      <c r="Q42" s="153" t="n">
        <f aca="false">AVERAGE(TableDE1!Q42:Q51)</f>
        <v>6.43729495716748</v>
      </c>
      <c r="R42" s="253" t="e">
        <f aca="false">AVERAGE(#REF!)</f>
        <v>#REF!</v>
      </c>
      <c r="S42" s="218" t="e">
        <f aca="false">AVERAGE(#REF!)</f>
        <v>#REF!</v>
      </c>
      <c r="T42" s="219" t="e">
        <f aca="false">AVERAGE(#REF!)</f>
        <v>#REF!</v>
      </c>
      <c r="V42" s="158"/>
    </row>
    <row r="43" customFormat="false" ht="15" hidden="true" customHeight="true" outlineLevel="0" collapsed="false">
      <c r="A43" s="145" t="n">
        <f aca="false">A42+1</f>
        <v>1903</v>
      </c>
      <c r="B43" s="209" t="e">
        <f aca="false">#REF!</f>
        <v>#REF!</v>
      </c>
      <c r="C43" s="227" t="e">
        <f aca="false">#REF!</f>
        <v>#REF!</v>
      </c>
      <c r="D43" s="146"/>
      <c r="E43" s="220" t="e">
        <f aca="false">C43*(TableDE15a!$B$149/AVERAGE(TableDE15a!$B$39:$B$48))/1.95583</f>
        <v>#REF!</v>
      </c>
      <c r="F43" s="150" t="e">
        <f aca="false">1000000*B43/R43</f>
        <v>#REF!</v>
      </c>
      <c r="G43" s="213" t="e">
        <f aca="false">1000000*C43/R43</f>
        <v>#REF!</v>
      </c>
      <c r="H43" s="151" t="e">
        <f aca="false">1000000*B43/S43</f>
        <v>#REF!</v>
      </c>
      <c r="I43" s="152" t="e">
        <f aca="false">1000000*C43/S43</f>
        <v>#REF!</v>
      </c>
      <c r="J43" s="89" t="e">
        <f aca="false">1000000*D43/R43</f>
        <v>#REF!</v>
      </c>
      <c r="K43" s="213" t="e">
        <f aca="false">1000000*E43/R43</f>
        <v>#REF!</v>
      </c>
      <c r="L43" s="151" t="e">
        <f aca="false">1000000*D43/S43</f>
        <v>#REF!</v>
      </c>
      <c r="M43" s="193" t="e">
        <f aca="false">1000000*E43/S43</f>
        <v>#REF!</v>
      </c>
      <c r="N43" s="214" t="n">
        <f aca="false">AVERAGE(TableDE1!N43:N52)</f>
        <v>6.0270972733174</v>
      </c>
      <c r="O43" s="215" t="n">
        <f aca="false">AVERAGE(TableDE1!O43:O52)</f>
        <v>0.940463740936039</v>
      </c>
      <c r="P43" s="216" t="n">
        <f aca="false">AVERAGE(TableDE1!P43:P52)</f>
        <v>6806.20253844388</v>
      </c>
      <c r="Q43" s="153" t="n">
        <f aca="false">AVERAGE(TableDE1!Q43:Q52)</f>
        <v>6.40921527067443</v>
      </c>
      <c r="R43" s="253" t="e">
        <f aca="false">AVERAGE(#REF!)</f>
        <v>#REF!</v>
      </c>
      <c r="S43" s="218" t="e">
        <f aca="false">AVERAGE(#REF!)</f>
        <v>#REF!</v>
      </c>
      <c r="T43" s="219" t="e">
        <f aca="false">AVERAGE(#REF!)</f>
        <v>#REF!</v>
      </c>
      <c r="V43" s="158"/>
    </row>
    <row r="44" customFormat="false" ht="12" hidden="true" customHeight="true" outlineLevel="0" collapsed="false">
      <c r="A44" s="145" t="n">
        <f aca="false">A43+1</f>
        <v>1904</v>
      </c>
      <c r="B44" s="209" t="e">
        <f aca="false">#REF!</f>
        <v>#REF!</v>
      </c>
      <c r="C44" s="227" t="e">
        <f aca="false">#REF!</f>
        <v>#REF!</v>
      </c>
      <c r="D44" s="146"/>
      <c r="E44" s="220" t="e">
        <f aca="false">C44*(TableDE15a!$B$149/AVERAGE(TableDE15a!$B$39:$B$48))/1.95583</f>
        <v>#REF!</v>
      </c>
      <c r="F44" s="150" t="e">
        <f aca="false">1000000*B44/R44</f>
        <v>#REF!</v>
      </c>
      <c r="G44" s="213" t="e">
        <f aca="false">1000000*C44/R44</f>
        <v>#REF!</v>
      </c>
      <c r="H44" s="151" t="e">
        <f aca="false">1000000*B44/S44</f>
        <v>#REF!</v>
      </c>
      <c r="I44" s="152" t="e">
        <f aca="false">1000000*C44/S44</f>
        <v>#REF!</v>
      </c>
      <c r="J44" s="89" t="e">
        <f aca="false">1000000*D44/R44</f>
        <v>#REF!</v>
      </c>
      <c r="K44" s="213" t="e">
        <f aca="false">1000000*E44/R44</f>
        <v>#REF!</v>
      </c>
      <c r="L44" s="151" t="e">
        <f aca="false">1000000*D44/S44</f>
        <v>#REF!</v>
      </c>
      <c r="M44" s="193" t="e">
        <f aca="false">1000000*E44/S44</f>
        <v>#REF!</v>
      </c>
      <c r="N44" s="214" t="n">
        <f aca="false">AVERAGE(TableDE1!N44:N53)</f>
        <v>6.04645903833193</v>
      </c>
      <c r="O44" s="215" t="n">
        <f aca="false">AVERAGE(TableDE1!O44:O53)</f>
        <v>0.938446000947453</v>
      </c>
      <c r="P44" s="216" t="n">
        <f aca="false">AVERAGE(TableDE1!P44:P53)</f>
        <v>6892.53383325069</v>
      </c>
      <c r="Q44" s="153" t="n">
        <f aca="false">AVERAGE(TableDE1!Q44:Q53)</f>
        <v>6.44395342661928</v>
      </c>
      <c r="R44" s="253" t="e">
        <f aca="false">AVERAGE(#REF!)</f>
        <v>#REF!</v>
      </c>
      <c r="S44" s="218" t="e">
        <f aca="false">AVERAGE(#REF!)</f>
        <v>#REF!</v>
      </c>
      <c r="T44" s="219" t="e">
        <f aca="false">AVERAGE(#REF!)</f>
        <v>#REF!</v>
      </c>
      <c r="V44" s="158"/>
    </row>
    <row r="45" customFormat="false" ht="12" hidden="true" customHeight="true" outlineLevel="0" collapsed="false">
      <c r="A45" s="145" t="n">
        <f aca="false">A44+1</f>
        <v>1905</v>
      </c>
      <c r="B45" s="209" t="e">
        <f aca="false">#REF!</f>
        <v>#REF!</v>
      </c>
      <c r="C45" s="227" t="e">
        <f aca="false">#REF!</f>
        <v>#REF!</v>
      </c>
      <c r="D45" s="146"/>
      <c r="E45" s="220" t="e">
        <f aca="false">C45*(TableDE15a!$B$149/AVERAGE(TableDE15a!$B$39:$B$48))/1.95583</f>
        <v>#REF!</v>
      </c>
      <c r="F45" s="150" t="e">
        <f aca="false">1000000*B45/R45</f>
        <v>#REF!</v>
      </c>
      <c r="G45" s="213" t="e">
        <f aca="false">1000000*C45/R45</f>
        <v>#REF!</v>
      </c>
      <c r="H45" s="151" t="e">
        <f aca="false">1000000*B45/S45</f>
        <v>#REF!</v>
      </c>
      <c r="I45" s="152" t="e">
        <f aca="false">1000000*C45/S45</f>
        <v>#REF!</v>
      </c>
      <c r="J45" s="89" t="e">
        <f aca="false">1000000*D45/R45</f>
        <v>#REF!</v>
      </c>
      <c r="K45" s="213" t="e">
        <f aca="false">1000000*E45/R45</f>
        <v>#REF!</v>
      </c>
      <c r="L45" s="151" t="e">
        <f aca="false">1000000*D45/S45</f>
        <v>#REF!</v>
      </c>
      <c r="M45" s="193" t="e">
        <f aca="false">1000000*E45/S45</f>
        <v>#REF!</v>
      </c>
      <c r="N45" s="214" t="n">
        <f aca="false">AVERAGE(TableDE1!N45:N54)</f>
        <v>6.04424467366011</v>
      </c>
      <c r="O45" s="215" t="n">
        <f aca="false">AVERAGE(TableDE1!O45:O54)</f>
        <v>0.937255597860337</v>
      </c>
      <c r="P45" s="216" t="n">
        <f aca="false">AVERAGE(TableDE1!P45:P54)</f>
        <v>6928.94753828322</v>
      </c>
      <c r="Q45" s="153" t="n">
        <f aca="false">AVERAGE(TableDE1!Q45:Q54)</f>
        <v>6.45900495099685</v>
      </c>
      <c r="R45" s="253" t="e">
        <f aca="false">AVERAGE(#REF!)</f>
        <v>#REF!</v>
      </c>
      <c r="S45" s="218" t="e">
        <f aca="false">AVERAGE(#REF!)</f>
        <v>#REF!</v>
      </c>
      <c r="T45" s="219" t="e">
        <f aca="false">AVERAGE(#REF!)</f>
        <v>#REF!</v>
      </c>
      <c r="V45" s="158"/>
    </row>
    <row r="46" customFormat="false" ht="12" hidden="true" customHeight="true" outlineLevel="0" collapsed="false">
      <c r="A46" s="145" t="n">
        <f aca="false">A45+1</f>
        <v>1906</v>
      </c>
      <c r="B46" s="209" t="e">
        <f aca="false">#REF!</f>
        <v>#REF!</v>
      </c>
      <c r="C46" s="227" t="e">
        <f aca="false">#REF!</f>
        <v>#REF!</v>
      </c>
      <c r="D46" s="146"/>
      <c r="E46" s="220" t="e">
        <f aca="false">C46*(TableDE15a!$B$149/AVERAGE(TableDE15a!$B$39:$B$48))/1.95583</f>
        <v>#REF!</v>
      </c>
      <c r="F46" s="150" t="e">
        <f aca="false">1000000*B46/R46</f>
        <v>#REF!</v>
      </c>
      <c r="G46" s="213" t="e">
        <f aca="false">1000000*C46/R46</f>
        <v>#REF!</v>
      </c>
      <c r="H46" s="151" t="e">
        <f aca="false">1000000*B46/S46</f>
        <v>#REF!</v>
      </c>
      <c r="I46" s="152" t="e">
        <f aca="false">1000000*C46/S46</f>
        <v>#REF!</v>
      </c>
      <c r="J46" s="89" t="e">
        <f aca="false">1000000*D46/R46</f>
        <v>#REF!</v>
      </c>
      <c r="K46" s="213" t="e">
        <f aca="false">1000000*E46/R46</f>
        <v>#REF!</v>
      </c>
      <c r="L46" s="151" t="e">
        <f aca="false">1000000*D46/S46</f>
        <v>#REF!</v>
      </c>
      <c r="M46" s="193" t="e">
        <f aca="false">1000000*E46/S46</f>
        <v>#REF!</v>
      </c>
      <c r="N46" s="214" t="n">
        <f aca="false">AVERAGE(TableDE1!N46:N55)</f>
        <v>6.02876812662376</v>
      </c>
      <c r="O46" s="215" t="n">
        <f aca="false">AVERAGE(TableDE1!O46:O55)</f>
        <v>0.935985542086299</v>
      </c>
      <c r="P46" s="216" t="n">
        <f aca="false">AVERAGE(TableDE1!P46:P55)</f>
        <v>6948.19921554274</v>
      </c>
      <c r="Q46" s="153" t="n">
        <f aca="false">AVERAGE(TableDE1!Q46:Q55)</f>
        <v>6.49362631986464</v>
      </c>
      <c r="R46" s="253" t="e">
        <f aca="false">AVERAGE(#REF!)</f>
        <v>#REF!</v>
      </c>
      <c r="S46" s="218" t="e">
        <f aca="false">AVERAGE(#REF!)</f>
        <v>#REF!</v>
      </c>
      <c r="T46" s="219" t="e">
        <f aca="false">AVERAGE(#REF!)</f>
        <v>#REF!</v>
      </c>
      <c r="V46" s="158"/>
    </row>
    <row r="47" customFormat="false" ht="12" hidden="true" customHeight="true" outlineLevel="0" collapsed="false">
      <c r="A47" s="145" t="n">
        <f aca="false">A46+1</f>
        <v>1907</v>
      </c>
      <c r="B47" s="209" t="e">
        <f aca="false">#REF!</f>
        <v>#REF!</v>
      </c>
      <c r="C47" s="227" t="e">
        <f aca="false">#REF!</f>
        <v>#REF!</v>
      </c>
      <c r="D47" s="146"/>
      <c r="E47" s="220" t="e">
        <f aca="false">C47*(TableDE15a!$B$149/AVERAGE(TableDE15a!$B$39:$B$48))/1.95583</f>
        <v>#REF!</v>
      </c>
      <c r="F47" s="150" t="e">
        <f aca="false">1000000*B47/R47</f>
        <v>#REF!</v>
      </c>
      <c r="G47" s="213" t="e">
        <f aca="false">1000000*C47/R47</f>
        <v>#REF!</v>
      </c>
      <c r="H47" s="151" t="e">
        <f aca="false">1000000*B47/S47</f>
        <v>#REF!</v>
      </c>
      <c r="I47" s="152" t="e">
        <f aca="false">1000000*C47/S47</f>
        <v>#REF!</v>
      </c>
      <c r="J47" s="89" t="e">
        <f aca="false">1000000*D47/R47</f>
        <v>#REF!</v>
      </c>
      <c r="K47" s="213" t="e">
        <f aca="false">1000000*E47/R47</f>
        <v>#REF!</v>
      </c>
      <c r="L47" s="151" t="e">
        <f aca="false">1000000*D47/S47</f>
        <v>#REF!</v>
      </c>
      <c r="M47" s="193" t="e">
        <f aca="false">1000000*E47/S47</f>
        <v>#REF!</v>
      </c>
      <c r="N47" s="214" t="n">
        <f aca="false">AVERAGE(TableDE1!N47:N56)</f>
        <v>5.96623153997569</v>
      </c>
      <c r="O47" s="215" t="n">
        <f aca="false">AVERAGE(TableDE1!O47:O56)</f>
        <v>0.934531238529968</v>
      </c>
      <c r="P47" s="216" t="n">
        <f aca="false">AVERAGE(TableDE1!P47:P56)</f>
        <v>6990.66553467011</v>
      </c>
      <c r="Q47" s="153" t="n">
        <f aca="false">AVERAGE(TableDE1!Q47:Q56)</f>
        <v>6.51419451188206</v>
      </c>
      <c r="R47" s="253" t="e">
        <f aca="false">AVERAGE(#REF!)</f>
        <v>#REF!</v>
      </c>
      <c r="S47" s="218" t="e">
        <f aca="false">AVERAGE(#REF!)</f>
        <v>#REF!</v>
      </c>
      <c r="T47" s="219" t="e">
        <f aca="false">AVERAGE(#REF!)</f>
        <v>#REF!</v>
      </c>
      <c r="V47" s="158"/>
    </row>
    <row r="48" customFormat="false" ht="12" hidden="true" customHeight="true" outlineLevel="0" collapsed="false">
      <c r="A48" s="145" t="n">
        <f aca="false">A47+1</f>
        <v>1908</v>
      </c>
      <c r="B48" s="209" t="e">
        <f aca="false">#REF!</f>
        <v>#REF!</v>
      </c>
      <c r="C48" s="227" t="e">
        <f aca="false">#REF!</f>
        <v>#REF!</v>
      </c>
      <c r="D48" s="146"/>
      <c r="E48" s="220" t="e">
        <f aca="false">C48*(TableDE15a!$B$149/AVERAGE(TableDE15a!$B$39:$B$48))/1.95583</f>
        <v>#REF!</v>
      </c>
      <c r="F48" s="150" t="e">
        <f aca="false">1000000*B48/R48</f>
        <v>#REF!</v>
      </c>
      <c r="G48" s="213" t="e">
        <f aca="false">1000000*C48/R48</f>
        <v>#REF!</v>
      </c>
      <c r="H48" s="151" t="e">
        <f aca="false">1000000*B48/S48</f>
        <v>#REF!</v>
      </c>
      <c r="I48" s="152" t="e">
        <f aca="false">1000000*C48/S48</f>
        <v>#REF!</v>
      </c>
      <c r="J48" s="89" t="e">
        <f aca="false">1000000*D48/R48</f>
        <v>#REF!</v>
      </c>
      <c r="K48" s="213" t="e">
        <f aca="false">1000000*E48/R48</f>
        <v>#REF!</v>
      </c>
      <c r="L48" s="151" t="e">
        <f aca="false">1000000*D48/S48</f>
        <v>#REF!</v>
      </c>
      <c r="M48" s="193" t="e">
        <f aca="false">1000000*E48/S48</f>
        <v>#REF!</v>
      </c>
      <c r="N48" s="214" t="n">
        <f aca="false">AVERAGE(TableDE1!N48:N57)</f>
        <v>5.87300479744251</v>
      </c>
      <c r="O48" s="215" t="n">
        <f aca="false">AVERAGE(TableDE1!O48:O57)</f>
        <v>0.932830988424663</v>
      </c>
      <c r="P48" s="216" t="n">
        <f aca="false">AVERAGE(TableDE1!P48:P57)</f>
        <v>6997.01668544963</v>
      </c>
      <c r="Q48" s="153" t="n">
        <f aca="false">AVERAGE(TableDE1!Q48:Q57)</f>
        <v>6.5432200336376</v>
      </c>
      <c r="R48" s="253" t="e">
        <f aca="false">AVERAGE(#REF!)</f>
        <v>#REF!</v>
      </c>
      <c r="S48" s="218" t="e">
        <f aca="false">AVERAGE(#REF!)</f>
        <v>#REF!</v>
      </c>
      <c r="T48" s="219" t="e">
        <f aca="false">AVERAGE(#REF!)</f>
        <v>#REF!</v>
      </c>
      <c r="V48" s="158"/>
    </row>
    <row r="49" customFormat="false" ht="12" hidden="true" customHeight="true" outlineLevel="0" collapsed="false">
      <c r="A49" s="145" t="n">
        <f aca="false">A48+1</f>
        <v>1909</v>
      </c>
      <c r="B49" s="209" t="e">
        <f aca="false">#REF!</f>
        <v>#REF!</v>
      </c>
      <c r="C49" s="227" t="e">
        <f aca="false">#REF!</f>
        <v>#REF!</v>
      </c>
      <c r="D49" s="146"/>
      <c r="E49" s="220" t="e">
        <f aca="false">C49*(TableDE15a!$B$149/AVERAGE(TableDE15a!$B$39:$B$48))/1.95583</f>
        <v>#REF!</v>
      </c>
      <c r="F49" s="150" t="e">
        <f aca="false">1000000*B49/R49</f>
        <v>#REF!</v>
      </c>
      <c r="G49" s="213" t="e">
        <f aca="false">1000000*C49/R49</f>
        <v>#REF!</v>
      </c>
      <c r="H49" s="151" t="e">
        <f aca="false">1000000*B49/S49</f>
        <v>#REF!</v>
      </c>
      <c r="I49" s="152" t="e">
        <f aca="false">1000000*C49/S49</f>
        <v>#REF!</v>
      </c>
      <c r="J49" s="89" t="e">
        <f aca="false">1000000*D49/R49</f>
        <v>#REF!</v>
      </c>
      <c r="K49" s="213" t="e">
        <f aca="false">1000000*E49/R49</f>
        <v>#REF!</v>
      </c>
      <c r="L49" s="151" t="e">
        <f aca="false">1000000*D49/S49</f>
        <v>#REF!</v>
      </c>
      <c r="M49" s="193" t="e">
        <f aca="false">1000000*E49/S49</f>
        <v>#REF!</v>
      </c>
      <c r="N49" s="214" t="n">
        <f aca="false">AVERAGE(TableDE1!N49:N58)</f>
        <v>5.72105216095764</v>
      </c>
      <c r="O49" s="215" t="n">
        <f aca="false">AVERAGE(TableDE1!O49:O58)</f>
        <v>0.930895096443942</v>
      </c>
      <c r="P49" s="216" t="n">
        <f aca="false">AVERAGE(TableDE1!P49:P58)</f>
        <v>7030.50931503222</v>
      </c>
      <c r="Q49" s="153" t="n">
        <f aca="false">AVERAGE(TableDE1!Q49:Q58)</f>
        <v>6.52409032172194</v>
      </c>
      <c r="R49" s="253" t="e">
        <f aca="false">AVERAGE(#REF!)</f>
        <v>#REF!</v>
      </c>
      <c r="S49" s="218" t="e">
        <f aca="false">AVERAGE(#REF!)</f>
        <v>#REF!</v>
      </c>
      <c r="T49" s="219" t="e">
        <f aca="false">AVERAGE(#REF!)</f>
        <v>#REF!</v>
      </c>
      <c r="V49" s="158"/>
    </row>
    <row r="50" s="20" customFormat="true" ht="12" hidden="false" customHeight="false" outlineLevel="0" collapsed="false">
      <c r="A50" s="254" t="n">
        <v>1910</v>
      </c>
      <c r="B50" s="209" t="n">
        <f aca="false">AVERAGE(TableDE1!B50:B59)</f>
        <v>74.451507593487</v>
      </c>
      <c r="C50" s="220" t="n">
        <f aca="false">AVERAGE(TableDE1!C50:C59)</f>
        <v>394.021962954767</v>
      </c>
      <c r="D50" s="146" t="n">
        <f aca="false">AVERAGE(TableDE1!D50:D59)</f>
        <v>256.239613614169</v>
      </c>
      <c r="E50" s="228" t="n">
        <f aca="false">AVERAGE(TableDE1!E50:E59)</f>
        <v>1441.19494403829</v>
      </c>
      <c r="F50" s="222" t="n">
        <f aca="false">AVERAGE(TableDE1!F50:F59)</f>
        <v>1127.45111153131</v>
      </c>
      <c r="G50" s="223" t="n">
        <f aca="false">AVERAGE(TableDE1!G50:G59)</f>
        <v>5957.18967506572</v>
      </c>
      <c r="H50" s="224" t="n">
        <f aca="false">AVERAGE(TableDE1!H50:H59)</f>
        <v>1926.05043598655</v>
      </c>
      <c r="I50" s="225" t="n">
        <f aca="false">AVERAGE(TableDE1!I50:I59)</f>
        <v>10205.0090809291</v>
      </c>
      <c r="J50" s="90" t="n">
        <f aca="false">AVERAGE(TableDE1!J50:J59)</f>
        <v>3861.08320353105</v>
      </c>
      <c r="K50" s="213" t="n">
        <f aca="false">AVERAGE(TableDE1!K50:K59)</f>
        <v>21705.0046919789</v>
      </c>
      <c r="L50" s="151" t="n">
        <f aca="false">AVERAGE(TableDE1!L50:L59)</f>
        <v>6673.65126547167</v>
      </c>
      <c r="M50" s="193" t="n">
        <f aca="false">AVERAGE(TableDE1!M50:M59)</f>
        <v>37593.9426785657</v>
      </c>
      <c r="N50" s="214" t="n">
        <f aca="false">AVERAGE(TableDE1!N50:N59)</f>
        <v>5.55991326040128</v>
      </c>
      <c r="O50" s="215"/>
      <c r="P50" s="216"/>
      <c r="Q50" s="217"/>
      <c r="R50" s="255" t="n">
        <f aca="false">AVERAGE(TableDE1!R50:R59)</f>
        <v>66351.5</v>
      </c>
      <c r="S50" s="218" t="n">
        <f aca="false">AVERAGE(TableDE1!S50:S59)</f>
        <v>38488.173139416</v>
      </c>
      <c r="T50" s="219"/>
      <c r="V50" s="158"/>
    </row>
    <row r="51" s="20" customFormat="true" ht="12" hidden="true" customHeight="true" outlineLevel="0" collapsed="false">
      <c r="A51" s="254" t="n">
        <f aca="false">A50+1</f>
        <v>1911</v>
      </c>
      <c r="B51" s="209"/>
      <c r="C51" s="227" t="e">
        <f aca="false">#REF!</f>
        <v>#REF!</v>
      </c>
      <c r="D51" s="209"/>
      <c r="E51" s="227"/>
      <c r="F51" s="222"/>
      <c r="G51" s="223"/>
      <c r="H51" s="224"/>
      <c r="I51" s="225"/>
      <c r="J51" s="128" t="e">
        <f aca="false">1000000*D51/R51</f>
        <v>#REF!</v>
      </c>
      <c r="K51" s="223" t="e">
        <f aca="false">1000000*E51/R51</f>
        <v>#REF!</v>
      </c>
      <c r="L51" s="224" t="e">
        <f aca="false">1000000*D51/S51</f>
        <v>#REF!</v>
      </c>
      <c r="M51" s="226" t="e">
        <f aca="false">1000000*E51/S51</f>
        <v>#REF!</v>
      </c>
      <c r="N51" s="214" t="n">
        <f aca="false">AVERAGE(TableDE1!N51:N60)</f>
        <v>5.28553511307606</v>
      </c>
      <c r="O51" s="215"/>
      <c r="P51" s="216"/>
      <c r="Q51" s="217"/>
      <c r="R51" s="255" t="e">
        <f aca="false">AVERAGE(#REF!)</f>
        <v>#REF!</v>
      </c>
      <c r="S51" s="218" t="e">
        <f aca="false">AVERAGE(#REF!)</f>
        <v>#REF!</v>
      </c>
      <c r="T51" s="219" t="e">
        <f aca="false">AVERAGE(#REF!)</f>
        <v>#REF!</v>
      </c>
      <c r="V51" s="158"/>
    </row>
    <row r="52" s="20" customFormat="true" ht="12" hidden="true" customHeight="true" outlineLevel="0" collapsed="false">
      <c r="A52" s="254" t="n">
        <f aca="false">A51+1</f>
        <v>1912</v>
      </c>
      <c r="B52" s="209"/>
      <c r="C52" s="227" t="e">
        <f aca="false">#REF!</f>
        <v>#REF!</v>
      </c>
      <c r="D52" s="209"/>
      <c r="E52" s="227"/>
      <c r="F52" s="222"/>
      <c r="G52" s="223"/>
      <c r="H52" s="224"/>
      <c r="I52" s="225"/>
      <c r="J52" s="128" t="e">
        <f aca="false">1000000*D52/R52</f>
        <v>#REF!</v>
      </c>
      <c r="K52" s="223" t="e">
        <f aca="false">1000000*E52/R52</f>
        <v>#REF!</v>
      </c>
      <c r="L52" s="224" t="e">
        <f aca="false">1000000*D52/S52</f>
        <v>#REF!</v>
      </c>
      <c r="M52" s="226" t="e">
        <f aca="false">1000000*E52/S52</f>
        <v>#REF!</v>
      </c>
      <c r="N52" s="214" t="n">
        <f aca="false">AVERAGE(TableDE1!N52:N61)</f>
        <v>4.96625977300296</v>
      </c>
      <c r="O52" s="215"/>
      <c r="P52" s="216"/>
      <c r="Q52" s="217"/>
      <c r="R52" s="255" t="e">
        <f aca="false">AVERAGE(#REF!)</f>
        <v>#REF!</v>
      </c>
      <c r="S52" s="218" t="e">
        <f aca="false">AVERAGE(#REF!)</f>
        <v>#REF!</v>
      </c>
      <c r="T52" s="219" t="e">
        <f aca="false">AVERAGE(#REF!)</f>
        <v>#REF!</v>
      </c>
      <c r="V52" s="158"/>
    </row>
    <row r="53" s="20" customFormat="true" ht="12" hidden="true" customHeight="true" outlineLevel="0" collapsed="false">
      <c r="A53" s="254" t="n">
        <f aca="false">A52+1</f>
        <v>1913</v>
      </c>
      <c r="B53" s="209"/>
      <c r="C53" s="227" t="e">
        <f aca="false">#REF!</f>
        <v>#REF!</v>
      </c>
      <c r="D53" s="209"/>
      <c r="E53" s="227"/>
      <c r="F53" s="222"/>
      <c r="G53" s="223"/>
      <c r="H53" s="224"/>
      <c r="I53" s="225"/>
      <c r="J53" s="128" t="e">
        <f aca="false">1000000*D53/R53</f>
        <v>#REF!</v>
      </c>
      <c r="K53" s="223" t="e">
        <f aca="false">1000000*E53/R53</f>
        <v>#REF!</v>
      </c>
      <c r="L53" s="224" t="e">
        <f aca="false">1000000*D53/S53</f>
        <v>#REF!</v>
      </c>
      <c r="M53" s="226" t="e">
        <f aca="false">1000000*E53/S53</f>
        <v>#REF!</v>
      </c>
      <c r="N53" s="214" t="n">
        <f aca="false">AVERAGE(TableDE1!N53:N62)</f>
        <v>4.60505889431791</v>
      </c>
      <c r="O53" s="215"/>
      <c r="P53" s="216"/>
      <c r="Q53" s="217"/>
      <c r="R53" s="255" t="e">
        <f aca="false">AVERAGE(#REF!)</f>
        <v>#REF!</v>
      </c>
      <c r="S53" s="218" t="e">
        <f aca="false">AVERAGE(#REF!)</f>
        <v>#REF!</v>
      </c>
      <c r="T53" s="219" t="e">
        <f aca="false">AVERAGE(#REF!)</f>
        <v>#REF!</v>
      </c>
      <c r="V53" s="158"/>
    </row>
    <row r="54" s="20" customFormat="true" ht="12" hidden="true" customHeight="true" outlineLevel="0" collapsed="false">
      <c r="A54" s="254" t="n">
        <f aca="false">A53+1</f>
        <v>1914</v>
      </c>
      <c r="B54" s="209"/>
      <c r="C54" s="227" t="e">
        <f aca="false">#REF!</f>
        <v>#REF!</v>
      </c>
      <c r="D54" s="209"/>
      <c r="E54" s="227"/>
      <c r="F54" s="222"/>
      <c r="G54" s="223"/>
      <c r="H54" s="224"/>
      <c r="I54" s="225"/>
      <c r="J54" s="128" t="e">
        <f aca="false">1000000*D54/R54</f>
        <v>#REF!</v>
      </c>
      <c r="K54" s="223" t="e">
        <f aca="false">1000000*E54/R54</f>
        <v>#REF!</v>
      </c>
      <c r="L54" s="224" t="e">
        <f aca="false">1000000*D54/S54</f>
        <v>#REF!</v>
      </c>
      <c r="M54" s="226" t="e">
        <f aca="false">1000000*E54/S54</f>
        <v>#REF!</v>
      </c>
      <c r="N54" s="214" t="n">
        <f aca="false">AVERAGE(TableDE1!N54:N63)</f>
        <v>4.22223979158165</v>
      </c>
      <c r="O54" s="215"/>
      <c r="P54" s="216"/>
      <c r="Q54" s="217"/>
      <c r="R54" s="255" t="e">
        <f aca="false">AVERAGE(#REF!)</f>
        <v>#REF!</v>
      </c>
      <c r="S54" s="218" t="e">
        <f aca="false">AVERAGE(#REF!)</f>
        <v>#REF!</v>
      </c>
      <c r="T54" s="219" t="e">
        <f aca="false">AVERAGE(#REF!)</f>
        <v>#REF!</v>
      </c>
      <c r="V54" s="158"/>
    </row>
    <row r="55" s="20" customFormat="true" ht="12" hidden="true" customHeight="true" outlineLevel="0" collapsed="false">
      <c r="A55" s="254" t="n">
        <f aca="false">A54+1</f>
        <v>1915</v>
      </c>
      <c r="B55" s="209"/>
      <c r="C55" s="227" t="e">
        <f aca="false">#REF!</f>
        <v>#REF!</v>
      </c>
      <c r="D55" s="209"/>
      <c r="E55" s="227"/>
      <c r="F55" s="222"/>
      <c r="G55" s="223"/>
      <c r="H55" s="224"/>
      <c r="I55" s="225"/>
      <c r="J55" s="128" t="e">
        <f aca="false">1000000*D55/R55</f>
        <v>#REF!</v>
      </c>
      <c r="K55" s="223" t="e">
        <f aca="false">1000000*E55/R55</f>
        <v>#REF!</v>
      </c>
      <c r="L55" s="224" t="e">
        <f aca="false">1000000*D55/S55</f>
        <v>#REF!</v>
      </c>
      <c r="M55" s="226" t="e">
        <f aca="false">1000000*E55/S55</f>
        <v>#REF!</v>
      </c>
      <c r="N55" s="214" t="n">
        <f aca="false">AVERAGE(TableDE1!N55:N64)</f>
        <v>3.84698782779227</v>
      </c>
      <c r="O55" s="215"/>
      <c r="P55" s="216"/>
      <c r="Q55" s="217"/>
      <c r="R55" s="255" t="e">
        <f aca="false">AVERAGE(#REF!)</f>
        <v>#REF!</v>
      </c>
      <c r="S55" s="218" t="e">
        <f aca="false">AVERAGE(#REF!)</f>
        <v>#REF!</v>
      </c>
      <c r="T55" s="219" t="e">
        <f aca="false">AVERAGE(#REF!)</f>
        <v>#REF!</v>
      </c>
      <c r="V55" s="158"/>
    </row>
    <row r="56" s="20" customFormat="true" ht="12" hidden="true" customHeight="true" outlineLevel="0" collapsed="false">
      <c r="A56" s="254" t="n">
        <f aca="false">A55+1</f>
        <v>1916</v>
      </c>
      <c r="B56" s="209"/>
      <c r="C56" s="227" t="e">
        <f aca="false">#REF!</f>
        <v>#REF!</v>
      </c>
      <c r="D56" s="209"/>
      <c r="E56" s="227"/>
      <c r="F56" s="222"/>
      <c r="G56" s="223"/>
      <c r="H56" s="224"/>
      <c r="I56" s="225"/>
      <c r="J56" s="128" t="e">
        <f aca="false">1000000*D56/R56</f>
        <v>#REF!</v>
      </c>
      <c r="K56" s="223" t="e">
        <f aca="false">1000000*E56/R56</f>
        <v>#REF!</v>
      </c>
      <c r="L56" s="224" t="e">
        <f aca="false">1000000*D56/S56</f>
        <v>#REF!</v>
      </c>
      <c r="M56" s="226" t="e">
        <f aca="false">1000000*E56/S56</f>
        <v>#REF!</v>
      </c>
      <c r="N56" s="214" t="n">
        <f aca="false">AVERAGE(TableDE1!N56:N65)</f>
        <v>3.50687530238205</v>
      </c>
      <c r="O56" s="215"/>
      <c r="P56" s="216"/>
      <c r="Q56" s="217"/>
      <c r="R56" s="255" t="e">
        <f aca="false">AVERAGE(#REF!)</f>
        <v>#REF!</v>
      </c>
      <c r="S56" s="218" t="e">
        <f aca="false">AVERAGE(#REF!)</f>
        <v>#REF!</v>
      </c>
      <c r="T56" s="219" t="e">
        <f aca="false">AVERAGE(#REF!)</f>
        <v>#REF!</v>
      </c>
      <c r="V56" s="158"/>
    </row>
    <row r="57" s="20" customFormat="true" ht="12" hidden="true" customHeight="true" outlineLevel="0" collapsed="false">
      <c r="A57" s="254" t="n">
        <f aca="false">A56+1</f>
        <v>1917</v>
      </c>
      <c r="B57" s="209"/>
      <c r="C57" s="227" t="e">
        <f aca="false">#REF!</f>
        <v>#REF!</v>
      </c>
      <c r="D57" s="209"/>
      <c r="E57" s="227"/>
      <c r="F57" s="222"/>
      <c r="G57" s="223"/>
      <c r="H57" s="224"/>
      <c r="I57" s="225"/>
      <c r="J57" s="128" t="e">
        <f aca="false">1000000*D57/R57</f>
        <v>#REF!</v>
      </c>
      <c r="K57" s="223" t="e">
        <f aca="false">1000000*E57/R57</f>
        <v>#REF!</v>
      </c>
      <c r="L57" s="224" t="e">
        <f aca="false">1000000*D57/S57</f>
        <v>#REF!</v>
      </c>
      <c r="M57" s="226" t="e">
        <f aca="false">1000000*E57/S57</f>
        <v>#REF!</v>
      </c>
      <c r="N57" s="214" t="n">
        <f aca="false">AVERAGE(TableDE1!N57:N66)</f>
        <v>3.23580308123542</v>
      </c>
      <c r="O57" s="215"/>
      <c r="P57" s="216"/>
      <c r="Q57" s="217"/>
      <c r="R57" s="255" t="e">
        <f aca="false">AVERAGE(#REF!)</f>
        <v>#REF!</v>
      </c>
      <c r="S57" s="218" t="e">
        <f aca="false">AVERAGE(#REF!)</f>
        <v>#REF!</v>
      </c>
      <c r="T57" s="219" t="e">
        <f aca="false">AVERAGE(#REF!)</f>
        <v>#REF!</v>
      </c>
      <c r="V57" s="158"/>
    </row>
    <row r="58" s="20" customFormat="true" ht="12" hidden="true" customHeight="true" outlineLevel="0" collapsed="false">
      <c r="A58" s="254" t="n">
        <f aca="false">A57+1</f>
        <v>1918</v>
      </c>
      <c r="B58" s="209"/>
      <c r="C58" s="227" t="e">
        <f aca="false">#REF!</f>
        <v>#REF!</v>
      </c>
      <c r="D58" s="209"/>
      <c r="E58" s="227"/>
      <c r="F58" s="222"/>
      <c r="G58" s="223"/>
      <c r="H58" s="224"/>
      <c r="I58" s="225"/>
      <c r="J58" s="128" t="e">
        <f aca="false">1000000*D58/R58</f>
        <v>#REF!</v>
      </c>
      <c r="K58" s="223" t="e">
        <f aca="false">1000000*E58/R58</f>
        <v>#REF!</v>
      </c>
      <c r="L58" s="224" t="e">
        <f aca="false">1000000*D58/S58</f>
        <v>#REF!</v>
      </c>
      <c r="M58" s="226" t="e">
        <f aca="false">1000000*E58/S58</f>
        <v>#REF!</v>
      </c>
      <c r="N58" s="214" t="n">
        <f aca="false">AVERAGE(TableDE1!N58:N67)</f>
        <v>3.00481639643387</v>
      </c>
      <c r="O58" s="215"/>
      <c r="P58" s="216"/>
      <c r="Q58" s="217"/>
      <c r="R58" s="255" t="e">
        <f aca="false">AVERAGE(#REF!)</f>
        <v>#REF!</v>
      </c>
      <c r="S58" s="218" t="e">
        <f aca="false">AVERAGE(#REF!)</f>
        <v>#REF!</v>
      </c>
      <c r="T58" s="219" t="e">
        <f aca="false">AVERAGE(#REF!)</f>
        <v>#REF!</v>
      </c>
      <c r="V58" s="158"/>
    </row>
    <row r="59" s="20" customFormat="true" ht="12" hidden="true" customHeight="true" outlineLevel="0" collapsed="false">
      <c r="A59" s="254" t="n">
        <f aca="false">A58+1</f>
        <v>1919</v>
      </c>
      <c r="B59" s="209"/>
      <c r="C59" s="227" t="e">
        <f aca="false">#REF!</f>
        <v>#REF!</v>
      </c>
      <c r="D59" s="209"/>
      <c r="E59" s="227"/>
      <c r="F59" s="222"/>
      <c r="G59" s="223"/>
      <c r="H59" s="224"/>
      <c r="I59" s="225"/>
      <c r="J59" s="128" t="e">
        <f aca="false">1000000*D59/R59</f>
        <v>#REF!</v>
      </c>
      <c r="K59" s="223" t="e">
        <f aca="false">1000000*E59/R59</f>
        <v>#REF!</v>
      </c>
      <c r="L59" s="224" t="e">
        <f aca="false">1000000*D59/S59</f>
        <v>#REF!</v>
      </c>
      <c r="M59" s="226" t="e">
        <f aca="false">1000000*E59/S59</f>
        <v>#REF!</v>
      </c>
      <c r="N59" s="214" t="n">
        <f aca="false">AVERAGE(TableDE1!N59:N68)</f>
        <v>2.81099165867436</v>
      </c>
      <c r="O59" s="215"/>
      <c r="P59" s="216"/>
      <c r="Q59" s="217"/>
      <c r="R59" s="255" t="e">
        <f aca="false">AVERAGE(#REF!)</f>
        <v>#REF!</v>
      </c>
      <c r="S59" s="218" t="e">
        <f aca="false">AVERAGE(#REF!)</f>
        <v>#REF!</v>
      </c>
      <c r="T59" s="219" t="e">
        <f aca="false">AVERAGE(#REF!)</f>
        <v>#REF!</v>
      </c>
      <c r="V59" s="158"/>
    </row>
    <row r="60" s="20" customFormat="true" ht="12" hidden="false" customHeight="false" outlineLevel="0" collapsed="false">
      <c r="A60" s="254" t="n">
        <v>1920</v>
      </c>
      <c r="B60" s="256" t="n">
        <f aca="false">AVERAGE(TableDE1!B60:B69)</f>
        <v>264546824986.918</v>
      </c>
      <c r="C60" s="257" t="n">
        <f aca="false">AVERAGE(TableDE1!C60:C69)</f>
        <v>635806505720.48</v>
      </c>
      <c r="D60" s="146" t="n">
        <f aca="false">AVERAGE(TableDE1!D60:D69)</f>
        <v>263.01307520915</v>
      </c>
      <c r="E60" s="228" t="n">
        <f aca="false">AVERAGE(TableDE1!E60:E69)</f>
        <v>704.646744528216</v>
      </c>
      <c r="F60" s="256" t="n">
        <f aca="false">AVERAGE(TableDE1!F60:F69)</f>
        <v>4286380391351.59</v>
      </c>
      <c r="G60" s="258" t="n">
        <f aca="false">AVERAGE(TableDE1!G60:G69)</f>
        <v>10301800216077.8</v>
      </c>
      <c r="H60" s="259" t="n">
        <f aca="false">AVERAGE(TableDE1!H60:H69)</f>
        <v>6856826251465.58</v>
      </c>
      <c r="I60" s="260" t="n">
        <f aca="false">AVERAGE(TableDE1!I60:I69)</f>
        <v>16479557974262.7</v>
      </c>
      <c r="J60" s="90" t="n">
        <f aca="false">AVERAGE(TableDE1!J60:J69)</f>
        <v>4208.85727202192</v>
      </c>
      <c r="K60" s="213" t="n">
        <f aca="false">AVERAGE(TableDE1!K60:K69)</f>
        <v>11271.8606160648</v>
      </c>
      <c r="L60" s="151" t="n">
        <f aca="false">AVERAGE(TableDE1!L60:L69)</f>
        <v>6619.36824685416</v>
      </c>
      <c r="M60" s="193" t="n">
        <f aca="false">AVERAGE(TableDE1!M60:M69)</f>
        <v>17723.3561960195</v>
      </c>
      <c r="N60" s="214" t="n">
        <f aca="false">AVERAGE(TableDE1!N60:N69)</f>
        <v>2.67399642351853</v>
      </c>
      <c r="O60" s="215"/>
      <c r="P60" s="216"/>
      <c r="Q60" s="217"/>
      <c r="R60" s="255" t="n">
        <f aca="false">AVERAGE(TableDE1!R60:R69)</f>
        <v>62409.1</v>
      </c>
      <c r="S60" s="218" t="n">
        <f aca="false">AVERAGE(TableDE1!S60:S69)</f>
        <v>39633.5688253861</v>
      </c>
      <c r="T60" s="219"/>
      <c r="V60" s="158"/>
    </row>
    <row r="61" s="20" customFormat="true" ht="12" hidden="true" customHeight="true" outlineLevel="0" collapsed="false">
      <c r="A61" s="254" t="n">
        <f aca="false">A60+1</f>
        <v>1921</v>
      </c>
      <c r="B61" s="209"/>
      <c r="C61" s="227"/>
      <c r="D61" s="209"/>
      <c r="E61" s="227"/>
      <c r="F61" s="222"/>
      <c r="G61" s="223"/>
      <c r="H61" s="224"/>
      <c r="I61" s="225"/>
      <c r="J61" s="128" t="e">
        <f aca="false">1000000*D61/R61</f>
        <v>#REF!</v>
      </c>
      <c r="K61" s="223" t="e">
        <f aca="false">1000000*E61/R61</f>
        <v>#REF!</v>
      </c>
      <c r="L61" s="224" t="e">
        <f aca="false">1000000*D61/S61</f>
        <v>#REF!</v>
      </c>
      <c r="M61" s="226" t="e">
        <f aca="false">1000000*E61/S61</f>
        <v>#REF!</v>
      </c>
      <c r="N61" s="214" t="n">
        <f aca="false">AVERAGE(TableDE1!N61:N70)</f>
        <v>2.66082720974587</v>
      </c>
      <c r="O61" s="261"/>
      <c r="P61" s="216" t="e">
        <f aca="false">O61*L61</f>
        <v>#REF!</v>
      </c>
      <c r="Q61" s="217" t="e">
        <f aca="false">N61/O61</f>
        <v>#DIV/0!</v>
      </c>
      <c r="R61" s="218" t="e">
        <f aca="false">AVERAGE(#REF!)</f>
        <v>#REF!</v>
      </c>
      <c r="S61" s="218" t="e">
        <f aca="false">AVERAGE(#REF!)</f>
        <v>#REF!</v>
      </c>
      <c r="T61" s="219" t="e">
        <f aca="false">AVERAGE(#REF!)</f>
        <v>#REF!</v>
      </c>
      <c r="V61" s="158"/>
    </row>
    <row r="62" s="20" customFormat="true" ht="12" hidden="true" customHeight="true" outlineLevel="0" collapsed="false">
      <c r="A62" s="254" t="n">
        <f aca="false">A61+1</f>
        <v>1922</v>
      </c>
      <c r="B62" s="209"/>
      <c r="C62" s="227"/>
      <c r="D62" s="209"/>
      <c r="E62" s="227"/>
      <c r="F62" s="222"/>
      <c r="G62" s="223"/>
      <c r="H62" s="224"/>
      <c r="I62" s="225"/>
      <c r="J62" s="128" t="e">
        <f aca="false">1000000*D62/R62</f>
        <v>#REF!</v>
      </c>
      <c r="K62" s="223" t="e">
        <f aca="false">1000000*E62/R62</f>
        <v>#REF!</v>
      </c>
      <c r="L62" s="224" t="e">
        <f aca="false">1000000*D62/S62</f>
        <v>#REF!</v>
      </c>
      <c r="M62" s="226" t="e">
        <f aca="false">1000000*E62/S62</f>
        <v>#REF!</v>
      </c>
      <c r="N62" s="214" t="n">
        <f aca="false">AVERAGE(TableDE1!N62:N71)</f>
        <v>2.71196637955201</v>
      </c>
      <c r="O62" s="261"/>
      <c r="P62" s="216" t="e">
        <f aca="false">O62*L62</f>
        <v>#REF!</v>
      </c>
      <c r="Q62" s="217" t="e">
        <f aca="false">N62/O62</f>
        <v>#DIV/0!</v>
      </c>
      <c r="R62" s="218" t="e">
        <f aca="false">AVERAGE(#REF!)</f>
        <v>#REF!</v>
      </c>
      <c r="S62" s="218" t="e">
        <f aca="false">AVERAGE(#REF!)</f>
        <v>#REF!</v>
      </c>
      <c r="T62" s="219" t="e">
        <f aca="false">AVERAGE(#REF!)</f>
        <v>#REF!</v>
      </c>
      <c r="V62" s="158"/>
    </row>
    <row r="63" s="20" customFormat="true" ht="12" hidden="true" customHeight="true" outlineLevel="0" collapsed="false">
      <c r="A63" s="254" t="n">
        <f aca="false">A62+1</f>
        <v>1923</v>
      </c>
      <c r="B63" s="209"/>
      <c r="C63" s="227"/>
      <c r="D63" s="209"/>
      <c r="E63" s="227"/>
      <c r="F63" s="222"/>
      <c r="G63" s="223"/>
      <c r="H63" s="224"/>
      <c r="I63" s="225"/>
      <c r="J63" s="128" t="e">
        <f aca="false">1000000*D63/R63</f>
        <v>#REF!</v>
      </c>
      <c r="K63" s="223" t="e">
        <f aca="false">1000000*E63/R63</f>
        <v>#REF!</v>
      </c>
      <c r="L63" s="224" t="e">
        <f aca="false">1000000*D63/S63</f>
        <v>#REF!</v>
      </c>
      <c r="M63" s="226" t="e">
        <f aca="false">1000000*E63/S63</f>
        <v>#REF!</v>
      </c>
      <c r="N63" s="214" t="n">
        <f aca="false">AVERAGE(TableDE1!N63:N72)</f>
        <v>2.82397899356778</v>
      </c>
      <c r="O63" s="261"/>
      <c r="P63" s="216" t="e">
        <f aca="false">O63*L63</f>
        <v>#REF!</v>
      </c>
      <c r="Q63" s="217" t="e">
        <f aca="false">N63/O63</f>
        <v>#DIV/0!</v>
      </c>
      <c r="R63" s="218" t="e">
        <f aca="false">AVERAGE(#REF!)</f>
        <v>#REF!</v>
      </c>
      <c r="S63" s="218" t="e">
        <f aca="false">AVERAGE(#REF!)</f>
        <v>#REF!</v>
      </c>
      <c r="T63" s="219" t="e">
        <f aca="false">AVERAGE(#REF!)</f>
        <v>#REF!</v>
      </c>
      <c r="V63" s="158"/>
    </row>
    <row r="64" s="20" customFormat="true" ht="12" hidden="true" customHeight="true" outlineLevel="0" collapsed="false">
      <c r="A64" s="254" t="n">
        <f aca="false">A63+1</f>
        <v>1924</v>
      </c>
      <c r="B64" s="209"/>
      <c r="C64" s="227"/>
      <c r="D64" s="209"/>
      <c r="E64" s="227"/>
      <c r="F64" s="222"/>
      <c r="G64" s="223"/>
      <c r="H64" s="224"/>
      <c r="I64" s="225"/>
      <c r="J64" s="128" t="e">
        <f aca="false">1000000*D64/R64</f>
        <v>#REF!</v>
      </c>
      <c r="K64" s="223" t="e">
        <f aca="false">1000000*E64/R64</f>
        <v>#REF!</v>
      </c>
      <c r="L64" s="224" t="e">
        <f aca="false">1000000*D64/S64</f>
        <v>#REF!</v>
      </c>
      <c r="M64" s="226" t="e">
        <f aca="false">1000000*E64/S64</f>
        <v>#REF!</v>
      </c>
      <c r="N64" s="214" t="n">
        <f aca="false">AVERAGE(TableDE1!N64:N73)</f>
        <v>2.91490833149877</v>
      </c>
      <c r="O64" s="261"/>
      <c r="P64" s="216" t="e">
        <f aca="false">O64*L64</f>
        <v>#REF!</v>
      </c>
      <c r="Q64" s="217" t="e">
        <f aca="false">N64/O64</f>
        <v>#DIV/0!</v>
      </c>
      <c r="R64" s="218" t="e">
        <f aca="false">AVERAGE(#REF!)</f>
        <v>#REF!</v>
      </c>
      <c r="S64" s="218" t="e">
        <f aca="false">AVERAGE(#REF!)</f>
        <v>#REF!</v>
      </c>
      <c r="T64" s="219" t="e">
        <f aca="false">AVERAGE(#REF!)</f>
        <v>#REF!</v>
      </c>
      <c r="V64" s="158"/>
    </row>
    <row r="65" s="20" customFormat="true" ht="12" hidden="true" customHeight="true" outlineLevel="0" collapsed="false">
      <c r="A65" s="254" t="n">
        <f aca="false">A64+1</f>
        <v>1925</v>
      </c>
      <c r="B65" s="209"/>
      <c r="C65" s="227"/>
      <c r="D65" s="209"/>
      <c r="E65" s="227"/>
      <c r="F65" s="222"/>
      <c r="G65" s="223"/>
      <c r="H65" s="224"/>
      <c r="I65" s="225"/>
      <c r="J65" s="128" t="e">
        <f aca="false">1000000*D65/R65</f>
        <v>#REF!</v>
      </c>
      <c r="K65" s="223" t="e">
        <f aca="false">1000000*E65/R65</f>
        <v>#REF!</v>
      </c>
      <c r="L65" s="224" t="e">
        <f aca="false">1000000*D65/S65</f>
        <v>#REF!</v>
      </c>
      <c r="M65" s="226" t="e">
        <f aca="false">1000000*E65/S65</f>
        <v>#REF!</v>
      </c>
      <c r="N65" s="214" t="n">
        <f aca="false">AVERAGE(TableDE1!N65:N74)</f>
        <v>2.99847471631637</v>
      </c>
      <c r="O65" s="261"/>
      <c r="P65" s="216" t="e">
        <f aca="false">O65*L65</f>
        <v>#REF!</v>
      </c>
      <c r="Q65" s="217" t="e">
        <f aca="false">N65/O65</f>
        <v>#DIV/0!</v>
      </c>
      <c r="R65" s="218" t="e">
        <f aca="false">AVERAGE(#REF!)</f>
        <v>#REF!</v>
      </c>
      <c r="S65" s="218" t="e">
        <f aca="false">AVERAGE(#REF!)</f>
        <v>#REF!</v>
      </c>
      <c r="T65" s="219" t="e">
        <f aca="false">AVERAGE(#REF!)</f>
        <v>#REF!</v>
      </c>
      <c r="V65" s="158"/>
    </row>
    <row r="66" s="20" customFormat="true" ht="12" hidden="true" customHeight="true" outlineLevel="0" collapsed="false">
      <c r="A66" s="254" t="n">
        <f aca="false">A65+1</f>
        <v>1926</v>
      </c>
      <c r="B66" s="209"/>
      <c r="C66" s="227"/>
      <c r="D66" s="209"/>
      <c r="E66" s="227"/>
      <c r="F66" s="222"/>
      <c r="G66" s="223"/>
      <c r="H66" s="224"/>
      <c r="I66" s="225"/>
      <c r="J66" s="128" t="e">
        <f aca="false">1000000*D66/R66</f>
        <v>#REF!</v>
      </c>
      <c r="K66" s="223" t="e">
        <f aca="false">1000000*E66/R66</f>
        <v>#REF!</v>
      </c>
      <c r="L66" s="224" t="e">
        <f aca="false">1000000*D66/S66</f>
        <v>#REF!</v>
      </c>
      <c r="M66" s="226" t="e">
        <f aca="false">1000000*E66/S66</f>
        <v>#REF!</v>
      </c>
      <c r="N66" s="214" t="n">
        <f aca="false">AVERAGE(TableDE1!N66:N75)</f>
        <v>3.05886416610758</v>
      </c>
      <c r="O66" s="261"/>
      <c r="P66" s="216" t="e">
        <f aca="false">O66*L66</f>
        <v>#REF!</v>
      </c>
      <c r="Q66" s="217" t="e">
        <f aca="false">N66/O66</f>
        <v>#DIV/0!</v>
      </c>
      <c r="R66" s="218" t="e">
        <f aca="false">AVERAGE(#REF!)</f>
        <v>#REF!</v>
      </c>
      <c r="S66" s="218" t="e">
        <f aca="false">AVERAGE(#REF!)</f>
        <v>#REF!</v>
      </c>
      <c r="T66" s="219" t="e">
        <f aca="false">AVERAGE(#REF!)</f>
        <v>#REF!</v>
      </c>
      <c r="V66" s="158"/>
    </row>
    <row r="67" s="20" customFormat="true" ht="12" hidden="true" customHeight="true" outlineLevel="0" collapsed="false">
      <c r="A67" s="254" t="n">
        <f aca="false">A66+1</f>
        <v>1927</v>
      </c>
      <c r="B67" s="209"/>
      <c r="C67" s="227"/>
      <c r="D67" s="209"/>
      <c r="E67" s="227"/>
      <c r="F67" s="222"/>
      <c r="G67" s="223"/>
      <c r="H67" s="224"/>
      <c r="I67" s="225"/>
      <c r="J67" s="128" t="e">
        <f aca="false">1000000*D67/R67</f>
        <v>#REF!</v>
      </c>
      <c r="K67" s="223" t="e">
        <f aca="false">1000000*E67/R67</f>
        <v>#REF!</v>
      </c>
      <c r="L67" s="224" t="e">
        <f aca="false">1000000*D67/S67</f>
        <v>#REF!</v>
      </c>
      <c r="M67" s="226" t="e">
        <f aca="false">1000000*E67/S67</f>
        <v>#REF!</v>
      </c>
      <c r="N67" s="214" t="n">
        <f aca="false">AVERAGE(TableDE1!N67:N76)</f>
        <v>3.06888690998451</v>
      </c>
      <c r="O67" s="261"/>
      <c r="P67" s="216" t="e">
        <f aca="false">O67*L67</f>
        <v>#REF!</v>
      </c>
      <c r="Q67" s="217" t="e">
        <f aca="false">N67/O67</f>
        <v>#DIV/0!</v>
      </c>
      <c r="R67" s="218" t="e">
        <f aca="false">AVERAGE(#REF!)</f>
        <v>#REF!</v>
      </c>
      <c r="S67" s="218" t="e">
        <f aca="false">AVERAGE(#REF!)</f>
        <v>#REF!</v>
      </c>
      <c r="T67" s="219" t="e">
        <f aca="false">AVERAGE(#REF!)</f>
        <v>#REF!</v>
      </c>
      <c r="V67" s="158"/>
    </row>
    <row r="68" s="20" customFormat="true" ht="12" hidden="true" customHeight="true" outlineLevel="0" collapsed="false">
      <c r="A68" s="254" t="n">
        <f aca="false">A67+1</f>
        <v>1928</v>
      </c>
      <c r="B68" s="209"/>
      <c r="C68" s="227"/>
      <c r="D68" s="209"/>
      <c r="E68" s="227"/>
      <c r="F68" s="222"/>
      <c r="G68" s="223"/>
      <c r="H68" s="224"/>
      <c r="I68" s="225"/>
      <c r="J68" s="128" t="e">
        <f aca="false">1000000*D68/R68</f>
        <v>#REF!</v>
      </c>
      <c r="K68" s="223" t="e">
        <f aca="false">1000000*E68/R68</f>
        <v>#REF!</v>
      </c>
      <c r="L68" s="224" t="e">
        <f aca="false">1000000*D68/S68</f>
        <v>#REF!</v>
      </c>
      <c r="M68" s="226" t="e">
        <f aca="false">1000000*E68/S68</f>
        <v>#REF!</v>
      </c>
      <c r="N68" s="214" t="n">
        <f aca="false">AVERAGE(TableDE1!N68:N77)</f>
        <v>3.06119131944939</v>
      </c>
      <c r="O68" s="261"/>
      <c r="P68" s="216" t="e">
        <f aca="false">O68*L68</f>
        <v>#REF!</v>
      </c>
      <c r="Q68" s="217" t="e">
        <f aca="false">N68/O68</f>
        <v>#DIV/0!</v>
      </c>
      <c r="R68" s="218" t="e">
        <f aca="false">AVERAGE(#REF!)</f>
        <v>#REF!</v>
      </c>
      <c r="S68" s="218" t="e">
        <f aca="false">AVERAGE(#REF!)</f>
        <v>#REF!</v>
      </c>
      <c r="T68" s="219" t="e">
        <f aca="false">AVERAGE(#REF!)</f>
        <v>#REF!</v>
      </c>
      <c r="V68" s="158"/>
    </row>
    <row r="69" s="20" customFormat="true" ht="12" hidden="true" customHeight="true" outlineLevel="0" collapsed="false">
      <c r="A69" s="254" t="n">
        <f aca="false">A68+1</f>
        <v>1929</v>
      </c>
      <c r="B69" s="209"/>
      <c r="C69" s="227"/>
      <c r="D69" s="209"/>
      <c r="E69" s="227"/>
      <c r="F69" s="222"/>
      <c r="G69" s="223"/>
      <c r="H69" s="224"/>
      <c r="I69" s="225"/>
      <c r="J69" s="128" t="e">
        <f aca="false">1000000*D69/R69</f>
        <v>#REF!</v>
      </c>
      <c r="K69" s="223" t="e">
        <f aca="false">1000000*E69/R69</f>
        <v>#REF!</v>
      </c>
      <c r="L69" s="224" t="e">
        <f aca="false">1000000*D69/S69</f>
        <v>#REF!</v>
      </c>
      <c r="M69" s="226" t="e">
        <f aca="false">1000000*E69/S69</f>
        <v>#REF!</v>
      </c>
      <c r="N69" s="214" t="n">
        <f aca="false">AVERAGE(TableDE1!N69:N78)</f>
        <v>3.04603540449079</v>
      </c>
      <c r="O69" s="261"/>
      <c r="P69" s="216" t="e">
        <f aca="false">O69*L69</f>
        <v>#REF!</v>
      </c>
      <c r="Q69" s="217" t="e">
        <f aca="false">N69/O69</f>
        <v>#DIV/0!</v>
      </c>
      <c r="R69" s="218" t="e">
        <f aca="false">AVERAGE(#REF!)</f>
        <v>#REF!</v>
      </c>
      <c r="S69" s="218" t="e">
        <f aca="false">AVERAGE(#REF!)</f>
        <v>#REF!</v>
      </c>
      <c r="T69" s="219" t="e">
        <f aca="false">AVERAGE(#REF!)</f>
        <v>#REF!</v>
      </c>
      <c r="V69" s="158"/>
    </row>
    <row r="70" s="20" customFormat="true" ht="12" hidden="false" customHeight="false" outlineLevel="0" collapsed="false">
      <c r="A70" s="254" t="n">
        <v>1930</v>
      </c>
      <c r="B70" s="209" t="n">
        <f aca="false">AVERAGE(TableDE1!B70:B79)</f>
        <v>71.4418164457063</v>
      </c>
      <c r="C70" s="227" t="n">
        <f aca="false">AVERAGE(TableDE1!C70:C79)</f>
        <v>212.264657025069</v>
      </c>
      <c r="D70" s="146" t="n">
        <f aca="false">AVERAGE(TableDE1!D70:D79)</f>
        <v>324.196490518787</v>
      </c>
      <c r="E70" s="228" t="n">
        <f aca="false">AVERAGE(TableDE1!E70:E79)</f>
        <v>957.937660618207</v>
      </c>
      <c r="F70" s="150" t="n">
        <f aca="false">AVERAGE(TableDE1!F70:F79)</f>
        <v>1026.65624976684</v>
      </c>
      <c r="G70" s="213" t="n">
        <f aca="false">AVERAGE(TableDE1!G70:G79)</f>
        <v>3066.15480848266</v>
      </c>
      <c r="H70" s="151" t="n">
        <f aca="false">AVERAGE(TableDE1!H70:H79)</f>
        <v>1493.96205713815</v>
      </c>
      <c r="I70" s="152" t="n">
        <f aca="false">AVERAGE(TableDE1!I70:I79)</f>
        <v>4464.64895206618</v>
      </c>
      <c r="J70" s="90" t="n">
        <f aca="false">AVERAGE(TableDE1!J70:J79)</f>
        <v>4633.74954744846</v>
      </c>
      <c r="K70" s="213" t="n">
        <f aca="false">AVERAGE(TableDE1!K70:K79)</f>
        <v>13762.4267649264</v>
      </c>
      <c r="L70" s="151" t="n">
        <f aca="false">AVERAGE(TableDE1!L70:L79)</f>
        <v>6736.79552298072</v>
      </c>
      <c r="M70" s="193" t="n">
        <f aca="false">AVERAGE(TableDE1!M70:M79)</f>
        <v>20020.460464751</v>
      </c>
      <c r="N70" s="214" t="n">
        <f aca="false">AVERAGE(TableDE1!N70:N79)</f>
        <v>3.02305123417686</v>
      </c>
      <c r="O70" s="154" t="n">
        <f aca="false">AVERAGE(TableDE1!O70:O79)</f>
        <v>0.862677611449986</v>
      </c>
      <c r="P70" s="216" t="n">
        <f aca="false">O70*L70</f>
        <v>5811.68267059197</v>
      </c>
      <c r="Q70" s="217" t="n">
        <f aca="false">N70/O70</f>
        <v>3.50426531771901</v>
      </c>
      <c r="R70" s="255" t="n">
        <f aca="false">AVERAGE(TableDE1!R70:R79)</f>
        <v>68866.3</v>
      </c>
      <c r="S70" s="218" t="n">
        <f aca="false">AVERAGE(TableDE1!S70:S79)</f>
        <v>47348.3716836349</v>
      </c>
      <c r="T70" s="219"/>
      <c r="V70" s="158"/>
    </row>
    <row r="71" s="20" customFormat="true" ht="12" hidden="true" customHeight="true" outlineLevel="0" collapsed="false">
      <c r="A71" s="254" t="n">
        <f aca="false">A70+1</f>
        <v>1931</v>
      </c>
      <c r="B71" s="209"/>
      <c r="C71" s="227"/>
      <c r="D71" s="209"/>
      <c r="E71" s="227"/>
      <c r="F71" s="222"/>
      <c r="G71" s="223"/>
      <c r="H71" s="224"/>
      <c r="I71" s="225"/>
      <c r="J71" s="128" t="e">
        <f aca="false">1000000*D71/R71</f>
        <v>#REF!</v>
      </c>
      <c r="K71" s="223" t="e">
        <f aca="false">1000000*E71/R71</f>
        <v>#REF!</v>
      </c>
      <c r="L71" s="224" t="e">
        <f aca="false">1000000*D71/S71</f>
        <v>#REF!</v>
      </c>
      <c r="M71" s="226" t="e">
        <f aca="false">1000000*E71/S71</f>
        <v>#REF!</v>
      </c>
      <c r="N71" s="214" t="n">
        <f aca="false">AVERAGE(TableDE1!N71:N80)</f>
        <v>2.98977795569434</v>
      </c>
      <c r="O71" s="261" t="n">
        <f aca="false">AVERAGE(TableDE1!O71:O80)</f>
        <v>0.86002906263682</v>
      </c>
      <c r="P71" s="216" t="e">
        <f aca="false">O71*L71</f>
        <v>#REF!</v>
      </c>
      <c r="Q71" s="217" t="n">
        <f aca="false">N71/O71</f>
        <v>3.47636851541712</v>
      </c>
      <c r="R71" s="218" t="e">
        <f aca="false">AVERAGE(#REF!)</f>
        <v>#REF!</v>
      </c>
      <c r="S71" s="218" t="e">
        <f aca="false">AVERAGE(#REF!)</f>
        <v>#REF!</v>
      </c>
      <c r="T71" s="219" t="e">
        <f aca="false">AVERAGE(#REF!)</f>
        <v>#REF!</v>
      </c>
      <c r="V71" s="158"/>
    </row>
    <row r="72" s="20" customFormat="true" ht="12" hidden="true" customHeight="true" outlineLevel="0" collapsed="false">
      <c r="A72" s="254" t="n">
        <f aca="false">A71+1</f>
        <v>1932</v>
      </c>
      <c r="B72" s="209"/>
      <c r="C72" s="227"/>
      <c r="D72" s="209"/>
      <c r="E72" s="227"/>
      <c r="F72" s="222"/>
      <c r="G72" s="223"/>
      <c r="H72" s="224"/>
      <c r="I72" s="225"/>
      <c r="J72" s="128" t="e">
        <f aca="false">1000000*D72/R72</f>
        <v>#REF!</v>
      </c>
      <c r="K72" s="223" t="e">
        <f aca="false">1000000*E72/R72</f>
        <v>#REF!</v>
      </c>
      <c r="L72" s="224" t="e">
        <f aca="false">1000000*D72/S72</f>
        <v>#REF!</v>
      </c>
      <c r="M72" s="226" t="e">
        <f aca="false">1000000*E72/S72</f>
        <v>#REF!</v>
      </c>
      <c r="N72" s="214" t="n">
        <f aca="false">AVERAGE(TableDE1!N72:N81)</f>
        <v>2.91634369180899</v>
      </c>
      <c r="O72" s="261" t="n">
        <f aca="false">AVERAGE(TableDE1!O72:O81)</f>
        <v>0.854798420636534</v>
      </c>
      <c r="P72" s="216" t="e">
        <f aca="false">O72*L72</f>
        <v>#REF!</v>
      </c>
      <c r="Q72" s="217" t="n">
        <f aca="false">N72/O72</f>
        <v>3.41173266281576</v>
      </c>
      <c r="R72" s="218" t="e">
        <f aca="false">AVERAGE(#REF!)</f>
        <v>#REF!</v>
      </c>
      <c r="S72" s="218" t="e">
        <f aca="false">AVERAGE(#REF!)</f>
        <v>#REF!</v>
      </c>
      <c r="T72" s="219" t="e">
        <f aca="false">AVERAGE(#REF!)</f>
        <v>#REF!</v>
      </c>
      <c r="V72" s="158"/>
    </row>
    <row r="73" s="20" customFormat="true" ht="12" hidden="true" customHeight="true" outlineLevel="0" collapsed="false">
      <c r="A73" s="254" t="n">
        <f aca="false">A72+1</f>
        <v>1933</v>
      </c>
      <c r="B73" s="209"/>
      <c r="C73" s="227"/>
      <c r="D73" s="209"/>
      <c r="E73" s="227"/>
      <c r="F73" s="222"/>
      <c r="G73" s="223"/>
      <c r="H73" s="224"/>
      <c r="I73" s="225"/>
      <c r="J73" s="128" t="e">
        <f aca="false">1000000*D73/R73</f>
        <v>#REF!</v>
      </c>
      <c r="K73" s="223" t="e">
        <f aca="false">1000000*E73/R73</f>
        <v>#REF!</v>
      </c>
      <c r="L73" s="224" t="e">
        <f aca="false">1000000*D73/S73</f>
        <v>#REF!</v>
      </c>
      <c r="M73" s="226" t="e">
        <f aca="false">1000000*E73/S73</f>
        <v>#REF!</v>
      </c>
      <c r="N73" s="214" t="n">
        <f aca="false">AVERAGE(TableDE1!N73:N82)</f>
        <v>2.83738156129731</v>
      </c>
      <c r="O73" s="261" t="n">
        <f aca="false">AVERAGE(TableDE1!O73:O82)</f>
        <v>0.846425569820759</v>
      </c>
      <c r="P73" s="216" t="e">
        <f aca="false">O73*L73</f>
        <v>#REF!</v>
      </c>
      <c r="Q73" s="217" t="n">
        <f aca="false">N73/O73</f>
        <v>3.35219263508091</v>
      </c>
      <c r="R73" s="218" t="e">
        <f aca="false">AVERAGE(#REF!)</f>
        <v>#REF!</v>
      </c>
      <c r="S73" s="218" t="e">
        <f aca="false">AVERAGE(#REF!)</f>
        <v>#REF!</v>
      </c>
      <c r="T73" s="219" t="e">
        <f aca="false">AVERAGE(#REF!)</f>
        <v>#REF!</v>
      </c>
      <c r="V73" s="158"/>
    </row>
    <row r="74" s="20" customFormat="true" ht="12" hidden="true" customHeight="true" outlineLevel="0" collapsed="false">
      <c r="A74" s="254" t="n">
        <f aca="false">A73+1</f>
        <v>1934</v>
      </c>
      <c r="B74" s="209"/>
      <c r="C74" s="227"/>
      <c r="D74" s="209"/>
      <c r="E74" s="227"/>
      <c r="F74" s="222"/>
      <c r="G74" s="223"/>
      <c r="H74" s="224"/>
      <c r="I74" s="225"/>
      <c r="J74" s="128" t="e">
        <f aca="false">1000000*D74/R74</f>
        <v>#REF!</v>
      </c>
      <c r="K74" s="223" t="e">
        <f aca="false">1000000*E74/R74</f>
        <v>#REF!</v>
      </c>
      <c r="L74" s="224" t="e">
        <f aca="false">1000000*D74/S74</f>
        <v>#REF!</v>
      </c>
      <c r="M74" s="226" t="e">
        <f aca="false">1000000*E74/S74</f>
        <v>#REF!</v>
      </c>
      <c r="N74" s="214" t="n">
        <f aca="false">AVERAGE(TableDE1!N74:N83)</f>
        <v>2.78482333716273</v>
      </c>
      <c r="O74" s="261" t="n">
        <f aca="false">AVERAGE(TableDE1!O74:O83)</f>
        <v>0.837606895906063</v>
      </c>
      <c r="P74" s="216" t="e">
        <f aca="false">O74*L74</f>
        <v>#REF!</v>
      </c>
      <c r="Q74" s="217" t="n">
        <f aca="false">N74/O74</f>
        <v>3.32473783438747</v>
      </c>
      <c r="R74" s="218" t="e">
        <f aca="false">AVERAGE(#REF!)</f>
        <v>#REF!</v>
      </c>
      <c r="S74" s="218" t="e">
        <f aca="false">AVERAGE(#REF!)</f>
        <v>#REF!</v>
      </c>
      <c r="T74" s="219" t="e">
        <f aca="false">AVERAGE(#REF!)</f>
        <v>#REF!</v>
      </c>
      <c r="V74" s="158"/>
    </row>
    <row r="75" s="20" customFormat="true" ht="12" hidden="true" customHeight="true" outlineLevel="0" collapsed="false">
      <c r="A75" s="254" t="n">
        <f aca="false">A74+1</f>
        <v>1935</v>
      </c>
      <c r="B75" s="262"/>
      <c r="C75" s="263"/>
      <c r="D75" s="262"/>
      <c r="E75" s="263"/>
      <c r="F75" s="262"/>
      <c r="G75" s="264"/>
      <c r="H75" s="172"/>
      <c r="I75" s="264"/>
      <c r="J75" s="172" t="e">
        <f aca="false">1000000*D75/R75</f>
        <v>#REF!</v>
      </c>
      <c r="K75" s="264" t="e">
        <f aca="false">1000000*E75/R75</f>
        <v>#REF!</v>
      </c>
      <c r="L75" s="172" t="e">
        <f aca="false">1000000*D75/S75</f>
        <v>#REF!</v>
      </c>
      <c r="M75" s="216" t="e">
        <f aca="false">1000000*E75/S75</f>
        <v>#REF!</v>
      </c>
      <c r="N75" s="265" t="n">
        <f aca="false">AVERAGE(TableDE1!N75:N84)</f>
        <v>2.77615319469236</v>
      </c>
      <c r="O75" s="266" t="n">
        <f aca="false">AVERAGE(TableDE1!O75:O84)</f>
        <v>0.829233696726284</v>
      </c>
      <c r="P75" s="216" t="e">
        <f aca="false">O75*L75</f>
        <v>#REF!</v>
      </c>
      <c r="Q75" s="217" t="n">
        <f aca="false">N75/O75</f>
        <v>3.34785381449437</v>
      </c>
      <c r="R75" s="218" t="e">
        <f aca="false">AVERAGE(#REF!)</f>
        <v>#REF!</v>
      </c>
      <c r="S75" s="218" t="e">
        <f aca="false">AVERAGE(#REF!)</f>
        <v>#REF!</v>
      </c>
      <c r="T75" s="219" t="e">
        <f aca="false">AVERAGE(#REF!)</f>
        <v>#REF!</v>
      </c>
      <c r="V75" s="158"/>
    </row>
    <row r="76" s="20" customFormat="true" ht="12" hidden="true" customHeight="true" outlineLevel="0" collapsed="false">
      <c r="A76" s="254" t="n">
        <f aca="false">A75+1</f>
        <v>1936</v>
      </c>
      <c r="B76" s="262"/>
      <c r="C76" s="263"/>
      <c r="D76" s="262"/>
      <c r="E76" s="263"/>
      <c r="F76" s="262"/>
      <c r="G76" s="264"/>
      <c r="H76" s="172"/>
      <c r="I76" s="264"/>
      <c r="J76" s="172" t="e">
        <f aca="false">1000000*D76/R76</f>
        <v>#REF!</v>
      </c>
      <c r="K76" s="264" t="e">
        <f aca="false">1000000*E76/R76</f>
        <v>#REF!</v>
      </c>
      <c r="L76" s="172" t="e">
        <f aca="false">1000000*D76/S76</f>
        <v>#REF!</v>
      </c>
      <c r="M76" s="216" t="e">
        <f aca="false">1000000*E76/S76</f>
        <v>#REF!</v>
      </c>
      <c r="N76" s="265" t="n">
        <f aca="false">AVERAGE(TableDE1!N76:N85)</f>
        <v>2.74614226594954</v>
      </c>
      <c r="O76" s="266" t="n">
        <f aca="false">AVERAGE(TableDE1!O76:O85)</f>
        <v>0.819606114529171</v>
      </c>
      <c r="P76" s="216" t="e">
        <f aca="false">O76*L76</f>
        <v>#REF!</v>
      </c>
      <c r="Q76" s="217" t="n">
        <f aca="false">N76/O76</f>
        <v>3.3505634197557</v>
      </c>
      <c r="R76" s="218" t="e">
        <f aca="false">AVERAGE(#REF!)</f>
        <v>#REF!</v>
      </c>
      <c r="S76" s="218" t="e">
        <f aca="false">AVERAGE(#REF!)</f>
        <v>#REF!</v>
      </c>
      <c r="T76" s="219" t="e">
        <f aca="false">AVERAGE(#REF!)</f>
        <v>#REF!</v>
      </c>
      <c r="V76" s="158"/>
    </row>
    <row r="77" s="20" customFormat="true" ht="12" hidden="true" customHeight="true" outlineLevel="0" collapsed="false">
      <c r="A77" s="254" t="n">
        <f aca="false">A76+1</f>
        <v>1937</v>
      </c>
      <c r="B77" s="262"/>
      <c r="C77" s="263"/>
      <c r="D77" s="262"/>
      <c r="E77" s="263"/>
      <c r="F77" s="262"/>
      <c r="G77" s="264"/>
      <c r="H77" s="172"/>
      <c r="I77" s="264"/>
      <c r="J77" s="172" t="e">
        <f aca="false">1000000*D77/R77</f>
        <v>#REF!</v>
      </c>
      <c r="K77" s="264" t="e">
        <f aca="false">1000000*E77/R77</f>
        <v>#REF!</v>
      </c>
      <c r="L77" s="172" t="e">
        <f aca="false">1000000*D77/S77</f>
        <v>#REF!</v>
      </c>
      <c r="M77" s="216" t="e">
        <f aca="false">1000000*E77/S77</f>
        <v>#REF!</v>
      </c>
      <c r="N77" s="265" t="n">
        <f aca="false">AVERAGE(TableDE1!N77:N86)</f>
        <v>2.70406845038061</v>
      </c>
      <c r="O77" s="266" t="n">
        <f aca="false">AVERAGE(TableDE1!O77:O86)</f>
        <v>0.810308791583748</v>
      </c>
      <c r="P77" s="216" t="e">
        <f aca="false">O77*L77</f>
        <v>#REF!</v>
      </c>
      <c r="Q77" s="217" t="n">
        <f aca="false">N77/O77</f>
        <v>3.33708393450293</v>
      </c>
      <c r="R77" s="218" t="e">
        <f aca="false">AVERAGE(#REF!)</f>
        <v>#REF!</v>
      </c>
      <c r="S77" s="218" t="e">
        <f aca="false">AVERAGE(#REF!)</f>
        <v>#REF!</v>
      </c>
      <c r="T77" s="219" t="e">
        <f aca="false">AVERAGE(#REF!)</f>
        <v>#REF!</v>
      </c>
      <c r="V77" s="158"/>
    </row>
    <row r="78" s="20" customFormat="true" ht="12" hidden="true" customHeight="true" outlineLevel="0" collapsed="false">
      <c r="A78" s="254" t="n">
        <f aca="false">A77+1</f>
        <v>1938</v>
      </c>
      <c r="B78" s="262"/>
      <c r="C78" s="263"/>
      <c r="D78" s="262"/>
      <c r="E78" s="263"/>
      <c r="F78" s="262"/>
      <c r="G78" s="264"/>
      <c r="H78" s="172"/>
      <c r="I78" s="264"/>
      <c r="J78" s="172" t="e">
        <f aca="false">1000000*D78/R78</f>
        <v>#REF!</v>
      </c>
      <c r="K78" s="264" t="e">
        <f aca="false">1000000*E78/R78</f>
        <v>#REF!</v>
      </c>
      <c r="L78" s="172" t="e">
        <f aca="false">1000000*D78/S78</f>
        <v>#REF!</v>
      </c>
      <c r="M78" s="216" t="e">
        <f aca="false">1000000*E78/S78</f>
        <v>#REF!</v>
      </c>
      <c r="N78" s="265" t="n">
        <f aca="false">AVERAGE(TableDE1!N78:N87)</f>
        <v>2.65146554983842</v>
      </c>
      <c r="O78" s="266" t="n">
        <f aca="false">AVERAGE(TableDE1!O78:O87)</f>
        <v>0.804213238080991</v>
      </c>
      <c r="P78" s="216" t="e">
        <f aca="false">O78*L78</f>
        <v>#REF!</v>
      </c>
      <c r="Q78" s="217" t="n">
        <f aca="false">N78/O78</f>
        <v>3.29696829682303</v>
      </c>
      <c r="R78" s="218" t="e">
        <f aca="false">AVERAGE(#REF!)</f>
        <v>#REF!</v>
      </c>
      <c r="S78" s="218" t="e">
        <f aca="false">AVERAGE(#REF!)</f>
        <v>#REF!</v>
      </c>
      <c r="T78" s="219" t="e">
        <f aca="false">AVERAGE(#REF!)</f>
        <v>#REF!</v>
      </c>
      <c r="V78" s="158"/>
    </row>
    <row r="79" s="20" customFormat="true" ht="12" hidden="true" customHeight="true" outlineLevel="0" collapsed="false">
      <c r="A79" s="254" t="n">
        <f aca="false">A78+1</f>
        <v>1939</v>
      </c>
      <c r="B79" s="262"/>
      <c r="C79" s="263"/>
      <c r="D79" s="262"/>
      <c r="E79" s="263"/>
      <c r="F79" s="262"/>
      <c r="G79" s="264"/>
      <c r="H79" s="172"/>
      <c r="I79" s="264"/>
      <c r="J79" s="172" t="e">
        <f aca="false">1000000*D79/R79</f>
        <v>#REF!</v>
      </c>
      <c r="K79" s="264" t="e">
        <f aca="false">1000000*E79/R79</f>
        <v>#REF!</v>
      </c>
      <c r="L79" s="172" t="e">
        <f aca="false">1000000*D79/S79</f>
        <v>#REF!</v>
      </c>
      <c r="M79" s="216" t="e">
        <f aca="false">1000000*E79/S79</f>
        <v>#REF!</v>
      </c>
      <c r="N79" s="265" t="n">
        <f aca="false">AVERAGE(TableDE1!N79:N88)</f>
        <v>2.5854866870116</v>
      </c>
      <c r="O79" s="266" t="n">
        <f aca="false">AVERAGE(TableDE1!O79:O88)</f>
        <v>0.804213238080991</v>
      </c>
      <c r="P79" s="216" t="e">
        <f aca="false">O79*L79</f>
        <v>#REF!</v>
      </c>
      <c r="Q79" s="217" t="n">
        <f aca="false">N79/O79</f>
        <v>3.21492679377061</v>
      </c>
      <c r="R79" s="218" t="e">
        <f aca="false">AVERAGE(#REF!)</f>
        <v>#REF!</v>
      </c>
      <c r="S79" s="218" t="e">
        <f aca="false">AVERAGE(#REF!)</f>
        <v>#REF!</v>
      </c>
      <c r="T79" s="219" t="e">
        <f aca="false">AVERAGE(#REF!)</f>
        <v>#REF!</v>
      </c>
      <c r="V79" s="158"/>
    </row>
    <row r="80" s="20" customFormat="true" ht="12" hidden="false" customHeight="false" outlineLevel="0" collapsed="false">
      <c r="A80" s="267" t="n">
        <v>1940</v>
      </c>
      <c r="B80" s="229" t="n">
        <f aca="false">AVERAGE(TableDE1!B80:B89)</f>
        <v>112.083492519286</v>
      </c>
      <c r="C80" s="268" t="n">
        <f aca="false">AVERAGE(TableDE1!C80:C89)</f>
        <v>288.317896546858</v>
      </c>
      <c r="D80" s="161" t="n">
        <f aca="false">AVERAGE(TableDE1!D80:D89)</f>
        <v>474.753583390245</v>
      </c>
      <c r="E80" s="231" t="n">
        <f aca="false">AVERAGE(TableDE1!E80:E89)</f>
        <v>1250.28947228419</v>
      </c>
      <c r="F80" s="269" t="n">
        <f aca="false">AVERAGE(TableDE1!F80:F89)</f>
        <v>1308.14637234687</v>
      </c>
      <c r="G80" s="109" t="n">
        <f aca="false">AVERAGE(TableDE1!G80:G89)</f>
        <v>3288.11687331957</v>
      </c>
      <c r="H80" s="270" t="n">
        <f aca="false">AVERAGE(TableDE1!H80:H89)</f>
        <v>1889.39295305634</v>
      </c>
      <c r="I80" s="271" t="n">
        <f aca="false">AVERAGE(TableDE1!I80:I89)</f>
        <v>4749.41466069762</v>
      </c>
      <c r="J80" s="108" t="n">
        <f aca="false">AVERAGE(TableDE1!J80:J89)</f>
        <v>5364.7329487479</v>
      </c>
      <c r="K80" s="108" t="n">
        <f aca="false">AVERAGE(TableDE1!K80:K89)</f>
        <v>13868.138824651</v>
      </c>
      <c r="L80" s="166" t="n">
        <f aca="false">AVERAGE(TableDE1!L80:L89)</f>
        <v>7749.10815988952</v>
      </c>
      <c r="M80" s="233" t="n">
        <f aca="false">AVERAGE(TableDE1!M80:M89)</f>
        <v>20032.8486835517</v>
      </c>
      <c r="N80" s="234" t="n">
        <f aca="false">AVERAGE(TableDE1!N80:N89)</f>
        <v>2.48694490731312</v>
      </c>
      <c r="O80" s="235"/>
      <c r="P80" s="236"/>
      <c r="Q80" s="237"/>
      <c r="R80" s="238" t="n">
        <f aca="false">AVERAGE(TableDE1!R80:R89)</f>
        <v>82485.9423622694</v>
      </c>
      <c r="S80" s="238" t="n">
        <f aca="false">AVERAGE(TableDE1!S80:S89)</f>
        <v>57108.1830501737</v>
      </c>
      <c r="T80" s="239"/>
      <c r="V80" s="158"/>
    </row>
    <row r="81" customFormat="false" ht="12" hidden="true" customHeight="true" outlineLevel="0" collapsed="false">
      <c r="A81" s="145" t="n">
        <f aca="false">A80+1</f>
        <v>1941</v>
      </c>
      <c r="B81" s="146"/>
      <c r="C81" s="228"/>
      <c r="D81" s="146"/>
      <c r="E81" s="228"/>
      <c r="F81" s="150"/>
      <c r="G81" s="213"/>
      <c r="H81" s="151"/>
      <c r="I81" s="152"/>
      <c r="J81" s="90"/>
      <c r="K81" s="90"/>
      <c r="L81" s="151"/>
      <c r="M81" s="193"/>
      <c r="N81" s="214" t="n">
        <f aca="false">AVERAGE(TableDE1!N81:N90)</f>
        <v>2.38079253240752</v>
      </c>
      <c r="O81" s="154"/>
      <c r="P81" s="155"/>
      <c r="Q81" s="217"/>
      <c r="R81" s="218" t="n">
        <f aca="false">AVERAGE(TableDE1!R90:R90)</f>
        <v>50747.5704918072</v>
      </c>
      <c r="S81" s="218" t="n">
        <f aca="false">AVERAGE(TableDE1!S90:S90)</f>
        <v>35269.561491806</v>
      </c>
      <c r="T81" s="219" t="n">
        <f aca="false">AVERAGE(TableDE1!T90:T90)</f>
        <v>20726.7589206878</v>
      </c>
      <c r="V81" s="158"/>
    </row>
    <row r="82" customFormat="false" ht="12" hidden="true" customHeight="true" outlineLevel="0" collapsed="false">
      <c r="A82" s="145" t="n">
        <f aca="false">A81+1</f>
        <v>1942</v>
      </c>
      <c r="B82" s="146"/>
      <c r="C82" s="228"/>
      <c r="D82" s="146"/>
      <c r="E82" s="228"/>
      <c r="F82" s="150"/>
      <c r="G82" s="213"/>
      <c r="H82" s="151"/>
      <c r="I82" s="152"/>
      <c r="J82" s="90"/>
      <c r="K82" s="90"/>
      <c r="L82" s="151"/>
      <c r="M82" s="193"/>
      <c r="N82" s="214" t="n">
        <f aca="false">AVERAGE(TableDE1!N82:N91)</f>
        <v>2.29020334868933</v>
      </c>
      <c r="O82" s="154"/>
      <c r="P82" s="155"/>
      <c r="Q82" s="217"/>
      <c r="R82" s="218" t="n">
        <f aca="false">AVERAGE(TableDE1!R90:R91)</f>
        <v>50972.0102459036</v>
      </c>
      <c r="S82" s="218" t="n">
        <f aca="false">AVERAGE(TableDE1!S90:S91)</f>
        <v>35479.303393403</v>
      </c>
      <c r="T82" s="219" t="n">
        <f aca="false">AVERAGE(TableDE1!T90:T91)</f>
        <v>21002.6567591569</v>
      </c>
      <c r="V82" s="158"/>
    </row>
    <row r="83" customFormat="false" ht="12" hidden="true" customHeight="true" outlineLevel="0" collapsed="false">
      <c r="A83" s="145" t="n">
        <f aca="false">A82+1</f>
        <v>1943</v>
      </c>
      <c r="B83" s="146"/>
      <c r="C83" s="228"/>
      <c r="D83" s="146"/>
      <c r="E83" s="228"/>
      <c r="F83" s="150"/>
      <c r="G83" s="213"/>
      <c r="H83" s="151"/>
      <c r="I83" s="152"/>
      <c r="J83" s="90"/>
      <c r="K83" s="90"/>
      <c r="L83" s="151"/>
      <c r="M83" s="193"/>
      <c r="N83" s="214" t="n">
        <f aca="false">AVERAGE(TableDE1!N83:N92)</f>
        <v>2.1898486654095</v>
      </c>
      <c r="O83" s="154"/>
      <c r="P83" s="155"/>
      <c r="Q83" s="217"/>
      <c r="R83" s="218" t="n">
        <f aca="false">AVERAGE(TableDE1!R90:R92)</f>
        <v>51197.7734972691</v>
      </c>
      <c r="S83" s="218" t="n">
        <f aca="false">AVERAGE(TableDE1!S90:S92)</f>
        <v>35690.599115602</v>
      </c>
      <c r="T83" s="219" t="n">
        <f aca="false">AVERAGE(TableDE1!T90:T92)</f>
        <v>21246.7813340786</v>
      </c>
      <c r="V83" s="158"/>
    </row>
    <row r="84" customFormat="false" ht="12" hidden="true" customHeight="true" outlineLevel="0" collapsed="false">
      <c r="A84" s="145" t="n">
        <f aca="false">A83+1</f>
        <v>1944</v>
      </c>
      <c r="B84" s="146"/>
      <c r="C84" s="228"/>
      <c r="D84" s="146"/>
      <c r="E84" s="228"/>
      <c r="F84" s="150"/>
      <c r="G84" s="213"/>
      <c r="H84" s="151"/>
      <c r="I84" s="152"/>
      <c r="J84" s="90"/>
      <c r="K84" s="90"/>
      <c r="L84" s="151"/>
      <c r="M84" s="193"/>
      <c r="N84" s="214" t="n">
        <f aca="false">AVERAGE(TableDE1!N84:N93)</f>
        <v>2.07924217110203</v>
      </c>
      <c r="O84" s="154"/>
      <c r="P84" s="155"/>
      <c r="Q84" s="217"/>
      <c r="R84" s="218" t="n">
        <f aca="false">AVERAGE(TableDE1!R90:R93)</f>
        <v>51438.0301229518</v>
      </c>
      <c r="S84" s="218" t="n">
        <f aca="false">AVERAGE(TableDE1!S90:S93)</f>
        <v>35912.6909467015</v>
      </c>
      <c r="T84" s="219" t="n">
        <f aca="false">AVERAGE(TableDE1!T90:T93)</f>
        <v>21515.0006338571</v>
      </c>
      <c r="V84" s="158"/>
    </row>
    <row r="85" customFormat="false" ht="12" hidden="true" customHeight="true" outlineLevel="0" collapsed="false">
      <c r="A85" s="145" t="n">
        <f aca="false">A84+1</f>
        <v>1945</v>
      </c>
      <c r="B85" s="146"/>
      <c r="C85" s="228"/>
      <c r="D85" s="146"/>
      <c r="E85" s="228"/>
      <c r="F85" s="150"/>
      <c r="G85" s="213"/>
      <c r="H85" s="151"/>
      <c r="I85" s="152"/>
      <c r="J85" s="90"/>
      <c r="K85" s="90"/>
      <c r="L85" s="151"/>
      <c r="M85" s="193"/>
      <c r="N85" s="214" t="n">
        <f aca="false">AVERAGE(TableDE1!N85:N94)</f>
        <v>1.95324779122149</v>
      </c>
      <c r="O85" s="154"/>
      <c r="P85" s="155"/>
      <c r="Q85" s="217"/>
      <c r="R85" s="218" t="n">
        <f aca="false">AVERAGE(TableDE1!R90:R94)</f>
        <v>51690.1340983615</v>
      </c>
      <c r="S85" s="218" t="n">
        <f aca="false">AVERAGE(TableDE1!S90:S94)</f>
        <v>36143.7847713612</v>
      </c>
      <c r="T85" s="219" t="n">
        <f aca="false">AVERAGE(TableDE1!T90:T94)</f>
        <v>21802.3898026424</v>
      </c>
      <c r="V85" s="158"/>
    </row>
    <row r="86" customFormat="false" ht="12" hidden="true" customHeight="true" outlineLevel="0" collapsed="false">
      <c r="A86" s="145" t="n">
        <f aca="false">A85+1</f>
        <v>1946</v>
      </c>
      <c r="B86" s="146"/>
      <c r="C86" s="228"/>
      <c r="D86" s="146"/>
      <c r="E86" s="228"/>
      <c r="F86" s="150"/>
      <c r="G86" s="213"/>
      <c r="H86" s="151"/>
      <c r="I86" s="152"/>
      <c r="J86" s="90"/>
      <c r="K86" s="90"/>
      <c r="L86" s="151"/>
      <c r="M86" s="193"/>
      <c r="N86" s="214" t="n">
        <f aca="false">AVERAGE(TableDE1!N86:N95)</f>
        <v>1.85296095957468</v>
      </c>
      <c r="O86" s="154"/>
      <c r="P86" s="155"/>
      <c r="Q86" s="217"/>
      <c r="R86" s="218" t="n">
        <f aca="false">AVERAGE(TableDE1!R90:R95)</f>
        <v>51946.8617486345</v>
      </c>
      <c r="S86" s="218" t="n">
        <f aca="false">AVERAGE(TableDE1!S90:S95)</f>
        <v>36378.840267801</v>
      </c>
      <c r="T86" s="219" t="n">
        <f aca="false">AVERAGE(TableDE1!T90:T95)</f>
        <v>22140.316112281</v>
      </c>
      <c r="V86" s="158"/>
    </row>
    <row r="87" customFormat="false" ht="12" hidden="true" customHeight="true" outlineLevel="0" collapsed="false">
      <c r="A87" s="145" t="n">
        <f aca="false">A86+1</f>
        <v>1947</v>
      </c>
      <c r="B87" s="146"/>
      <c r="C87" s="228"/>
      <c r="D87" s="146"/>
      <c r="E87" s="228"/>
      <c r="F87" s="150"/>
      <c r="G87" s="213"/>
      <c r="H87" s="151"/>
      <c r="I87" s="152"/>
      <c r="J87" s="90"/>
      <c r="K87" s="90"/>
      <c r="L87" s="151"/>
      <c r="M87" s="193"/>
      <c r="N87" s="214" t="n">
        <f aca="false">AVERAGE(TableDE1!N87:N96)</f>
        <v>1.77197567671933</v>
      </c>
      <c r="O87" s="154"/>
      <c r="P87" s="155"/>
      <c r="Q87" s="217"/>
      <c r="R87" s="218" t="n">
        <f aca="false">AVERAGE(TableDE1!R90:R96)</f>
        <v>52158.5457845439</v>
      </c>
      <c r="S87" s="218" t="n">
        <f aca="false">AVERAGE(TableDE1!S90:S96)</f>
        <v>36582.736335258</v>
      </c>
      <c r="T87" s="219" t="n">
        <f aca="false">AVERAGE(TableDE1!T90:T96)</f>
        <v>22480.6430684987</v>
      </c>
      <c r="V87" s="158"/>
    </row>
    <row r="88" customFormat="false" ht="12" hidden="true" customHeight="true" outlineLevel="0" collapsed="false">
      <c r="A88" s="145" t="n">
        <f aca="false">A87+1</f>
        <v>1948</v>
      </c>
      <c r="B88" s="146"/>
      <c r="C88" s="228"/>
      <c r="D88" s="146"/>
      <c r="E88" s="228"/>
      <c r="F88" s="150"/>
      <c r="G88" s="213"/>
      <c r="H88" s="151"/>
      <c r="I88" s="152"/>
      <c r="J88" s="90"/>
      <c r="K88" s="90"/>
      <c r="L88" s="151"/>
      <c r="M88" s="193"/>
      <c r="N88" s="214" t="n">
        <f aca="false">AVERAGE(TableDE1!N88:N97)</f>
        <v>1.71134143259058</v>
      </c>
      <c r="O88" s="154"/>
      <c r="P88" s="155"/>
      <c r="Q88" s="217"/>
      <c r="R88" s="218" t="n">
        <f aca="false">AVERAGE(TableDE1!R90:R97)</f>
        <v>52351.4775614759</v>
      </c>
      <c r="S88" s="218" t="n">
        <f aca="false">AVERAGE(TableDE1!S90:S97)</f>
        <v>36773.9329683508</v>
      </c>
      <c r="T88" s="219" t="n">
        <f aca="false">AVERAGE(TableDE1!T90:T97)</f>
        <v>22805.9218540642</v>
      </c>
      <c r="V88" s="158"/>
    </row>
    <row r="89" customFormat="false" ht="12" hidden="true" customHeight="true" outlineLevel="0" collapsed="false">
      <c r="A89" s="145" t="n">
        <f aca="false">A88+1</f>
        <v>1949</v>
      </c>
      <c r="B89" s="146"/>
      <c r="C89" s="228"/>
      <c r="D89" s="146"/>
      <c r="E89" s="228"/>
      <c r="F89" s="150"/>
      <c r="G89" s="213"/>
      <c r="H89" s="151"/>
      <c r="I89" s="152"/>
      <c r="J89" s="90"/>
      <c r="K89" s="90"/>
      <c r="L89" s="151"/>
      <c r="M89" s="193"/>
      <c r="N89" s="214" t="n">
        <f aca="false">AVERAGE(TableDE1!N89:N98)</f>
        <v>1.67369834552049</v>
      </c>
      <c r="O89" s="154"/>
      <c r="P89" s="155"/>
      <c r="Q89" s="217"/>
      <c r="R89" s="218" t="n">
        <f aca="false">AVERAGE(TableDE1!R90:R98)</f>
        <v>52578.1800546453</v>
      </c>
      <c r="S89" s="218" t="n">
        <f aca="false">AVERAGE(TableDE1!S90:S98)</f>
        <v>36989.7274429784</v>
      </c>
      <c r="T89" s="219" t="n">
        <f aca="false">AVERAGE(TableDE1!T90:T98)</f>
        <v>23083.8643608819</v>
      </c>
      <c r="V89" s="158"/>
    </row>
    <row r="90" customFormat="false" ht="12" hidden="false" customHeight="false" outlineLevel="0" collapsed="false">
      <c r="A90" s="131" t="n">
        <v>1950</v>
      </c>
      <c r="B90" s="146" t="n">
        <f aca="false">AVERAGE(TableDE1!B90:B99)</f>
        <v>90.4018344169669</v>
      </c>
      <c r="C90" s="228" t="n">
        <f aca="false">AVERAGE(TableDE1!C90:C99)</f>
        <v>148.248243089256</v>
      </c>
      <c r="D90" s="146" t="n">
        <f aca="false">AVERAGE(TableDE1!D90:D99)</f>
        <v>417.572887882682</v>
      </c>
      <c r="E90" s="228" t="n">
        <f aca="false">AVERAGE(TableDE1!E90:E99)</f>
        <v>686.106357638969</v>
      </c>
      <c r="F90" s="150" t="n">
        <f aca="false">AVERAGE(TableDE1!F90:F99)</f>
        <v>1700.8925941221</v>
      </c>
      <c r="G90" s="213" t="n">
        <f aca="false">AVERAGE(TableDE1!G90:G99)</f>
        <v>2791.13685863195</v>
      </c>
      <c r="H90" s="138" t="n">
        <f aca="false">AVERAGE(TableDE1!H90:H99)</f>
        <v>2409.43577860364</v>
      </c>
      <c r="I90" s="139" t="n">
        <f aca="false">AVERAGE(TableDE1!I90:I99)</f>
        <v>3954.83666358957</v>
      </c>
      <c r="J90" s="137" t="n">
        <f aca="false">AVERAGE(TableDE1!J90:J99)</f>
        <v>7868.04091069653</v>
      </c>
      <c r="K90" s="137" t="n">
        <f aca="false">AVERAGE(TableDE1!K90:K99)</f>
        <v>12937.2997610786</v>
      </c>
      <c r="L90" s="138" t="n">
        <f aca="false">AVERAGE(TableDE1!L90:L99)</f>
        <v>11151.3428327549</v>
      </c>
      <c r="M90" s="244" t="n">
        <f aca="false">AVERAGE(TableDE1!M90:M99)</f>
        <v>18340.9424783392</v>
      </c>
      <c r="N90" s="245" t="n">
        <f aca="false">AVERAGE(TableDE1!N90:N99)</f>
        <v>1.65653502548827</v>
      </c>
      <c r="O90" s="141" t="n">
        <f aca="false">AVERAGE(TableDE1!O90:O99)</f>
        <v>0.809839503003135</v>
      </c>
      <c r="P90" s="142" t="n">
        <f aca="false">AVERAGE(TableDE1!P90:P99)</f>
        <v>9027.87377349039</v>
      </c>
      <c r="Q90" s="272" t="n">
        <f aca="false">AVERAGE(TableDE1!Q90:Q99)</f>
        <v>2.04550017099802</v>
      </c>
      <c r="R90" s="249" t="n">
        <f aca="false">AVERAGE(TableDE1!R90:R99)</f>
        <v>52819.1770491807</v>
      </c>
      <c r="S90" s="249" t="n">
        <f aca="false">AVERAGE(TableDE1!S90:S99)</f>
        <v>37216.3587271806</v>
      </c>
      <c r="T90" s="250" t="n">
        <f aca="false">AVERAGE(TableDE1!T90:T99)</f>
        <v>23335.4497687995</v>
      </c>
      <c r="V90" s="158"/>
    </row>
    <row r="91" customFormat="false" ht="12" hidden="true" customHeight="true" outlineLevel="0" collapsed="false">
      <c r="A91" s="145" t="n">
        <f aca="false">A90+1</f>
        <v>1951</v>
      </c>
      <c r="B91" s="273"/>
      <c r="C91" s="274"/>
      <c r="D91" s="273"/>
      <c r="E91" s="274"/>
      <c r="F91" s="273"/>
      <c r="G91" s="275"/>
      <c r="H91" s="157"/>
      <c r="I91" s="275"/>
      <c r="J91" s="155"/>
      <c r="K91" s="155"/>
      <c r="L91" s="157"/>
      <c r="M91" s="155"/>
      <c r="N91" s="265" t="n">
        <f aca="false">AVERAGE(TableDE1!N91:N100)</f>
        <v>1.64772959878852</v>
      </c>
      <c r="O91" s="155"/>
      <c r="P91" s="155"/>
      <c r="Q91" s="263"/>
      <c r="R91" s="111" t="n">
        <f aca="false">AVERAGE(TableDE1!R91:R100)</f>
        <v>53305.19</v>
      </c>
      <c r="S91" s="218" t="n">
        <f aca="false">AVERAGE(TableDE1!S91:S100)</f>
        <v>37670.913898</v>
      </c>
      <c r="T91" s="219" t="n">
        <f aca="false">AVERAGE(TableDE1!T91:T100)</f>
        <v>23868.0755767308</v>
      </c>
      <c r="V91" s="158"/>
    </row>
    <row r="92" customFormat="false" ht="12" hidden="true" customHeight="true" outlineLevel="0" collapsed="false">
      <c r="A92" s="145" t="n">
        <f aca="false">A91+1</f>
        <v>1952</v>
      </c>
      <c r="B92" s="273"/>
      <c r="C92" s="274"/>
      <c r="D92" s="273"/>
      <c r="E92" s="274"/>
      <c r="F92" s="273"/>
      <c r="G92" s="275"/>
      <c r="H92" s="157"/>
      <c r="I92" s="275"/>
      <c r="J92" s="155"/>
      <c r="K92" s="155"/>
      <c r="L92" s="157"/>
      <c r="M92" s="155"/>
      <c r="N92" s="265" t="n">
        <f aca="false">AVERAGE(TableDE1!N92:N101)</f>
        <v>1.66022385751949</v>
      </c>
      <c r="O92" s="155"/>
      <c r="P92" s="155"/>
      <c r="Q92" s="263"/>
      <c r="R92" s="111" t="n">
        <f aca="false">AVERAGE(TableDE1!R92:R101)</f>
        <v>53812.9174</v>
      </c>
      <c r="S92" s="218" t="n">
        <f aca="false">AVERAGE(TableDE1!S92:S101)</f>
        <v>38123.89242278</v>
      </c>
      <c r="T92" s="219" t="n">
        <f aca="false">AVERAGE(TableDE1!T92:T101)</f>
        <v>24382.3026169682</v>
      </c>
      <c r="V92" s="158"/>
    </row>
    <row r="93" customFormat="false" ht="12" hidden="true" customHeight="true" outlineLevel="0" collapsed="false">
      <c r="A93" s="145" t="n">
        <f aca="false">A92+1</f>
        <v>1953</v>
      </c>
      <c r="B93" s="273"/>
      <c r="C93" s="274"/>
      <c r="D93" s="273"/>
      <c r="E93" s="274"/>
      <c r="F93" s="273"/>
      <c r="G93" s="275"/>
      <c r="H93" s="157"/>
      <c r="I93" s="275"/>
      <c r="J93" s="155"/>
      <c r="K93" s="155"/>
      <c r="L93" s="157"/>
      <c r="M93" s="155"/>
      <c r="N93" s="265" t="n">
        <f aca="false">AVERAGE(TableDE1!N93:N102)</f>
        <v>1.68339706995211</v>
      </c>
      <c r="O93" s="155"/>
      <c r="P93" s="155"/>
      <c r="Q93" s="263"/>
      <c r="R93" s="111" t="n">
        <f aca="false">AVERAGE(TableDE1!R93:R102)</f>
        <v>54339.8071</v>
      </c>
      <c r="S93" s="218" t="n">
        <f aca="false">AVERAGE(TableDE1!S93:S102)</f>
        <v>38573.11754076</v>
      </c>
      <c r="T93" s="219" t="n">
        <f aca="false">AVERAGE(TableDE1!T93:T102)</f>
        <v>24860.600568576</v>
      </c>
      <c r="V93" s="158"/>
    </row>
    <row r="94" customFormat="false" ht="12" hidden="true" customHeight="true" outlineLevel="0" collapsed="false">
      <c r="A94" s="145" t="n">
        <f aca="false">A93+1</f>
        <v>1954</v>
      </c>
      <c r="B94" s="273"/>
      <c r="C94" s="274"/>
      <c r="D94" s="273"/>
      <c r="E94" s="274"/>
      <c r="F94" s="273"/>
      <c r="G94" s="275"/>
      <c r="H94" s="157"/>
      <c r="I94" s="275"/>
      <c r="J94" s="155"/>
      <c r="K94" s="155"/>
      <c r="L94" s="157"/>
      <c r="M94" s="155"/>
      <c r="N94" s="265" t="n">
        <f aca="false">AVERAGE(TableDE1!N94:N103)</f>
        <v>1.71851405616803</v>
      </c>
      <c r="O94" s="155"/>
      <c r="P94" s="155"/>
      <c r="Q94" s="263"/>
      <c r="R94" s="111" t="n">
        <f aca="false">AVERAGE(TableDE1!R94:R103)</f>
        <v>54879.51485</v>
      </c>
      <c r="S94" s="218" t="n">
        <f aca="false">AVERAGE(TableDE1!S94:S103)</f>
        <v>39013.774933535</v>
      </c>
      <c r="T94" s="219" t="n">
        <f aca="false">AVERAGE(TableDE1!T94:T103)</f>
        <v>25287.1744152567</v>
      </c>
      <c r="V94" s="158"/>
    </row>
    <row r="95" customFormat="false" ht="12" hidden="true" customHeight="true" outlineLevel="0" collapsed="false">
      <c r="A95" s="145" t="n">
        <f aca="false">A94+1</f>
        <v>1955</v>
      </c>
      <c r="B95" s="273"/>
      <c r="C95" s="274"/>
      <c r="D95" s="273"/>
      <c r="E95" s="274"/>
      <c r="F95" s="273"/>
      <c r="G95" s="275"/>
      <c r="H95" s="157"/>
      <c r="I95" s="275"/>
      <c r="J95" s="155"/>
      <c r="K95" s="155"/>
      <c r="L95" s="157"/>
      <c r="M95" s="155"/>
      <c r="N95" s="265" t="n">
        <f aca="false">AVERAGE(TableDE1!N95:N104)</f>
        <v>1.75421817940704</v>
      </c>
      <c r="O95" s="155"/>
      <c r="P95" s="155"/>
      <c r="Q95" s="263"/>
      <c r="R95" s="111" t="n">
        <f aca="false">AVERAGE(TableDE1!R95:R104)</f>
        <v>55432.25785</v>
      </c>
      <c r="S95" s="218" t="n">
        <f aca="false">AVERAGE(TableDE1!S95:S104)</f>
        <v>39445.661584935</v>
      </c>
      <c r="T95" s="219" t="n">
        <f aca="false">AVERAGE(TableDE1!T95:T104)</f>
        <v>25653.3292674784</v>
      </c>
      <c r="V95" s="158"/>
    </row>
    <row r="96" customFormat="false" ht="12" hidden="true" customHeight="true" outlineLevel="0" collapsed="false">
      <c r="A96" s="145" t="n">
        <f aca="false">A95+1</f>
        <v>1956</v>
      </c>
      <c r="B96" s="273"/>
      <c r="C96" s="274"/>
      <c r="D96" s="273"/>
      <c r="E96" s="274"/>
      <c r="F96" s="273"/>
      <c r="G96" s="275"/>
      <c r="H96" s="157"/>
      <c r="I96" s="275"/>
      <c r="J96" s="155"/>
      <c r="K96" s="155"/>
      <c r="L96" s="157"/>
      <c r="M96" s="155"/>
      <c r="N96" s="265" t="n">
        <f aca="false">AVERAGE(TableDE1!N96:N105)</f>
        <v>1.80204287784341</v>
      </c>
      <c r="O96" s="155"/>
      <c r="P96" s="155"/>
      <c r="Q96" s="263"/>
      <c r="R96" s="111" t="n">
        <f aca="false">AVERAGE(TableDE1!R96:R105)</f>
        <v>56003.40995</v>
      </c>
      <c r="S96" s="218" t="n">
        <f aca="false">AVERAGE(TableDE1!S96:S105)</f>
        <v>39872.186199885</v>
      </c>
      <c r="T96" s="219" t="n">
        <f aca="false">AVERAGE(TableDE1!T96:T105)</f>
        <v>25947.182701431</v>
      </c>
      <c r="V96" s="158"/>
    </row>
    <row r="97" customFormat="false" ht="12" hidden="true" customHeight="true" outlineLevel="0" collapsed="false">
      <c r="A97" s="145" t="n">
        <f aca="false">A96+1</f>
        <v>1957</v>
      </c>
      <c r="B97" s="273"/>
      <c r="C97" s="274"/>
      <c r="D97" s="273"/>
      <c r="E97" s="274"/>
      <c r="F97" s="273"/>
      <c r="G97" s="275"/>
      <c r="H97" s="157"/>
      <c r="I97" s="275"/>
      <c r="J97" s="155"/>
      <c r="K97" s="155"/>
      <c r="L97" s="157"/>
      <c r="M97" s="155"/>
      <c r="N97" s="265" t="n">
        <f aca="false">AVERAGE(TableDE1!N97:N106)</f>
        <v>1.86357665877963</v>
      </c>
      <c r="O97" s="155"/>
      <c r="P97" s="155"/>
      <c r="Q97" s="263"/>
      <c r="R97" s="111" t="n">
        <f aca="false">AVERAGE(TableDE1!R97:R106)</f>
        <v>56615.0212</v>
      </c>
      <c r="S97" s="218" t="n">
        <f aca="false">AVERAGE(TableDE1!S97:S106)</f>
        <v>40308.535006135</v>
      </c>
      <c r="T97" s="219" t="n">
        <f aca="false">AVERAGE(TableDE1!T97:T106)</f>
        <v>26163.7486208504</v>
      </c>
      <c r="V97" s="158"/>
    </row>
    <row r="98" customFormat="false" ht="12" hidden="true" customHeight="true" outlineLevel="0" collapsed="false">
      <c r="A98" s="145" t="n">
        <f aca="false">A97+1</f>
        <v>1958</v>
      </c>
      <c r="B98" s="273"/>
      <c r="C98" s="274"/>
      <c r="D98" s="273"/>
      <c r="E98" s="274"/>
      <c r="F98" s="273"/>
      <c r="G98" s="275"/>
      <c r="H98" s="157"/>
      <c r="I98" s="275"/>
      <c r="J98" s="155"/>
      <c r="K98" s="155"/>
      <c r="L98" s="157"/>
      <c r="M98" s="155"/>
      <c r="N98" s="265" t="n">
        <f aca="false">AVERAGE(TableDE1!N98:N107)</f>
        <v>1.9459591326935</v>
      </c>
      <c r="O98" s="155"/>
      <c r="P98" s="155"/>
      <c r="Q98" s="263"/>
      <c r="R98" s="111" t="n">
        <f aca="false">AVERAGE(TableDE1!R98:R107)</f>
        <v>57231.8916</v>
      </c>
      <c r="S98" s="218" t="n">
        <f aca="false">AVERAGE(TableDE1!S98:S107)</f>
        <v>40729.564131895</v>
      </c>
      <c r="T98" s="219" t="n">
        <f aca="false">AVERAGE(TableDE1!T98:T107)</f>
        <v>26237.2818855482</v>
      </c>
      <c r="V98" s="158"/>
    </row>
    <row r="99" customFormat="false" ht="12" hidden="true" customHeight="true" outlineLevel="0" collapsed="false">
      <c r="A99" s="145" t="n">
        <f aca="false">A98+1</f>
        <v>1959</v>
      </c>
      <c r="B99" s="273"/>
      <c r="C99" s="274"/>
      <c r="D99" s="273"/>
      <c r="E99" s="274"/>
      <c r="F99" s="273"/>
      <c r="G99" s="275"/>
      <c r="H99" s="157"/>
      <c r="I99" s="275"/>
      <c r="J99" s="155"/>
      <c r="K99" s="155"/>
      <c r="L99" s="157"/>
      <c r="M99" s="155"/>
      <c r="N99" s="265" t="n">
        <f aca="false">AVERAGE(TableDE1!N99:N108)</f>
        <v>2.02498233154839</v>
      </c>
      <c r="O99" s="155"/>
      <c r="P99" s="155"/>
      <c r="Q99" s="263"/>
      <c r="R99" s="111" t="n">
        <f aca="false">AVERAGE(TableDE1!R99:R108)</f>
        <v>57813.28695</v>
      </c>
      <c r="S99" s="218" t="n">
        <f aca="false">AVERAGE(TableDE1!S99:S108)</f>
        <v>41106.073774855</v>
      </c>
      <c r="T99" s="219" t="n">
        <f aca="false">AVERAGE(TableDE1!T99:T108)</f>
        <v>26290.8314440059</v>
      </c>
      <c r="V99" s="158"/>
    </row>
    <row r="100" customFormat="false" ht="12" hidden="false" customHeight="false" outlineLevel="0" collapsed="false">
      <c r="A100" s="145" t="n">
        <v>1960</v>
      </c>
      <c r="B100" s="146" t="n">
        <f aca="false">AVERAGE(TableDE1!B100:B109)</f>
        <v>209.102274416188</v>
      </c>
      <c r="C100" s="228" t="n">
        <f aca="false">AVERAGE(TableDE1!C100:C109)</f>
        <v>446.014626499223</v>
      </c>
      <c r="D100" s="146" t="n">
        <f aca="false">AVERAGE(TableDE1!D100:D109)</f>
        <v>725.893720870539</v>
      </c>
      <c r="E100" s="228" t="n">
        <f aca="false">AVERAGE(TableDE1!E100:E109)</f>
        <v>1535.16803092888</v>
      </c>
      <c r="F100" s="150" t="n">
        <f aca="false">AVERAGE(TableDE1!F100:F109)</f>
        <v>3563.5624426261</v>
      </c>
      <c r="G100" s="213" t="n">
        <f aca="false">AVERAGE(TableDE1!G100:G109)</f>
        <v>7580.93171994379</v>
      </c>
      <c r="H100" s="151" t="n">
        <f aca="false">AVERAGE(TableDE1!H100:H109)</f>
        <v>5022.61656347048</v>
      </c>
      <c r="I100" s="152" t="n">
        <f aca="false">AVERAGE(TableDE1!I100:I109)</f>
        <v>10690.1792128181</v>
      </c>
      <c r="J100" s="90" t="n">
        <f aca="false">AVERAGE(TableDE1!J100:J109)</f>
        <v>12402.2465969317</v>
      </c>
      <c r="K100" s="90" t="n">
        <f aca="false">AVERAGE(TableDE1!K100:K109)</f>
        <v>26156.4645135555</v>
      </c>
      <c r="L100" s="151" t="n">
        <f aca="false">AVERAGE(TableDE1!L100:L109)</f>
        <v>17472.0004938777</v>
      </c>
      <c r="M100" s="193" t="n">
        <f aca="false">AVERAGE(TableDE1!M100:M109)</f>
        <v>36867.664703067</v>
      </c>
      <c r="N100" s="214" t="n">
        <f aca="false">AVERAGE(TableDE1!N100:N109)</f>
        <v>2.09334194173539</v>
      </c>
      <c r="O100" s="154" t="n">
        <f aca="false">AVERAGE(TableDE1!O100:O109)</f>
        <v>0.78361189051307</v>
      </c>
      <c r="P100" s="155" t="n">
        <f aca="false">AVERAGE(TableDE1!P100:P109)</f>
        <v>13686.5503520384</v>
      </c>
      <c r="Q100" s="217" t="n">
        <f aca="false">AVERAGE(TableDE1!Q100:Q109)</f>
        <v>2.67250777811774</v>
      </c>
      <c r="R100" s="111" t="n">
        <f aca="false">AVERAGE(TableDE1!R100:R109)</f>
        <v>58397.35315</v>
      </c>
      <c r="S100" s="218" t="n">
        <f aca="false">AVERAGE(TableDE1!S100:S109)</f>
        <v>41464.642975515</v>
      </c>
      <c r="T100" s="219" t="n">
        <f aca="false">AVERAGE(TableDE1!T100:T109)</f>
        <v>26355.9708</v>
      </c>
      <c r="V100" s="158"/>
    </row>
    <row r="101" customFormat="false" ht="12" hidden="true" customHeight="true" outlineLevel="0" collapsed="false">
      <c r="A101" s="145" t="n">
        <f aca="false">A100+1</f>
        <v>1961</v>
      </c>
      <c r="B101" s="273"/>
      <c r="C101" s="274"/>
      <c r="D101" s="273"/>
      <c r="E101" s="274"/>
      <c r="F101" s="273"/>
      <c r="G101" s="275"/>
      <c r="H101" s="157"/>
      <c r="I101" s="275"/>
      <c r="J101" s="155"/>
      <c r="K101" s="155"/>
      <c r="L101" s="157"/>
      <c r="M101" s="155"/>
      <c r="N101" s="265" t="n">
        <f aca="false">AVERAGE(TableDE1!N101:N110)</f>
        <v>2.14607918919273</v>
      </c>
      <c r="O101" s="155"/>
      <c r="P101" s="155"/>
      <c r="Q101" s="263"/>
      <c r="R101" s="111" t="n">
        <f aca="false">AVERAGE(TableDE1!R101:R110)</f>
        <v>58946.3709</v>
      </c>
      <c r="S101" s="218" t="n">
        <f aca="false">AVERAGE(TableDE1!S101:S110)</f>
        <v>41778.312443765</v>
      </c>
      <c r="T101" s="219" t="n">
        <f aca="false">AVERAGE(TableDE1!T101:T110)</f>
        <v>26409.5691</v>
      </c>
      <c r="V101" s="158"/>
    </row>
    <row r="102" customFormat="false" ht="12" hidden="true" customHeight="true" outlineLevel="0" collapsed="false">
      <c r="A102" s="145" t="n">
        <f aca="false">A101+1</f>
        <v>1962</v>
      </c>
      <c r="B102" s="273"/>
      <c r="C102" s="274"/>
      <c r="D102" s="273"/>
      <c r="E102" s="274"/>
      <c r="F102" s="273"/>
      <c r="G102" s="275"/>
      <c r="H102" s="157"/>
      <c r="I102" s="275"/>
      <c r="J102" s="155"/>
      <c r="K102" s="155"/>
      <c r="L102" s="157"/>
      <c r="M102" s="155"/>
      <c r="N102" s="265" t="n">
        <f aca="false">AVERAGE(TableDE1!N102:N111)</f>
        <v>2.18098358929759</v>
      </c>
      <c r="O102" s="155"/>
      <c r="P102" s="155"/>
      <c r="Q102" s="263"/>
      <c r="R102" s="111" t="n">
        <f aca="false">AVERAGE(TableDE1!R102:R111)</f>
        <v>59444.18185</v>
      </c>
      <c r="S102" s="218" t="n">
        <f aca="false">AVERAGE(TableDE1!S102:S111)</f>
        <v>42082.64638959</v>
      </c>
      <c r="T102" s="219" t="n">
        <f aca="false">AVERAGE(TableDE1!T102:T111)</f>
        <v>26438.4866</v>
      </c>
      <c r="V102" s="158"/>
    </row>
    <row r="103" customFormat="false" ht="12" hidden="true" customHeight="true" outlineLevel="0" collapsed="false">
      <c r="A103" s="145" t="n">
        <f aca="false">A102+1</f>
        <v>1963</v>
      </c>
      <c r="B103" s="273"/>
      <c r="C103" s="274"/>
      <c r="D103" s="273"/>
      <c r="E103" s="274"/>
      <c r="F103" s="273"/>
      <c r="G103" s="275"/>
      <c r="H103" s="157"/>
      <c r="I103" s="275"/>
      <c r="J103" s="155"/>
      <c r="K103" s="155"/>
      <c r="L103" s="157"/>
      <c r="M103" s="155"/>
      <c r="N103" s="265" t="n">
        <f aca="false">AVERAGE(TableDE1!N103:N112)</f>
        <v>2.2103090736838</v>
      </c>
      <c r="O103" s="155"/>
      <c r="P103" s="155"/>
      <c r="Q103" s="263"/>
      <c r="R103" s="111" t="n">
        <f aca="false">AVERAGE(TableDE1!R103:R112)</f>
        <v>59917.9562</v>
      </c>
      <c r="S103" s="218" t="n">
        <f aca="false">AVERAGE(TableDE1!S103:S112)</f>
        <v>42397.20775349</v>
      </c>
      <c r="T103" s="219" t="n">
        <f aca="false">AVERAGE(TableDE1!T103:T112)</f>
        <v>26472.3856</v>
      </c>
      <c r="V103" s="158"/>
    </row>
    <row r="104" customFormat="false" ht="12" hidden="true" customHeight="true" outlineLevel="0" collapsed="false">
      <c r="A104" s="145" t="n">
        <f aca="false">A103+1</f>
        <v>1964</v>
      </c>
      <c r="B104" s="273"/>
      <c r="C104" s="274"/>
      <c r="D104" s="273"/>
      <c r="E104" s="274"/>
      <c r="F104" s="273"/>
      <c r="G104" s="275"/>
      <c r="H104" s="157"/>
      <c r="I104" s="275"/>
      <c r="J104" s="155"/>
      <c r="K104" s="155"/>
      <c r="L104" s="157"/>
      <c r="M104" s="155"/>
      <c r="N104" s="265" t="n">
        <f aca="false">AVERAGE(TableDE1!N104:N113)</f>
        <v>2.225569396229</v>
      </c>
      <c r="O104" s="155"/>
      <c r="P104" s="155"/>
      <c r="Q104" s="263"/>
      <c r="R104" s="111" t="n">
        <f aca="false">AVERAGE(TableDE1!R104:R113)</f>
        <v>60357.9058</v>
      </c>
      <c r="S104" s="218" t="n">
        <f aca="false">AVERAGE(TableDE1!S104:S113)</f>
        <v>42715.45229353</v>
      </c>
      <c r="T104" s="219" t="n">
        <f aca="false">AVERAGE(TableDE1!T104:T113)</f>
        <v>26531.9459</v>
      </c>
      <c r="V104" s="158"/>
    </row>
    <row r="105" customFormat="false" ht="12" hidden="true" customHeight="true" outlineLevel="0" collapsed="false">
      <c r="A105" s="145" t="n">
        <f aca="false">A104+1</f>
        <v>1965</v>
      </c>
      <c r="B105" s="273"/>
      <c r="C105" s="274"/>
      <c r="D105" s="273"/>
      <c r="E105" s="274"/>
      <c r="F105" s="273"/>
      <c r="G105" s="275"/>
      <c r="H105" s="157"/>
      <c r="I105" s="275"/>
      <c r="J105" s="155"/>
      <c r="K105" s="155"/>
      <c r="L105" s="157"/>
      <c r="M105" s="155"/>
      <c r="N105" s="265" t="n">
        <f aca="false">AVERAGE(TableDE1!N105:N114)</f>
        <v>2.239780062241</v>
      </c>
      <c r="O105" s="155"/>
      <c r="P105" s="155"/>
      <c r="Q105" s="263"/>
      <c r="R105" s="111" t="n">
        <f aca="false">AVERAGE(TableDE1!R105:R114)</f>
        <v>60739.95</v>
      </c>
      <c r="S105" s="218" t="n">
        <f aca="false">AVERAGE(TableDE1!S105:S114)</f>
        <v>43020.51437877</v>
      </c>
      <c r="T105" s="219" t="n">
        <f aca="false">AVERAGE(TableDE1!T105:T114)</f>
        <v>26562.9964</v>
      </c>
      <c r="V105" s="158"/>
    </row>
    <row r="106" customFormat="false" ht="12" hidden="true" customHeight="true" outlineLevel="0" collapsed="false">
      <c r="A106" s="145" t="n">
        <f aca="false">A105+1</f>
        <v>1966</v>
      </c>
      <c r="B106" s="273"/>
      <c r="C106" s="274"/>
      <c r="D106" s="273"/>
      <c r="E106" s="274"/>
      <c r="F106" s="273"/>
      <c r="G106" s="275"/>
      <c r="H106" s="157"/>
      <c r="I106" s="275"/>
      <c r="J106" s="155"/>
      <c r="K106" s="155"/>
      <c r="L106" s="157"/>
      <c r="M106" s="155"/>
      <c r="N106" s="265" t="n">
        <f aca="false">AVERAGE(TableDE1!N106:N115)</f>
        <v>2.26122235903844</v>
      </c>
      <c r="O106" s="155"/>
      <c r="P106" s="155"/>
      <c r="Q106" s="263"/>
      <c r="R106" s="111" t="n">
        <f aca="false">AVERAGE(TableDE1!R106:R115)</f>
        <v>61027.55285</v>
      </c>
      <c r="S106" s="218" t="n">
        <f aca="false">AVERAGE(TableDE1!S106:S115)</f>
        <v>43286.386650345</v>
      </c>
      <c r="T106" s="219" t="n">
        <f aca="false">AVERAGE(TableDE1!T106:T115)</f>
        <v>26510.9482</v>
      </c>
      <c r="V106" s="158"/>
    </row>
    <row r="107" customFormat="false" ht="12" hidden="true" customHeight="true" outlineLevel="0" collapsed="false">
      <c r="A107" s="145" t="n">
        <f aca="false">A106+1</f>
        <v>1967</v>
      </c>
      <c r="B107" s="273"/>
      <c r="C107" s="274"/>
      <c r="D107" s="273"/>
      <c r="E107" s="274"/>
      <c r="F107" s="273"/>
      <c r="G107" s="275"/>
      <c r="H107" s="157"/>
      <c r="I107" s="275"/>
      <c r="J107" s="155"/>
      <c r="K107" s="155"/>
      <c r="L107" s="157"/>
      <c r="M107" s="155"/>
      <c r="N107" s="265" t="n">
        <f aca="false">AVERAGE(TableDE1!N107:N116)</f>
        <v>2.27422864269177</v>
      </c>
      <c r="O107" s="155"/>
      <c r="P107" s="155"/>
      <c r="Q107" s="263"/>
      <c r="R107" s="111" t="n">
        <f aca="false">AVERAGE(TableDE1!R107:R116)</f>
        <v>61227.4076</v>
      </c>
      <c r="S107" s="218" t="n">
        <f aca="false">AVERAGE(TableDE1!S107:S116)</f>
        <v>43517.777016895</v>
      </c>
      <c r="T107" s="219" t="n">
        <f aca="false">AVERAGE(TableDE1!T107:T116)</f>
        <v>26456.0218</v>
      </c>
      <c r="V107" s="158"/>
    </row>
    <row r="108" customFormat="false" ht="12" hidden="true" customHeight="true" outlineLevel="0" collapsed="false">
      <c r="A108" s="145" t="n">
        <f aca="false">A107+1</f>
        <v>1968</v>
      </c>
      <c r="B108" s="273"/>
      <c r="C108" s="274"/>
      <c r="D108" s="273"/>
      <c r="E108" s="274"/>
      <c r="F108" s="273"/>
      <c r="G108" s="275"/>
      <c r="H108" s="157"/>
      <c r="I108" s="275"/>
      <c r="J108" s="155"/>
      <c r="K108" s="155"/>
      <c r="L108" s="157"/>
      <c r="M108" s="155"/>
      <c r="N108" s="265" t="n">
        <f aca="false">AVERAGE(TableDE1!N108:N117)</f>
        <v>2.27447783515715</v>
      </c>
      <c r="O108" s="155"/>
      <c r="P108" s="155"/>
      <c r="Q108" s="263"/>
      <c r="R108" s="111" t="n">
        <f aca="false">AVERAGE(TableDE1!R108:R117)</f>
        <v>61380.07425</v>
      </c>
      <c r="S108" s="218" t="n">
        <f aca="false">AVERAGE(TableDE1!S108:S117)</f>
        <v>43743.58002314</v>
      </c>
      <c r="T108" s="219" t="n">
        <f aca="false">AVERAGE(TableDE1!T108:T117)</f>
        <v>26494.0012</v>
      </c>
      <c r="V108" s="158"/>
    </row>
    <row r="109" customFormat="false" ht="12" hidden="true" customHeight="true" outlineLevel="0" collapsed="false">
      <c r="A109" s="145" t="n">
        <f aca="false">A108+1</f>
        <v>1969</v>
      </c>
      <c r="B109" s="273"/>
      <c r="C109" s="274"/>
      <c r="D109" s="273"/>
      <c r="E109" s="274"/>
      <c r="F109" s="273"/>
      <c r="G109" s="275"/>
      <c r="H109" s="157"/>
      <c r="I109" s="275"/>
      <c r="J109" s="155"/>
      <c r="K109" s="155"/>
      <c r="L109" s="157"/>
      <c r="M109" s="155"/>
      <c r="N109" s="265" t="n">
        <f aca="false">AVERAGE(TableDE1!N109:N118)</f>
        <v>2.28004133757692</v>
      </c>
      <c r="O109" s="155"/>
      <c r="P109" s="155"/>
      <c r="Q109" s="263"/>
      <c r="R109" s="111" t="n">
        <f aca="false">AVERAGE(TableDE1!R109:R118)</f>
        <v>61493.2193</v>
      </c>
      <c r="S109" s="218" t="n">
        <f aca="false">AVERAGE(TableDE1!S109:S118)</f>
        <v>43969.39771594</v>
      </c>
      <c r="T109" s="219" t="n">
        <f aca="false">AVERAGE(TableDE1!T109:T118)</f>
        <v>26555.4112</v>
      </c>
      <c r="V109" s="158"/>
    </row>
    <row r="110" customFormat="false" ht="12" hidden="false" customHeight="false" outlineLevel="0" collapsed="false">
      <c r="A110" s="145" t="n">
        <v>1970</v>
      </c>
      <c r="B110" s="146" t="n">
        <f aca="false">AVERAGE(TableDE1!B110:B119)</f>
        <v>476.038</v>
      </c>
      <c r="C110" s="228" t="n">
        <f aca="false">AVERAGE(TableDE1!C110:C119)</f>
        <v>1101.11124143394</v>
      </c>
      <c r="D110" s="146" t="n">
        <f aca="false">AVERAGE(TableDE1!D110:D119)</f>
        <v>1037.28104915069</v>
      </c>
      <c r="E110" s="228" t="n">
        <f aca="false">AVERAGE(TableDE1!E110:E119)</f>
        <v>2386.85100967234</v>
      </c>
      <c r="F110" s="150" t="n">
        <f aca="false">AVERAGE(TableDE1!F110:F119)</f>
        <v>7734.3841196342</v>
      </c>
      <c r="G110" s="213" t="n">
        <f aca="false">AVERAGE(TableDE1!G110:G119)</f>
        <v>17892.1678887287</v>
      </c>
      <c r="H110" s="151" t="n">
        <f aca="false">AVERAGE(TableDE1!H110:H119)</f>
        <v>10746.0990337299</v>
      </c>
      <c r="I110" s="152" t="n">
        <f aca="false">AVERAGE(TableDE1!I110:I119)</f>
        <v>24845.9939565044</v>
      </c>
      <c r="J110" s="90" t="n">
        <f aca="false">AVERAGE(TableDE1!J110:J119)</f>
        <v>16853.316727563</v>
      </c>
      <c r="K110" s="90" t="n">
        <f aca="false">AVERAGE(TableDE1!K110:K119)</f>
        <v>38784.3941198722</v>
      </c>
      <c r="L110" s="151" t="n">
        <f aca="false">AVERAGE(TableDE1!L110:L119)</f>
        <v>23458.0998047718</v>
      </c>
      <c r="M110" s="193" t="n">
        <f aca="false">AVERAGE(TableDE1!M110:M119)</f>
        <v>53955.70104487</v>
      </c>
      <c r="N110" s="214" t="n">
        <f aca="false">AVERAGE(TableDE1!N110:N119)</f>
        <v>2.29436379035529</v>
      </c>
      <c r="O110" s="154" t="n">
        <f aca="false">AVERAGE(TableDE1!O110:O119)</f>
        <v>0.766169369375157</v>
      </c>
      <c r="P110" s="155" t="n">
        <f aca="false">AVERAGE(TableDE1!P110:P119)</f>
        <v>17975.0294784907</v>
      </c>
      <c r="Q110" s="217" t="n">
        <f aca="false">AVERAGE(TableDE1!Q110:Q119)</f>
        <v>2.99449767082844</v>
      </c>
      <c r="R110" s="111" t="n">
        <f aca="false">AVERAGE(TableDE1!R110:R119)</f>
        <v>61548.38835</v>
      </c>
      <c r="S110" s="218" t="n">
        <f aca="false">AVERAGE(TableDE1!S110:S119)</f>
        <v>44182.573904955</v>
      </c>
      <c r="T110" s="219" t="n">
        <f aca="false">AVERAGE(TableDE1!T110:T119)</f>
        <v>26627.1</v>
      </c>
      <c r="V110" s="158"/>
    </row>
    <row r="111" customFormat="false" ht="12" hidden="true" customHeight="true" outlineLevel="0" collapsed="false">
      <c r="A111" s="145" t="n">
        <f aca="false">A110+1</f>
        <v>1971</v>
      </c>
      <c r="B111" s="273"/>
      <c r="C111" s="274"/>
      <c r="D111" s="273"/>
      <c r="E111" s="274"/>
      <c r="F111" s="273"/>
      <c r="G111" s="275"/>
      <c r="H111" s="157"/>
      <c r="I111" s="275"/>
      <c r="J111" s="155"/>
      <c r="K111" s="155"/>
      <c r="L111" s="157"/>
      <c r="M111" s="155"/>
      <c r="N111" s="265" t="n">
        <f aca="false">AVERAGE(TableDE1!N111:N120)</f>
        <v>2.32229988061276</v>
      </c>
      <c r="O111" s="155"/>
      <c r="P111" s="155"/>
      <c r="Q111" s="263"/>
      <c r="R111" s="111" t="n">
        <f aca="false">AVERAGE(TableDE1!R111:R120)</f>
        <v>61593.46495</v>
      </c>
      <c r="S111" s="218" t="n">
        <f aca="false">AVERAGE(TableDE1!S111:S120)</f>
        <v>44417.373278305</v>
      </c>
      <c r="T111" s="219" t="n">
        <f aca="false">AVERAGE(TableDE1!T111:T120)</f>
        <v>26710.2</v>
      </c>
      <c r="V111" s="158"/>
    </row>
    <row r="112" customFormat="false" ht="12" hidden="true" customHeight="true" outlineLevel="0" collapsed="false">
      <c r="A112" s="145" t="n">
        <f aca="false">A111+1</f>
        <v>1972</v>
      </c>
      <c r="B112" s="273"/>
      <c r="C112" s="274"/>
      <c r="D112" s="273"/>
      <c r="E112" s="274"/>
      <c r="F112" s="273"/>
      <c r="G112" s="275"/>
      <c r="H112" s="157"/>
      <c r="I112" s="275"/>
      <c r="J112" s="155"/>
      <c r="K112" s="155"/>
      <c r="L112" s="157"/>
      <c r="M112" s="155"/>
      <c r="N112" s="265" t="n">
        <f aca="false">AVERAGE(TableDE1!N112:N121)</f>
        <v>2.36431574073908</v>
      </c>
      <c r="O112" s="155"/>
      <c r="P112" s="155"/>
      <c r="Q112" s="263"/>
      <c r="R112" s="111" t="n">
        <f aca="false">AVERAGE(TableDE1!R112:R121)</f>
        <v>61636.8133</v>
      </c>
      <c r="S112" s="218" t="n">
        <f aca="false">AVERAGE(TableDE1!S112:S121)</f>
        <v>44665.73938692</v>
      </c>
      <c r="T112" s="219" t="n">
        <f aca="false">AVERAGE(TableDE1!T112:T121)</f>
        <v>26784.5</v>
      </c>
      <c r="V112" s="158"/>
    </row>
    <row r="113" customFormat="false" ht="12" hidden="true" customHeight="true" outlineLevel="0" collapsed="false">
      <c r="A113" s="145" t="n">
        <f aca="false">A112+1</f>
        <v>1973</v>
      </c>
      <c r="B113" s="273"/>
      <c r="C113" s="274"/>
      <c r="D113" s="273"/>
      <c r="E113" s="274"/>
      <c r="F113" s="273"/>
      <c r="G113" s="275"/>
      <c r="H113" s="157"/>
      <c r="I113" s="275"/>
      <c r="J113" s="155"/>
      <c r="K113" s="155"/>
      <c r="L113" s="157"/>
      <c r="M113" s="155"/>
      <c r="N113" s="265" t="n">
        <f aca="false">AVERAGE(TableDE1!N113:N122)</f>
        <v>2.41527604605424</v>
      </c>
      <c r="O113" s="155"/>
      <c r="P113" s="155"/>
      <c r="Q113" s="263"/>
      <c r="R113" s="111" t="n">
        <f aca="false">AVERAGE(TableDE1!R113:R122)</f>
        <v>61634.15875</v>
      </c>
      <c r="S113" s="218" t="n">
        <f aca="false">AVERAGE(TableDE1!S113:S122)</f>
        <v>44895.58224344</v>
      </c>
      <c r="T113" s="219" t="n">
        <f aca="false">AVERAGE(TableDE1!T113:T122)</f>
        <v>26822.9</v>
      </c>
      <c r="V113" s="158"/>
    </row>
    <row r="114" customFormat="false" ht="12" hidden="true" customHeight="true" outlineLevel="0" collapsed="false">
      <c r="A114" s="145" t="n">
        <f aca="false">A113+1</f>
        <v>1974</v>
      </c>
      <c r="B114" s="273"/>
      <c r="C114" s="274"/>
      <c r="D114" s="273"/>
      <c r="E114" s="274"/>
      <c r="F114" s="273"/>
      <c r="G114" s="275"/>
      <c r="H114" s="157"/>
      <c r="I114" s="275"/>
      <c r="J114" s="155"/>
      <c r="K114" s="155"/>
      <c r="L114" s="157"/>
      <c r="M114" s="155"/>
      <c r="N114" s="265" t="n">
        <f aca="false">AVERAGE(TableDE1!N114:N123)</f>
        <v>2.476457380491</v>
      </c>
      <c r="O114" s="155"/>
      <c r="P114" s="155"/>
      <c r="Q114" s="263"/>
      <c r="R114" s="111" t="n">
        <f aca="false">AVERAGE(TableDE1!R114:R123)</f>
        <v>61581.2599</v>
      </c>
      <c r="S114" s="218" t="n">
        <f aca="false">AVERAGE(TableDE1!S114:S123)</f>
        <v>45102.961929425</v>
      </c>
      <c r="T114" s="219" t="n">
        <f aca="false">AVERAGE(TableDE1!T114:T123)</f>
        <v>26804.1</v>
      </c>
      <c r="V114" s="158"/>
    </row>
    <row r="115" customFormat="false" ht="12" hidden="true" customHeight="true" outlineLevel="0" collapsed="false">
      <c r="A115" s="145" t="n">
        <f aca="false">A114+1</f>
        <v>1975</v>
      </c>
      <c r="B115" s="273"/>
      <c r="C115" s="274"/>
      <c r="D115" s="273"/>
      <c r="E115" s="274"/>
      <c r="F115" s="273"/>
      <c r="G115" s="275"/>
      <c r="H115" s="157"/>
      <c r="I115" s="275"/>
      <c r="J115" s="155"/>
      <c r="K115" s="155"/>
      <c r="L115" s="157"/>
      <c r="M115" s="155"/>
      <c r="N115" s="265" t="n">
        <f aca="false">AVERAGE(TableDE1!N115:N124)</f>
        <v>2.54000347455915</v>
      </c>
      <c r="O115" s="155"/>
      <c r="P115" s="155"/>
      <c r="Q115" s="263"/>
      <c r="R115" s="111" t="n">
        <f aca="false">AVERAGE(TableDE1!R115:R124)</f>
        <v>61494.41395</v>
      </c>
      <c r="S115" s="218" t="n">
        <f aca="false">AVERAGE(TableDE1!S115:S124)</f>
        <v>45298.933861785</v>
      </c>
      <c r="T115" s="219" t="n">
        <f aca="false">AVERAGE(TableDE1!T115:T124)</f>
        <v>26834.3</v>
      </c>
      <c r="V115" s="158"/>
    </row>
    <row r="116" customFormat="false" ht="12" hidden="true" customHeight="true" outlineLevel="0" collapsed="false">
      <c r="A116" s="145" t="n">
        <f aca="false">A115+1</f>
        <v>1976</v>
      </c>
      <c r="B116" s="273"/>
      <c r="C116" s="274"/>
      <c r="D116" s="273"/>
      <c r="E116" s="274"/>
      <c r="F116" s="273"/>
      <c r="G116" s="275"/>
      <c r="H116" s="157"/>
      <c r="I116" s="275"/>
      <c r="J116" s="155"/>
      <c r="K116" s="155"/>
      <c r="L116" s="157"/>
      <c r="M116" s="155"/>
      <c r="N116" s="265" t="n">
        <f aca="false">AVERAGE(TableDE1!N116:N125)</f>
        <v>2.60088088414147</v>
      </c>
      <c r="O116" s="155"/>
      <c r="P116" s="155"/>
      <c r="Q116" s="263"/>
      <c r="R116" s="111" t="n">
        <f aca="false">AVERAGE(TableDE1!R116:R125)</f>
        <v>61416.0955</v>
      </c>
      <c r="S116" s="218" t="n">
        <f aca="false">AVERAGE(TableDE1!S116:S125)</f>
        <v>45514.18888626</v>
      </c>
      <c r="T116" s="219" t="n">
        <f aca="false">AVERAGE(TableDE1!T116:T125)</f>
        <v>26970.3</v>
      </c>
      <c r="V116" s="158"/>
    </row>
    <row r="117" customFormat="false" ht="12" hidden="true" customHeight="true" outlineLevel="0" collapsed="false">
      <c r="A117" s="145" t="n">
        <f aca="false">A116+1</f>
        <v>1977</v>
      </c>
      <c r="B117" s="273"/>
      <c r="C117" s="274"/>
      <c r="D117" s="273"/>
      <c r="E117" s="274"/>
      <c r="F117" s="273"/>
      <c r="G117" s="275"/>
      <c r="H117" s="157"/>
      <c r="I117" s="275"/>
      <c r="J117" s="155"/>
      <c r="K117" s="155"/>
      <c r="L117" s="157"/>
      <c r="M117" s="155"/>
      <c r="N117" s="265" t="n">
        <f aca="false">AVERAGE(TableDE1!N117:N126)</f>
        <v>2.66684728162037</v>
      </c>
      <c r="O117" s="155"/>
      <c r="P117" s="155"/>
      <c r="Q117" s="263"/>
      <c r="R117" s="111" t="n">
        <f aca="false">AVERAGE(TableDE1!R117:R126)</f>
        <v>61369.81125</v>
      </c>
      <c r="S117" s="218" t="n">
        <f aca="false">AVERAGE(TableDE1!S117:S126)</f>
        <v>45766.59121826</v>
      </c>
      <c r="T117" s="219" t="n">
        <f aca="false">AVERAGE(TableDE1!T117:T126)</f>
        <v>27170.2</v>
      </c>
      <c r="V117" s="158"/>
    </row>
    <row r="118" customFormat="false" ht="12" hidden="true" customHeight="true" outlineLevel="0" collapsed="false">
      <c r="A118" s="145" t="n">
        <f aca="false">A117+1</f>
        <v>1978</v>
      </c>
      <c r="B118" s="273"/>
      <c r="C118" s="274"/>
      <c r="D118" s="273"/>
      <c r="E118" s="274"/>
      <c r="F118" s="273"/>
      <c r="G118" s="275"/>
      <c r="H118" s="157"/>
      <c r="I118" s="275"/>
      <c r="J118" s="155"/>
      <c r="K118" s="155"/>
      <c r="L118" s="157"/>
      <c r="M118" s="155"/>
      <c r="N118" s="265" t="n">
        <f aca="false">AVERAGE(TableDE1!N118:N127)</f>
        <v>2.73464227705992</v>
      </c>
      <c r="O118" s="155"/>
      <c r="P118" s="155"/>
      <c r="Q118" s="263"/>
      <c r="R118" s="111" t="n">
        <f aca="false">AVERAGE(TableDE1!R118:R127)</f>
        <v>61349.0012</v>
      </c>
      <c r="S118" s="218" t="n">
        <f aca="false">AVERAGE(TableDE1!S118:S127)</f>
        <v>46051.920356655</v>
      </c>
      <c r="T118" s="219" t="n">
        <f aca="false">AVERAGE(TableDE1!T118:T127)</f>
        <v>27403.5</v>
      </c>
      <c r="V118" s="158"/>
    </row>
    <row r="119" customFormat="false" ht="12" hidden="true" customHeight="true" outlineLevel="0" collapsed="false">
      <c r="A119" s="145" t="n">
        <f aca="false">A118+1</f>
        <v>1979</v>
      </c>
      <c r="B119" s="273"/>
      <c r="C119" s="274"/>
      <c r="D119" s="273"/>
      <c r="E119" s="274"/>
      <c r="F119" s="273"/>
      <c r="G119" s="275"/>
      <c r="H119" s="157"/>
      <c r="I119" s="275"/>
      <c r="J119" s="155"/>
      <c r="K119" s="155"/>
      <c r="L119" s="157"/>
      <c r="M119" s="155"/>
      <c r="N119" s="265" t="n">
        <f aca="false">AVERAGE(TableDE1!N119:N128)</f>
        <v>2.79218797366555</v>
      </c>
      <c r="O119" s="155"/>
      <c r="P119" s="155"/>
      <c r="Q119" s="263"/>
      <c r="R119" s="111" t="n">
        <f aca="false">AVERAGE(TableDE1!R119:R128)</f>
        <v>61362.9399</v>
      </c>
      <c r="S119" s="218" t="n">
        <f aca="false">AVERAGE(TableDE1!S119:S128)</f>
        <v>46378.076922175</v>
      </c>
      <c r="T119" s="219" t="n">
        <f aca="false">AVERAGE(TableDE1!T119:T128)</f>
        <v>27651.5</v>
      </c>
      <c r="V119" s="158"/>
    </row>
    <row r="120" customFormat="false" ht="12" hidden="false" customHeight="false" outlineLevel="0" collapsed="false">
      <c r="A120" s="145" t="n">
        <v>1980</v>
      </c>
      <c r="B120" s="146" t="n">
        <f aca="false">AVERAGE(TableDE1!B120:B129)</f>
        <v>840.566</v>
      </c>
      <c r="C120" s="228" t="n">
        <f aca="false">AVERAGE(TableDE1!C120:C129)</f>
        <v>2408.54606761673</v>
      </c>
      <c r="D120" s="146" t="n">
        <f aca="false">AVERAGE(TableDE1!D120:D129)</f>
        <v>1261.87466345156</v>
      </c>
      <c r="E120" s="228" t="n">
        <f aca="false">AVERAGE(TableDE1!E120:E129)</f>
        <v>3600.87617053933</v>
      </c>
      <c r="F120" s="150" t="n">
        <f aca="false">AVERAGE(TableDE1!F120:F129)</f>
        <v>13679.0357443402</v>
      </c>
      <c r="G120" s="213" t="n">
        <f aca="false">AVERAGE(TableDE1!G120:G129)</f>
        <v>39196.7789178716</v>
      </c>
      <c r="H120" s="151" t="n">
        <f aca="false">AVERAGE(TableDE1!H120:H129)</f>
        <v>17928.8419708444</v>
      </c>
      <c r="I120" s="152" t="n">
        <f aca="false">AVERAGE(TableDE1!I120:I129)</f>
        <v>51314.8953753202</v>
      </c>
      <c r="J120" s="90" t="n">
        <f aca="false">AVERAGE(TableDE1!J120:J129)</f>
        <v>20535.6805163474</v>
      </c>
      <c r="K120" s="90" t="n">
        <f aca="false">AVERAGE(TableDE1!K120:K129)</f>
        <v>58602.7149400154</v>
      </c>
      <c r="L120" s="151" t="n">
        <f aca="false">AVERAGE(TableDE1!L120:L129)</f>
        <v>26956.7022297172</v>
      </c>
      <c r="M120" s="193" t="n">
        <f aca="false">AVERAGE(TableDE1!M120:M129)</f>
        <v>76833.8054861816</v>
      </c>
      <c r="N120" s="214" t="n">
        <f aca="false">AVERAGE(TableDE1!N120:N129)</f>
        <v>2.84477836630842</v>
      </c>
      <c r="O120" s="154" t="n">
        <f aca="false">AVERAGE(TableDE1!O120:O129)</f>
        <v>0.772320801344754</v>
      </c>
      <c r="P120" s="155" t="n">
        <f aca="false">AVERAGE(TableDE1!P120:P129)</f>
        <v>20817.671392577</v>
      </c>
      <c r="Q120" s="217" t="n">
        <f aca="false">AVERAGE(TableDE1!Q120:Q129)</f>
        <v>3.68366150313851</v>
      </c>
      <c r="R120" s="111" t="n">
        <f aca="false">AVERAGE(TableDE1!R120:R129)</f>
        <v>61444.59655</v>
      </c>
      <c r="S120" s="218" t="n">
        <f aca="false">AVERAGE(TableDE1!S120:S129)</f>
        <v>46771.90501016</v>
      </c>
      <c r="T120" s="219" t="n">
        <f aca="false">AVERAGE(TableDE1!T120:T129)</f>
        <v>27902.7</v>
      </c>
      <c r="V120" s="158"/>
    </row>
    <row r="121" customFormat="false" ht="12" hidden="true" customHeight="true" outlineLevel="0" collapsed="false">
      <c r="A121" s="145" t="n">
        <f aca="false">A120+1</f>
        <v>1981</v>
      </c>
      <c r="B121" s="273"/>
      <c r="C121" s="274"/>
      <c r="D121" s="273"/>
      <c r="E121" s="274"/>
      <c r="F121" s="273"/>
      <c r="G121" s="275"/>
      <c r="H121" s="157"/>
      <c r="I121" s="275"/>
      <c r="J121" s="155"/>
      <c r="K121" s="155"/>
      <c r="L121" s="157"/>
      <c r="M121" s="155"/>
      <c r="N121" s="265" t="n">
        <f aca="false">AVERAGE(TableDE1!N121:N130)</f>
        <v>2.88515142971853</v>
      </c>
      <c r="O121" s="155"/>
      <c r="P121" s="155"/>
      <c r="Q121" s="263"/>
      <c r="R121" s="111" t="n">
        <f aca="false">AVERAGE(TableDE1!R121:R130)</f>
        <v>61609.9666</v>
      </c>
      <c r="S121" s="218" t="n">
        <f aca="false">AVERAGE(TableDE1!S121:S130)</f>
        <v>47247.55049336</v>
      </c>
      <c r="T121" s="219" t="n">
        <f aca="false">AVERAGE(TableDE1!T121:T130)</f>
        <v>28201.6</v>
      </c>
      <c r="V121" s="158"/>
    </row>
    <row r="122" customFormat="false" ht="12" hidden="true" customHeight="true" outlineLevel="0" collapsed="false">
      <c r="A122" s="145" t="n">
        <f aca="false">A121+1</f>
        <v>1982</v>
      </c>
      <c r="B122" s="273"/>
      <c r="C122" s="274"/>
      <c r="D122" s="273"/>
      <c r="E122" s="274"/>
      <c r="F122" s="273"/>
      <c r="G122" s="275"/>
      <c r="H122" s="157"/>
      <c r="I122" s="275"/>
      <c r="J122" s="155"/>
      <c r="K122" s="155"/>
      <c r="L122" s="157"/>
      <c r="M122" s="155"/>
      <c r="N122" s="265" t="n">
        <f aca="false">AVERAGE(TableDE1!N122:N131)</f>
        <v>2.91001965676218</v>
      </c>
      <c r="O122" s="155"/>
      <c r="P122" s="155"/>
      <c r="Q122" s="263"/>
      <c r="R122" s="111" t="n">
        <f aca="false">AVERAGE(TableDE1!R122:R131)</f>
        <v>63442.82445</v>
      </c>
      <c r="S122" s="218" t="n">
        <f aca="false">AVERAGE(TableDE1!S122:S131)</f>
        <v>48938.05540229</v>
      </c>
      <c r="T122" s="219" t="n">
        <f aca="false">AVERAGE(TableDE1!T122:T131)</f>
        <v>29327.5</v>
      </c>
      <c r="V122" s="158"/>
    </row>
    <row r="123" customFormat="false" ht="12" hidden="true" customHeight="true" outlineLevel="0" collapsed="false">
      <c r="A123" s="145" t="n">
        <f aca="false">A122+1</f>
        <v>1983</v>
      </c>
      <c r="B123" s="273"/>
      <c r="C123" s="274"/>
      <c r="D123" s="273"/>
      <c r="E123" s="274"/>
      <c r="F123" s="273"/>
      <c r="G123" s="275"/>
      <c r="H123" s="157"/>
      <c r="I123" s="275"/>
      <c r="J123" s="155"/>
      <c r="K123" s="155"/>
      <c r="L123" s="157"/>
      <c r="M123" s="155"/>
      <c r="N123" s="265" t="n">
        <f aca="false">AVERAGE(TableDE1!N123:N132)</f>
        <v>2.92702723147243</v>
      </c>
      <c r="O123" s="155"/>
      <c r="P123" s="155"/>
      <c r="Q123" s="263"/>
      <c r="R123" s="111" t="n">
        <f aca="false">AVERAGE(TableDE1!R123:R132)</f>
        <v>65342.34475</v>
      </c>
      <c r="S123" s="218" t="n">
        <f aca="false">AVERAGE(TableDE1!S123:S132)</f>
        <v>50650.04426119</v>
      </c>
      <c r="T123" s="219" t="n">
        <f aca="false">AVERAGE(TableDE1!T123:T132)</f>
        <v>30421.7</v>
      </c>
      <c r="V123" s="158"/>
    </row>
    <row r="124" customFormat="false" ht="12" hidden="true" customHeight="true" outlineLevel="0" collapsed="false">
      <c r="A124" s="145" t="n">
        <f aca="false">A123+1</f>
        <v>1984</v>
      </c>
      <c r="B124" s="273"/>
      <c r="C124" s="274"/>
      <c r="D124" s="273"/>
      <c r="E124" s="274"/>
      <c r="F124" s="273"/>
      <c r="G124" s="275"/>
      <c r="H124" s="157"/>
      <c r="I124" s="275"/>
      <c r="J124" s="155"/>
      <c r="K124" s="155"/>
      <c r="L124" s="157"/>
      <c r="M124" s="155"/>
      <c r="N124" s="265" t="n">
        <f aca="false">AVERAGE(TableDE1!N124:N133)</f>
        <v>2.95105158483691</v>
      </c>
      <c r="O124" s="155"/>
      <c r="P124" s="155"/>
      <c r="Q124" s="263"/>
      <c r="R124" s="111" t="n">
        <f aca="false">AVERAGE(TableDE1!R124:R133)</f>
        <v>67315.3425</v>
      </c>
      <c r="S124" s="218" t="n">
        <f aca="false">AVERAGE(TableDE1!S124:S133)</f>
        <v>52388.52481839</v>
      </c>
      <c r="T124" s="219" t="n">
        <f aca="false">AVERAGE(TableDE1!T124:T133)</f>
        <v>31491.9</v>
      </c>
      <c r="V124" s="158"/>
    </row>
    <row r="125" customFormat="false" ht="12" hidden="true" customHeight="true" outlineLevel="0" collapsed="false">
      <c r="A125" s="145" t="n">
        <f aca="false">A124+1</f>
        <v>1985</v>
      </c>
      <c r="B125" s="273"/>
      <c r="C125" s="274"/>
      <c r="D125" s="273"/>
      <c r="E125" s="274"/>
      <c r="F125" s="273"/>
      <c r="G125" s="275"/>
      <c r="H125" s="157"/>
      <c r="I125" s="275"/>
      <c r="J125" s="155"/>
      <c r="K125" s="155"/>
      <c r="L125" s="157"/>
      <c r="M125" s="155"/>
      <c r="N125" s="265" t="n">
        <f aca="false">AVERAGE(TableDE1!N125:N134)</f>
        <v>2.97455102104863</v>
      </c>
      <c r="O125" s="155"/>
      <c r="P125" s="155"/>
      <c r="Q125" s="263"/>
      <c r="R125" s="111" t="n">
        <f aca="false">AVERAGE(TableDE1!R125:R134)</f>
        <v>69341.38105</v>
      </c>
      <c r="S125" s="218" t="n">
        <f aca="false">AVERAGE(TableDE1!S125:S134)</f>
        <v>54137.62654299</v>
      </c>
      <c r="T125" s="219" t="n">
        <f aca="false">AVERAGE(TableDE1!T125:T134)</f>
        <v>32536</v>
      </c>
      <c r="V125" s="158"/>
    </row>
    <row r="126" customFormat="false" ht="12" hidden="true" customHeight="true" outlineLevel="0" collapsed="false">
      <c r="A126" s="145" t="n">
        <f aca="false">A125+1</f>
        <v>1986</v>
      </c>
      <c r="B126" s="273"/>
      <c r="C126" s="274"/>
      <c r="D126" s="273"/>
      <c r="E126" s="274"/>
      <c r="F126" s="273"/>
      <c r="G126" s="275"/>
      <c r="H126" s="157"/>
      <c r="I126" s="275"/>
      <c r="J126" s="155"/>
      <c r="K126" s="155"/>
      <c r="L126" s="157"/>
      <c r="M126" s="155"/>
      <c r="N126" s="265" t="n">
        <f aca="false">AVERAGE(TableDE1!N126:N135)</f>
        <v>2.99448555207326</v>
      </c>
      <c r="O126" s="155"/>
      <c r="P126" s="155"/>
      <c r="Q126" s="263"/>
      <c r="R126" s="111" t="n">
        <f aca="false">AVERAGE(TableDE1!R126:R135)</f>
        <v>71405.69965</v>
      </c>
      <c r="S126" s="218" t="n">
        <f aca="false">AVERAGE(TableDE1!S126:S135)</f>
        <v>55886.28986049</v>
      </c>
      <c r="T126" s="219" t="n">
        <f aca="false">AVERAGE(TableDE1!T126:T135)</f>
        <v>33555.4</v>
      </c>
      <c r="V126" s="158"/>
    </row>
    <row r="127" customFormat="false" ht="12" hidden="true" customHeight="true" outlineLevel="0" collapsed="false">
      <c r="A127" s="145" t="n">
        <f aca="false">A126+1</f>
        <v>1987</v>
      </c>
      <c r="B127" s="273"/>
      <c r="C127" s="274"/>
      <c r="D127" s="273"/>
      <c r="E127" s="274"/>
      <c r="F127" s="273"/>
      <c r="G127" s="275"/>
      <c r="H127" s="157"/>
      <c r="I127" s="275"/>
      <c r="J127" s="155"/>
      <c r="K127" s="155"/>
      <c r="L127" s="157"/>
      <c r="M127" s="155"/>
      <c r="N127" s="265" t="n">
        <f aca="false">AVERAGE(TableDE1!N127:N136)</f>
        <v>3.02059230730775</v>
      </c>
      <c r="O127" s="155"/>
      <c r="P127" s="155"/>
      <c r="Q127" s="263"/>
      <c r="R127" s="111" t="n">
        <f aca="false">AVERAGE(TableDE1!R127:R136)</f>
        <v>73489.13595</v>
      </c>
      <c r="S127" s="218" t="n">
        <f aca="false">AVERAGE(TableDE1!S127:S136)</f>
        <v>57617.6598238907</v>
      </c>
      <c r="T127" s="219" t="n">
        <f aca="false">AVERAGE(TableDE1!T127:T136)</f>
        <v>34518.8</v>
      </c>
      <c r="V127" s="158"/>
    </row>
    <row r="128" customFormat="false" ht="12" hidden="true" customHeight="true" outlineLevel="0" collapsed="false">
      <c r="A128" s="145" t="n">
        <f aca="false">A127+1</f>
        <v>1988</v>
      </c>
      <c r="B128" s="273"/>
      <c r="C128" s="274"/>
      <c r="D128" s="273"/>
      <c r="E128" s="274"/>
      <c r="F128" s="273"/>
      <c r="G128" s="275"/>
      <c r="H128" s="157"/>
      <c r="I128" s="275"/>
      <c r="J128" s="155"/>
      <c r="K128" s="155"/>
      <c r="L128" s="157"/>
      <c r="M128" s="155"/>
      <c r="N128" s="265" t="n">
        <f aca="false">AVERAGE(TableDE1!N128:N137)</f>
        <v>3.04748977611931</v>
      </c>
      <c r="O128" s="155"/>
      <c r="P128" s="155"/>
      <c r="Q128" s="263"/>
      <c r="R128" s="111" t="n">
        <f aca="false">AVERAGE(TableDE1!R128:R137)</f>
        <v>75573.686</v>
      </c>
      <c r="S128" s="218" t="n">
        <f aca="false">AVERAGE(TableDE1!S128:S137)</f>
        <v>59317.6194898074</v>
      </c>
      <c r="T128" s="219" t="n">
        <f aca="false">AVERAGE(TableDE1!T128:T137)</f>
        <v>35437.3</v>
      </c>
      <c r="V128" s="158"/>
    </row>
    <row r="129" customFormat="false" ht="12" hidden="true" customHeight="true" outlineLevel="0" collapsed="false">
      <c r="A129" s="145" t="n">
        <f aca="false">A128+1</f>
        <v>1989</v>
      </c>
      <c r="B129" s="273"/>
      <c r="C129" s="274"/>
      <c r="D129" s="273"/>
      <c r="E129" s="274"/>
      <c r="F129" s="273"/>
      <c r="G129" s="275"/>
      <c r="H129" s="157"/>
      <c r="I129" s="275"/>
      <c r="J129" s="155"/>
      <c r="K129" s="155"/>
      <c r="L129" s="157"/>
      <c r="M129" s="155"/>
      <c r="N129" s="265" t="n">
        <f aca="false">AVERAGE(TableDE1!N129:N138)</f>
        <v>3.08488036714676</v>
      </c>
      <c r="O129" s="155"/>
      <c r="P129" s="155"/>
      <c r="Q129" s="263"/>
      <c r="R129" s="111" t="n">
        <f aca="false">AVERAGE(TableDE1!R129:R138)</f>
        <v>77630.7464</v>
      </c>
      <c r="S129" s="218" t="n">
        <f aca="false">AVERAGE(TableDE1!S129:S138)</f>
        <v>60963.6664830665</v>
      </c>
      <c r="T129" s="219" t="n">
        <f aca="false">AVERAGE(TableDE1!T129:T138)</f>
        <v>36358.4</v>
      </c>
      <c r="V129" s="158"/>
    </row>
    <row r="130" customFormat="false" ht="12" hidden="false" customHeight="false" outlineLevel="0" collapsed="false">
      <c r="A130" s="160" t="n">
        <v>1990</v>
      </c>
      <c r="B130" s="161" t="n">
        <f aca="false">AVERAGE(TableDE1!B130:B139)</f>
        <v>1498.985</v>
      </c>
      <c r="C130" s="231" t="n">
        <f aca="false">AVERAGE(TableDE1!C130:C139)</f>
        <v>4726.32388824245</v>
      </c>
      <c r="D130" s="161" t="n">
        <f aca="false">AVERAGE(TableDE1!D130:D139)</f>
        <v>1730.13275414953</v>
      </c>
      <c r="E130" s="231" t="n">
        <f aca="false">AVERAGE(TableDE1!E130:E139)</f>
        <v>5437.16785404593</v>
      </c>
      <c r="F130" s="165" t="n">
        <f aca="false">AVERAGE(TableDE1!F130:F139)</f>
        <v>18798.6800528354</v>
      </c>
      <c r="G130" s="232" t="n">
        <f aca="false">AVERAGE(TableDE1!G130:G139)</f>
        <v>59158.2179636517</v>
      </c>
      <c r="H130" s="166" t="n">
        <f aca="false">AVERAGE(TableDE1!H130:H139)</f>
        <v>23931.512895022</v>
      </c>
      <c r="I130" s="167" t="n">
        <f aca="false">AVERAGE(TableDE1!I130:I139)</f>
        <v>75309.404883748</v>
      </c>
      <c r="J130" s="108" t="n">
        <f aca="false">AVERAGE(TableDE1!J130:J139)</f>
        <v>21770.4608367398</v>
      </c>
      <c r="K130" s="108" t="n">
        <f aca="false">AVERAGE(TableDE1!K130:K139)</f>
        <v>68275.1691263175</v>
      </c>
      <c r="L130" s="166" t="n">
        <f aca="false">AVERAGE(TableDE1!L130:L139)</f>
        <v>27712.9652464796</v>
      </c>
      <c r="M130" s="233" t="n">
        <f aca="false">AVERAGE(TableDE1!M130:M139)</f>
        <v>86910.3458214633</v>
      </c>
      <c r="N130" s="234" t="n">
        <f aca="false">AVERAGE(TableDE1!N130:N139)</f>
        <v>3.1344869674577</v>
      </c>
      <c r="O130" s="169" t="n">
        <f aca="false">AVERAGE(TableDE1!O130:O139)</f>
        <v>0.782502941262748</v>
      </c>
      <c r="P130" s="170" t="n">
        <f aca="false">AVERAGE(TableDE1!P130:P139)</f>
        <v>21683.0253229939</v>
      </c>
      <c r="Q130" s="237" t="n">
        <f aca="false">AVERAGE(TableDE1!Q130:Q139)</f>
        <v>4.00585845892251</v>
      </c>
      <c r="R130" s="111" t="n">
        <f aca="false">AVERAGE(TableDE1!R130:R139)</f>
        <v>79621.0638</v>
      </c>
      <c r="S130" s="218" t="n">
        <f aca="false">AVERAGE(TableDE1!S130:S139)</f>
        <v>62530.8504733081</v>
      </c>
      <c r="T130" s="219" t="n">
        <f aca="false">AVERAGE(TableDE1!T130:T139)</f>
        <v>37282.5</v>
      </c>
      <c r="V130" s="158"/>
    </row>
    <row r="131" customFormat="false" ht="12" hidden="true" customHeight="true" outlineLevel="0" collapsed="false">
      <c r="A131" s="145" t="n">
        <f aca="false">A130+1</f>
        <v>1991</v>
      </c>
      <c r="B131" s="273"/>
      <c r="C131" s="274"/>
      <c r="D131" s="273"/>
      <c r="E131" s="274"/>
      <c r="F131" s="273"/>
      <c r="G131" s="275"/>
      <c r="H131" s="157"/>
      <c r="I131" s="275"/>
      <c r="J131" s="155"/>
      <c r="K131" s="155"/>
      <c r="L131" s="157"/>
      <c r="M131" s="155"/>
      <c r="N131" s="265" t="n">
        <f aca="false">AVERAGE(TableDE1!N131:N140)</f>
        <v>3.19762343965167</v>
      </c>
      <c r="O131" s="155"/>
      <c r="P131" s="155"/>
      <c r="Q131" s="263"/>
      <c r="R131" s="111" t="n">
        <f aca="false">AVERAGE(TableDE1!R131:R140)</f>
        <v>81521.97965</v>
      </c>
      <c r="S131" s="218" t="n">
        <f aca="false">AVERAGE(TableDE1!S131:S140)</f>
        <v>64011.7123757581</v>
      </c>
      <c r="T131" s="219" t="n">
        <f aca="false">AVERAGE(TableDE1!T131:T140)</f>
        <v>38179.8</v>
      </c>
      <c r="V131" s="158"/>
    </row>
    <row r="132" customFormat="false" ht="12" hidden="true" customHeight="true" outlineLevel="0" collapsed="false">
      <c r="A132" s="145" t="n">
        <f aca="false">A131+1</f>
        <v>1992</v>
      </c>
      <c r="B132" s="273"/>
      <c r="C132" s="274"/>
      <c r="D132" s="273"/>
      <c r="E132" s="274"/>
      <c r="F132" s="273"/>
      <c r="G132" s="275"/>
      <c r="H132" s="157"/>
      <c r="I132" s="275"/>
      <c r="J132" s="155"/>
      <c r="K132" s="155"/>
      <c r="L132" s="157"/>
      <c r="M132" s="155"/>
      <c r="N132" s="265" t="n">
        <f aca="false">AVERAGE(TableDE1!N132:N141)</f>
        <v>3.2692269455617</v>
      </c>
      <c r="O132" s="155"/>
      <c r="P132" s="155"/>
      <c r="Q132" s="263"/>
      <c r="R132" s="111" t="n">
        <f aca="false">AVERAGE(TableDE1!R132:R141)</f>
        <v>81755.5816</v>
      </c>
      <c r="S132" s="218" t="n">
        <f aca="false">AVERAGE(TableDE1!S132:S141)</f>
        <v>64260.5026346081</v>
      </c>
      <c r="T132" s="219" t="n">
        <f aca="false">AVERAGE(TableDE1!T132:T141)</f>
        <v>38257.1</v>
      </c>
      <c r="V132" s="158"/>
    </row>
    <row r="133" customFormat="false" ht="12" hidden="true" customHeight="true" outlineLevel="0" collapsed="false">
      <c r="A133" s="145" t="n">
        <f aca="false">A132+1</f>
        <v>1993</v>
      </c>
      <c r="B133" s="273"/>
      <c r="C133" s="274"/>
      <c r="D133" s="273"/>
      <c r="E133" s="274"/>
      <c r="F133" s="273"/>
      <c r="G133" s="275"/>
      <c r="H133" s="157"/>
      <c r="I133" s="275"/>
      <c r="J133" s="155"/>
      <c r="K133" s="155"/>
      <c r="L133" s="157"/>
      <c r="M133" s="155"/>
      <c r="N133" s="265" t="n">
        <f aca="false">AVERAGE(TableDE1!N133:N142)</f>
        <v>3.34249200586192</v>
      </c>
      <c r="O133" s="155"/>
      <c r="P133" s="155"/>
      <c r="Q133" s="263"/>
      <c r="R133" s="111" t="n">
        <f aca="false">AVERAGE(TableDE1!R133:R142)</f>
        <v>81941.9708</v>
      </c>
      <c r="S133" s="218" t="n">
        <f aca="false">AVERAGE(TableDE1!S133:S142)</f>
        <v>64484.9026383081</v>
      </c>
      <c r="T133" s="219" t="n">
        <f aca="false">AVERAGE(TableDE1!T133:T142)</f>
        <v>38364.5</v>
      </c>
      <c r="V133" s="158"/>
    </row>
    <row r="134" customFormat="false" ht="12" hidden="true" customHeight="true" outlineLevel="0" collapsed="false">
      <c r="A134" s="145" t="n">
        <f aca="false">A133+1</f>
        <v>1994</v>
      </c>
      <c r="B134" s="273"/>
      <c r="C134" s="274"/>
      <c r="D134" s="273"/>
      <c r="E134" s="274"/>
      <c r="F134" s="273"/>
      <c r="G134" s="275"/>
      <c r="H134" s="157"/>
      <c r="I134" s="275"/>
      <c r="J134" s="155"/>
      <c r="K134" s="155"/>
      <c r="L134" s="157"/>
      <c r="M134" s="155"/>
      <c r="N134" s="265" t="n">
        <f aca="false">AVERAGE(TableDE1!N134:N143)</f>
        <v>3.40935291431335</v>
      </c>
      <c r="O134" s="155"/>
      <c r="P134" s="155"/>
      <c r="Q134" s="263"/>
      <c r="R134" s="111" t="n">
        <f aca="false">AVERAGE(TableDE1!R134:R143)</f>
        <v>82079.7521</v>
      </c>
      <c r="S134" s="218" t="n">
        <f aca="false">AVERAGE(TableDE1!S134:S143)</f>
        <v>64683.7107705581</v>
      </c>
      <c r="T134" s="219" t="n">
        <f aca="false">AVERAGE(TableDE1!T134:T143)</f>
        <v>38486.8</v>
      </c>
      <c r="V134" s="158"/>
    </row>
    <row r="135" customFormat="false" ht="12" hidden="true" customHeight="true" outlineLevel="0" collapsed="false">
      <c r="A135" s="145" t="n">
        <f aca="false">A134+1</f>
        <v>1995</v>
      </c>
      <c r="B135" s="273"/>
      <c r="C135" s="274"/>
      <c r="D135" s="273"/>
      <c r="E135" s="274"/>
      <c r="F135" s="273"/>
      <c r="G135" s="275"/>
      <c r="H135" s="157"/>
      <c r="I135" s="275"/>
      <c r="J135" s="155"/>
      <c r="K135" s="155"/>
      <c r="L135" s="157"/>
      <c r="M135" s="155"/>
      <c r="N135" s="265" t="n">
        <f aca="false">AVERAGE(TableDE1!N135:N144)</f>
        <v>3.47446470247719</v>
      </c>
      <c r="O135" s="155"/>
      <c r="P135" s="155"/>
      <c r="Q135" s="263"/>
      <c r="R135" s="111" t="n">
        <f aca="false">AVERAGE(TableDE1!R135:R144)</f>
        <v>82187.5433</v>
      </c>
      <c r="S135" s="218" t="n">
        <f aca="false">AVERAGE(TableDE1!S135:S144)</f>
        <v>64871.4182919581</v>
      </c>
      <c r="T135" s="219" t="n">
        <f aca="false">AVERAGE(TableDE1!T135:T144)</f>
        <v>38623.5</v>
      </c>
      <c r="V135" s="158"/>
    </row>
    <row r="136" customFormat="false" ht="12" hidden="true" customHeight="true" outlineLevel="0" collapsed="false">
      <c r="A136" s="145" t="n">
        <f aca="false">A135+1</f>
        <v>1996</v>
      </c>
      <c r="B136" s="273"/>
      <c r="C136" s="274"/>
      <c r="D136" s="273"/>
      <c r="E136" s="274"/>
      <c r="F136" s="273"/>
      <c r="G136" s="275"/>
      <c r="H136" s="157"/>
      <c r="I136" s="275"/>
      <c r="J136" s="155"/>
      <c r="K136" s="155"/>
      <c r="L136" s="157"/>
      <c r="M136" s="155"/>
      <c r="N136" s="265" t="n">
        <f aca="false">AVERAGE(TableDE1!N136:N145)</f>
        <v>3.54788242221573</v>
      </c>
      <c r="O136" s="155"/>
      <c r="P136" s="155"/>
      <c r="Q136" s="263"/>
      <c r="R136" s="111" t="n">
        <f aca="false">AVERAGE(TableDE1!R136:R145)</f>
        <v>82266.6804</v>
      </c>
      <c r="S136" s="218" t="n">
        <f aca="false">AVERAGE(TableDE1!S136:S145)</f>
        <v>65057.2450484581</v>
      </c>
      <c r="T136" s="219" t="n">
        <f aca="false">AVERAGE(TableDE1!T136:T145)</f>
        <v>38740.9</v>
      </c>
      <c r="V136" s="158"/>
    </row>
    <row r="137" customFormat="false" ht="12" hidden="true" customHeight="true" outlineLevel="0" collapsed="false">
      <c r="A137" s="145" t="n">
        <f aca="false">A136+1</f>
        <v>1997</v>
      </c>
      <c r="B137" s="273"/>
      <c r="C137" s="274"/>
      <c r="D137" s="273"/>
      <c r="E137" s="274"/>
      <c r="F137" s="273"/>
      <c r="G137" s="275"/>
      <c r="H137" s="157"/>
      <c r="I137" s="275"/>
      <c r="J137" s="155"/>
      <c r="K137" s="155"/>
      <c r="L137" s="157"/>
      <c r="M137" s="155"/>
      <c r="N137" s="265" t="n">
        <f aca="false">AVERAGE(TableDE1!N137:N146)</f>
        <v>3.60492222934844</v>
      </c>
      <c r="O137" s="155"/>
      <c r="P137" s="155"/>
      <c r="Q137" s="263"/>
      <c r="R137" s="111" t="n">
        <f aca="false">AVERAGE(TableDE1!R137:R146)</f>
        <v>82312.8424</v>
      </c>
      <c r="S137" s="218" t="n">
        <f aca="false">AVERAGE(TableDE1!S137:S146)</f>
        <v>65241.1828497278</v>
      </c>
      <c r="T137" s="219" t="n">
        <f aca="false">AVERAGE(TableDE1!T137:T146)</f>
        <v>38882.9</v>
      </c>
      <c r="V137" s="158"/>
    </row>
    <row r="138" customFormat="false" ht="12" hidden="true" customHeight="true" outlineLevel="0" collapsed="false">
      <c r="A138" s="145" t="n">
        <f aca="false">A137+1</f>
        <v>1998</v>
      </c>
      <c r="B138" s="273"/>
      <c r="C138" s="274"/>
      <c r="D138" s="273"/>
      <c r="E138" s="274"/>
      <c r="F138" s="273"/>
      <c r="G138" s="275"/>
      <c r="H138" s="157"/>
      <c r="I138" s="275"/>
      <c r="J138" s="155"/>
      <c r="K138" s="155"/>
      <c r="L138" s="157"/>
      <c r="M138" s="155"/>
      <c r="N138" s="265" t="n">
        <f aca="false">AVERAGE(TableDE1!N138:N147)</f>
        <v>3.65282842598255</v>
      </c>
      <c r="O138" s="155"/>
      <c r="P138" s="155"/>
      <c r="Q138" s="263"/>
      <c r="R138" s="111" t="n">
        <f aca="false">AVERAGE(TableDE1!R138:R147)</f>
        <v>82336.0025</v>
      </c>
      <c r="S138" s="218" t="n">
        <f aca="false">AVERAGE(TableDE1!S138:S147)</f>
        <v>65428.5005163111</v>
      </c>
      <c r="T138" s="219" t="n">
        <f aca="false">AVERAGE(TableDE1!T138:T147)</f>
        <v>39097</v>
      </c>
      <c r="V138" s="158"/>
    </row>
    <row r="139" customFormat="false" ht="12" hidden="true" customHeight="true" outlineLevel="0" collapsed="false">
      <c r="A139" s="145" t="n">
        <f aca="false">A138+1</f>
        <v>1999</v>
      </c>
      <c r="B139" s="273"/>
      <c r="C139" s="274"/>
      <c r="D139" s="273"/>
      <c r="E139" s="274"/>
      <c r="F139" s="273"/>
      <c r="G139" s="275"/>
      <c r="H139" s="157"/>
      <c r="I139" s="275"/>
      <c r="J139" s="155"/>
      <c r="K139" s="155"/>
      <c r="L139" s="157"/>
      <c r="M139" s="155"/>
      <c r="N139" s="265" t="n">
        <f aca="false">AVERAGE(TableDE1!N139:N148)</f>
        <v>3.70179453174346</v>
      </c>
      <c r="O139" s="155"/>
      <c r="P139" s="155"/>
      <c r="Q139" s="263"/>
      <c r="R139" s="111" t="n">
        <f aca="false">AVERAGE(TableDE1!R139:R149)</f>
        <v>82302.2958636364</v>
      </c>
      <c r="S139" s="218" t="n">
        <f aca="false">AVERAGE(TableDE1!S139:S149)</f>
        <v>65709.0129829784</v>
      </c>
      <c r="T139" s="219" t="n">
        <f aca="false">AVERAGE(TableDE1!T139:T149)</f>
        <v>39411.7272727273</v>
      </c>
      <c r="V139" s="158"/>
    </row>
    <row r="140" customFormat="false" ht="12" hidden="false" customHeight="false" outlineLevel="0" collapsed="false">
      <c r="A140" s="145" t="n">
        <v>2000</v>
      </c>
      <c r="B140" s="146" t="n">
        <f aca="false">AVERAGE(TableDE1!B140:B149)</f>
        <v>1923.81</v>
      </c>
      <c r="C140" s="228" t="n">
        <f aca="false">AVERAGE(TableDE1!C140:C149)</f>
        <v>7263.265</v>
      </c>
      <c r="D140" s="146" t="n">
        <f aca="false">AVERAGE(TableDE1!D140:D149)</f>
        <v>2020.01585976787</v>
      </c>
      <c r="E140" s="228" t="n">
        <f aca="false">AVERAGE(TableDE1!E140:E149)</f>
        <v>7618.00277155437</v>
      </c>
      <c r="F140" s="150" t="n">
        <f aca="false">AVERAGE(TableDE1!F140:F149)</f>
        <v>23371.3855236216</v>
      </c>
      <c r="G140" s="213" t="n">
        <f aca="false">AVERAGE(TableDE1!G140:G149)</f>
        <v>88243.9460051383</v>
      </c>
      <c r="H140" s="151" t="n">
        <f aca="false">AVERAGE(TableDE1!H140:H149)</f>
        <v>29212.6350283795</v>
      </c>
      <c r="I140" s="152" t="n">
        <f aca="false">AVERAGE(TableDE1!I140:I149)</f>
        <v>110257.679844116</v>
      </c>
      <c r="J140" s="90" t="n">
        <f aca="false">AVERAGE(TableDE1!J140:J149)</f>
        <v>24539.2738101013</v>
      </c>
      <c r="K140" s="90" t="n">
        <f aca="false">AVERAGE(TableDE1!K140:K149)</f>
        <v>92550.2787647562</v>
      </c>
      <c r="L140" s="151" t="n">
        <f aca="false">AVERAGE(TableDE1!L140:L149)</f>
        <v>30680.3741619145</v>
      </c>
      <c r="M140" s="193" t="n">
        <f aca="false">AVERAGE(TableDE1!M140:M149)</f>
        <v>115668.461639032</v>
      </c>
      <c r="N140" s="214" t="n">
        <f aca="false">AVERAGE(TableDE1!N140:N149)</f>
        <v>3.76618931654701</v>
      </c>
      <c r="O140" s="154" t="n">
        <f aca="false">AVERAGE(TableDE1!O140:O149)</f>
        <v>0.785033203751372</v>
      </c>
      <c r="P140" s="155" t="n">
        <f aca="false">AVERAGE(TableDE1!P140:P149)</f>
        <v>24078.7345896249</v>
      </c>
      <c r="Q140" s="217" t="n">
        <f aca="false">AVERAGE(TableDE1!Q140:Q149)</f>
        <v>4.79918876637467</v>
      </c>
      <c r="R140" s="276" t="n">
        <f aca="false">AVERAGE(TableDE1!R140:R149)</f>
        <v>82322.50115</v>
      </c>
      <c r="S140" s="249" t="n">
        <f aca="false">AVERAGE(TableDE1!S140:S149)</f>
        <v>65821.5527848747</v>
      </c>
      <c r="T140" s="250" t="n">
        <f aca="false">AVERAGE(TableDE1!T140:T149)</f>
        <v>39480.8</v>
      </c>
      <c r="V140" s="158"/>
    </row>
    <row r="141" customFormat="false" ht="12" hidden="true" customHeight="true" outlineLevel="0" collapsed="false">
      <c r="A141" s="145" t="n">
        <f aca="false">A140+1</f>
        <v>2001</v>
      </c>
      <c r="B141" s="273"/>
      <c r="C141" s="274"/>
      <c r="D141" s="273"/>
      <c r="E141" s="274"/>
      <c r="F141" s="273"/>
      <c r="G141" s="275"/>
      <c r="H141" s="157"/>
      <c r="I141" s="275"/>
      <c r="J141" s="155"/>
      <c r="K141" s="155"/>
      <c r="L141" s="157"/>
      <c r="M141" s="155"/>
      <c r="N141" s="265" t="n">
        <f aca="false">AVERAGE(TableDE1!N141:N150)</f>
        <v>3.8214349951338</v>
      </c>
      <c r="O141" s="155"/>
      <c r="P141" s="155"/>
      <c r="Q141" s="263"/>
      <c r="R141" s="111" t="n">
        <f aca="false">AVERAGE(TableDE1!R141:R151)</f>
        <v>82233.401</v>
      </c>
      <c r="S141" s="218" t="n">
        <f aca="false">AVERAGE(TableDE1!S141:S151)</f>
        <v>66066.5465065756</v>
      </c>
      <c r="T141" s="219" t="n">
        <f aca="false">AVERAGE(TableDE1!T141:T151)</f>
        <v>39732.4345454546</v>
      </c>
      <c r="V141" s="158"/>
    </row>
    <row r="142" customFormat="false" ht="12" hidden="true" customHeight="true" outlineLevel="0" collapsed="false">
      <c r="A142" s="145" t="n">
        <f aca="false">A141+1</f>
        <v>2002</v>
      </c>
      <c r="B142" s="273"/>
      <c r="C142" s="274"/>
      <c r="D142" s="273"/>
      <c r="E142" s="274"/>
      <c r="F142" s="273"/>
      <c r="G142" s="275"/>
      <c r="H142" s="157"/>
      <c r="I142" s="275"/>
      <c r="J142" s="155"/>
      <c r="K142" s="155"/>
      <c r="L142" s="157"/>
      <c r="M142" s="155"/>
      <c r="N142" s="265" t="n">
        <f aca="false">AVERAGE(TableDE1!N142:N151)</f>
        <v>3.87455994061424</v>
      </c>
      <c r="O142" s="155"/>
      <c r="P142" s="155"/>
      <c r="Q142" s="263"/>
      <c r="R142" s="111" t="n">
        <f aca="false">AVERAGE(TableDE1!R142:R152)</f>
        <v>82221.7496</v>
      </c>
      <c r="S142" s="218" t="n">
        <f aca="false">AVERAGE(TableDE1!S142:S152)</f>
        <v>66159.3228807331</v>
      </c>
      <c r="T142" s="219" t="n">
        <f aca="false">AVERAGE(TableDE1!T142:T152)</f>
        <v>39757.178</v>
      </c>
      <c r="V142" s="158"/>
    </row>
    <row r="143" customFormat="false" ht="12" hidden="true" customHeight="true" outlineLevel="0" collapsed="false">
      <c r="A143" s="145" t="n">
        <f aca="false">A142+1</f>
        <v>2003</v>
      </c>
      <c r="B143" s="273"/>
      <c r="C143" s="274"/>
      <c r="D143" s="273"/>
      <c r="E143" s="274"/>
      <c r="F143" s="273"/>
      <c r="G143" s="275"/>
      <c r="H143" s="157"/>
      <c r="I143" s="275"/>
      <c r="J143" s="155"/>
      <c r="K143" s="155"/>
      <c r="L143" s="157"/>
      <c r="M143" s="155"/>
      <c r="N143" s="265" t="n">
        <f aca="false">AVERAGE(TableDE1!N143:N152)</f>
        <v>3.90171451271412</v>
      </c>
      <c r="O143" s="155"/>
      <c r="P143" s="155"/>
      <c r="Q143" s="263"/>
      <c r="R143" s="111" t="n">
        <f aca="false">AVERAGE(TableDE1!R143:R152)</f>
        <v>82192.1117777778</v>
      </c>
      <c r="S143" s="218" t="n">
        <f aca="false">AVERAGE(TableDE1!S143:S152)</f>
        <v>66242.2062485923</v>
      </c>
      <c r="T143" s="219" t="n">
        <f aca="false">AVERAGE(TableDE1!T143:T152)</f>
        <v>39812.7533333333</v>
      </c>
      <c r="V143" s="158"/>
    </row>
    <row r="144" customFormat="false" ht="12" hidden="true" customHeight="true" outlineLevel="0" collapsed="false">
      <c r="A144" s="145" t="n">
        <f aca="false">A143+1</f>
        <v>2004</v>
      </c>
      <c r="B144" s="273"/>
      <c r="C144" s="274"/>
      <c r="D144" s="273"/>
      <c r="E144" s="274"/>
      <c r="F144" s="273"/>
      <c r="G144" s="275"/>
      <c r="H144" s="157"/>
      <c r="I144" s="275"/>
      <c r="J144" s="155"/>
      <c r="K144" s="155"/>
      <c r="L144" s="157"/>
      <c r="M144" s="155"/>
      <c r="N144" s="265" t="n">
        <f aca="false">AVERAGE(TableDE1!N144:N152)</f>
        <v>3.92624569128033</v>
      </c>
      <c r="O144" s="155"/>
      <c r="P144" s="155"/>
      <c r="Q144" s="263"/>
      <c r="R144" s="111" t="n">
        <f aca="false">AVERAGE(TableDE1!R144:R155)</f>
        <v>82149.3538125</v>
      </c>
      <c r="S144" s="218" t="n">
        <f aca="false">AVERAGE(TableDE1!S144:S155)</f>
        <v>66320.6483393539</v>
      </c>
      <c r="T144" s="219" t="n">
        <f aca="false">AVERAGE(TableDE1!T144:T155)</f>
        <v>39924.5975</v>
      </c>
      <c r="V144" s="158"/>
    </row>
    <row r="145" customFormat="false" ht="12" hidden="true" customHeight="true" outlineLevel="0" collapsed="false">
      <c r="A145" s="145" t="n">
        <f aca="false">A144+1</f>
        <v>2005</v>
      </c>
      <c r="B145" s="273"/>
      <c r="C145" s="274"/>
      <c r="D145" s="273"/>
      <c r="E145" s="274"/>
      <c r="F145" s="273"/>
      <c r="G145" s="275"/>
      <c r="H145" s="157"/>
      <c r="I145" s="275"/>
      <c r="J145" s="155"/>
      <c r="K145" s="155"/>
      <c r="L145" s="157"/>
      <c r="M145" s="155"/>
      <c r="N145" s="265" t="n">
        <f aca="false">AVERAGE(TableDE1!N145:N152)</f>
        <v>3.95530362355404</v>
      </c>
      <c r="O145" s="155"/>
      <c r="P145" s="155"/>
      <c r="Q145" s="263"/>
      <c r="R145" s="111" t="n">
        <f aca="false">AVERAGE(TableDE1!R145:R156)</f>
        <v>82096.9386428572</v>
      </c>
      <c r="S145" s="218" t="n">
        <f aca="false">AVERAGE(TableDE1!S145:S156)</f>
        <v>66399.9610706901</v>
      </c>
      <c r="T145" s="219" t="n">
        <f aca="false">AVERAGE(TableDE1!T145:T156)</f>
        <v>40051.8257142857</v>
      </c>
      <c r="V145" s="158"/>
    </row>
    <row r="146" customFormat="false" ht="12" hidden="true" customHeight="true" outlineLevel="0" collapsed="false">
      <c r="A146" s="145" t="n">
        <f aca="false">A145+1</f>
        <v>2006</v>
      </c>
      <c r="B146" s="273"/>
      <c r="C146" s="274"/>
      <c r="D146" s="273"/>
      <c r="E146" s="274"/>
      <c r="F146" s="273"/>
      <c r="G146" s="275"/>
      <c r="H146" s="157"/>
      <c r="I146" s="275"/>
      <c r="J146" s="155"/>
      <c r="K146" s="155"/>
      <c r="L146" s="157"/>
      <c r="M146" s="155"/>
      <c r="N146" s="265" t="n">
        <f aca="false">AVERAGE(TableDE1!N146:N155)</f>
        <v>3.97502907383411</v>
      </c>
      <c r="O146" s="155"/>
      <c r="P146" s="155"/>
      <c r="Q146" s="263"/>
      <c r="R146" s="111" t="n">
        <f aca="false">AVERAGE(TableDE1!R146:R153)</f>
        <v>82034.8580833333</v>
      </c>
      <c r="S146" s="218" t="n">
        <f aca="false">AVERAGE(TableDE1!S146:S153)</f>
        <v>66470.6983158052</v>
      </c>
      <c r="T146" s="219" t="n">
        <f aca="false">AVERAGE(TableDE1!T146:T153)</f>
        <v>40231.13</v>
      </c>
      <c r="V146" s="158"/>
    </row>
    <row r="147" customFormat="false" ht="12" hidden="true" customHeight="true" outlineLevel="0" collapsed="false">
      <c r="A147" s="145" t="n">
        <f aca="false">A146+1</f>
        <v>2007</v>
      </c>
      <c r="B147" s="273"/>
      <c r="C147" s="274"/>
      <c r="D147" s="273"/>
      <c r="E147" s="274"/>
      <c r="F147" s="273"/>
      <c r="G147" s="275"/>
      <c r="H147" s="157"/>
      <c r="I147" s="275"/>
      <c r="J147" s="155"/>
      <c r="K147" s="155"/>
      <c r="L147" s="157"/>
      <c r="M147" s="155"/>
      <c r="N147" s="265" t="n">
        <f aca="false">AVERAGE(TableDE1!N147:N156)</f>
        <v>4.01445519276842</v>
      </c>
      <c r="O147" s="155"/>
      <c r="P147" s="155"/>
      <c r="Q147" s="263"/>
      <c r="R147" s="111" t="n">
        <f aca="false">AVERAGE(TableDE1!R147:R154)</f>
        <v>81966.5396</v>
      </c>
      <c r="S147" s="218" t="n">
        <f aca="false">AVERAGE(TableDE1!S147:S154)</f>
        <v>66532.7168920253</v>
      </c>
      <c r="T147" s="219" t="n">
        <f aca="false">AVERAGE(TableDE1!T147:T154)</f>
        <v>40438.956</v>
      </c>
      <c r="V147" s="158"/>
    </row>
    <row r="148" customFormat="false" ht="12" hidden="true" customHeight="true" outlineLevel="0" collapsed="false">
      <c r="A148" s="145" t="n">
        <f aca="false">A147+1</f>
        <v>2008</v>
      </c>
      <c r="B148" s="273"/>
      <c r="C148" s="274"/>
      <c r="D148" s="273"/>
      <c r="E148" s="274"/>
      <c r="F148" s="273"/>
      <c r="G148" s="275"/>
      <c r="H148" s="157"/>
      <c r="I148" s="275"/>
      <c r="J148" s="155"/>
      <c r="K148" s="155"/>
      <c r="L148" s="157"/>
      <c r="M148" s="155"/>
      <c r="N148" s="265" t="n">
        <f aca="false">AVERAGE(TableDE1!N148:N153)</f>
        <v>4.07044741400113</v>
      </c>
      <c r="O148" s="155"/>
      <c r="P148" s="155"/>
      <c r="Q148" s="263"/>
      <c r="R148" s="111" t="n">
        <f aca="false">AVERAGE(TableDE1!R149:R156)</f>
        <v>81818.7433333333</v>
      </c>
      <c r="S148" s="218" t="n">
        <f aca="false">AVERAGE(TableDE1!S149:S156)</f>
        <v>66628.6831773614</v>
      </c>
      <c r="T148" s="219" t="n">
        <f aca="false">AVERAGE(TableDE1!T149:T156)</f>
        <v>40664.26</v>
      </c>
      <c r="V148" s="158"/>
    </row>
    <row r="149" customFormat="false" ht="12" hidden="true" customHeight="true" outlineLevel="0" collapsed="false">
      <c r="A149" s="145" t="n">
        <f aca="false">A148+1</f>
        <v>2009</v>
      </c>
      <c r="B149" s="273"/>
      <c r="C149" s="274"/>
      <c r="D149" s="273"/>
      <c r="E149" s="274"/>
      <c r="F149" s="273"/>
      <c r="G149" s="275"/>
      <c r="H149" s="157"/>
      <c r="I149" s="275"/>
      <c r="J149" s="155"/>
      <c r="K149" s="155"/>
      <c r="L149" s="157"/>
      <c r="M149" s="155"/>
      <c r="N149" s="265" t="n">
        <f aca="false">AVERAGE(TableDE1!N149:N154)</f>
        <v>4.12841602871081</v>
      </c>
      <c r="O149" s="155"/>
      <c r="P149" s="155"/>
      <c r="Q149" s="263"/>
      <c r="R149" s="111" t="n">
        <f aca="false">AVERAGE(TableDE1!R150:R160)</f>
        <v>81776.951</v>
      </c>
      <c r="S149" s="218" t="n">
        <f aca="false">AVERAGE(TableDE1!S150:S160)</f>
        <v>66690.6795980421</v>
      </c>
      <c r="T149" s="219" t="n">
        <f aca="false">AVERAGE(TableDE1!T150:T160)</f>
        <v>40815.39</v>
      </c>
      <c r="V149" s="158"/>
    </row>
    <row r="150" customFormat="false" ht="13" hidden="false" customHeight="false" outlineLevel="0" collapsed="false">
      <c r="A150" s="177" t="n">
        <v>2010</v>
      </c>
      <c r="B150" s="178" t="n">
        <f aca="false">AVERAGE(TableDE1!B150:B151)</f>
        <v>2187.38</v>
      </c>
      <c r="C150" s="277" t="n">
        <f aca="false">AVERAGE(TableDE1!C150:C151)</f>
        <v>9004.65</v>
      </c>
      <c r="D150" s="180" t="n">
        <f aca="false">AVERAGE(TableDE1!D150:D151)</f>
        <v>2178.79510314712</v>
      </c>
      <c r="E150" s="179" t="n">
        <f aca="false">AVERAGE(TableDE1!E150:E151)</f>
        <v>8969.31371403746</v>
      </c>
      <c r="F150" s="278" t="n">
        <f aca="false">AVERAGE(TableDE1!F150:F151)</f>
        <v>26748.1236858537</v>
      </c>
      <c r="G150" s="279" t="n">
        <f aca="false">AVERAGE(TableDE1!G150:G151)</f>
        <v>110112.322480695</v>
      </c>
      <c r="H150" s="183" t="n">
        <f aca="false">AVERAGE(TableDE1!H150:H151)</f>
        <v>32798.8860390053</v>
      </c>
      <c r="I150" s="184" t="n">
        <f aca="false">AVERAGE(TableDE1!I150:I151)</f>
        <v>135021.116208034</v>
      </c>
      <c r="J150" s="187" t="n">
        <f aca="false">AVERAGE(TableDE1!J150:J151)</f>
        <v>26643.1442662508</v>
      </c>
      <c r="K150" s="280" t="n">
        <f aca="false">AVERAGE(TableDE1!K150:K151)</f>
        <v>109680.216789172</v>
      </c>
      <c r="L150" s="183" t="n">
        <f aca="false">AVERAGE(TableDE1!L150:L151)</f>
        <v>32670.1589529324</v>
      </c>
      <c r="M150" s="281" t="n">
        <f aca="false">AVERAGE(TableDE1!M150:M151)</f>
        <v>134491.26276861</v>
      </c>
      <c r="N150" s="282" t="n">
        <f aca="false">AVERAGE(TableDE1!N150:N151)</f>
        <v>4.11664761767039</v>
      </c>
      <c r="O150" s="283" t="n">
        <f aca="false">AVERAGE(TableDE1!O150:O151)</f>
        <v>0.773031716518279</v>
      </c>
      <c r="P150" s="187" t="n">
        <f aca="false">AVERAGE(TableDE1!P150:P151)</f>
        <v>25250.0308822611</v>
      </c>
      <c r="Q150" s="284" t="n">
        <f aca="false">AVERAGE(TableDE1!Q150:Q151)</f>
        <v>5.32625782492497</v>
      </c>
      <c r="R150" s="285" t="n">
        <f aca="false">AVERAGE(TableDE1!R150:R151)</f>
        <v>81776.951</v>
      </c>
      <c r="S150" s="285" t="n">
        <f aca="false">AVERAGE(TableDE1!S150:S151)</f>
        <v>66690.6795980421</v>
      </c>
      <c r="T150" s="286" t="n">
        <f aca="false">AVERAGE(TableDE1!T150:T151)</f>
        <v>40815.39</v>
      </c>
      <c r="V150" s="158"/>
    </row>
    <row r="151" customFormat="false" ht="13" hidden="false" customHeight="false" outlineLevel="0" collapsed="false">
      <c r="B151" s="197"/>
      <c r="C151" s="197"/>
      <c r="D151" s="197"/>
      <c r="E151" s="197"/>
      <c r="F151" s="197"/>
      <c r="G151" s="197"/>
      <c r="H151" s="197"/>
      <c r="I151" s="197"/>
      <c r="J151" s="197"/>
      <c r="K151" s="197"/>
      <c r="L151" s="197"/>
      <c r="M151" s="197"/>
      <c r="N151" s="197"/>
      <c r="O151" s="197"/>
      <c r="P151" s="197"/>
      <c r="Q151" s="197"/>
      <c r="R151" s="197"/>
      <c r="S151" s="197"/>
      <c r="T151" s="197"/>
    </row>
    <row r="152" customFormat="false" ht="12" hidden="false" customHeight="true" outlineLevel="0" collapsed="false">
      <c r="A152" s="287" t="s">
        <v>59</v>
      </c>
      <c r="B152" s="287"/>
      <c r="C152" s="287"/>
      <c r="D152" s="287"/>
      <c r="E152" s="287"/>
      <c r="F152" s="287"/>
      <c r="G152" s="287"/>
      <c r="H152" s="287"/>
      <c r="I152" s="287"/>
      <c r="J152" s="287"/>
      <c r="K152" s="287"/>
      <c r="L152" s="287"/>
      <c r="M152" s="287"/>
      <c r="N152" s="287"/>
      <c r="O152" s="287"/>
      <c r="P152" s="287"/>
      <c r="Q152" s="287"/>
      <c r="R152" s="287"/>
      <c r="S152" s="287"/>
      <c r="T152" s="287"/>
      <c r="U152" s="288"/>
    </row>
    <row r="153" customFormat="false" ht="12" hidden="false" customHeight="false" outlineLevel="0" collapsed="false">
      <c r="A153" s="287"/>
      <c r="B153" s="287"/>
      <c r="C153" s="287"/>
      <c r="D153" s="287"/>
      <c r="E153" s="287"/>
      <c r="F153" s="287"/>
      <c r="G153" s="287"/>
      <c r="H153" s="287"/>
      <c r="I153" s="287"/>
      <c r="J153" s="287"/>
      <c r="K153" s="287"/>
      <c r="L153" s="287"/>
      <c r="M153" s="287"/>
      <c r="N153" s="287"/>
      <c r="O153" s="287"/>
      <c r="P153" s="287"/>
      <c r="Q153" s="287"/>
      <c r="R153" s="287"/>
      <c r="S153" s="287"/>
      <c r="T153" s="287"/>
      <c r="U153" s="288"/>
    </row>
    <row r="154" customFormat="false" ht="12" hidden="false" customHeight="false" outlineLevel="0" collapsed="false">
      <c r="B154" s="197"/>
      <c r="C154" s="197"/>
      <c r="D154" s="197"/>
      <c r="E154" s="197"/>
      <c r="F154" s="197"/>
      <c r="G154" s="197"/>
      <c r="H154" s="197"/>
      <c r="I154" s="197"/>
      <c r="J154" s="197"/>
      <c r="K154" s="197"/>
      <c r="L154" s="197"/>
      <c r="M154" s="197"/>
      <c r="N154" s="197"/>
      <c r="O154" s="197"/>
      <c r="P154" s="197"/>
      <c r="Q154" s="197"/>
      <c r="R154" s="197"/>
      <c r="S154" s="197"/>
      <c r="T154" s="197"/>
    </row>
    <row r="155" customFormat="false" ht="12" hidden="false" customHeight="false" outlineLevel="0" collapsed="false">
      <c r="B155" s="197"/>
      <c r="C155" s="197"/>
      <c r="D155" s="197"/>
      <c r="E155" s="197"/>
      <c r="F155" s="197"/>
      <c r="G155" s="197"/>
      <c r="H155" s="197"/>
      <c r="I155" s="197"/>
      <c r="J155" s="197"/>
      <c r="K155" s="197"/>
      <c r="L155" s="197"/>
      <c r="M155" s="197"/>
      <c r="N155" s="197"/>
      <c r="O155" s="197"/>
      <c r="P155" s="197"/>
      <c r="Q155" s="197"/>
      <c r="R155" s="197"/>
      <c r="S155" s="197"/>
      <c r="T155" s="197"/>
    </row>
    <row r="156" customFormat="false" ht="12" hidden="false" customHeight="false" outlineLevel="0" collapsed="false">
      <c r="B156" s="197"/>
      <c r="C156" s="197"/>
      <c r="D156" s="197"/>
      <c r="E156" s="197"/>
      <c r="F156" s="197"/>
      <c r="G156" s="197"/>
      <c r="H156" s="197"/>
      <c r="I156" s="197"/>
      <c r="J156" s="197"/>
      <c r="K156" s="197"/>
      <c r="L156" s="197"/>
      <c r="M156" s="197"/>
      <c r="N156" s="197"/>
      <c r="O156" s="197"/>
      <c r="P156" s="197"/>
      <c r="Q156" s="197"/>
      <c r="R156" s="197"/>
      <c r="S156" s="197"/>
      <c r="T156" s="197"/>
    </row>
    <row r="157" customFormat="false" ht="12" hidden="false" customHeight="false" outlineLevel="0" collapsed="false">
      <c r="B157" s="197"/>
      <c r="C157" s="197"/>
      <c r="D157" s="197"/>
      <c r="E157" s="197"/>
      <c r="F157" s="197"/>
      <c r="G157" s="197"/>
      <c r="H157" s="197"/>
      <c r="I157" s="197"/>
      <c r="J157" s="197"/>
      <c r="K157" s="197"/>
      <c r="L157" s="197"/>
      <c r="M157" s="197"/>
      <c r="N157" s="197"/>
      <c r="O157" s="197"/>
      <c r="P157" s="197"/>
      <c r="Q157" s="197"/>
      <c r="R157" s="197"/>
      <c r="S157" s="197"/>
      <c r="T157" s="197"/>
    </row>
    <row r="158" customFormat="false" ht="12" hidden="false" customHeight="false" outlineLevel="0" collapsed="false">
      <c r="B158" s="197"/>
      <c r="C158" s="197"/>
      <c r="D158" s="197"/>
      <c r="E158" s="197"/>
      <c r="F158" s="197"/>
      <c r="G158" s="197"/>
      <c r="H158" s="197"/>
      <c r="I158" s="197"/>
      <c r="J158" s="197"/>
      <c r="K158" s="197"/>
      <c r="L158" s="197"/>
      <c r="M158" s="197"/>
      <c r="N158" s="197"/>
      <c r="O158" s="197"/>
      <c r="P158" s="197"/>
      <c r="Q158" s="197"/>
      <c r="R158" s="197"/>
      <c r="S158" s="197"/>
      <c r="T158" s="197"/>
    </row>
    <row r="159" customFormat="false" ht="12" hidden="false" customHeight="false" outlineLevel="0" collapsed="false">
      <c r="B159" s="197"/>
      <c r="C159" s="197"/>
      <c r="D159" s="197"/>
      <c r="E159" s="197"/>
      <c r="F159" s="197"/>
      <c r="G159" s="197"/>
      <c r="H159" s="197"/>
      <c r="I159" s="197"/>
      <c r="J159" s="197"/>
      <c r="K159" s="197"/>
      <c r="L159" s="197"/>
      <c r="M159" s="197"/>
      <c r="N159" s="197"/>
      <c r="O159" s="197"/>
      <c r="P159" s="197"/>
      <c r="Q159" s="197"/>
      <c r="R159" s="197"/>
      <c r="S159" s="197"/>
      <c r="T159" s="197"/>
    </row>
    <row r="160" customFormat="false" ht="12" hidden="false" customHeight="false" outlineLevel="0" collapsed="false">
      <c r="B160" s="197"/>
      <c r="C160" s="197"/>
      <c r="D160" s="197"/>
      <c r="E160" s="197"/>
      <c r="F160" s="197"/>
      <c r="G160" s="197"/>
      <c r="H160" s="197"/>
      <c r="I160" s="197"/>
      <c r="J160" s="197"/>
      <c r="K160" s="197"/>
      <c r="L160" s="197"/>
      <c r="M160" s="197"/>
      <c r="N160" s="197"/>
      <c r="O160" s="197"/>
      <c r="P160" s="197"/>
      <c r="Q160" s="197"/>
      <c r="R160" s="197"/>
      <c r="S160" s="197"/>
      <c r="T160" s="197"/>
    </row>
    <row r="161" customFormat="false" ht="12" hidden="false" customHeight="false" outlineLevel="0" collapsed="false">
      <c r="B161" s="197"/>
      <c r="C161" s="197"/>
      <c r="D161" s="197"/>
      <c r="E161" s="197"/>
      <c r="F161" s="197"/>
      <c r="G161" s="197"/>
      <c r="H161" s="197"/>
      <c r="I161" s="197"/>
      <c r="J161" s="197"/>
      <c r="K161" s="197"/>
      <c r="L161" s="197"/>
      <c r="M161" s="197"/>
      <c r="N161" s="197"/>
      <c r="O161" s="197"/>
      <c r="P161" s="197"/>
      <c r="Q161" s="197"/>
      <c r="R161" s="197"/>
      <c r="S161" s="197"/>
      <c r="T161" s="197"/>
    </row>
    <row r="162" customFormat="false" ht="12" hidden="false" customHeight="false" outlineLevel="0" collapsed="false">
      <c r="B162" s="197"/>
      <c r="C162" s="197"/>
      <c r="D162" s="197"/>
      <c r="E162" s="197"/>
      <c r="F162" s="197"/>
      <c r="G162" s="197"/>
      <c r="H162" s="197"/>
      <c r="I162" s="197"/>
      <c r="J162" s="197"/>
      <c r="K162" s="197"/>
      <c r="L162" s="197"/>
      <c r="M162" s="197"/>
      <c r="N162" s="197"/>
      <c r="O162" s="197"/>
      <c r="P162" s="197"/>
      <c r="Q162" s="197"/>
      <c r="R162" s="197"/>
      <c r="S162" s="197"/>
      <c r="T162" s="197"/>
    </row>
    <row r="163" customFormat="false" ht="12" hidden="false" customHeight="false" outlineLevel="0" collapsed="false">
      <c r="B163" s="197"/>
      <c r="C163" s="197"/>
      <c r="D163" s="197"/>
      <c r="E163" s="197"/>
      <c r="F163" s="197"/>
      <c r="G163" s="197"/>
      <c r="H163" s="197"/>
      <c r="I163" s="197"/>
      <c r="J163" s="197"/>
      <c r="K163" s="197"/>
      <c r="L163" s="197"/>
      <c r="M163" s="197"/>
      <c r="N163" s="197"/>
      <c r="O163" s="197"/>
      <c r="P163" s="197"/>
      <c r="Q163" s="197"/>
      <c r="R163" s="197"/>
      <c r="S163" s="197"/>
      <c r="T163" s="197"/>
    </row>
    <row r="164" customFormat="false" ht="12" hidden="false" customHeight="false" outlineLevel="0" collapsed="false">
      <c r="B164" s="197"/>
      <c r="C164" s="197"/>
      <c r="D164" s="197"/>
      <c r="E164" s="197"/>
      <c r="F164" s="197"/>
      <c r="G164" s="197"/>
      <c r="H164" s="197"/>
      <c r="I164" s="197"/>
      <c r="J164" s="197"/>
      <c r="K164" s="197"/>
      <c r="L164" s="197"/>
      <c r="M164" s="197"/>
      <c r="N164" s="197"/>
      <c r="O164" s="197"/>
      <c r="P164" s="197"/>
      <c r="Q164" s="197"/>
      <c r="R164" s="197"/>
      <c r="S164" s="197"/>
      <c r="T164" s="197"/>
    </row>
    <row r="165" customFormat="false" ht="12" hidden="false" customHeight="false" outlineLevel="0" collapsed="false">
      <c r="B165" s="197"/>
      <c r="C165" s="197"/>
      <c r="D165" s="197"/>
      <c r="E165" s="197"/>
      <c r="F165" s="197"/>
      <c r="G165" s="197"/>
      <c r="H165" s="197"/>
      <c r="I165" s="197"/>
      <c r="J165" s="197"/>
      <c r="K165" s="197"/>
      <c r="L165" s="197"/>
      <c r="M165" s="197"/>
      <c r="N165" s="197"/>
      <c r="O165" s="197"/>
      <c r="P165" s="197"/>
      <c r="Q165" s="197"/>
      <c r="R165" s="197"/>
      <c r="S165" s="197"/>
      <c r="T165" s="197"/>
    </row>
    <row r="166" customFormat="false" ht="12" hidden="false" customHeight="false" outlineLevel="0" collapsed="false">
      <c r="B166" s="197"/>
      <c r="C166" s="197"/>
      <c r="D166" s="197"/>
      <c r="E166" s="197"/>
      <c r="F166" s="197"/>
      <c r="G166" s="197"/>
      <c r="H166" s="197"/>
      <c r="I166" s="197"/>
      <c r="J166" s="197"/>
      <c r="K166" s="197"/>
      <c r="L166" s="197"/>
      <c r="M166" s="197"/>
      <c r="N166" s="197"/>
      <c r="O166" s="197"/>
      <c r="P166" s="197"/>
      <c r="Q166" s="197"/>
      <c r="R166" s="197"/>
      <c r="S166" s="197"/>
      <c r="T166" s="197"/>
    </row>
    <row r="167" customFormat="false" ht="12" hidden="false" customHeight="false" outlineLevel="0" collapsed="false">
      <c r="B167" s="197"/>
      <c r="C167" s="197"/>
      <c r="D167" s="197"/>
      <c r="E167" s="197"/>
      <c r="F167" s="197"/>
      <c r="G167" s="197"/>
      <c r="H167" s="197"/>
      <c r="I167" s="197"/>
      <c r="J167" s="197"/>
      <c r="K167" s="197"/>
      <c r="L167" s="197"/>
      <c r="M167" s="197"/>
      <c r="N167" s="197"/>
      <c r="O167" s="197"/>
      <c r="P167" s="197"/>
      <c r="Q167" s="197"/>
      <c r="R167" s="197"/>
      <c r="S167" s="197"/>
      <c r="T167" s="197"/>
    </row>
    <row r="168" customFormat="false" ht="12" hidden="false" customHeight="false" outlineLevel="0" collapsed="false">
      <c r="B168" s="197"/>
      <c r="C168" s="197"/>
      <c r="D168" s="197"/>
      <c r="E168" s="197"/>
      <c r="F168" s="197"/>
      <c r="G168" s="197"/>
      <c r="H168" s="197"/>
      <c r="I168" s="197"/>
      <c r="J168" s="197"/>
      <c r="K168" s="197"/>
      <c r="L168" s="197"/>
      <c r="M168" s="197"/>
      <c r="N168" s="197"/>
      <c r="O168" s="197"/>
      <c r="P168" s="197"/>
      <c r="Q168" s="197"/>
      <c r="R168" s="197"/>
      <c r="S168" s="197"/>
      <c r="T168" s="197"/>
    </row>
    <row r="169" customFormat="false" ht="12" hidden="false" customHeight="false" outlineLevel="0" collapsed="false">
      <c r="B169" s="197"/>
      <c r="C169" s="197"/>
      <c r="D169" s="197"/>
      <c r="E169" s="197"/>
      <c r="F169" s="197"/>
      <c r="G169" s="197"/>
      <c r="H169" s="197"/>
      <c r="I169" s="197"/>
      <c r="J169" s="197"/>
      <c r="K169" s="197"/>
      <c r="L169" s="197"/>
      <c r="M169" s="197"/>
      <c r="N169" s="197"/>
      <c r="O169" s="197"/>
      <c r="P169" s="197"/>
      <c r="Q169" s="197"/>
      <c r="R169" s="197"/>
      <c r="S169" s="197"/>
      <c r="T169" s="197"/>
    </row>
    <row r="170" customFormat="false" ht="12" hidden="false" customHeight="false" outlineLevel="0" collapsed="false">
      <c r="B170" s="197"/>
      <c r="C170" s="197"/>
      <c r="D170" s="197"/>
      <c r="E170" s="197"/>
      <c r="F170" s="197"/>
      <c r="G170" s="197"/>
      <c r="H170" s="197"/>
      <c r="I170" s="197"/>
      <c r="J170" s="197"/>
      <c r="K170" s="197"/>
      <c r="L170" s="197"/>
      <c r="M170" s="197"/>
      <c r="N170" s="197"/>
      <c r="O170" s="197"/>
      <c r="P170" s="197"/>
      <c r="Q170" s="197"/>
      <c r="R170" s="197"/>
      <c r="S170" s="197"/>
      <c r="T170" s="197"/>
    </row>
    <row r="171" customFormat="false" ht="12" hidden="false" customHeight="false" outlineLevel="0" collapsed="false">
      <c r="B171" s="197"/>
      <c r="C171" s="197"/>
      <c r="D171" s="197"/>
      <c r="E171" s="197"/>
      <c r="F171" s="197"/>
      <c r="G171" s="197"/>
      <c r="H171" s="197"/>
      <c r="I171" s="197"/>
      <c r="J171" s="197"/>
      <c r="K171" s="197"/>
      <c r="L171" s="197"/>
      <c r="M171" s="197"/>
      <c r="N171" s="197"/>
      <c r="O171" s="197"/>
      <c r="P171" s="197"/>
      <c r="Q171" s="197"/>
      <c r="R171" s="197"/>
      <c r="S171" s="197"/>
      <c r="T171" s="197"/>
    </row>
    <row r="172" customFormat="false" ht="12" hidden="false" customHeight="false" outlineLevel="0" collapsed="false">
      <c r="B172" s="197"/>
      <c r="C172" s="197"/>
      <c r="D172" s="197"/>
      <c r="E172" s="197"/>
      <c r="F172" s="197"/>
      <c r="G172" s="197"/>
      <c r="H172" s="197"/>
      <c r="I172" s="197"/>
      <c r="J172" s="197"/>
      <c r="K172" s="197"/>
      <c r="L172" s="197"/>
      <c r="M172" s="197"/>
      <c r="N172" s="197"/>
      <c r="O172" s="197"/>
      <c r="P172" s="197"/>
      <c r="Q172" s="197"/>
      <c r="R172" s="197"/>
      <c r="S172" s="197"/>
      <c r="T172" s="197"/>
    </row>
    <row r="173" customFormat="false" ht="12" hidden="false" customHeight="false" outlineLevel="0" collapsed="false">
      <c r="B173" s="197"/>
      <c r="C173" s="197"/>
      <c r="D173" s="197"/>
      <c r="E173" s="197"/>
      <c r="F173" s="197"/>
      <c r="G173" s="197"/>
      <c r="H173" s="197"/>
      <c r="I173" s="197"/>
      <c r="J173" s="197"/>
      <c r="K173" s="197"/>
      <c r="L173" s="197"/>
      <c r="M173" s="197"/>
      <c r="N173" s="197"/>
      <c r="O173" s="197"/>
      <c r="P173" s="197"/>
      <c r="Q173" s="197"/>
      <c r="R173" s="197"/>
      <c r="S173" s="197"/>
      <c r="T173" s="197"/>
    </row>
    <row r="174" customFormat="false" ht="12" hidden="false" customHeight="false" outlineLevel="0" collapsed="false">
      <c r="B174" s="197"/>
      <c r="C174" s="197"/>
      <c r="D174" s="197"/>
      <c r="E174" s="197"/>
      <c r="F174" s="197"/>
      <c r="G174" s="197"/>
      <c r="H174" s="197"/>
      <c r="I174" s="197"/>
      <c r="J174" s="197"/>
      <c r="K174" s="197"/>
      <c r="L174" s="197"/>
      <c r="M174" s="197"/>
      <c r="N174" s="197"/>
      <c r="O174" s="197"/>
      <c r="P174" s="197"/>
      <c r="Q174" s="197"/>
      <c r="R174" s="197"/>
      <c r="S174" s="197"/>
      <c r="T174" s="197"/>
    </row>
    <row r="175" customFormat="false" ht="12" hidden="false" customHeight="false" outlineLevel="0" collapsed="false">
      <c r="B175" s="197"/>
      <c r="C175" s="197"/>
      <c r="D175" s="197"/>
      <c r="E175" s="197"/>
      <c r="F175" s="197"/>
      <c r="G175" s="197"/>
      <c r="H175" s="197"/>
      <c r="I175" s="197"/>
      <c r="J175" s="197"/>
      <c r="K175" s="197"/>
      <c r="L175" s="197"/>
      <c r="M175" s="197"/>
      <c r="N175" s="197"/>
      <c r="O175" s="197"/>
      <c r="P175" s="197"/>
      <c r="Q175" s="197"/>
      <c r="R175" s="197"/>
      <c r="S175" s="197"/>
      <c r="T175" s="197"/>
    </row>
    <row r="176" customFormat="false" ht="12" hidden="false" customHeight="false" outlineLevel="0" collapsed="false">
      <c r="B176" s="197"/>
      <c r="C176" s="197"/>
      <c r="D176" s="197"/>
      <c r="E176" s="197"/>
      <c r="F176" s="197"/>
      <c r="G176" s="197"/>
      <c r="H176" s="197"/>
      <c r="I176" s="197"/>
      <c r="J176" s="197"/>
      <c r="K176" s="197"/>
      <c r="L176" s="197"/>
      <c r="M176" s="197"/>
      <c r="N176" s="197"/>
      <c r="O176" s="197"/>
      <c r="P176" s="197"/>
      <c r="Q176" s="197"/>
      <c r="R176" s="197"/>
      <c r="S176" s="197"/>
      <c r="T176" s="197"/>
    </row>
    <row r="177" customFormat="false" ht="12" hidden="false" customHeight="false" outlineLevel="0" collapsed="false">
      <c r="B177" s="197"/>
      <c r="C177" s="197"/>
      <c r="D177" s="197"/>
      <c r="E177" s="197"/>
      <c r="F177" s="197"/>
      <c r="G177" s="197"/>
      <c r="H177" s="197"/>
      <c r="I177" s="197"/>
      <c r="J177" s="197"/>
      <c r="K177" s="197"/>
      <c r="L177" s="197"/>
      <c r="M177" s="197"/>
      <c r="N177" s="197"/>
      <c r="O177" s="197"/>
      <c r="P177" s="197"/>
      <c r="Q177" s="197"/>
      <c r="R177" s="197"/>
      <c r="S177" s="197"/>
      <c r="T177" s="197"/>
    </row>
    <row r="178" customFormat="false" ht="12" hidden="false" customHeight="false" outlineLevel="0" collapsed="false">
      <c r="B178" s="197"/>
      <c r="C178" s="197"/>
      <c r="D178" s="197"/>
      <c r="E178" s="197"/>
      <c r="F178" s="197"/>
      <c r="G178" s="197"/>
      <c r="H178" s="197"/>
      <c r="I178" s="197"/>
      <c r="J178" s="197"/>
      <c r="K178" s="197"/>
      <c r="L178" s="197"/>
      <c r="M178" s="197"/>
      <c r="N178" s="197"/>
      <c r="O178" s="197"/>
      <c r="P178" s="197"/>
      <c r="Q178" s="197"/>
      <c r="R178" s="197"/>
      <c r="S178" s="197"/>
      <c r="T178" s="197"/>
    </row>
    <row r="179" customFormat="false" ht="12" hidden="false" customHeight="false" outlineLevel="0" collapsed="false">
      <c r="B179" s="197"/>
      <c r="C179" s="197"/>
      <c r="D179" s="197"/>
      <c r="E179" s="197"/>
      <c r="F179" s="197"/>
      <c r="G179" s="197"/>
      <c r="H179" s="197"/>
      <c r="I179" s="197"/>
      <c r="J179" s="197"/>
      <c r="K179" s="197"/>
      <c r="L179" s="197"/>
      <c r="M179" s="197"/>
      <c r="N179" s="197"/>
      <c r="O179" s="197"/>
      <c r="P179" s="197"/>
      <c r="Q179" s="197"/>
      <c r="R179" s="197"/>
      <c r="S179" s="197"/>
      <c r="T179" s="197"/>
    </row>
    <row r="180" customFormat="false" ht="12" hidden="false" customHeight="false" outlineLevel="0" collapsed="false">
      <c r="B180" s="197"/>
      <c r="C180" s="197"/>
      <c r="D180" s="197"/>
      <c r="E180" s="197"/>
      <c r="F180" s="197"/>
      <c r="G180" s="197"/>
      <c r="H180" s="197"/>
      <c r="I180" s="197"/>
      <c r="J180" s="197"/>
      <c r="K180" s="197"/>
      <c r="L180" s="197"/>
      <c r="M180" s="197"/>
      <c r="N180" s="197"/>
      <c r="O180" s="197"/>
      <c r="P180" s="197"/>
      <c r="Q180" s="197"/>
      <c r="R180" s="197"/>
      <c r="S180" s="197"/>
      <c r="T180" s="197"/>
    </row>
    <row r="181" customFormat="false" ht="12" hidden="false" customHeight="false" outlineLevel="0" collapsed="false">
      <c r="B181" s="197"/>
      <c r="C181" s="197"/>
      <c r="D181" s="197"/>
      <c r="E181" s="197"/>
      <c r="F181" s="197"/>
      <c r="G181" s="197"/>
      <c r="H181" s="197"/>
      <c r="I181" s="197"/>
      <c r="J181" s="197"/>
      <c r="K181" s="197"/>
      <c r="L181" s="197"/>
      <c r="M181" s="197"/>
      <c r="N181" s="197"/>
      <c r="O181" s="197"/>
      <c r="P181" s="197"/>
      <c r="Q181" s="197"/>
      <c r="R181" s="197"/>
      <c r="S181" s="197"/>
      <c r="T181" s="197"/>
    </row>
    <row r="182" customFormat="false" ht="12" hidden="false" customHeight="false" outlineLevel="0" collapsed="false">
      <c r="B182" s="197"/>
      <c r="C182" s="197"/>
      <c r="D182" s="197"/>
      <c r="E182" s="197"/>
      <c r="F182" s="197"/>
      <c r="G182" s="197"/>
      <c r="H182" s="197"/>
      <c r="I182" s="197"/>
      <c r="J182" s="197"/>
      <c r="K182" s="197"/>
      <c r="L182" s="197"/>
      <c r="M182" s="197"/>
      <c r="N182" s="197"/>
      <c r="O182" s="197"/>
      <c r="P182" s="197"/>
      <c r="Q182" s="197"/>
      <c r="R182" s="197"/>
      <c r="S182" s="197"/>
      <c r="T182" s="197"/>
    </row>
    <row r="183" customFormat="false" ht="12" hidden="false" customHeight="false" outlineLevel="0" collapsed="false">
      <c r="B183" s="197"/>
      <c r="C183" s="197"/>
      <c r="D183" s="197"/>
      <c r="E183" s="197"/>
      <c r="F183" s="197"/>
      <c r="G183" s="197"/>
      <c r="H183" s="197"/>
      <c r="I183" s="197"/>
      <c r="J183" s="197"/>
      <c r="K183" s="197"/>
      <c r="L183" s="197"/>
      <c r="M183" s="197"/>
      <c r="N183" s="197"/>
      <c r="O183" s="197"/>
      <c r="P183" s="197"/>
      <c r="Q183" s="197"/>
      <c r="R183" s="197"/>
      <c r="S183" s="197"/>
      <c r="T183" s="197"/>
    </row>
    <row r="184" customFormat="false" ht="12" hidden="false" customHeight="false" outlineLevel="0" collapsed="false">
      <c r="B184" s="197"/>
      <c r="C184" s="197"/>
      <c r="D184" s="197"/>
      <c r="E184" s="197"/>
      <c r="F184" s="197"/>
      <c r="G184" s="197"/>
      <c r="H184" s="197"/>
      <c r="I184" s="197"/>
      <c r="J184" s="197"/>
      <c r="K184" s="197"/>
      <c r="L184" s="197"/>
      <c r="M184" s="197"/>
      <c r="N184" s="197"/>
      <c r="O184" s="197"/>
      <c r="P184" s="197"/>
      <c r="Q184" s="197"/>
      <c r="R184" s="197"/>
      <c r="S184" s="197"/>
      <c r="T184" s="197"/>
    </row>
    <row r="185" customFormat="false" ht="12" hidden="false" customHeight="false" outlineLevel="0" collapsed="false">
      <c r="B185" s="197"/>
      <c r="C185" s="197"/>
      <c r="D185" s="197"/>
      <c r="E185" s="197"/>
      <c r="F185" s="197"/>
      <c r="G185" s="197"/>
      <c r="H185" s="197"/>
      <c r="I185" s="197"/>
      <c r="J185" s="197"/>
      <c r="K185" s="197"/>
      <c r="L185" s="197"/>
      <c r="M185" s="197"/>
      <c r="N185" s="197"/>
      <c r="O185" s="197"/>
      <c r="P185" s="197"/>
      <c r="Q185" s="197"/>
      <c r="R185" s="197"/>
      <c r="S185" s="197"/>
      <c r="T185" s="197"/>
    </row>
    <row r="186" customFormat="false" ht="12" hidden="false" customHeight="false" outlineLevel="0" collapsed="false">
      <c r="B186" s="197"/>
      <c r="C186" s="197"/>
      <c r="D186" s="197"/>
      <c r="E186" s="197"/>
      <c r="F186" s="197"/>
      <c r="G186" s="197"/>
      <c r="H186" s="197"/>
      <c r="I186" s="197"/>
      <c r="J186" s="197"/>
      <c r="K186" s="197"/>
      <c r="L186" s="197"/>
      <c r="M186" s="197"/>
      <c r="N186" s="197"/>
      <c r="O186" s="197"/>
      <c r="P186" s="197"/>
      <c r="Q186" s="197"/>
      <c r="R186" s="197"/>
      <c r="S186" s="197"/>
      <c r="T186" s="197"/>
    </row>
    <row r="187" customFormat="false" ht="12" hidden="false" customHeight="false" outlineLevel="0" collapsed="false">
      <c r="B187" s="197"/>
      <c r="C187" s="197"/>
      <c r="D187" s="197"/>
      <c r="E187" s="197"/>
      <c r="F187" s="197"/>
      <c r="G187" s="197"/>
      <c r="H187" s="197"/>
      <c r="I187" s="197"/>
      <c r="J187" s="197"/>
      <c r="K187" s="197"/>
      <c r="L187" s="197"/>
      <c r="M187" s="197"/>
      <c r="N187" s="197"/>
      <c r="O187" s="197"/>
      <c r="P187" s="197"/>
      <c r="Q187" s="197"/>
      <c r="R187" s="197"/>
      <c r="S187" s="197"/>
      <c r="T187" s="197"/>
    </row>
    <row r="188" customFormat="false" ht="12" hidden="false" customHeight="false" outlineLevel="0" collapsed="false">
      <c r="B188" s="197"/>
      <c r="C188" s="197"/>
      <c r="D188" s="197"/>
      <c r="E188" s="197"/>
      <c r="F188" s="197"/>
      <c r="G188" s="197"/>
      <c r="H188" s="197"/>
      <c r="I188" s="197"/>
      <c r="J188" s="197"/>
      <c r="K188" s="197"/>
      <c r="L188" s="197"/>
      <c r="M188" s="197"/>
      <c r="N188" s="197"/>
      <c r="O188" s="197"/>
      <c r="P188" s="197"/>
      <c r="Q188" s="197"/>
      <c r="R188" s="197"/>
      <c r="S188" s="197"/>
      <c r="T188" s="197"/>
    </row>
    <row r="189" customFormat="false" ht="12" hidden="false" customHeight="false" outlineLevel="0" collapsed="false">
      <c r="B189" s="197"/>
      <c r="C189" s="197"/>
      <c r="D189" s="197"/>
      <c r="E189" s="197"/>
      <c r="F189" s="197"/>
      <c r="G189" s="197"/>
      <c r="H189" s="197"/>
      <c r="I189" s="197"/>
      <c r="J189" s="197"/>
      <c r="K189" s="197"/>
      <c r="L189" s="197"/>
      <c r="M189" s="197"/>
      <c r="N189" s="197"/>
      <c r="O189" s="197"/>
      <c r="P189" s="197"/>
      <c r="Q189" s="197"/>
      <c r="R189" s="197"/>
      <c r="S189" s="197"/>
      <c r="T189" s="197"/>
    </row>
    <row r="190" customFormat="false" ht="12" hidden="false" customHeight="false" outlineLevel="0" collapsed="false">
      <c r="B190" s="197"/>
      <c r="C190" s="197"/>
      <c r="D190" s="197"/>
      <c r="E190" s="197"/>
      <c r="F190" s="197"/>
      <c r="G190" s="197"/>
      <c r="H190" s="197"/>
      <c r="I190" s="197"/>
      <c r="J190" s="197"/>
      <c r="K190" s="197"/>
      <c r="L190" s="197"/>
      <c r="M190" s="197"/>
      <c r="N190" s="197"/>
      <c r="O190" s="197"/>
      <c r="P190" s="197"/>
      <c r="Q190" s="197"/>
      <c r="R190" s="197"/>
      <c r="S190" s="197"/>
      <c r="T190" s="197"/>
    </row>
    <row r="191" customFormat="false" ht="12" hidden="false" customHeight="false" outlineLevel="0" collapsed="false">
      <c r="B191" s="197"/>
      <c r="C191" s="197"/>
      <c r="D191" s="197"/>
      <c r="E191" s="197"/>
      <c r="F191" s="197"/>
      <c r="G191" s="197"/>
      <c r="H191" s="197"/>
      <c r="I191" s="197"/>
      <c r="J191" s="197"/>
      <c r="K191" s="197"/>
      <c r="L191" s="197"/>
      <c r="M191" s="197"/>
      <c r="N191" s="197"/>
      <c r="O191" s="197"/>
      <c r="P191" s="197"/>
      <c r="Q191" s="197"/>
      <c r="R191" s="197"/>
      <c r="S191" s="197"/>
      <c r="T191" s="197"/>
    </row>
    <row r="192" customFormat="false" ht="12" hidden="false" customHeight="false" outlineLevel="0" collapsed="false">
      <c r="B192" s="197"/>
      <c r="C192" s="197"/>
      <c r="D192" s="197"/>
      <c r="E192" s="197"/>
      <c r="F192" s="197"/>
      <c r="G192" s="197"/>
      <c r="H192" s="197"/>
      <c r="I192" s="197"/>
      <c r="J192" s="197"/>
      <c r="K192" s="197"/>
      <c r="L192" s="197"/>
      <c r="M192" s="197"/>
      <c r="N192" s="197"/>
      <c r="O192" s="197"/>
      <c r="P192" s="197"/>
      <c r="Q192" s="197"/>
      <c r="R192" s="197"/>
      <c r="S192" s="197"/>
      <c r="T192" s="197"/>
    </row>
    <row r="193" customFormat="false" ht="12" hidden="false" customHeight="false" outlineLevel="0" collapsed="false">
      <c r="B193" s="197"/>
      <c r="C193" s="197"/>
      <c r="D193" s="197"/>
      <c r="E193" s="197"/>
      <c r="F193" s="197"/>
      <c r="G193" s="197"/>
      <c r="H193" s="197"/>
      <c r="I193" s="197"/>
      <c r="J193" s="197"/>
      <c r="K193" s="197"/>
      <c r="L193" s="197"/>
      <c r="M193" s="197"/>
      <c r="N193" s="197"/>
      <c r="O193" s="197"/>
      <c r="P193" s="197"/>
      <c r="Q193" s="197"/>
      <c r="R193" s="197"/>
      <c r="S193" s="197"/>
      <c r="T193" s="197"/>
    </row>
    <row r="194" customFormat="false" ht="12" hidden="false" customHeight="false" outlineLevel="0" collapsed="false">
      <c r="B194" s="197"/>
      <c r="C194" s="197"/>
      <c r="D194" s="197"/>
      <c r="E194" s="197"/>
      <c r="F194" s="197"/>
      <c r="G194" s="197"/>
      <c r="H194" s="197"/>
      <c r="I194" s="197"/>
      <c r="J194" s="197"/>
      <c r="K194" s="197"/>
      <c r="L194" s="197"/>
      <c r="M194" s="197"/>
      <c r="N194" s="197"/>
      <c r="O194" s="197"/>
      <c r="P194" s="197"/>
      <c r="Q194" s="197"/>
      <c r="R194" s="197"/>
      <c r="S194" s="197"/>
      <c r="T194" s="197"/>
    </row>
    <row r="195" customFormat="false" ht="12" hidden="false" customHeight="false" outlineLevel="0" collapsed="false">
      <c r="B195" s="197"/>
      <c r="C195" s="197"/>
      <c r="D195" s="197"/>
      <c r="E195" s="197"/>
      <c r="F195" s="197"/>
      <c r="G195" s="197"/>
      <c r="H195" s="197"/>
      <c r="I195" s="197"/>
      <c r="J195" s="197"/>
      <c r="K195" s="197"/>
      <c r="L195" s="197"/>
      <c r="M195" s="197"/>
      <c r="N195" s="197"/>
      <c r="O195" s="197"/>
      <c r="P195" s="197"/>
      <c r="Q195" s="197"/>
      <c r="R195" s="197"/>
      <c r="S195" s="197"/>
      <c r="T195" s="197"/>
    </row>
    <row r="196" customFormat="false" ht="12" hidden="false" customHeight="false" outlineLevel="0" collapsed="false">
      <c r="B196" s="197"/>
      <c r="C196" s="197"/>
      <c r="D196" s="197"/>
      <c r="E196" s="197"/>
      <c r="F196" s="197"/>
      <c r="G196" s="197"/>
      <c r="H196" s="197"/>
      <c r="I196" s="197"/>
      <c r="J196" s="197"/>
      <c r="K196" s="197"/>
      <c r="L196" s="197"/>
      <c r="M196" s="197"/>
      <c r="N196" s="197"/>
      <c r="O196" s="197"/>
      <c r="P196" s="197"/>
      <c r="Q196" s="197"/>
      <c r="R196" s="197"/>
      <c r="S196" s="197"/>
      <c r="T196" s="197"/>
    </row>
    <row r="197" customFormat="false" ht="12" hidden="false" customHeight="false" outlineLevel="0" collapsed="false">
      <c r="B197" s="197"/>
      <c r="C197" s="197"/>
      <c r="D197" s="197"/>
      <c r="E197" s="197"/>
      <c r="F197" s="197"/>
      <c r="G197" s="197"/>
      <c r="H197" s="197"/>
      <c r="I197" s="197"/>
      <c r="J197" s="197"/>
      <c r="K197" s="197"/>
      <c r="L197" s="197"/>
      <c r="M197" s="197"/>
      <c r="N197" s="197"/>
      <c r="O197" s="197"/>
      <c r="P197" s="197"/>
      <c r="Q197" s="197"/>
      <c r="R197" s="197"/>
      <c r="S197" s="197"/>
      <c r="T197" s="197"/>
    </row>
    <row r="198" customFormat="false" ht="12" hidden="false" customHeight="false" outlineLevel="0" collapsed="false">
      <c r="B198" s="197"/>
      <c r="C198" s="197"/>
      <c r="D198" s="197"/>
      <c r="E198" s="197"/>
      <c r="F198" s="197"/>
      <c r="G198" s="197"/>
      <c r="H198" s="197"/>
      <c r="I198" s="197"/>
      <c r="J198" s="197"/>
      <c r="K198" s="197"/>
      <c r="L198" s="197"/>
      <c r="M198" s="197"/>
      <c r="N198" s="197"/>
      <c r="O198" s="197"/>
      <c r="P198" s="197"/>
      <c r="Q198" s="197"/>
      <c r="R198" s="197"/>
      <c r="S198" s="197"/>
      <c r="T198" s="197"/>
    </row>
    <row r="199" customFormat="false" ht="12" hidden="false" customHeight="false" outlineLevel="0" collapsed="false">
      <c r="B199" s="197"/>
      <c r="C199" s="197"/>
      <c r="D199" s="197"/>
      <c r="E199" s="197"/>
      <c r="F199" s="197"/>
      <c r="G199" s="197"/>
      <c r="H199" s="197"/>
      <c r="I199" s="197"/>
      <c r="J199" s="197"/>
      <c r="K199" s="197"/>
      <c r="L199" s="197"/>
      <c r="M199" s="197"/>
      <c r="N199" s="197"/>
      <c r="O199" s="197"/>
      <c r="P199" s="197"/>
      <c r="Q199" s="197"/>
      <c r="R199" s="197"/>
      <c r="S199" s="197"/>
      <c r="T199" s="197"/>
    </row>
    <row r="200" customFormat="false" ht="12" hidden="false" customHeight="false" outlineLevel="0" collapsed="false">
      <c r="B200" s="197"/>
      <c r="C200" s="197"/>
      <c r="D200" s="197"/>
      <c r="E200" s="197"/>
      <c r="F200" s="197"/>
      <c r="G200" s="197"/>
      <c r="H200" s="197"/>
      <c r="I200" s="197"/>
      <c r="J200" s="197"/>
      <c r="K200" s="197"/>
      <c r="L200" s="197"/>
      <c r="M200" s="197"/>
      <c r="N200" s="197"/>
      <c r="O200" s="197"/>
      <c r="P200" s="197"/>
      <c r="Q200" s="197"/>
      <c r="R200" s="197"/>
      <c r="S200" s="197"/>
      <c r="T200" s="197"/>
    </row>
    <row r="201" customFormat="false" ht="12" hidden="false" customHeight="false" outlineLevel="0" collapsed="false">
      <c r="B201" s="197"/>
      <c r="C201" s="197"/>
      <c r="D201" s="197"/>
      <c r="E201" s="197"/>
      <c r="F201" s="197"/>
      <c r="G201" s="197"/>
      <c r="H201" s="197"/>
      <c r="I201" s="197"/>
      <c r="J201" s="197"/>
      <c r="K201" s="197"/>
      <c r="L201" s="197"/>
      <c r="M201" s="197"/>
      <c r="N201" s="197"/>
      <c r="O201" s="197"/>
      <c r="P201" s="197"/>
      <c r="Q201" s="197"/>
      <c r="R201" s="197"/>
      <c r="S201" s="197"/>
      <c r="T201" s="197"/>
    </row>
    <row r="202" customFormat="false" ht="12" hidden="false" customHeight="false" outlineLevel="0" collapsed="false">
      <c r="B202" s="197"/>
      <c r="C202" s="197"/>
      <c r="D202" s="197"/>
      <c r="E202" s="197"/>
      <c r="F202" s="197"/>
      <c r="G202" s="197"/>
      <c r="H202" s="197"/>
      <c r="I202" s="197"/>
      <c r="J202" s="197"/>
      <c r="K202" s="197"/>
      <c r="L202" s="197"/>
      <c r="M202" s="197"/>
      <c r="N202" s="197"/>
      <c r="O202" s="197"/>
      <c r="P202" s="197"/>
      <c r="Q202" s="197"/>
      <c r="R202" s="197"/>
      <c r="S202" s="197"/>
      <c r="T202" s="197"/>
    </row>
    <row r="203" customFormat="false" ht="12" hidden="false" customHeight="false" outlineLevel="0" collapsed="false">
      <c r="B203" s="197"/>
      <c r="C203" s="197"/>
      <c r="D203" s="197"/>
      <c r="E203" s="197"/>
      <c r="F203" s="197"/>
      <c r="G203" s="197"/>
      <c r="H203" s="197"/>
      <c r="I203" s="197"/>
      <c r="J203" s="197"/>
      <c r="K203" s="197"/>
      <c r="L203" s="197"/>
      <c r="M203" s="197"/>
      <c r="N203" s="197"/>
      <c r="O203" s="197"/>
      <c r="P203" s="197"/>
      <c r="Q203" s="197"/>
      <c r="R203" s="197"/>
      <c r="S203" s="197"/>
      <c r="T203" s="197"/>
    </row>
    <row r="204" customFormat="false" ht="12" hidden="false" customHeight="false" outlineLevel="0" collapsed="false">
      <c r="B204" s="197"/>
      <c r="C204" s="197"/>
      <c r="D204" s="197"/>
      <c r="E204" s="197"/>
      <c r="F204" s="197"/>
      <c r="G204" s="197"/>
      <c r="H204" s="197"/>
      <c r="I204" s="197"/>
      <c r="J204" s="197"/>
      <c r="K204" s="197"/>
      <c r="L204" s="197"/>
      <c r="M204" s="197"/>
      <c r="N204" s="197"/>
      <c r="O204" s="197"/>
      <c r="P204" s="197"/>
      <c r="Q204" s="197"/>
      <c r="R204" s="197"/>
      <c r="S204" s="197"/>
      <c r="T204" s="197"/>
    </row>
    <row r="205" customFormat="false" ht="12" hidden="false" customHeight="false" outlineLevel="0" collapsed="false">
      <c r="B205" s="197"/>
      <c r="C205" s="197"/>
      <c r="D205" s="197"/>
      <c r="E205" s="197"/>
      <c r="F205" s="197"/>
      <c r="G205" s="197"/>
      <c r="H205" s="197"/>
      <c r="I205" s="197"/>
      <c r="J205" s="197"/>
      <c r="K205" s="197"/>
      <c r="L205" s="197"/>
      <c r="M205" s="197"/>
      <c r="N205" s="197"/>
      <c r="O205" s="197"/>
      <c r="P205" s="197"/>
      <c r="Q205" s="197"/>
      <c r="R205" s="197"/>
      <c r="S205" s="197"/>
      <c r="T205" s="197"/>
    </row>
    <row r="206" customFormat="false" ht="12" hidden="false" customHeight="false" outlineLevel="0" collapsed="false">
      <c r="B206" s="197"/>
      <c r="C206" s="197"/>
      <c r="D206" s="197"/>
      <c r="E206" s="197"/>
      <c r="F206" s="197"/>
      <c r="G206" s="197"/>
      <c r="H206" s="197"/>
      <c r="I206" s="197"/>
      <c r="J206" s="197"/>
      <c r="K206" s="197"/>
      <c r="L206" s="197"/>
      <c r="M206" s="197"/>
      <c r="N206" s="197"/>
      <c r="O206" s="197"/>
      <c r="P206" s="197"/>
      <c r="Q206" s="197"/>
      <c r="R206" s="197"/>
      <c r="S206" s="197"/>
      <c r="T206" s="197"/>
    </row>
    <row r="207" customFormat="false" ht="12" hidden="false" customHeight="false" outlineLevel="0" collapsed="false">
      <c r="B207" s="197"/>
      <c r="C207" s="197"/>
      <c r="D207" s="197"/>
      <c r="E207" s="197"/>
      <c r="F207" s="197"/>
      <c r="G207" s="197"/>
      <c r="H207" s="197"/>
      <c r="I207" s="197"/>
      <c r="J207" s="197"/>
      <c r="K207" s="197"/>
      <c r="L207" s="197"/>
      <c r="M207" s="197"/>
      <c r="N207" s="197"/>
      <c r="O207" s="197"/>
      <c r="P207" s="197"/>
      <c r="Q207" s="197"/>
      <c r="R207" s="197"/>
      <c r="S207" s="197"/>
      <c r="T207" s="197"/>
    </row>
    <row r="208" customFormat="false" ht="12" hidden="false" customHeight="false" outlineLevel="0" collapsed="false">
      <c r="B208" s="197"/>
      <c r="C208" s="197"/>
      <c r="D208" s="197"/>
      <c r="E208" s="197"/>
      <c r="F208" s="197"/>
      <c r="G208" s="197"/>
      <c r="H208" s="197"/>
      <c r="I208" s="197"/>
      <c r="J208" s="197"/>
      <c r="K208" s="197"/>
      <c r="L208" s="197"/>
      <c r="M208" s="197"/>
      <c r="N208" s="197"/>
      <c r="O208" s="197"/>
      <c r="P208" s="197"/>
      <c r="Q208" s="197"/>
      <c r="R208" s="197"/>
      <c r="S208" s="197"/>
      <c r="T208" s="197"/>
    </row>
    <row r="209" customFormat="false" ht="12" hidden="false" customHeight="false" outlineLevel="0" collapsed="false">
      <c r="B209" s="197"/>
      <c r="C209" s="197"/>
      <c r="D209" s="197"/>
      <c r="E209" s="197"/>
      <c r="F209" s="197"/>
      <c r="G209" s="197"/>
      <c r="H209" s="197"/>
      <c r="I209" s="197"/>
      <c r="J209" s="197"/>
      <c r="K209" s="197"/>
      <c r="L209" s="197"/>
      <c r="M209" s="197"/>
      <c r="N209" s="197"/>
      <c r="O209" s="197"/>
      <c r="P209" s="197"/>
      <c r="Q209" s="197"/>
      <c r="R209" s="197"/>
      <c r="S209" s="197"/>
      <c r="T209" s="197"/>
    </row>
    <row r="210" customFormat="false" ht="12" hidden="false" customHeight="false" outlineLevel="0" collapsed="false">
      <c r="B210" s="197"/>
      <c r="C210" s="197"/>
      <c r="D210" s="197"/>
      <c r="E210" s="197"/>
      <c r="F210" s="197"/>
      <c r="G210" s="197"/>
      <c r="H210" s="197"/>
      <c r="I210" s="197"/>
      <c r="J210" s="197"/>
      <c r="K210" s="197"/>
      <c r="L210" s="197"/>
      <c r="M210" s="197"/>
      <c r="N210" s="197"/>
      <c r="O210" s="197"/>
      <c r="P210" s="197"/>
      <c r="Q210" s="197"/>
      <c r="R210" s="197"/>
      <c r="S210" s="197"/>
      <c r="T210" s="197"/>
    </row>
    <row r="211" customFormat="false" ht="12" hidden="false" customHeight="false" outlineLevel="0" collapsed="false">
      <c r="B211" s="197"/>
      <c r="C211" s="197"/>
      <c r="D211" s="197"/>
      <c r="E211" s="197"/>
      <c r="F211" s="197"/>
      <c r="G211" s="197"/>
      <c r="H211" s="197"/>
      <c r="I211" s="197"/>
      <c r="J211" s="197"/>
      <c r="K211" s="197"/>
      <c r="L211" s="197"/>
      <c r="M211" s="197"/>
      <c r="N211" s="197"/>
      <c r="O211" s="197"/>
      <c r="P211" s="197"/>
      <c r="Q211" s="197"/>
      <c r="R211" s="197"/>
      <c r="S211" s="197"/>
      <c r="T211" s="197"/>
    </row>
    <row r="212" customFormat="false" ht="12" hidden="false" customHeight="false" outlineLevel="0" collapsed="false">
      <c r="B212" s="197"/>
      <c r="C212" s="197"/>
      <c r="D212" s="197"/>
      <c r="E212" s="197"/>
      <c r="F212" s="197"/>
      <c r="G212" s="197"/>
      <c r="H212" s="197"/>
      <c r="I212" s="197"/>
      <c r="J212" s="197"/>
      <c r="K212" s="197"/>
      <c r="L212" s="197"/>
      <c r="M212" s="197"/>
      <c r="N212" s="197"/>
      <c r="O212" s="197"/>
      <c r="P212" s="197"/>
      <c r="Q212" s="197"/>
      <c r="R212" s="197"/>
      <c r="S212" s="197"/>
      <c r="T212" s="197"/>
    </row>
    <row r="213" customFormat="false" ht="12" hidden="false" customHeight="false" outlineLevel="0" collapsed="false">
      <c r="B213" s="197"/>
      <c r="C213" s="197"/>
      <c r="D213" s="197"/>
      <c r="E213" s="197"/>
      <c r="F213" s="197"/>
      <c r="G213" s="197"/>
      <c r="H213" s="197"/>
      <c r="I213" s="197"/>
      <c r="J213" s="197"/>
      <c r="K213" s="197"/>
      <c r="L213" s="197"/>
      <c r="M213" s="197"/>
      <c r="N213" s="197"/>
      <c r="O213" s="197"/>
      <c r="P213" s="197"/>
      <c r="Q213" s="197"/>
      <c r="R213" s="197"/>
      <c r="S213" s="197"/>
      <c r="T213" s="197"/>
    </row>
    <row r="214" customFormat="false" ht="12" hidden="false" customHeight="false" outlineLevel="0" collapsed="false">
      <c r="B214" s="197"/>
      <c r="C214" s="197"/>
      <c r="D214" s="197"/>
      <c r="E214" s="197"/>
      <c r="F214" s="197"/>
      <c r="G214" s="197"/>
      <c r="H214" s="197"/>
      <c r="I214" s="197"/>
      <c r="J214" s="197"/>
      <c r="K214" s="197"/>
      <c r="L214" s="197"/>
      <c r="M214" s="197"/>
      <c r="N214" s="197"/>
      <c r="O214" s="197"/>
      <c r="P214" s="197"/>
      <c r="Q214" s="197"/>
      <c r="R214" s="197"/>
      <c r="S214" s="197"/>
      <c r="T214" s="197"/>
    </row>
    <row r="215" customFormat="false" ht="12" hidden="false" customHeight="false" outlineLevel="0" collapsed="false">
      <c r="B215" s="197"/>
      <c r="C215" s="197"/>
      <c r="D215" s="197"/>
      <c r="E215" s="197"/>
      <c r="F215" s="197"/>
      <c r="G215" s="197"/>
      <c r="H215" s="197"/>
      <c r="I215" s="197"/>
      <c r="J215" s="197"/>
      <c r="K215" s="197"/>
      <c r="L215" s="197"/>
      <c r="M215" s="197"/>
      <c r="N215" s="197"/>
      <c r="O215" s="197"/>
      <c r="P215" s="197"/>
      <c r="Q215" s="197"/>
      <c r="R215" s="197"/>
      <c r="S215" s="197"/>
      <c r="T215" s="197"/>
    </row>
    <row r="216" customFormat="false" ht="12" hidden="false" customHeight="false" outlineLevel="0" collapsed="false">
      <c r="B216" s="197"/>
      <c r="C216" s="197"/>
      <c r="D216" s="197"/>
      <c r="E216" s="197"/>
      <c r="F216" s="197"/>
      <c r="G216" s="197"/>
      <c r="H216" s="197"/>
      <c r="I216" s="197"/>
      <c r="J216" s="197"/>
      <c r="K216" s="197"/>
      <c r="L216" s="197"/>
      <c r="M216" s="197"/>
      <c r="N216" s="197"/>
      <c r="O216" s="197"/>
      <c r="P216" s="197"/>
      <c r="Q216" s="197"/>
      <c r="R216" s="197"/>
      <c r="S216" s="197"/>
      <c r="T216" s="197"/>
    </row>
    <row r="217" customFormat="false" ht="12" hidden="false" customHeight="false" outlineLevel="0" collapsed="false">
      <c r="B217" s="197"/>
      <c r="C217" s="197"/>
      <c r="D217" s="197"/>
      <c r="E217" s="197"/>
      <c r="F217" s="197"/>
      <c r="G217" s="197"/>
      <c r="H217" s="197"/>
      <c r="I217" s="197"/>
      <c r="J217" s="197"/>
      <c r="K217" s="197"/>
      <c r="L217" s="197"/>
      <c r="M217" s="197"/>
      <c r="N217" s="197"/>
      <c r="O217" s="197"/>
      <c r="P217" s="197"/>
      <c r="Q217" s="197"/>
      <c r="R217" s="197"/>
      <c r="S217" s="197"/>
      <c r="T217" s="197"/>
    </row>
    <row r="218" customFormat="false" ht="12" hidden="false" customHeight="false" outlineLevel="0" collapsed="false">
      <c r="B218" s="197"/>
      <c r="C218" s="197"/>
      <c r="D218" s="197"/>
      <c r="E218" s="197"/>
      <c r="F218" s="197"/>
      <c r="G218" s="197"/>
      <c r="H218" s="197"/>
      <c r="I218" s="197"/>
      <c r="J218" s="197"/>
      <c r="K218" s="197"/>
      <c r="L218" s="197"/>
      <c r="M218" s="197"/>
      <c r="N218" s="197"/>
      <c r="O218" s="197"/>
      <c r="P218" s="197"/>
      <c r="Q218" s="197"/>
      <c r="R218" s="197"/>
      <c r="S218" s="197"/>
      <c r="T218" s="197"/>
    </row>
    <row r="219" customFormat="false" ht="12" hidden="false" customHeight="false" outlineLevel="0" collapsed="false">
      <c r="B219" s="197"/>
      <c r="C219" s="197"/>
      <c r="D219" s="197"/>
      <c r="E219" s="197"/>
      <c r="F219" s="197"/>
      <c r="G219" s="197"/>
      <c r="H219" s="197"/>
      <c r="I219" s="197"/>
      <c r="J219" s="197"/>
      <c r="K219" s="197"/>
      <c r="L219" s="197"/>
      <c r="M219" s="197"/>
      <c r="N219" s="197"/>
      <c r="O219" s="197"/>
      <c r="P219" s="197"/>
      <c r="Q219" s="197"/>
      <c r="R219" s="197"/>
      <c r="S219" s="197"/>
      <c r="T219" s="197"/>
    </row>
    <row r="220" customFormat="false" ht="12" hidden="false" customHeight="false" outlineLevel="0" collapsed="false">
      <c r="B220" s="197"/>
      <c r="C220" s="197"/>
      <c r="D220" s="197"/>
      <c r="E220" s="197"/>
      <c r="F220" s="197"/>
      <c r="G220" s="197"/>
      <c r="H220" s="197"/>
      <c r="I220" s="197"/>
      <c r="J220" s="197"/>
      <c r="K220" s="197"/>
      <c r="L220" s="197"/>
      <c r="M220" s="197"/>
      <c r="N220" s="197"/>
      <c r="O220" s="197"/>
      <c r="P220" s="197"/>
      <c r="Q220" s="197"/>
      <c r="R220" s="197"/>
      <c r="S220" s="197"/>
      <c r="T220" s="197"/>
    </row>
    <row r="221" customFormat="false" ht="12" hidden="false" customHeight="false" outlineLevel="0" collapsed="false">
      <c r="B221" s="197"/>
      <c r="C221" s="197"/>
      <c r="D221" s="197"/>
      <c r="E221" s="197"/>
      <c r="F221" s="197"/>
      <c r="G221" s="197"/>
      <c r="H221" s="197"/>
      <c r="I221" s="197"/>
      <c r="J221" s="197"/>
      <c r="K221" s="197"/>
      <c r="L221" s="197"/>
      <c r="M221" s="197"/>
      <c r="N221" s="197"/>
      <c r="O221" s="197"/>
      <c r="P221" s="197"/>
      <c r="Q221" s="197"/>
      <c r="R221" s="197"/>
      <c r="S221" s="197"/>
      <c r="T221" s="197"/>
    </row>
    <row r="222" customFormat="false" ht="12" hidden="false" customHeight="false" outlineLevel="0" collapsed="false">
      <c r="B222" s="197"/>
      <c r="C222" s="197"/>
      <c r="D222" s="197"/>
      <c r="E222" s="197"/>
      <c r="F222" s="197"/>
      <c r="G222" s="197"/>
      <c r="H222" s="197"/>
      <c r="I222" s="197"/>
      <c r="J222" s="197"/>
      <c r="K222" s="197"/>
      <c r="L222" s="197"/>
      <c r="M222" s="197"/>
      <c r="N222" s="197"/>
      <c r="O222" s="197"/>
      <c r="P222" s="197"/>
      <c r="Q222" s="197"/>
      <c r="R222" s="197"/>
      <c r="S222" s="197"/>
      <c r="T222" s="197"/>
    </row>
    <row r="223" customFormat="false" ht="12" hidden="false" customHeight="false" outlineLevel="0" collapsed="false">
      <c r="B223" s="197"/>
      <c r="C223" s="197"/>
      <c r="D223" s="197"/>
      <c r="E223" s="197"/>
      <c r="F223" s="197"/>
      <c r="G223" s="197"/>
      <c r="H223" s="197"/>
      <c r="I223" s="197"/>
      <c r="J223" s="197"/>
      <c r="K223" s="197"/>
      <c r="L223" s="197"/>
      <c r="M223" s="197"/>
      <c r="N223" s="197"/>
      <c r="O223" s="197"/>
      <c r="P223" s="197"/>
      <c r="Q223" s="197"/>
      <c r="R223" s="197"/>
      <c r="S223" s="197"/>
      <c r="T223" s="197"/>
    </row>
    <row r="224" customFormat="false" ht="12" hidden="false" customHeight="false" outlineLevel="0" collapsed="false">
      <c r="B224" s="197"/>
      <c r="C224" s="197"/>
      <c r="D224" s="197"/>
      <c r="E224" s="197"/>
      <c r="F224" s="197"/>
      <c r="G224" s="197"/>
      <c r="H224" s="197"/>
      <c r="I224" s="197"/>
      <c r="J224" s="197"/>
      <c r="K224" s="197"/>
      <c r="L224" s="197"/>
      <c r="M224" s="197"/>
      <c r="N224" s="197"/>
      <c r="O224" s="197"/>
      <c r="P224" s="197"/>
      <c r="Q224" s="197"/>
      <c r="R224" s="197"/>
      <c r="S224" s="197"/>
      <c r="T224" s="197"/>
    </row>
    <row r="225" customFormat="false" ht="12" hidden="false" customHeight="false" outlineLevel="0" collapsed="false">
      <c r="B225" s="197"/>
      <c r="C225" s="197"/>
      <c r="D225" s="197"/>
      <c r="E225" s="197"/>
      <c r="F225" s="197"/>
      <c r="G225" s="197"/>
      <c r="H225" s="197"/>
      <c r="I225" s="197"/>
      <c r="J225" s="197"/>
      <c r="K225" s="197"/>
      <c r="L225" s="197"/>
      <c r="M225" s="197"/>
      <c r="N225" s="197"/>
      <c r="O225" s="197"/>
      <c r="P225" s="197"/>
      <c r="Q225" s="197"/>
      <c r="R225" s="197"/>
      <c r="S225" s="197"/>
      <c r="T225" s="197"/>
    </row>
    <row r="226" customFormat="false" ht="12" hidden="false" customHeight="false" outlineLevel="0" collapsed="false">
      <c r="B226" s="197"/>
      <c r="C226" s="197"/>
      <c r="D226" s="197"/>
      <c r="E226" s="197"/>
      <c r="F226" s="197"/>
      <c r="G226" s="197"/>
      <c r="H226" s="197"/>
      <c r="I226" s="197"/>
      <c r="J226" s="197"/>
      <c r="K226" s="197"/>
      <c r="L226" s="197"/>
      <c r="M226" s="197"/>
      <c r="N226" s="197"/>
      <c r="O226" s="197"/>
      <c r="P226" s="197"/>
      <c r="Q226" s="197"/>
      <c r="R226" s="197"/>
      <c r="S226" s="197"/>
      <c r="T226" s="197"/>
    </row>
    <row r="227" customFormat="false" ht="12" hidden="false" customHeight="false" outlineLevel="0" collapsed="false">
      <c r="B227" s="197"/>
      <c r="C227" s="197"/>
      <c r="D227" s="197"/>
      <c r="E227" s="197"/>
      <c r="F227" s="197"/>
      <c r="G227" s="197"/>
      <c r="H227" s="197"/>
      <c r="I227" s="197"/>
      <c r="J227" s="197"/>
      <c r="K227" s="197"/>
      <c r="L227" s="197"/>
      <c r="M227" s="197"/>
      <c r="N227" s="197"/>
      <c r="O227" s="197"/>
      <c r="P227" s="197"/>
      <c r="Q227" s="197"/>
      <c r="R227" s="197"/>
      <c r="S227" s="197"/>
      <c r="T227" s="197"/>
    </row>
    <row r="228" customFormat="false" ht="12" hidden="false" customHeight="false" outlineLevel="0" collapsed="false">
      <c r="B228" s="197"/>
      <c r="C228" s="197"/>
      <c r="D228" s="197"/>
      <c r="E228" s="197"/>
      <c r="F228" s="197"/>
      <c r="G228" s="197"/>
      <c r="H228" s="197"/>
      <c r="I228" s="197"/>
      <c r="J228" s="197"/>
      <c r="K228" s="197"/>
      <c r="L228" s="197"/>
      <c r="M228" s="197"/>
      <c r="N228" s="197"/>
      <c r="O228" s="197"/>
      <c r="P228" s="197"/>
      <c r="Q228" s="197"/>
      <c r="R228" s="197"/>
      <c r="S228" s="197"/>
      <c r="T228" s="197"/>
    </row>
    <row r="229" customFormat="false" ht="12" hidden="false" customHeight="false" outlineLevel="0" collapsed="false">
      <c r="B229" s="197"/>
      <c r="C229" s="197"/>
      <c r="D229" s="197"/>
      <c r="E229" s="197"/>
      <c r="F229" s="197"/>
      <c r="G229" s="197"/>
      <c r="H229" s="197"/>
      <c r="I229" s="197"/>
      <c r="J229" s="197"/>
      <c r="K229" s="197"/>
      <c r="L229" s="197"/>
      <c r="M229" s="197"/>
      <c r="N229" s="197"/>
      <c r="O229" s="197"/>
      <c r="P229" s="197"/>
      <c r="Q229" s="197"/>
      <c r="R229" s="197"/>
      <c r="S229" s="197"/>
      <c r="T229" s="197"/>
    </row>
    <row r="230" customFormat="false" ht="12" hidden="false" customHeight="false" outlineLevel="0" collapsed="false">
      <c r="B230" s="197"/>
      <c r="C230" s="197"/>
      <c r="D230" s="197"/>
      <c r="E230" s="197"/>
      <c r="F230" s="197"/>
      <c r="G230" s="197"/>
      <c r="H230" s="197"/>
      <c r="I230" s="197"/>
      <c r="J230" s="197"/>
      <c r="K230" s="197"/>
      <c r="L230" s="197"/>
      <c r="M230" s="197"/>
      <c r="N230" s="197"/>
      <c r="O230" s="197"/>
      <c r="P230" s="197"/>
      <c r="Q230" s="197"/>
      <c r="R230" s="197"/>
      <c r="S230" s="197"/>
      <c r="T230" s="197"/>
    </row>
    <row r="231" customFormat="false" ht="12" hidden="false" customHeight="false" outlineLevel="0" collapsed="false">
      <c r="B231" s="197"/>
      <c r="C231" s="197"/>
      <c r="D231" s="197"/>
      <c r="E231" s="197"/>
      <c r="F231" s="197"/>
      <c r="G231" s="197"/>
      <c r="H231" s="197"/>
      <c r="I231" s="197"/>
      <c r="J231" s="197"/>
      <c r="K231" s="197"/>
      <c r="L231" s="197"/>
      <c r="M231" s="197"/>
      <c r="N231" s="197"/>
      <c r="O231" s="197"/>
      <c r="P231" s="197"/>
      <c r="Q231" s="197"/>
      <c r="R231" s="197"/>
      <c r="S231" s="197"/>
      <c r="T231" s="197"/>
    </row>
    <row r="232" customFormat="false" ht="12" hidden="false" customHeight="false" outlineLevel="0" collapsed="false">
      <c r="B232" s="197"/>
      <c r="C232" s="197"/>
      <c r="D232" s="197"/>
      <c r="E232" s="197"/>
      <c r="F232" s="197"/>
      <c r="G232" s="197"/>
      <c r="H232" s="197"/>
      <c r="I232" s="197"/>
      <c r="J232" s="197"/>
      <c r="K232" s="197"/>
      <c r="L232" s="197"/>
      <c r="M232" s="197"/>
      <c r="N232" s="197"/>
      <c r="O232" s="197"/>
      <c r="P232" s="197"/>
      <c r="Q232" s="197"/>
      <c r="R232" s="197"/>
      <c r="S232" s="197"/>
      <c r="T232" s="197"/>
    </row>
    <row r="233" customFormat="false" ht="12" hidden="false" customHeight="false" outlineLevel="0" collapsed="false">
      <c r="B233" s="197"/>
      <c r="C233" s="197"/>
      <c r="D233" s="197"/>
      <c r="E233" s="197"/>
      <c r="F233" s="197"/>
      <c r="G233" s="197"/>
      <c r="H233" s="197"/>
      <c r="I233" s="197"/>
      <c r="J233" s="197"/>
      <c r="K233" s="197"/>
      <c r="L233" s="197"/>
      <c r="M233" s="197"/>
      <c r="N233" s="197"/>
      <c r="O233" s="197"/>
      <c r="P233" s="197"/>
      <c r="Q233" s="197"/>
      <c r="R233" s="197"/>
      <c r="S233" s="197"/>
      <c r="T233" s="197"/>
    </row>
    <row r="234" customFormat="false" ht="12" hidden="false" customHeight="false" outlineLevel="0" collapsed="false">
      <c r="B234" s="197"/>
      <c r="C234" s="197"/>
      <c r="D234" s="197"/>
      <c r="E234" s="197"/>
      <c r="F234" s="197"/>
      <c r="G234" s="197"/>
      <c r="H234" s="197"/>
      <c r="I234" s="197"/>
      <c r="J234" s="197"/>
      <c r="K234" s="197"/>
      <c r="L234" s="197"/>
      <c r="M234" s="197"/>
      <c r="N234" s="197"/>
      <c r="O234" s="197"/>
      <c r="P234" s="197"/>
      <c r="Q234" s="197"/>
      <c r="R234" s="197"/>
      <c r="S234" s="197"/>
      <c r="T234" s="197"/>
    </row>
    <row r="235" customFormat="false" ht="12" hidden="false" customHeight="false" outlineLevel="0" collapsed="false">
      <c r="B235" s="197"/>
      <c r="C235" s="197"/>
      <c r="D235" s="197"/>
      <c r="E235" s="197"/>
      <c r="F235" s="197"/>
      <c r="G235" s="197"/>
      <c r="H235" s="197"/>
      <c r="I235" s="197"/>
      <c r="J235" s="197"/>
      <c r="K235" s="197"/>
      <c r="L235" s="197"/>
      <c r="M235" s="197"/>
      <c r="N235" s="197"/>
      <c r="O235" s="197"/>
      <c r="P235" s="197"/>
      <c r="Q235" s="197"/>
      <c r="R235" s="197"/>
      <c r="S235" s="197"/>
      <c r="T235" s="197"/>
    </row>
    <row r="236" customFormat="false" ht="12" hidden="false" customHeight="false" outlineLevel="0" collapsed="false">
      <c r="B236" s="197"/>
      <c r="C236" s="197"/>
      <c r="D236" s="197"/>
      <c r="E236" s="197"/>
      <c r="F236" s="197"/>
      <c r="G236" s="197"/>
      <c r="H236" s="197"/>
      <c r="I236" s="197"/>
      <c r="J236" s="197"/>
      <c r="K236" s="197"/>
      <c r="L236" s="197"/>
      <c r="M236" s="197"/>
      <c r="N236" s="197"/>
      <c r="O236" s="197"/>
      <c r="P236" s="197"/>
      <c r="Q236" s="197"/>
      <c r="R236" s="197"/>
      <c r="S236" s="197"/>
      <c r="T236" s="197"/>
    </row>
    <row r="237" customFormat="false" ht="12" hidden="false" customHeight="false" outlineLevel="0" collapsed="false">
      <c r="B237" s="197"/>
      <c r="C237" s="197"/>
      <c r="D237" s="197"/>
      <c r="E237" s="197"/>
      <c r="F237" s="197"/>
      <c r="G237" s="197"/>
      <c r="H237" s="197"/>
      <c r="I237" s="197"/>
      <c r="J237" s="197"/>
      <c r="K237" s="197"/>
      <c r="L237" s="197"/>
      <c r="M237" s="197"/>
      <c r="N237" s="197"/>
      <c r="O237" s="197"/>
      <c r="P237" s="197"/>
      <c r="Q237" s="197"/>
      <c r="R237" s="197"/>
      <c r="S237" s="197"/>
      <c r="T237" s="197"/>
    </row>
    <row r="238" customFormat="false" ht="12" hidden="false" customHeight="false" outlineLevel="0" collapsed="false">
      <c r="B238" s="197"/>
      <c r="C238" s="197"/>
      <c r="D238" s="197"/>
      <c r="E238" s="197"/>
      <c r="F238" s="197"/>
      <c r="G238" s="197"/>
      <c r="H238" s="197"/>
      <c r="I238" s="197"/>
      <c r="J238" s="197"/>
      <c r="K238" s="197"/>
      <c r="L238" s="197"/>
      <c r="M238" s="197"/>
      <c r="N238" s="197"/>
      <c r="O238" s="197"/>
      <c r="P238" s="197"/>
      <c r="Q238" s="197"/>
      <c r="R238" s="197"/>
      <c r="S238" s="197"/>
      <c r="T238" s="197"/>
    </row>
    <row r="239" customFormat="false" ht="12" hidden="false" customHeight="false" outlineLevel="0" collapsed="false">
      <c r="B239" s="197"/>
      <c r="C239" s="197"/>
      <c r="D239" s="197"/>
      <c r="E239" s="197"/>
      <c r="F239" s="197"/>
      <c r="G239" s="197"/>
      <c r="H239" s="197"/>
      <c r="I239" s="197"/>
      <c r="J239" s="197"/>
      <c r="K239" s="197"/>
      <c r="L239" s="197"/>
      <c r="M239" s="197"/>
      <c r="N239" s="197"/>
      <c r="O239" s="197"/>
      <c r="P239" s="197"/>
      <c r="Q239" s="197"/>
      <c r="R239" s="197"/>
      <c r="S239" s="197"/>
      <c r="T239" s="197"/>
    </row>
    <row r="240" customFormat="false" ht="12" hidden="false" customHeight="false" outlineLevel="0" collapsed="false">
      <c r="B240" s="197"/>
      <c r="C240" s="197"/>
      <c r="D240" s="197"/>
      <c r="E240" s="197"/>
      <c r="F240" s="197"/>
      <c r="G240" s="197"/>
      <c r="H240" s="197"/>
      <c r="I240" s="197"/>
      <c r="J240" s="197"/>
      <c r="K240" s="197"/>
      <c r="L240" s="197"/>
      <c r="M240" s="197"/>
      <c r="N240" s="197"/>
      <c r="O240" s="197"/>
      <c r="P240" s="197"/>
      <c r="Q240" s="197"/>
      <c r="R240" s="197"/>
      <c r="S240" s="197"/>
      <c r="T240" s="197"/>
    </row>
    <row r="241" customFormat="false" ht="12" hidden="false" customHeight="false" outlineLevel="0" collapsed="false">
      <c r="B241" s="197"/>
      <c r="C241" s="197"/>
      <c r="D241" s="197"/>
      <c r="E241" s="197"/>
      <c r="F241" s="197"/>
      <c r="G241" s="197"/>
      <c r="H241" s="197"/>
      <c r="I241" s="197"/>
      <c r="J241" s="197"/>
      <c r="K241" s="197"/>
      <c r="L241" s="197"/>
      <c r="M241" s="197"/>
      <c r="N241" s="197"/>
      <c r="O241" s="197"/>
      <c r="P241" s="197"/>
      <c r="Q241" s="197"/>
      <c r="R241" s="197"/>
      <c r="S241" s="197"/>
      <c r="T241" s="197"/>
    </row>
    <row r="242" customFormat="false" ht="12" hidden="false" customHeight="false" outlineLevel="0" collapsed="false">
      <c r="B242" s="197"/>
      <c r="C242" s="197"/>
      <c r="D242" s="197"/>
      <c r="E242" s="197"/>
      <c r="F242" s="197"/>
      <c r="G242" s="197"/>
      <c r="H242" s="197"/>
      <c r="I242" s="197"/>
      <c r="J242" s="197"/>
      <c r="K242" s="197"/>
      <c r="L242" s="197"/>
      <c r="M242" s="197"/>
      <c r="N242" s="197"/>
      <c r="O242" s="197"/>
      <c r="P242" s="197"/>
      <c r="Q242" s="197"/>
      <c r="R242" s="197"/>
      <c r="S242" s="197"/>
      <c r="T242" s="197"/>
    </row>
    <row r="243" customFormat="false" ht="12" hidden="false" customHeight="false" outlineLevel="0" collapsed="false">
      <c r="B243" s="197"/>
      <c r="C243" s="197"/>
      <c r="D243" s="197"/>
      <c r="E243" s="197"/>
      <c r="F243" s="197"/>
      <c r="G243" s="197"/>
      <c r="H243" s="197"/>
      <c r="I243" s="197"/>
      <c r="J243" s="197"/>
      <c r="K243" s="197"/>
      <c r="L243" s="197"/>
      <c r="M243" s="197"/>
      <c r="N243" s="197"/>
      <c r="O243" s="197"/>
      <c r="P243" s="197"/>
      <c r="Q243" s="197"/>
      <c r="R243" s="197"/>
      <c r="S243" s="197"/>
      <c r="T243" s="197"/>
    </row>
    <row r="244" customFormat="false" ht="12" hidden="false" customHeight="false" outlineLevel="0" collapsed="false">
      <c r="B244" s="197"/>
      <c r="C244" s="197"/>
      <c r="D244" s="197"/>
      <c r="E244" s="197"/>
      <c r="F244" s="197"/>
      <c r="G244" s="197"/>
      <c r="H244" s="197"/>
      <c r="I244" s="197"/>
      <c r="J244" s="197"/>
      <c r="K244" s="197"/>
      <c r="L244" s="197"/>
      <c r="M244" s="197"/>
      <c r="N244" s="197"/>
      <c r="O244" s="197"/>
      <c r="P244" s="197"/>
      <c r="Q244" s="197"/>
      <c r="R244" s="197"/>
      <c r="S244" s="197"/>
      <c r="T244" s="197"/>
    </row>
    <row r="245" customFormat="false" ht="12" hidden="false" customHeight="false" outlineLevel="0" collapsed="false">
      <c r="B245" s="197"/>
      <c r="C245" s="197"/>
      <c r="D245" s="197"/>
      <c r="E245" s="197"/>
      <c r="F245" s="197"/>
      <c r="G245" s="197"/>
      <c r="H245" s="197"/>
      <c r="I245" s="197"/>
      <c r="J245" s="197"/>
      <c r="K245" s="197"/>
      <c r="L245" s="197"/>
      <c r="M245" s="197"/>
      <c r="N245" s="197"/>
      <c r="O245" s="197"/>
      <c r="P245" s="197"/>
      <c r="Q245" s="197"/>
      <c r="R245" s="197"/>
      <c r="S245" s="197"/>
      <c r="T245" s="197"/>
    </row>
    <row r="246" customFormat="false" ht="12" hidden="false" customHeight="false" outlineLevel="0" collapsed="false">
      <c r="B246" s="197"/>
      <c r="C246" s="197"/>
      <c r="D246" s="197"/>
      <c r="E246" s="197"/>
      <c r="F246" s="197"/>
      <c r="G246" s="197"/>
      <c r="H246" s="197"/>
      <c r="I246" s="197"/>
      <c r="J246" s="197"/>
      <c r="K246" s="197"/>
      <c r="L246" s="197"/>
      <c r="M246" s="197"/>
      <c r="N246" s="197"/>
      <c r="O246" s="197"/>
      <c r="P246" s="197"/>
      <c r="Q246" s="197"/>
      <c r="R246" s="197"/>
      <c r="S246" s="197"/>
      <c r="T246" s="197"/>
    </row>
    <row r="247" customFormat="false" ht="12" hidden="false" customHeight="false" outlineLevel="0" collapsed="false">
      <c r="B247" s="197"/>
      <c r="C247" s="197"/>
      <c r="D247" s="197"/>
      <c r="E247" s="197"/>
      <c r="F247" s="197"/>
      <c r="G247" s="197"/>
      <c r="H247" s="197"/>
      <c r="I247" s="197"/>
      <c r="J247" s="197"/>
      <c r="K247" s="197"/>
      <c r="L247" s="197"/>
      <c r="M247" s="197"/>
      <c r="N247" s="197"/>
      <c r="O247" s="197"/>
      <c r="P247" s="197"/>
      <c r="Q247" s="197"/>
      <c r="R247" s="197"/>
      <c r="S247" s="197"/>
      <c r="T247" s="197"/>
    </row>
    <row r="248" customFormat="false" ht="12" hidden="false" customHeight="false" outlineLevel="0" collapsed="false">
      <c r="B248" s="197"/>
      <c r="C248" s="197"/>
      <c r="D248" s="197"/>
      <c r="E248" s="197"/>
      <c r="F248" s="197"/>
      <c r="G248" s="197"/>
      <c r="H248" s="197"/>
      <c r="I248" s="197"/>
      <c r="J248" s="197"/>
      <c r="K248" s="197"/>
      <c r="L248" s="197"/>
      <c r="M248" s="197"/>
      <c r="N248" s="197"/>
      <c r="O248" s="197"/>
      <c r="P248" s="197"/>
      <c r="Q248" s="197"/>
      <c r="R248" s="197"/>
      <c r="S248" s="197"/>
      <c r="T248" s="197"/>
    </row>
    <row r="249" customFormat="false" ht="12" hidden="false" customHeight="false" outlineLevel="0" collapsed="false">
      <c r="B249" s="197"/>
      <c r="C249" s="197"/>
      <c r="D249" s="197"/>
      <c r="E249" s="197"/>
      <c r="F249" s="197"/>
      <c r="G249" s="197"/>
      <c r="H249" s="197"/>
      <c r="I249" s="197"/>
      <c r="J249" s="197"/>
      <c r="K249" s="197"/>
      <c r="L249" s="197"/>
      <c r="M249" s="197"/>
      <c r="N249" s="197"/>
      <c r="O249" s="197"/>
      <c r="P249" s="197"/>
      <c r="Q249" s="197"/>
      <c r="R249" s="197"/>
      <c r="S249" s="197"/>
      <c r="T249" s="197"/>
    </row>
    <row r="250" customFormat="false" ht="12" hidden="false" customHeight="false" outlineLevel="0" collapsed="false">
      <c r="B250" s="197"/>
      <c r="C250" s="197"/>
      <c r="D250" s="197"/>
      <c r="E250" s="197"/>
      <c r="F250" s="197"/>
      <c r="G250" s="197"/>
      <c r="H250" s="197"/>
      <c r="I250" s="197"/>
      <c r="J250" s="197"/>
      <c r="K250" s="197"/>
      <c r="L250" s="197"/>
      <c r="M250" s="197"/>
      <c r="N250" s="197"/>
      <c r="O250" s="197"/>
      <c r="P250" s="197"/>
      <c r="Q250" s="197"/>
      <c r="R250" s="197"/>
      <c r="S250" s="197"/>
      <c r="T250" s="197"/>
    </row>
    <row r="251" customFormat="false" ht="12" hidden="false" customHeight="false" outlineLevel="0" collapsed="false">
      <c r="B251" s="197"/>
      <c r="C251" s="197"/>
      <c r="D251" s="197"/>
      <c r="E251" s="197"/>
      <c r="F251" s="197"/>
      <c r="G251" s="197"/>
      <c r="H251" s="197"/>
      <c r="I251" s="197"/>
      <c r="J251" s="197"/>
      <c r="K251" s="197"/>
      <c r="L251" s="197"/>
      <c r="M251" s="197"/>
      <c r="N251" s="197"/>
      <c r="O251" s="197"/>
      <c r="P251" s="197"/>
      <c r="Q251" s="197"/>
      <c r="R251" s="197"/>
      <c r="S251" s="197"/>
      <c r="T251" s="197"/>
    </row>
    <row r="252" customFormat="false" ht="12" hidden="false" customHeight="false" outlineLevel="0" collapsed="false">
      <c r="B252" s="197"/>
      <c r="C252" s="197"/>
      <c r="D252" s="197"/>
      <c r="E252" s="197"/>
      <c r="F252" s="197"/>
      <c r="G252" s="197"/>
      <c r="H252" s="197"/>
      <c r="I252" s="197"/>
      <c r="J252" s="197"/>
      <c r="K252" s="197"/>
      <c r="L252" s="197"/>
      <c r="M252" s="197"/>
      <c r="N252" s="197"/>
      <c r="O252" s="197"/>
      <c r="P252" s="197"/>
      <c r="Q252" s="197"/>
      <c r="R252" s="197"/>
      <c r="S252" s="197"/>
      <c r="T252" s="197"/>
    </row>
    <row r="253" customFormat="false" ht="12" hidden="false" customHeight="false" outlineLevel="0" collapsed="false">
      <c r="B253" s="197"/>
      <c r="C253" s="197"/>
      <c r="D253" s="197"/>
      <c r="E253" s="197"/>
      <c r="F253" s="197"/>
      <c r="G253" s="197"/>
      <c r="H253" s="197"/>
      <c r="I253" s="197"/>
      <c r="J253" s="197"/>
      <c r="K253" s="197"/>
      <c r="L253" s="197"/>
      <c r="M253" s="197"/>
      <c r="N253" s="197"/>
      <c r="O253" s="197"/>
      <c r="P253" s="197"/>
      <c r="Q253" s="197"/>
      <c r="R253" s="197"/>
      <c r="S253" s="197"/>
      <c r="T253" s="197"/>
    </row>
    <row r="254" customFormat="false" ht="12" hidden="false" customHeight="false" outlineLevel="0" collapsed="false">
      <c r="R254" s="197"/>
      <c r="S254" s="197"/>
      <c r="T254" s="197"/>
    </row>
    <row r="255" customFormat="false" ht="12" hidden="false" customHeight="false" outlineLevel="0" collapsed="false">
      <c r="R255" s="197"/>
      <c r="S255" s="197"/>
      <c r="T255" s="197"/>
    </row>
    <row r="256" customFormat="false" ht="12" hidden="false" customHeight="false" outlineLevel="0" collapsed="false">
      <c r="R256" s="197"/>
      <c r="S256" s="197"/>
      <c r="T256" s="197"/>
    </row>
    <row r="257" customFormat="false" ht="12" hidden="false" customHeight="false" outlineLevel="0" collapsed="false">
      <c r="R257" s="197"/>
      <c r="S257" s="197"/>
      <c r="T257" s="197"/>
    </row>
    <row r="258" customFormat="false" ht="12" hidden="false" customHeight="false" outlineLevel="0" collapsed="false">
      <c r="R258" s="197"/>
      <c r="S258" s="197"/>
      <c r="T258" s="197"/>
    </row>
    <row r="259" customFormat="false" ht="12" hidden="false" customHeight="false" outlineLevel="0" collapsed="false">
      <c r="R259" s="197"/>
      <c r="S259" s="197"/>
      <c r="T259" s="197"/>
    </row>
    <row r="260" customFormat="false" ht="12" hidden="false" customHeight="false" outlineLevel="0" collapsed="false">
      <c r="R260" s="197"/>
      <c r="S260" s="197"/>
      <c r="T260" s="197"/>
    </row>
    <row r="261" customFormat="false" ht="12" hidden="false" customHeight="false" outlineLevel="0" collapsed="false">
      <c r="R261" s="197"/>
      <c r="S261" s="197"/>
      <c r="T261" s="197"/>
    </row>
    <row r="262" customFormat="false" ht="12" hidden="false" customHeight="false" outlineLevel="0" collapsed="false">
      <c r="R262" s="197"/>
      <c r="S262" s="197"/>
      <c r="T262" s="197"/>
    </row>
    <row r="263" customFormat="false" ht="12" hidden="false" customHeight="false" outlineLevel="0" collapsed="false">
      <c r="R263" s="197"/>
      <c r="S263" s="197"/>
      <c r="T263" s="197"/>
    </row>
    <row r="264" customFormat="false" ht="12" hidden="false" customHeight="false" outlineLevel="0" collapsed="false">
      <c r="R264" s="197"/>
      <c r="S264" s="197"/>
      <c r="T264" s="197"/>
    </row>
    <row r="265" customFormat="false" ht="12" hidden="false" customHeight="false" outlineLevel="0" collapsed="false">
      <c r="R265" s="197"/>
      <c r="S265" s="197"/>
      <c r="T265" s="197"/>
    </row>
  </sheetData>
  <mergeCells count="27">
    <mergeCell ref="A3:T3"/>
    <mergeCell ref="B6:T6"/>
    <mergeCell ref="A7:A9"/>
    <mergeCell ref="B7:C7"/>
    <mergeCell ref="D7:E7"/>
    <mergeCell ref="F7:I7"/>
    <mergeCell ref="J7:M7"/>
    <mergeCell ref="N7:N9"/>
    <mergeCell ref="O7:O9"/>
    <mergeCell ref="P7:P9"/>
    <mergeCell ref="Q7:Q9"/>
    <mergeCell ref="R7:R8"/>
    <mergeCell ref="S7:S8"/>
    <mergeCell ref="T7:T8"/>
    <mergeCell ref="B8:B9"/>
    <mergeCell ref="C8:C9"/>
    <mergeCell ref="D8:D9"/>
    <mergeCell ref="E8:E9"/>
    <mergeCell ref="F8:F9"/>
    <mergeCell ref="G8:G9"/>
    <mergeCell ref="H8:H9"/>
    <mergeCell ref="I8:I9"/>
    <mergeCell ref="J8:J9"/>
    <mergeCell ref="K8:K9"/>
    <mergeCell ref="L8:L9"/>
    <mergeCell ref="M8:M9"/>
    <mergeCell ref="A152:T153"/>
  </mergeCells>
  <hyperlinks>
    <hyperlink ref="B1" location="Index!A1" display="Back to index"/>
  </hyperlinks>
  <printOptions headings="false" gridLines="false" gridLinesSet="true" horizontalCentered="true" verticalCentered="true"/>
  <pageMargins left="0.790277777777778" right="0" top="0.979861111111111" bottom="0.97986111111111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CCFF"/>
    <pageSetUpPr fitToPage="true"/>
  </sheetPr>
  <dimension ref="A1:L2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3" activeCellId="0" sqref="A3"/>
    </sheetView>
  </sheetViews>
  <sheetFormatPr defaultColWidth="11.9921875" defaultRowHeight="12" zeroHeight="false" outlineLevelRow="0" outlineLevelCol="0"/>
  <cols>
    <col collapsed="false" customWidth="true" hidden="false" outlineLevel="0" max="1" min="1" style="289" width="14.82"/>
    <col collapsed="false" customWidth="true" hidden="false" outlineLevel="0" max="12" min="2" style="289" width="9.66"/>
    <col collapsed="false" customWidth="false" hidden="false" outlineLevel="0" max="257" min="13" style="289" width="11.99"/>
  </cols>
  <sheetData>
    <row r="1" customFormat="false" ht="12" hidden="false" customHeight="false" outlineLevel="0" collapsed="false">
      <c r="A1" s="290"/>
      <c r="B1" s="21" t="s">
        <v>9</v>
      </c>
      <c r="C1" s="291"/>
      <c r="D1" s="291"/>
      <c r="E1" s="291"/>
      <c r="F1" s="291"/>
      <c r="G1" s="291"/>
      <c r="H1" s="291"/>
      <c r="I1" s="291"/>
      <c r="J1" s="291"/>
      <c r="K1" s="291"/>
      <c r="L1" s="291"/>
    </row>
    <row r="2" customFormat="false" ht="13" hidden="false" customHeight="false" outlineLevel="0" collapsed="false"/>
    <row r="3" customFormat="false" ht="19.75" hidden="false" customHeight="true" outlineLevel="0" collapsed="false">
      <c r="A3" s="292" t="s">
        <v>60</v>
      </c>
      <c r="B3" s="292"/>
      <c r="C3" s="292"/>
      <c r="D3" s="292"/>
      <c r="E3" s="292"/>
      <c r="F3" s="292"/>
      <c r="G3" s="292"/>
      <c r="H3" s="292"/>
      <c r="I3" s="292"/>
      <c r="J3" s="292"/>
      <c r="K3" s="292"/>
      <c r="L3" s="292"/>
    </row>
    <row r="4" customFormat="false" ht="12" hidden="false" customHeight="false" outlineLevel="0" collapsed="false">
      <c r="A4" s="293"/>
      <c r="B4" s="294"/>
      <c r="C4" s="294"/>
      <c r="D4" s="294"/>
      <c r="E4" s="294"/>
      <c r="F4" s="294"/>
      <c r="G4" s="294"/>
      <c r="H4" s="294"/>
      <c r="I4" s="294"/>
      <c r="J4" s="294"/>
      <c r="K4" s="294"/>
      <c r="L4" s="295"/>
    </row>
    <row r="5" customFormat="false" ht="12" hidden="false" customHeight="false" outlineLevel="0" collapsed="false">
      <c r="A5" s="293"/>
      <c r="B5" s="296" t="s">
        <v>11</v>
      </c>
      <c r="C5" s="296" t="s">
        <v>12</v>
      </c>
      <c r="D5" s="296" t="s">
        <v>13</v>
      </c>
      <c r="E5" s="296" t="s">
        <v>14</v>
      </c>
      <c r="F5" s="296" t="s">
        <v>15</v>
      </c>
      <c r="G5" s="296" t="s">
        <v>16</v>
      </c>
      <c r="H5" s="296" t="s">
        <v>17</v>
      </c>
      <c r="I5" s="296" t="s">
        <v>18</v>
      </c>
      <c r="J5" s="296" t="s">
        <v>19</v>
      </c>
      <c r="K5" s="296" t="s">
        <v>20</v>
      </c>
      <c r="L5" s="297" t="s">
        <v>21</v>
      </c>
    </row>
    <row r="6" customFormat="false" ht="44" hidden="false" customHeight="true" outlineLevel="0" collapsed="false">
      <c r="A6" s="293"/>
      <c r="B6" s="298" t="s">
        <v>31</v>
      </c>
      <c r="C6" s="298"/>
      <c r="D6" s="298"/>
      <c r="E6" s="298"/>
      <c r="F6" s="298"/>
      <c r="G6" s="298"/>
      <c r="H6" s="298"/>
      <c r="I6" s="298"/>
      <c r="J6" s="298"/>
      <c r="K6" s="298"/>
      <c r="L6" s="298"/>
    </row>
    <row r="7" customFormat="false" ht="158" hidden="false" customHeight="true" outlineLevel="0" collapsed="false">
      <c r="A7" s="299"/>
      <c r="B7" s="300" t="s">
        <v>61</v>
      </c>
      <c r="C7" s="301" t="s">
        <v>62</v>
      </c>
      <c r="D7" s="302" t="s">
        <v>63</v>
      </c>
      <c r="E7" s="302" t="s">
        <v>64</v>
      </c>
      <c r="F7" s="301" t="s">
        <v>65</v>
      </c>
      <c r="G7" s="303" t="s">
        <v>66</v>
      </c>
      <c r="H7" s="302" t="s">
        <v>67</v>
      </c>
      <c r="I7" s="304" t="s">
        <v>68</v>
      </c>
      <c r="J7" s="305" t="s">
        <v>69</v>
      </c>
      <c r="K7" s="302" t="s">
        <v>70</v>
      </c>
      <c r="L7" s="306" t="s">
        <v>71</v>
      </c>
    </row>
    <row r="8" customFormat="false" ht="15" hidden="false" customHeight="true" outlineLevel="0" collapsed="false">
      <c r="A8" s="307" t="s">
        <v>72</v>
      </c>
      <c r="B8" s="308" t="n">
        <f aca="false">(((1+B11)^40)*((1+B14)^100))^(1/140)-1</f>
        <v>0.0225309108023486</v>
      </c>
      <c r="C8" s="309" t="n">
        <f aca="false">(((1+C11)^40)*((1+C14)^100))^(1/140)-1</f>
        <v>0.0186233241204865</v>
      </c>
      <c r="D8" s="310" t="n">
        <f aca="false">(1+B8)/(1+G8)-1</f>
        <v>0.0171801186780016</v>
      </c>
      <c r="E8" s="311" t="n">
        <f aca="false">(1+D8)*(1+J8)/(1+K8)-1</f>
        <v>0.0172614654530303</v>
      </c>
      <c r="F8" s="309" t="n">
        <f aca="false">(1+D8)*(1+G8)/(1+I8)-1</f>
        <v>0.0162200971989812</v>
      </c>
      <c r="G8" s="308" t="n">
        <f aca="false">(((1+G11)^40)*((1+G14)^100))^(1/140)-1</f>
        <v>0.0052604175269384</v>
      </c>
      <c r="H8" s="312" t="n">
        <f aca="false">(((1+H11)^40)*((1+H14)^100))^(1/140)-1</f>
        <v>0.00789721568785429</v>
      </c>
      <c r="I8" s="313" t="n">
        <f aca="false">(((1+I11)^40)*((1+I14)^100))^(1/140)-1</f>
        <v>0.00621008541433299</v>
      </c>
      <c r="J8" s="308" t="n">
        <f aca="false">(((1+J11)^40)*((1+J14)^100))^(1/140)-1</f>
        <v>0.0192364016278941</v>
      </c>
      <c r="K8" s="312" t="n">
        <f aca="false">(((1+K11)^40)*((1+K14)^100))^(1/140)-1</f>
        <v>0.0191548969242561</v>
      </c>
      <c r="L8" s="314"/>
    </row>
    <row r="9" customFormat="false" ht="15" hidden="false" customHeight="true" outlineLevel="0" collapsed="false">
      <c r="A9" s="315"/>
      <c r="B9" s="316"/>
      <c r="C9" s="317"/>
      <c r="D9" s="318"/>
      <c r="E9" s="319"/>
      <c r="F9" s="317"/>
      <c r="G9" s="320"/>
      <c r="H9" s="319"/>
      <c r="I9" s="321"/>
      <c r="J9" s="322"/>
      <c r="K9" s="322"/>
      <c r="L9" s="323"/>
    </row>
    <row r="10" customFormat="false" ht="4.75" hidden="false" customHeight="true" outlineLevel="0" collapsed="false">
      <c r="A10" s="299"/>
      <c r="B10" s="324"/>
      <c r="C10" s="325"/>
      <c r="D10" s="326"/>
      <c r="E10" s="327"/>
      <c r="F10" s="325"/>
      <c r="G10" s="328"/>
      <c r="H10" s="327"/>
      <c r="I10" s="329"/>
      <c r="J10" s="326"/>
      <c r="K10" s="326"/>
      <c r="L10" s="330"/>
    </row>
    <row r="11" customFormat="false" ht="15" hidden="false" customHeight="true" outlineLevel="0" collapsed="false">
      <c r="A11" s="307" t="s">
        <v>73</v>
      </c>
      <c r="B11" s="308" t="n">
        <f aca="false">(TableDE1!D50/TableDE1!D10)^(1/40)-1</f>
        <v>0.0261199564699746</v>
      </c>
      <c r="C11" s="309" t="n">
        <f aca="false">(TableDE1!E50/TableDE1!E10)^(1/40)-1</f>
        <v>0.0223792429713041</v>
      </c>
      <c r="D11" s="311" t="n">
        <f aca="false">(1+B11)/(1+G11)-1</f>
        <v>0.0134175831050025</v>
      </c>
      <c r="E11" s="311" t="n">
        <f aca="false">(1+D11)*(1+J11)/(1+K11)-1</f>
        <v>0.0101635997278573</v>
      </c>
      <c r="F11" s="309" t="n">
        <f aca="false">(1+D11)*(1+G11)/(1+I11)-1</f>
        <v>0.0122139328836106</v>
      </c>
      <c r="G11" s="310" t="n">
        <f aca="false">(TableDE1!R50/TableDE1!R10)^(1/40)-1</f>
        <v>0.0125341947650577</v>
      </c>
      <c r="H11" s="311" t="n">
        <f aca="false">(TableDE1!S50/TableDE1!S10)^(1/40)-1</f>
        <v>0.0126683249211623</v>
      </c>
      <c r="I11" s="313" t="n">
        <f aca="false">(TableDE1!T50/TableDE1!T10)^(1/40)-1</f>
        <v>0.0137382258182797</v>
      </c>
      <c r="J11" s="311" t="n">
        <f aca="false">(TableDE15a!C49/TableDE15a!C9)^(1/40)-1</f>
        <v>0.0058343466044366</v>
      </c>
      <c r="K11" s="311" t="n">
        <f aca="false">(TableDE15a!B49/TableDE15a!B9)^(1/40)-1</f>
        <v>0.00907438440118003</v>
      </c>
      <c r="L11" s="331"/>
    </row>
    <row r="12" customFormat="false" ht="15" hidden="false" customHeight="true" outlineLevel="0" collapsed="false">
      <c r="A12" s="315"/>
      <c r="B12" s="308"/>
      <c r="C12" s="317"/>
      <c r="D12" s="318"/>
      <c r="E12" s="319"/>
      <c r="F12" s="317"/>
      <c r="G12" s="320"/>
      <c r="H12" s="319"/>
      <c r="I12" s="321"/>
      <c r="J12" s="322"/>
      <c r="K12" s="322"/>
      <c r="L12" s="323"/>
    </row>
    <row r="13" customFormat="false" ht="4.75" hidden="false" customHeight="true" outlineLevel="0" collapsed="false">
      <c r="A13" s="299"/>
      <c r="B13" s="324"/>
      <c r="C13" s="325"/>
      <c r="D13" s="326"/>
      <c r="E13" s="327"/>
      <c r="F13" s="325"/>
      <c r="G13" s="328"/>
      <c r="H13" s="327"/>
      <c r="I13" s="329"/>
      <c r="J13" s="326"/>
      <c r="K13" s="326"/>
      <c r="L13" s="330"/>
    </row>
    <row r="14" customFormat="false" ht="15" hidden="false" customHeight="true" outlineLevel="0" collapsed="false">
      <c r="A14" s="307" t="s">
        <v>74</v>
      </c>
      <c r="B14" s="308" t="n">
        <f aca="false">(((1+B17)^40)*((1+B20)^60))^(1/100)-1</f>
        <v>0.0210988099371718</v>
      </c>
      <c r="C14" s="309" t="n">
        <f aca="false">(((1+C17)^40)*((1+C20)^60))^(1/100)-1</f>
        <v>0.0171248229006835</v>
      </c>
      <c r="D14" s="311" t="n">
        <f aca="false">(1+B14)/(1+G14)-1</f>
        <v>0.0186890413944671</v>
      </c>
      <c r="E14" s="311" t="n">
        <f aca="false">(1+D14)*(1+J14)/(1+K14)-1</f>
        <v>0.0201145565609948</v>
      </c>
      <c r="F14" s="309" t="n">
        <f aca="false">(1+D14)*(1+G14)/(1+I14)-1</f>
        <v>0.0178269990102609</v>
      </c>
      <c r="G14" s="310" t="n">
        <f aca="false">(((1+G17)^40)*((1+G20)^60))^(1/100)-1</f>
        <v>0.00236555852157405</v>
      </c>
      <c r="H14" s="311" t="n">
        <f aca="false">(((1+H17)^40)*((1+H20)^60))^(1/100)-1</f>
        <v>0.00599507197689331</v>
      </c>
      <c r="I14" s="313" t="n">
        <f aca="false">(((1+I17)^40)*((1+I20)^60))^(1/100)-1</f>
        <v>0.0032145059328279</v>
      </c>
      <c r="J14" s="311" t="n">
        <f aca="false">(TableDE15a!C149/TableDE15a!C49)^(1/100)-1</f>
        <v>0.0246470915998722</v>
      </c>
      <c r="K14" s="311" t="n">
        <f aca="false">(TableDE15a!B149/TableDE15a!B49)^(1/100)-1</f>
        <v>0.0232152426374006</v>
      </c>
      <c r="L14" s="314"/>
    </row>
    <row r="15" customFormat="false" ht="15" hidden="false" customHeight="true" outlineLevel="0" collapsed="false">
      <c r="A15" s="315"/>
      <c r="B15" s="332"/>
      <c r="C15" s="317"/>
      <c r="D15" s="318"/>
      <c r="E15" s="319"/>
      <c r="F15" s="317"/>
      <c r="G15" s="320"/>
      <c r="H15" s="319"/>
      <c r="I15" s="321"/>
      <c r="J15" s="322"/>
      <c r="K15" s="322"/>
      <c r="L15" s="323"/>
    </row>
    <row r="16" customFormat="false" ht="4.75" hidden="false" customHeight="true" outlineLevel="0" collapsed="false">
      <c r="A16" s="315"/>
      <c r="B16" s="316"/>
      <c r="C16" s="317"/>
      <c r="D16" s="326"/>
      <c r="E16" s="327"/>
      <c r="F16" s="317"/>
      <c r="G16" s="320"/>
      <c r="H16" s="319"/>
      <c r="I16" s="321"/>
      <c r="J16" s="311"/>
      <c r="K16" s="311"/>
      <c r="L16" s="314"/>
    </row>
    <row r="17" customFormat="false" ht="15" hidden="false" customHeight="true" outlineLevel="0" collapsed="false">
      <c r="A17" s="307" t="s">
        <v>75</v>
      </c>
      <c r="B17" s="308" t="n">
        <f aca="false">(TableDE1!D90/TableDE1!D50)^(1/40)-1</f>
        <v>0.00125737234514078</v>
      </c>
      <c r="C17" s="309" t="n">
        <f aca="false">(TableDE1!E90/TableDE1!E50)^(1/40)-1</f>
        <v>-0.0286077211615002</v>
      </c>
      <c r="D17" s="311" t="n">
        <f aca="false">(1+B17)/(1+G17)-1</f>
        <v>0.00730451093244611</v>
      </c>
      <c r="E17" s="311" t="n">
        <f aca="false">(1+D17)*(1+J17)/(1+K17)-1</f>
        <v>0.00782249413924396</v>
      </c>
      <c r="F17" s="309" t="n">
        <f aca="false">(1+D17)*(1+G17)/(1+I17)-1</f>
        <v>0.0100631071424682</v>
      </c>
      <c r="G17" s="310" t="n">
        <f aca="false">(TableDE1!R90/TableDE1!R50)^(1/40)-1</f>
        <v>-0.006003287508072</v>
      </c>
      <c r="H17" s="311" t="n">
        <f aca="false">(TableDE1!S90/TableDE1!S50)^(1/40)-1</f>
        <v>-0.000982706634694797</v>
      </c>
      <c r="I17" s="313" t="n">
        <f aca="false">(TableDE1!T90/TableDE1!T50)^(1/40)-1</f>
        <v>-0.00871800458313876</v>
      </c>
      <c r="J17" s="311" t="n">
        <f aca="false">(TableDE15a!C89/TableDE15a!C49)^(1/40)-1</f>
        <v>0.0183672260538321</v>
      </c>
      <c r="K17" s="311" t="n">
        <f aca="false">(TableDE15a!B89/TableDE15a!B49)^(1/40)-1</f>
        <v>0.0178438232477658</v>
      </c>
      <c r="L17" s="314"/>
    </row>
    <row r="18" customFormat="false" ht="15" hidden="false" customHeight="true" outlineLevel="0" collapsed="false">
      <c r="A18" s="315"/>
      <c r="B18" s="316"/>
      <c r="C18" s="317"/>
      <c r="D18" s="318"/>
      <c r="E18" s="319"/>
      <c r="F18" s="317"/>
      <c r="G18" s="320"/>
      <c r="H18" s="319"/>
      <c r="I18" s="321"/>
      <c r="J18" s="322"/>
      <c r="K18" s="322"/>
      <c r="L18" s="323"/>
    </row>
    <row r="19" customFormat="false" ht="4" hidden="false" customHeight="true" outlineLevel="0" collapsed="false">
      <c r="A19" s="315"/>
      <c r="B19" s="316"/>
      <c r="C19" s="317"/>
      <c r="D19" s="318"/>
      <c r="E19" s="319"/>
      <c r="F19" s="317"/>
      <c r="G19" s="320"/>
      <c r="H19" s="319"/>
      <c r="I19" s="321"/>
      <c r="J19" s="311"/>
      <c r="K19" s="311"/>
      <c r="L19" s="314"/>
    </row>
    <row r="20" customFormat="false" ht="15" hidden="false" customHeight="true" outlineLevel="0" collapsed="false">
      <c r="A20" s="307" t="s">
        <v>76</v>
      </c>
      <c r="B20" s="308" t="n">
        <f aca="false">(TableDE1!D150/TableDE1!D90)^(1/60)-1</f>
        <v>0.0345443951052238</v>
      </c>
      <c r="C20" s="309" t="n">
        <f aca="false">(TableDE1!E150/TableDE1!E90)^(1/60)-1</f>
        <v>0.0488031689065163</v>
      </c>
      <c r="D20" s="311" t="n">
        <f aca="false">(1+B20)/(1+G20)-1</f>
        <v>0.0263501209842807</v>
      </c>
      <c r="E20" s="311" t="n">
        <f aca="false">(1+D20)*(1+J20)/(1+K20)-1</f>
        <v>0.0283924424442563</v>
      </c>
      <c r="F20" s="309" t="n">
        <f aca="false">(1+D20)*(1+G20)/(1+I20)-1</f>
        <v>0.0230360528321605</v>
      </c>
      <c r="G20" s="310" t="n">
        <f aca="false">(TableDE1!R150/TableDE1!R90)^(1/60)-1</f>
        <v>0.00798389745702433</v>
      </c>
      <c r="H20" s="311" t="n">
        <f aca="false">(TableDE1!S150/TableDE1!S90)^(1/60)-1</f>
        <v>0.010673979691824</v>
      </c>
      <c r="I20" s="313" t="n">
        <f aca="false">(TableDE1!T150/TableDE1!T90)^(1/60)-1</f>
        <v>0.0112492049925355</v>
      </c>
      <c r="J20" s="311" t="n">
        <f aca="false">(TableDE15a!C149/TableDE15a!C89)^(1/60)-1</f>
        <v>0.0288551680489397</v>
      </c>
      <c r="K20" s="311" t="n">
        <f aca="false">(TableDE15a!B149/TableDE15a!B89)^(1/60)-1</f>
        <v>0.0268119276455789</v>
      </c>
      <c r="L20" s="314" t="n">
        <f aca="false">(TableDE15a!D149/TableDE15a!D89)^(1/60)-1</f>
        <v>0.0257843651407743</v>
      </c>
    </row>
    <row r="21" customFormat="false" ht="15" hidden="false" customHeight="true" outlineLevel="0" collapsed="false">
      <c r="A21" s="315"/>
      <c r="B21" s="316"/>
      <c r="C21" s="317"/>
      <c r="D21" s="318"/>
      <c r="E21" s="319"/>
      <c r="F21" s="317"/>
      <c r="G21" s="320"/>
      <c r="H21" s="319"/>
      <c r="I21" s="321"/>
      <c r="J21" s="322"/>
      <c r="K21" s="322"/>
      <c r="L21" s="323"/>
    </row>
    <row r="22" customFormat="false" ht="4.75" hidden="false" customHeight="true" outlineLevel="0" collapsed="false">
      <c r="A22" s="315"/>
      <c r="B22" s="316"/>
      <c r="C22" s="317"/>
      <c r="D22" s="326"/>
      <c r="E22" s="327"/>
      <c r="F22" s="317"/>
      <c r="G22" s="320"/>
      <c r="H22" s="319"/>
      <c r="I22" s="321"/>
      <c r="J22" s="311"/>
      <c r="K22" s="311"/>
      <c r="L22" s="314"/>
    </row>
    <row r="23" customFormat="false" ht="15" hidden="false" customHeight="false" outlineLevel="0" collapsed="false">
      <c r="A23" s="333" t="s">
        <v>77</v>
      </c>
      <c r="B23" s="308" t="n">
        <f aca="false">(TableDE1!D120/TableDE1!D90)^(1/30)-1</f>
        <v>0.0493890037489992</v>
      </c>
      <c r="C23" s="309" t="n">
        <f aca="false">(TableDE1!E120/TableDE1!E90)^(1/30)-1</f>
        <v>0.0611452185957455</v>
      </c>
      <c r="D23" s="311" t="n">
        <f aca="false">(1+B23)/(1+G23)-1</f>
        <v>0.0426608527416967</v>
      </c>
      <c r="E23" s="311" t="n">
        <f aca="false">(1+D23)*(1+J23)/(1+K23)-1</f>
        <v>0.050339550018758</v>
      </c>
      <c r="F23" s="309" t="n">
        <f aca="false">(1+D23)*(1+G23)/(1+I23)-1</f>
        <v>0.0396455696981382</v>
      </c>
      <c r="G23" s="310" t="n">
        <f aca="false">(TableDE1!R120/TableDE1!R90)^(1/30)-1</f>
        <v>0.0064528662312493</v>
      </c>
      <c r="H23" s="311" t="n">
        <f aca="false">(TableDE1!S120/TableDE1!S90)^(1/30)-1</f>
        <v>0.00837764240361572</v>
      </c>
      <c r="I23" s="313" t="n">
        <f aca="false">(TableDE1!T120/TableDE1!T90)^(1/30)-1</f>
        <v>0.00937188050894133</v>
      </c>
      <c r="J23" s="311" t="n">
        <f aca="false">(TableDE15a!C119/TableDE15a!C89)^(1/30)-1</f>
        <v>0.0393372312230371</v>
      </c>
      <c r="K23" s="311" t="n">
        <f aca="false">(TableDE15a!B119/TableDE15a!B89)^(1/30)-1</f>
        <v>0.0317389683877491</v>
      </c>
      <c r="L23" s="314" t="n">
        <f aca="false">(TableDE15a!D119/TableDE15a!D89)^(1/30)-1</f>
        <v>0.0320302255911986</v>
      </c>
    </row>
    <row r="24" customFormat="false" ht="15" hidden="false" customHeight="false" outlineLevel="0" collapsed="false">
      <c r="A24" s="334"/>
      <c r="B24" s="335"/>
      <c r="C24" s="336"/>
      <c r="D24" s="318"/>
      <c r="E24" s="319"/>
      <c r="F24" s="336"/>
      <c r="G24" s="320"/>
      <c r="H24" s="319"/>
      <c r="I24" s="321"/>
      <c r="J24" s="322"/>
      <c r="K24" s="322"/>
      <c r="L24" s="323"/>
    </row>
    <row r="25" customFormat="false" ht="4" hidden="false" customHeight="true" outlineLevel="0" collapsed="false">
      <c r="A25" s="334"/>
      <c r="B25" s="335"/>
      <c r="C25" s="336"/>
      <c r="D25" s="326"/>
      <c r="E25" s="327"/>
      <c r="F25" s="336"/>
      <c r="G25" s="320"/>
      <c r="H25" s="319"/>
      <c r="I25" s="321"/>
      <c r="J25" s="322"/>
      <c r="K25" s="322"/>
      <c r="L25" s="323"/>
    </row>
    <row r="26" customFormat="false" ht="15" hidden="false" customHeight="false" outlineLevel="0" collapsed="false">
      <c r="A26" s="333" t="s">
        <v>78</v>
      </c>
      <c r="B26" s="308" t="n">
        <f aca="false">(TableDE1!D150/TableDE1!D120)^(1/30)-1</f>
        <v>0.019909777613442</v>
      </c>
      <c r="C26" s="309" t="n">
        <f aca="false">(TableDE1!E150/TableDE1!E120)^(1/30)-1</f>
        <v>0.0366046680811576</v>
      </c>
      <c r="D26" s="311" t="n">
        <f aca="false">(1+B26)/(1+G26)-1</f>
        <v>0.0102945440739683</v>
      </c>
      <c r="E26" s="311" t="n">
        <f aca="false">(1+D26)*(1+J26)/(1+K26)-1</f>
        <v>0.00690392517122218</v>
      </c>
      <c r="F26" s="309" t="n">
        <f aca="false">(1+D26)*(1+G26)/(1+I26)-1</f>
        <v>0.0066918918322223</v>
      </c>
      <c r="G26" s="310" t="n">
        <f aca="false">(TableDE1!R150/TableDE1!R120)^(1/30)-1</f>
        <v>0.0095172577105096</v>
      </c>
      <c r="H26" s="311" t="n">
        <f aca="false">(TableDE1!S150/TableDE1!S120)^(1/30)-1</f>
        <v>0.0129755463353052</v>
      </c>
      <c r="I26" s="313" t="n">
        <f aca="false">(TableDE1!T150/TableDE1!T120)^(1/30)-1</f>
        <v>0.0131300211002621</v>
      </c>
      <c r="J26" s="311" t="n">
        <f aca="false">(TableDE15a!C149/TableDE15a!C119)^(1/30)-1</f>
        <v>0.0184788199835531</v>
      </c>
      <c r="K26" s="311" t="n">
        <f aca="false">(TableDE15a!B149/TableDE15a!B119)^(1/30)-1</f>
        <v>0.0219084158494105</v>
      </c>
      <c r="L26" s="314" t="n">
        <f aca="false">(TableDE15a!D149/TableDE15a!D119)^(1/30)-1</f>
        <v>0.0195763047196507</v>
      </c>
    </row>
    <row r="27" customFormat="false" ht="15" hidden="false" customHeight="false" outlineLevel="0" collapsed="false">
      <c r="A27" s="334"/>
      <c r="B27" s="335"/>
      <c r="C27" s="336"/>
      <c r="D27" s="318"/>
      <c r="E27" s="319"/>
      <c r="F27" s="336"/>
      <c r="G27" s="320"/>
      <c r="H27" s="319"/>
      <c r="I27" s="321"/>
      <c r="J27" s="322"/>
      <c r="K27" s="322"/>
      <c r="L27" s="323"/>
    </row>
    <row r="28" customFormat="false" ht="4" hidden="false" customHeight="true" outlineLevel="0" collapsed="false">
      <c r="A28" s="334"/>
      <c r="B28" s="335"/>
      <c r="C28" s="336"/>
      <c r="D28" s="326"/>
      <c r="E28" s="327"/>
      <c r="F28" s="336"/>
      <c r="G28" s="320"/>
      <c r="H28" s="319"/>
      <c r="I28" s="321"/>
      <c r="J28" s="322"/>
      <c r="K28" s="322"/>
      <c r="L28" s="323"/>
    </row>
    <row r="29" customFormat="false" ht="15" hidden="false" customHeight="false" outlineLevel="0" collapsed="false">
      <c r="A29" s="333" t="s">
        <v>79</v>
      </c>
      <c r="B29" s="308" t="n">
        <f aca="false">(TableDE1!D110/TableDE1!D90)^(1/20)-1</f>
        <v>0.0610117670085468</v>
      </c>
      <c r="C29" s="309" t="n">
        <f aca="false">(TableDE1!E110/TableDE1!E90)^(1/20)-1</f>
        <v>0.0725969476679187</v>
      </c>
      <c r="D29" s="311" t="n">
        <f aca="false">(1+B29)/(1+G29)-1</f>
        <v>0.0512104197284693</v>
      </c>
      <c r="E29" s="311" t="n">
        <f aca="false">(1+D29)*(1+J29)/(1+K29)-1</f>
        <v>0.062702641153795</v>
      </c>
      <c r="F29" s="309" t="n">
        <f aca="false">(1+D29)*(1+G29)/(1+I29)-1</f>
        <v>0.0478802861326852</v>
      </c>
      <c r="G29" s="310" t="n">
        <f aca="false">(TableDE1!R110/TableDE1!R90)^(1/20)-1</f>
        <v>0.0093238680821004</v>
      </c>
      <c r="H29" s="311" t="n">
        <f aca="false">(TableDE1!S110/TableDE1!S90)^(1/20)-1</f>
        <v>0.00990162129400263</v>
      </c>
      <c r="I29" s="313" t="n">
        <f aca="false">(TableDE1!T110/TableDE1!T90)^(1/20)-1</f>
        <v>0.0125314704834507</v>
      </c>
      <c r="J29" s="311" t="n">
        <f aca="false">(TableDE15a!C109/TableDE15a!C89)^(1/20)-1</f>
        <v>0.0335731079545412</v>
      </c>
      <c r="K29" s="311" t="n">
        <f aca="false">(TableDE15a!B109/TableDE15a!B89)^(1/20)-1</f>
        <v>0.0223958975516578</v>
      </c>
      <c r="L29" s="314" t="n">
        <f aca="false">(TableDE15a!D109/TableDE15a!D89)^(1/20)-1</f>
        <v>0.0230013254999941</v>
      </c>
    </row>
    <row r="30" customFormat="false" ht="15" hidden="false" customHeight="false" outlineLevel="0" collapsed="false">
      <c r="A30" s="334"/>
      <c r="B30" s="335"/>
      <c r="C30" s="336"/>
      <c r="D30" s="337"/>
      <c r="E30" s="319"/>
      <c r="F30" s="336"/>
      <c r="G30" s="320"/>
      <c r="H30" s="319"/>
      <c r="I30" s="321"/>
      <c r="J30" s="322"/>
      <c r="K30" s="322"/>
      <c r="L30" s="323"/>
    </row>
    <row r="31" customFormat="false" ht="4" hidden="false" customHeight="true" outlineLevel="0" collapsed="false">
      <c r="A31" s="334"/>
      <c r="B31" s="335"/>
      <c r="C31" s="336"/>
      <c r="D31" s="337"/>
      <c r="E31" s="319"/>
      <c r="F31" s="336"/>
      <c r="G31" s="320"/>
      <c r="H31" s="319"/>
      <c r="I31" s="321"/>
      <c r="J31" s="322"/>
      <c r="K31" s="322"/>
      <c r="L31" s="323"/>
    </row>
    <row r="32" customFormat="false" ht="15" hidden="false" customHeight="false" outlineLevel="0" collapsed="false">
      <c r="A32" s="333" t="s">
        <v>80</v>
      </c>
      <c r="B32" s="308" t="n">
        <f aca="false">(TableDE1!D150/TableDE1!D110)^(1/40)-1</f>
        <v>0.0215593380521433</v>
      </c>
      <c r="C32" s="309" t="n">
        <f aca="false">(TableDE1!E150/TableDE1!E110)^(1/40)-1</f>
        <v>0.037104952013151</v>
      </c>
      <c r="D32" s="311" t="n">
        <f aca="false">(1+B32)/(1+G32)-1</f>
        <v>0.0141413208454146</v>
      </c>
      <c r="E32" s="311" t="n">
        <f aca="false">(1+D32)*(1+J32)/(1+K32)-1</f>
        <v>0.0116550053525317</v>
      </c>
      <c r="F32" s="309" t="n">
        <f aca="false">(1+D32)*(1+G32)/(1+I32)-1</f>
        <v>0.0108357041979374</v>
      </c>
      <c r="G32" s="310" t="n">
        <f aca="false">(TableDE1!R150/TableDE1!R110)^(1/40)-1</f>
        <v>0.00731457939268743</v>
      </c>
      <c r="H32" s="311" t="n">
        <f aca="false">(TableDE1!S150/TableDE1!S110)^(1/40)-1</f>
        <v>0.0110603803707781</v>
      </c>
      <c r="I32" s="313" t="n">
        <f aca="false">(TableDE1!T150/TableDE1!T110)^(1/40)-1</f>
        <v>0.0106086813214761</v>
      </c>
      <c r="J32" s="311" t="n">
        <f aca="false">(TableDE15a!C149/TableDE15a!C109)^(1/40)-1</f>
        <v>0.0265042802240643</v>
      </c>
      <c r="K32" s="311" t="n">
        <f aca="false">(TableDE15a!B149/TableDE15a!B109)^(1/40)-1</f>
        <v>0.0290270903539291</v>
      </c>
      <c r="L32" s="314" t="n">
        <f aca="false">(TableDE15a!D149/TableDE15a!D109)^(1/40)-1</f>
        <v>0.027178722861231</v>
      </c>
    </row>
    <row r="33" customFormat="false" ht="15" hidden="false" customHeight="false" outlineLevel="0" collapsed="false">
      <c r="A33" s="334"/>
      <c r="B33" s="335"/>
      <c r="C33" s="336"/>
      <c r="D33" s="318"/>
      <c r="E33" s="319"/>
      <c r="F33" s="336"/>
      <c r="G33" s="320"/>
      <c r="H33" s="319"/>
      <c r="I33" s="321"/>
      <c r="J33" s="322"/>
      <c r="K33" s="322"/>
      <c r="L33" s="323"/>
    </row>
    <row r="34" customFormat="false" ht="4" hidden="false" customHeight="true" outlineLevel="0" collapsed="false">
      <c r="A34" s="334"/>
      <c r="B34" s="335"/>
      <c r="C34" s="336"/>
      <c r="D34" s="326"/>
      <c r="E34" s="327"/>
      <c r="F34" s="336"/>
      <c r="G34" s="320"/>
      <c r="H34" s="319"/>
      <c r="I34" s="321"/>
      <c r="J34" s="322"/>
      <c r="K34" s="322"/>
      <c r="L34" s="323"/>
    </row>
    <row r="35" customFormat="false" ht="15" hidden="false" customHeight="false" outlineLevel="0" collapsed="false">
      <c r="A35" s="333" t="s">
        <v>81</v>
      </c>
      <c r="B35" s="308" t="n">
        <f aca="false">(TableDE1!D130/TableDE1!D110)^(1/20)-1</f>
        <v>0.0248985485714113</v>
      </c>
      <c r="C35" s="309" t="n">
        <f aca="false">(TableDE1!E130/TableDE1!E110)^(1/20)-1</f>
        <v>0.038573881929763</v>
      </c>
      <c r="D35" s="311" t="n">
        <f aca="false">(1+B35)/(1+G35)-1</f>
        <v>0.0231646452897358</v>
      </c>
      <c r="E35" s="311" t="n">
        <f aca="false">(1+D35)*(1+J35)/(1+K35)-1</f>
        <v>0.0242551066842522</v>
      </c>
      <c r="F35" s="309" t="n">
        <f aca="false">(1+D35)*(1+G35)/(1+I35)-1</f>
        <v>0.0180424123106004</v>
      </c>
      <c r="G35" s="310" t="n">
        <f aca="false">(TableDE1!R130/TableDE1!R110)^(1/20)-1</f>
        <v>0.00169464737631198</v>
      </c>
      <c r="H35" s="311" t="n">
        <f aca="false">(TableDE1!S130/TableDE1!S110)^(1/20)-1</f>
        <v>0.00768280049907277</v>
      </c>
      <c r="I35" s="313" t="n">
        <f aca="false">(TableDE1!T130/TableDE1!T110)^(1/20)-1</f>
        <v>0.0067346273376272</v>
      </c>
      <c r="J35" s="311" t="n">
        <f aca="false">(TableDE15a!C129/TableDE15a!C109)^(1/20)-1</f>
        <v>0.0393557574584185</v>
      </c>
      <c r="K35" s="311" t="n">
        <f aca="false">(TableDE15a!B129/TableDE15a!B109)^(1/20)-1</f>
        <v>0.0382492193300945</v>
      </c>
      <c r="L35" s="314" t="n">
        <f aca="false">(TableDE15a!D129/TableDE15a!D109)^(1/20)-1</f>
        <v>0.0377989272017851</v>
      </c>
    </row>
    <row r="36" customFormat="false" ht="15" hidden="false" customHeight="false" outlineLevel="0" collapsed="false">
      <c r="A36" s="334"/>
      <c r="B36" s="335"/>
      <c r="C36" s="336"/>
      <c r="D36" s="318"/>
      <c r="E36" s="319"/>
      <c r="F36" s="336"/>
      <c r="G36" s="320"/>
      <c r="H36" s="319"/>
      <c r="I36" s="321"/>
      <c r="J36" s="322"/>
      <c r="K36" s="322"/>
      <c r="L36" s="323"/>
    </row>
    <row r="37" customFormat="false" ht="4" hidden="false" customHeight="true" outlineLevel="0" collapsed="false">
      <c r="A37" s="334"/>
      <c r="B37" s="335"/>
      <c r="C37" s="336"/>
      <c r="D37" s="326"/>
      <c r="E37" s="327"/>
      <c r="F37" s="336"/>
      <c r="G37" s="320"/>
      <c r="H37" s="319"/>
      <c r="I37" s="321"/>
      <c r="J37" s="322"/>
      <c r="K37" s="322"/>
      <c r="L37" s="323"/>
    </row>
    <row r="38" customFormat="false" ht="15" hidden="false" customHeight="false" outlineLevel="0" collapsed="false">
      <c r="A38" s="333" t="s">
        <v>82</v>
      </c>
      <c r="B38" s="308" t="n">
        <f aca="false">(TableDE1!D150/TableDE1!D130)^(1/20)-1</f>
        <v>0.0182310069773897</v>
      </c>
      <c r="C38" s="309" t="n">
        <f aca="false">(TableDE1!E150/TableDE1!E130)^(1/20)-1</f>
        <v>0.0356380997100219</v>
      </c>
      <c r="D38" s="311" t="n">
        <f aca="false">(1+B38)/(1+G38)-1</f>
        <v>0.00519757341189253</v>
      </c>
      <c r="E38" s="311" t="n">
        <f aca="false">(1+D38)*(1+J38)/(1+K38)-1</f>
        <v>-0.00079009303848232</v>
      </c>
      <c r="F38" s="309" t="n">
        <f aca="false">(1+D38)*(1+G38)/(1+I38)-1</f>
        <v>0.00368001227202019</v>
      </c>
      <c r="G38" s="310" t="n">
        <f aca="false">(TableDE1!R150/TableDE1!R130)^(1/20)-1</f>
        <v>0.0129660416123554</v>
      </c>
      <c r="H38" s="311" t="n">
        <f aca="false">(TableDE1!S150/TableDE1!S130)^(1/20)-1</f>
        <v>0.0144492813107642</v>
      </c>
      <c r="I38" s="313" t="n">
        <f aca="false">(TableDE1!T150/TableDE1!T130)^(1/20)-1</f>
        <v>0.0144976432004764</v>
      </c>
      <c r="J38" s="311" t="n">
        <f aca="false">(TableDE15a!C149/TableDE15a!C129)^(1/20)-1</f>
        <v>0.0138117095680592</v>
      </c>
      <c r="K38" s="311" t="n">
        <f aca="false">(TableDE15a!B149/TableDE15a!B129)^(1/20)-1</f>
        <v>0.0198868758750439</v>
      </c>
      <c r="L38" s="314" t="n">
        <f aca="false">(TableDE15a!D149/TableDE15a!D129)^(1/20)-1</f>
        <v>0.0166671992460841</v>
      </c>
    </row>
    <row r="39" customFormat="false" ht="15" hidden="false" customHeight="false" outlineLevel="0" collapsed="false">
      <c r="A39" s="334"/>
      <c r="B39" s="335"/>
      <c r="C39" s="336"/>
      <c r="D39" s="318"/>
      <c r="E39" s="319"/>
      <c r="F39" s="336"/>
      <c r="G39" s="320"/>
      <c r="H39" s="319"/>
      <c r="I39" s="321"/>
      <c r="J39" s="322"/>
      <c r="K39" s="322"/>
      <c r="L39" s="323"/>
    </row>
    <row r="40" customFormat="false" ht="4.75" hidden="false" customHeight="true" outlineLevel="0" collapsed="false">
      <c r="A40" s="338"/>
      <c r="B40" s="316"/>
      <c r="C40" s="317"/>
      <c r="D40" s="326"/>
      <c r="E40" s="327"/>
      <c r="F40" s="317"/>
      <c r="G40" s="320"/>
      <c r="H40" s="319"/>
      <c r="I40" s="321"/>
      <c r="J40" s="322"/>
      <c r="K40" s="322"/>
      <c r="L40" s="323"/>
    </row>
    <row r="41" customFormat="false" ht="15" hidden="false" customHeight="false" outlineLevel="0" collapsed="false">
      <c r="A41" s="339" t="s">
        <v>83</v>
      </c>
      <c r="B41" s="340" t="n">
        <f aca="false">(TableDE1!D100/TableDE1!D90)^(1/10)-1</f>
        <v>0.0808160588402462</v>
      </c>
      <c r="C41" s="341" t="n">
        <f aca="false">(TableDE1!E100/TableDE1!E90)^(1/10)-1</f>
        <v>0.075442166916365</v>
      </c>
      <c r="D41" s="337" t="n">
        <f aca="false">(1+B41)/(1+G41)-1</f>
        <v>0.0709762034582622</v>
      </c>
      <c r="E41" s="337" t="n">
        <f aca="false">(1+D41)*(1+J41)/(1+K41)-1</f>
        <v>0.0822342850874378</v>
      </c>
      <c r="F41" s="341" t="n">
        <f aca="false">(1+D41)*(1+G41)/(1+I41)-1</f>
        <v>0.0563774602279679</v>
      </c>
      <c r="G41" s="342" t="n">
        <f aca="false">(TableDE1!R100/TableDE1!R90)^(1/10)-1</f>
        <v>0.00918774418162638</v>
      </c>
      <c r="H41" s="337" t="n">
        <f aca="false">(TableDE1!S100/TableDE1!S90)^(1/10)-1</f>
        <v>0.0121964026071548</v>
      </c>
      <c r="I41" s="343" t="n">
        <f aca="false">(TableDE1!T100/TableDE1!T90)^(1/10)-1</f>
        <v>0.0231343431040307</v>
      </c>
      <c r="J41" s="337" t="n">
        <f aca="false">(TableDE15a!C99/TableDE15a!C89)^(1/10)-1</f>
        <v>0.0294939207102232</v>
      </c>
      <c r="K41" s="337" t="n">
        <f aca="false">(TableDE15a!B99/TableDE15a!B89)^(1/10)-1</f>
        <v>0.0187844775186692</v>
      </c>
      <c r="L41" s="344" t="n">
        <f aca="false">(TableDE15a!D99/TableDE15a!D89)^(1/10)-1</f>
        <v>0.0191201549770796</v>
      </c>
    </row>
    <row r="42" customFormat="false" ht="15" hidden="true" customHeight="false" outlineLevel="0" collapsed="false">
      <c r="A42" s="339"/>
      <c r="B42" s="340"/>
      <c r="C42" s="341"/>
      <c r="D42" s="337"/>
      <c r="E42" s="337"/>
      <c r="F42" s="341"/>
      <c r="G42" s="342"/>
      <c r="H42" s="337"/>
      <c r="I42" s="343"/>
      <c r="J42" s="311"/>
      <c r="K42" s="337"/>
      <c r="L42" s="344"/>
    </row>
    <row r="43" customFormat="false" ht="15" hidden="true" customHeight="false" outlineLevel="0" collapsed="false">
      <c r="A43" s="339"/>
      <c r="B43" s="340"/>
      <c r="C43" s="341"/>
      <c r="D43" s="337"/>
      <c r="E43" s="337"/>
      <c r="F43" s="341"/>
      <c r="G43" s="342"/>
      <c r="H43" s="337"/>
      <c r="I43" s="343"/>
      <c r="J43" s="311"/>
      <c r="K43" s="337"/>
      <c r="L43" s="344"/>
    </row>
    <row r="44" customFormat="false" ht="15" hidden="true" customHeight="false" outlineLevel="0" collapsed="false">
      <c r="A44" s="339"/>
      <c r="B44" s="340"/>
      <c r="C44" s="341"/>
      <c r="D44" s="337"/>
      <c r="E44" s="337"/>
      <c r="F44" s="341"/>
      <c r="G44" s="342"/>
      <c r="H44" s="337"/>
      <c r="I44" s="343"/>
      <c r="J44" s="311"/>
      <c r="K44" s="337"/>
      <c r="L44" s="344"/>
    </row>
    <row r="45" customFormat="false" ht="15" hidden="true" customHeight="false" outlineLevel="0" collapsed="false">
      <c r="A45" s="339"/>
      <c r="B45" s="340"/>
      <c r="C45" s="341"/>
      <c r="D45" s="337"/>
      <c r="E45" s="337"/>
      <c r="F45" s="341"/>
      <c r="G45" s="342"/>
      <c r="H45" s="337"/>
      <c r="I45" s="343"/>
      <c r="J45" s="311"/>
      <c r="K45" s="337"/>
      <c r="L45" s="344"/>
    </row>
    <row r="46" customFormat="false" ht="15" hidden="true" customHeight="false" outlineLevel="0" collapsed="false">
      <c r="A46" s="339"/>
      <c r="B46" s="340"/>
      <c r="C46" s="341"/>
      <c r="D46" s="337"/>
      <c r="E46" s="337"/>
      <c r="F46" s="341"/>
      <c r="G46" s="342"/>
      <c r="H46" s="337"/>
      <c r="I46" s="343"/>
      <c r="J46" s="311"/>
      <c r="K46" s="337"/>
      <c r="L46" s="344"/>
    </row>
    <row r="47" customFormat="false" ht="15" hidden="true" customHeight="false" outlineLevel="0" collapsed="false">
      <c r="A47" s="339"/>
      <c r="B47" s="340"/>
      <c r="C47" s="341"/>
      <c r="D47" s="337"/>
      <c r="E47" s="337"/>
      <c r="F47" s="341"/>
      <c r="G47" s="342"/>
      <c r="H47" s="337"/>
      <c r="I47" s="343"/>
      <c r="J47" s="311"/>
      <c r="K47" s="337"/>
      <c r="L47" s="344"/>
    </row>
    <row r="48" customFormat="false" ht="15" hidden="true" customHeight="false" outlineLevel="0" collapsed="false">
      <c r="A48" s="339"/>
      <c r="B48" s="340"/>
      <c r="C48" s="341"/>
      <c r="D48" s="337"/>
      <c r="E48" s="337"/>
      <c r="F48" s="341"/>
      <c r="G48" s="342"/>
      <c r="H48" s="337"/>
      <c r="I48" s="343"/>
      <c r="J48" s="311"/>
      <c r="K48" s="337"/>
      <c r="L48" s="344"/>
    </row>
    <row r="49" customFormat="false" ht="15" hidden="false" customHeight="false" outlineLevel="0" collapsed="false">
      <c r="A49" s="345"/>
      <c r="B49" s="335"/>
      <c r="C49" s="336"/>
      <c r="D49" s="318"/>
      <c r="E49" s="319"/>
      <c r="F49" s="336"/>
      <c r="G49" s="320"/>
      <c r="H49" s="319"/>
      <c r="I49" s="321"/>
      <c r="J49" s="322"/>
      <c r="K49" s="322"/>
      <c r="L49" s="323"/>
    </row>
    <row r="50" customFormat="false" ht="4.75" hidden="false" customHeight="true" outlineLevel="0" collapsed="false">
      <c r="A50" s="315"/>
      <c r="B50" s="316"/>
      <c r="C50" s="317"/>
      <c r="D50" s="318"/>
      <c r="E50" s="319"/>
      <c r="F50" s="317"/>
      <c r="G50" s="320"/>
      <c r="H50" s="319"/>
      <c r="I50" s="321"/>
      <c r="J50" s="322"/>
      <c r="K50" s="322"/>
      <c r="L50" s="323"/>
    </row>
    <row r="51" customFormat="false" ht="15" hidden="false" customHeight="false" outlineLevel="0" collapsed="false">
      <c r="A51" s="339" t="s">
        <v>84</v>
      </c>
      <c r="B51" s="340" t="n">
        <f aca="false">(TableDE1!D110/TableDE1!D100)^(1/10)-1</f>
        <v>0.0415703583628873</v>
      </c>
      <c r="C51" s="341" t="n">
        <f aca="false">(TableDE1!E110/TableDE1!E100)^(1/10)-1</f>
        <v>0.0697592558094342</v>
      </c>
      <c r="D51" s="337" t="n">
        <f aca="false">(1+B51)/(1+G51)-1</f>
        <v>0.0318094304779477</v>
      </c>
      <c r="E51" s="337" t="n">
        <f aca="false">(1+D51)*(1+J51)/(1+K51)-1</f>
        <v>0.0435234949371499</v>
      </c>
      <c r="F51" s="341" t="n">
        <f aca="false">(1+D51)*(1+G51)/(1+I51)-1</f>
        <v>0.0394514606820147</v>
      </c>
      <c r="G51" s="342" t="n">
        <f aca="false">(TableDE1!R110/TableDE1!R100)^(1/10)-1</f>
        <v>0.00946001034359423</v>
      </c>
      <c r="H51" s="337" t="n">
        <f aca="false">(TableDE1!S110/TableDE1!S100)^(1/10)-1</f>
        <v>0.00761204254950365</v>
      </c>
      <c r="I51" s="343" t="n">
        <f aca="false">(TableDE1!T110/TableDE1!T100)^(1/10)-1</f>
        <v>0.0020384767937911</v>
      </c>
      <c r="J51" s="337" t="n">
        <f aca="false">(TableDE15a!C109/TableDE15a!C99)^(1/10)-1</f>
        <v>0.0376684582555218</v>
      </c>
      <c r="K51" s="337" t="n">
        <f aca="false">(TableDE15a!B109/TableDE15a!B99)^(1/10)-1</f>
        <v>0.0260201194627108</v>
      </c>
      <c r="L51" s="344" t="n">
        <f aca="false">(TableDE15a!D109/TableDE15a!D99)^(1/10)-1</f>
        <v>0.0268972768949722</v>
      </c>
    </row>
    <row r="52" customFormat="false" ht="15" hidden="true" customHeight="false" outlineLevel="0" collapsed="false">
      <c r="A52" s="339"/>
      <c r="B52" s="340"/>
      <c r="C52" s="341"/>
      <c r="D52" s="337"/>
      <c r="E52" s="337"/>
      <c r="F52" s="341"/>
      <c r="G52" s="342"/>
      <c r="H52" s="337"/>
      <c r="I52" s="343"/>
      <c r="J52" s="311"/>
      <c r="K52" s="337"/>
      <c r="L52" s="344"/>
    </row>
    <row r="53" customFormat="false" ht="15" hidden="true" customHeight="false" outlineLevel="0" collapsed="false">
      <c r="A53" s="339"/>
      <c r="B53" s="340"/>
      <c r="C53" s="341"/>
      <c r="D53" s="337"/>
      <c r="E53" s="337"/>
      <c r="F53" s="341"/>
      <c r="G53" s="342"/>
      <c r="H53" s="337"/>
      <c r="I53" s="343"/>
      <c r="J53" s="311"/>
      <c r="K53" s="337"/>
      <c r="L53" s="344"/>
    </row>
    <row r="54" customFormat="false" ht="15" hidden="true" customHeight="false" outlineLevel="0" collapsed="false">
      <c r="A54" s="339"/>
      <c r="B54" s="340"/>
      <c r="C54" s="341"/>
      <c r="D54" s="337"/>
      <c r="E54" s="337"/>
      <c r="F54" s="341"/>
      <c r="G54" s="342"/>
      <c r="H54" s="337"/>
      <c r="I54" s="343"/>
      <c r="J54" s="311"/>
      <c r="K54" s="337"/>
      <c r="L54" s="344"/>
    </row>
    <row r="55" customFormat="false" ht="15" hidden="true" customHeight="false" outlineLevel="0" collapsed="false">
      <c r="A55" s="339"/>
      <c r="B55" s="340"/>
      <c r="C55" s="341"/>
      <c r="D55" s="337"/>
      <c r="E55" s="337"/>
      <c r="F55" s="341"/>
      <c r="G55" s="342"/>
      <c r="H55" s="337"/>
      <c r="I55" s="343"/>
      <c r="J55" s="311"/>
      <c r="K55" s="337"/>
      <c r="L55" s="344"/>
    </row>
    <row r="56" customFormat="false" ht="15" hidden="true" customHeight="false" outlineLevel="0" collapsed="false">
      <c r="A56" s="339"/>
      <c r="B56" s="340"/>
      <c r="C56" s="341"/>
      <c r="D56" s="337"/>
      <c r="E56" s="337"/>
      <c r="F56" s="341"/>
      <c r="G56" s="342"/>
      <c r="H56" s="337"/>
      <c r="I56" s="343"/>
      <c r="J56" s="311"/>
      <c r="K56" s="337"/>
      <c r="L56" s="344"/>
    </row>
    <row r="57" customFormat="false" ht="15" hidden="true" customHeight="false" outlineLevel="0" collapsed="false">
      <c r="A57" s="339"/>
      <c r="B57" s="340"/>
      <c r="C57" s="341"/>
      <c r="D57" s="337"/>
      <c r="E57" s="337"/>
      <c r="F57" s="341"/>
      <c r="G57" s="342"/>
      <c r="H57" s="337"/>
      <c r="I57" s="343"/>
      <c r="J57" s="311"/>
      <c r="K57" s="337"/>
      <c r="L57" s="344"/>
    </row>
    <row r="58" customFormat="false" ht="15" hidden="true" customHeight="false" outlineLevel="0" collapsed="false">
      <c r="A58" s="339"/>
      <c r="B58" s="340"/>
      <c r="C58" s="341"/>
      <c r="D58" s="337"/>
      <c r="E58" s="337"/>
      <c r="F58" s="341"/>
      <c r="G58" s="342"/>
      <c r="H58" s="337"/>
      <c r="I58" s="343"/>
      <c r="J58" s="311"/>
      <c r="K58" s="337"/>
      <c r="L58" s="344"/>
    </row>
    <row r="59" customFormat="false" ht="15" hidden="false" customHeight="false" outlineLevel="0" collapsed="false">
      <c r="A59" s="345"/>
      <c r="B59" s="335"/>
      <c r="C59" s="336"/>
      <c r="D59" s="318"/>
      <c r="E59" s="319"/>
      <c r="F59" s="336"/>
      <c r="G59" s="320"/>
      <c r="H59" s="319"/>
      <c r="I59" s="321"/>
      <c r="J59" s="322"/>
      <c r="K59" s="322"/>
      <c r="L59" s="323"/>
    </row>
    <row r="60" customFormat="false" ht="4.75" hidden="false" customHeight="true" outlineLevel="0" collapsed="false">
      <c r="A60" s="315"/>
      <c r="B60" s="346"/>
      <c r="C60" s="317"/>
      <c r="D60" s="326"/>
      <c r="E60" s="327"/>
      <c r="F60" s="317"/>
      <c r="G60" s="320"/>
      <c r="H60" s="319"/>
      <c r="I60" s="321"/>
      <c r="J60" s="337"/>
      <c r="K60" s="337"/>
      <c r="L60" s="344"/>
    </row>
    <row r="61" customFormat="false" ht="15" hidden="false" customHeight="false" outlineLevel="0" collapsed="false">
      <c r="A61" s="339" t="s">
        <v>85</v>
      </c>
      <c r="B61" s="340" t="n">
        <f aca="false">(TableDE1!D120/TableDE1!D110)^(1/10)-1</f>
        <v>0.0265240442255243</v>
      </c>
      <c r="C61" s="341" t="n">
        <f aca="false">(TableDE1!E120/TableDE1!E110)^(1/10)-1</f>
        <v>0.0386072529510715</v>
      </c>
      <c r="D61" s="337" t="n">
        <f aca="false">(1+B61)/(1+G61)-1</f>
        <v>0.0257697558988874</v>
      </c>
      <c r="E61" s="337" t="n">
        <f aca="false">(1+D61)*(1+J61)/(1+K61)-1</f>
        <v>0.0260431774576466</v>
      </c>
      <c r="F61" s="341" t="n">
        <f aca="false">(1+D61)*(1+G61)/(1+I61)-1</f>
        <v>0.0233697646518016</v>
      </c>
      <c r="G61" s="342" t="n">
        <f aca="false">(TableDE1!R120/TableDE1!R110)^(1/10)-1</f>
        <v>0.000735338824623399</v>
      </c>
      <c r="H61" s="337" t="n">
        <f aca="false">(TableDE1!S120/TableDE1!S110)^(1/10)-1</f>
        <v>0.00533658037394513</v>
      </c>
      <c r="I61" s="343" t="n">
        <f aca="false">(TableDE1!T120/TableDE1!T110)^(1/10)-1</f>
        <v>0.00308224815963354</v>
      </c>
      <c r="J61" s="337" t="n">
        <f aca="false">(TableDE15a!C119/TableDE15a!C109)^(1/10)-1</f>
        <v>0.0509620946739267</v>
      </c>
      <c r="K61" s="337" t="n">
        <f aca="false">(TableDE15a!B119/TableDE15a!B109)^(1/10)-1</f>
        <v>0.0506820326839093</v>
      </c>
      <c r="L61" s="344" t="n">
        <f aca="false">(TableDE15a!D119/TableDE15a!D109)^(1/10)-1</f>
        <v>0.050327793406741</v>
      </c>
    </row>
    <row r="62" customFormat="false" ht="15" hidden="true" customHeight="false" outlineLevel="0" collapsed="false">
      <c r="A62" s="339"/>
      <c r="B62" s="340"/>
      <c r="C62" s="341"/>
      <c r="D62" s="337"/>
      <c r="E62" s="337"/>
      <c r="F62" s="341"/>
      <c r="G62" s="342"/>
      <c r="H62" s="337"/>
      <c r="I62" s="343"/>
      <c r="J62" s="337"/>
      <c r="K62" s="337"/>
      <c r="L62" s="344"/>
    </row>
    <row r="63" customFormat="false" ht="15" hidden="true" customHeight="false" outlineLevel="0" collapsed="false">
      <c r="A63" s="339"/>
      <c r="B63" s="340"/>
      <c r="C63" s="341"/>
      <c r="D63" s="337"/>
      <c r="E63" s="337"/>
      <c r="F63" s="341"/>
      <c r="G63" s="342"/>
      <c r="H63" s="337"/>
      <c r="I63" s="343"/>
      <c r="J63" s="337"/>
      <c r="K63" s="337"/>
      <c r="L63" s="344"/>
    </row>
    <row r="64" customFormat="false" ht="15" hidden="true" customHeight="false" outlineLevel="0" collapsed="false">
      <c r="A64" s="339"/>
      <c r="B64" s="340"/>
      <c r="C64" s="341"/>
      <c r="D64" s="337"/>
      <c r="E64" s="337"/>
      <c r="F64" s="341"/>
      <c r="G64" s="342"/>
      <c r="H64" s="337"/>
      <c r="I64" s="343"/>
      <c r="J64" s="337"/>
      <c r="K64" s="337"/>
      <c r="L64" s="344"/>
    </row>
    <row r="65" customFormat="false" ht="15" hidden="true" customHeight="false" outlineLevel="0" collapsed="false">
      <c r="A65" s="339"/>
      <c r="B65" s="340"/>
      <c r="C65" s="341"/>
      <c r="D65" s="337"/>
      <c r="E65" s="337"/>
      <c r="F65" s="341"/>
      <c r="G65" s="342"/>
      <c r="H65" s="337"/>
      <c r="I65" s="343"/>
      <c r="J65" s="337"/>
      <c r="K65" s="337"/>
      <c r="L65" s="344"/>
    </row>
    <row r="66" customFormat="false" ht="15" hidden="true" customHeight="false" outlineLevel="0" collapsed="false">
      <c r="A66" s="339"/>
      <c r="B66" s="340"/>
      <c r="C66" s="341"/>
      <c r="D66" s="337"/>
      <c r="E66" s="337"/>
      <c r="F66" s="341"/>
      <c r="G66" s="342"/>
      <c r="H66" s="337"/>
      <c r="I66" s="343"/>
      <c r="J66" s="337"/>
      <c r="K66" s="337"/>
      <c r="L66" s="344"/>
    </row>
    <row r="67" customFormat="false" ht="15" hidden="true" customHeight="false" outlineLevel="0" collapsed="false">
      <c r="A67" s="339"/>
      <c r="B67" s="340"/>
      <c r="C67" s="341"/>
      <c r="D67" s="337"/>
      <c r="E67" s="337"/>
      <c r="F67" s="341"/>
      <c r="G67" s="342"/>
      <c r="H67" s="337"/>
      <c r="I67" s="343"/>
      <c r="J67" s="337"/>
      <c r="K67" s="337"/>
      <c r="L67" s="344"/>
    </row>
    <row r="68" customFormat="false" ht="15" hidden="true" customHeight="false" outlineLevel="0" collapsed="false">
      <c r="A68" s="339"/>
      <c r="B68" s="340"/>
      <c r="C68" s="341"/>
      <c r="D68" s="337"/>
      <c r="E68" s="337"/>
      <c r="F68" s="341"/>
      <c r="G68" s="342"/>
      <c r="H68" s="337"/>
      <c r="I68" s="343"/>
      <c r="J68" s="337"/>
      <c r="K68" s="337"/>
      <c r="L68" s="344"/>
    </row>
    <row r="69" customFormat="false" ht="15" hidden="false" customHeight="false" outlineLevel="0" collapsed="false">
      <c r="A69" s="345"/>
      <c r="B69" s="335"/>
      <c r="C69" s="336"/>
      <c r="D69" s="318"/>
      <c r="E69" s="319"/>
      <c r="F69" s="341"/>
      <c r="G69" s="320"/>
      <c r="H69" s="319"/>
      <c r="I69" s="321"/>
      <c r="J69" s="322"/>
      <c r="K69" s="322"/>
      <c r="L69" s="323"/>
    </row>
    <row r="70" customFormat="false" ht="4.75" hidden="false" customHeight="true" outlineLevel="0" collapsed="false">
      <c r="A70" s="315"/>
      <c r="B70" s="316"/>
      <c r="C70" s="317"/>
      <c r="D70" s="326"/>
      <c r="E70" s="327"/>
      <c r="F70" s="341"/>
      <c r="G70" s="320"/>
      <c r="H70" s="319"/>
      <c r="I70" s="321"/>
      <c r="J70" s="322"/>
      <c r="K70" s="322"/>
      <c r="L70" s="323"/>
    </row>
    <row r="71" customFormat="false" ht="15" hidden="false" customHeight="false" outlineLevel="0" collapsed="false">
      <c r="A71" s="339" t="s">
        <v>86</v>
      </c>
      <c r="B71" s="340" t="n">
        <f aca="false">(TableDE1!D130/TableDE1!D120)^(1/10)-1</f>
        <v>0.02327562688148</v>
      </c>
      <c r="C71" s="341" t="n">
        <f aca="false">(TableDE1!E130/TableDE1!E120)^(1/10)-1</f>
        <v>0.0385405119806836</v>
      </c>
      <c r="D71" s="337" t="n">
        <f aca="false">(1+B71)/(1+G71)-1</f>
        <v>0.0205661507864376</v>
      </c>
      <c r="E71" s="337" t="n">
        <f aca="false">(1+D71)*(1+J71)/(1+K71)-1</f>
        <v>0.022470151956226</v>
      </c>
      <c r="F71" s="341" t="n">
        <f aca="false">(1+D71)*(1+G71)/(1+I71)-1</f>
        <v>0.0127427925485188</v>
      </c>
      <c r="G71" s="342" t="n">
        <f aca="false">(TableDE1!R130/TableDE1!R120)^(1/10)-1</f>
        <v>0.00265487552468247</v>
      </c>
      <c r="H71" s="337" t="n">
        <f aca="false">(TableDE1!S130/TableDE1!S120)^(1/10)-1</f>
        <v>0.0100344961524792</v>
      </c>
      <c r="I71" s="343" t="n">
        <f aca="false">(TableDE1!T130/TableDE1!T120)^(1/10)-1</f>
        <v>0.0104003053988226</v>
      </c>
      <c r="J71" s="337" t="n">
        <f aca="false">(TableDE15a!C129/TableDE15a!C119)^(1/10)-1</f>
        <v>0.0278775952401273</v>
      </c>
      <c r="K71" s="337" t="n">
        <f aca="false">(TableDE15a!B129/TableDE15a!B119)^(1/10)-1</f>
        <v>0.0259635245555288</v>
      </c>
      <c r="L71" s="344" t="n">
        <f aca="false">(TableDE15a!D129/TableDE15a!D119)^(1/10)-1</f>
        <v>0.0254195119485863</v>
      </c>
    </row>
    <row r="72" customFormat="false" ht="15" hidden="true" customHeight="false" outlineLevel="0" collapsed="false">
      <c r="A72" s="339"/>
      <c r="B72" s="340"/>
      <c r="C72" s="341"/>
      <c r="D72" s="337"/>
      <c r="E72" s="337"/>
      <c r="F72" s="341"/>
      <c r="G72" s="342"/>
      <c r="H72" s="337"/>
      <c r="I72" s="343"/>
      <c r="J72" s="337"/>
      <c r="K72" s="337"/>
      <c r="L72" s="344"/>
    </row>
    <row r="73" customFormat="false" ht="15" hidden="true" customHeight="false" outlineLevel="0" collapsed="false">
      <c r="A73" s="339"/>
      <c r="B73" s="340"/>
      <c r="C73" s="341"/>
      <c r="D73" s="337"/>
      <c r="E73" s="337"/>
      <c r="F73" s="341"/>
      <c r="G73" s="342"/>
      <c r="H73" s="337"/>
      <c r="I73" s="343"/>
      <c r="J73" s="337"/>
      <c r="K73" s="337"/>
      <c r="L73" s="344"/>
    </row>
    <row r="74" customFormat="false" ht="15" hidden="true" customHeight="false" outlineLevel="0" collapsed="false">
      <c r="A74" s="339"/>
      <c r="B74" s="340"/>
      <c r="C74" s="341"/>
      <c r="D74" s="337"/>
      <c r="E74" s="337"/>
      <c r="F74" s="341"/>
      <c r="G74" s="342"/>
      <c r="H74" s="337"/>
      <c r="I74" s="343"/>
      <c r="J74" s="337"/>
      <c r="K74" s="337"/>
      <c r="L74" s="344"/>
    </row>
    <row r="75" customFormat="false" ht="15" hidden="true" customHeight="false" outlineLevel="0" collapsed="false">
      <c r="A75" s="339"/>
      <c r="B75" s="340"/>
      <c r="C75" s="341"/>
      <c r="D75" s="337"/>
      <c r="E75" s="337"/>
      <c r="F75" s="341"/>
      <c r="G75" s="342"/>
      <c r="H75" s="337"/>
      <c r="I75" s="343"/>
      <c r="J75" s="337"/>
      <c r="K75" s="337"/>
      <c r="L75" s="344"/>
    </row>
    <row r="76" customFormat="false" ht="15" hidden="true" customHeight="false" outlineLevel="0" collapsed="false">
      <c r="A76" s="339"/>
      <c r="B76" s="340"/>
      <c r="C76" s="341"/>
      <c r="D76" s="337"/>
      <c r="E76" s="337"/>
      <c r="F76" s="341"/>
      <c r="G76" s="342"/>
      <c r="H76" s="337"/>
      <c r="I76" s="343"/>
      <c r="J76" s="337"/>
      <c r="K76" s="337"/>
      <c r="L76" s="344"/>
    </row>
    <row r="77" customFormat="false" ht="15" hidden="true" customHeight="false" outlineLevel="0" collapsed="false">
      <c r="A77" s="339"/>
      <c r="B77" s="340"/>
      <c r="C77" s="341"/>
      <c r="D77" s="337"/>
      <c r="E77" s="337"/>
      <c r="F77" s="341"/>
      <c r="G77" s="342"/>
      <c r="H77" s="337"/>
      <c r="I77" s="343"/>
      <c r="J77" s="337"/>
      <c r="K77" s="337"/>
      <c r="L77" s="344"/>
    </row>
    <row r="78" customFormat="false" ht="15" hidden="true" customHeight="false" outlineLevel="0" collapsed="false">
      <c r="A78" s="339"/>
      <c r="B78" s="340"/>
      <c r="C78" s="341"/>
      <c r="D78" s="337"/>
      <c r="E78" s="337"/>
      <c r="F78" s="341"/>
      <c r="G78" s="342"/>
      <c r="H78" s="337"/>
      <c r="I78" s="343"/>
      <c r="J78" s="337"/>
      <c r="K78" s="337"/>
      <c r="L78" s="344"/>
    </row>
    <row r="79" customFormat="false" ht="15" hidden="false" customHeight="false" outlineLevel="0" collapsed="false">
      <c r="A79" s="345"/>
      <c r="B79" s="335"/>
      <c r="C79" s="336"/>
      <c r="D79" s="318"/>
      <c r="E79" s="319"/>
      <c r="F79" s="341"/>
      <c r="G79" s="320"/>
      <c r="H79" s="319"/>
      <c r="I79" s="321"/>
      <c r="J79" s="322"/>
      <c r="K79" s="322"/>
      <c r="L79" s="323"/>
    </row>
    <row r="80" customFormat="false" ht="4.75" hidden="false" customHeight="true" outlineLevel="0" collapsed="false">
      <c r="A80" s="315"/>
      <c r="B80" s="316"/>
      <c r="C80" s="317"/>
      <c r="D80" s="326"/>
      <c r="E80" s="327"/>
      <c r="F80" s="341"/>
      <c r="G80" s="320"/>
      <c r="H80" s="319"/>
      <c r="I80" s="321"/>
      <c r="J80" s="337"/>
      <c r="K80" s="337"/>
      <c r="L80" s="344"/>
    </row>
    <row r="81" customFormat="false" ht="15" hidden="false" customHeight="false" outlineLevel="0" collapsed="false">
      <c r="A81" s="339" t="s">
        <v>87</v>
      </c>
      <c r="B81" s="340" t="n">
        <f aca="false">(TableDE1!D140/TableDE1!D130)^(1/10)-1</f>
        <v>0.024329896551367</v>
      </c>
      <c r="C81" s="341" t="n">
        <f aca="false">(TableDE1!E140/TableDE1!E130)^(1/10)-1</f>
        <v>0.0444938164337931</v>
      </c>
      <c r="D81" s="337" t="n">
        <f aca="false">(1+B81)/(1+G81)-1</f>
        <v>-0.00225419976166563</v>
      </c>
      <c r="E81" s="337" t="n">
        <f aca="false">(1+D81)*(1+J81)/(1+K81)-1</f>
        <v>-0.0084812356613958</v>
      </c>
      <c r="F81" s="341" t="n">
        <f aca="false">(1+D81)*(1+G81)/(1+I81)-1</f>
        <v>-0.00181673259491999</v>
      </c>
      <c r="G81" s="342" t="n">
        <f aca="false">(TableDE1!R140/TableDE1!R130)^(1/10)-1</f>
        <v>0.0266441575666692</v>
      </c>
      <c r="H81" s="337" t="n">
        <f aca="false">(TableDE1!S140/TableDE1!S130)^(1/10)-1</f>
        <v>0.0262546127451151</v>
      </c>
      <c r="I81" s="343" t="n">
        <f aca="false">(TableDE1!T140/TableDE1!T130)^(1/10)-1</f>
        <v>0.0261942170341714</v>
      </c>
      <c r="J81" s="337" t="n">
        <f aca="false">(TableDE15a!C139/TableDE15a!C129)^(1/10)-1</f>
        <v>0.0178183653702571</v>
      </c>
      <c r="K81" s="337" t="n">
        <f aca="false">(TableDE15a!B139/TableDE15a!B129)^(1/10)-1</f>
        <v>0.0242105706703686</v>
      </c>
      <c r="L81" s="344" t="n">
        <f aca="false">(TableDE15a!D139/TableDE15a!D129)^(1/10)-1</f>
        <v>0.019731847015966</v>
      </c>
    </row>
    <row r="82" customFormat="false" ht="15" hidden="true" customHeight="false" outlineLevel="0" collapsed="false">
      <c r="A82" s="339"/>
      <c r="B82" s="340"/>
      <c r="C82" s="341"/>
      <c r="D82" s="337"/>
      <c r="E82" s="337"/>
      <c r="F82" s="341"/>
      <c r="G82" s="342"/>
      <c r="H82" s="337"/>
      <c r="I82" s="343"/>
      <c r="J82" s="311"/>
      <c r="K82" s="337"/>
      <c r="L82" s="344"/>
    </row>
    <row r="83" customFormat="false" ht="15" hidden="true" customHeight="false" outlineLevel="0" collapsed="false">
      <c r="A83" s="339"/>
      <c r="B83" s="340"/>
      <c r="C83" s="341"/>
      <c r="D83" s="337"/>
      <c r="E83" s="337"/>
      <c r="F83" s="341"/>
      <c r="G83" s="342"/>
      <c r="H83" s="337"/>
      <c r="I83" s="343"/>
      <c r="J83" s="311"/>
      <c r="K83" s="337"/>
      <c r="L83" s="344"/>
    </row>
    <row r="84" customFormat="false" ht="15" hidden="true" customHeight="false" outlineLevel="0" collapsed="false">
      <c r="A84" s="339"/>
      <c r="B84" s="340"/>
      <c r="C84" s="341"/>
      <c r="D84" s="337"/>
      <c r="E84" s="337"/>
      <c r="F84" s="341"/>
      <c r="G84" s="342"/>
      <c r="H84" s="337"/>
      <c r="I84" s="343"/>
      <c r="J84" s="311"/>
      <c r="K84" s="337"/>
      <c r="L84" s="344"/>
    </row>
    <row r="85" customFormat="false" ht="15" hidden="true" customHeight="false" outlineLevel="0" collapsed="false">
      <c r="A85" s="339"/>
      <c r="B85" s="340"/>
      <c r="C85" s="341"/>
      <c r="D85" s="337"/>
      <c r="E85" s="337"/>
      <c r="F85" s="341"/>
      <c r="G85" s="342"/>
      <c r="H85" s="337"/>
      <c r="I85" s="343"/>
      <c r="J85" s="311"/>
      <c r="K85" s="337"/>
      <c r="L85" s="344"/>
    </row>
    <row r="86" customFormat="false" ht="15" hidden="true" customHeight="false" outlineLevel="0" collapsed="false">
      <c r="A86" s="339"/>
      <c r="B86" s="340"/>
      <c r="C86" s="341"/>
      <c r="D86" s="337"/>
      <c r="E86" s="337"/>
      <c r="F86" s="341"/>
      <c r="G86" s="342"/>
      <c r="H86" s="337"/>
      <c r="I86" s="343"/>
      <c r="J86" s="311"/>
      <c r="K86" s="337"/>
      <c r="L86" s="344"/>
    </row>
    <row r="87" customFormat="false" ht="15" hidden="true" customHeight="false" outlineLevel="0" collapsed="false">
      <c r="A87" s="339"/>
      <c r="B87" s="340"/>
      <c r="C87" s="341"/>
      <c r="D87" s="337"/>
      <c r="E87" s="337"/>
      <c r="F87" s="341"/>
      <c r="G87" s="342"/>
      <c r="H87" s="337"/>
      <c r="I87" s="343"/>
      <c r="J87" s="311"/>
      <c r="K87" s="337"/>
      <c r="L87" s="344"/>
    </row>
    <row r="88" customFormat="false" ht="15" hidden="true" customHeight="false" outlineLevel="0" collapsed="false">
      <c r="A88" s="339"/>
      <c r="B88" s="340"/>
      <c r="C88" s="341"/>
      <c r="D88" s="337"/>
      <c r="E88" s="337"/>
      <c r="F88" s="341"/>
      <c r="G88" s="342"/>
      <c r="H88" s="337"/>
      <c r="I88" s="343"/>
      <c r="J88" s="311"/>
      <c r="K88" s="337"/>
      <c r="L88" s="344"/>
    </row>
    <row r="89" customFormat="false" ht="15" hidden="false" customHeight="false" outlineLevel="0" collapsed="false">
      <c r="A89" s="345"/>
      <c r="B89" s="335"/>
      <c r="C89" s="336"/>
      <c r="D89" s="337"/>
      <c r="E89" s="319"/>
      <c r="F89" s="341"/>
      <c r="G89" s="320"/>
      <c r="H89" s="319"/>
      <c r="I89" s="321"/>
      <c r="J89" s="322"/>
      <c r="K89" s="322"/>
      <c r="L89" s="323"/>
    </row>
    <row r="90" customFormat="false" ht="4.75" hidden="false" customHeight="true" outlineLevel="0" collapsed="false">
      <c r="A90" s="315"/>
      <c r="B90" s="346"/>
      <c r="C90" s="317"/>
      <c r="D90" s="337"/>
      <c r="E90" s="319"/>
      <c r="F90" s="341"/>
      <c r="G90" s="320"/>
      <c r="H90" s="319"/>
      <c r="I90" s="321"/>
      <c r="J90" s="337"/>
      <c r="K90" s="337"/>
      <c r="L90" s="344"/>
    </row>
    <row r="91" customFormat="false" ht="15" hidden="false" customHeight="false" outlineLevel="0" collapsed="false">
      <c r="A91" s="339" t="s">
        <v>88</v>
      </c>
      <c r="B91" s="340" t="n">
        <f aca="false">(TableDE1!D150/TableDE1!D140)^(1/10)-1</f>
        <v>0.0121684303668048</v>
      </c>
      <c r="C91" s="341" t="n">
        <f aca="false">(TableDE1!E150/TableDE1!E140)^(1/10)-1</f>
        <v>0.0268574659761716</v>
      </c>
      <c r="D91" s="337" t="n">
        <f aca="false">(1+B91)/(1+G91)-1</f>
        <v>0.0127050009649692</v>
      </c>
      <c r="E91" s="337" t="n">
        <f aca="false">(1+D91)*(1+J91)/(1+K91)-1</f>
        <v>0.00696070924693371</v>
      </c>
      <c r="F91" s="341" t="n">
        <f aca="false">(1+D91)*(1+G91)/(1+I91)-1</f>
        <v>0.00920702633412573</v>
      </c>
      <c r="G91" s="342" t="n">
        <f aca="false">(TableDE1!R150/TableDE1!R140)^(1/10)-1</f>
        <v>-0.000529838993243992</v>
      </c>
      <c r="H91" s="337" t="n">
        <f aca="false">(TableDE1!S150/TableDE1!S140)^(1/10)-1</f>
        <v>0.00277975033815436</v>
      </c>
      <c r="I91" s="343" t="n">
        <f aca="false">(TableDE1!T150/TableDE1!T140)^(1/10)-1</f>
        <v>0.00293438705380034</v>
      </c>
      <c r="J91" s="337" t="n">
        <f aca="false">(TableDE15a!C149/TableDE15a!C139)^(1/10)-1</f>
        <v>0.00982082602077794</v>
      </c>
      <c r="K91" s="337" t="n">
        <f aca="false">(TableDE15a!B149/TableDE15a!B139)^(1/10)-1</f>
        <v>0.015581433514539</v>
      </c>
      <c r="L91" s="344" t="n">
        <f aca="false">(TableDE15a!D149/TableDE15a!D139)^(1/10)-1</f>
        <v>0.0136117618053497</v>
      </c>
    </row>
    <row r="92" customFormat="false" ht="13" hidden="false" customHeight="false" outlineLevel="0" collapsed="false">
      <c r="A92" s="347"/>
      <c r="B92" s="348"/>
      <c r="C92" s="349"/>
      <c r="D92" s="350"/>
      <c r="E92" s="350"/>
      <c r="F92" s="349"/>
      <c r="G92" s="351"/>
      <c r="H92" s="350"/>
      <c r="I92" s="352"/>
      <c r="J92" s="350"/>
      <c r="K92" s="353"/>
      <c r="L92" s="354"/>
    </row>
    <row r="93" customFormat="false" ht="13" hidden="false" customHeight="false" outlineLevel="0" collapsed="false">
      <c r="B93" s="355"/>
      <c r="C93" s="355"/>
      <c r="D93" s="355"/>
      <c r="E93" s="355"/>
      <c r="F93" s="355"/>
      <c r="G93" s="355"/>
      <c r="H93" s="355"/>
      <c r="I93" s="355"/>
      <c r="J93" s="355"/>
      <c r="K93" s="355"/>
      <c r="L93" s="355"/>
    </row>
    <row r="94" customFormat="false" ht="12" hidden="false" customHeight="false" outlineLevel="0" collapsed="false">
      <c r="B94" s="355"/>
      <c r="C94" s="355"/>
      <c r="D94" s="355"/>
      <c r="E94" s="355"/>
      <c r="F94" s="355"/>
      <c r="G94" s="355"/>
      <c r="H94" s="355"/>
      <c r="I94" s="355"/>
      <c r="J94" s="355"/>
      <c r="K94" s="355"/>
      <c r="L94" s="355"/>
    </row>
    <row r="95" customFormat="false" ht="12" hidden="false" customHeight="false" outlineLevel="0" collapsed="false">
      <c r="B95" s="355"/>
      <c r="C95" s="355"/>
      <c r="D95" s="355"/>
      <c r="E95" s="355"/>
      <c r="F95" s="355"/>
      <c r="G95" s="355"/>
      <c r="H95" s="355"/>
      <c r="I95" s="355"/>
      <c r="J95" s="355"/>
      <c r="K95" s="355"/>
      <c r="L95" s="355"/>
    </row>
    <row r="96" customFormat="false" ht="12" hidden="false" customHeight="false" outlineLevel="0" collapsed="false">
      <c r="B96" s="355"/>
      <c r="C96" s="355"/>
      <c r="D96" s="355"/>
      <c r="E96" s="355"/>
      <c r="F96" s="355"/>
      <c r="G96" s="355"/>
      <c r="H96" s="355"/>
      <c r="I96" s="355"/>
      <c r="J96" s="355"/>
      <c r="K96" s="355"/>
      <c r="L96" s="355"/>
    </row>
    <row r="97" customFormat="false" ht="12" hidden="false" customHeight="false" outlineLevel="0" collapsed="false">
      <c r="B97" s="355"/>
      <c r="C97" s="355"/>
      <c r="D97" s="355"/>
      <c r="E97" s="355"/>
      <c r="F97" s="355"/>
      <c r="G97" s="355"/>
      <c r="H97" s="355"/>
      <c r="I97" s="355"/>
      <c r="J97" s="355"/>
      <c r="K97" s="355"/>
      <c r="L97" s="355"/>
    </row>
    <row r="98" customFormat="false" ht="12" hidden="false" customHeight="false" outlineLevel="0" collapsed="false">
      <c r="B98" s="355"/>
      <c r="C98" s="355"/>
      <c r="D98" s="355"/>
      <c r="E98" s="355"/>
      <c r="F98" s="355"/>
      <c r="G98" s="355"/>
      <c r="H98" s="355"/>
      <c r="I98" s="355"/>
      <c r="J98" s="355"/>
      <c r="K98" s="355"/>
      <c r="L98" s="355"/>
    </row>
    <row r="99" customFormat="false" ht="12" hidden="false" customHeight="false" outlineLevel="0" collapsed="false">
      <c r="B99" s="355"/>
      <c r="C99" s="355"/>
      <c r="D99" s="355"/>
      <c r="E99" s="355"/>
      <c r="F99" s="355"/>
      <c r="G99" s="355"/>
      <c r="H99" s="355"/>
      <c r="I99" s="355"/>
      <c r="J99" s="355"/>
      <c r="K99" s="355"/>
      <c r="L99" s="355"/>
    </row>
    <row r="100" customFormat="false" ht="12" hidden="false" customHeight="false" outlineLevel="0" collapsed="false">
      <c r="B100" s="355"/>
      <c r="C100" s="355"/>
      <c r="D100" s="355"/>
      <c r="E100" s="355"/>
      <c r="F100" s="355"/>
      <c r="G100" s="355"/>
      <c r="H100" s="355"/>
      <c r="I100" s="355"/>
      <c r="J100" s="355"/>
      <c r="K100" s="355"/>
      <c r="L100" s="355"/>
    </row>
    <row r="101" customFormat="false" ht="12" hidden="false" customHeight="false" outlineLevel="0" collapsed="false">
      <c r="B101" s="355"/>
      <c r="C101" s="355"/>
      <c r="D101" s="355"/>
      <c r="E101" s="355"/>
      <c r="F101" s="355"/>
      <c r="G101" s="355"/>
      <c r="H101" s="355"/>
      <c r="I101" s="355"/>
      <c r="J101" s="355"/>
      <c r="K101" s="355"/>
      <c r="L101" s="355"/>
    </row>
    <row r="102" customFormat="false" ht="12" hidden="false" customHeight="false" outlineLevel="0" collapsed="false">
      <c r="B102" s="355"/>
      <c r="C102" s="355"/>
      <c r="D102" s="355"/>
      <c r="E102" s="355"/>
      <c r="F102" s="355"/>
      <c r="G102" s="355"/>
      <c r="H102" s="355"/>
      <c r="I102" s="355"/>
      <c r="J102" s="355"/>
      <c r="K102" s="355"/>
      <c r="L102" s="355"/>
    </row>
    <row r="103" customFormat="false" ht="12" hidden="false" customHeight="false" outlineLevel="0" collapsed="false">
      <c r="B103" s="355"/>
      <c r="C103" s="355"/>
      <c r="D103" s="355"/>
      <c r="E103" s="355"/>
      <c r="F103" s="355"/>
      <c r="G103" s="355"/>
      <c r="H103" s="355"/>
      <c r="I103" s="355"/>
      <c r="J103" s="355"/>
      <c r="K103" s="355"/>
      <c r="L103" s="355"/>
    </row>
    <row r="104" customFormat="false" ht="12" hidden="false" customHeight="false" outlineLevel="0" collapsed="false">
      <c r="B104" s="355"/>
      <c r="C104" s="355"/>
      <c r="D104" s="355"/>
      <c r="E104" s="355"/>
      <c r="F104" s="355"/>
      <c r="G104" s="355"/>
      <c r="H104" s="355"/>
      <c r="I104" s="355"/>
      <c r="J104" s="355"/>
      <c r="K104" s="355"/>
      <c r="L104" s="355"/>
    </row>
    <row r="105" customFormat="false" ht="12" hidden="false" customHeight="false" outlineLevel="0" collapsed="false">
      <c r="B105" s="355"/>
      <c r="C105" s="355"/>
      <c r="D105" s="355"/>
      <c r="E105" s="355"/>
      <c r="F105" s="355"/>
      <c r="G105" s="355"/>
      <c r="H105" s="355"/>
      <c r="I105" s="355"/>
      <c r="J105" s="355"/>
      <c r="K105" s="355"/>
      <c r="L105" s="355"/>
    </row>
    <row r="106" customFormat="false" ht="12" hidden="false" customHeight="false" outlineLevel="0" collapsed="false">
      <c r="B106" s="355"/>
      <c r="C106" s="355"/>
      <c r="D106" s="355"/>
      <c r="E106" s="355"/>
      <c r="F106" s="355"/>
      <c r="G106" s="355"/>
      <c r="H106" s="355"/>
      <c r="I106" s="355"/>
      <c r="J106" s="355"/>
      <c r="K106" s="355"/>
      <c r="L106" s="355"/>
    </row>
    <row r="107" customFormat="false" ht="12" hidden="false" customHeight="false" outlineLevel="0" collapsed="false">
      <c r="B107" s="355"/>
      <c r="C107" s="355"/>
      <c r="D107" s="355"/>
      <c r="E107" s="355"/>
      <c r="F107" s="355"/>
      <c r="G107" s="355"/>
      <c r="H107" s="355"/>
      <c r="I107" s="355"/>
      <c r="J107" s="355"/>
      <c r="K107" s="355"/>
      <c r="L107" s="355"/>
    </row>
    <row r="108" customFormat="false" ht="12" hidden="false" customHeight="false" outlineLevel="0" collapsed="false">
      <c r="B108" s="355"/>
      <c r="C108" s="355"/>
      <c r="D108" s="355"/>
      <c r="E108" s="355"/>
      <c r="F108" s="355"/>
      <c r="G108" s="355"/>
      <c r="H108" s="355"/>
      <c r="I108" s="355"/>
      <c r="J108" s="355"/>
      <c r="K108" s="355"/>
      <c r="L108" s="355"/>
    </row>
    <row r="109" customFormat="false" ht="12" hidden="false" customHeight="false" outlineLevel="0" collapsed="false">
      <c r="B109" s="355"/>
      <c r="C109" s="355"/>
      <c r="D109" s="355"/>
      <c r="E109" s="355"/>
      <c r="F109" s="355"/>
      <c r="G109" s="355"/>
      <c r="H109" s="355"/>
      <c r="I109" s="355"/>
      <c r="J109" s="355"/>
      <c r="K109" s="355"/>
      <c r="L109" s="355"/>
    </row>
    <row r="110" customFormat="false" ht="12" hidden="false" customHeight="false" outlineLevel="0" collapsed="false">
      <c r="B110" s="355"/>
      <c r="C110" s="355"/>
      <c r="D110" s="355"/>
      <c r="E110" s="355"/>
      <c r="F110" s="355"/>
      <c r="G110" s="355"/>
      <c r="H110" s="355"/>
      <c r="I110" s="355"/>
      <c r="J110" s="355"/>
      <c r="K110" s="355"/>
      <c r="L110" s="355"/>
    </row>
    <row r="111" customFormat="false" ht="12" hidden="false" customHeight="false" outlineLevel="0" collapsed="false">
      <c r="B111" s="355"/>
      <c r="C111" s="355"/>
      <c r="D111" s="355"/>
      <c r="E111" s="355"/>
      <c r="F111" s="355"/>
      <c r="G111" s="355"/>
      <c r="H111" s="355"/>
      <c r="I111" s="355"/>
      <c r="J111" s="355"/>
      <c r="K111" s="355"/>
      <c r="L111" s="355"/>
    </row>
    <row r="112" customFormat="false" ht="12" hidden="false" customHeight="false" outlineLevel="0" collapsed="false">
      <c r="B112" s="355"/>
      <c r="C112" s="355"/>
      <c r="D112" s="355"/>
      <c r="E112" s="355"/>
      <c r="F112" s="355"/>
      <c r="G112" s="355"/>
      <c r="H112" s="355"/>
      <c r="I112" s="355"/>
      <c r="J112" s="355"/>
      <c r="K112" s="355"/>
      <c r="L112" s="355"/>
    </row>
    <row r="113" customFormat="false" ht="12" hidden="false" customHeight="false" outlineLevel="0" collapsed="false">
      <c r="B113" s="355"/>
      <c r="C113" s="355"/>
      <c r="D113" s="355"/>
      <c r="E113" s="355"/>
      <c r="F113" s="355"/>
      <c r="G113" s="355"/>
      <c r="H113" s="355"/>
      <c r="I113" s="355"/>
      <c r="J113" s="355"/>
      <c r="K113" s="355"/>
      <c r="L113" s="355"/>
    </row>
    <row r="114" customFormat="false" ht="12" hidden="false" customHeight="false" outlineLevel="0" collapsed="false">
      <c r="B114" s="355"/>
      <c r="C114" s="355"/>
      <c r="D114" s="355"/>
      <c r="E114" s="355"/>
      <c r="F114" s="355"/>
      <c r="G114" s="355"/>
      <c r="H114" s="355"/>
      <c r="I114" s="355"/>
      <c r="J114" s="355"/>
      <c r="K114" s="355"/>
      <c r="L114" s="355"/>
    </row>
    <row r="115" customFormat="false" ht="12" hidden="false" customHeight="false" outlineLevel="0" collapsed="false">
      <c r="B115" s="355"/>
      <c r="C115" s="355"/>
      <c r="D115" s="355"/>
      <c r="E115" s="355"/>
      <c r="F115" s="355"/>
      <c r="G115" s="355"/>
      <c r="H115" s="355"/>
      <c r="I115" s="355"/>
      <c r="J115" s="355"/>
      <c r="K115" s="355"/>
      <c r="L115" s="355"/>
    </row>
    <row r="116" customFormat="false" ht="12" hidden="false" customHeight="false" outlineLevel="0" collapsed="false">
      <c r="B116" s="355"/>
      <c r="C116" s="355"/>
      <c r="D116" s="355"/>
      <c r="E116" s="355"/>
      <c r="F116" s="355"/>
      <c r="G116" s="355"/>
      <c r="H116" s="355"/>
      <c r="I116" s="355"/>
      <c r="J116" s="355"/>
      <c r="K116" s="355"/>
      <c r="L116" s="355"/>
    </row>
    <row r="117" customFormat="false" ht="12" hidden="false" customHeight="false" outlineLevel="0" collapsed="false">
      <c r="B117" s="355"/>
      <c r="C117" s="355"/>
      <c r="D117" s="355"/>
      <c r="E117" s="355"/>
      <c r="F117" s="355"/>
      <c r="G117" s="355"/>
      <c r="H117" s="355"/>
      <c r="I117" s="355"/>
      <c r="J117" s="355"/>
      <c r="K117" s="355"/>
      <c r="L117" s="355"/>
    </row>
    <row r="118" customFormat="false" ht="12" hidden="false" customHeight="false" outlineLevel="0" collapsed="false">
      <c r="B118" s="355"/>
      <c r="C118" s="355"/>
      <c r="D118" s="355"/>
      <c r="E118" s="355"/>
      <c r="F118" s="355"/>
      <c r="G118" s="355"/>
      <c r="H118" s="355"/>
      <c r="I118" s="355"/>
      <c r="J118" s="355"/>
      <c r="K118" s="355"/>
      <c r="L118" s="355"/>
    </row>
    <row r="119" customFormat="false" ht="12" hidden="false" customHeight="false" outlineLevel="0" collapsed="false">
      <c r="B119" s="355"/>
      <c r="C119" s="355"/>
      <c r="D119" s="355"/>
      <c r="E119" s="355"/>
      <c r="F119" s="355"/>
      <c r="G119" s="355"/>
      <c r="H119" s="355"/>
      <c r="I119" s="355"/>
      <c r="J119" s="355"/>
      <c r="K119" s="355"/>
      <c r="L119" s="355"/>
    </row>
    <row r="120" customFormat="false" ht="12" hidden="false" customHeight="false" outlineLevel="0" collapsed="false">
      <c r="B120" s="355"/>
      <c r="C120" s="355"/>
      <c r="D120" s="355"/>
      <c r="E120" s="355"/>
      <c r="F120" s="355"/>
      <c r="G120" s="355"/>
      <c r="H120" s="355"/>
      <c r="I120" s="355"/>
      <c r="J120" s="355"/>
      <c r="K120" s="355"/>
      <c r="L120" s="355"/>
    </row>
    <row r="121" customFormat="false" ht="12" hidden="false" customHeight="false" outlineLevel="0" collapsed="false">
      <c r="B121" s="355"/>
      <c r="C121" s="355"/>
      <c r="D121" s="355"/>
      <c r="E121" s="355"/>
      <c r="F121" s="355"/>
      <c r="G121" s="355"/>
      <c r="H121" s="355"/>
      <c r="I121" s="355"/>
      <c r="J121" s="355"/>
      <c r="K121" s="355"/>
      <c r="L121" s="355"/>
    </row>
    <row r="122" customFormat="false" ht="12" hidden="false" customHeight="false" outlineLevel="0" collapsed="false">
      <c r="B122" s="355"/>
      <c r="C122" s="355"/>
      <c r="D122" s="355"/>
      <c r="E122" s="355"/>
      <c r="F122" s="355"/>
      <c r="G122" s="355"/>
      <c r="H122" s="355"/>
      <c r="I122" s="355"/>
      <c r="J122" s="355"/>
      <c r="K122" s="355"/>
      <c r="L122" s="355"/>
    </row>
    <row r="123" customFormat="false" ht="12" hidden="false" customHeight="false" outlineLevel="0" collapsed="false">
      <c r="B123" s="355"/>
      <c r="C123" s="355"/>
      <c r="D123" s="355"/>
      <c r="E123" s="355"/>
      <c r="F123" s="355"/>
      <c r="G123" s="355"/>
      <c r="H123" s="355"/>
      <c r="I123" s="355"/>
      <c r="J123" s="355"/>
      <c r="K123" s="355"/>
      <c r="L123" s="355"/>
    </row>
    <row r="124" customFormat="false" ht="12" hidden="false" customHeight="false" outlineLevel="0" collapsed="false">
      <c r="B124" s="355"/>
      <c r="C124" s="355"/>
      <c r="D124" s="355"/>
      <c r="E124" s="355"/>
      <c r="F124" s="355"/>
      <c r="G124" s="355"/>
      <c r="H124" s="355"/>
      <c r="I124" s="355"/>
      <c r="J124" s="355"/>
      <c r="K124" s="355"/>
      <c r="L124" s="355"/>
    </row>
    <row r="125" customFormat="false" ht="12" hidden="false" customHeight="false" outlineLevel="0" collapsed="false">
      <c r="B125" s="355"/>
      <c r="C125" s="355"/>
      <c r="D125" s="355"/>
      <c r="E125" s="355"/>
      <c r="F125" s="355"/>
      <c r="G125" s="355"/>
      <c r="H125" s="355"/>
      <c r="I125" s="355"/>
      <c r="J125" s="355"/>
      <c r="K125" s="355"/>
      <c r="L125" s="355"/>
    </row>
    <row r="126" customFormat="false" ht="12" hidden="false" customHeight="false" outlineLevel="0" collapsed="false">
      <c r="B126" s="355"/>
      <c r="C126" s="355"/>
      <c r="D126" s="355"/>
      <c r="E126" s="355"/>
      <c r="F126" s="355"/>
      <c r="G126" s="355"/>
      <c r="H126" s="355"/>
      <c r="I126" s="355"/>
      <c r="J126" s="355"/>
      <c r="K126" s="355"/>
      <c r="L126" s="355"/>
    </row>
    <row r="127" customFormat="false" ht="12" hidden="false" customHeight="false" outlineLevel="0" collapsed="false">
      <c r="B127" s="355"/>
      <c r="C127" s="355"/>
      <c r="D127" s="355"/>
      <c r="E127" s="355"/>
      <c r="F127" s="355"/>
      <c r="G127" s="355"/>
      <c r="H127" s="355"/>
      <c r="I127" s="355"/>
      <c r="J127" s="355"/>
      <c r="K127" s="355"/>
      <c r="L127" s="355"/>
    </row>
    <row r="128" customFormat="false" ht="12" hidden="false" customHeight="false" outlineLevel="0" collapsed="false">
      <c r="B128" s="355"/>
      <c r="C128" s="355"/>
      <c r="D128" s="355"/>
      <c r="E128" s="355"/>
      <c r="F128" s="355"/>
      <c r="G128" s="355"/>
      <c r="H128" s="355"/>
      <c r="I128" s="355"/>
      <c r="J128" s="355"/>
      <c r="K128" s="355"/>
      <c r="L128" s="355"/>
    </row>
    <row r="129" customFormat="false" ht="12" hidden="false" customHeight="false" outlineLevel="0" collapsed="false">
      <c r="B129" s="355"/>
      <c r="C129" s="355"/>
      <c r="D129" s="355"/>
      <c r="E129" s="355"/>
      <c r="F129" s="355"/>
      <c r="G129" s="355"/>
      <c r="H129" s="355"/>
      <c r="I129" s="355"/>
      <c r="J129" s="355"/>
      <c r="K129" s="355"/>
      <c r="L129" s="355"/>
    </row>
    <row r="130" customFormat="false" ht="12" hidden="false" customHeight="false" outlineLevel="0" collapsed="false">
      <c r="B130" s="355"/>
      <c r="C130" s="355"/>
      <c r="D130" s="355"/>
      <c r="E130" s="355"/>
      <c r="F130" s="355"/>
      <c r="G130" s="355"/>
      <c r="H130" s="355"/>
      <c r="I130" s="355"/>
      <c r="J130" s="355"/>
      <c r="K130" s="355"/>
      <c r="L130" s="355"/>
    </row>
    <row r="131" customFormat="false" ht="12" hidden="false" customHeight="false" outlineLevel="0" collapsed="false">
      <c r="B131" s="355"/>
      <c r="C131" s="355"/>
      <c r="D131" s="355"/>
      <c r="E131" s="355"/>
      <c r="F131" s="355"/>
      <c r="G131" s="355"/>
      <c r="H131" s="355"/>
      <c r="I131" s="355"/>
      <c r="J131" s="355"/>
      <c r="K131" s="355"/>
      <c r="L131" s="355"/>
    </row>
    <row r="132" customFormat="false" ht="12" hidden="false" customHeight="false" outlineLevel="0" collapsed="false">
      <c r="B132" s="355"/>
      <c r="C132" s="355"/>
      <c r="D132" s="355"/>
      <c r="E132" s="355"/>
      <c r="F132" s="355"/>
      <c r="G132" s="355"/>
      <c r="H132" s="355"/>
      <c r="I132" s="355"/>
      <c r="J132" s="355"/>
      <c r="K132" s="355"/>
      <c r="L132" s="355"/>
    </row>
    <row r="133" customFormat="false" ht="12" hidden="false" customHeight="false" outlineLevel="0" collapsed="false">
      <c r="B133" s="355"/>
      <c r="C133" s="355"/>
      <c r="D133" s="355"/>
      <c r="E133" s="355"/>
      <c r="F133" s="355"/>
      <c r="G133" s="355"/>
      <c r="H133" s="355"/>
      <c r="I133" s="355"/>
      <c r="J133" s="355"/>
      <c r="K133" s="355"/>
      <c r="L133" s="355"/>
    </row>
    <row r="134" customFormat="false" ht="12" hidden="false" customHeight="false" outlineLevel="0" collapsed="false">
      <c r="B134" s="355"/>
      <c r="C134" s="355"/>
      <c r="D134" s="355"/>
      <c r="E134" s="355"/>
      <c r="F134" s="355"/>
      <c r="G134" s="355"/>
      <c r="H134" s="355"/>
      <c r="I134" s="355"/>
      <c r="J134" s="355"/>
      <c r="K134" s="355"/>
      <c r="L134" s="355"/>
    </row>
    <row r="135" customFormat="false" ht="12" hidden="false" customHeight="false" outlineLevel="0" collapsed="false">
      <c r="B135" s="355"/>
      <c r="C135" s="355"/>
      <c r="D135" s="355"/>
      <c r="E135" s="355"/>
      <c r="F135" s="355"/>
      <c r="G135" s="355"/>
      <c r="H135" s="355"/>
      <c r="I135" s="355"/>
      <c r="J135" s="355"/>
      <c r="K135" s="355"/>
      <c r="L135" s="355"/>
    </row>
    <row r="136" customFormat="false" ht="12" hidden="false" customHeight="false" outlineLevel="0" collapsed="false">
      <c r="B136" s="355"/>
      <c r="C136" s="355"/>
      <c r="D136" s="355"/>
      <c r="E136" s="355"/>
      <c r="F136" s="355"/>
      <c r="G136" s="355"/>
      <c r="H136" s="355"/>
      <c r="I136" s="355"/>
      <c r="J136" s="355"/>
      <c r="K136" s="355"/>
      <c r="L136" s="355"/>
    </row>
    <row r="137" customFormat="false" ht="12" hidden="false" customHeight="false" outlineLevel="0" collapsed="false">
      <c r="B137" s="355"/>
      <c r="C137" s="355"/>
      <c r="D137" s="355"/>
      <c r="E137" s="355"/>
      <c r="F137" s="355"/>
      <c r="G137" s="355"/>
      <c r="H137" s="355"/>
      <c r="I137" s="355"/>
      <c r="J137" s="355"/>
      <c r="K137" s="355"/>
      <c r="L137" s="355"/>
    </row>
    <row r="138" customFormat="false" ht="12" hidden="false" customHeight="false" outlineLevel="0" collapsed="false">
      <c r="B138" s="355"/>
      <c r="C138" s="355"/>
      <c r="D138" s="355"/>
      <c r="E138" s="355"/>
      <c r="F138" s="355"/>
      <c r="G138" s="355"/>
      <c r="H138" s="355"/>
      <c r="I138" s="355"/>
      <c r="J138" s="355"/>
      <c r="K138" s="355"/>
      <c r="L138" s="355"/>
    </row>
    <row r="139" customFormat="false" ht="12" hidden="false" customHeight="false" outlineLevel="0" collapsed="false">
      <c r="B139" s="355"/>
      <c r="C139" s="355"/>
      <c r="D139" s="355"/>
      <c r="E139" s="355"/>
      <c r="F139" s="355"/>
      <c r="G139" s="355"/>
      <c r="H139" s="355"/>
      <c r="I139" s="355"/>
      <c r="J139" s="355"/>
      <c r="K139" s="355"/>
      <c r="L139" s="355"/>
    </row>
    <row r="140" customFormat="false" ht="12" hidden="false" customHeight="false" outlineLevel="0" collapsed="false">
      <c r="B140" s="355"/>
      <c r="C140" s="355"/>
      <c r="D140" s="355"/>
      <c r="E140" s="355"/>
      <c r="F140" s="355"/>
      <c r="G140" s="355"/>
      <c r="H140" s="355"/>
      <c r="I140" s="355"/>
      <c r="J140" s="355"/>
      <c r="K140" s="355"/>
      <c r="L140" s="355"/>
    </row>
    <row r="141" customFormat="false" ht="12" hidden="false" customHeight="false" outlineLevel="0" collapsed="false">
      <c r="B141" s="355"/>
      <c r="C141" s="355"/>
      <c r="D141" s="355"/>
      <c r="E141" s="355"/>
      <c r="F141" s="355"/>
      <c r="G141" s="355"/>
      <c r="H141" s="355"/>
      <c r="I141" s="355"/>
      <c r="J141" s="355"/>
      <c r="K141" s="355"/>
      <c r="L141" s="355"/>
    </row>
    <row r="142" customFormat="false" ht="12" hidden="false" customHeight="false" outlineLevel="0" collapsed="false">
      <c r="B142" s="355"/>
      <c r="C142" s="355"/>
      <c r="D142" s="355"/>
      <c r="E142" s="355"/>
      <c r="F142" s="355"/>
      <c r="G142" s="355"/>
      <c r="H142" s="355"/>
      <c r="I142" s="355"/>
      <c r="J142" s="355"/>
      <c r="K142" s="355"/>
      <c r="L142" s="355"/>
    </row>
    <row r="143" customFormat="false" ht="12" hidden="false" customHeight="false" outlineLevel="0" collapsed="false">
      <c r="B143" s="355"/>
      <c r="C143" s="355"/>
      <c r="D143" s="355"/>
      <c r="E143" s="355"/>
      <c r="F143" s="355"/>
      <c r="G143" s="355"/>
      <c r="H143" s="355"/>
      <c r="I143" s="355"/>
      <c r="J143" s="355"/>
      <c r="K143" s="355"/>
      <c r="L143" s="355"/>
    </row>
    <row r="144" customFormat="false" ht="12" hidden="false" customHeight="false" outlineLevel="0" collapsed="false">
      <c r="B144" s="355"/>
      <c r="C144" s="355"/>
      <c r="D144" s="355"/>
      <c r="E144" s="355"/>
      <c r="F144" s="355"/>
      <c r="G144" s="355"/>
      <c r="H144" s="355"/>
      <c r="I144" s="355"/>
      <c r="J144" s="355"/>
      <c r="K144" s="355"/>
      <c r="L144" s="355"/>
    </row>
    <row r="145" customFormat="false" ht="12" hidden="false" customHeight="false" outlineLevel="0" collapsed="false">
      <c r="B145" s="355"/>
      <c r="C145" s="355"/>
      <c r="D145" s="355"/>
      <c r="E145" s="355"/>
      <c r="F145" s="355"/>
      <c r="G145" s="355"/>
      <c r="H145" s="355"/>
      <c r="I145" s="355"/>
      <c r="J145" s="355"/>
      <c r="K145" s="355"/>
      <c r="L145" s="355"/>
    </row>
    <row r="146" customFormat="false" ht="12" hidden="false" customHeight="false" outlineLevel="0" collapsed="false">
      <c r="B146" s="355"/>
      <c r="C146" s="355"/>
      <c r="D146" s="355"/>
      <c r="E146" s="355"/>
      <c r="F146" s="355"/>
      <c r="G146" s="355"/>
      <c r="H146" s="355"/>
      <c r="I146" s="355"/>
      <c r="J146" s="355"/>
      <c r="K146" s="355"/>
      <c r="L146" s="355"/>
    </row>
    <row r="147" customFormat="false" ht="12" hidden="false" customHeight="false" outlineLevel="0" collapsed="false">
      <c r="B147" s="355"/>
      <c r="C147" s="355"/>
      <c r="D147" s="355"/>
      <c r="E147" s="355"/>
      <c r="F147" s="355"/>
      <c r="G147" s="355"/>
      <c r="H147" s="355"/>
      <c r="I147" s="355"/>
      <c r="J147" s="355"/>
      <c r="K147" s="355"/>
      <c r="L147" s="355"/>
    </row>
    <row r="148" customFormat="false" ht="12" hidden="false" customHeight="false" outlineLevel="0" collapsed="false">
      <c r="B148" s="355"/>
      <c r="C148" s="355"/>
      <c r="D148" s="355"/>
      <c r="E148" s="355"/>
      <c r="F148" s="355"/>
      <c r="G148" s="355"/>
      <c r="H148" s="355"/>
      <c r="I148" s="355"/>
      <c r="J148" s="355"/>
      <c r="K148" s="355"/>
      <c r="L148" s="355"/>
    </row>
    <row r="149" customFormat="false" ht="12" hidden="false" customHeight="false" outlineLevel="0" collapsed="false">
      <c r="B149" s="355"/>
      <c r="C149" s="355"/>
      <c r="D149" s="355"/>
      <c r="E149" s="355"/>
      <c r="F149" s="355"/>
      <c r="G149" s="355"/>
      <c r="H149" s="355"/>
      <c r="I149" s="355"/>
      <c r="J149" s="355"/>
      <c r="K149" s="355"/>
      <c r="L149" s="355"/>
    </row>
    <row r="150" customFormat="false" ht="12" hidden="false" customHeight="false" outlineLevel="0" collapsed="false">
      <c r="B150" s="355"/>
      <c r="C150" s="355"/>
      <c r="D150" s="355"/>
      <c r="E150" s="355"/>
      <c r="F150" s="355"/>
      <c r="G150" s="355"/>
      <c r="H150" s="355"/>
      <c r="I150" s="355"/>
      <c r="J150" s="355"/>
      <c r="K150" s="355"/>
      <c r="L150" s="355"/>
    </row>
    <row r="151" customFormat="false" ht="12" hidden="false" customHeight="false" outlineLevel="0" collapsed="false">
      <c r="B151" s="355"/>
      <c r="C151" s="355"/>
      <c r="D151" s="355"/>
      <c r="E151" s="355"/>
      <c r="F151" s="355"/>
      <c r="G151" s="355"/>
      <c r="H151" s="355"/>
      <c r="I151" s="355"/>
      <c r="J151" s="355"/>
      <c r="K151" s="355"/>
      <c r="L151" s="355"/>
    </row>
    <row r="152" customFormat="false" ht="12" hidden="false" customHeight="false" outlineLevel="0" collapsed="false">
      <c r="B152" s="355"/>
      <c r="C152" s="355"/>
      <c r="D152" s="355"/>
      <c r="E152" s="355"/>
      <c r="F152" s="355"/>
      <c r="G152" s="355"/>
      <c r="H152" s="355"/>
      <c r="I152" s="355"/>
      <c r="J152" s="355"/>
      <c r="K152" s="355"/>
      <c r="L152" s="355"/>
    </row>
    <row r="153" customFormat="false" ht="12" hidden="false" customHeight="false" outlineLevel="0" collapsed="false">
      <c r="B153" s="355"/>
      <c r="C153" s="355"/>
      <c r="D153" s="355"/>
      <c r="E153" s="355"/>
      <c r="F153" s="355"/>
      <c r="G153" s="355"/>
      <c r="H153" s="355"/>
      <c r="I153" s="355"/>
      <c r="J153" s="355"/>
      <c r="K153" s="355"/>
      <c r="L153" s="355"/>
    </row>
    <row r="154" customFormat="false" ht="12" hidden="false" customHeight="false" outlineLevel="0" collapsed="false">
      <c r="B154" s="355"/>
      <c r="C154" s="355"/>
      <c r="D154" s="355"/>
      <c r="E154" s="355"/>
      <c r="F154" s="355"/>
      <c r="G154" s="355"/>
      <c r="H154" s="355"/>
      <c r="I154" s="355"/>
      <c r="J154" s="355"/>
      <c r="K154" s="355"/>
      <c r="L154" s="355"/>
    </row>
    <row r="155" customFormat="false" ht="12" hidden="false" customHeight="false" outlineLevel="0" collapsed="false">
      <c r="B155" s="355"/>
      <c r="C155" s="355"/>
      <c r="D155" s="355"/>
      <c r="E155" s="355"/>
      <c r="F155" s="355"/>
      <c r="G155" s="355"/>
      <c r="H155" s="355"/>
      <c r="I155" s="355"/>
      <c r="J155" s="355"/>
      <c r="K155" s="355"/>
      <c r="L155" s="355"/>
    </row>
    <row r="156" customFormat="false" ht="12" hidden="false" customHeight="false" outlineLevel="0" collapsed="false">
      <c r="B156" s="355"/>
      <c r="C156" s="355"/>
      <c r="D156" s="355"/>
      <c r="E156" s="355"/>
      <c r="F156" s="355"/>
      <c r="G156" s="355"/>
      <c r="H156" s="355"/>
      <c r="I156" s="355"/>
      <c r="J156" s="355"/>
      <c r="K156" s="355"/>
      <c r="L156" s="355"/>
    </row>
    <row r="157" customFormat="false" ht="12" hidden="false" customHeight="false" outlineLevel="0" collapsed="false">
      <c r="B157" s="355"/>
      <c r="C157" s="355"/>
      <c r="D157" s="355"/>
      <c r="E157" s="355"/>
      <c r="F157" s="355"/>
      <c r="G157" s="355"/>
      <c r="H157" s="355"/>
      <c r="I157" s="355"/>
      <c r="J157" s="355"/>
      <c r="K157" s="355"/>
      <c r="L157" s="355"/>
    </row>
    <row r="158" customFormat="false" ht="12" hidden="false" customHeight="false" outlineLevel="0" collapsed="false">
      <c r="B158" s="355"/>
      <c r="C158" s="355"/>
      <c r="D158" s="355"/>
      <c r="E158" s="355"/>
      <c r="F158" s="355"/>
      <c r="G158" s="355"/>
      <c r="H158" s="355"/>
      <c r="I158" s="355"/>
      <c r="J158" s="355"/>
      <c r="K158" s="355"/>
      <c r="L158" s="355"/>
    </row>
    <row r="159" customFormat="false" ht="12" hidden="false" customHeight="false" outlineLevel="0" collapsed="false">
      <c r="B159" s="355"/>
      <c r="C159" s="355"/>
      <c r="D159" s="355"/>
      <c r="E159" s="355"/>
      <c r="F159" s="355"/>
      <c r="G159" s="355"/>
      <c r="H159" s="355"/>
      <c r="I159" s="355"/>
      <c r="J159" s="355"/>
      <c r="K159" s="355"/>
      <c r="L159" s="355"/>
    </row>
    <row r="160" customFormat="false" ht="12" hidden="false" customHeight="false" outlineLevel="0" collapsed="false">
      <c r="B160" s="355"/>
      <c r="C160" s="355"/>
      <c r="D160" s="355"/>
      <c r="E160" s="355"/>
      <c r="F160" s="355"/>
      <c r="G160" s="355"/>
      <c r="H160" s="355"/>
      <c r="I160" s="355"/>
      <c r="J160" s="355"/>
      <c r="K160" s="355"/>
      <c r="L160" s="355"/>
    </row>
    <row r="161" customFormat="false" ht="12" hidden="false" customHeight="false" outlineLevel="0" collapsed="false">
      <c r="B161" s="355"/>
      <c r="C161" s="355"/>
      <c r="D161" s="355"/>
      <c r="E161" s="355"/>
      <c r="F161" s="355"/>
      <c r="G161" s="355"/>
      <c r="H161" s="355"/>
      <c r="I161" s="355"/>
      <c r="J161" s="355"/>
      <c r="K161" s="355"/>
      <c r="L161" s="355"/>
    </row>
    <row r="162" customFormat="false" ht="12" hidden="false" customHeight="false" outlineLevel="0" collapsed="false">
      <c r="B162" s="355"/>
      <c r="C162" s="355"/>
      <c r="D162" s="355"/>
      <c r="E162" s="355"/>
      <c r="F162" s="355"/>
      <c r="G162" s="355"/>
      <c r="H162" s="355"/>
      <c r="I162" s="355"/>
      <c r="J162" s="355"/>
      <c r="K162" s="355"/>
      <c r="L162" s="355"/>
    </row>
    <row r="163" customFormat="false" ht="12" hidden="false" customHeight="false" outlineLevel="0" collapsed="false">
      <c r="B163" s="355"/>
      <c r="C163" s="355"/>
      <c r="D163" s="355"/>
      <c r="E163" s="355"/>
      <c r="F163" s="355"/>
      <c r="G163" s="355"/>
      <c r="H163" s="355"/>
      <c r="I163" s="355"/>
      <c r="J163" s="355"/>
      <c r="K163" s="355"/>
      <c r="L163" s="355"/>
    </row>
    <row r="164" customFormat="false" ht="12" hidden="false" customHeight="false" outlineLevel="0" collapsed="false">
      <c r="B164" s="355"/>
      <c r="C164" s="355"/>
      <c r="D164" s="355"/>
      <c r="E164" s="355"/>
      <c r="F164" s="355"/>
      <c r="G164" s="355"/>
      <c r="H164" s="355"/>
      <c r="I164" s="355"/>
      <c r="J164" s="355"/>
      <c r="K164" s="355"/>
      <c r="L164" s="355"/>
    </row>
    <row r="165" customFormat="false" ht="12" hidden="false" customHeight="false" outlineLevel="0" collapsed="false">
      <c r="B165" s="355"/>
      <c r="C165" s="355"/>
      <c r="D165" s="355"/>
      <c r="E165" s="355"/>
      <c r="F165" s="355"/>
      <c r="G165" s="355"/>
      <c r="H165" s="355"/>
      <c r="I165" s="355"/>
      <c r="J165" s="355"/>
      <c r="K165" s="355"/>
      <c r="L165" s="355"/>
    </row>
    <row r="166" customFormat="false" ht="12" hidden="false" customHeight="false" outlineLevel="0" collapsed="false">
      <c r="B166" s="355"/>
      <c r="C166" s="355"/>
      <c r="D166" s="355"/>
      <c r="E166" s="355"/>
      <c r="F166" s="355"/>
      <c r="G166" s="355"/>
      <c r="H166" s="355"/>
      <c r="I166" s="355"/>
      <c r="J166" s="355"/>
      <c r="K166" s="355"/>
      <c r="L166" s="355"/>
    </row>
    <row r="167" customFormat="false" ht="12" hidden="false" customHeight="false" outlineLevel="0" collapsed="false">
      <c r="B167" s="355"/>
      <c r="C167" s="355"/>
      <c r="D167" s="355"/>
      <c r="E167" s="355"/>
      <c r="F167" s="355"/>
      <c r="G167" s="355"/>
      <c r="H167" s="355"/>
      <c r="I167" s="355"/>
      <c r="J167" s="355"/>
      <c r="K167" s="355"/>
      <c r="L167" s="355"/>
    </row>
    <row r="168" customFormat="false" ht="12" hidden="false" customHeight="false" outlineLevel="0" collapsed="false">
      <c r="B168" s="355"/>
      <c r="C168" s="355"/>
      <c r="D168" s="355"/>
      <c r="E168" s="355"/>
      <c r="F168" s="355"/>
      <c r="G168" s="355"/>
      <c r="H168" s="355"/>
      <c r="I168" s="355"/>
      <c r="J168" s="355"/>
      <c r="K168" s="355"/>
      <c r="L168" s="355"/>
    </row>
    <row r="169" customFormat="false" ht="12" hidden="false" customHeight="false" outlineLevel="0" collapsed="false">
      <c r="B169" s="355"/>
      <c r="C169" s="355"/>
      <c r="D169" s="355"/>
      <c r="E169" s="355"/>
      <c r="F169" s="355"/>
      <c r="G169" s="355"/>
      <c r="H169" s="355"/>
      <c r="I169" s="355"/>
      <c r="J169" s="355"/>
      <c r="K169" s="355"/>
      <c r="L169" s="355"/>
    </row>
    <row r="170" customFormat="false" ht="12" hidden="false" customHeight="false" outlineLevel="0" collapsed="false">
      <c r="B170" s="355"/>
      <c r="C170" s="355"/>
      <c r="D170" s="355"/>
      <c r="E170" s="355"/>
      <c r="F170" s="355"/>
      <c r="G170" s="355"/>
      <c r="H170" s="355"/>
      <c r="I170" s="355"/>
      <c r="J170" s="355"/>
      <c r="K170" s="355"/>
      <c r="L170" s="355"/>
    </row>
    <row r="171" customFormat="false" ht="12" hidden="false" customHeight="false" outlineLevel="0" collapsed="false">
      <c r="B171" s="355"/>
      <c r="C171" s="355"/>
      <c r="D171" s="355"/>
      <c r="E171" s="355"/>
      <c r="F171" s="355"/>
      <c r="G171" s="355"/>
      <c r="H171" s="355"/>
      <c r="I171" s="355"/>
      <c r="J171" s="355"/>
      <c r="K171" s="355"/>
      <c r="L171" s="355"/>
    </row>
    <row r="172" customFormat="false" ht="12" hidden="false" customHeight="false" outlineLevel="0" collapsed="false">
      <c r="B172" s="355"/>
      <c r="C172" s="355"/>
      <c r="D172" s="355"/>
      <c r="E172" s="355"/>
      <c r="F172" s="355"/>
      <c r="G172" s="355"/>
      <c r="H172" s="355"/>
      <c r="I172" s="355"/>
      <c r="J172" s="355"/>
      <c r="K172" s="355"/>
      <c r="L172" s="355"/>
    </row>
    <row r="173" customFormat="false" ht="12" hidden="false" customHeight="false" outlineLevel="0" collapsed="false">
      <c r="B173" s="355"/>
      <c r="C173" s="355"/>
      <c r="D173" s="355"/>
      <c r="E173" s="355"/>
      <c r="F173" s="355"/>
      <c r="G173" s="355"/>
      <c r="H173" s="355"/>
      <c r="I173" s="355"/>
      <c r="J173" s="355"/>
      <c r="K173" s="355"/>
      <c r="L173" s="355"/>
    </row>
    <row r="174" customFormat="false" ht="12" hidden="false" customHeight="false" outlineLevel="0" collapsed="false">
      <c r="B174" s="355"/>
      <c r="C174" s="355"/>
      <c r="D174" s="355"/>
      <c r="E174" s="355"/>
      <c r="F174" s="355"/>
      <c r="G174" s="355"/>
      <c r="H174" s="355"/>
      <c r="I174" s="355"/>
      <c r="J174" s="355"/>
      <c r="K174" s="355"/>
      <c r="L174" s="355"/>
    </row>
    <row r="175" customFormat="false" ht="12" hidden="false" customHeight="false" outlineLevel="0" collapsed="false">
      <c r="B175" s="355"/>
      <c r="C175" s="355"/>
      <c r="D175" s="355"/>
      <c r="E175" s="355"/>
      <c r="F175" s="355"/>
      <c r="G175" s="355"/>
      <c r="H175" s="355"/>
      <c r="I175" s="355"/>
      <c r="J175" s="355"/>
      <c r="K175" s="355"/>
      <c r="L175" s="355"/>
    </row>
    <row r="176" customFormat="false" ht="12" hidden="false" customHeight="false" outlineLevel="0" collapsed="false">
      <c r="B176" s="355"/>
      <c r="C176" s="355"/>
      <c r="D176" s="355"/>
      <c r="E176" s="355"/>
      <c r="F176" s="355"/>
      <c r="G176" s="355"/>
      <c r="H176" s="355"/>
      <c r="I176" s="355"/>
      <c r="J176" s="355"/>
      <c r="K176" s="355"/>
      <c r="L176" s="355"/>
    </row>
    <row r="177" customFormat="false" ht="12" hidden="false" customHeight="false" outlineLevel="0" collapsed="false">
      <c r="B177" s="355"/>
      <c r="C177" s="355"/>
      <c r="D177" s="355"/>
      <c r="E177" s="355"/>
      <c r="F177" s="355"/>
      <c r="G177" s="355"/>
      <c r="H177" s="355"/>
      <c r="I177" s="355"/>
      <c r="J177" s="355"/>
      <c r="K177" s="355"/>
      <c r="L177" s="355"/>
    </row>
    <row r="178" customFormat="false" ht="12" hidden="false" customHeight="false" outlineLevel="0" collapsed="false">
      <c r="B178" s="355"/>
      <c r="C178" s="355"/>
      <c r="D178" s="355"/>
      <c r="E178" s="355"/>
      <c r="F178" s="355"/>
      <c r="G178" s="355"/>
      <c r="H178" s="355"/>
      <c r="I178" s="355"/>
      <c r="J178" s="355"/>
      <c r="K178" s="355"/>
      <c r="L178" s="355"/>
    </row>
    <row r="179" customFormat="false" ht="12" hidden="false" customHeight="false" outlineLevel="0" collapsed="false">
      <c r="B179" s="355"/>
      <c r="C179" s="355"/>
      <c r="D179" s="355"/>
      <c r="E179" s="355"/>
      <c r="F179" s="355"/>
      <c r="G179" s="355"/>
      <c r="H179" s="355"/>
      <c r="I179" s="355"/>
      <c r="J179" s="355"/>
      <c r="K179" s="355"/>
      <c r="L179" s="355"/>
    </row>
    <row r="180" customFormat="false" ht="12" hidden="false" customHeight="false" outlineLevel="0" collapsed="false">
      <c r="B180" s="355"/>
      <c r="C180" s="355"/>
      <c r="D180" s="355"/>
      <c r="E180" s="355"/>
      <c r="F180" s="355"/>
      <c r="G180" s="355"/>
      <c r="H180" s="355"/>
      <c r="I180" s="355"/>
      <c r="J180" s="355"/>
      <c r="K180" s="355"/>
      <c r="L180" s="355"/>
    </row>
    <row r="181" customFormat="false" ht="12" hidden="false" customHeight="false" outlineLevel="0" collapsed="false">
      <c r="B181" s="355"/>
      <c r="C181" s="355"/>
      <c r="D181" s="355"/>
      <c r="E181" s="355"/>
      <c r="F181" s="355"/>
      <c r="G181" s="355"/>
      <c r="H181" s="355"/>
      <c r="I181" s="355"/>
      <c r="J181" s="355"/>
      <c r="K181" s="355"/>
      <c r="L181" s="355"/>
    </row>
    <row r="182" customFormat="false" ht="12" hidden="false" customHeight="false" outlineLevel="0" collapsed="false">
      <c r="B182" s="355"/>
      <c r="C182" s="355"/>
      <c r="D182" s="355"/>
      <c r="E182" s="355"/>
      <c r="F182" s="355"/>
      <c r="G182" s="355"/>
      <c r="H182" s="355"/>
      <c r="I182" s="355"/>
      <c r="J182" s="355"/>
      <c r="K182" s="355"/>
      <c r="L182" s="355"/>
    </row>
    <row r="183" customFormat="false" ht="12" hidden="false" customHeight="false" outlineLevel="0" collapsed="false">
      <c r="B183" s="355"/>
      <c r="C183" s="355"/>
      <c r="D183" s="355"/>
      <c r="E183" s="355"/>
      <c r="F183" s="355"/>
      <c r="G183" s="355"/>
      <c r="H183" s="355"/>
      <c r="I183" s="355"/>
      <c r="J183" s="355"/>
      <c r="K183" s="355"/>
      <c r="L183" s="355"/>
    </row>
    <row r="184" customFormat="false" ht="12" hidden="false" customHeight="false" outlineLevel="0" collapsed="false">
      <c r="B184" s="355"/>
      <c r="C184" s="355"/>
      <c r="D184" s="355"/>
      <c r="E184" s="355"/>
      <c r="F184" s="355"/>
      <c r="G184" s="355"/>
      <c r="H184" s="355"/>
      <c r="I184" s="355"/>
      <c r="J184" s="355"/>
      <c r="K184" s="355"/>
      <c r="L184" s="355"/>
    </row>
    <row r="185" customFormat="false" ht="12" hidden="false" customHeight="false" outlineLevel="0" collapsed="false">
      <c r="B185" s="355"/>
      <c r="C185" s="355"/>
      <c r="D185" s="355"/>
      <c r="E185" s="355"/>
      <c r="F185" s="355"/>
      <c r="G185" s="355"/>
      <c r="H185" s="355"/>
      <c r="I185" s="355"/>
      <c r="J185" s="355"/>
      <c r="K185" s="355"/>
      <c r="L185" s="355"/>
    </row>
    <row r="186" customFormat="false" ht="12" hidden="false" customHeight="false" outlineLevel="0" collapsed="false">
      <c r="B186" s="355"/>
      <c r="C186" s="355"/>
      <c r="D186" s="355"/>
      <c r="E186" s="355"/>
      <c r="F186" s="355"/>
      <c r="G186" s="355"/>
      <c r="H186" s="355"/>
      <c r="I186" s="355"/>
      <c r="J186" s="355"/>
      <c r="K186" s="355"/>
      <c r="L186" s="355"/>
    </row>
    <row r="187" customFormat="false" ht="12" hidden="false" customHeight="false" outlineLevel="0" collapsed="false">
      <c r="B187" s="355"/>
      <c r="C187" s="355"/>
      <c r="D187" s="355"/>
      <c r="E187" s="355"/>
      <c r="F187" s="355"/>
      <c r="G187" s="355"/>
      <c r="H187" s="355"/>
      <c r="I187" s="355"/>
      <c r="J187" s="355"/>
      <c r="K187" s="355"/>
      <c r="L187" s="355"/>
    </row>
    <row r="188" customFormat="false" ht="12" hidden="false" customHeight="false" outlineLevel="0" collapsed="false">
      <c r="B188" s="355"/>
      <c r="C188" s="355"/>
      <c r="D188" s="355"/>
      <c r="E188" s="355"/>
      <c r="F188" s="355"/>
      <c r="G188" s="355"/>
      <c r="H188" s="355"/>
      <c r="I188" s="355"/>
      <c r="J188" s="355"/>
      <c r="K188" s="355"/>
      <c r="L188" s="355"/>
    </row>
    <row r="189" customFormat="false" ht="12" hidden="false" customHeight="false" outlineLevel="0" collapsed="false">
      <c r="B189" s="355"/>
      <c r="C189" s="355"/>
      <c r="D189" s="355"/>
      <c r="E189" s="355"/>
      <c r="F189" s="355"/>
      <c r="G189" s="355"/>
      <c r="H189" s="355"/>
      <c r="I189" s="355"/>
      <c r="J189" s="355"/>
      <c r="K189" s="355"/>
      <c r="L189" s="355"/>
    </row>
    <row r="190" customFormat="false" ht="12" hidden="false" customHeight="false" outlineLevel="0" collapsed="false">
      <c r="B190" s="355"/>
      <c r="C190" s="355"/>
      <c r="D190" s="355"/>
      <c r="E190" s="355"/>
      <c r="F190" s="355"/>
      <c r="G190" s="355"/>
      <c r="H190" s="355"/>
      <c r="I190" s="355"/>
      <c r="J190" s="355"/>
      <c r="K190" s="355"/>
      <c r="L190" s="355"/>
    </row>
    <row r="191" customFormat="false" ht="12" hidden="false" customHeight="false" outlineLevel="0" collapsed="false">
      <c r="B191" s="355"/>
      <c r="C191" s="355"/>
      <c r="D191" s="355"/>
      <c r="E191" s="355"/>
      <c r="F191" s="355"/>
      <c r="G191" s="355"/>
      <c r="H191" s="355"/>
      <c r="I191" s="355"/>
      <c r="J191" s="355"/>
      <c r="K191" s="355"/>
      <c r="L191" s="355"/>
    </row>
    <row r="192" customFormat="false" ht="12" hidden="false" customHeight="false" outlineLevel="0" collapsed="false">
      <c r="B192" s="355"/>
      <c r="C192" s="355"/>
      <c r="D192" s="355"/>
      <c r="E192" s="355"/>
      <c r="F192" s="355"/>
      <c r="G192" s="355"/>
      <c r="H192" s="355"/>
      <c r="I192" s="355"/>
      <c r="J192" s="355"/>
      <c r="K192" s="355"/>
      <c r="L192" s="355"/>
    </row>
    <row r="193" customFormat="false" ht="12" hidden="false" customHeight="false" outlineLevel="0" collapsed="false">
      <c r="B193" s="355"/>
      <c r="C193" s="355"/>
      <c r="D193" s="355"/>
      <c r="E193" s="355"/>
      <c r="F193" s="355"/>
      <c r="G193" s="355"/>
      <c r="H193" s="355"/>
      <c r="I193" s="355"/>
      <c r="J193" s="355"/>
      <c r="K193" s="355"/>
      <c r="L193" s="355"/>
    </row>
    <row r="194" customFormat="false" ht="12" hidden="false" customHeight="false" outlineLevel="0" collapsed="false">
      <c r="B194" s="355"/>
      <c r="C194" s="355"/>
      <c r="D194" s="355"/>
      <c r="E194" s="355"/>
      <c r="F194" s="355"/>
      <c r="G194" s="355"/>
      <c r="H194" s="355"/>
      <c r="I194" s="355"/>
      <c r="J194" s="355"/>
      <c r="K194" s="355"/>
      <c r="L194" s="355"/>
    </row>
    <row r="195" customFormat="false" ht="12" hidden="false" customHeight="false" outlineLevel="0" collapsed="false">
      <c r="B195" s="355"/>
      <c r="C195" s="355"/>
      <c r="D195" s="355"/>
      <c r="E195" s="355"/>
      <c r="F195" s="355"/>
      <c r="G195" s="355"/>
      <c r="H195" s="355"/>
      <c r="I195" s="355"/>
      <c r="J195" s="355"/>
      <c r="K195" s="355"/>
      <c r="L195" s="355"/>
    </row>
    <row r="196" customFormat="false" ht="12" hidden="false" customHeight="false" outlineLevel="0" collapsed="false">
      <c r="B196" s="355"/>
      <c r="C196" s="355"/>
      <c r="D196" s="355"/>
      <c r="E196" s="355"/>
      <c r="F196" s="355"/>
      <c r="G196" s="355"/>
      <c r="H196" s="355"/>
      <c r="I196" s="355"/>
      <c r="J196" s="355"/>
      <c r="K196" s="355"/>
      <c r="L196" s="355"/>
    </row>
    <row r="197" customFormat="false" ht="12" hidden="false" customHeight="false" outlineLevel="0" collapsed="false">
      <c r="B197" s="355"/>
      <c r="C197" s="355"/>
      <c r="D197" s="355"/>
      <c r="E197" s="355"/>
      <c r="F197" s="355"/>
      <c r="G197" s="355"/>
      <c r="H197" s="355"/>
      <c r="I197" s="355"/>
      <c r="J197" s="355"/>
      <c r="K197" s="355"/>
      <c r="L197" s="355"/>
    </row>
    <row r="198" customFormat="false" ht="12" hidden="false" customHeight="false" outlineLevel="0" collapsed="false">
      <c r="B198" s="355"/>
      <c r="C198" s="355"/>
      <c r="D198" s="355"/>
      <c r="E198" s="355"/>
      <c r="F198" s="355"/>
      <c r="G198" s="355"/>
      <c r="H198" s="355"/>
      <c r="I198" s="355"/>
      <c r="J198" s="355"/>
      <c r="K198" s="355"/>
      <c r="L198" s="355"/>
    </row>
    <row r="199" customFormat="false" ht="12" hidden="false" customHeight="false" outlineLevel="0" collapsed="false">
      <c r="B199" s="355"/>
      <c r="C199" s="355"/>
      <c r="D199" s="355"/>
      <c r="E199" s="355"/>
      <c r="F199" s="355"/>
      <c r="G199" s="355"/>
      <c r="H199" s="355"/>
      <c r="I199" s="355"/>
      <c r="J199" s="355"/>
      <c r="K199" s="355"/>
      <c r="L199" s="355"/>
    </row>
    <row r="200" customFormat="false" ht="12" hidden="false" customHeight="false" outlineLevel="0" collapsed="false">
      <c r="B200" s="355"/>
      <c r="C200" s="355"/>
      <c r="D200" s="355"/>
      <c r="E200" s="355"/>
      <c r="F200" s="355"/>
      <c r="G200" s="355"/>
      <c r="H200" s="355"/>
      <c r="I200" s="355"/>
      <c r="J200" s="355"/>
      <c r="K200" s="355"/>
      <c r="L200" s="355"/>
    </row>
    <row r="201" customFormat="false" ht="12" hidden="false" customHeight="false" outlineLevel="0" collapsed="false">
      <c r="B201" s="355"/>
      <c r="C201" s="355"/>
      <c r="D201" s="355"/>
      <c r="E201" s="355"/>
      <c r="F201" s="355"/>
      <c r="G201" s="355"/>
      <c r="H201" s="355"/>
      <c r="I201" s="355"/>
      <c r="J201" s="355"/>
      <c r="K201" s="355"/>
      <c r="L201" s="355"/>
    </row>
    <row r="202" customFormat="false" ht="12" hidden="false" customHeight="false" outlineLevel="0" collapsed="false">
      <c r="B202" s="355"/>
      <c r="C202" s="355"/>
      <c r="D202" s="355"/>
      <c r="E202" s="355"/>
      <c r="F202" s="355"/>
      <c r="G202" s="355"/>
      <c r="H202" s="355"/>
      <c r="I202" s="355"/>
      <c r="J202" s="355"/>
      <c r="K202" s="355"/>
      <c r="L202" s="355"/>
    </row>
    <row r="203" customFormat="false" ht="12" hidden="false" customHeight="false" outlineLevel="0" collapsed="false">
      <c r="B203" s="355"/>
      <c r="C203" s="355"/>
      <c r="D203" s="355"/>
      <c r="E203" s="355"/>
      <c r="F203" s="355"/>
      <c r="G203" s="355"/>
      <c r="H203" s="355"/>
      <c r="I203" s="355"/>
      <c r="J203" s="355"/>
      <c r="K203" s="355"/>
      <c r="L203" s="355"/>
    </row>
    <row r="204" customFormat="false" ht="12" hidden="false" customHeight="false" outlineLevel="0" collapsed="false">
      <c r="B204" s="355"/>
      <c r="C204" s="355"/>
      <c r="D204" s="355"/>
      <c r="E204" s="355"/>
      <c r="F204" s="355"/>
      <c r="G204" s="355"/>
      <c r="H204" s="355"/>
      <c r="I204" s="355"/>
      <c r="J204" s="355"/>
      <c r="K204" s="355"/>
      <c r="L204" s="355"/>
    </row>
    <row r="205" customFormat="false" ht="12" hidden="false" customHeight="false" outlineLevel="0" collapsed="false">
      <c r="B205" s="355"/>
      <c r="C205" s="355"/>
      <c r="D205" s="355"/>
      <c r="E205" s="355"/>
      <c r="F205" s="355"/>
      <c r="G205" s="355"/>
      <c r="H205" s="355"/>
      <c r="I205" s="355"/>
      <c r="J205" s="355"/>
      <c r="K205" s="355"/>
      <c r="L205" s="355"/>
    </row>
    <row r="206" customFormat="false" ht="12" hidden="false" customHeight="false" outlineLevel="0" collapsed="false">
      <c r="B206" s="355"/>
      <c r="C206" s="355"/>
      <c r="D206" s="355"/>
      <c r="E206" s="355"/>
      <c r="F206" s="355"/>
      <c r="G206" s="355"/>
      <c r="H206" s="355"/>
      <c r="I206" s="355"/>
      <c r="J206" s="355"/>
      <c r="K206" s="355"/>
      <c r="L206" s="355"/>
    </row>
    <row r="207" customFormat="false" ht="12" hidden="false" customHeight="false" outlineLevel="0" collapsed="false">
      <c r="B207" s="355"/>
      <c r="C207" s="355"/>
      <c r="D207" s="355"/>
      <c r="E207" s="355"/>
      <c r="F207" s="355"/>
      <c r="G207" s="355"/>
      <c r="H207" s="355"/>
      <c r="I207" s="355"/>
      <c r="J207" s="355"/>
      <c r="K207" s="355"/>
      <c r="L207" s="355"/>
    </row>
    <row r="208" customFormat="false" ht="12" hidden="false" customHeight="false" outlineLevel="0" collapsed="false">
      <c r="B208" s="355"/>
      <c r="C208" s="355"/>
      <c r="D208" s="355"/>
      <c r="E208" s="355"/>
      <c r="F208" s="355"/>
      <c r="G208" s="355"/>
      <c r="H208" s="355"/>
      <c r="I208" s="355"/>
      <c r="J208" s="355"/>
      <c r="K208" s="355"/>
      <c r="L208" s="355"/>
    </row>
    <row r="209" customFormat="false" ht="12" hidden="false" customHeight="false" outlineLevel="0" collapsed="false">
      <c r="B209" s="355"/>
      <c r="C209" s="355"/>
      <c r="D209" s="355"/>
      <c r="E209" s="355"/>
      <c r="F209" s="355"/>
      <c r="G209" s="355"/>
      <c r="H209" s="355"/>
      <c r="I209" s="355"/>
      <c r="J209" s="355"/>
      <c r="K209" s="355"/>
      <c r="L209" s="355"/>
    </row>
    <row r="210" customFormat="false" ht="12" hidden="false" customHeight="false" outlineLevel="0" collapsed="false">
      <c r="B210" s="355"/>
      <c r="C210" s="355"/>
      <c r="D210" s="355"/>
      <c r="E210" s="355"/>
      <c r="F210" s="355"/>
      <c r="G210" s="355"/>
      <c r="H210" s="355"/>
      <c r="I210" s="355"/>
      <c r="J210" s="355"/>
      <c r="K210" s="355"/>
      <c r="L210" s="355"/>
    </row>
    <row r="211" customFormat="false" ht="12" hidden="false" customHeight="false" outlineLevel="0" collapsed="false">
      <c r="B211" s="355"/>
      <c r="C211" s="355"/>
      <c r="D211" s="355"/>
      <c r="E211" s="355"/>
      <c r="F211" s="355"/>
      <c r="G211" s="355"/>
      <c r="H211" s="355"/>
      <c r="I211" s="355"/>
      <c r="J211" s="355"/>
      <c r="K211" s="355"/>
      <c r="L211" s="355"/>
    </row>
    <row r="212" customFormat="false" ht="12" hidden="false" customHeight="false" outlineLevel="0" collapsed="false">
      <c r="B212" s="355"/>
      <c r="C212" s="355"/>
      <c r="D212" s="355"/>
      <c r="E212" s="355"/>
      <c r="F212" s="355"/>
      <c r="G212" s="355"/>
      <c r="H212" s="355"/>
      <c r="I212" s="355"/>
      <c r="J212" s="355"/>
      <c r="K212" s="355"/>
      <c r="L212" s="355"/>
    </row>
    <row r="213" customFormat="false" ht="12" hidden="false" customHeight="false" outlineLevel="0" collapsed="false">
      <c r="B213" s="355"/>
      <c r="C213" s="355"/>
      <c r="D213" s="355"/>
      <c r="E213" s="355"/>
      <c r="F213" s="355"/>
      <c r="G213" s="355"/>
      <c r="H213" s="355"/>
      <c r="I213" s="355"/>
      <c r="J213" s="355"/>
      <c r="K213" s="355"/>
      <c r="L213" s="355"/>
    </row>
    <row r="214" customFormat="false" ht="12" hidden="false" customHeight="false" outlineLevel="0" collapsed="false">
      <c r="B214" s="355"/>
      <c r="C214" s="355"/>
      <c r="D214" s="355"/>
      <c r="E214" s="355"/>
      <c r="F214" s="355"/>
      <c r="G214" s="355"/>
      <c r="H214" s="355"/>
      <c r="I214" s="355"/>
      <c r="J214" s="355"/>
      <c r="K214" s="355"/>
      <c r="L214" s="355"/>
    </row>
    <row r="215" customFormat="false" ht="12" hidden="false" customHeight="false" outlineLevel="0" collapsed="false">
      <c r="B215" s="355"/>
      <c r="C215" s="355"/>
      <c r="D215" s="355"/>
      <c r="E215" s="355"/>
      <c r="F215" s="355"/>
      <c r="G215" s="355"/>
      <c r="H215" s="355"/>
      <c r="I215" s="355"/>
      <c r="J215" s="355"/>
      <c r="K215" s="355"/>
      <c r="L215" s="355"/>
    </row>
    <row r="216" customFormat="false" ht="12" hidden="false" customHeight="false" outlineLevel="0" collapsed="false">
      <c r="B216" s="355"/>
      <c r="C216" s="355"/>
      <c r="D216" s="355"/>
      <c r="E216" s="355"/>
      <c r="F216" s="355"/>
      <c r="G216" s="355"/>
      <c r="H216" s="355"/>
      <c r="I216" s="355"/>
      <c r="J216" s="355"/>
      <c r="K216" s="355"/>
      <c r="L216" s="355"/>
    </row>
    <row r="217" customFormat="false" ht="12" hidden="false" customHeight="false" outlineLevel="0" collapsed="false">
      <c r="B217" s="355"/>
      <c r="C217" s="355"/>
      <c r="D217" s="355"/>
      <c r="E217" s="355"/>
      <c r="F217" s="355"/>
      <c r="G217" s="355"/>
      <c r="H217" s="355"/>
      <c r="I217" s="355"/>
      <c r="J217" s="355"/>
      <c r="K217" s="355"/>
      <c r="L217" s="355"/>
    </row>
    <row r="218" customFormat="false" ht="12" hidden="false" customHeight="false" outlineLevel="0" collapsed="false">
      <c r="B218" s="355"/>
      <c r="C218" s="355"/>
      <c r="D218" s="355"/>
      <c r="E218" s="355"/>
      <c r="F218" s="355"/>
      <c r="G218" s="355"/>
      <c r="H218" s="355"/>
      <c r="I218" s="355"/>
      <c r="J218" s="355"/>
      <c r="K218" s="355"/>
      <c r="L218" s="355"/>
    </row>
    <row r="219" customFormat="false" ht="12" hidden="false" customHeight="false" outlineLevel="0" collapsed="false">
      <c r="B219" s="355"/>
      <c r="C219" s="355"/>
      <c r="D219" s="355"/>
      <c r="E219" s="355"/>
      <c r="F219" s="355"/>
      <c r="G219" s="355"/>
      <c r="H219" s="355"/>
      <c r="I219" s="355"/>
      <c r="J219" s="355"/>
      <c r="K219" s="355"/>
      <c r="L219" s="355"/>
    </row>
    <row r="220" customFormat="false" ht="12" hidden="false" customHeight="false" outlineLevel="0" collapsed="false">
      <c r="B220" s="355"/>
      <c r="C220" s="355"/>
      <c r="D220" s="355"/>
      <c r="E220" s="355"/>
      <c r="F220" s="355"/>
      <c r="G220" s="355"/>
      <c r="H220" s="355"/>
      <c r="I220" s="355"/>
      <c r="J220" s="355"/>
      <c r="K220" s="355"/>
      <c r="L220" s="355"/>
    </row>
    <row r="221" customFormat="false" ht="12" hidden="false" customHeight="false" outlineLevel="0" collapsed="false">
      <c r="B221" s="355"/>
      <c r="C221" s="355"/>
      <c r="D221" s="355"/>
      <c r="E221" s="355"/>
      <c r="F221" s="355"/>
      <c r="G221" s="355"/>
      <c r="H221" s="355"/>
      <c r="I221" s="355"/>
      <c r="J221" s="355"/>
      <c r="K221" s="355"/>
      <c r="L221" s="355"/>
    </row>
    <row r="222" customFormat="false" ht="12" hidden="false" customHeight="false" outlineLevel="0" collapsed="false">
      <c r="B222" s="355"/>
      <c r="C222" s="355"/>
      <c r="D222" s="355"/>
      <c r="E222" s="355"/>
      <c r="F222" s="355"/>
      <c r="G222" s="355"/>
      <c r="H222" s="355"/>
      <c r="I222" s="355"/>
      <c r="J222" s="355"/>
      <c r="K222" s="355"/>
      <c r="L222" s="355"/>
    </row>
    <row r="223" customFormat="false" ht="12" hidden="false" customHeight="false" outlineLevel="0" collapsed="false">
      <c r="B223" s="355"/>
      <c r="C223" s="355"/>
      <c r="D223" s="355"/>
      <c r="E223" s="355"/>
      <c r="F223" s="355"/>
      <c r="G223" s="355"/>
      <c r="H223" s="355"/>
      <c r="I223" s="355"/>
      <c r="J223" s="355"/>
      <c r="K223" s="355"/>
      <c r="L223" s="355"/>
    </row>
    <row r="224" customFormat="false" ht="12" hidden="false" customHeight="false" outlineLevel="0" collapsed="false">
      <c r="B224" s="355"/>
      <c r="C224" s="355"/>
      <c r="D224" s="355"/>
      <c r="E224" s="355"/>
      <c r="F224" s="355"/>
      <c r="G224" s="355"/>
      <c r="H224" s="355"/>
      <c r="I224" s="355"/>
      <c r="J224" s="355"/>
      <c r="K224" s="355"/>
      <c r="L224" s="355"/>
    </row>
    <row r="225" customFormat="false" ht="12" hidden="false" customHeight="false" outlineLevel="0" collapsed="false">
      <c r="B225" s="355"/>
      <c r="C225" s="355"/>
      <c r="D225" s="355"/>
      <c r="E225" s="355"/>
      <c r="F225" s="355"/>
      <c r="G225" s="355"/>
      <c r="H225" s="355"/>
      <c r="I225" s="355"/>
      <c r="J225" s="355"/>
      <c r="K225" s="355"/>
      <c r="L225" s="355"/>
    </row>
    <row r="226" customFormat="false" ht="12" hidden="false" customHeight="false" outlineLevel="0" collapsed="false">
      <c r="B226" s="355"/>
      <c r="C226" s="355"/>
      <c r="D226" s="355"/>
      <c r="E226" s="355"/>
      <c r="F226" s="355"/>
      <c r="G226" s="355"/>
      <c r="H226" s="355"/>
      <c r="I226" s="355"/>
      <c r="J226" s="355"/>
      <c r="K226" s="355"/>
      <c r="L226" s="355"/>
    </row>
    <row r="227" customFormat="false" ht="12" hidden="false" customHeight="false" outlineLevel="0" collapsed="false">
      <c r="B227" s="355"/>
      <c r="C227" s="355"/>
      <c r="D227" s="355"/>
      <c r="E227" s="355"/>
      <c r="F227" s="355"/>
      <c r="G227" s="355"/>
      <c r="H227" s="355"/>
      <c r="I227" s="355"/>
      <c r="J227" s="355"/>
      <c r="K227" s="355"/>
      <c r="L227" s="355"/>
    </row>
    <row r="228" customFormat="false" ht="12" hidden="false" customHeight="false" outlineLevel="0" collapsed="false">
      <c r="B228" s="355"/>
      <c r="C228" s="355"/>
      <c r="D228" s="355"/>
      <c r="E228" s="355"/>
      <c r="F228" s="355"/>
      <c r="G228" s="355"/>
      <c r="H228" s="355"/>
      <c r="I228" s="355"/>
      <c r="J228" s="355"/>
      <c r="K228" s="355"/>
      <c r="L228" s="355"/>
    </row>
    <row r="229" customFormat="false" ht="12" hidden="false" customHeight="false" outlineLevel="0" collapsed="false">
      <c r="B229" s="355"/>
      <c r="C229" s="355"/>
      <c r="D229" s="355"/>
      <c r="E229" s="355"/>
      <c r="F229" s="355"/>
      <c r="G229" s="355"/>
      <c r="H229" s="355"/>
      <c r="I229" s="355"/>
      <c r="J229" s="355"/>
      <c r="K229" s="355"/>
      <c r="L229" s="355"/>
    </row>
    <row r="230" customFormat="false" ht="12" hidden="false" customHeight="false" outlineLevel="0" collapsed="false">
      <c r="B230" s="355"/>
      <c r="C230" s="355"/>
      <c r="D230" s="355"/>
      <c r="E230" s="355"/>
      <c r="F230" s="355"/>
      <c r="G230" s="355"/>
      <c r="H230" s="355"/>
      <c r="I230" s="355"/>
      <c r="J230" s="355"/>
      <c r="K230" s="355"/>
      <c r="L230" s="355"/>
    </row>
    <row r="231" customFormat="false" ht="12" hidden="false" customHeight="false" outlineLevel="0" collapsed="false">
      <c r="B231" s="355"/>
      <c r="C231" s="355"/>
      <c r="D231" s="355"/>
      <c r="E231" s="355"/>
      <c r="F231" s="355"/>
      <c r="G231" s="355"/>
      <c r="H231" s="355"/>
      <c r="I231" s="355"/>
      <c r="J231" s="355"/>
      <c r="K231" s="355"/>
      <c r="L231" s="355"/>
    </row>
    <row r="232" customFormat="false" ht="12" hidden="false" customHeight="false" outlineLevel="0" collapsed="false">
      <c r="B232" s="355"/>
      <c r="C232" s="355"/>
      <c r="D232" s="355"/>
      <c r="E232" s="355"/>
      <c r="F232" s="355"/>
      <c r="G232" s="355"/>
      <c r="H232" s="355"/>
      <c r="I232" s="355"/>
      <c r="J232" s="355"/>
      <c r="K232" s="355"/>
      <c r="L232" s="355"/>
    </row>
    <row r="233" customFormat="false" ht="12" hidden="false" customHeight="false" outlineLevel="0" collapsed="false">
      <c r="B233" s="355"/>
      <c r="C233" s="355"/>
      <c r="D233" s="355"/>
      <c r="E233" s="355"/>
      <c r="F233" s="355"/>
      <c r="G233" s="355"/>
      <c r="H233" s="355"/>
      <c r="I233" s="355"/>
      <c r="J233" s="355"/>
      <c r="K233" s="355"/>
      <c r="L233" s="355"/>
    </row>
    <row r="234" customFormat="false" ht="12" hidden="false" customHeight="false" outlineLevel="0" collapsed="false">
      <c r="B234" s="355"/>
      <c r="C234" s="355"/>
      <c r="D234" s="355"/>
      <c r="E234" s="355"/>
      <c r="F234" s="355"/>
      <c r="G234" s="355"/>
      <c r="H234" s="355"/>
      <c r="I234" s="355"/>
      <c r="J234" s="355"/>
      <c r="K234" s="355"/>
      <c r="L234" s="355"/>
    </row>
    <row r="235" customFormat="false" ht="12" hidden="false" customHeight="false" outlineLevel="0" collapsed="false">
      <c r="B235" s="355"/>
      <c r="C235" s="355"/>
      <c r="D235" s="355"/>
      <c r="E235" s="355"/>
      <c r="F235" s="355"/>
      <c r="G235" s="355"/>
      <c r="H235" s="355"/>
      <c r="I235" s="355"/>
      <c r="J235" s="355"/>
      <c r="K235" s="355"/>
      <c r="L235" s="355"/>
    </row>
    <row r="236" customFormat="false" ht="12" hidden="false" customHeight="false" outlineLevel="0" collapsed="false">
      <c r="B236" s="355"/>
      <c r="C236" s="355"/>
      <c r="D236" s="355"/>
      <c r="E236" s="355"/>
      <c r="F236" s="355"/>
      <c r="G236" s="355"/>
      <c r="H236" s="355"/>
      <c r="I236" s="355"/>
      <c r="J236" s="355"/>
      <c r="K236" s="355"/>
      <c r="L236" s="355"/>
    </row>
    <row r="237" customFormat="false" ht="12" hidden="false" customHeight="false" outlineLevel="0" collapsed="false">
      <c r="B237" s="355"/>
      <c r="C237" s="355"/>
      <c r="D237" s="355"/>
      <c r="E237" s="355"/>
      <c r="F237" s="355"/>
      <c r="G237" s="355"/>
      <c r="H237" s="355"/>
      <c r="I237" s="355"/>
      <c r="J237" s="355"/>
      <c r="K237" s="355"/>
      <c r="L237" s="355"/>
    </row>
    <row r="238" customFormat="false" ht="12" hidden="false" customHeight="false" outlineLevel="0" collapsed="false">
      <c r="B238" s="355"/>
      <c r="C238" s="355"/>
      <c r="D238" s="355"/>
      <c r="E238" s="355"/>
      <c r="F238" s="355"/>
      <c r="G238" s="355"/>
      <c r="H238" s="355"/>
      <c r="I238" s="355"/>
      <c r="J238" s="355"/>
      <c r="K238" s="355"/>
      <c r="L238" s="355"/>
    </row>
  </sheetData>
  <mergeCells count="2">
    <mergeCell ref="A3:L3"/>
    <mergeCell ref="B6:L6"/>
  </mergeCells>
  <hyperlinks>
    <hyperlink ref="B1" location="Index!A1" display="Back to index"/>
  </hyperlinks>
  <printOptions headings="false" gridLines="false" gridLinesSet="true" horizontalCentered="true" verticalCentered="true"/>
  <pageMargins left="0.790277777777778" right="0.790277777777778" top="0.979861111111111" bottom="0.97986111111111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CCFF"/>
    <pageSetUpPr fitToPage="true"/>
  </sheetPr>
  <dimension ref="A1:T3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A3" activeCellId="0" sqref="A3"/>
    </sheetView>
  </sheetViews>
  <sheetFormatPr defaultColWidth="11.0546875" defaultRowHeight="12" zeroHeight="false" outlineLevelRow="0" outlineLevelCol="0"/>
  <cols>
    <col collapsed="false" customWidth="true" hidden="false" outlineLevel="0" max="1" min="1" style="0" width="10.66"/>
    <col collapsed="false" customWidth="true" hidden="false" outlineLevel="0" max="4" min="2" style="0" width="8.82"/>
    <col collapsed="false" customWidth="true" hidden="false" outlineLevel="0" max="10" min="5" style="20" width="8.82"/>
    <col collapsed="false" customWidth="true" hidden="false" outlineLevel="0" max="12" min="11" style="0" width="8.82"/>
    <col collapsed="false" customWidth="true" hidden="false" outlineLevel="0" max="14" min="13" style="20" width="8.82"/>
  </cols>
  <sheetData>
    <row r="1" customFormat="false" ht="12" hidden="false" customHeight="false" outlineLevel="0" collapsed="false">
      <c r="A1" s="20"/>
      <c r="B1" s="21" t="s">
        <v>9</v>
      </c>
      <c r="C1" s="20"/>
      <c r="D1" s="20"/>
      <c r="E1" s="356"/>
      <c r="F1" s="356"/>
      <c r="G1" s="356"/>
      <c r="H1" s="356"/>
      <c r="I1" s="356"/>
      <c r="J1" s="356"/>
      <c r="K1" s="356"/>
      <c r="L1" s="356"/>
      <c r="M1" s="356"/>
      <c r="N1" s="356"/>
    </row>
    <row r="2" customFormat="false" ht="13" hidden="false" customHeight="false" outlineLevel="0" collapsed="false">
      <c r="A2" s="20"/>
      <c r="B2" s="20"/>
      <c r="C2" s="20"/>
      <c r="D2" s="20"/>
      <c r="K2" s="20"/>
      <c r="L2" s="20"/>
    </row>
    <row r="3" customFormat="false" ht="19" hidden="false" customHeight="true" outlineLevel="0" collapsed="false">
      <c r="A3" s="357" t="s">
        <v>89</v>
      </c>
      <c r="B3" s="357"/>
      <c r="C3" s="357"/>
      <c r="D3" s="357"/>
      <c r="E3" s="357"/>
      <c r="F3" s="357"/>
      <c r="G3" s="357"/>
      <c r="H3" s="357"/>
      <c r="I3" s="357"/>
      <c r="J3" s="357"/>
      <c r="K3" s="357"/>
      <c r="L3" s="357"/>
      <c r="M3" s="357"/>
      <c r="N3" s="357"/>
    </row>
    <row r="4" customFormat="false" ht="12" hidden="false" customHeight="false" outlineLevel="0" collapsed="false">
      <c r="A4" s="358"/>
      <c r="B4" s="114"/>
      <c r="C4" s="114"/>
      <c r="D4" s="114"/>
      <c r="E4" s="114"/>
      <c r="F4" s="114"/>
      <c r="G4" s="114"/>
      <c r="H4" s="114"/>
      <c r="I4" s="114"/>
      <c r="J4" s="114"/>
      <c r="K4" s="114"/>
      <c r="L4" s="114"/>
      <c r="M4" s="114"/>
      <c r="N4" s="359"/>
    </row>
    <row r="5" customFormat="false" ht="12" hidden="false" customHeight="false" outlineLevel="0" collapsed="false">
      <c r="A5" s="358"/>
      <c r="B5" s="360" t="s">
        <v>11</v>
      </c>
      <c r="C5" s="360" t="s">
        <v>12</v>
      </c>
      <c r="D5" s="360" t="s">
        <v>13</v>
      </c>
      <c r="E5" s="360" t="s">
        <v>14</v>
      </c>
      <c r="F5" s="361" t="s">
        <v>15</v>
      </c>
      <c r="G5" s="361" t="s">
        <v>16</v>
      </c>
      <c r="H5" s="361" t="s">
        <v>17</v>
      </c>
      <c r="I5" s="361" t="s">
        <v>18</v>
      </c>
      <c r="J5" s="361" t="s">
        <v>19</v>
      </c>
      <c r="K5" s="361" t="s">
        <v>20</v>
      </c>
      <c r="L5" s="361" t="s">
        <v>21</v>
      </c>
      <c r="M5" s="360" t="s">
        <v>22</v>
      </c>
      <c r="N5" s="362" t="s">
        <v>23</v>
      </c>
      <c r="O5" s="31"/>
    </row>
    <row r="6" customFormat="false" ht="28.75" hidden="false" customHeight="true" outlineLevel="0" collapsed="false">
      <c r="A6" s="358"/>
      <c r="B6" s="363" t="s">
        <v>90</v>
      </c>
      <c r="C6" s="363"/>
      <c r="D6" s="363"/>
      <c r="E6" s="363"/>
      <c r="F6" s="363"/>
      <c r="G6" s="363"/>
      <c r="H6" s="363"/>
      <c r="I6" s="363"/>
      <c r="J6" s="363"/>
      <c r="K6" s="363"/>
      <c r="L6" s="363"/>
      <c r="M6" s="363"/>
      <c r="N6" s="363"/>
    </row>
    <row r="7" customFormat="false" ht="39.75" hidden="false" customHeight="true" outlineLevel="0" collapsed="false">
      <c r="A7" s="364"/>
      <c r="B7" s="365" t="s">
        <v>91</v>
      </c>
      <c r="C7" s="365"/>
      <c r="D7" s="365"/>
      <c r="E7" s="365" t="s">
        <v>92</v>
      </c>
      <c r="F7" s="365"/>
      <c r="G7" s="365"/>
      <c r="H7" s="365"/>
      <c r="I7" s="365"/>
      <c r="J7" s="366" t="s">
        <v>93</v>
      </c>
      <c r="K7" s="366"/>
      <c r="L7" s="366"/>
      <c r="M7" s="367" t="s">
        <v>94</v>
      </c>
      <c r="N7" s="367"/>
      <c r="R7" s="368" t="s">
        <v>95</v>
      </c>
      <c r="S7" s="368"/>
      <c r="T7" s="368"/>
    </row>
    <row r="8" customFormat="false" ht="79.75" hidden="false" customHeight="true" outlineLevel="0" collapsed="false">
      <c r="A8" s="364"/>
      <c r="B8" s="369" t="s">
        <v>96</v>
      </c>
      <c r="C8" s="369" t="s">
        <v>97</v>
      </c>
      <c r="D8" s="370" t="s">
        <v>98</v>
      </c>
      <c r="E8" s="369" t="s">
        <v>58</v>
      </c>
      <c r="F8" s="369" t="s">
        <v>99</v>
      </c>
      <c r="G8" s="369" t="s">
        <v>100</v>
      </c>
      <c r="H8" s="371" t="s">
        <v>101</v>
      </c>
      <c r="I8" s="372" t="s">
        <v>102</v>
      </c>
      <c r="J8" s="46" t="s">
        <v>103</v>
      </c>
      <c r="K8" s="373" t="s">
        <v>104</v>
      </c>
      <c r="L8" s="374" t="s">
        <v>105</v>
      </c>
      <c r="M8" s="375" t="s">
        <v>106</v>
      </c>
      <c r="N8" s="376" t="s">
        <v>107</v>
      </c>
      <c r="R8" s="377" t="s">
        <v>108</v>
      </c>
      <c r="S8" s="377" t="s">
        <v>109</v>
      </c>
      <c r="T8" s="377" t="s">
        <v>110</v>
      </c>
    </row>
    <row r="9" customFormat="false" ht="39.75" hidden="false" customHeight="true" outlineLevel="0" collapsed="false">
      <c r="A9" s="364"/>
      <c r="B9" s="369"/>
      <c r="C9" s="369"/>
      <c r="D9" s="378" t="s">
        <v>111</v>
      </c>
      <c r="E9" s="369"/>
      <c r="F9" s="369"/>
      <c r="G9" s="369"/>
      <c r="H9" s="379" t="s">
        <v>112</v>
      </c>
      <c r="I9" s="379"/>
      <c r="J9" s="46"/>
      <c r="K9" s="373"/>
      <c r="L9" s="374"/>
      <c r="M9" s="375"/>
      <c r="N9" s="376"/>
    </row>
    <row r="10" customFormat="false" ht="12" hidden="false" customHeight="true" outlineLevel="0" collapsed="false">
      <c r="A10" s="380" t="n">
        <v>1870</v>
      </c>
      <c r="B10" s="381"/>
      <c r="C10" s="381"/>
      <c r="D10" s="382"/>
      <c r="E10" s="383" t="n">
        <f aca="false">E11/(1+B11)</f>
        <v>29360.3563568407</v>
      </c>
      <c r="F10" s="383" t="n">
        <f aca="false">E10*TableDE1!S10/TableDE1!R10</f>
        <v>16592.9162685381</v>
      </c>
      <c r="G10" s="383" t="n">
        <f aca="false">TableDE3b!E10*TableDE1!T10/TableDE1!R10</f>
        <v>12756.7983044156</v>
      </c>
      <c r="H10" s="384" t="n">
        <f aca="false">H11/(1+D11)</f>
        <v>70.3193125668467</v>
      </c>
      <c r="I10" s="385" t="n">
        <f aca="false">1000000*H10/E10</f>
        <v>2395.04288409166</v>
      </c>
      <c r="J10" s="386"/>
      <c r="K10" s="387"/>
      <c r="L10" s="388"/>
      <c r="M10" s="389"/>
      <c r="N10" s="390"/>
      <c r="O10" s="123"/>
      <c r="R10" s="25"/>
      <c r="S10" s="25"/>
      <c r="T10" s="25"/>
    </row>
    <row r="11" customFormat="false" ht="12" hidden="false" customHeight="true" outlineLevel="0" collapsed="false">
      <c r="A11" s="391" t="n">
        <v>1871</v>
      </c>
      <c r="B11" s="392" t="n">
        <v>0.0052</v>
      </c>
      <c r="C11" s="392" t="n">
        <v>0.00573526038082139</v>
      </c>
      <c r="D11" s="393" t="n">
        <f aca="false">(TableDE1!J11/TableDE1!J10)*(1+TableDE3b!B11)-1</f>
        <v>0.00142967805649263</v>
      </c>
      <c r="E11" s="381" t="n">
        <f aca="false">E12/(1+B12)</f>
        <v>29513.0302098963</v>
      </c>
      <c r="F11" s="381" t="n">
        <f aca="false">E11*TableDE1!S11/TableDE1!R11</f>
        <v>16679.1994331344</v>
      </c>
      <c r="G11" s="394" t="n">
        <f aca="false">TableDE3b!E11*TableDE1!T11/TableDE1!R11</f>
        <v>12481.2148981332</v>
      </c>
      <c r="H11" s="395" t="n">
        <f aca="false">H12/(1+D12)</f>
        <v>70.4198465449712</v>
      </c>
      <c r="I11" s="396" t="n">
        <f aca="false">1000000*H11/E11</f>
        <v>2386.05951487008</v>
      </c>
      <c r="J11" s="397" t="n">
        <f aca="false">I11/I10-1</f>
        <v>-0.00375081769151131</v>
      </c>
      <c r="K11" s="392" t="n">
        <v>0.00524739857871603</v>
      </c>
      <c r="L11" s="398" t="n">
        <v>-0.0122439853054169</v>
      </c>
      <c r="M11" s="399" t="n">
        <f aca="false">(TableDE1!D11/TableDE1!D10)/(1+D11)-1</f>
        <v>0.0395587359586538</v>
      </c>
      <c r="N11" s="400" t="n">
        <f aca="false">(TableDE1!R11/TableDE1!R10)/(1+B11)-1</f>
        <v>0.0395587359586538</v>
      </c>
      <c r="O11" s="123"/>
      <c r="R11" s="387" t="n">
        <f aca="false">1+K11</f>
        <v>1.00524739857872</v>
      </c>
      <c r="S11" s="387" t="n">
        <f aca="false">1+L11</f>
        <v>0.987756014694583</v>
      </c>
      <c r="T11" s="387" t="n">
        <f aca="false">1+C11</f>
        <v>1.00573526038082</v>
      </c>
    </row>
    <row r="12" customFormat="false" ht="12" hidden="false" customHeight="true" outlineLevel="0" collapsed="false">
      <c r="A12" s="380" t="n">
        <v>1872</v>
      </c>
      <c r="B12" s="387" t="n">
        <f aca="false">TableDE1!R12/TableDE1!R11-1</f>
        <v>0.00463471155018902</v>
      </c>
      <c r="C12" s="387" t="n">
        <v>0.00595600162206011</v>
      </c>
      <c r="D12" s="382" t="n">
        <f aca="false">TableDE1!D12/TableDE1!D11-1</f>
        <v>0.105609366034594</v>
      </c>
      <c r="E12" s="383" t="n">
        <f aca="false">E13/(1+B13)</f>
        <v>29649.8145918912</v>
      </c>
      <c r="F12" s="401" t="n">
        <f aca="false">E12*TableDE1!S12/TableDE1!R12</f>
        <v>16806.8158193988</v>
      </c>
      <c r="G12" s="401" t="n">
        <f aca="false">TableDE3b!E12*TableDE1!T12/TableDE1!R12</f>
        <v>12716.2680598245</v>
      </c>
      <c r="H12" s="384" t="n">
        <f aca="false">H13/(1+D13)</f>
        <v>77.856841894839</v>
      </c>
      <c r="I12" s="385" t="n">
        <f aca="false">1000000*H12/E12</f>
        <v>2625.87955326141</v>
      </c>
      <c r="J12" s="402" t="n">
        <f aca="false">I12/I11-1</f>
        <v>0.100508825071948</v>
      </c>
      <c r="K12" s="387" t="n">
        <v>0.0169142099273969</v>
      </c>
      <c r="L12" s="388" t="n">
        <v>0.0632039792162669</v>
      </c>
      <c r="M12" s="403" t="n">
        <f aca="false">(TableDE1!D12/TableDE1!D11)/(1+D12)-1</f>
        <v>0</v>
      </c>
      <c r="N12" s="404" t="n">
        <f aca="false">(TableDE1!R12/TableDE1!R11)/(1+B12)-1</f>
        <v>0</v>
      </c>
      <c r="O12" s="123"/>
      <c r="R12" s="387" t="n">
        <f aca="false">1+K12</f>
        <v>1.0169142099274</v>
      </c>
      <c r="S12" s="387" t="n">
        <f aca="false">1+L12</f>
        <v>1.06320397921627</v>
      </c>
      <c r="T12" s="387" t="n">
        <f aca="false">1+C12</f>
        <v>1.00595600162206</v>
      </c>
    </row>
    <row r="13" customFormat="false" ht="12" hidden="false" customHeight="true" outlineLevel="0" collapsed="false">
      <c r="A13" s="380" t="n">
        <v>1873</v>
      </c>
      <c r="B13" s="387" t="n">
        <f aca="false">TableDE1!R13/TableDE1!R12-1</f>
        <v>0.0084253975962123</v>
      </c>
      <c r="C13" s="387" t="n">
        <v>0.00821344889269615</v>
      </c>
      <c r="D13" s="382" t="n">
        <f aca="false">TableDE1!D13/TableDE1!D12-1</f>
        <v>0.0239336726672639</v>
      </c>
      <c r="E13" s="383" t="n">
        <f aca="false">E14/(1+B14)</f>
        <v>29899.6260684819</v>
      </c>
      <c r="F13" s="401" t="n">
        <f aca="false">E13*TableDE1!S13/TableDE1!R13</f>
        <v>16999.1569409465</v>
      </c>
      <c r="G13" s="401" t="n">
        <f aca="false">TableDE3b!E13*TableDE1!T13/TableDE1!R13</f>
        <v>12951.3212215157</v>
      </c>
      <c r="H13" s="384" t="n">
        <f aca="false">H14/(1+D14)</f>
        <v>79.720242063657</v>
      </c>
      <c r="I13" s="385" t="n">
        <f aca="false">1000000*H13/E13</f>
        <v>2666.26217602409</v>
      </c>
      <c r="J13" s="402" t="n">
        <f aca="false">I13/I12-1</f>
        <v>0.0153787033805564</v>
      </c>
      <c r="K13" s="387" t="n">
        <v>0.0163812967752746</v>
      </c>
      <c r="L13" s="388" t="n">
        <v>0.0348440148231122</v>
      </c>
      <c r="M13" s="403" t="n">
        <f aca="false">(TableDE1!D13/TableDE1!D12)/(1+D13)-1</f>
        <v>0</v>
      </c>
      <c r="N13" s="404" t="n">
        <f aca="false">(TableDE1!R13/TableDE1!R12)/(1+B13)-1</f>
        <v>0</v>
      </c>
      <c r="O13" s="123"/>
      <c r="R13" s="387" t="n">
        <f aca="false">1+K13</f>
        <v>1.01638129677527</v>
      </c>
      <c r="S13" s="387" t="n">
        <f aca="false">1+L13</f>
        <v>1.03484401482311</v>
      </c>
      <c r="T13" s="387" t="n">
        <f aca="false">1+C13</f>
        <v>1.0082134488927</v>
      </c>
    </row>
    <row r="14" customFormat="false" ht="12" hidden="false" customHeight="true" outlineLevel="0" collapsed="false">
      <c r="A14" s="380" t="n">
        <v>1874</v>
      </c>
      <c r="B14" s="387" t="n">
        <f aca="false">TableDE1!R14/TableDE1!R13-1</f>
        <v>0.0108590966002118</v>
      </c>
      <c r="C14" s="387" t="n">
        <v>0.0108204013294351</v>
      </c>
      <c r="D14" s="382" t="n">
        <f aca="false">TableDE1!D14/TableDE1!D13-1</f>
        <v>0.0828654659890706</v>
      </c>
      <c r="E14" s="383" t="n">
        <f aca="false">E15/(1+B15)</f>
        <v>30224.3089962697</v>
      </c>
      <c r="F14" s="401" t="n">
        <f aca="false">E14*TableDE1!S14/TableDE1!R14</f>
        <v>17235.0404023906</v>
      </c>
      <c r="G14" s="401" t="n">
        <f aca="false">TableDE3b!E14*TableDE1!T14/TableDE1!R14</f>
        <v>13186.3743832069</v>
      </c>
      <c r="H14" s="384" t="n">
        <f aca="false">H15/(1+D15)</f>
        <v>86.3262970710235</v>
      </c>
      <c r="I14" s="385" t="n">
        <f aca="false">1000000*H14/E14</f>
        <v>2856.18761645396</v>
      </c>
      <c r="J14" s="402" t="n">
        <f aca="false">I14/I13-1</f>
        <v>0.0712328450434243</v>
      </c>
      <c r="K14" s="387" t="n">
        <v>0.0099106406782028</v>
      </c>
      <c r="L14" s="388" t="n">
        <v>0.0626852948835981</v>
      </c>
      <c r="M14" s="403" t="n">
        <f aca="false">(TableDE1!D14/TableDE1!D13)/(1+D14)-1</f>
        <v>0</v>
      </c>
      <c r="N14" s="404" t="n">
        <f aca="false">(TableDE1!R14/TableDE1!R13)/(1+B14)-1</f>
        <v>0</v>
      </c>
      <c r="O14" s="123"/>
      <c r="R14" s="387" t="n">
        <f aca="false">1+K14</f>
        <v>1.0099106406782</v>
      </c>
      <c r="S14" s="387" t="n">
        <f aca="false">1+L14</f>
        <v>1.0626852948836</v>
      </c>
      <c r="T14" s="387" t="n">
        <f aca="false">1+C14</f>
        <v>1.01082040132944</v>
      </c>
    </row>
    <row r="15" customFormat="false" ht="12" hidden="false" customHeight="true" outlineLevel="0" collapsed="false">
      <c r="A15" s="380" t="n">
        <v>1875</v>
      </c>
      <c r="B15" s="387" t="n">
        <f aca="false">TableDE1!R15/TableDE1!R14-1</f>
        <v>0.0125526999023413</v>
      </c>
      <c r="C15" s="387" t="n">
        <v>0.0110506798516687</v>
      </c>
      <c r="D15" s="382" t="n">
        <f aca="false">TableDE1!D15/TableDE1!D14-1</f>
        <v>-0.0127907053601823</v>
      </c>
      <c r="E15" s="383" t="n">
        <f aca="false">E16/(1+B16)</f>
        <v>30603.7056768555</v>
      </c>
      <c r="F15" s="401" t="n">
        <f aca="false">E15*TableDE1!S15/TableDE1!R15</f>
        <v>17503.3184690143</v>
      </c>
      <c r="G15" s="401" t="n">
        <f aca="false">TableDE3b!E15*TableDE1!T15/TableDE1!R15</f>
        <v>13421.4275448981</v>
      </c>
      <c r="H15" s="384" t="n">
        <f aca="false">H16/(1+D16)</f>
        <v>85.2221228403524</v>
      </c>
      <c r="I15" s="385" t="n">
        <f aca="false">1000000*H15/E15</f>
        <v>2784.69946548999</v>
      </c>
      <c r="J15" s="402" t="n">
        <f aca="false">I15/I14-1</f>
        <v>-0.0250292209629859</v>
      </c>
      <c r="K15" s="387" t="n">
        <v>0.0290348359153008</v>
      </c>
      <c r="L15" s="388" t="n">
        <v>-0.00546542135160488</v>
      </c>
      <c r="M15" s="403" t="n">
        <f aca="false">(TableDE1!D15/TableDE1!D14)/(1+D15)-1</f>
        <v>0</v>
      </c>
      <c r="N15" s="404" t="n">
        <f aca="false">(TableDE1!R15/TableDE1!R14)/(1+B15)-1</f>
        <v>0</v>
      </c>
      <c r="O15" s="123"/>
      <c r="R15" s="387" t="n">
        <f aca="false">1+K15</f>
        <v>1.0290348359153</v>
      </c>
      <c r="S15" s="387" t="n">
        <f aca="false">1+L15</f>
        <v>0.994534578648395</v>
      </c>
      <c r="T15" s="387" t="n">
        <f aca="false">1+C15</f>
        <v>1.01105067985167</v>
      </c>
    </row>
    <row r="16" customFormat="false" ht="12" hidden="false" customHeight="true" outlineLevel="0" collapsed="false">
      <c r="A16" s="380" t="n">
        <v>1876</v>
      </c>
      <c r="B16" s="387" t="n">
        <f aca="false">TableDE1!R16/TableDE1!R15-1</f>
        <v>0.0128675605739825</v>
      </c>
      <c r="C16" s="387" t="n">
        <v>0.0145242927354086</v>
      </c>
      <c r="D16" s="382" t="n">
        <f aca="false">TableDE1!D16/TableDE1!D15-1</f>
        <v>-0.0100978319900662</v>
      </c>
      <c r="E16" s="383" t="n">
        <f aca="false">E17/(1+B17)</f>
        <v>30997.5007134408</v>
      </c>
      <c r="F16" s="401" t="n">
        <f aca="false">E16*TableDE1!S16/TableDE1!R16</f>
        <v>17781.1434915895</v>
      </c>
      <c r="G16" s="401" t="n">
        <f aca="false">TableDE3b!E16*TableDE1!T16/TableDE1!R16</f>
        <v>13599.9671592914</v>
      </c>
      <c r="H16" s="384" t="n">
        <f aca="false">H17/(1+D17)</f>
        <v>84.3615641620738</v>
      </c>
      <c r="I16" s="385" t="n">
        <f aca="false">1000000*H16/E16</f>
        <v>2721.56019744824</v>
      </c>
      <c r="J16" s="402" t="n">
        <f aca="false">I16/I15-1</f>
        <v>-0.0226736381516992</v>
      </c>
      <c r="K16" s="387" t="n">
        <v>-0.000135803526775558</v>
      </c>
      <c r="L16" s="388" t="n">
        <v>-0.0197322019524421</v>
      </c>
      <c r="M16" s="403" t="n">
        <f aca="false">(TableDE1!D16/TableDE1!D15)/(1+D16)-1</f>
        <v>0</v>
      </c>
      <c r="N16" s="404" t="n">
        <f aca="false">(TableDE1!R16/TableDE1!R15)/(1+B16)-1</f>
        <v>0</v>
      </c>
      <c r="O16" s="123"/>
      <c r="R16" s="387" t="n">
        <f aca="false">1+K16</f>
        <v>0.999864196473224</v>
      </c>
      <c r="S16" s="387" t="n">
        <f aca="false">1+L16</f>
        <v>0.980267798047558</v>
      </c>
      <c r="T16" s="387" t="n">
        <f aca="false">1+C16</f>
        <v>1.01452429273541</v>
      </c>
    </row>
    <row r="17" customFormat="false" ht="12" hidden="false" customHeight="true" outlineLevel="0" collapsed="false">
      <c r="A17" s="380" t="n">
        <v>1877</v>
      </c>
      <c r="B17" s="387" t="n">
        <f aca="false">TableDE1!R17/TableDE1!R16-1</f>
        <v>0.0127969900364633</v>
      </c>
      <c r="C17" s="387" t="n">
        <v>0.0130871755320432</v>
      </c>
      <c r="D17" s="382" t="n">
        <f aca="false">TableDE1!D17/TableDE1!D16-1</f>
        <v>-0.00583855859721627</v>
      </c>
      <c r="E17" s="383" t="n">
        <f aca="false">E18/(1+B18)</f>
        <v>31394.175421226</v>
      </c>
      <c r="F17" s="401" t="n">
        <f aca="false">E17*TableDE1!S17/TableDE1!R17</f>
        <v>18061.9617414464</v>
      </c>
      <c r="G17" s="401" t="n">
        <f aca="false">TableDE3b!E17*TableDE1!T17/TableDE1!R17</f>
        <v>13756.1893218856</v>
      </c>
      <c r="H17" s="384" t="n">
        <f aca="false">H18/(1+D18)</f>
        <v>83.8690142263607</v>
      </c>
      <c r="I17" s="385" t="n">
        <f aca="false">1000000*H17/E17</f>
        <v>2671.483264047</v>
      </c>
      <c r="J17" s="402" t="n">
        <f aca="false">I17/I16-1</f>
        <v>-0.0184000829554286</v>
      </c>
      <c r="K17" s="387" t="n">
        <v>-0.00396863449860829</v>
      </c>
      <c r="L17" s="388" t="n">
        <v>-0.0183716049911714</v>
      </c>
      <c r="M17" s="403" t="n">
        <f aca="false">(TableDE1!D17/TableDE1!D16)/(1+D17)-1</f>
        <v>0</v>
      </c>
      <c r="N17" s="404" t="n">
        <f aca="false">(TableDE1!R17/TableDE1!R16)/(1+B17)-1</f>
        <v>0</v>
      </c>
      <c r="O17" s="123"/>
      <c r="R17" s="387" t="n">
        <f aca="false">1+K17</f>
        <v>0.996031365501392</v>
      </c>
      <c r="S17" s="387" t="n">
        <f aca="false">1+L17</f>
        <v>0.981628395008829</v>
      </c>
      <c r="T17" s="387" t="n">
        <f aca="false">1+C17</f>
        <v>1.01308717553204</v>
      </c>
    </row>
    <row r="18" customFormat="false" ht="12" hidden="false" customHeight="true" outlineLevel="0" collapsed="false">
      <c r="A18" s="380" t="n">
        <v>1878</v>
      </c>
      <c r="B18" s="387" t="n">
        <f aca="false">TableDE1!R18/TableDE1!R17-1</f>
        <v>0.0119014859658779</v>
      </c>
      <c r="C18" s="387" t="n">
        <v>0.0121806156920588</v>
      </c>
      <c r="D18" s="382" t="n">
        <f aca="false">TableDE1!D18/TableDE1!D17-1</f>
        <v>0.0527017790563802</v>
      </c>
      <c r="E18" s="383" t="n">
        <f aca="false">E19/(1+B19)</f>
        <v>31767.812759412</v>
      </c>
      <c r="F18" s="401" t="n">
        <f aca="false">E18*TableDE1!S18/TableDE1!R18</f>
        <v>18330.8330888402</v>
      </c>
      <c r="G18" s="401" t="n">
        <f aca="false">TableDE3b!E18*TableDE1!T18/TableDE1!R18</f>
        <v>13877.855430081</v>
      </c>
      <c r="H18" s="384" t="n">
        <f aca="false">H19/(1+D19)</f>
        <v>88.2890604837947</v>
      </c>
      <c r="I18" s="385" t="n">
        <f aca="false">1000000*H18/E18</f>
        <v>2779.19859174557</v>
      </c>
      <c r="J18" s="402" t="n">
        <f aca="false">I18/I17-1</f>
        <v>0.0403204201756433</v>
      </c>
      <c r="K18" s="387" t="n">
        <v>0.0314940831031219</v>
      </c>
      <c r="L18" s="388" t="n">
        <v>0.0346199146544655</v>
      </c>
      <c r="M18" s="403" t="n">
        <f aca="false">(TableDE1!D18/TableDE1!D17)/(1+D18)-1</f>
        <v>0</v>
      </c>
      <c r="N18" s="404" t="n">
        <f aca="false">(TableDE1!R18/TableDE1!R17)/(1+B18)-1</f>
        <v>0</v>
      </c>
      <c r="O18" s="123"/>
      <c r="R18" s="387" t="n">
        <f aca="false">1+K18</f>
        <v>1.03149408310312</v>
      </c>
      <c r="S18" s="387" t="n">
        <f aca="false">1+L18</f>
        <v>1.03461991465447</v>
      </c>
      <c r="T18" s="387" t="n">
        <f aca="false">1+C18</f>
        <v>1.01218061569206</v>
      </c>
    </row>
    <row r="19" customFormat="false" ht="12" hidden="false" customHeight="true" outlineLevel="0" collapsed="false">
      <c r="A19" s="405" t="n">
        <v>1879</v>
      </c>
      <c r="B19" s="406" t="n">
        <f aca="false">TableDE1!R19/TableDE1!R18-1</f>
        <v>0.0116028735241462</v>
      </c>
      <c r="C19" s="406" t="n">
        <v>0.0118930099186763</v>
      </c>
      <c r="D19" s="407" t="n">
        <f aca="false">TableDE1!D19/TableDE1!D18-1</f>
        <v>-0.0277871970943293</v>
      </c>
      <c r="E19" s="408" t="n">
        <f aca="false">E20/(1+B20)</f>
        <v>32136.4106729982</v>
      </c>
      <c r="F19" s="409" t="n">
        <f aca="false">E19*TableDE1!S19/TableDE1!R19</f>
        <v>18598.0560679709</v>
      </c>
      <c r="G19" s="409" t="n">
        <f aca="false">TableDE3b!E19*TableDE1!T19/TableDE1!R19</f>
        <v>14077.2726606736</v>
      </c>
      <c r="H19" s="410" t="n">
        <f aca="false">H20/(1+D20)</f>
        <v>85.8357549588584</v>
      </c>
      <c r="I19" s="411" t="n">
        <f aca="false">1000000*H19/E19</f>
        <v>2670.98139341926</v>
      </c>
      <c r="J19" s="412" t="n">
        <f aca="false">I19/I18-1</f>
        <v>-0.0389382747414027</v>
      </c>
      <c r="K19" s="406" t="n">
        <v>0.0111950131693468</v>
      </c>
      <c r="L19" s="413" t="n">
        <v>-0.0353453266434201</v>
      </c>
      <c r="M19" s="414" t="n">
        <f aca="false">(TableDE1!D19/TableDE1!D18)/(1+D19)-1</f>
        <v>0</v>
      </c>
      <c r="N19" s="415" t="n">
        <f aca="false">(TableDE1!R19/TableDE1!R18)/(1+B19)-1</f>
        <v>0</v>
      </c>
      <c r="O19" s="123"/>
      <c r="R19" s="387" t="n">
        <f aca="false">1+K19</f>
        <v>1.01119501316935</v>
      </c>
      <c r="S19" s="387" t="n">
        <f aca="false">1+L19</f>
        <v>0.96465467335658</v>
      </c>
      <c r="T19" s="387" t="n">
        <f aca="false">1+C19</f>
        <v>1.01189300991868</v>
      </c>
    </row>
    <row r="20" customFormat="false" ht="12" hidden="false" customHeight="true" outlineLevel="0" collapsed="false">
      <c r="A20" s="380" t="n">
        <v>1880</v>
      </c>
      <c r="B20" s="387" t="n">
        <f aca="false">TableDE1!R20/TableDE1!R19-1</f>
        <v>0.0101704787293622</v>
      </c>
      <c r="C20" s="387" t="n">
        <v>0.0104060206262195</v>
      </c>
      <c r="D20" s="382" t="n">
        <f aca="false">TableDE1!D20/TableDE1!D19-1</f>
        <v>-0.0290312076838847</v>
      </c>
      <c r="E20" s="383" t="n">
        <f aca="false">E21/(1+B21)</f>
        <v>32463.253354186</v>
      </c>
      <c r="F20" s="401" t="n">
        <f aca="false">E20*TableDE1!S20/TableDE1!R20</f>
        <v>18842.2944658938</v>
      </c>
      <c r="G20" s="401" t="n">
        <f aca="false">TableDE3b!E20*TableDE1!T20/TableDE1!R20</f>
        <v>14137.7457558713</v>
      </c>
      <c r="H20" s="384" t="n">
        <f aca="false">H21/(1+D21)</f>
        <v>83.3438393299447</v>
      </c>
      <c r="I20" s="385" t="n">
        <f aca="false">1000000*H20/E20</f>
        <v>2567.32861677888</v>
      </c>
      <c r="J20" s="402" t="n">
        <f aca="false">I20/I19-1</f>
        <v>-0.0388070006387006</v>
      </c>
      <c r="K20" s="387" t="n">
        <v>-0.0348535993756318</v>
      </c>
      <c r="L20" s="388" t="n">
        <v>-0.0183670664667666</v>
      </c>
      <c r="M20" s="403" t="n">
        <f aca="false">(TableDE1!D20/TableDE1!D19)/(1+D20)-1</f>
        <v>0</v>
      </c>
      <c r="N20" s="404" t="n">
        <f aca="false">(TableDE1!R20/TableDE1!R19)/(1+B20)-1</f>
        <v>0</v>
      </c>
      <c r="O20" s="123"/>
      <c r="R20" s="387" t="n">
        <f aca="false">1+K20</f>
        <v>0.965146400624368</v>
      </c>
      <c r="S20" s="387" t="n">
        <f aca="false">1+L20</f>
        <v>0.981632933533233</v>
      </c>
      <c r="T20" s="387" t="n">
        <f aca="false">1+C20</f>
        <v>1.01040602062622</v>
      </c>
    </row>
    <row r="21" customFormat="false" ht="12" hidden="false" customHeight="true" outlineLevel="0" collapsed="false">
      <c r="A21" s="380" t="n">
        <v>1881</v>
      </c>
      <c r="B21" s="387" t="n">
        <f aca="false">TableDE1!R21/TableDE1!R20-1</f>
        <v>0.00738473820770413</v>
      </c>
      <c r="C21" s="387" t="n">
        <v>0.00751724137931031</v>
      </c>
      <c r="D21" s="382" t="n">
        <f aca="false">TableDE1!D21/TableDE1!D20-1</f>
        <v>0.042054138802395</v>
      </c>
      <c r="E21" s="383" t="n">
        <f aca="false">E22/(1+B22)</f>
        <v>32702.985981577</v>
      </c>
      <c r="F21" s="401" t="n">
        <f aca="false">E21*TableDE1!S21/TableDE1!R21</f>
        <v>18976.7267989737</v>
      </c>
      <c r="G21" s="401" t="n">
        <f aca="false">TableDE3b!E21*TableDE1!T21/TableDE1!R21</f>
        <v>14214.7769604684</v>
      </c>
      <c r="H21" s="384" t="n">
        <f aca="false">H22/(1+D22)</f>
        <v>86.8487927174507</v>
      </c>
      <c r="I21" s="385" t="n">
        <f aca="false">1000000*H21/E21</f>
        <v>2655.68388055991</v>
      </c>
      <c r="J21" s="402" t="n">
        <f aca="false">I21/I20-1</f>
        <v>0.0344152529612203</v>
      </c>
      <c r="K21" s="387" t="n">
        <v>0.0295911923556293</v>
      </c>
      <c r="L21" s="388" t="n">
        <v>0.0170124065011528</v>
      </c>
      <c r="M21" s="403" t="n">
        <f aca="false">(TableDE1!D21/TableDE1!D20)/(1+D21)-1</f>
        <v>0</v>
      </c>
      <c r="N21" s="404" t="n">
        <f aca="false">(TableDE1!R21/TableDE1!R20)/(1+B21)-1</f>
        <v>0</v>
      </c>
      <c r="O21" s="123"/>
      <c r="R21" s="387" t="n">
        <f aca="false">1+K21</f>
        <v>1.02959119235563</v>
      </c>
      <c r="S21" s="387" t="n">
        <f aca="false">1+L21</f>
        <v>1.01701240650115</v>
      </c>
      <c r="T21" s="387" t="n">
        <f aca="false">1+C21</f>
        <v>1.00751724137931</v>
      </c>
    </row>
    <row r="22" customFormat="false" ht="12" hidden="false" customHeight="true" outlineLevel="0" collapsed="false">
      <c r="A22" s="380" t="n">
        <v>1882</v>
      </c>
      <c r="B22" s="387" t="n">
        <f aca="false">TableDE1!R22/TableDE1!R21-1</f>
        <v>0.00640602298243298</v>
      </c>
      <c r="C22" s="387" t="n">
        <v>0.00650284071462792</v>
      </c>
      <c r="D22" s="382" t="n">
        <f aca="false">TableDE1!D22/TableDE1!D21-1</f>
        <v>0.00193360329835857</v>
      </c>
      <c r="E22" s="383" t="n">
        <f aca="false">E23/(1+B23)</f>
        <v>32912.4820613692</v>
      </c>
      <c r="F22" s="401" t="n">
        <f aca="false">E22*TableDE1!S22/TableDE1!R22</f>
        <v>19093.548876105</v>
      </c>
      <c r="G22" s="401" t="n">
        <f aca="false">TableDE3b!E22*TableDE1!T22/TableDE1!R22</f>
        <v>14368.1194518627</v>
      </c>
      <c r="H22" s="384" t="n">
        <f aca="false">H23/(1+D23)</f>
        <v>87.0167238295076</v>
      </c>
      <c r="I22" s="385" t="n">
        <f aca="false">1000000*H22/E22</f>
        <v>2643.88214985593</v>
      </c>
      <c r="J22" s="402" t="n">
        <f aca="false">I22/I21-1</f>
        <v>-0.00444395162781386</v>
      </c>
      <c r="K22" s="387" t="n">
        <v>0.00883173177607843</v>
      </c>
      <c r="L22" s="388" t="n">
        <v>0.00947830413202011</v>
      </c>
      <c r="M22" s="403" t="n">
        <f aca="false">(TableDE1!D22/TableDE1!D21)/(1+D22)-1</f>
        <v>0</v>
      </c>
      <c r="N22" s="404" t="n">
        <f aca="false">(TableDE1!R22/TableDE1!R21)/(1+B22)-1</f>
        <v>0</v>
      </c>
      <c r="O22" s="123"/>
      <c r="R22" s="387" t="n">
        <f aca="false">1+K22</f>
        <v>1.00883173177608</v>
      </c>
      <c r="S22" s="387" t="n">
        <f aca="false">1+L22</f>
        <v>1.00947830413202</v>
      </c>
      <c r="T22" s="387" t="n">
        <f aca="false">1+C22</f>
        <v>1.00650284071463</v>
      </c>
    </row>
    <row r="23" customFormat="false" ht="12" hidden="false" customHeight="true" outlineLevel="0" collapsed="false">
      <c r="A23" s="380" t="n">
        <v>1883</v>
      </c>
      <c r="B23" s="387" t="n">
        <f aca="false">TableDE1!R23/TableDE1!R22-1</f>
        <v>0.00649648927094959</v>
      </c>
      <c r="C23" s="387" t="n">
        <v>0.00661951396445404</v>
      </c>
      <c r="D23" s="382" t="n">
        <f aca="false">TableDE1!D23/TableDE1!D22-1</f>
        <v>0.0582225938355128</v>
      </c>
      <c r="E23" s="383" t="n">
        <f aca="false">E24/(1+B24)</f>
        <v>33126.2976479612</v>
      </c>
      <c r="F23" s="401" t="n">
        <f aca="false">E23*TableDE1!S23/TableDE1!R23</f>
        <v>19212.8158260405</v>
      </c>
      <c r="G23" s="401" t="n">
        <f aca="false">TableDE3b!E23*TableDE1!T23/TableDE1!R23</f>
        <v>14533.7005458565</v>
      </c>
      <c r="H23" s="384" t="n">
        <f aca="false">H24/(1+D24)</f>
        <v>92.08306319793</v>
      </c>
      <c r="I23" s="385" t="n">
        <f aca="false">1000000*H23/E23</f>
        <v>2779.75716382532</v>
      </c>
      <c r="J23" s="402" t="n">
        <f aca="false">I23/I22-1</f>
        <v>0.0513922354582983</v>
      </c>
      <c r="K23" s="387" t="n">
        <v>0.0354857491934406</v>
      </c>
      <c r="L23" s="388" t="n">
        <v>0.0483237640990142</v>
      </c>
      <c r="M23" s="403" t="n">
        <f aca="false">(TableDE1!D23/TableDE1!D22)/(1+D23)-1</f>
        <v>0</v>
      </c>
      <c r="N23" s="404" t="n">
        <f aca="false">(TableDE1!R23/TableDE1!R22)/(1+B23)-1</f>
        <v>0</v>
      </c>
      <c r="O23" s="123"/>
      <c r="R23" s="387" t="n">
        <f aca="false">1+K23</f>
        <v>1.03548574919344</v>
      </c>
      <c r="S23" s="387" t="n">
        <f aca="false">1+L23</f>
        <v>1.04832376409901</v>
      </c>
      <c r="T23" s="387" t="n">
        <f aca="false">1+C23</f>
        <v>1.00661951396445</v>
      </c>
    </row>
    <row r="24" customFormat="false" ht="12" hidden="false" customHeight="true" outlineLevel="0" collapsed="false">
      <c r="A24" s="380" t="n">
        <v>1884</v>
      </c>
      <c r="B24" s="387" t="n">
        <f aca="false">TableDE1!R24/TableDE1!R23-1</f>
        <v>0.00697613769722261</v>
      </c>
      <c r="C24" s="387" t="n">
        <v>0.00840014413115942</v>
      </c>
      <c r="D24" s="382" t="n">
        <f aca="false">TableDE1!D24/TableDE1!D23-1</f>
        <v>0.0398382135546682</v>
      </c>
      <c r="E24" s="383" t="n">
        <f aca="false">E25/(1+B25)</f>
        <v>33357.3912617526</v>
      </c>
      <c r="F24" s="401" t="n">
        <f aca="false">E24*TableDE1!S24/TableDE1!R24</f>
        <v>19342.0396846341</v>
      </c>
      <c r="G24" s="401" t="n">
        <f aca="false">TableDE3b!E24*TableDE1!T24/TableDE1!R24</f>
        <v>14707.92065345</v>
      </c>
      <c r="H24" s="384" t="n">
        <f aca="false">H25/(1+D25)</f>
        <v>95.7514879343772</v>
      </c>
      <c r="I24" s="385" t="n">
        <f aca="false">1000000*H24/E24</f>
        <v>2870.47290907804</v>
      </c>
      <c r="J24" s="402" t="n">
        <f aca="false">I24/I23-1</f>
        <v>0.032634413693849</v>
      </c>
      <c r="K24" s="387" t="n">
        <v>0.0385915115561484</v>
      </c>
      <c r="L24" s="388" t="n">
        <v>0.0163997514532672</v>
      </c>
      <c r="M24" s="403" t="n">
        <f aca="false">(TableDE1!D24/TableDE1!D23)/(1+D24)-1</f>
        <v>0</v>
      </c>
      <c r="N24" s="404" t="n">
        <f aca="false">(TableDE1!R24/TableDE1!R23)/(1+B24)-1</f>
        <v>0</v>
      </c>
      <c r="O24" s="123"/>
      <c r="R24" s="387" t="n">
        <f aca="false">1+K24</f>
        <v>1.03859151155615</v>
      </c>
      <c r="S24" s="387" t="n">
        <f aca="false">1+L24</f>
        <v>1.01639975145327</v>
      </c>
      <c r="T24" s="387" t="n">
        <f aca="false">1+C24</f>
        <v>1.00840014413116</v>
      </c>
    </row>
    <row r="25" customFormat="false" ht="12" hidden="false" customHeight="true" outlineLevel="0" collapsed="false">
      <c r="A25" s="380" t="n">
        <v>1885</v>
      </c>
      <c r="B25" s="387" t="n">
        <f aca="false">TableDE1!R25/TableDE1!R24-1</f>
        <v>0.00798532426891119</v>
      </c>
      <c r="C25" s="387" t="n">
        <v>0.00685619849476304</v>
      </c>
      <c r="D25" s="382" t="n">
        <f aca="false">TableDE1!D25/TableDE1!D24-1</f>
        <v>0.0318647072278135</v>
      </c>
      <c r="E25" s="383" t="n">
        <f aca="false">E26/(1+B26)</f>
        <v>33623.7608477426</v>
      </c>
      <c r="F25" s="401" t="n">
        <f aca="false">E25*TableDE1!S25/TableDE1!R25</f>
        <v>19491.6463648085</v>
      </c>
      <c r="G25" s="401" t="n">
        <f aca="false">TableDE3b!E25*TableDE1!T25/TableDE1!R25</f>
        <v>14813.748570046</v>
      </c>
      <c r="H25" s="384" t="n">
        <f aca="false">H26/(1+D26)</f>
        <v>98.8025810640336</v>
      </c>
      <c r="I25" s="385" t="n">
        <f aca="false">1000000*H25/E25</f>
        <v>2938.47501210344</v>
      </c>
      <c r="J25" s="402" t="n">
        <f aca="false">I25/I24-1</f>
        <v>0.0236902089583715</v>
      </c>
      <c r="K25" s="387" t="n">
        <v>0.0246035330488612</v>
      </c>
      <c r="L25" s="388" t="n">
        <v>0.0173557075724125</v>
      </c>
      <c r="M25" s="403" t="n">
        <f aca="false">(TableDE1!D25/TableDE1!D24)/(1+D25)-1</f>
        <v>0</v>
      </c>
      <c r="N25" s="404" t="n">
        <f aca="false">(TableDE1!R25/TableDE1!R24)/(1+B25)-1</f>
        <v>0</v>
      </c>
      <c r="O25" s="123"/>
      <c r="R25" s="387" t="n">
        <f aca="false">1+K25</f>
        <v>1.02460353304886</v>
      </c>
      <c r="S25" s="387" t="n">
        <f aca="false">1+L25</f>
        <v>1.01735570757241</v>
      </c>
      <c r="T25" s="387" t="n">
        <f aca="false">1+C25</f>
        <v>1.00685619849476</v>
      </c>
    </row>
    <row r="26" customFormat="false" ht="12" hidden="false" customHeight="true" outlineLevel="0" collapsed="false">
      <c r="A26" s="380" t="n">
        <v>1886</v>
      </c>
      <c r="B26" s="387" t="n">
        <f aca="false">TableDE1!R26/TableDE1!R25-1</f>
        <v>0.00914249009741996</v>
      </c>
      <c r="C26" s="387" t="n">
        <v>0.00933812439002746</v>
      </c>
      <c r="D26" s="382" t="n">
        <f aca="false">TableDE1!D26/TableDE1!D25-1</f>
        <v>0.0172988158283014</v>
      </c>
      <c r="E26" s="383" t="n">
        <f aca="false">E27/(1+B27)</f>
        <v>33931.1657483311</v>
      </c>
      <c r="F26" s="401" t="n">
        <f aca="false">E26*TableDE1!S26/TableDE1!R26</f>
        <v>19673.8015464328</v>
      </c>
      <c r="G26" s="401" t="n">
        <f aca="false">TableDE3b!E26*TableDE1!T26/TableDE1!R26</f>
        <v>15098.8360188354</v>
      </c>
      <c r="H26" s="384" t="n">
        <f aca="false">H27/(1+D27)</f>
        <v>100.511748717221</v>
      </c>
      <c r="I26" s="385" t="n">
        <f aca="false">1000000*H26/E26</f>
        <v>2962.225037086</v>
      </c>
      <c r="J26" s="402" t="n">
        <f aca="false">I26/I25-1</f>
        <v>0.00808243217476057</v>
      </c>
      <c r="K26" s="387" t="n">
        <v>0.0162820464111111</v>
      </c>
      <c r="L26" s="388" t="n">
        <v>-0.00219176666394383</v>
      </c>
      <c r="M26" s="403" t="n">
        <f aca="false">(TableDE1!D26/TableDE1!D25)/(1+D26)-1</f>
        <v>0</v>
      </c>
      <c r="N26" s="404" t="n">
        <f aca="false">(TableDE1!R26/TableDE1!R25)/(1+B26)-1</f>
        <v>0</v>
      </c>
      <c r="O26" s="123"/>
      <c r="R26" s="387" t="n">
        <f aca="false">1+K26</f>
        <v>1.01628204641111</v>
      </c>
      <c r="S26" s="387" t="n">
        <f aca="false">1+L26</f>
        <v>0.997808233336056</v>
      </c>
      <c r="T26" s="387" t="n">
        <f aca="false">1+C26</f>
        <v>1.00933812439003</v>
      </c>
    </row>
    <row r="27" customFormat="false" ht="12" hidden="false" customHeight="true" outlineLevel="0" collapsed="false">
      <c r="A27" s="380" t="n">
        <v>1887</v>
      </c>
      <c r="B27" s="387" t="n">
        <f aca="false">TableDE1!R27/TableDE1!R26-1</f>
        <v>0.0105236357464142</v>
      </c>
      <c r="C27" s="387" t="n">
        <v>0.0108999011097681</v>
      </c>
      <c r="D27" s="382" t="n">
        <f aca="false">TableDE1!D27/TableDE1!D26-1</f>
        <v>0.0118602476811991</v>
      </c>
      <c r="E27" s="383" t="n">
        <f aca="false">E28/(1+B28)</f>
        <v>34288.2449771177</v>
      </c>
      <c r="F27" s="401" t="n">
        <f aca="false">E27*TableDE1!S27/TableDE1!R27</f>
        <v>19884.8360653149</v>
      </c>
      <c r="G27" s="401" t="n">
        <f aca="false">TableDE3b!E27*TableDE1!T27/TableDE1!R27</f>
        <v>15309.0520164275</v>
      </c>
      <c r="H27" s="384" t="n">
        <f aca="false">H28/(1+D28)</f>
        <v>101.703842951878</v>
      </c>
      <c r="I27" s="385" t="n">
        <f aca="false">1000000*H27/E27</f>
        <v>2966.14314963481</v>
      </c>
      <c r="J27" s="402" t="n">
        <f aca="false">I27/I26-1</f>
        <v>0.00132269240174443</v>
      </c>
      <c r="K27" s="387" t="n">
        <v>0.0152698054723095</v>
      </c>
      <c r="L27" s="388" t="n">
        <v>0.0288796531494602</v>
      </c>
      <c r="M27" s="403" t="n">
        <f aca="false">(TableDE1!D27/TableDE1!D26)/(1+D27)-1</f>
        <v>0</v>
      </c>
      <c r="N27" s="404" t="n">
        <f aca="false">(TableDE1!R27/TableDE1!R26)/(1+B27)-1</f>
        <v>0</v>
      </c>
      <c r="O27" s="123"/>
      <c r="R27" s="387" t="n">
        <f aca="false">1+K27</f>
        <v>1.01526980547231</v>
      </c>
      <c r="S27" s="387" t="n">
        <f aca="false">1+L27</f>
        <v>1.02887965314946</v>
      </c>
      <c r="T27" s="387" t="n">
        <f aca="false">1+C27</f>
        <v>1.01089990110977</v>
      </c>
    </row>
    <row r="28" customFormat="false" ht="12" hidden="false" customHeight="true" outlineLevel="0" collapsed="false">
      <c r="A28" s="380" t="n">
        <v>1888</v>
      </c>
      <c r="B28" s="387" t="n">
        <f aca="false">TableDE1!R28/TableDE1!R27-1</f>
        <v>0.0112958763752415</v>
      </c>
      <c r="C28" s="387" t="n">
        <v>0.0116736592682767</v>
      </c>
      <c r="D28" s="382" t="n">
        <f aca="false">TableDE1!D28/TableDE1!D27-1</f>
        <v>0.0528590006881389</v>
      </c>
      <c r="E28" s="383" t="n">
        <f aca="false">E29/(1+B29)</f>
        <v>34675.5607535033</v>
      </c>
      <c r="F28" s="401" t="n">
        <f aca="false">E28*TableDE1!S28/TableDE1!R28</f>
        <v>20113.4924353921</v>
      </c>
      <c r="G28" s="401" t="n">
        <f aca="false">TableDE3b!E28*TableDE1!T28/TableDE1!R28</f>
        <v>15554.5439862183</v>
      </c>
      <c r="H28" s="384" t="n">
        <f aca="false">H29/(1+D29)</f>
        <v>107.079806456458</v>
      </c>
      <c r="I28" s="385" t="n">
        <f aca="false">1000000*H28/E28</f>
        <v>3088.04830057836</v>
      </c>
      <c r="J28" s="402" t="n">
        <f aca="false">I28/I27-1</f>
        <v>0.0410988764849618</v>
      </c>
      <c r="K28" s="387" t="n">
        <v>0.0304438059558345</v>
      </c>
      <c r="L28" s="388" t="n">
        <v>0.028806391265948</v>
      </c>
      <c r="M28" s="403" t="n">
        <f aca="false">(TableDE1!D28/TableDE1!D27)/(1+D28)-1</f>
        <v>0</v>
      </c>
      <c r="N28" s="404" t="n">
        <f aca="false">(TableDE1!R28/TableDE1!R27)/(1+B28)-1</f>
        <v>0</v>
      </c>
      <c r="O28" s="123"/>
      <c r="R28" s="387" t="n">
        <f aca="false">1+K28</f>
        <v>1.03044380595583</v>
      </c>
      <c r="S28" s="387" t="n">
        <f aca="false">1+L28</f>
        <v>1.02880639126595</v>
      </c>
      <c r="T28" s="387" t="n">
        <f aca="false">1+C28</f>
        <v>1.01167365926828</v>
      </c>
    </row>
    <row r="29" customFormat="false" ht="12" hidden="false" customHeight="true" outlineLevel="0" collapsed="false">
      <c r="A29" s="405" t="n">
        <v>1889</v>
      </c>
      <c r="B29" s="406" t="n">
        <f aca="false">TableDE1!R29/TableDE1!R28-1</f>
        <v>0.0114188431673794</v>
      </c>
      <c r="C29" s="406" t="n">
        <v>0.0117108599424127</v>
      </c>
      <c r="D29" s="407" t="n">
        <f aca="false">TableDE1!D29/TableDE1!D28-1</f>
        <v>0.0425844512687894</v>
      </c>
      <c r="E29" s="408" t="n">
        <f aca="false">E30/(1+B30)</f>
        <v>35071.5155434884</v>
      </c>
      <c r="F29" s="409" t="n">
        <f aca="false">E29*TableDE1!S29/TableDE1!R29</f>
        <v>20347.2511001323</v>
      </c>
      <c r="G29" s="409" t="n">
        <f aca="false">TableDE3b!E29*TableDE1!T29/TableDE1!R29</f>
        <v>15902.9842014053</v>
      </c>
      <c r="H29" s="410" t="n">
        <f aca="false">H30/(1+D30)</f>
        <v>111.639741256374</v>
      </c>
      <c r="I29" s="411" t="n">
        <f aca="false">1000000*H29/E29</f>
        <v>3183.20265110703</v>
      </c>
      <c r="J29" s="412" t="n">
        <f aca="false">I29/I28-1</f>
        <v>0.0308137507146016</v>
      </c>
      <c r="K29" s="406" t="n">
        <v>0.00571591054331222</v>
      </c>
      <c r="L29" s="413" t="n">
        <v>0.0164192960681266</v>
      </c>
      <c r="M29" s="414" t="n">
        <f aca="false">(TableDE1!D29/TableDE1!D28)/(1+D29)-1</f>
        <v>0</v>
      </c>
      <c r="N29" s="415" t="n">
        <f aca="false">(TableDE1!R29/TableDE1!R28)/(1+B29)-1</f>
        <v>0</v>
      </c>
      <c r="O29" s="123"/>
      <c r="R29" s="387" t="n">
        <f aca="false">1+K29</f>
        <v>1.00571591054331</v>
      </c>
      <c r="S29" s="387" t="n">
        <f aca="false">1+L29</f>
        <v>1.01641929606813</v>
      </c>
      <c r="T29" s="387" t="n">
        <f aca="false">1+C29</f>
        <v>1.01171085994241</v>
      </c>
    </row>
    <row r="30" customFormat="false" ht="12" hidden="false" customHeight="true" outlineLevel="0" collapsed="false">
      <c r="A30" s="380" t="n">
        <v>1890</v>
      </c>
      <c r="B30" s="387" t="n">
        <f aca="false">TableDE1!R30/TableDE1!R29-1</f>
        <v>0.0107356925855981</v>
      </c>
      <c r="C30" s="387" t="n">
        <v>0.0111292823312024</v>
      </c>
      <c r="D30" s="382" t="n">
        <f aca="false">TableDE1!D30/TableDE1!D29-1</f>
        <v>0.0355005026821664</v>
      </c>
      <c r="E30" s="383" t="n">
        <f aca="false">E31/(1+B31)</f>
        <v>35448.0325528744</v>
      </c>
      <c r="F30" s="401" t="n">
        <f aca="false">E30*TableDE1!S30/TableDE1!R30</f>
        <v>20569.8226463971</v>
      </c>
      <c r="G30" s="401" t="n">
        <f aca="false">TableDE3b!E30*TableDE1!T30/TableDE1!R30</f>
        <v>16106.0010209977</v>
      </c>
      <c r="H30" s="384" t="n">
        <f aca="false">H31/(1+D31)</f>
        <v>115.603008190282</v>
      </c>
      <c r="I30" s="385" t="n">
        <f aca="false">1000000*H30/E30</f>
        <v>3261.19673970194</v>
      </c>
      <c r="J30" s="402" t="n">
        <f aca="false">I30/I29-1</f>
        <v>0.0245017666618823</v>
      </c>
      <c r="K30" s="387" t="n">
        <v>0.00454127160465778</v>
      </c>
      <c r="L30" s="388" t="n">
        <v>0.020423084413238</v>
      </c>
      <c r="M30" s="403" t="n">
        <f aca="false">(TableDE1!D30/TableDE1!D29)/(1+D30)-1</f>
        <v>0</v>
      </c>
      <c r="N30" s="404" t="n">
        <f aca="false">(TableDE1!R30/TableDE1!R29)/(1+B30)-1</f>
        <v>0</v>
      </c>
      <c r="O30" s="123"/>
      <c r="R30" s="387" t="n">
        <f aca="false">1+K30</f>
        <v>1.00454127160466</v>
      </c>
      <c r="S30" s="387" t="n">
        <f aca="false">1+L30</f>
        <v>1.02042308441324</v>
      </c>
      <c r="T30" s="387" t="n">
        <f aca="false">1+C30</f>
        <v>1.0111292823312</v>
      </c>
    </row>
    <row r="31" customFormat="false" ht="12" hidden="false" customHeight="true" outlineLevel="0" collapsed="false">
      <c r="A31" s="380" t="n">
        <v>1891</v>
      </c>
      <c r="B31" s="387" t="n">
        <f aca="false">TableDE1!R31/TableDE1!R30-1</f>
        <v>0.010621661690936</v>
      </c>
      <c r="C31" s="387" t="n">
        <v>0.0109647740878442</v>
      </c>
      <c r="D31" s="382" t="n">
        <f aca="false">TableDE1!D31/TableDE1!D30-1</f>
        <v>-0.0386924323816773</v>
      </c>
      <c r="E31" s="383" t="n">
        <f aca="false">E32/(1+B32)</f>
        <v>35824.5495622603</v>
      </c>
      <c r="F31" s="401" t="n">
        <f aca="false">E31*TableDE1!S31/TableDE1!R31</f>
        <v>20810.9629617382</v>
      </c>
      <c r="G31" s="401" t="n">
        <f aca="false">TableDE3b!E31*TableDE1!T31/TableDE1!R31</f>
        <v>16187.3517323946</v>
      </c>
      <c r="H31" s="384" t="n">
        <f aca="false">H32/(1+D32)</f>
        <v>111.130046612761</v>
      </c>
      <c r="I31" s="385" t="n">
        <f aca="false">1000000*H31/E31</f>
        <v>3102.06403069007</v>
      </c>
      <c r="J31" s="402" t="n">
        <f aca="false">I31/I30-1</f>
        <v>-0.0487958015763315</v>
      </c>
      <c r="K31" s="387" t="n">
        <v>-0.00522383400890636</v>
      </c>
      <c r="L31" s="388" t="n">
        <v>-0.0128769691208471</v>
      </c>
      <c r="M31" s="403" t="n">
        <f aca="false">(TableDE1!D31/TableDE1!D30)/(1+D31)-1</f>
        <v>0</v>
      </c>
      <c r="N31" s="404" t="n">
        <f aca="false">(TableDE1!R31/TableDE1!R30)/(1+B31)-1</f>
        <v>0</v>
      </c>
      <c r="O31" s="123"/>
      <c r="R31" s="387" t="n">
        <f aca="false">1+K31</f>
        <v>0.994776165991094</v>
      </c>
      <c r="S31" s="387" t="n">
        <f aca="false">1+L31</f>
        <v>0.987123030879153</v>
      </c>
      <c r="T31" s="387" t="n">
        <f aca="false">1+C31</f>
        <v>1.01096477408784</v>
      </c>
    </row>
    <row r="32" customFormat="false" ht="12" hidden="false" customHeight="true" outlineLevel="0" collapsed="false">
      <c r="A32" s="380" t="n">
        <v>1892</v>
      </c>
      <c r="B32" s="387" t="n">
        <f aca="false">TableDE1!R32/TableDE1!R31-1</f>
        <v>0.0101282102809372</v>
      </c>
      <c r="C32" s="387" t="n">
        <v>0.0104718568846225</v>
      </c>
      <c r="D32" s="382" t="n">
        <f aca="false">TableDE1!D32/TableDE1!D31-1</f>
        <v>0.0598415737729388</v>
      </c>
      <c r="E32" s="383" t="n">
        <f aca="false">E33/(1+B33)</f>
        <v>36187.3881334467</v>
      </c>
      <c r="F32" s="401" t="n">
        <f aca="false">E32*TableDE1!S32/TableDE1!R32</f>
        <v>21044.6248396485</v>
      </c>
      <c r="G32" s="401" t="n">
        <f aca="false">TableDE3b!E32*TableDE1!T32/TableDE1!R32</f>
        <v>16261.5032657919</v>
      </c>
      <c r="H32" s="384" t="n">
        <f aca="false">H33/(1+D33)</f>
        <v>117.780243495529</v>
      </c>
      <c r="I32" s="385" t="n">
        <f aca="false">1000000*H32/E32</f>
        <v>3254.73181599058</v>
      </c>
      <c r="J32" s="402" t="n">
        <f aca="false">I32/I31-1</f>
        <v>0.0492149045893642</v>
      </c>
      <c r="K32" s="387" t="n">
        <v>0.00379856766050768</v>
      </c>
      <c r="L32" s="388" t="n">
        <v>0.0303624552042978</v>
      </c>
      <c r="M32" s="403" t="n">
        <f aca="false">(TableDE1!D32/TableDE1!D31)/(1+D32)-1</f>
        <v>0</v>
      </c>
      <c r="N32" s="404" t="n">
        <f aca="false">(TableDE1!R32/TableDE1!R31)/(1+B32)-1</f>
        <v>0</v>
      </c>
      <c r="O32" s="123"/>
      <c r="R32" s="387" t="n">
        <f aca="false">1+K32</f>
        <v>1.00379856766051</v>
      </c>
      <c r="S32" s="387" t="n">
        <f aca="false">1+L32</f>
        <v>1.0303624552043</v>
      </c>
      <c r="T32" s="387" t="n">
        <f aca="false">1+C32</f>
        <v>1.01047185688462</v>
      </c>
    </row>
    <row r="33" customFormat="false" ht="12" hidden="false" customHeight="true" outlineLevel="0" collapsed="false">
      <c r="A33" s="380" t="n">
        <v>1893</v>
      </c>
      <c r="B33" s="387" t="n">
        <f aca="false">TableDE1!R33/TableDE1!R32-1</f>
        <v>0.00976803405880711</v>
      </c>
      <c r="C33" s="387" t="n">
        <v>0.010075463162873</v>
      </c>
      <c r="D33" s="382" t="n">
        <f aca="false">TableDE1!D33/TableDE1!D32-1</f>
        <v>0.0758007335799695</v>
      </c>
      <c r="E33" s="383" t="n">
        <f aca="false">E34/(1+B34)</f>
        <v>36540.8677732335</v>
      </c>
      <c r="F33" s="401" t="n">
        <f aca="false">E33*TableDE1!S33/TableDE1!R33</f>
        <v>21273.2970530863</v>
      </c>
      <c r="G33" s="401" t="n">
        <f aca="false">TableDE3b!E33*TableDE1!T33/TableDE1!R33</f>
        <v>16369.4909357878</v>
      </c>
      <c r="H33" s="384" t="n">
        <f aca="false">H34/(1+D34)</f>
        <v>126.708072353717</v>
      </c>
      <c r="I33" s="385" t="n">
        <f aca="false">1000000*H33/E33</f>
        <v>3467.57151855414</v>
      </c>
      <c r="J33" s="402" t="n">
        <f aca="false">I33/I32-1</f>
        <v>0.0653939293916257</v>
      </c>
      <c r="K33" s="387" t="n">
        <v>0.0620314661371622</v>
      </c>
      <c r="L33" s="388" t="n">
        <v>0.0389393197796064</v>
      </c>
      <c r="M33" s="403" t="n">
        <f aca="false">(TableDE1!D33/TableDE1!D32)/(1+D33)-1</f>
        <v>0</v>
      </c>
      <c r="N33" s="404" t="n">
        <f aca="false">(TableDE1!R33/TableDE1!R32)/(1+B33)-1</f>
        <v>0</v>
      </c>
      <c r="O33" s="123"/>
      <c r="R33" s="387" t="n">
        <f aca="false">1+K33</f>
        <v>1.06203146613716</v>
      </c>
      <c r="S33" s="387" t="n">
        <f aca="false">1+L33</f>
        <v>1.03893931977961</v>
      </c>
      <c r="T33" s="387" t="n">
        <f aca="false">1+C33</f>
        <v>1.01007546316287</v>
      </c>
    </row>
    <row r="34" customFormat="false" ht="12" hidden="false" customHeight="true" outlineLevel="0" collapsed="false">
      <c r="A34" s="380" t="n">
        <v>1894</v>
      </c>
      <c r="B34" s="387" t="n">
        <f aca="false">TableDE1!R34/TableDE1!R33-1</f>
        <v>0.0114861004393483</v>
      </c>
      <c r="C34" s="387" t="n">
        <v>0.0118070964721211</v>
      </c>
      <c r="D34" s="382" t="n">
        <f aca="false">TableDE1!D34/TableDE1!D33-1</f>
        <v>0.00328104883994862</v>
      </c>
      <c r="E34" s="383" t="n">
        <f aca="false">E35/(1+B35)</f>
        <v>36960.5798506178</v>
      </c>
      <c r="F34" s="401" t="n">
        <f aca="false">E34*TableDE1!S34/TableDE1!R34</f>
        <v>21541.0172971923</v>
      </c>
      <c r="G34" s="401" t="n">
        <f aca="false">TableDE3b!E34*TableDE1!T34/TableDE1!R34</f>
        <v>16608.5036453789</v>
      </c>
      <c r="H34" s="384" t="n">
        <f aca="false">H35/(1+D35)</f>
        <v>127.123807727526</v>
      </c>
      <c r="I34" s="385" t="n">
        <f aca="false">1000000*H34/E34</f>
        <v>3439.4430022829</v>
      </c>
      <c r="J34" s="402" t="n">
        <f aca="false">I34/I33-1</f>
        <v>-0.00811187775673417</v>
      </c>
      <c r="K34" s="387" t="n">
        <v>0.0206732184885088</v>
      </c>
      <c r="L34" s="388" t="n">
        <v>0.0125271040299528</v>
      </c>
      <c r="M34" s="403" t="n">
        <f aca="false">(TableDE1!D34/TableDE1!D33)/(1+D34)-1</f>
        <v>0</v>
      </c>
      <c r="N34" s="404" t="n">
        <f aca="false">(TableDE1!R34/TableDE1!R33)/(1+B34)-1</f>
        <v>0</v>
      </c>
      <c r="O34" s="123"/>
      <c r="R34" s="387" t="n">
        <f aca="false">1+K34</f>
        <v>1.02067321848851</v>
      </c>
      <c r="S34" s="387" t="n">
        <f aca="false">1+L34</f>
        <v>1.01252710402995</v>
      </c>
      <c r="T34" s="387" t="n">
        <f aca="false">1+C34</f>
        <v>1.01180709647212</v>
      </c>
    </row>
    <row r="35" customFormat="false" ht="12" hidden="false" customHeight="true" outlineLevel="0" collapsed="false">
      <c r="A35" s="380" t="n">
        <v>1895</v>
      </c>
      <c r="B35" s="387" t="n">
        <f aca="false">TableDE1!R35/TableDE1!R34-1</f>
        <v>0.0128749513050253</v>
      </c>
      <c r="C35" s="387" t="n">
        <v>0.0132788765265679</v>
      </c>
      <c r="D35" s="382" t="n">
        <f aca="false">TableDE1!D35/TableDE1!D34-1</f>
        <v>0.0428480475656072</v>
      </c>
      <c r="E35" s="383" t="n">
        <f aca="false">E36/(1+B36)</f>
        <v>37436.4455164</v>
      </c>
      <c r="F35" s="401" t="n">
        <f aca="false">E35*TableDE1!S35/TableDE1!R35</f>
        <v>21842.0307898943</v>
      </c>
      <c r="G35" s="401" t="n">
        <f aca="false">TableDE3b!E35*TableDE1!T35/TableDE1!R35</f>
        <v>16849.6761083699</v>
      </c>
      <c r="H35" s="384" t="n">
        <f aca="false">H36/(1+D36)</f>
        <v>132.570814687756</v>
      </c>
      <c r="I35" s="385" t="n">
        <f aca="false">1000000*H35/E35</f>
        <v>3541.22334156109</v>
      </c>
      <c r="J35" s="402" t="n">
        <f aca="false">I35/I34-1</f>
        <v>0.0295920994215164</v>
      </c>
      <c r="K35" s="387" t="n">
        <v>0.0153197888690468</v>
      </c>
      <c r="L35" s="388" t="n">
        <v>0.0340629237617254</v>
      </c>
      <c r="M35" s="403" t="n">
        <f aca="false">(TableDE1!D35/TableDE1!D34)/(1+D35)-1</f>
        <v>0</v>
      </c>
      <c r="N35" s="404" t="n">
        <f aca="false">(TableDE1!R35/TableDE1!R34)/(1+B35)-1</f>
        <v>0</v>
      </c>
      <c r="O35" s="123"/>
      <c r="R35" s="387" t="n">
        <f aca="false">1+K35</f>
        <v>1.01531978886905</v>
      </c>
      <c r="S35" s="387" t="n">
        <f aca="false">1+L35</f>
        <v>1.03406292376173</v>
      </c>
      <c r="T35" s="387" t="n">
        <f aca="false">1+C35</f>
        <v>1.01327887652657</v>
      </c>
    </row>
    <row r="36" customFormat="false" ht="12" hidden="false" customHeight="true" outlineLevel="0" collapsed="false">
      <c r="A36" s="380" t="n">
        <v>1896</v>
      </c>
      <c r="B36" s="387" t="n">
        <f aca="false">TableDE1!R36/TableDE1!R35-1</f>
        <v>0.0144804907597931</v>
      </c>
      <c r="C36" s="387" t="n">
        <v>0.0148521732224054</v>
      </c>
      <c r="D36" s="382" t="n">
        <f aca="false">TableDE1!D36/TableDE1!D35-1</f>
        <v>0.0518670854124488</v>
      </c>
      <c r="E36" s="383" t="n">
        <f aca="false">E37/(1+B37)</f>
        <v>37978.5436197797</v>
      </c>
      <c r="F36" s="401" t="n">
        <f aca="false">E36*TableDE1!S36/TableDE1!R36</f>
        <v>22182.330869189</v>
      </c>
      <c r="G36" s="401" t="n">
        <f aca="false">TableDE3b!E36*TableDE1!T36/TableDE1!R36</f>
        <v>17199.5561591568</v>
      </c>
      <c r="H36" s="384" t="n">
        <f aca="false">H37/(1+D37)</f>
        <v>139.446876456364</v>
      </c>
      <c r="I36" s="385" t="n">
        <f aca="false">1000000*H36/E36</f>
        <v>3671.72785382265</v>
      </c>
      <c r="J36" s="402" t="n">
        <f aca="false">I36/I35-1</f>
        <v>0.0368529459099356</v>
      </c>
      <c r="K36" s="387" t="n">
        <v>0.0216013331106191</v>
      </c>
      <c r="L36" s="388" t="n">
        <v>0.0199394026142621</v>
      </c>
      <c r="M36" s="403" t="n">
        <f aca="false">(TableDE1!D36/TableDE1!D35)/(1+D36)-1</f>
        <v>0</v>
      </c>
      <c r="N36" s="404" t="n">
        <f aca="false">(TableDE1!R36/TableDE1!R35)/(1+B36)-1</f>
        <v>0</v>
      </c>
      <c r="O36" s="123"/>
      <c r="R36" s="387" t="n">
        <f aca="false">1+K36</f>
        <v>1.02160133311062</v>
      </c>
      <c r="S36" s="387" t="n">
        <f aca="false">1+L36</f>
        <v>1.01993940261426</v>
      </c>
      <c r="T36" s="387" t="n">
        <f aca="false">1+C36</f>
        <v>1.01485217322241</v>
      </c>
    </row>
    <row r="37" customFormat="false" ht="12" hidden="false" customHeight="true" outlineLevel="0" collapsed="false">
      <c r="A37" s="380" t="n">
        <v>1897</v>
      </c>
      <c r="B37" s="387" t="n">
        <f aca="false">TableDE1!R37/TableDE1!R36-1</f>
        <v>0.0154490654737081</v>
      </c>
      <c r="C37" s="387" t="n">
        <v>0.0158478605388273</v>
      </c>
      <c r="D37" s="382" t="n">
        <f aca="false">TableDE1!D37/TableDE1!D36-1</f>
        <v>0.0387478182904573</v>
      </c>
      <c r="E37" s="383" t="n">
        <f aca="false">E38/(1+B38)</f>
        <v>38565.2766267578</v>
      </c>
      <c r="F37" s="401" t="n">
        <f aca="false">E37*TableDE1!S37/TableDE1!R37</f>
        <v>22549.4149418222</v>
      </c>
      <c r="G37" s="401" t="n">
        <f aca="false">TableDE3b!E37*TableDE1!T37/TableDE1!R37</f>
        <v>17486.8033613461</v>
      </c>
      <c r="H37" s="384" t="n">
        <f aca="false">H38/(1+D38)</f>
        <v>144.850138686467</v>
      </c>
      <c r="I37" s="385" t="n">
        <f aca="false">1000000*H37/E37</f>
        <v>3755.97302434401</v>
      </c>
      <c r="J37" s="402" t="n">
        <f aca="false">I37/I36-1</f>
        <v>0.0229442850546919</v>
      </c>
      <c r="K37" s="387" t="n">
        <v>0.0136603361824843</v>
      </c>
      <c r="L37" s="388" t="n">
        <v>0.012763425791269</v>
      </c>
      <c r="M37" s="403" t="n">
        <f aca="false">(TableDE1!D37/TableDE1!D36)/(1+D37)-1</f>
        <v>0</v>
      </c>
      <c r="N37" s="404" t="n">
        <f aca="false">(TableDE1!R37/TableDE1!R36)/(1+B37)-1</f>
        <v>0</v>
      </c>
      <c r="O37" s="123"/>
      <c r="R37" s="387" t="n">
        <f aca="false">1+K37</f>
        <v>1.01366033618248</v>
      </c>
      <c r="S37" s="387" t="n">
        <f aca="false">1+L37</f>
        <v>1.01276342579127</v>
      </c>
      <c r="T37" s="387" t="n">
        <f aca="false">1+C37</f>
        <v>1.01584786053883</v>
      </c>
    </row>
    <row r="38" customFormat="false" ht="12" hidden="false" customHeight="true" outlineLevel="0" collapsed="false">
      <c r="A38" s="380" t="n">
        <v>1898</v>
      </c>
      <c r="B38" s="387" t="n">
        <f aca="false">TableDE1!R38/TableDE1!R37-1</f>
        <v>0.0156247083201104</v>
      </c>
      <c r="C38" s="387" t="n">
        <v>0.0160243446774908</v>
      </c>
      <c r="D38" s="382" t="n">
        <f aca="false">TableDE1!D38/TableDE1!D37-1</f>
        <v>0.0728194965359956</v>
      </c>
      <c r="E38" s="383" t="n">
        <f aca="false">E39/(1+B39)</f>
        <v>39167.8478253352</v>
      </c>
      <c r="F38" s="401" t="n">
        <f aca="false">E38*TableDE1!S38/TableDE1!R38</f>
        <v>22926.5118158688</v>
      </c>
      <c r="G38" s="401" t="n">
        <f aca="false">TableDE3b!E38*TableDE1!T38/TableDE1!R38</f>
        <v>17795.6480975345</v>
      </c>
      <c r="H38" s="384" t="n">
        <f aca="false">H39/(1+D39)</f>
        <v>155.398052858784</v>
      </c>
      <c r="I38" s="385" t="n">
        <f aca="false">1000000*H38/E38</f>
        <v>3967.49021165945</v>
      </c>
      <c r="J38" s="402" t="n">
        <f aca="false">I38/I37-1</f>
        <v>0.056314884570392</v>
      </c>
      <c r="K38" s="387" t="n">
        <v>0.0389843409044433</v>
      </c>
      <c r="L38" s="388" t="n">
        <v>0.0263864378552483</v>
      </c>
      <c r="M38" s="403" t="n">
        <f aca="false">(TableDE1!D38/TableDE1!D37)/(1+D38)-1</f>
        <v>0</v>
      </c>
      <c r="N38" s="404" t="n">
        <f aca="false">(TableDE1!R38/TableDE1!R37)/(1+B38)-1</f>
        <v>0</v>
      </c>
      <c r="O38" s="123"/>
      <c r="R38" s="387" t="n">
        <f aca="false">1+K38</f>
        <v>1.03898434090444</v>
      </c>
      <c r="S38" s="387" t="n">
        <f aca="false">1+L38</f>
        <v>1.02638643785525</v>
      </c>
      <c r="T38" s="387" t="n">
        <f aca="false">1+C38</f>
        <v>1.01602434467749</v>
      </c>
    </row>
    <row r="39" customFormat="false" ht="12" hidden="false" customHeight="true" outlineLevel="0" collapsed="false">
      <c r="A39" s="405" t="n">
        <v>1899</v>
      </c>
      <c r="B39" s="406" t="n">
        <f aca="false">TableDE1!R39/TableDE1!R38-1</f>
        <v>0.0154762342388708</v>
      </c>
      <c r="C39" s="406" t="n">
        <v>0.0159043087596913</v>
      </c>
      <c r="D39" s="407" t="n">
        <f aca="false">TableDE1!D39/TableDE1!D38-1</f>
        <v>-0.0153008488228229</v>
      </c>
      <c r="E39" s="408" t="n">
        <f aca="false">E40/(1+B40)</f>
        <v>39774.0186129126</v>
      </c>
      <c r="F39" s="409" t="n">
        <f aca="false">E39*TableDE1!S39/TableDE1!R39</f>
        <v>23306.4800542158</v>
      </c>
      <c r="G39" s="409" t="n">
        <f aca="false">TableDE3b!E39*TableDE1!T39/TableDE1!R39</f>
        <v>18056.9782589247</v>
      </c>
      <c r="H39" s="410" t="n">
        <f aca="false">H40/(1+D40)</f>
        <v>153.020330744631</v>
      </c>
      <c r="I39" s="411" t="n">
        <f aca="false">1000000*H39/E39</f>
        <v>3847.24340363619</v>
      </c>
      <c r="J39" s="412" t="n">
        <f aca="false">I39/I38-1</f>
        <v>-0.0303080289070102</v>
      </c>
      <c r="K39" s="406" t="n">
        <v>-0.0159043087596914</v>
      </c>
      <c r="L39" s="413" t="n">
        <v>0.020110756669018</v>
      </c>
      <c r="M39" s="414" t="n">
        <f aca="false">(TableDE1!D39/TableDE1!D38)/(1+D39)-1</f>
        <v>0</v>
      </c>
      <c r="N39" s="415" t="n">
        <f aca="false">(TableDE1!R39/TableDE1!R38)/(1+B39)-1</f>
        <v>0</v>
      </c>
      <c r="O39" s="123"/>
      <c r="R39" s="387" t="n">
        <f aca="false">1+K39</f>
        <v>0.984095691240309</v>
      </c>
      <c r="S39" s="387" t="n">
        <f aca="false">1+L39</f>
        <v>1.02011075666902</v>
      </c>
      <c r="T39" s="387" t="n">
        <f aca="false">1+C39</f>
        <v>1.01590430875969</v>
      </c>
    </row>
    <row r="40" customFormat="false" ht="12" hidden="false" customHeight="true" outlineLevel="0" collapsed="false">
      <c r="A40" s="380" t="n">
        <v>1900</v>
      </c>
      <c r="B40" s="387" t="n">
        <f aca="false">TableDE1!R40/TableDE1!R39-1</f>
        <v>0.014443961772372</v>
      </c>
      <c r="C40" s="387" t="n">
        <v>0.0148529631288252</v>
      </c>
      <c r="D40" s="382" t="n">
        <f aca="false">TableDE1!D40/TableDE1!D39-1</f>
        <v>-0.0112247421730602</v>
      </c>
      <c r="E40" s="383" t="n">
        <f aca="false">E41/(1+B41)</f>
        <v>40348.5130172911</v>
      </c>
      <c r="F40" s="401" t="n">
        <f aca="false">E40*TableDE1!S40/TableDE1!R40</f>
        <v>23668.6334293712</v>
      </c>
      <c r="G40" s="401" t="n">
        <f aca="false">TableDE3b!E40*TableDE1!T40/TableDE1!R40</f>
        <v>18392.4599537122</v>
      </c>
      <c r="H40" s="384" t="n">
        <f aca="false">H41/(1+D41)</f>
        <v>151.302716984786</v>
      </c>
      <c r="I40" s="385" t="n">
        <f aca="false">1000000*H40/E40</f>
        <v>3749.89573766811</v>
      </c>
      <c r="J40" s="402" t="n">
        <f aca="false">I40/I39-1</f>
        <v>-0.0253032251289518</v>
      </c>
      <c r="K40" s="387" t="n">
        <v>-0.000857353908188419</v>
      </c>
      <c r="L40" s="388" t="n">
        <v>0.0274226560019517</v>
      </c>
      <c r="M40" s="403" t="n">
        <f aca="false">(TableDE1!D40/TableDE1!D39)/(1+D40)-1</f>
        <v>0</v>
      </c>
      <c r="N40" s="404" t="n">
        <f aca="false">(TableDE1!R40/TableDE1!R39)/(1+B40)-1</f>
        <v>0</v>
      </c>
      <c r="O40" s="123"/>
      <c r="R40" s="387" t="n">
        <f aca="false">1+K40</f>
        <v>0.999142646091812</v>
      </c>
      <c r="S40" s="387" t="n">
        <f aca="false">1+L40</f>
        <v>1.02742265600195</v>
      </c>
      <c r="T40" s="387" t="n">
        <f aca="false">1+C40</f>
        <v>1.01485296312883</v>
      </c>
    </row>
    <row r="41" customFormat="false" ht="12" hidden="false" customHeight="true" outlineLevel="0" collapsed="false">
      <c r="A41" s="380" t="n">
        <v>1901</v>
      </c>
      <c r="B41" s="387" t="n">
        <f aca="false">TableDE1!R41/TableDE1!R40-1</f>
        <v>0.014773578845948</v>
      </c>
      <c r="C41" s="387" t="n">
        <v>0.0151871736412443</v>
      </c>
      <c r="D41" s="382" t="n">
        <f aca="false">TableDE1!D41/TableDE1!D40-1</f>
        <v>-0.00728869759514139</v>
      </c>
      <c r="E41" s="383" t="n">
        <f aca="false">E42/(1+B42)</f>
        <v>40944.6049556688</v>
      </c>
      <c r="F41" s="401" t="n">
        <f aca="false">E41*TableDE1!S41/TableDE1!R41</f>
        <v>23942.738363922</v>
      </c>
      <c r="G41" s="401" t="n">
        <f aca="false">TableDE3b!E41*TableDE1!T41/TableDE1!R41</f>
        <v>18442.1342819103</v>
      </c>
      <c r="H41" s="384" t="n">
        <f aca="false">H42/(1+D42)</f>
        <v>150.199917235361</v>
      </c>
      <c r="I41" s="385" t="n">
        <f aca="false">1000000*H41/E41</f>
        <v>3668.36894379574</v>
      </c>
      <c r="J41" s="402" t="n">
        <f aca="false">I41/I40-1</f>
        <v>-0.021741082839563</v>
      </c>
      <c r="K41" s="387" t="n">
        <v>-0.00652682181445141</v>
      </c>
      <c r="L41" s="388" t="n">
        <v>-0.038001845874754</v>
      </c>
      <c r="M41" s="403" t="n">
        <f aca="false">(TableDE1!D41/TableDE1!D40)/(1+D41)-1</f>
        <v>0</v>
      </c>
      <c r="N41" s="404" t="n">
        <f aca="false">(TableDE1!R41/TableDE1!R40)/(1+B41)-1</f>
        <v>0</v>
      </c>
      <c r="O41" s="123"/>
      <c r="R41" s="387" t="n">
        <f aca="false">1+K41</f>
        <v>0.993473178185549</v>
      </c>
      <c r="S41" s="387" t="n">
        <f aca="false">1+L41</f>
        <v>0.961998154125246</v>
      </c>
      <c r="T41" s="387" t="n">
        <f aca="false">1+C41</f>
        <v>1.01518717364124</v>
      </c>
    </row>
    <row r="42" customFormat="false" ht="12" hidden="false" customHeight="true" outlineLevel="0" collapsed="false">
      <c r="A42" s="380" t="n">
        <v>1902</v>
      </c>
      <c r="B42" s="387" t="n">
        <f aca="false">TableDE1!R42/TableDE1!R41-1</f>
        <v>0.0157013749692303</v>
      </c>
      <c r="C42" s="387" t="n">
        <v>0.0161191002282031</v>
      </c>
      <c r="D42" s="382" t="n">
        <f aca="false">TableDE1!D42/TableDE1!D41-1</f>
        <v>0.0140531766823233</v>
      </c>
      <c r="E42" s="383" t="n">
        <f aca="false">E43/(1+B43)</f>
        <v>41587.4915510448</v>
      </c>
      <c r="F42" s="401" t="n">
        <f aca="false">E42*TableDE1!S42/TableDE1!R42</f>
        <v>24241.9203071149</v>
      </c>
      <c r="G42" s="401" t="n">
        <f aca="false">TableDE3b!E42*TableDE1!T42/TableDE1!R42</f>
        <v>18623.5535675035</v>
      </c>
      <c r="H42" s="384" t="n">
        <f aca="false">H43/(1+D43)</f>
        <v>152.31070320994</v>
      </c>
      <c r="I42" s="385" t="n">
        <f aca="false">1000000*H42/E42</f>
        <v>3662.41621048465</v>
      </c>
      <c r="J42" s="402" t="n">
        <f aca="false">I42/I41-1</f>
        <v>-0.0016227193617383</v>
      </c>
      <c r="K42" s="387" t="n">
        <v>0.00534588501461952</v>
      </c>
      <c r="L42" s="388" t="n">
        <v>0.00770873766512326</v>
      </c>
      <c r="M42" s="403" t="n">
        <f aca="false">(TableDE1!D42/TableDE1!D41)/(1+D42)-1</f>
        <v>0</v>
      </c>
      <c r="N42" s="404" t="n">
        <f aca="false">(TableDE1!R42/TableDE1!R41)/(1+B42)-1</f>
        <v>0</v>
      </c>
      <c r="O42" s="123"/>
      <c r="R42" s="387" t="n">
        <f aca="false">1+K42</f>
        <v>1.00534588501462</v>
      </c>
      <c r="S42" s="387" t="n">
        <f aca="false">1+L42</f>
        <v>1.00770873766512</v>
      </c>
      <c r="T42" s="387" t="n">
        <f aca="false">1+C42</f>
        <v>1.0161191002282</v>
      </c>
    </row>
    <row r="43" customFormat="false" ht="12" hidden="false" customHeight="true" outlineLevel="0" collapsed="false">
      <c r="A43" s="380" t="n">
        <v>1903</v>
      </c>
      <c r="B43" s="387" t="n">
        <f aca="false">TableDE1!R43/TableDE1!R42-1</f>
        <v>0.0149220142988211</v>
      </c>
      <c r="C43" s="387" t="n">
        <v>0.0153108512762012</v>
      </c>
      <c r="D43" s="382" t="n">
        <f aca="false">TableDE1!D43/TableDE1!D42-1</f>
        <v>0.068722903841471</v>
      </c>
      <c r="E43" s="383" t="n">
        <f aca="false">E44/(1+B44)</f>
        <v>42208.0606946216</v>
      </c>
      <c r="F43" s="401" t="n">
        <f aca="false">E43*TableDE1!S43/TableDE1!R43</f>
        <v>24525.7613249307</v>
      </c>
      <c r="G43" s="401" t="n">
        <f aca="false">TableDE3b!E43*TableDE1!T43/TableDE1!R43</f>
        <v>18969.1141114906</v>
      </c>
      <c r="H43" s="384" t="n">
        <f aca="false">H44/(1+D44)</f>
        <v>162.777937020663</v>
      </c>
      <c r="I43" s="385" t="n">
        <f aca="false">1000000*H43/E43</f>
        <v>3856.56043755181</v>
      </c>
      <c r="J43" s="402" t="n">
        <f aca="false">I43/I42-1</f>
        <v>0.0530098754236001</v>
      </c>
      <c r="K43" s="387" t="n">
        <v>0.0235649039116106</v>
      </c>
      <c r="L43" s="388" t="n">
        <v>0.0396378155800941</v>
      </c>
      <c r="M43" s="403" t="n">
        <f aca="false">(TableDE1!D43/TableDE1!D42)/(1+D43)-1</f>
        <v>0</v>
      </c>
      <c r="N43" s="404" t="n">
        <f aca="false">(TableDE1!R43/TableDE1!R42)/(1+B43)-1</f>
        <v>0</v>
      </c>
      <c r="O43" s="123"/>
      <c r="R43" s="387" t="n">
        <f aca="false">1+K43</f>
        <v>1.02356490391161</v>
      </c>
      <c r="S43" s="387" t="n">
        <f aca="false">1+L43</f>
        <v>1.03963781558009</v>
      </c>
      <c r="T43" s="387" t="n">
        <f aca="false">1+C43</f>
        <v>1.0153108512762</v>
      </c>
    </row>
    <row r="44" customFormat="false" ht="12" hidden="false" customHeight="true" outlineLevel="0" collapsed="false">
      <c r="A44" s="380" t="n">
        <v>1904</v>
      </c>
      <c r="B44" s="387" t="n">
        <f aca="false">TableDE1!R44/TableDE1!R43-1</f>
        <v>0.0144297190810008</v>
      </c>
      <c r="C44" s="387" t="n">
        <v>0.0147990801046294</v>
      </c>
      <c r="D44" s="382" t="n">
        <f aca="false">TableDE1!D44/TableDE1!D43-1</f>
        <v>0.0441273212270443</v>
      </c>
      <c r="E44" s="383" t="n">
        <f aca="false">E45/(1+B45)</f>
        <v>42817.1111533988</v>
      </c>
      <c r="F44" s="401" t="n">
        <f aca="false">E44*TableDE1!S44/TableDE1!R44</f>
        <v>24800.6398718278</v>
      </c>
      <c r="G44" s="401" t="n">
        <f aca="false">TableDE3b!E44*TableDE1!T44/TableDE1!R44</f>
        <v>19318.2742444776</v>
      </c>
      <c r="H44" s="384" t="n">
        <f aca="false">H45/(1+D45)</f>
        <v>169.96089133625</v>
      </c>
      <c r="I44" s="385" t="n">
        <f aca="false">1000000*H44/E44</f>
        <v>3969.46189871005</v>
      </c>
      <c r="J44" s="402" t="n">
        <f aca="false">I44/I43-1</f>
        <v>0.0292751696716331</v>
      </c>
      <c r="K44" s="387" t="n">
        <v>0.0216105279863947</v>
      </c>
      <c r="L44" s="388" t="n">
        <v>0.0249971894721313</v>
      </c>
      <c r="M44" s="403" t="n">
        <f aca="false">(TableDE1!D44/TableDE1!D43)/(1+D44)-1</f>
        <v>0</v>
      </c>
      <c r="N44" s="404" t="n">
        <f aca="false">(TableDE1!R44/TableDE1!R43)/(1+B44)-1</f>
        <v>0</v>
      </c>
      <c r="O44" s="123"/>
      <c r="R44" s="387" t="n">
        <f aca="false">1+K44</f>
        <v>1.02161052798639</v>
      </c>
      <c r="S44" s="387" t="n">
        <f aca="false">1+L44</f>
        <v>1.02499718947213</v>
      </c>
      <c r="T44" s="387" t="n">
        <f aca="false">1+C44</f>
        <v>1.01479908010463</v>
      </c>
    </row>
    <row r="45" customFormat="false" ht="12" hidden="false" customHeight="true" outlineLevel="0" collapsed="false">
      <c r="A45" s="380" t="n">
        <v>1905</v>
      </c>
      <c r="B45" s="387" t="n">
        <f aca="false">TableDE1!R45/TableDE1!R44-1</f>
        <v>0.0141067675493904</v>
      </c>
      <c r="C45" s="387" t="n">
        <v>0.0144967650416912</v>
      </c>
      <c r="D45" s="382" t="n">
        <f aca="false">TableDE1!D45/TableDE1!D44-1</f>
        <v>0.0451511485102443</v>
      </c>
      <c r="E45" s="383" t="n">
        <f aca="false">E46/(1+B46)</f>
        <v>43421.1221875762</v>
      </c>
      <c r="F45" s="401" t="n">
        <f aca="false">E45*TableDE1!S45/TableDE1!R45</f>
        <v>25070.3606992063</v>
      </c>
      <c r="G45" s="401" t="n">
        <f aca="false">TableDE3b!E45*TableDE1!T45/TableDE1!R45</f>
        <v>19596.8824330671</v>
      </c>
      <c r="H45" s="384" t="n">
        <f aca="false">H46/(1+D46)</f>
        <v>177.634820781906</v>
      </c>
      <c r="I45" s="385" t="n">
        <f aca="false">1000000*H45/E45</f>
        <v>4090.97719802211</v>
      </c>
      <c r="J45" s="402" t="n">
        <f aca="false">I45/I44-1</f>
        <v>0.0306125370170569</v>
      </c>
      <c r="K45" s="387" t="n">
        <v>0.032831851694098</v>
      </c>
      <c r="L45" s="388" t="n">
        <v>0.00671087573388496</v>
      </c>
      <c r="M45" s="403" t="n">
        <f aca="false">(TableDE1!D45/TableDE1!D44)/(1+D45)-1</f>
        <v>0</v>
      </c>
      <c r="N45" s="404" t="n">
        <f aca="false">(TableDE1!R45/TableDE1!R44)/(1+B45)-1</f>
        <v>0</v>
      </c>
      <c r="O45" s="123"/>
      <c r="R45" s="387" t="n">
        <f aca="false">1+K45</f>
        <v>1.0328318516941</v>
      </c>
      <c r="S45" s="387" t="n">
        <f aca="false">1+L45</f>
        <v>1.00671087573389</v>
      </c>
      <c r="T45" s="387" t="n">
        <f aca="false">1+C45</f>
        <v>1.01449676504169</v>
      </c>
    </row>
    <row r="46" customFormat="false" ht="12" hidden="false" customHeight="true" outlineLevel="0" collapsed="false">
      <c r="A46" s="380" t="n">
        <v>1906</v>
      </c>
      <c r="B46" s="387" t="n">
        <f aca="false">TableDE1!R46/TableDE1!R45-1</f>
        <v>0.0139105348675266</v>
      </c>
      <c r="C46" s="387" t="n">
        <v>0.0142725598526703</v>
      </c>
      <c r="D46" s="382" t="n">
        <f aca="false">TableDE1!D46/TableDE1!D45-1</f>
        <v>-0.00651711571354818</v>
      </c>
      <c r="E46" s="383" t="n">
        <f aca="false">E47/(1+B47)</f>
        <v>44025.1332217536</v>
      </c>
      <c r="F46" s="401" t="n">
        <f aca="false">E46*TableDE1!S46/TableDE1!R46</f>
        <v>25337.8520563843</v>
      </c>
      <c r="G46" s="401" t="n">
        <f aca="false">TableDE3b!E46*TableDE1!T46/TableDE1!R46</f>
        <v>19966.2002644533</v>
      </c>
      <c r="H46" s="384" t="n">
        <f aca="false">H47/(1+D47)</f>
        <v>176.477154100115</v>
      </c>
      <c r="I46" s="385" t="n">
        <f aca="false">1000000*H46/E46</f>
        <v>4008.55468650608</v>
      </c>
      <c r="J46" s="402" t="n">
        <f aca="false">I46/I45-1</f>
        <v>-0.0201473896153411</v>
      </c>
      <c r="K46" s="387" t="n">
        <v>-0.0105455624149808</v>
      </c>
      <c r="L46" s="388" t="n">
        <v>0.0154932736620266</v>
      </c>
      <c r="M46" s="403" t="n">
        <f aca="false">(TableDE1!D46/TableDE1!D45)/(1+D46)-1</f>
        <v>0</v>
      </c>
      <c r="N46" s="404" t="n">
        <f aca="false">(TableDE1!R46/TableDE1!R45)/(1+B46)-1</f>
        <v>0</v>
      </c>
      <c r="O46" s="123"/>
      <c r="R46" s="387" t="n">
        <f aca="false">1+K46</f>
        <v>0.989454437585019</v>
      </c>
      <c r="S46" s="387" t="n">
        <f aca="false">1+L46</f>
        <v>1.01549327366203</v>
      </c>
      <c r="T46" s="387" t="n">
        <f aca="false">1+C46</f>
        <v>1.01427255985267</v>
      </c>
    </row>
    <row r="47" customFormat="false" ht="12" hidden="false" customHeight="true" outlineLevel="0" collapsed="false">
      <c r="A47" s="380" t="n">
        <v>1907</v>
      </c>
      <c r="B47" s="387" t="n">
        <f aca="false">TableDE1!R47/TableDE1!R46-1</f>
        <v>0.014063087665364</v>
      </c>
      <c r="C47" s="387" t="n">
        <v>0.0144583984801869</v>
      </c>
      <c r="D47" s="382" t="n">
        <f aca="false">TableDE1!D47/TableDE1!D46-1</f>
        <v>0.0582548402668845</v>
      </c>
      <c r="E47" s="383" t="n">
        <f aca="false">E48/(1+B48)</f>
        <v>44644.2625297305</v>
      </c>
      <c r="F47" s="401" t="n">
        <f aca="false">E47*TableDE1!S47/TableDE1!R47</f>
        <v>25611.7870849416</v>
      </c>
      <c r="G47" s="401" t="n">
        <f aca="false">TableDE3b!E47*TableDE1!T47/TableDE1!R47</f>
        <v>20277.2047540417</v>
      </c>
      <c r="H47" s="384" t="n">
        <f aca="false">H48/(1+D48)</f>
        <v>186.757802522971</v>
      </c>
      <c r="I47" s="385" t="n">
        <f aca="false">1000000*H47/E47</f>
        <v>4183.24308523636</v>
      </c>
      <c r="J47" s="402" t="n">
        <f aca="false">I47/I46-1</f>
        <v>0.0435788987283439</v>
      </c>
      <c r="K47" s="387" t="n">
        <v>0.0203524625084415</v>
      </c>
      <c r="L47" s="388" t="n">
        <v>0.0294200324359089</v>
      </c>
      <c r="M47" s="403" t="n">
        <f aca="false">(TableDE1!D47/TableDE1!D46)/(1+D47)-1</f>
        <v>0</v>
      </c>
      <c r="N47" s="404" t="n">
        <f aca="false">(TableDE1!R47/TableDE1!R46)/(1+B47)-1</f>
        <v>0</v>
      </c>
      <c r="O47" s="123"/>
      <c r="R47" s="387" t="n">
        <f aca="false">1+K47</f>
        <v>1.02035246250844</v>
      </c>
      <c r="S47" s="387" t="n">
        <f aca="false">1+L47</f>
        <v>1.02942003243591</v>
      </c>
      <c r="T47" s="387" t="n">
        <f aca="false">1+C47</f>
        <v>1.01445839848019</v>
      </c>
    </row>
    <row r="48" customFormat="false" ht="12" hidden="false" customHeight="true" outlineLevel="0" collapsed="false">
      <c r="A48" s="380" t="n">
        <v>1908</v>
      </c>
      <c r="B48" s="387" t="n">
        <f aca="false">TableDE1!R48/TableDE1!R47-1</f>
        <v>0.0137068034121877</v>
      </c>
      <c r="C48" s="387" t="n">
        <v>0.0140203178601614</v>
      </c>
      <c r="D48" s="382" t="n">
        <f aca="false">TableDE1!D48/TableDE1!D47-1</f>
        <v>-0.0050908492118501</v>
      </c>
      <c r="E48" s="383" t="n">
        <f aca="false">E49/(1+B49)</f>
        <v>45256.1926597076</v>
      </c>
      <c r="F48" s="401" t="n">
        <f aca="false">E48*TableDE1!S48/TableDE1!R48</f>
        <v>25879.3200591652</v>
      </c>
      <c r="G48" s="401" t="n">
        <f aca="false">TableDE3b!E48*TableDE1!T48/TableDE1!R48</f>
        <v>20409.6696292368</v>
      </c>
      <c r="H48" s="384" t="n">
        <f aca="false">H49/(1+D49)</f>
        <v>185.807046711191</v>
      </c>
      <c r="I48" s="385" t="n">
        <f aca="false">1000000*H48/E48</f>
        <v>4105.67119749377</v>
      </c>
      <c r="J48" s="402" t="n">
        <f aca="false">I48/I47-1</f>
        <v>-0.0185434807784303</v>
      </c>
      <c r="K48" s="387" t="n">
        <v>0.0317298503389862</v>
      </c>
      <c r="L48" s="388" t="n">
        <v>0.00290859961835821</v>
      </c>
      <c r="M48" s="403" t="n">
        <f aca="false">(TableDE1!D48/TableDE1!D47)/(1+D48)-1</f>
        <v>0</v>
      </c>
      <c r="N48" s="404" t="n">
        <f aca="false">(TableDE1!R48/TableDE1!R47)/(1+B48)-1</f>
        <v>0</v>
      </c>
      <c r="O48" s="123"/>
      <c r="R48" s="387" t="n">
        <f aca="false">1+K48</f>
        <v>1.03172985033899</v>
      </c>
      <c r="S48" s="387" t="n">
        <f aca="false">1+L48</f>
        <v>1.00290859961836</v>
      </c>
      <c r="T48" s="387" t="n">
        <f aca="false">1+C48</f>
        <v>1.01402031786016</v>
      </c>
    </row>
    <row r="49" customFormat="false" ht="12" hidden="false" customHeight="true" outlineLevel="0" collapsed="false">
      <c r="A49" s="405" t="n">
        <v>1909</v>
      </c>
      <c r="B49" s="406" t="n">
        <f aca="false">TableDE1!R49/TableDE1!R48-1</f>
        <v>0.0135850977522549</v>
      </c>
      <c r="C49" s="406" t="n">
        <v>0.0139081831107915</v>
      </c>
      <c r="D49" s="407" t="n">
        <f aca="false">TableDE1!D49/TableDE1!D48-1</f>
        <v>0.0281751325538713</v>
      </c>
      <c r="E49" s="408" t="n">
        <f aca="false">E50/(1+B50)</f>
        <v>45871.0024608846</v>
      </c>
      <c r="F49" s="409" t="n">
        <f aca="false">E49*TableDE1!S49/TableDE1!R49</f>
        <v>26146.2357307364</v>
      </c>
      <c r="G49" s="409" t="n">
        <f aca="false">TableDE3b!E49*TableDE1!T49/TableDE1!R49</f>
        <v>20706.2757628257</v>
      </c>
      <c r="H49" s="410" t="n">
        <f aca="false">H50/(1+D50)</f>
        <v>191.042184881722</v>
      </c>
      <c r="I49" s="411" t="n">
        <f aca="false">1000000*H49/E49</f>
        <v>4164.77021718957</v>
      </c>
      <c r="J49" s="412" t="n">
        <f aca="false">I49/I48-1</f>
        <v>0.0143944843249684</v>
      </c>
      <c r="K49" s="406" t="n">
        <v>-0.00146983869732376</v>
      </c>
      <c r="L49" s="413" t="n">
        <v>0.00626687299694551</v>
      </c>
      <c r="M49" s="414" t="n">
        <f aca="false">(TableDE1!D49/TableDE1!D48)/(1+D49)-1</f>
        <v>0</v>
      </c>
      <c r="N49" s="415" t="n">
        <f aca="false">(TableDE1!R49/TableDE1!R48)/(1+B49)-1</f>
        <v>0</v>
      </c>
      <c r="O49" s="123"/>
      <c r="R49" s="387" t="n">
        <f aca="false">1+K49</f>
        <v>0.998530161302676</v>
      </c>
      <c r="S49" s="387" t="n">
        <f aca="false">1+L49</f>
        <v>1.00626687299695</v>
      </c>
      <c r="T49" s="387" t="n">
        <f aca="false">1+C49</f>
        <v>1.01390818311079</v>
      </c>
    </row>
    <row r="50" customFormat="false" ht="12" hidden="false" customHeight="true" outlineLevel="0" collapsed="false">
      <c r="A50" s="380" t="n">
        <v>1910</v>
      </c>
      <c r="B50" s="387" t="n">
        <f aca="false">TableDE1!R50/TableDE1!R49-1</f>
        <v>0.0133559332674169</v>
      </c>
      <c r="C50" s="387" t="n">
        <v>0.0136368032496212</v>
      </c>
      <c r="D50" s="382" t="n">
        <f aca="false">TableDE1!D50/TableDE1!D49-1</f>
        <v>-0.00683439662181451</v>
      </c>
      <c r="E50" s="383" t="n">
        <f aca="false">E51/(1+B51)</f>
        <v>46483.6525086617</v>
      </c>
      <c r="F50" s="401" t="n">
        <f aca="false">E50*TableDE1!S50/TableDE1!R50</f>
        <v>26409.6550102877</v>
      </c>
      <c r="G50" s="401" t="n">
        <f aca="false">TableDE3b!E50*TableDE1!T50/TableDE1!R50</f>
        <v>21179.9816752079</v>
      </c>
      <c r="H50" s="384" t="n">
        <f aca="false">H51/(1+D51)</f>
        <v>189.736526818742</v>
      </c>
      <c r="I50" s="385" t="n">
        <f aca="false">1000000*H50/E50</f>
        <v>4081.7904054202</v>
      </c>
      <c r="J50" s="402" t="n">
        <f aca="false">I50/I49-1</f>
        <v>-0.0199242232925311</v>
      </c>
      <c r="K50" s="387" t="n">
        <v>0.00373239819075155</v>
      </c>
      <c r="L50" s="388" t="n">
        <v>0.0222743984324798</v>
      </c>
      <c r="M50" s="403" t="n">
        <f aca="false">(TableDE1!D50/TableDE1!D49)/(1+D50)-1</f>
        <v>0</v>
      </c>
      <c r="N50" s="404" t="n">
        <f aca="false">(TableDE1!R50/TableDE1!R49)/(1+B50)-1</f>
        <v>0</v>
      </c>
      <c r="O50" s="123"/>
      <c r="R50" s="387" t="n">
        <f aca="false">1+K50</f>
        <v>1.00373239819075</v>
      </c>
      <c r="S50" s="387" t="n">
        <f aca="false">1+L50</f>
        <v>1.02227439843248</v>
      </c>
      <c r="T50" s="387" t="n">
        <f aca="false">1+C50</f>
        <v>1.01363680324962</v>
      </c>
    </row>
    <row r="51" customFormat="false" ht="12" hidden="false" customHeight="true" outlineLevel="0" collapsed="false">
      <c r="A51" s="380" t="n">
        <v>1911</v>
      </c>
      <c r="B51" s="387" t="n">
        <f aca="false">TableDE1!R51/TableDE1!R50-1</f>
        <v>0.0122506504770166</v>
      </c>
      <c r="C51" s="387" t="n">
        <v>0.0153934228102539</v>
      </c>
      <c r="D51" s="382" t="n">
        <f aca="false">TableDE1!D51/TableDE1!D50-1</f>
        <v>0.0546790290247157</v>
      </c>
      <c r="E51" s="383" t="n">
        <f aca="false">E52/(1+B52)</f>
        <v>47053.1074884404</v>
      </c>
      <c r="F51" s="401" t="n">
        <f aca="false">E51*TableDE1!S51/TableDE1!R51</f>
        <v>26733.1904630373</v>
      </c>
      <c r="G51" s="401" t="n">
        <f aca="false">TableDE3b!E51*TableDE1!T51/TableDE1!R51</f>
        <v>21622.0112043914</v>
      </c>
      <c r="H51" s="384" t="n">
        <f aca="false">H52/(1+D52)</f>
        <v>200.111135875713</v>
      </c>
      <c r="I51" s="385" t="n">
        <f aca="false">1000000*H51/E51</f>
        <v>4252.87821691425</v>
      </c>
      <c r="J51" s="402" t="n">
        <f aca="false">I51/I50-1</f>
        <v>0.0419148938335627</v>
      </c>
      <c r="K51" s="387" t="n">
        <v>0.029786672963221</v>
      </c>
      <c r="L51" s="388" t="n">
        <v>0.0181490723227564</v>
      </c>
      <c r="M51" s="403" t="n">
        <f aca="false">(TableDE1!D51/TableDE1!D50)/(1+D51)-1</f>
        <v>0</v>
      </c>
      <c r="N51" s="404" t="n">
        <f aca="false">(TableDE1!R51/TableDE1!R50)/(1+B51)-1</f>
        <v>0</v>
      </c>
      <c r="O51" s="123"/>
      <c r="R51" s="387" t="n">
        <f aca="false">1+K51</f>
        <v>1.02978667296322</v>
      </c>
      <c r="S51" s="387" t="n">
        <f aca="false">1+L51</f>
        <v>1.01814907232276</v>
      </c>
      <c r="T51" s="387" t="n">
        <f aca="false">1+C51</f>
        <v>1.01539342281025</v>
      </c>
    </row>
    <row r="52" customFormat="false" ht="12" hidden="false" customHeight="true" outlineLevel="0" collapsed="false">
      <c r="A52" s="380" t="n">
        <v>1912</v>
      </c>
      <c r="B52" s="387" t="n">
        <f aca="false">TableDE1!R52/TableDE1!R51-1</f>
        <v>0.0120411879006717</v>
      </c>
      <c r="C52" s="387" t="n">
        <v>0.00947503602079802</v>
      </c>
      <c r="D52" s="382" t="n">
        <f aca="false">TableDE1!D52/TableDE1!D51-1</f>
        <v>0.0462499555478224</v>
      </c>
      <c r="E52" s="383" t="n">
        <f aca="false">E53/(1+B53)</f>
        <v>47619.6827970192</v>
      </c>
      <c r="F52" s="401" t="n">
        <f aca="false">E52*TableDE1!S52/TableDE1!R52</f>
        <v>27055.0898325872</v>
      </c>
      <c r="G52" s="401" t="n">
        <f aca="false">TableDE3b!E52*TableDE1!T52/TableDE1!R52</f>
        <v>21992.7688713775</v>
      </c>
      <c r="H52" s="384" t="n">
        <f aca="false">H53/(1+D53)</f>
        <v>209.366267014589</v>
      </c>
      <c r="I52" s="385" t="n">
        <f aca="false">1000000*H52/E52</f>
        <v>4396.63296177383</v>
      </c>
      <c r="J52" s="402" t="n">
        <f aca="false">I52/I51-1</f>
        <v>0.0338017543713927</v>
      </c>
      <c r="K52" s="387" t="n">
        <v>0.0152261591983254</v>
      </c>
      <c r="L52" s="388" t="n">
        <v>0.0338249727794826</v>
      </c>
      <c r="M52" s="403" t="n">
        <f aca="false">(TableDE1!D52/TableDE1!D51)/(1+D52)-1</f>
        <v>0</v>
      </c>
      <c r="N52" s="404" t="n">
        <f aca="false">(TableDE1!R52/TableDE1!R51)/(1+B52)-1</f>
        <v>0</v>
      </c>
      <c r="O52" s="123"/>
      <c r="R52" s="387" t="n">
        <f aca="false">1+K52</f>
        <v>1.01522615919833</v>
      </c>
      <c r="S52" s="387" t="n">
        <f aca="false">1+L52</f>
        <v>1.03382497277948</v>
      </c>
      <c r="T52" s="387" t="n">
        <f aca="false">1+C52</f>
        <v>1.0094750360208</v>
      </c>
    </row>
    <row r="53" customFormat="false" ht="12" hidden="false" customHeight="false" outlineLevel="0" collapsed="false">
      <c r="A53" s="416" t="n">
        <v>1913</v>
      </c>
      <c r="B53" s="387" t="n">
        <f aca="false">TableDE1!R53/TableDE1!R52-1</f>
        <v>0.0125782360233424</v>
      </c>
      <c r="C53" s="387" t="n">
        <v>0.0093240454876895</v>
      </c>
      <c r="D53" s="382" t="n">
        <f aca="false">TableDE1!D53/TableDE1!D52-1</f>
        <v>0.0080258855585833</v>
      </c>
      <c r="E53" s="383" t="n">
        <f aca="false">E54/(1+B54)</f>
        <v>48218.6544065968</v>
      </c>
      <c r="F53" s="401" t="n">
        <f aca="false">E53*TableDE1!S53/TableDE1!R53</f>
        <v>27395.3951381342</v>
      </c>
      <c r="G53" s="401" t="n">
        <f aca="false">TableDE3b!E53*TableDE1!T53/TableDE1!R53</f>
        <v>22294.4144295663</v>
      </c>
      <c r="H53" s="384" t="n">
        <f aca="false">H54/(1+D54)</f>
        <v>211.046616713476</v>
      </c>
      <c r="I53" s="385" t="n">
        <f aca="false">1000000*H53/E53</f>
        <v>4376.8665739582</v>
      </c>
      <c r="J53" s="402" t="n">
        <f aca="false">I53/I52-1</f>
        <v>-0.00449580121595072</v>
      </c>
      <c r="K53" s="387" t="n">
        <v>0.0346106356942701</v>
      </c>
      <c r="L53" s="388" t="n">
        <v>0.0352790900864184</v>
      </c>
      <c r="M53" s="387" t="n">
        <f aca="false">(TableDE1!D53/TableDE1!D52)/(1+D53)-1</f>
        <v>0</v>
      </c>
      <c r="N53" s="417" t="n">
        <f aca="false">(TableDE1!R53/TableDE1!R52)/(1+B53)-1</f>
        <v>0</v>
      </c>
      <c r="O53" s="123"/>
      <c r="R53" s="387" t="n">
        <f aca="false">1+K53</f>
        <v>1.03461063569427</v>
      </c>
      <c r="S53" s="387" t="n">
        <f aca="false">1+L53</f>
        <v>1.03527909008642</v>
      </c>
      <c r="T53" s="387" t="n">
        <f aca="false">1+C53</f>
        <v>1.00932404548769</v>
      </c>
    </row>
    <row r="54" customFormat="false" ht="12" hidden="false" customHeight="false" outlineLevel="0" collapsed="false">
      <c r="A54" s="416" t="n">
        <f aca="false">A53+1</f>
        <v>1914</v>
      </c>
      <c r="B54" s="387" t="n">
        <f aca="false">TableDE1!R54/TableDE1!R53-1</f>
        <v>0.0121233837976649</v>
      </c>
      <c r="C54" s="387" t="n">
        <v>0.0159549940053492</v>
      </c>
      <c r="D54" s="382" t="n">
        <f aca="false">TableDE1!D54/TableDE1!D53-1</f>
        <v>-0.0767070542936876</v>
      </c>
      <c r="E54" s="383" t="n">
        <f aca="false">E55/(1+B55)</f>
        <v>48803.2276601749</v>
      </c>
      <c r="F54" s="401" t="n">
        <f aca="false">E54*TableDE1!S54/TableDE1!R54</f>
        <v>28005.5846916037</v>
      </c>
      <c r="G54" s="401"/>
      <c r="H54" s="384" t="n">
        <f aca="false">H55/(1+D55)</f>
        <v>194.857852426736</v>
      </c>
      <c r="I54" s="385" t="n">
        <f aca="false">1000000*H54/E54</f>
        <v>3992.72469811964</v>
      </c>
      <c r="J54" s="402" t="n">
        <f aca="false">I54/I53-1</f>
        <v>-0.0877664121918073</v>
      </c>
      <c r="K54" s="387" t="n">
        <v>-0.0759549940053492</v>
      </c>
      <c r="L54" s="388" t="n">
        <v>-0.161380174291939</v>
      </c>
      <c r="M54" s="418" t="n">
        <f aca="false">(TableDE1!D54/TableDE1!D53)/(1+D54)-1</f>
        <v>0</v>
      </c>
      <c r="N54" s="419" t="n">
        <f aca="false">(TableDE1!R54/TableDE1!R53)/(1+B54)-1</f>
        <v>0</v>
      </c>
      <c r="O54" s="123"/>
      <c r="R54" s="387" t="n">
        <f aca="false">1+K54</f>
        <v>0.924045005994651</v>
      </c>
      <c r="S54" s="387" t="n">
        <f aca="false">1+L54</f>
        <v>0.838619825708061</v>
      </c>
      <c r="T54" s="387" t="n">
        <f aca="false">1+C54</f>
        <v>1.01595499400535</v>
      </c>
    </row>
    <row r="55" customFormat="false" ht="12" hidden="false" customHeight="false" outlineLevel="0" collapsed="false">
      <c r="A55" s="416" t="n">
        <f aca="false">A54+1</f>
        <v>1915</v>
      </c>
      <c r="B55" s="387" t="n">
        <f aca="false">TableDE1!R55/TableDE1!R54-1</f>
        <v>0.00137188375866648</v>
      </c>
      <c r="C55" s="387" t="n">
        <v>0.00202735415153721</v>
      </c>
      <c r="D55" s="382" t="n">
        <f aca="false">TableDE1!D55/TableDE1!D54-1</f>
        <v>-0.0813582018173124</v>
      </c>
      <c r="E55" s="383" t="n">
        <f aca="false">E56/(1+B56)</f>
        <v>48870.1800155724</v>
      </c>
      <c r="F55" s="401" t="n">
        <f aca="false">E55*TableDE1!S55/TableDE1!R55</f>
        <v>28322.4512347116</v>
      </c>
      <c r="G55" s="401"/>
      <c r="H55" s="384" t="n">
        <f aca="false">H56/(1+D56)</f>
        <v>179.004567943313</v>
      </c>
      <c r="I55" s="385" t="n">
        <f aca="false">1000000*H55/E55</f>
        <v>3662.85877985868</v>
      </c>
      <c r="J55" s="402" t="n">
        <f aca="false">I55/I54-1</f>
        <v>-0.082616745005312</v>
      </c>
      <c r="K55" s="387" t="n">
        <v>-0.129686928619622</v>
      </c>
      <c r="L55" s="388" t="n">
        <v>-0.0523906233718181</v>
      </c>
      <c r="M55" s="418" t="n">
        <f aca="false">(TableDE1!D55/TableDE1!D54)/(1+D55)-1</f>
        <v>0</v>
      </c>
      <c r="N55" s="419" t="n">
        <f aca="false">(TableDE1!R55/TableDE1!R54)/(1+B55)-1</f>
        <v>0</v>
      </c>
      <c r="O55" s="123"/>
      <c r="R55" s="387" t="n">
        <f aca="false">1+K55</f>
        <v>0.870313071380378</v>
      </c>
      <c r="S55" s="387" t="n">
        <f aca="false">1+L55</f>
        <v>0.947609376628182</v>
      </c>
      <c r="T55" s="387" t="n">
        <f aca="false">1+C55</f>
        <v>1.00202735415154</v>
      </c>
    </row>
    <row r="56" customFormat="false" ht="12" hidden="false" customHeight="false" outlineLevel="0" collapsed="false">
      <c r="A56" s="416" t="n">
        <f aca="false">A55+1</f>
        <v>1916</v>
      </c>
      <c r="B56" s="387" t="n">
        <f aca="false">TableDE1!R56/TableDE1!R55-1</f>
        <v>-0.00247484642694051</v>
      </c>
      <c r="C56" s="387" t="n">
        <v>-0.0023252302581912</v>
      </c>
      <c r="D56" s="382" t="n">
        <f aca="false">TableDE1!D56/TableDE1!D55-1</f>
        <v>-0.0463329307400776</v>
      </c>
      <c r="E56" s="383" t="n">
        <f aca="false">E57/(1+B57)</f>
        <v>48749.2338251769</v>
      </c>
      <c r="F56" s="401" t="n">
        <f aca="false">E56*TableDE1!S56/TableDE1!R56</f>
        <v>28530.1145423631</v>
      </c>
      <c r="G56" s="401"/>
      <c r="H56" s="384" t="n">
        <f aca="false">H57/(1+D57)</f>
        <v>170.710761694638</v>
      </c>
      <c r="I56" s="385" t="n">
        <f aca="false">1000000*H56/E56</f>
        <v>3501.81425018568</v>
      </c>
      <c r="J56" s="402" t="n">
        <f aca="false">I56/I55-1</f>
        <v>-0.0439668956276849</v>
      </c>
      <c r="K56" s="387" t="n">
        <v>-0.00986989169302832</v>
      </c>
      <c r="L56" s="388" t="n">
        <v>0.0122424483145642</v>
      </c>
      <c r="M56" s="418" t="n">
        <f aca="false">(TableDE1!D56/TableDE1!D55)/(1+D56)-1</f>
        <v>0</v>
      </c>
      <c r="N56" s="419" t="n">
        <f aca="false">(TableDE1!R56/TableDE1!R55)/(1+B56)-1</f>
        <v>0</v>
      </c>
      <c r="O56" s="123"/>
      <c r="R56" s="387" t="n">
        <f aca="false">1+K56</f>
        <v>0.990130108306972</v>
      </c>
      <c r="S56" s="387" t="n">
        <f aca="false">1+L56</f>
        <v>1.01224244831456</v>
      </c>
      <c r="T56" s="387" t="n">
        <f aca="false">1+C56</f>
        <v>0.997674769741809</v>
      </c>
    </row>
    <row r="57" customFormat="false" ht="12" hidden="false" customHeight="false" outlineLevel="0" collapsed="false">
      <c r="A57" s="416" t="n">
        <f aca="false">A56+1</f>
        <v>1917</v>
      </c>
      <c r="B57" s="387" t="n">
        <f aca="false">TableDE1!R57/TableDE1!R56-1</f>
        <v>-0.00512441851879197</v>
      </c>
      <c r="C57" s="387" t="n">
        <v>-0.00473696955021485</v>
      </c>
      <c r="D57" s="382" t="n">
        <f aca="false">TableDE1!D57/TableDE1!D56-1</f>
        <v>-0.0239972050570999</v>
      </c>
      <c r="E57" s="383" t="n">
        <f aca="false">E58/(1+B58)</f>
        <v>48499.4223485863</v>
      </c>
      <c r="F57" s="401" t="n">
        <f aca="false">E57*TableDE1!S57/TableDE1!R57</f>
        <v>28660.2479767088</v>
      </c>
      <c r="G57" s="401"/>
      <c r="H57" s="384" t="n">
        <f aca="false">H58/(1+D58)</f>
        <v>166.614180540798</v>
      </c>
      <c r="I57" s="385" t="n">
        <f aca="false">1000000*H57/E57</f>
        <v>3435.38484527239</v>
      </c>
      <c r="J57" s="402" t="n">
        <f aca="false">I57/I56-1</f>
        <v>-0.0189699967409086</v>
      </c>
      <c r="K57" s="387" t="n">
        <v>-0.143411178597933</v>
      </c>
      <c r="L57" s="388" t="n">
        <v>0.00598933103704158</v>
      </c>
      <c r="M57" s="418" t="n">
        <f aca="false">(TableDE1!D57/TableDE1!D56)/(1+D57)-1</f>
        <v>0</v>
      </c>
      <c r="N57" s="419" t="n">
        <f aca="false">(TableDE1!R57/TableDE1!R56)/(1+B57)-1</f>
        <v>0</v>
      </c>
      <c r="O57" s="123"/>
      <c r="R57" s="387" t="n">
        <f aca="false">1+K57</f>
        <v>0.856588821402067</v>
      </c>
      <c r="S57" s="387" t="n">
        <f aca="false">1+L57</f>
        <v>1.00598933103704</v>
      </c>
      <c r="T57" s="387" t="n">
        <f aca="false">1+C57</f>
        <v>0.995263030449785</v>
      </c>
    </row>
    <row r="58" customFormat="false" ht="12" hidden="false" customHeight="false" outlineLevel="0" collapsed="false">
      <c r="A58" s="416" t="n">
        <f aca="false">A57+1</f>
        <v>1918</v>
      </c>
      <c r="B58" s="387" t="n">
        <f aca="false">TableDE1!R58/TableDE1!R57-1</f>
        <v>-0.00826802042512764</v>
      </c>
      <c r="C58" s="387" t="n">
        <v>-0.00799841856363004</v>
      </c>
      <c r="D58" s="382" t="n">
        <f aca="false">TableDE1!D58/TableDE1!D57-1</f>
        <v>-0.0267573493221174</v>
      </c>
      <c r="E58" s="383" t="n">
        <f aca="false">E59/(1+B59)</f>
        <v>48098.4281340013</v>
      </c>
      <c r="F58" s="401" t="n">
        <f aca="false">E58*TableDE1!S58/TableDE1!R58</f>
        <v>28697.333410174</v>
      </c>
      <c r="G58" s="401"/>
      <c r="H58" s="384" t="n">
        <f aca="false">H59/(1+D59)</f>
        <v>162.15602671005</v>
      </c>
      <c r="I58" s="385" t="n">
        <f aca="false">1000000*H58/E58</f>
        <v>3371.33733888946</v>
      </c>
      <c r="J58" s="402" t="n">
        <f aca="false">I58/I57-1</f>
        <v>-0.0186434735168222</v>
      </c>
      <c r="K58" s="387" t="n">
        <v>-0.0187589307584873</v>
      </c>
      <c r="L58" s="388" t="n">
        <v>0.0105276105745411</v>
      </c>
      <c r="M58" s="418" t="n">
        <f aca="false">(TableDE1!D58/TableDE1!D57)/(1+D58)-1</f>
        <v>0</v>
      </c>
      <c r="N58" s="419" t="n">
        <f aca="false">(TableDE1!R58/TableDE1!R57)/(1+B58)-1</f>
        <v>0</v>
      </c>
      <c r="O58" s="123"/>
      <c r="R58" s="387" t="n">
        <f aca="false">1+K58</f>
        <v>0.981241069241513</v>
      </c>
      <c r="S58" s="387" t="n">
        <f aca="false">1+L58</f>
        <v>1.01052761057454</v>
      </c>
      <c r="T58" s="387" t="n">
        <f aca="false">1+C58</f>
        <v>0.99200158143637</v>
      </c>
    </row>
    <row r="59" customFormat="false" ht="12" hidden="false" customHeight="false" outlineLevel="0" collapsed="false">
      <c r="A59" s="420" t="n">
        <f aca="false">A58+1</f>
        <v>1919</v>
      </c>
      <c r="B59" s="421" t="n">
        <v>0.00575</v>
      </c>
      <c r="C59" s="421" t="n">
        <f aca="false">37966/37749-1</f>
        <v>0.00574849664891786</v>
      </c>
      <c r="D59" s="422" t="n">
        <f aca="false">(TableDE1!J59/TableDE1!J58)*(1+B59)-1</f>
        <v>-0.0498872696867829</v>
      </c>
      <c r="E59" s="423" t="n">
        <f aca="false">E60/(1+B60)</f>
        <v>48374.9940957718</v>
      </c>
      <c r="F59" s="424" t="n">
        <f aca="false">E59*TableDE1!S59/TableDE1!R59</f>
        <v>29137.9678078658</v>
      </c>
      <c r="G59" s="424"/>
      <c r="H59" s="425" t="n">
        <f aca="false">H60/(1+D60)</f>
        <v>154.066505274229</v>
      </c>
      <c r="I59" s="426" t="n">
        <f aca="false">1000000*H59/E59</f>
        <v>3184.83770704366</v>
      </c>
      <c r="J59" s="427" t="n">
        <f aca="false">I59/I58-1</f>
        <v>-0.0553191843766173</v>
      </c>
      <c r="K59" s="421" t="n">
        <v>-0.0387698608878329</v>
      </c>
      <c r="L59" s="428" t="n">
        <v>-0.133042120862151</v>
      </c>
      <c r="M59" s="429" t="n">
        <f aca="false">(TableDE1!D59/TableDE1!D58)/(1+D59)-1</f>
        <v>-0.0639653665846255</v>
      </c>
      <c r="N59" s="430" t="n">
        <f aca="false">(TableDE1!R59/TableDE1!R58)/(1+B59)-1</f>
        <v>-0.0639653665846254</v>
      </c>
      <c r="O59" s="123"/>
      <c r="R59" s="387" t="n">
        <f aca="false">1+K59</f>
        <v>0.961230139112167</v>
      </c>
      <c r="S59" s="387" t="n">
        <f aca="false">1+L59</f>
        <v>0.866957879137849</v>
      </c>
      <c r="T59" s="387" t="n">
        <f aca="false">1+C59</f>
        <v>1.00574849664892</v>
      </c>
    </row>
    <row r="60" customFormat="false" ht="12" hidden="false" customHeight="false" outlineLevel="0" collapsed="false">
      <c r="A60" s="431" t="n">
        <f aca="false">A59+1</f>
        <v>1920</v>
      </c>
      <c r="B60" s="392" t="n">
        <v>0.00574</v>
      </c>
      <c r="C60" s="392" t="n">
        <v>0.00573108494227625</v>
      </c>
      <c r="D60" s="393" t="n">
        <f aca="false">(TableDE1!J60/TableDE1!J59)*(1+B60)-1</f>
        <v>0.158662192379435</v>
      </c>
      <c r="E60" s="432" t="n">
        <f aca="false">E61/(1+B61)</f>
        <v>48652.6665618815</v>
      </c>
      <c r="F60" s="394" t="n">
        <f aca="false">E60*TableDE1!S60/TableDE1!R60</f>
        <v>29582.4265596198</v>
      </c>
      <c r="G60" s="394"/>
      <c r="H60" s="395" t="n">
        <f aca="false">H61/(1+D61)</f>
        <v>178.511034773275</v>
      </c>
      <c r="I60" s="396" t="n">
        <f aca="false">1000000*H60/E60</f>
        <v>3669.09046077108</v>
      </c>
      <c r="J60" s="397" t="n">
        <f aca="false">I60/I59-1</f>
        <v>0.152049428658932</v>
      </c>
      <c r="K60" s="392" t="n">
        <v>0.11322052796095</v>
      </c>
      <c r="L60" s="398" t="n">
        <v>0.0809365054061912</v>
      </c>
      <c r="M60" s="433" t="n">
        <f aca="false">(TableDE1!D60/TableDE1!D59)/(1+D60)-1</f>
        <v>-0.034272784369238</v>
      </c>
      <c r="N60" s="434" t="n">
        <f aca="false">(TableDE1!R60/TableDE1!R59)/(1+B60)-1</f>
        <v>-0.0342727843692382</v>
      </c>
      <c r="O60" s="123"/>
      <c r="R60" s="387" t="n">
        <f aca="false">1+K60</f>
        <v>1.11322052796095</v>
      </c>
      <c r="S60" s="387" t="n">
        <f aca="false">1+L60</f>
        <v>1.08093650540619</v>
      </c>
      <c r="T60" s="387" t="n">
        <f aca="false">1+C60</f>
        <v>1.00573108494228</v>
      </c>
    </row>
    <row r="61" customFormat="false" ht="12" hidden="false" customHeight="false" outlineLevel="0" collapsed="false">
      <c r="A61" s="431" t="n">
        <f aca="false">A60+1</f>
        <v>1921</v>
      </c>
      <c r="B61" s="392" t="n">
        <v>0.01116</v>
      </c>
      <c r="C61" s="392" t="n">
        <v>0.0111505238611358</v>
      </c>
      <c r="D61" s="393" t="n">
        <f aca="false">(TableDE1!J61/TableDE1!J60)*(1+B61)-1</f>
        <v>0.0603365968078833</v>
      </c>
      <c r="E61" s="432" t="n">
        <f aca="false">E62/(1+B62)</f>
        <v>49195.6303207121</v>
      </c>
      <c r="F61" s="394" t="n">
        <f aca="false">E61*TableDE1!S61/TableDE1!R61</f>
        <v>30192.8668846346</v>
      </c>
      <c r="G61" s="394"/>
      <c r="H61" s="395" t="n">
        <f aca="false">H62/(1+D62)</f>
        <v>189.281783104149</v>
      </c>
      <c r="I61" s="396" t="n">
        <f aca="false">1000000*H61/E61</f>
        <v>3847.53243062846</v>
      </c>
      <c r="J61" s="397" t="n">
        <f aca="false">I61/I60-1</f>
        <v>0.0486338431186788</v>
      </c>
      <c r="K61" s="392" t="n">
        <v>0.0489326362220244</v>
      </c>
      <c r="L61" s="398" t="n">
        <v>0.100955478771904</v>
      </c>
      <c r="M61" s="433" t="n">
        <f aca="false">(TableDE1!D61/TableDE1!D60)/(1+D61)-1</f>
        <v>-0.000239015351810035</v>
      </c>
      <c r="N61" s="434" t="n">
        <f aca="false">(TableDE1!R61/TableDE1!R60)/(1+B61)-1</f>
        <v>-0.000239015351810257</v>
      </c>
      <c r="O61" s="123"/>
      <c r="R61" s="387" t="n">
        <f aca="false">1+K61</f>
        <v>1.04893263622202</v>
      </c>
      <c r="S61" s="387" t="n">
        <f aca="false">1+L61</f>
        <v>1.1009554787719</v>
      </c>
      <c r="T61" s="387" t="n">
        <f aca="false">1+C61</f>
        <v>1.01115052386114</v>
      </c>
    </row>
    <row r="62" customFormat="false" ht="12" hidden="false" customHeight="false" outlineLevel="0" collapsed="false">
      <c r="A62" s="431" t="n">
        <f aca="false">A61+1</f>
        <v>1922</v>
      </c>
      <c r="B62" s="392" t="n">
        <v>0.0084</v>
      </c>
      <c r="C62" s="392" t="n">
        <v>0.00531076933071306</v>
      </c>
      <c r="D62" s="393" t="n">
        <f aca="false">(TableDE1!J62/TableDE1!J61)*(1+B62)-1</f>
        <v>0.07636872529618</v>
      </c>
      <c r="E62" s="381" t="n">
        <f aca="false">E63/(1+B63)</f>
        <v>49608.8736154061</v>
      </c>
      <c r="F62" s="394" t="n">
        <f aca="false">E62*TableDE1!S62/TableDE1!R62</f>
        <v>30729.1419348097</v>
      </c>
      <c r="G62" s="394"/>
      <c r="H62" s="395" t="n">
        <f aca="false">H63/(1+D63)</f>
        <v>203.7369916016</v>
      </c>
      <c r="I62" s="396" t="n">
        <f aca="false">1000000*H62/E62</f>
        <v>4106.86590429519</v>
      </c>
      <c r="J62" s="397" t="n">
        <f aca="false">I62/I61-1</f>
        <v>0.0674025439271917</v>
      </c>
      <c r="K62" s="392" t="n">
        <v>0.054417717736468</v>
      </c>
      <c r="L62" s="398" t="n">
        <v>0.0822525750718568</v>
      </c>
      <c r="M62" s="433" t="n">
        <f aca="false">(TableDE1!D62/TableDE1!D61)/(1+D62)-1</f>
        <v>-0.0154596076956994</v>
      </c>
      <c r="N62" s="434" t="n">
        <f aca="false">(TableDE1!R62/TableDE1!R61)/(1+B62)-1</f>
        <v>-0.0154596076956994</v>
      </c>
      <c r="O62" s="123"/>
      <c r="R62" s="387" t="n">
        <f aca="false">1+K62</f>
        <v>1.05441771773647</v>
      </c>
      <c r="S62" s="387" t="n">
        <f aca="false">1+L62</f>
        <v>1.08225257507186</v>
      </c>
      <c r="T62" s="387" t="n">
        <f aca="false">1+C62</f>
        <v>1.00531076933071</v>
      </c>
    </row>
    <row r="63" customFormat="false" ht="12" hidden="false" customHeight="false" outlineLevel="0" collapsed="false">
      <c r="A63" s="431" t="n">
        <f aca="false">A62+1</f>
        <v>1923</v>
      </c>
      <c r="B63" s="392" t="n">
        <v>0.00657</v>
      </c>
      <c r="C63" s="392" t="n">
        <v>0.00657512116316639</v>
      </c>
      <c r="D63" s="393" t="n">
        <f aca="false">(TableDE1!J63/TableDE1!J62)*(1+B63)-1</f>
        <v>-0.130356339731958</v>
      </c>
      <c r="E63" s="381" t="n">
        <f aca="false">E64/(1+B64)</f>
        <v>49934.8039150593</v>
      </c>
      <c r="F63" s="394" t="n">
        <f aca="false">E63*TableDE1!S63/TableDE1!R63</f>
        <v>31215.5444088075</v>
      </c>
      <c r="G63" s="394"/>
      <c r="H63" s="395" t="n">
        <f aca="false">H64/(1+D64)</f>
        <v>177.178583108415</v>
      </c>
      <c r="I63" s="396" t="n">
        <f aca="false">1000000*H63/E63</f>
        <v>3548.1982348384</v>
      </c>
      <c r="J63" s="397" t="n">
        <f aca="false">I63/I62-1</f>
        <v>-0.136032605513733</v>
      </c>
      <c r="K63" s="392" t="n">
        <v>-0.136900832628868</v>
      </c>
      <c r="L63" s="398" t="n">
        <v>-0.174544971242275</v>
      </c>
      <c r="M63" s="433" t="n">
        <f aca="false">(TableDE1!D63/TableDE1!D62)/(1+D63)-1</f>
        <v>3.5219329083791E-005</v>
      </c>
      <c r="N63" s="434" t="n">
        <f aca="false">(TableDE1!R63/TableDE1!R62)/(1+B63)-1</f>
        <v>3.5219329083569E-005</v>
      </c>
      <c r="O63" s="123"/>
      <c r="R63" s="387" t="n">
        <f aca="false">1+K63</f>
        <v>0.863099167371132</v>
      </c>
      <c r="S63" s="387" t="n">
        <f aca="false">1+L63</f>
        <v>0.825455028757725</v>
      </c>
      <c r="T63" s="387" t="n">
        <f aca="false">1+C63</f>
        <v>1.00657512116317</v>
      </c>
    </row>
    <row r="64" customFormat="false" ht="12" hidden="false" customHeight="false" outlineLevel="0" collapsed="false">
      <c r="A64" s="416" t="n">
        <f aca="false">A63+1</f>
        <v>1924</v>
      </c>
      <c r="B64" s="387" t="n">
        <f aca="false">TableDE1!R64/TableDE1!R63-1</f>
        <v>0.00630286140186009</v>
      </c>
      <c r="C64" s="387" t="n">
        <v>0.00625932880735713</v>
      </c>
      <c r="D64" s="382" t="n">
        <f aca="false">TableDE1!D64/TableDE1!D63-1</f>
        <v>0.114176951813496</v>
      </c>
      <c r="E64" s="383" t="n">
        <f aca="false">E65/(1+B65)</f>
        <v>50249.536063265</v>
      </c>
      <c r="F64" s="401" t="n">
        <f aca="false">E64*TableDE1!S64/TableDE1!R64</f>
        <v>31698.5969100615</v>
      </c>
      <c r="G64" s="401"/>
      <c r="H64" s="384" t="n">
        <f aca="false">H65/(1+D65)</f>
        <v>197.408293654368</v>
      </c>
      <c r="I64" s="385" t="n">
        <f aca="false">1000000*H64/E64</f>
        <v>3928.55952751141</v>
      </c>
      <c r="J64" s="402" t="n">
        <f aca="false">I64/I63-1</f>
        <v>0.107198433542521</v>
      </c>
      <c r="K64" s="387" t="n">
        <v>0.107917623006139</v>
      </c>
      <c r="L64" s="388" t="n">
        <v>0.163388882527637</v>
      </c>
      <c r="M64" s="418" t="n">
        <f aca="false">(TableDE1!D64/TableDE1!D63)/(1+D64)-1</f>
        <v>0</v>
      </c>
      <c r="N64" s="419" t="n">
        <f aca="false">(TableDE1!R64/TableDE1!R63)/(1+B64)-1</f>
        <v>0</v>
      </c>
      <c r="O64" s="123"/>
      <c r="R64" s="387" t="n">
        <f aca="false">1+K64</f>
        <v>1.10791762300614</v>
      </c>
      <c r="S64" s="387" t="n">
        <f aca="false">1+L64</f>
        <v>1.16338888252764</v>
      </c>
      <c r="T64" s="387" t="n">
        <f aca="false">1+C64</f>
        <v>1.00625932880736</v>
      </c>
    </row>
    <row r="65" s="435" customFormat="true" ht="12" hidden="false" customHeight="false" outlineLevel="0" collapsed="false">
      <c r="A65" s="416" t="n">
        <f aca="false">A64+1</f>
        <v>1925</v>
      </c>
      <c r="B65" s="387" t="n">
        <f aca="false">TableDE1!R65/TableDE1!R64-1</f>
        <v>0.0048786771217415</v>
      </c>
      <c r="C65" s="387" t="n">
        <v>0.00748042171076757</v>
      </c>
      <c r="D65" s="382" t="n">
        <f aca="false">TableDE1!D65/TableDE1!D64-1</f>
        <v>0.0877806926890565</v>
      </c>
      <c r="E65" s="383" t="n">
        <f aca="false">E66/(1+B66)</f>
        <v>50494.687325235</v>
      </c>
      <c r="F65" s="401" t="n">
        <f aca="false">E65*TableDE1!S65/TableDE1!R65</f>
        <v>32140.9461717388</v>
      </c>
      <c r="G65" s="401" t="n">
        <f aca="false">TableDE3b!E65*TableDE1!T65/TableDE1!R65</f>
        <v>25108.1818901461</v>
      </c>
      <c r="H65" s="384" t="n">
        <f aca="false">H66/(1+D66)</f>
        <v>214.736930413913</v>
      </c>
      <c r="I65" s="385" t="n">
        <f aca="false">1000000*H65/E65</f>
        <v>4252.66383037087</v>
      </c>
      <c r="J65" s="402" t="n">
        <f aca="false">I65/I64-1</f>
        <v>0.0824995270123252</v>
      </c>
      <c r="K65" s="387" t="n">
        <v>0.0651592659152325</v>
      </c>
      <c r="L65" s="388" t="n">
        <v>0.104053425281452</v>
      </c>
      <c r="M65" s="418" t="n">
        <f aca="false">(TableDE1!D65/TableDE1!D64)/(1+D65)-1</f>
        <v>0</v>
      </c>
      <c r="N65" s="419" t="n">
        <f aca="false">(TableDE1!R65/TableDE1!R64)/(1+B65)-1</f>
        <v>0</v>
      </c>
      <c r="O65" s="123"/>
      <c r="R65" s="387" t="n">
        <f aca="false">1+K65</f>
        <v>1.06515926591523</v>
      </c>
      <c r="S65" s="387" t="n">
        <f aca="false">1+L65</f>
        <v>1.10405342528145</v>
      </c>
      <c r="T65" s="387" t="n">
        <f aca="false">1+C65</f>
        <v>1.00748042171077</v>
      </c>
    </row>
    <row r="66" customFormat="false" ht="12" hidden="false" customHeight="false" outlineLevel="0" collapsed="false">
      <c r="A66" s="416" t="n">
        <f aca="false">A65+1</f>
        <v>1926</v>
      </c>
      <c r="B66" s="387" t="n">
        <f aca="false">TableDE1!R66/TableDE1!R65-1</f>
        <v>0.00732254446402814</v>
      </c>
      <c r="C66" s="387" t="n">
        <v>0.00734572396542443</v>
      </c>
      <c r="D66" s="382" t="n">
        <f aca="false">TableDE1!D66/TableDE1!D65-1</f>
        <v>0.0071741376166421</v>
      </c>
      <c r="E66" s="383" t="n">
        <f aca="false">E67/(1+B67)</f>
        <v>50864.4369183712</v>
      </c>
      <c r="F66" s="401" t="n">
        <f aca="false">E66*TableDE1!S66/TableDE1!R66</f>
        <v>32723.4788695552</v>
      </c>
      <c r="G66" s="401" t="n">
        <f aca="false">TableDE3b!E66*TableDE1!T66/TableDE1!R66</f>
        <v>24152.6583245139</v>
      </c>
      <c r="H66" s="384" t="n">
        <f aca="false">H67/(1+D67)</f>
        <v>216.277482704078</v>
      </c>
      <c r="I66" s="385" t="n">
        <f aca="false">1000000*H66/E66</f>
        <v>4252.03729378085</v>
      </c>
      <c r="J66" s="402" t="n">
        <f aca="false">I66/I65-1</f>
        <v>-0.000147328031325777</v>
      </c>
      <c r="K66" s="387" t="n">
        <v>0.00557217910084651</v>
      </c>
      <c r="L66" s="388" t="n">
        <v>0.0206580934967984</v>
      </c>
      <c r="M66" s="418" t="n">
        <f aca="false">(TableDE1!D66/TableDE1!D65)/(1+D66)-1</f>
        <v>0</v>
      </c>
      <c r="N66" s="419" t="n">
        <f aca="false">(TableDE1!R66/TableDE1!R65)/(1+B66)-1</f>
        <v>0</v>
      </c>
      <c r="O66" s="123"/>
      <c r="R66" s="387" t="n">
        <f aca="false">1+K66</f>
        <v>1.00557217910085</v>
      </c>
      <c r="S66" s="387" t="n">
        <f aca="false">1+L66</f>
        <v>1.0206580934968</v>
      </c>
      <c r="T66" s="387" t="n">
        <f aca="false">1+C66</f>
        <v>1.00734572396542</v>
      </c>
    </row>
    <row r="67" customFormat="false" ht="12" hidden="false" customHeight="false" outlineLevel="0" collapsed="false">
      <c r="A67" s="416" t="n">
        <f aca="false">A66+1</f>
        <v>1927</v>
      </c>
      <c r="B67" s="387" t="n">
        <f aca="false">TableDE1!R67/TableDE1!R66-1</f>
        <v>0.00613994623570391</v>
      </c>
      <c r="C67" s="387" t="n">
        <v>0.0061763319189061</v>
      </c>
      <c r="D67" s="382" t="n">
        <f aca="false">TableDE1!D67/TableDE1!D66-1</f>
        <v>0.101653093547244</v>
      </c>
      <c r="E67" s="383" t="n">
        <f aca="false">E68/(1+B68)</f>
        <v>51176.7418263594</v>
      </c>
      <c r="F67" s="401" t="n">
        <f aca="false">E67*TableDE1!S67/TableDE1!R67</f>
        <v>33273.7101223803</v>
      </c>
      <c r="G67" s="401" t="n">
        <f aca="false">TableDE3b!E67*TableDE1!T67/TableDE1!R67</f>
        <v>25860.6263575787</v>
      </c>
      <c r="H67" s="384" t="n">
        <f aca="false">H68/(1+D68)</f>
        <v>238.262757885558</v>
      </c>
      <c r="I67" s="385" t="n">
        <f aca="false">1000000*H67/E67</f>
        <v>4655.68438674689</v>
      </c>
      <c r="J67" s="402" t="n">
        <f aca="false">I67/I66-1</f>
        <v>0.0949302804931715</v>
      </c>
      <c r="K67" s="387" t="n">
        <v>0.0960051808830782</v>
      </c>
      <c r="L67" s="388" t="n">
        <v>0.0933417681930842</v>
      </c>
      <c r="M67" s="418" t="n">
        <f aca="false">(TableDE1!D67/TableDE1!D66)/(1+D67)-1</f>
        <v>0</v>
      </c>
      <c r="N67" s="419" t="n">
        <f aca="false">(TableDE1!R67/TableDE1!R66)/(1+B67)-1</f>
        <v>0</v>
      </c>
      <c r="O67" s="123"/>
      <c r="R67" s="387" t="n">
        <f aca="false">1+K67</f>
        <v>1.09600518088308</v>
      </c>
      <c r="S67" s="387" t="n">
        <f aca="false">1+L67</f>
        <v>1.09334176819308</v>
      </c>
      <c r="T67" s="387" t="n">
        <f aca="false">1+C67</f>
        <v>1.00617633191891</v>
      </c>
    </row>
    <row r="68" customFormat="false" ht="12" hidden="false" customHeight="false" outlineLevel="0" collapsed="false">
      <c r="A68" s="416" t="n">
        <f aca="false">A67+1</f>
        <v>1928</v>
      </c>
      <c r="B68" s="387" t="n">
        <f aca="false">TableDE1!R68/TableDE1!R67-1</f>
        <v>0.00577047728961477</v>
      </c>
      <c r="C68" s="387" t="n">
        <v>0.00577917310966369</v>
      </c>
      <c r="D68" s="382" t="n">
        <f aca="false">TableDE1!D68/TableDE1!D67-1</f>
        <v>0.0332651914046873</v>
      </c>
      <c r="E68" s="383" t="n">
        <f aca="false">E69/(1+B69)</f>
        <v>51472.0560528248</v>
      </c>
      <c r="F68" s="401" t="n">
        <f aca="false">E68*TableDE1!S68/TableDE1!R68</f>
        <v>33817.0418532415</v>
      </c>
      <c r="G68" s="401" t="n">
        <f aca="false">TableDE3b!E68*TableDE1!T68/TableDE1!R68</f>
        <v>26320.1838387633</v>
      </c>
      <c r="H68" s="384" t="n">
        <f aca="false">H69/(1+D69)</f>
        <v>246.18861413123</v>
      </c>
      <c r="I68" s="385" t="n">
        <f aca="false">1000000*H68/E68</f>
        <v>4782.95667611511</v>
      </c>
      <c r="J68" s="402" t="n">
        <f aca="false">I68/I67-1</f>
        <v>0.0273369667691641</v>
      </c>
      <c r="K68" s="387" t="n">
        <v>0.0266297929574932</v>
      </c>
      <c r="L68" s="388" t="n">
        <v>0.0377800584414594</v>
      </c>
      <c r="M68" s="418" t="n">
        <f aca="false">(TableDE1!D68/TableDE1!D67)/(1+D68)-1</f>
        <v>0</v>
      </c>
      <c r="N68" s="419" t="n">
        <f aca="false">(TableDE1!R68/TableDE1!R67)/(1+B68)-1</f>
        <v>0</v>
      </c>
      <c r="O68" s="123"/>
      <c r="R68" s="387" t="n">
        <f aca="false">1+K68</f>
        <v>1.02662979295749</v>
      </c>
      <c r="S68" s="387" t="n">
        <f aca="false">1+L68</f>
        <v>1.03778005844146</v>
      </c>
      <c r="T68" s="387" t="n">
        <f aca="false">1+C68</f>
        <v>1.00577917310966</v>
      </c>
    </row>
    <row r="69" customFormat="false" ht="12" hidden="false" customHeight="false" outlineLevel="0" collapsed="false">
      <c r="A69" s="436" t="n">
        <f aca="false">A68+1</f>
        <v>1929</v>
      </c>
      <c r="B69" s="406" t="n">
        <f aca="false">TableDE1!R69/TableDE1!R68-1</f>
        <v>0.00534439938382225</v>
      </c>
      <c r="C69" s="406" t="n">
        <v>0.00537325485689433</v>
      </c>
      <c r="D69" s="407" t="n">
        <f aca="false">TableDE1!D69/TableDE1!D68-1</f>
        <v>-0.0206224038034756</v>
      </c>
      <c r="E69" s="408" t="n">
        <f aca="false">E70/(1+B70)</f>
        <v>51747.1432774776</v>
      </c>
      <c r="F69" s="409" t="n">
        <f aca="false">E69*TableDE1!S69/TableDE1!R69</f>
        <v>34350.9778024995</v>
      </c>
      <c r="G69" s="409" t="n">
        <f aca="false">TableDE3b!E69*TableDE1!T69/TableDE1!R69</f>
        <v>26105.7776195487</v>
      </c>
      <c r="H69" s="410" t="n">
        <f aca="false">H70/(1+D70)</f>
        <v>241.111613118797</v>
      </c>
      <c r="I69" s="411" t="n">
        <f aca="false">1000000*H69/E69</f>
        <v>4659.4188171106</v>
      </c>
      <c r="J69" s="412" t="n">
        <f aca="false">I69/I68-1</f>
        <v>-0.0258287639571204</v>
      </c>
      <c r="K69" s="406" t="n">
        <v>-0.020665716754464</v>
      </c>
      <c r="L69" s="413" t="n">
        <v>-0.00943469234991778</v>
      </c>
      <c r="M69" s="437" t="n">
        <f aca="false">(TableDE1!D69/TableDE1!D68)/(1+D69)-1</f>
        <v>0</v>
      </c>
      <c r="N69" s="438" t="n">
        <f aca="false">(TableDE1!R69/TableDE1!R68)/(1+B69)-1</f>
        <v>0</v>
      </c>
      <c r="O69" s="123"/>
      <c r="R69" s="387" t="n">
        <f aca="false">1+K69</f>
        <v>0.979334283245536</v>
      </c>
      <c r="S69" s="387" t="n">
        <f aca="false">1+L69</f>
        <v>0.990565307650082</v>
      </c>
      <c r="T69" s="387" t="n">
        <f aca="false">1+C69</f>
        <v>1.00537325485689</v>
      </c>
    </row>
    <row r="70" customFormat="false" ht="12" hidden="false" customHeight="false" outlineLevel="0" collapsed="false">
      <c r="A70" s="416" t="n">
        <f aca="false">A69+1</f>
        <v>1930</v>
      </c>
      <c r="B70" s="387" t="n">
        <f aca="false">TableDE1!R70/TableDE1!R69-1</f>
        <v>0.00526908283561078</v>
      </c>
      <c r="C70" s="387" t="n">
        <v>0.0053290906563277</v>
      </c>
      <c r="D70" s="382" t="n">
        <f aca="false">TableDE1!D70/TableDE1!D69-1</f>
        <v>-0.0768431250143496</v>
      </c>
      <c r="E70" s="383" t="n">
        <f aca="false">E71/(1+B71)</f>
        <v>52019.8032619129</v>
      </c>
      <c r="F70" s="401" t="n">
        <f aca="false">E70*TableDE1!S70/TableDE1!R70</f>
        <v>34887.041183678</v>
      </c>
      <c r="G70" s="401" t="n">
        <f aca="false">TableDE3b!E70*TableDE1!T70/TableDE1!R70</f>
        <v>24663.1878502666</v>
      </c>
      <c r="H70" s="384" t="n">
        <f aca="false">H71/(1+D71)</f>
        <v>222.583843289498</v>
      </c>
      <c r="I70" s="385" t="n">
        <f aca="false">1000000*H70/E70</f>
        <v>4278.82900996026</v>
      </c>
      <c r="J70" s="402" t="n">
        <f aca="false">I70/I69-1</f>
        <v>-0.0816818195764487</v>
      </c>
      <c r="K70" s="387" t="n">
        <v>-0.072050370700948</v>
      </c>
      <c r="L70" s="388" t="n">
        <v>-0.0192646457274992</v>
      </c>
      <c r="M70" s="418" t="n">
        <f aca="false">(TableDE1!D70/TableDE1!D69)/(1+D70)-1</f>
        <v>0</v>
      </c>
      <c r="N70" s="419" t="n">
        <f aca="false">(TableDE1!R70/TableDE1!R69)/(1+B70)-1</f>
        <v>0</v>
      </c>
      <c r="O70" s="123"/>
      <c r="R70" s="387" t="n">
        <f aca="false">1+K70</f>
        <v>0.927949629299052</v>
      </c>
      <c r="S70" s="387" t="n">
        <f aca="false">1+L70</f>
        <v>0.980735354272501</v>
      </c>
      <c r="T70" s="387" t="n">
        <f aca="false">1+C70</f>
        <v>1.00532909065633</v>
      </c>
    </row>
    <row r="71" customFormat="false" ht="12" hidden="false" customHeight="false" outlineLevel="0" collapsed="false">
      <c r="A71" s="416" t="n">
        <f aca="false">A70+1</f>
        <v>1931</v>
      </c>
      <c r="B71" s="387" t="n">
        <f aca="false">TableDE1!R71/TableDE1!R70-1</f>
        <v>0.00522591181273824</v>
      </c>
      <c r="C71" s="387" t="n">
        <v>0.00520865343248733</v>
      </c>
      <c r="D71" s="382" t="n">
        <f aca="false">TableDE1!D71/TableDE1!D70-1</f>
        <v>-0.131329423231014</v>
      </c>
      <c r="E71" s="383" t="n">
        <f aca="false">E72/(1+B72)</f>
        <v>52291.6541662756</v>
      </c>
      <c r="F71" s="401" t="n">
        <f aca="false">E71*TableDE1!S71/TableDE1!R71</f>
        <v>35426.2785575631</v>
      </c>
      <c r="G71" s="401" t="n">
        <f aca="false">TableDE3b!E71*TableDE1!T71/TableDE1!R71</f>
        <v>22747.2862385672</v>
      </c>
      <c r="H71" s="384" t="n">
        <f aca="false">H72/(1+D72)</f>
        <v>193.352035529746</v>
      </c>
      <c r="I71" s="385" t="n">
        <f aca="false">1000000*H71/E71</f>
        <v>3697.5696908522</v>
      </c>
      <c r="J71" s="402" t="n">
        <f aca="false">I71/I70-1</f>
        <v>-0.135845418864601</v>
      </c>
      <c r="K71" s="387" t="n">
        <v>-0.13274623864119</v>
      </c>
      <c r="L71" s="388" t="n">
        <v>-0.0810003915043709</v>
      </c>
      <c r="M71" s="418" t="n">
        <f aca="false">(TableDE1!D71/TableDE1!D70)/(1+D71)-1</f>
        <v>0</v>
      </c>
      <c r="N71" s="419" t="n">
        <f aca="false">(TableDE1!R71/TableDE1!R70)/(1+B71)-1</f>
        <v>0</v>
      </c>
      <c r="O71" s="123"/>
      <c r="R71" s="387" t="n">
        <f aca="false">1+K71</f>
        <v>0.86725376135881</v>
      </c>
      <c r="S71" s="387" t="n">
        <f aca="false">1+L71</f>
        <v>0.918999608495629</v>
      </c>
      <c r="T71" s="387" t="n">
        <f aca="false">1+C71</f>
        <v>1.00520865343249</v>
      </c>
    </row>
    <row r="72" customFormat="false" ht="12" hidden="false" customHeight="false" outlineLevel="0" collapsed="false">
      <c r="A72" s="416" t="n">
        <f aca="false">A71+1</f>
        <v>1932</v>
      </c>
      <c r="B72" s="387" t="n">
        <f aca="false">TableDE1!R72/TableDE1!R71-1</f>
        <v>0.00434775881542904</v>
      </c>
      <c r="C72" s="387" t="n">
        <v>0.00447854729987918</v>
      </c>
      <c r="D72" s="382" t="n">
        <f aca="false">TableDE1!D72/TableDE1!D71-1</f>
        <v>-0.0876558545301615</v>
      </c>
      <c r="E72" s="383" t="n">
        <f aca="false">E73/(1+B73)</f>
        <v>52519.0056666504</v>
      </c>
      <c r="F72" s="401" t="n">
        <f aca="false">E72*TableDE1!S72/TableDE1!R72</f>
        <v>35938.7760511496</v>
      </c>
      <c r="G72" s="401" t="n">
        <f aca="false">TableDE3b!E72*TableDE1!T72/TableDE1!R72</f>
        <v>21127.5079334059</v>
      </c>
      <c r="H72" s="384" t="n">
        <f aca="false">H73/(1+D73)</f>
        <v>176.40359763024</v>
      </c>
      <c r="I72" s="385" t="n">
        <f aca="false">1000000*H72/E72</f>
        <v>3358.85257900563</v>
      </c>
      <c r="J72" s="402" t="n">
        <f aca="false">I72/I71-1</f>
        <v>-0.091605335440887</v>
      </c>
      <c r="K72" s="387" t="n">
        <v>-0.0863562765575211</v>
      </c>
      <c r="L72" s="388" t="n">
        <v>-0.0793743287320541</v>
      </c>
      <c r="M72" s="418" t="n">
        <f aca="false">(TableDE1!D72/TableDE1!D71)/(1+D72)-1</f>
        <v>0</v>
      </c>
      <c r="N72" s="419" t="n">
        <f aca="false">(TableDE1!R72/TableDE1!R71)/(1+B72)-1</f>
        <v>0</v>
      </c>
      <c r="O72" s="123"/>
      <c r="R72" s="387" t="n">
        <f aca="false">1+K72</f>
        <v>0.913643723442479</v>
      </c>
      <c r="S72" s="387" t="n">
        <f aca="false">1+L72</f>
        <v>0.920625671267946</v>
      </c>
      <c r="T72" s="387" t="n">
        <f aca="false">1+C72</f>
        <v>1.00447854729988</v>
      </c>
    </row>
    <row r="73" customFormat="false" ht="12" hidden="false" customHeight="false" outlineLevel="0" collapsed="false">
      <c r="A73" s="416" t="n">
        <f aca="false">A72+1</f>
        <v>1933</v>
      </c>
      <c r="B73" s="387" t="n">
        <f aca="false">TableDE1!R73/TableDE1!R72-1</f>
        <v>0.00482191274340638</v>
      </c>
      <c r="C73" s="387" t="n">
        <v>0.00473248523951542</v>
      </c>
      <c r="D73" s="382" t="n">
        <f aca="false">TableDE1!D73/TableDE1!D72-1</f>
        <v>0.0777854934537023</v>
      </c>
      <c r="E73" s="383" t="n">
        <f aca="false">E74/(1+B74)</f>
        <v>52772.2477293455</v>
      </c>
      <c r="F73" s="401" t="n">
        <f aca="false">E73*TableDE1!S73/TableDE1!R73</f>
        <v>36472.2707955586</v>
      </c>
      <c r="G73" s="401" t="n">
        <f aca="false">TableDE3b!E73*TableDE1!T73/TableDE1!R73</f>
        <v>21591.9198950256</v>
      </c>
      <c r="H73" s="384" t="n">
        <f aca="false">H74/(1+D74)</f>
        <v>190.125238518917</v>
      </c>
      <c r="I73" s="385" t="n">
        <f aca="false">1000000*H73/E73</f>
        <v>3602.75043606286</v>
      </c>
      <c r="J73" s="402" t="n">
        <f aca="false">I73/I72-1</f>
        <v>0.0726134450144382</v>
      </c>
      <c r="K73" s="387" t="n">
        <v>0.0724865117528606</v>
      </c>
      <c r="L73" s="388" t="n">
        <v>0.0577420829602326</v>
      </c>
      <c r="M73" s="418" t="n">
        <f aca="false">(TableDE1!D73/TableDE1!D72)/(1+D73)-1</f>
        <v>0</v>
      </c>
      <c r="N73" s="419" t="n">
        <f aca="false">(TableDE1!R73/TableDE1!R72)/(1+B73)-1</f>
        <v>0</v>
      </c>
      <c r="O73" s="123"/>
      <c r="R73" s="387" t="n">
        <f aca="false">1+K73</f>
        <v>1.07248651175286</v>
      </c>
      <c r="S73" s="387" t="n">
        <f aca="false">1+L73</f>
        <v>1.05774208296023</v>
      </c>
      <c r="T73" s="387" t="n">
        <f aca="false">1+C73</f>
        <v>1.00473248523952</v>
      </c>
    </row>
    <row r="74" customFormat="false" ht="12" hidden="false" customHeight="false" outlineLevel="0" collapsed="false">
      <c r="A74" s="416" t="n">
        <f aca="false">A73+1</f>
        <v>1934</v>
      </c>
      <c r="B74" s="387" t="n">
        <f aca="false">TableDE1!R74/TableDE1!R73-1</f>
        <v>0.000275967803756272</v>
      </c>
      <c r="C74" s="387" t="n">
        <v>0.00578551198752031</v>
      </c>
      <c r="D74" s="382" t="n">
        <f aca="false">TableDE1!D74/TableDE1!D73-1</f>
        <v>0.12812544715072</v>
      </c>
      <c r="E74" s="383" t="n">
        <f aca="false">E75/(1+B75)</f>
        <v>52786.8111706506</v>
      </c>
      <c r="F74" s="401" t="n">
        <f aca="false">E74*TableDE1!S74/TableDE1!R74</f>
        <v>36488.1407777269</v>
      </c>
      <c r="G74" s="401" t="n">
        <f aca="false">TableDE3b!E74*TableDE1!T74/TableDE1!R74</f>
        <v>23310.4059690329</v>
      </c>
      <c r="H74" s="384" t="n">
        <f aca="false">H75/(1+D75)</f>
        <v>214.48511971879</v>
      </c>
      <c r="I74" s="385" t="n">
        <f aca="false">1000000*H74/E74</f>
        <v>4063.23312513417</v>
      </c>
      <c r="J74" s="402" t="n">
        <f aca="false">I74/I73-1</f>
        <v>0.12781420674104</v>
      </c>
      <c r="K74" s="387" t="n">
        <v>0.0962641384680778</v>
      </c>
      <c r="L74" s="388" t="n">
        <v>0.0850512527582337</v>
      </c>
      <c r="M74" s="418" t="n">
        <f aca="false">(TableDE1!D74/TableDE1!D73)/(1+D74)-1</f>
        <v>0</v>
      </c>
      <c r="N74" s="419" t="n">
        <f aca="false">(TableDE1!R74/TableDE1!R73)/(1+B74)-1</f>
        <v>0</v>
      </c>
      <c r="O74" s="123"/>
      <c r="R74" s="387" t="n">
        <f aca="false">1+K74</f>
        <v>1.09626413846808</v>
      </c>
      <c r="S74" s="387" t="n">
        <f aca="false">1+L74</f>
        <v>1.08505125275823</v>
      </c>
      <c r="T74" s="387" t="n">
        <f aca="false">1+C74</f>
        <v>1.00578551198752</v>
      </c>
    </row>
    <row r="75" s="435" customFormat="true" ht="12" hidden="false" customHeight="false" outlineLevel="0" collapsed="false">
      <c r="A75" s="431" t="n">
        <f aca="false">A74+1</f>
        <v>1935</v>
      </c>
      <c r="B75" s="392" t="n">
        <v>0.007</v>
      </c>
      <c r="C75" s="392" t="n">
        <v>0.00695688837356379</v>
      </c>
      <c r="D75" s="393" t="n">
        <f aca="false">(TableDE1!J75/TableDE1!J74)*(1+TableDE3b!B75)-1</f>
        <v>0.103847873650785</v>
      </c>
      <c r="E75" s="381" t="n">
        <f aca="false">E76/(1+B76)</f>
        <v>53156.3188488452</v>
      </c>
      <c r="F75" s="394" t="n">
        <f aca="false">E75*TableDE1!S75/TableDE1!R75</f>
        <v>36749.4032065377</v>
      </c>
      <c r="G75" s="394" t="n">
        <f aca="false">TableDE3b!E75*TableDE1!T75/TableDE1!R75</f>
        <v>23915.6137770686</v>
      </c>
      <c r="H75" s="395" t="n">
        <f aca="false">H76/(1+D76)</f>
        <v>236.75894333132</v>
      </c>
      <c r="I75" s="396" t="n">
        <f aca="false">1000000*H75/E75</f>
        <v>4454.01315325401</v>
      </c>
      <c r="J75" s="397" t="n">
        <f aca="false">I75/I74-1</f>
        <v>0.096174651093133</v>
      </c>
      <c r="K75" s="392" t="n">
        <v>0.115278863227049</v>
      </c>
      <c r="L75" s="398" t="n">
        <v>0.0678036316387565</v>
      </c>
      <c r="M75" s="433" t="n">
        <f aca="false">(TableDE1!D75/TableDE1!D74)/(1+D75)-1</f>
        <v>0.0178280720029456</v>
      </c>
      <c r="N75" s="434" t="n">
        <f aca="false">(TableDE1!R75/TableDE1!R74)/(1+B75)-1</f>
        <v>0.0178280720029458</v>
      </c>
      <c r="O75" s="123"/>
      <c r="R75" s="387" t="n">
        <f aca="false">1+K75</f>
        <v>1.11527886322705</v>
      </c>
      <c r="S75" s="387" t="n">
        <f aca="false">1+L75</f>
        <v>1.06780363163876</v>
      </c>
      <c r="T75" s="387" t="n">
        <f aca="false">1+C75</f>
        <v>1.00695688837356</v>
      </c>
    </row>
    <row r="76" customFormat="false" ht="12" hidden="false" customHeight="false" outlineLevel="0" collapsed="false">
      <c r="A76" s="439" t="n">
        <f aca="false">A75+1</f>
        <v>1936</v>
      </c>
      <c r="B76" s="387" t="n">
        <f aca="false">DataDE1c!BI99/DataDE1c!BI98-1</f>
        <v>0.00714809110077619</v>
      </c>
      <c r="C76" s="387" t="n">
        <v>0.00714809110077619</v>
      </c>
      <c r="D76" s="382" t="n">
        <f aca="false">TableDE1!D76/TableDE1!D75-1</f>
        <v>0.118751420544446</v>
      </c>
      <c r="E76" s="383" t="n">
        <f aca="false">E77/(1+B77)</f>
        <v>53536.2850585586</v>
      </c>
      <c r="F76" s="401" t="n">
        <f aca="false">E76*TableDE1!S76/TableDE1!R76</f>
        <v>37017.9785156857</v>
      </c>
      <c r="G76" s="401" t="n">
        <f aca="false">TableDE3b!E76*TableDE1!T76/TableDE1!R76</f>
        <v>24967.277575083</v>
      </c>
      <c r="H76" s="384" t="n">
        <f aca="false">H77/(1+D77)</f>
        <v>264.874404178517</v>
      </c>
      <c r="I76" s="385" t="n">
        <f aca="false">1000000*H76/E76</f>
        <v>4947.56787641866</v>
      </c>
      <c r="J76" s="402" t="n">
        <f aca="false">I76/I75-1</f>
        <v>0.110811240600865</v>
      </c>
      <c r="K76" s="387" t="n">
        <v>0.107216124362456</v>
      </c>
      <c r="L76" s="388" t="n">
        <v>0.08032619525126</v>
      </c>
      <c r="M76" s="418" t="n">
        <f aca="false">(TableDE1!D76/TableDE1!D75)/(1+D76)-1</f>
        <v>0</v>
      </c>
      <c r="N76" s="419" t="n">
        <f aca="false">(TableDE1!R76/TableDE1!R75)/(1+B76)-1</f>
        <v>0</v>
      </c>
      <c r="O76" s="123"/>
      <c r="R76" s="387" t="n">
        <f aca="false">1+K76</f>
        <v>1.10721612436246</v>
      </c>
      <c r="S76" s="387" t="n">
        <f aca="false">1+L76</f>
        <v>1.08032619525126</v>
      </c>
      <c r="T76" s="387" t="n">
        <f aca="false">1+C76</f>
        <v>1.00714809110078</v>
      </c>
    </row>
    <row r="77" customFormat="false" ht="12" hidden="false" customHeight="false" outlineLevel="0" collapsed="false">
      <c r="A77" s="439" t="n">
        <f aca="false">A76+1</f>
        <v>1937</v>
      </c>
      <c r="B77" s="387" t="n">
        <f aca="false">DataDE1c!BI100/DataDE1c!BI99-1</f>
        <v>0.00715675065702537</v>
      </c>
      <c r="C77" s="387" t="n">
        <v>0.00715675065702537</v>
      </c>
      <c r="D77" s="382" t="n">
        <f aca="false">TableDE1!D77/TableDE1!D76-1</f>
        <v>0.116511025339508</v>
      </c>
      <c r="E77" s="440" t="n">
        <f aca="false">E78/(1+B78)</f>
        <v>53919.4309018261</v>
      </c>
      <c r="F77" s="401" t="n">
        <f aca="false">E77*TableDE1!S77/TableDE1!R77</f>
        <v>37288.8363182947</v>
      </c>
      <c r="G77" s="401" t="n">
        <f aca="false">TableDE3b!E77*TableDE1!T77/TableDE1!R77</f>
        <v>26024.5057318171</v>
      </c>
      <c r="H77" s="384" t="n">
        <f aca="false">H78/(1+D78)</f>
        <v>295.735192595547</v>
      </c>
      <c r="I77" s="385" t="n">
        <f aca="false">1000000*H77/E77</f>
        <v>5484.76101563474</v>
      </c>
      <c r="J77" s="402" t="n">
        <f aca="false">I77/I76-1</f>
        <v>0.108577214630339</v>
      </c>
      <c r="K77" s="387" t="n">
        <v>0.103935166361678</v>
      </c>
      <c r="L77" s="388" t="n">
        <v>0.052616211345218</v>
      </c>
      <c r="M77" s="418" t="n">
        <f aca="false">(TableDE1!D77/TableDE1!D76)/(1+D77)-1</f>
        <v>0</v>
      </c>
      <c r="N77" s="419" t="n">
        <f aca="false">(TableDE1!R77/TableDE1!R76)/(1+B77)-1</f>
        <v>0</v>
      </c>
      <c r="O77" s="123"/>
      <c r="R77" s="387" t="n">
        <f aca="false">1+K77</f>
        <v>1.10393516636168</v>
      </c>
      <c r="S77" s="387" t="n">
        <f aca="false">1+L77</f>
        <v>1.05261621134522</v>
      </c>
      <c r="T77" s="387" t="n">
        <f aca="false">1+C77</f>
        <v>1.00715675065703</v>
      </c>
    </row>
    <row r="78" customFormat="false" ht="12" hidden="false" customHeight="false" outlineLevel="0" collapsed="false">
      <c r="A78" s="441" t="n">
        <f aca="false">A77+1</f>
        <v>1938</v>
      </c>
      <c r="B78" s="392" t="n">
        <f aca="false">DataDE1c!BI101/DataDE1c!BI100-1</f>
        <v>0.0107178133891583</v>
      </c>
      <c r="C78" s="392" t="n">
        <v>0.0107178133891583</v>
      </c>
      <c r="D78" s="393" t="n">
        <f aca="false">(TableDE1!J78/TableDE1!J77)*(1+TableDE3b!B78)-1</f>
        <v>0.0908890936808535</v>
      </c>
      <c r="E78" s="432" t="n">
        <f aca="false">E79/(1+B79)</f>
        <v>54497.3293002815</v>
      </c>
      <c r="F78" s="394" t="n">
        <f aca="false">E78*TableDE1!S78/TableDE1!R78</f>
        <v>37694.484017778</v>
      </c>
      <c r="G78" s="394"/>
      <c r="H78" s="395" t="n">
        <f aca="false">H79/(1+D79)</f>
        <v>322.614296220089</v>
      </c>
      <c r="I78" s="396" t="n">
        <f aca="false">1000000*H78/E78</f>
        <v>5919.81846380905</v>
      </c>
      <c r="J78" s="397" t="n">
        <f aca="false">I78/I77-1</f>
        <v>0.0793211312095739</v>
      </c>
      <c r="K78" s="392" t="n">
        <v>0.0838674221552156</v>
      </c>
      <c r="L78" s="398" t="n">
        <v>0.0658866434838612</v>
      </c>
      <c r="M78" s="433" t="n">
        <f aca="false">(TableDE1!D78/TableDE1!D77)/(1+D78)-1</f>
        <v>0.09974036582164</v>
      </c>
      <c r="N78" s="434" t="n">
        <f aca="false">(TableDE1!R78/TableDE1!R77)/(1+B78)-1</f>
        <v>0.09974036582164</v>
      </c>
      <c r="O78" s="123"/>
      <c r="R78" s="387" t="n">
        <f aca="false">1+K78</f>
        <v>1.08386742215522</v>
      </c>
      <c r="S78" s="387" t="n">
        <f aca="false">1+L78</f>
        <v>1.06588664348386</v>
      </c>
      <c r="T78" s="387" t="n">
        <f aca="false">1+C78</f>
        <v>1.01071781338916</v>
      </c>
    </row>
    <row r="79" customFormat="false" ht="12" hidden="false" customHeight="false" outlineLevel="0" collapsed="false">
      <c r="A79" s="442" t="n">
        <f aca="false">A78+1</f>
        <v>1939</v>
      </c>
      <c r="B79" s="421" t="n">
        <f aca="false">DataDE1c!BI102/DataDE1c!BI101-1</f>
        <v>0.0106187461711251</v>
      </c>
      <c r="C79" s="421" t="n">
        <v>0.0106187461711251</v>
      </c>
      <c r="D79" s="422" t="n">
        <f aca="false">(TableDE1!J79/TableDE1!J78)*(1+TableDE3b!B79)-1</f>
        <v>0.0423369219968661</v>
      </c>
      <c r="E79" s="423" t="n">
        <f aca="false">E80/(1+B80)</f>
        <v>55076.0226071254</v>
      </c>
      <c r="F79" s="424" t="n">
        <f aca="false">E79*TableDE1!S79/TableDE1!R79</f>
        <v>38100.8087231328</v>
      </c>
      <c r="G79" s="424"/>
      <c r="H79" s="425" t="n">
        <f aca="false">H80/(1+D80)</f>
        <v>336.272792514232</v>
      </c>
      <c r="I79" s="426" t="n">
        <f aca="false">1000000*H79/E79</f>
        <v>6105.61141847464</v>
      </c>
      <c r="J79" s="427" t="n">
        <f aca="false">I79/I78-1</f>
        <v>0.0313849074598209</v>
      </c>
      <c r="K79" s="421" t="n">
        <v>0.177067681265829</v>
      </c>
      <c r="L79" s="428" t="n">
        <v>0.0826352328367326</v>
      </c>
      <c r="M79" s="429" t="n">
        <f aca="false">(TableDE1!D79/TableDE1!D78)/(1+D79)-1</f>
        <v>0.140601909651934</v>
      </c>
      <c r="N79" s="430" t="n">
        <f aca="false">(TableDE1!R79/TableDE1!R78)/(1+B79)-1</f>
        <v>0.140601909651934</v>
      </c>
      <c r="O79" s="123"/>
      <c r="R79" s="387" t="n">
        <f aca="false">1+K79</f>
        <v>1.17706768126583</v>
      </c>
      <c r="S79" s="387" t="n">
        <f aca="false">1+L79</f>
        <v>1.08263523283673</v>
      </c>
      <c r="T79" s="387" t="n">
        <f aca="false">1+C79</f>
        <v>1.01061874617113</v>
      </c>
    </row>
    <row r="80" customFormat="false" ht="12" hidden="false" customHeight="false" outlineLevel="0" collapsed="false">
      <c r="A80" s="441" t="n">
        <f aca="false">A79+1</f>
        <v>1940</v>
      </c>
      <c r="B80" s="392" t="n">
        <v>0.00792367866524257</v>
      </c>
      <c r="C80" s="392" t="n">
        <v>0.00792367866524257</v>
      </c>
      <c r="D80" s="393" t="n">
        <f aca="false">(TableDE1!J80/TableDE1!J79)*(1+TableDE3b!B80)-1</f>
        <v>0.0360908161580349</v>
      </c>
      <c r="E80" s="432" t="n">
        <f aca="false">E81/(1+B81)</f>
        <v>55512.4273124239</v>
      </c>
      <c r="F80" s="394" t="n">
        <f aca="false">E80*TableDE1!S80/TableDE1!R80</f>
        <v>38408.8118259956</v>
      </c>
      <c r="G80" s="394"/>
      <c r="H80" s="395" t="n">
        <f aca="false">H81/(1+D81)</f>
        <v>348.409152047813</v>
      </c>
      <c r="I80" s="396" t="n">
        <f aca="false">1000000*H80/E80</f>
        <v>6276.23703224083</v>
      </c>
      <c r="J80" s="397" t="n">
        <f aca="false">I80/I79-1</f>
        <v>0.0279457047086074</v>
      </c>
      <c r="K80" s="392" t="n">
        <v>0.152582094454417</v>
      </c>
      <c r="L80" s="398" t="n">
        <v>-0.000691381859597273</v>
      </c>
      <c r="M80" s="433" t="n">
        <f aca="false">(TableDE1!D80/TableDE1!D79)/(1+D80)-1</f>
        <v>0.120713657800337</v>
      </c>
      <c r="N80" s="434" t="n">
        <f aca="false">(TableDE1!R80/TableDE1!R79)/(1+B80)-1</f>
        <v>0.120713657800336</v>
      </c>
      <c r="O80" s="123"/>
      <c r="R80" s="387" t="n">
        <f aca="false">1+K80</f>
        <v>1.15258209445442</v>
      </c>
      <c r="S80" s="387" t="n">
        <f aca="false">1+L80</f>
        <v>0.999308618140403</v>
      </c>
      <c r="T80" s="387" t="n">
        <f aca="false">1+C80</f>
        <v>1.00792367866524</v>
      </c>
    </row>
    <row r="81" customFormat="false" ht="12" hidden="false" customHeight="false" outlineLevel="0" collapsed="false">
      <c r="A81" s="439" t="n">
        <f aca="false">A80+1</f>
        <v>1941</v>
      </c>
      <c r="B81" s="387" t="n">
        <f aca="false">TableDE1!R81/TableDE1!R80-1</f>
        <v>0.00629500982958664</v>
      </c>
      <c r="C81" s="387" t="n">
        <v>0.00585666213216873</v>
      </c>
      <c r="D81" s="382" t="n">
        <f aca="false">TableDE1!D81/TableDE1!D80-1</f>
        <v>0.142420796406116</v>
      </c>
      <c r="E81" s="440" t="n">
        <f aca="false">E82/(1+B82)</f>
        <v>55861.8785880199</v>
      </c>
      <c r="F81" s="401" t="n">
        <f aca="false">E81*TableDE1!S81/TableDE1!R81</f>
        <v>38656.7386397624</v>
      </c>
      <c r="G81" s="401"/>
      <c r="H81" s="384" t="n">
        <f aca="false">H82/(1+D82)</f>
        <v>398.029860957642</v>
      </c>
      <c r="I81" s="385" t="n">
        <f aca="false">1000000*H81/E81</f>
        <v>7125.25018882919</v>
      </c>
      <c r="J81" s="402" t="n">
        <f aca="false">I81/I80-1</f>
        <v>0.135274233944162</v>
      </c>
      <c r="K81" s="387" t="n">
        <v>0.136150626538539</v>
      </c>
      <c r="L81" s="388" t="n">
        <v>0.0571297478025699</v>
      </c>
      <c r="M81" s="418" t="n">
        <f aca="false">(TableDE1!D81/TableDE1!D80)/(1+D81)-1</f>
        <v>0</v>
      </c>
      <c r="N81" s="419" t="n">
        <f aca="false">(TableDE1!R81/TableDE1!R80)/(1+B81)-1</f>
        <v>0</v>
      </c>
      <c r="O81" s="123"/>
      <c r="R81" s="387" t="n">
        <f aca="false">1+K81</f>
        <v>1.13615062653854</v>
      </c>
      <c r="S81" s="387" t="n">
        <f aca="false">1+L81</f>
        <v>1.05712974780257</v>
      </c>
      <c r="T81" s="387" t="n">
        <f aca="false">1+C81</f>
        <v>1.00585666213217</v>
      </c>
    </row>
    <row r="82" customFormat="false" ht="12" hidden="false" customHeight="false" outlineLevel="0" collapsed="false">
      <c r="A82" s="439" t="n">
        <f aca="false">A81+1</f>
        <v>1942</v>
      </c>
      <c r="B82" s="387" t="n">
        <f aca="false">TableDE1!R82/TableDE1!R81-1</f>
        <v>0.00211557732991863</v>
      </c>
      <c r="C82" s="387" t="n">
        <v>0.0083992938898696</v>
      </c>
      <c r="D82" s="382" t="n">
        <f aca="false">TableDE1!D82/TableDE1!D81-1</f>
        <v>0.0565084692777873</v>
      </c>
      <c r="E82" s="440" t="n">
        <f aca="false">E83/(1+B83)</f>
        <v>55980.0587119673</v>
      </c>
      <c r="F82" s="401" t="n">
        <f aca="false">E82*TableDE1!S82/TableDE1!R82</f>
        <v>38744.6759213758</v>
      </c>
      <c r="G82" s="401"/>
      <c r="H82" s="384" t="n">
        <f aca="false">H83/(1+D83)</f>
        <v>420.521919127209</v>
      </c>
      <c r="I82" s="385" t="n">
        <f aca="false">1000000*H82/E82</f>
        <v>7511.99496397295</v>
      </c>
      <c r="J82" s="402" t="n">
        <f aca="false">I82/I81-1</f>
        <v>0.0542780625093122</v>
      </c>
      <c r="K82" s="387" t="n">
        <v>0.0479506351497452</v>
      </c>
      <c r="L82" s="388" t="n">
        <v>0.00503881851605592</v>
      </c>
      <c r="M82" s="418" t="n">
        <f aca="false">(TableDE1!D82/TableDE1!D81)/(1+D82)-1</f>
        <v>0</v>
      </c>
      <c r="N82" s="419" t="n">
        <f aca="false">(TableDE1!R82/TableDE1!R81)/(1+B82)-1</f>
        <v>0</v>
      </c>
      <c r="O82" s="123"/>
      <c r="R82" s="387" t="n">
        <f aca="false">1+K82</f>
        <v>1.04795063514975</v>
      </c>
      <c r="S82" s="387" t="n">
        <f aca="false">1+L82</f>
        <v>1.00503881851606</v>
      </c>
      <c r="T82" s="387" t="n">
        <f aca="false">1+C82</f>
        <v>1.00839929388987</v>
      </c>
    </row>
    <row r="83" customFormat="false" ht="12" hidden="false" customHeight="false" outlineLevel="0" collapsed="false">
      <c r="A83" s="439" t="n">
        <f aca="false">A82+1</f>
        <v>1943</v>
      </c>
      <c r="B83" s="387" t="n">
        <f aca="false">TableDE1!R83/TableDE1!R82-1</f>
        <v>0</v>
      </c>
      <c r="C83" s="387" t="n">
        <v>-0.00597170850156703</v>
      </c>
      <c r="D83" s="382" t="n">
        <f aca="false">TableDE1!D83/TableDE1!D82-1</f>
        <v>0.0638655723918833</v>
      </c>
      <c r="E83" s="440" t="n">
        <f aca="false">E84/(1+B84)</f>
        <v>55980.0587119673</v>
      </c>
      <c r="F83" s="401" t="n">
        <f aca="false">E83*TableDE1!S83/TableDE1!R83</f>
        <v>38750.8318830743</v>
      </c>
      <c r="G83" s="401"/>
      <c r="H83" s="384" t="n">
        <f aca="false">H84/(1+D84)</f>
        <v>447.378792195601</v>
      </c>
      <c r="I83" s="385" t="n">
        <f aca="false">1000000*H83/E83</f>
        <v>7991.75282215203</v>
      </c>
      <c r="J83" s="402" t="n">
        <f aca="false">I83/I82-1</f>
        <v>0.0638655723918833</v>
      </c>
      <c r="K83" s="387" t="n">
        <v>0.069628828282879</v>
      </c>
      <c r="L83" s="388" t="n">
        <v>0.0260840889955571</v>
      </c>
      <c r="M83" s="418" t="n">
        <f aca="false">(TableDE1!D83/TableDE1!D82)/(1+D83)-1</f>
        <v>0</v>
      </c>
      <c r="N83" s="419" t="n">
        <f aca="false">(TableDE1!R83/TableDE1!R82)/(1+B83)-1</f>
        <v>0</v>
      </c>
      <c r="O83" s="123"/>
      <c r="R83" s="387" t="n">
        <f aca="false">1+K83</f>
        <v>1.06962882828288</v>
      </c>
      <c r="S83" s="387" t="n">
        <f aca="false">1+L83</f>
        <v>1.02608408899556</v>
      </c>
      <c r="T83" s="387" t="n">
        <f aca="false">1+C83</f>
        <v>0.994028291498433</v>
      </c>
    </row>
    <row r="84" customFormat="false" ht="12" hidden="false" customHeight="false" outlineLevel="0" collapsed="false">
      <c r="A84" s="439" t="n">
        <f aca="false">A83+1</f>
        <v>1944</v>
      </c>
      <c r="B84" s="387" t="n">
        <f aca="false">TableDE1!R84/TableDE1!R83-1</f>
        <v>0</v>
      </c>
      <c r="C84" s="387" t="n">
        <v>-0.00775447018221587</v>
      </c>
      <c r="D84" s="382" t="n">
        <f aca="false">TableDE1!D84/TableDE1!D83-1</f>
        <v>-0.0848874315660039</v>
      </c>
      <c r="E84" s="440" t="n">
        <f aca="false">E85/(1+B85)</f>
        <v>55980.0587119673</v>
      </c>
      <c r="F84" s="401" t="n">
        <f aca="false">E84*TableDE1!S84/TableDE1!R84</f>
        <v>38756.9878447729</v>
      </c>
      <c r="G84" s="401"/>
      <c r="H84" s="384" t="n">
        <f aca="false">H85/(1+D85)</f>
        <v>409.401955589016</v>
      </c>
      <c r="I84" s="385" t="n">
        <f aca="false">1000000*H84/E84</f>
        <v>7313.35345136918</v>
      </c>
      <c r="J84" s="402" t="n">
        <f aca="false">I84/I83-1</f>
        <v>-0.0848874315660039</v>
      </c>
      <c r="K84" s="387" t="n">
        <v>-0.0770409155002578</v>
      </c>
      <c r="L84" s="388" t="n">
        <v>0.0329560111161664</v>
      </c>
      <c r="M84" s="418" t="n">
        <f aca="false">(TableDE1!D84/TableDE1!D83)/(1+D84)-1</f>
        <v>0</v>
      </c>
      <c r="N84" s="419" t="n">
        <f aca="false">(TableDE1!R84/TableDE1!R83)/(1+B84)-1</f>
        <v>0</v>
      </c>
      <c r="O84" s="123"/>
      <c r="R84" s="387" t="n">
        <f aca="false">1+K84</f>
        <v>0.922959084499742</v>
      </c>
      <c r="S84" s="387" t="n">
        <f aca="false">1+L84</f>
        <v>1.03295601111617</v>
      </c>
      <c r="T84" s="387" t="n">
        <f aca="false">1+C84</f>
        <v>0.992245529817784</v>
      </c>
    </row>
    <row r="85" customFormat="false" ht="12" hidden="false" customHeight="false" outlineLevel="0" collapsed="false">
      <c r="A85" s="441" t="n">
        <f aca="false">A84+1</f>
        <v>1945</v>
      </c>
      <c r="B85" s="392" t="n">
        <v>0.0271861946175442</v>
      </c>
      <c r="C85" s="392" t="n">
        <f aca="false">45000/43809-1</f>
        <v>0.0271861946175442</v>
      </c>
      <c r="D85" s="393" t="n">
        <f aca="false">(TableDE1!J85/TableDE1!J84)*(1+TableDE3b!B85)-1</f>
        <v>-0.5505658975293</v>
      </c>
      <c r="E85" s="432" t="n">
        <f aca="false">E86/(1+B86)</f>
        <v>57501.9434828124</v>
      </c>
      <c r="F85" s="394" t="n">
        <f aca="false">E85*TableDE1!S85/TableDE1!R85</f>
        <v>39816.966177982</v>
      </c>
      <c r="G85" s="394"/>
      <c r="H85" s="395" t="n">
        <f aca="false">H86/(1+D86)</f>
        <v>183.999200459899</v>
      </c>
      <c r="I85" s="396" t="n">
        <f aca="false">1000000*H85/E85</f>
        <v>3199.87794003688</v>
      </c>
      <c r="J85" s="397" t="n">
        <f aca="false">I85/I84-1</f>
        <v>-0.562460920108024</v>
      </c>
      <c r="K85" s="392" t="n">
        <v>-0.660649043570251</v>
      </c>
      <c r="L85" s="398" t="n">
        <v>-0.257976471769343</v>
      </c>
      <c r="M85" s="433" t="n">
        <f aca="false">(TableDE1!D85/TableDE1!D84)/(1+D85)-1</f>
        <v>-0.378591698344434</v>
      </c>
      <c r="N85" s="434" t="n">
        <f aca="false">(TableDE1!R85/TableDE1!R84)/(1+B85)-1</f>
        <v>-0.378591698344434</v>
      </c>
      <c r="O85" s="123"/>
      <c r="R85" s="387" t="n">
        <f aca="false">1+K85</f>
        <v>0.339350956429749</v>
      </c>
      <c r="S85" s="387" t="n">
        <f aca="false">1+L85</f>
        <v>0.742023528230657</v>
      </c>
      <c r="T85" s="387" t="n">
        <f aca="false">1+C85</f>
        <v>1.02718619461754</v>
      </c>
    </row>
    <row r="86" customFormat="false" ht="12" hidden="false" customHeight="false" outlineLevel="0" collapsed="false">
      <c r="A86" s="439" t="n">
        <f aca="false">A85+1</f>
        <v>1946</v>
      </c>
      <c r="B86" s="387" t="n">
        <f aca="false">TableDE1!R86/TableDE1!R85-1</f>
        <v>0.0264444444444445</v>
      </c>
      <c r="C86" s="387" t="n">
        <f aca="false">46190/45000-1</f>
        <v>0.0264444444444445</v>
      </c>
      <c r="D86" s="382" t="n">
        <f aca="false">TableDE1!D86/TableDE1!D85-1</f>
        <v>-0.135733777777778</v>
      </c>
      <c r="E86" s="440" t="n">
        <f aca="false">E87/(1+B87)</f>
        <v>59022.5504326913</v>
      </c>
      <c r="F86" s="401" t="n">
        <f aca="false">E86*TableDE1!S86/TableDE1!R86</f>
        <v>40876.3942635479</v>
      </c>
      <c r="G86" s="401"/>
      <c r="H86" s="384" t="n">
        <f aca="false">H87/(1+D87)</f>
        <v>159.024293873386</v>
      </c>
      <c r="I86" s="385" t="n">
        <f aca="false">1000000*H86/E86</f>
        <v>2694.29722551105</v>
      </c>
      <c r="J86" s="402" t="n">
        <f aca="false">I86/I85-1</f>
        <v>-0.158</v>
      </c>
      <c r="K86" s="387" t="n">
        <v>-0.158367030933351</v>
      </c>
      <c r="L86" s="388" t="n">
        <v>-0.508926854173527</v>
      </c>
      <c r="M86" s="418" t="n">
        <f aca="false">(TableDE1!D86/TableDE1!D85)/(1+D86)-1</f>
        <v>0</v>
      </c>
      <c r="N86" s="419" t="n">
        <f aca="false">(TableDE1!R86/TableDE1!R85)/(1+B86)-1</f>
        <v>0</v>
      </c>
      <c r="O86" s="123"/>
      <c r="R86" s="387" t="n">
        <f aca="false">1+K86</f>
        <v>0.841632969066649</v>
      </c>
      <c r="S86" s="387" t="n">
        <f aca="false">1+L86</f>
        <v>0.491073145826474</v>
      </c>
      <c r="T86" s="387" t="n">
        <f aca="false">1+C86</f>
        <v>1.02644444444444</v>
      </c>
    </row>
    <row r="87" customFormat="false" ht="12" hidden="false" customHeight="false" outlineLevel="0" collapsed="false">
      <c r="A87" s="439" t="n">
        <f aca="false">A86+1</f>
        <v>1947</v>
      </c>
      <c r="B87" s="387" t="n">
        <f aca="false">TableDE1!R87/TableDE1!R86-1</f>
        <v>0.0202529996906697</v>
      </c>
      <c r="C87" s="387" t="n">
        <v>0.0218930702866509</v>
      </c>
      <c r="D87" s="382" t="n">
        <f aca="false">TableDE1!D87/TableDE1!D86-1</f>
        <v>0.184068391928162</v>
      </c>
      <c r="E87" s="440" t="n">
        <f aca="false">E88/(1+B88)</f>
        <v>60217.9341283471</v>
      </c>
      <c r="F87" s="401" t="n">
        <f aca="false">E87*TableDE1!S87/TableDE1!R87</f>
        <v>41710.8858522632</v>
      </c>
      <c r="G87" s="401"/>
      <c r="H87" s="384" t="n">
        <f aca="false">H88/(1+D88)</f>
        <v>188.295639924172</v>
      </c>
      <c r="I87" s="385" t="n">
        <f aca="false">1000000*H87/E87</f>
        <v>3126.90301734435</v>
      </c>
      <c r="J87" s="402" t="n">
        <f aca="false">I87/I86-1</f>
        <v>0.160563499727185</v>
      </c>
      <c r="K87" s="387" t="n">
        <v>0.162208457265621</v>
      </c>
      <c r="L87" s="388" t="n">
        <v>0.0989007965701232</v>
      </c>
      <c r="M87" s="418" t="n">
        <f aca="false">(TableDE1!D87/TableDE1!D86)/(1+D87)-1</f>
        <v>0</v>
      </c>
      <c r="N87" s="419" t="n">
        <f aca="false">(TableDE1!R87/TableDE1!R86)/(1+B87)-1</f>
        <v>0</v>
      </c>
      <c r="O87" s="123"/>
      <c r="R87" s="387" t="n">
        <f aca="false">1+K87</f>
        <v>1.16220845726562</v>
      </c>
      <c r="S87" s="387" t="n">
        <f aca="false">1+L87</f>
        <v>1.09890079657012</v>
      </c>
      <c r="T87" s="387" t="n">
        <f aca="false">1+C87</f>
        <v>1.02189307028665</v>
      </c>
    </row>
    <row r="88" customFormat="false" ht="12" hidden="false" customHeight="false" outlineLevel="0" collapsed="false">
      <c r="A88" s="439" t="n">
        <f aca="false">A87+1</f>
        <v>1948</v>
      </c>
      <c r="B88" s="387" t="n">
        <f aca="false">TableDE1!R88/TableDE1!R87-1</f>
        <v>0.0268083680405953</v>
      </c>
      <c r="C88" s="387" t="n">
        <v>0.018171089660181</v>
      </c>
      <c r="D88" s="382" t="n">
        <f aca="false">TableDE1!D88/TableDE1!D87-1</f>
        <v>0.188028208428947</v>
      </c>
      <c r="E88" s="440" t="n">
        <f aca="false">E89/(1+B89)</f>
        <v>61832.2786691042</v>
      </c>
      <c r="F88" s="401" t="n">
        <f aca="false">E88*TableDE1!S88/TableDE1!R88</f>
        <v>42835.8861445304</v>
      </c>
      <c r="G88" s="401"/>
      <c r="H88" s="384" t="n">
        <f aca="false">H89/(1+D89)</f>
        <v>223.700531754096</v>
      </c>
      <c r="I88" s="385" t="n">
        <f aca="false">1000000*H88/E88</f>
        <v>3617.86006547213</v>
      </c>
      <c r="J88" s="402" t="n">
        <f aca="false">I88/I87-1</f>
        <v>0.157010641329306</v>
      </c>
      <c r="K88" s="387" t="n">
        <v>0.169823873261325</v>
      </c>
      <c r="L88" s="388" t="n">
        <v>0.163223044540368</v>
      </c>
      <c r="M88" s="418" t="n">
        <f aca="false">(TableDE1!D88/TableDE1!D87)/(1+D88)-1</f>
        <v>0</v>
      </c>
      <c r="N88" s="419" t="n">
        <f aca="false">(TableDE1!R88/TableDE1!R87)/(1+B88)-1</f>
        <v>0</v>
      </c>
      <c r="O88" s="123"/>
      <c r="R88" s="387" t="n">
        <f aca="false">1+K88</f>
        <v>1.16982387326132</v>
      </c>
      <c r="S88" s="387" t="n">
        <f aca="false">1+L88</f>
        <v>1.16322304454037</v>
      </c>
      <c r="T88" s="387" t="n">
        <f aca="false">1+C88</f>
        <v>1.01817108966018</v>
      </c>
    </row>
    <row r="89" customFormat="false" ht="12" hidden="false" customHeight="false" outlineLevel="0" collapsed="false">
      <c r="A89" s="443" t="n">
        <v>1949</v>
      </c>
      <c r="B89" s="406" t="n">
        <f aca="false">TableDE1!R89/TableDE1!R88-1</f>
        <v>0.0112204143161299</v>
      </c>
      <c r="C89" s="406" t="n">
        <v>0.0103425217326696</v>
      </c>
      <c r="D89" s="407" t="n">
        <f aca="false">TableDE1!D89/TableDE1!D88-1</f>
        <v>0.201422749864556</v>
      </c>
      <c r="E89" s="444" t="n">
        <f aca="false">E90/(1+B90)</f>
        <v>62526.0624538819</v>
      </c>
      <c r="F89" s="409" t="n">
        <f aca="false">E89*TableDE1!S89/TableDE1!R89</f>
        <v>43323.3983410646</v>
      </c>
      <c r="G89" s="409"/>
      <c r="H89" s="410" t="n">
        <f aca="false">H90/(1+D90)</f>
        <v>268.758908006169</v>
      </c>
      <c r="I89" s="411" t="n">
        <f aca="false">1000000*H89/E89</f>
        <v>4298.35011927068</v>
      </c>
      <c r="J89" s="412" t="n">
        <f aca="false">I89/I88-1</f>
        <v>0.188091866872621</v>
      </c>
      <c r="K89" s="406" t="n">
        <v>0.191056672670553</v>
      </c>
      <c r="L89" s="413" t="n">
        <v>0.158359711353548</v>
      </c>
      <c r="M89" s="437" t="n">
        <f aca="false">(TableDE1!D89/TableDE1!D88)/(1+D89)-1</f>
        <v>0</v>
      </c>
      <c r="N89" s="438" t="n">
        <f aca="false">(TableDE1!R89/TableDE1!R88)/(1+B89)-1</f>
        <v>0</v>
      </c>
      <c r="O89" s="123"/>
      <c r="R89" s="387" t="n">
        <f aca="false">1+K89</f>
        <v>1.19105667267055</v>
      </c>
      <c r="S89" s="387" t="n">
        <f aca="false">1+L89</f>
        <v>1.15835971135355</v>
      </c>
      <c r="T89" s="387" t="n">
        <f aca="false">1+C89</f>
        <v>1.01034252173267</v>
      </c>
    </row>
    <row r="90" customFormat="false" ht="12" hidden="false" customHeight="false" outlineLevel="0" collapsed="false">
      <c r="A90" s="431" t="n">
        <v>1950</v>
      </c>
      <c r="B90" s="392" t="n">
        <f aca="false">47081/46169-1</f>
        <v>0.0197535142628171</v>
      </c>
      <c r="C90" s="387" t="n">
        <v>0.00564151137650581</v>
      </c>
      <c r="D90" s="393" t="n">
        <f aca="false">48140/42808-1</f>
        <v>0.124556157727528</v>
      </c>
      <c r="E90" s="381" t="n">
        <f aca="false">E91/(1+B91)</f>
        <v>63761.1719203624</v>
      </c>
      <c r="F90" s="394" t="n">
        <f aca="false">E90*TableDE1!S90/TableDE1!R90</f>
        <v>44314.0144846519</v>
      </c>
      <c r="G90" s="394" t="n">
        <f aca="false">TableDE3b!E90*TableDE1!T90/TableDE1!R90</f>
        <v>26041.8858693391</v>
      </c>
      <c r="H90" s="384" t="n">
        <f aca="false">H91/(1+D91)</f>
        <v>302.234484942464</v>
      </c>
      <c r="I90" s="396" t="n">
        <f aca="false">1000000*H90/E90</f>
        <v>4740.10241405152</v>
      </c>
      <c r="J90" s="397" t="n">
        <f aca="false">I90/I89-1</f>
        <v>0.102772524927724</v>
      </c>
      <c r="K90" s="392" t="n">
        <v>0.0733549083063647</v>
      </c>
      <c r="L90" s="398" t="n">
        <v>0.182309189714505</v>
      </c>
      <c r="M90" s="433" t="n">
        <f aca="false">(TableDE1!D90/TableDE1!D89)/(1+D90)-1</f>
        <v>-0.165600188677274</v>
      </c>
      <c r="N90" s="434" t="n">
        <f aca="false">(TableDE1!R90/TableDE1!R89)/(1+B90)-1</f>
        <v>-0.27576406639275</v>
      </c>
      <c r="O90" s="123"/>
      <c r="R90" s="387" t="n">
        <f aca="false">1+K90</f>
        <v>1.07335490830636</v>
      </c>
      <c r="S90" s="387" t="n">
        <f aca="false">1+L90</f>
        <v>1.1823091897145</v>
      </c>
      <c r="T90" s="387" t="n">
        <f aca="false">1+C90</f>
        <v>1.00564151137651</v>
      </c>
    </row>
    <row r="91" customFormat="false" ht="12" hidden="false" customHeight="false" outlineLevel="0" collapsed="false">
      <c r="A91" s="416" t="n">
        <f aca="false">A90+1</f>
        <v>1951</v>
      </c>
      <c r="B91" s="387" t="n">
        <f aca="false">TableDE1!R91/TableDE1!R90-1</f>
        <v>0.00884533986243197</v>
      </c>
      <c r="C91" s="387" t="n">
        <v>0.00733184845383761</v>
      </c>
      <c r="D91" s="382" t="n">
        <f aca="false">TableDE1!D91/TableDE1!D90-1</f>
        <v>0.0976084647620275</v>
      </c>
      <c r="E91" s="383" t="n">
        <f aca="false">E92/(1+B92)</f>
        <v>64325.161156025</v>
      </c>
      <c r="F91" s="401" t="n">
        <f aca="false">E91*TableDE1!S91/TableDE1!R91</f>
        <v>44841.069841865</v>
      </c>
      <c r="G91" s="401" t="n">
        <f aca="false">TableDE3b!E91*TableDE1!T91/TableDE1!R91</f>
        <v>26735.1828820077</v>
      </c>
      <c r="H91" s="384" t="n">
        <f aca="false">H92/(1+D92)</f>
        <v>331.73512901584</v>
      </c>
      <c r="I91" s="385" t="n">
        <f aca="false">1000000*H91/E91</f>
        <v>5157.1597032022</v>
      </c>
      <c r="J91" s="402" t="n">
        <f aca="false">I91/I90-1</f>
        <v>0.0879848688320251</v>
      </c>
      <c r="K91" s="387" t="n">
        <v>0.0864586575927695</v>
      </c>
      <c r="L91" s="388" t="n">
        <v>0.0837242932691187</v>
      </c>
      <c r="M91" s="418" t="n">
        <f aca="false">(TableDE1!D91/TableDE1!D90)/(1+D91)-1</f>
        <v>0</v>
      </c>
      <c r="N91" s="419" t="n">
        <f aca="false">(TableDE1!R91/TableDE1!R90)/(1+B91)-1</f>
        <v>0</v>
      </c>
      <c r="O91" s="123"/>
      <c r="R91" s="387" t="n">
        <f aca="false">1+K91</f>
        <v>1.08645865759277</v>
      </c>
      <c r="S91" s="387" t="n">
        <f aca="false">1+L91</f>
        <v>1.08372429326912</v>
      </c>
      <c r="T91" s="387" t="n">
        <f aca="false">1+C91</f>
        <v>1.00733184845384</v>
      </c>
    </row>
    <row r="92" customFormat="false" ht="12" hidden="false" customHeight="false" outlineLevel="0" collapsed="false">
      <c r="A92" s="416" t="n">
        <f aca="false">A91+1</f>
        <v>1952</v>
      </c>
      <c r="B92" s="387" t="n">
        <f aca="false">TableDE1!R92/TableDE1!R91-1</f>
        <v>0.00884533986243197</v>
      </c>
      <c r="C92" s="387" t="n">
        <v>0.00392108215990383</v>
      </c>
      <c r="D92" s="382" t="n">
        <f aca="false">TableDE1!D92/TableDE1!D91-1</f>
        <v>0.0918084542074045</v>
      </c>
      <c r="E92" s="383" t="n">
        <f aca="false">E93/(1+B93)</f>
        <v>64894.1390681558</v>
      </c>
      <c r="F92" s="401" t="n">
        <f aca="false">E92*TableDE1!S92/TableDE1!R92</f>
        <v>45373.9820364545</v>
      </c>
      <c r="G92" s="401" t="n">
        <f aca="false">TableDE3b!E92*TableDE1!T92/TableDE1!R92</f>
        <v>27308.7164951751</v>
      </c>
      <c r="H92" s="384" t="n">
        <f aca="false">H93/(1+D93)</f>
        <v>362.191218417078</v>
      </c>
      <c r="I92" s="385" t="n">
        <f aca="false">1000000*H92/E92</f>
        <v>5581.26240085692</v>
      </c>
      <c r="J92" s="402" t="n">
        <f aca="false">I92/I91-1</f>
        <v>0.0822357115276813</v>
      </c>
      <c r="K92" s="387" t="n">
        <v>0.0848685266140059</v>
      </c>
      <c r="L92" s="388" t="n">
        <v>0.0824550204902395</v>
      </c>
      <c r="M92" s="418" t="n">
        <f aca="false">(TableDE1!D92/TableDE1!D91)/(1+D92)-1</f>
        <v>0</v>
      </c>
      <c r="N92" s="419" t="n">
        <f aca="false">(TableDE1!R92/TableDE1!R91)/(1+B92)-1</f>
        <v>0</v>
      </c>
      <c r="O92" s="123"/>
      <c r="R92" s="387" t="n">
        <f aca="false">1+K92</f>
        <v>1.08486852661401</v>
      </c>
      <c r="S92" s="387" t="n">
        <f aca="false">1+L92</f>
        <v>1.08245502049024</v>
      </c>
      <c r="T92" s="387" t="n">
        <f aca="false">1+C92</f>
        <v>1.0039210821599</v>
      </c>
    </row>
    <row r="93" customFormat="false" ht="12" hidden="false" customHeight="false" outlineLevel="0" collapsed="false">
      <c r="A93" s="416" t="n">
        <f aca="false">A92+1</f>
        <v>1953</v>
      </c>
      <c r="B93" s="387" t="n">
        <f aca="false">TableDE1!R93/TableDE1!R92-1</f>
        <v>0.0098646061030836</v>
      </c>
      <c r="C93" s="387" t="n">
        <v>0.00584682093899014</v>
      </c>
      <c r="D93" s="382" t="n">
        <f aca="false">TableDE1!D93/TableDE1!D92-1</f>
        <v>0.0907618862506039</v>
      </c>
      <c r="E93" s="383" t="n">
        <f aca="false">E94/(1+B94)</f>
        <v>65534.2941884618</v>
      </c>
      <c r="F93" s="401" t="n">
        <f aca="false">E93*TableDE1!S93/TableDE1!R93</f>
        <v>45959.2005143683</v>
      </c>
      <c r="G93" s="401" t="n">
        <f aca="false">TableDE3b!E93*TableDE1!T93/TableDE1!R93</f>
        <v>28043.2653454497</v>
      </c>
      <c r="H93" s="384" t="n">
        <f aca="false">H94/(1+D94)</f>
        <v>395.064376584016</v>
      </c>
      <c r="I93" s="385" t="n">
        <f aca="false">1000000*H93/E93</f>
        <v>6028.36089830922</v>
      </c>
      <c r="J93" s="402" t="n">
        <f aca="false">I93/I92-1</f>
        <v>0.0801070555979684</v>
      </c>
      <c r="K93" s="387" t="n">
        <v>0.0777803709124414</v>
      </c>
      <c r="L93" s="388" t="n">
        <v>0.0774250829614664</v>
      </c>
      <c r="M93" s="418" t="n">
        <f aca="false">(TableDE1!D93/TableDE1!D92)/(1+D93)-1</f>
        <v>0</v>
      </c>
      <c r="N93" s="419" t="n">
        <f aca="false">(TableDE1!R93/TableDE1!R92)/(1+B93)-1</f>
        <v>0</v>
      </c>
      <c r="O93" s="123"/>
      <c r="R93" s="387" t="n">
        <f aca="false">1+K93</f>
        <v>1.07778037091244</v>
      </c>
      <c r="S93" s="387" t="n">
        <f aca="false">1+L93</f>
        <v>1.07742508296147</v>
      </c>
      <c r="T93" s="387" t="n">
        <f aca="false">1+C93</f>
        <v>1.00584682093899</v>
      </c>
    </row>
    <row r="94" customFormat="false" ht="12" hidden="false" customHeight="false" outlineLevel="0" collapsed="false">
      <c r="A94" s="416" t="n">
        <f aca="false">A93+1</f>
        <v>1954</v>
      </c>
      <c r="B94" s="387" t="n">
        <f aca="false">TableDE1!R94/TableDE1!R93-1</f>
        <v>0.0103482058636317</v>
      </c>
      <c r="C94" s="387" t="n">
        <v>0.00457049491535866</v>
      </c>
      <c r="D94" s="382" t="n">
        <f aca="false">TableDE1!D94/TableDE1!D93-1</f>
        <v>0.0743458946181907</v>
      </c>
      <c r="E94" s="383" t="n">
        <f aca="false">E95/(1+B95)</f>
        <v>66212.4565558519</v>
      </c>
      <c r="F94" s="401" t="n">
        <f aca="false">E94*TableDE1!S94/TableDE1!R94</f>
        <v>46573.8419413862</v>
      </c>
      <c r="G94" s="401" t="n">
        <f aca="false">TableDE3b!E94*TableDE1!T94/TableDE1!R94</f>
        <v>28837.695895475</v>
      </c>
      <c r="H94" s="384" t="n">
        <f aca="false">H95/(1+D95)</f>
        <v>424.435791092933</v>
      </c>
      <c r="I94" s="385" t="n">
        <f aca="false">1000000*H94/E94</f>
        <v>6410.21060342189</v>
      </c>
      <c r="J94" s="402" t="n">
        <f aca="false">I94/I93-1</f>
        <v>0.0633422105202379</v>
      </c>
      <c r="K94" s="387" t="n">
        <v>0.0658818051647658</v>
      </c>
      <c r="L94" s="388" t="n">
        <v>0.0696648177637413</v>
      </c>
      <c r="M94" s="418" t="n">
        <f aca="false">(TableDE1!D94/TableDE1!D93)/(1+D94)-1</f>
        <v>0</v>
      </c>
      <c r="N94" s="419" t="n">
        <f aca="false">(TableDE1!R94/TableDE1!R93)/(1+B94)-1</f>
        <v>0</v>
      </c>
      <c r="O94" s="123"/>
      <c r="R94" s="387" t="n">
        <f aca="false">1+K94</f>
        <v>1.06588180516477</v>
      </c>
      <c r="S94" s="387" t="n">
        <f aca="false">1+L94</f>
        <v>1.06966481776374</v>
      </c>
      <c r="T94" s="387" t="n">
        <f aca="false">1+C94</f>
        <v>1.00457049491536</v>
      </c>
    </row>
    <row r="95" customFormat="false" ht="12" hidden="false" customHeight="false" outlineLevel="0" collapsed="false">
      <c r="A95" s="416" t="n">
        <f aca="false">A94+1</f>
        <v>1955</v>
      </c>
      <c r="B95" s="387" t="n">
        <f aca="false">TableDE1!R95/TableDE1!R94-1</f>
        <v>0.0100942056280486</v>
      </c>
      <c r="C95" s="387" t="n">
        <v>0.00468735989227698</v>
      </c>
      <c r="D95" s="382" t="n">
        <f aca="false">TableDE1!D95/TableDE1!D94-1</f>
        <v>0.122725680053491</v>
      </c>
      <c r="E95" s="383" t="n">
        <f aca="false">E96/(1+B96)</f>
        <v>66880.8187074649</v>
      </c>
      <c r="F95" s="401" t="n">
        <f aca="false">E95*TableDE1!S95/TableDE1!R95</f>
        <v>47184.4175981165</v>
      </c>
      <c r="G95" s="401" t="n">
        <f aca="false">TableDE3b!E95*TableDE1!T95/TableDE1!R95</f>
        <v>29940.849875326</v>
      </c>
      <c r="H95" s="384" t="n">
        <f aca="false">H96/(1+D96)</f>
        <v>476.524962193854</v>
      </c>
      <c r="I95" s="385" t="n">
        <f aca="false">1000000*H95/E95</f>
        <v>7124.98697538622</v>
      </c>
      <c r="J95" s="402" t="n">
        <f aca="false">I95/I94-1</f>
        <v>0.111505910832753</v>
      </c>
      <c r="K95" s="387" t="n">
        <v>0.109381206666092</v>
      </c>
      <c r="L95" s="388" t="n">
        <v>0.104858665539843</v>
      </c>
      <c r="M95" s="418" t="n">
        <f aca="false">(TableDE1!D95/TableDE1!D94)/(1+D95)-1</f>
        <v>0</v>
      </c>
      <c r="N95" s="419" t="n">
        <f aca="false">(TableDE1!R95/TableDE1!R94)/(1+B95)-1</f>
        <v>0</v>
      </c>
      <c r="O95" s="123"/>
      <c r="R95" s="387" t="n">
        <f aca="false">1+K95</f>
        <v>1.10938120666609</v>
      </c>
      <c r="S95" s="387" t="n">
        <f aca="false">1+L95</f>
        <v>1.10485866553984</v>
      </c>
      <c r="T95" s="387" t="n">
        <f aca="false">1+C95</f>
        <v>1.00468735989228</v>
      </c>
    </row>
    <row r="96" customFormat="false" ht="12" hidden="false" customHeight="false" outlineLevel="0" collapsed="false">
      <c r="A96" s="416" t="n">
        <f aca="false">A95+1</f>
        <v>1956</v>
      </c>
      <c r="B96" s="387" t="n">
        <f aca="false">TableDE1!R96/TableDE1!R95-1</f>
        <v>0.00372248992588831</v>
      </c>
      <c r="C96" s="387" t="n">
        <v>0.00579674410417574</v>
      </c>
      <c r="D96" s="382" t="n">
        <f aca="false">TableDE1!D96/TableDE1!D95-1</f>
        <v>0.0744953171397669</v>
      </c>
      <c r="E96" s="383" t="n">
        <f aca="false">E97/(1+B97)</f>
        <v>67129.7818813386</v>
      </c>
      <c r="F96" s="401" t="n">
        <f aca="false">E96*TableDE1!S96/TableDE1!R96</f>
        <v>47501.0336592352</v>
      </c>
      <c r="G96" s="401" t="n">
        <f aca="false">TableDE3b!E96*TableDE1!T96/TableDE1!R96</f>
        <v>30811.1305783688</v>
      </c>
      <c r="H96" s="384" t="n">
        <f aca="false">H97/(1+D97)</f>
        <v>512.023840377501</v>
      </c>
      <c r="I96" s="385" t="n">
        <f aca="false">1000000*H96/E96</f>
        <v>7627.37232310059</v>
      </c>
      <c r="J96" s="402" t="n">
        <f aca="false">I96/I95-1</f>
        <v>0.070510353134664</v>
      </c>
      <c r="K96" s="387" t="n">
        <v>0.0635176417230379</v>
      </c>
      <c r="L96" s="388" t="n">
        <v>0.0654933625243495</v>
      </c>
      <c r="M96" s="418" t="n">
        <f aca="false">(TableDE1!D96/TableDE1!D95)/(1+D96)-1</f>
        <v>0</v>
      </c>
      <c r="N96" s="419" t="n">
        <f aca="false">(TableDE1!R96/TableDE1!R95)/(1+B96)-1</f>
        <v>0</v>
      </c>
      <c r="O96" s="123"/>
      <c r="R96" s="387" t="n">
        <f aca="false">1+K96</f>
        <v>1.06351764172304</v>
      </c>
      <c r="S96" s="387" t="n">
        <f aca="false">1+L96</f>
        <v>1.06549336252435</v>
      </c>
      <c r="T96" s="387" t="n">
        <f aca="false">1+C96</f>
        <v>1.00579674410418</v>
      </c>
    </row>
    <row r="97" customFormat="false" ht="12" hidden="false" customHeight="false" outlineLevel="0" collapsed="false">
      <c r="A97" s="416" t="n">
        <f aca="false">A96+1</f>
        <v>1957</v>
      </c>
      <c r="B97" s="387" t="n">
        <f aca="false">TableDE1!R97/TableDE1!R96-1</f>
        <v>0.00511616894681044</v>
      </c>
      <c r="C97" s="387" t="n">
        <v>0.00589994538155159</v>
      </c>
      <c r="D97" s="382" t="n">
        <f aca="false">TableDE1!D97/TableDE1!D96-1</f>
        <v>0.0564847472288068</v>
      </c>
      <c r="E97" s="383" t="n">
        <f aca="false">E98/(1+B98)</f>
        <v>67473.229186806</v>
      </c>
      <c r="F97" s="401" t="n">
        <f aca="false">E97*TableDE1!S97/TableDE1!R97</f>
        <v>47885.7507538762</v>
      </c>
      <c r="G97" s="401" t="n">
        <f aca="false">TableDE3b!E97*TableDE1!T97/TableDE1!R97</f>
        <v>31515.0732265486</v>
      </c>
      <c r="H97" s="384" t="n">
        <f aca="false">H98/(1+D98)</f>
        <v>540.945377576347</v>
      </c>
      <c r="I97" s="385" t="n">
        <f aca="false">1000000*H97/E97</f>
        <v>8017.18524659148</v>
      </c>
      <c r="J97" s="402" t="n">
        <f aca="false">I97/I96-1</f>
        <v>0.0511071056948789</v>
      </c>
      <c r="K97" s="387" t="n">
        <v>0.0460361869512977</v>
      </c>
      <c r="L97" s="388" t="n">
        <v>0.0510923573126922</v>
      </c>
      <c r="M97" s="418" t="n">
        <f aca="false">(TableDE1!D97/TableDE1!D96)/(1+D97)-1</f>
        <v>0</v>
      </c>
      <c r="N97" s="419" t="n">
        <f aca="false">(TableDE1!R97/TableDE1!R96)/(1+B97)-1</f>
        <v>0</v>
      </c>
      <c r="O97" s="123"/>
      <c r="R97" s="387" t="n">
        <f aca="false">1+K97</f>
        <v>1.0460361869513</v>
      </c>
      <c r="S97" s="387" t="n">
        <f aca="false">1+L97</f>
        <v>1.05109235731269</v>
      </c>
      <c r="T97" s="387" t="n">
        <f aca="false">1+C97</f>
        <v>1.00589994538155</v>
      </c>
    </row>
    <row r="98" customFormat="false" ht="12" hidden="false" customHeight="false" outlineLevel="0" collapsed="false">
      <c r="A98" s="416" t="n">
        <f aca="false">A97+1</f>
        <v>1958</v>
      </c>
      <c r="B98" s="387" t="n">
        <f aca="false">TableDE1!R98/TableDE1!R97-1</f>
        <v>0.012844959219396</v>
      </c>
      <c r="C98" s="387" t="n">
        <v>0.00660524006587582</v>
      </c>
      <c r="D98" s="382" t="n">
        <f aca="false">TableDE1!D98/TableDE1!D97-1</f>
        <v>0.0391207689510922</v>
      </c>
      <c r="E98" s="383" t="n">
        <f aca="false">E99/(1+B99)</f>
        <v>68339.9200641115</v>
      </c>
      <c r="F98" s="401" t="n">
        <f aca="false">E98*TableDE1!S98/TableDE1!R98</f>
        <v>48644.3551016346</v>
      </c>
      <c r="G98" s="401" t="n">
        <f aca="false">TableDE3b!E98*TableDE1!T98/TableDE1!R98</f>
        <v>31797.1825675962</v>
      </c>
      <c r="H98" s="384" t="n">
        <f aca="false">H99/(1+D99)</f>
        <v>562.107576707673</v>
      </c>
      <c r="I98" s="385" t="n">
        <f aca="false">1000000*H98/E98</f>
        <v>8225.17170316185</v>
      </c>
      <c r="J98" s="402" t="n">
        <f aca="false">I98/I97-1</f>
        <v>0.0259425783704812</v>
      </c>
      <c r="K98" s="387" t="n">
        <v>0.0312382654216756</v>
      </c>
      <c r="L98" s="388" t="n">
        <v>0.0376683783836214</v>
      </c>
      <c r="M98" s="418" t="n">
        <f aca="false">(TableDE1!D98/TableDE1!D97)/(1+D98)-1</f>
        <v>0</v>
      </c>
      <c r="N98" s="419" t="n">
        <f aca="false">(TableDE1!R98/TableDE1!R97)/(1+B98)-1</f>
        <v>0</v>
      </c>
      <c r="O98" s="123"/>
      <c r="R98" s="387" t="n">
        <f aca="false">1+K98</f>
        <v>1.03123826542168</v>
      </c>
      <c r="S98" s="387" t="n">
        <f aca="false">1+L98</f>
        <v>1.03766837838362</v>
      </c>
      <c r="T98" s="387" t="n">
        <f aca="false">1+C98</f>
        <v>1.00660524006588</v>
      </c>
    </row>
    <row r="99" customFormat="false" ht="12" hidden="false" customHeight="false" outlineLevel="0" collapsed="false">
      <c r="A99" s="436" t="n">
        <f aca="false">A98+1</f>
        <v>1959</v>
      </c>
      <c r="B99" s="406" t="n">
        <f aca="false">TableDE1!R99/TableDE1!R98-1</f>
        <v>0.0109639688335372</v>
      </c>
      <c r="C99" s="406" t="n">
        <v>0.00735346872161369</v>
      </c>
      <c r="D99" s="407" t="n">
        <f aca="false">TableDE1!D99/TableDE1!D98-1</f>
        <v>0.0760845720697536</v>
      </c>
      <c r="E99" s="408" t="n">
        <f aca="false">E100/(1+B100)</f>
        <v>69089.1968177808</v>
      </c>
      <c r="F99" s="409" t="n">
        <f aca="false">E99*TableDE1!S99/TableDE1!R99</f>
        <v>49322.7776082137</v>
      </c>
      <c r="G99" s="409" t="n">
        <f aca="false">TableDE3b!E99*TableDE1!T99/TableDE1!R99</f>
        <v>32164.4569927335</v>
      </c>
      <c r="H99" s="410" t="n">
        <f aca="false">H100/(1+D100)</f>
        <v>604.875291138642</v>
      </c>
      <c r="I99" s="411" t="n">
        <f aca="false">1000000*H99/E99</f>
        <v>8754.99092476019</v>
      </c>
      <c r="J99" s="412" t="n">
        <f aca="false">I99/I98-1</f>
        <v>0.0644143661334966</v>
      </c>
      <c r="K99" s="406" t="n">
        <v>0.0663994519902615</v>
      </c>
      <c r="L99" s="413" t="n">
        <v>0.0653018699396202</v>
      </c>
      <c r="M99" s="437" t="n">
        <f aca="false">(TableDE1!D99/TableDE1!D98)/(1+D99)-1</f>
        <v>0</v>
      </c>
      <c r="N99" s="438" t="n">
        <f aca="false">(TableDE1!R99/TableDE1!R98)/(1+B99)-1</f>
        <v>0</v>
      </c>
      <c r="O99" s="123"/>
      <c r="R99" s="387" t="n">
        <f aca="false">1+K99</f>
        <v>1.06639945199026</v>
      </c>
      <c r="S99" s="387" t="n">
        <f aca="false">1+L99</f>
        <v>1.06530186993962</v>
      </c>
      <c r="T99" s="387" t="n">
        <f aca="false">1+C99</f>
        <v>1.00735346872161</v>
      </c>
    </row>
    <row r="100" customFormat="false" ht="12" hidden="false" customHeight="false" outlineLevel="0" collapsed="false">
      <c r="A100" s="416" t="n">
        <f aca="false">A99+1</f>
        <v>1960</v>
      </c>
      <c r="B100" s="387" t="n">
        <f aca="false">TableDE1!R100/TableDE1!R99-1</f>
        <v>0.0112669729750865</v>
      </c>
      <c r="C100" s="387" t="n">
        <v>0.00648508558485283</v>
      </c>
      <c r="D100" s="382" t="n">
        <f aca="false">TableDE1!D100/TableDE1!D99-1</f>
        <v>0.0869161957194813</v>
      </c>
      <c r="E100" s="383" t="n">
        <f aca="false">E101/(1+B101)</f>
        <v>69867.6229311972</v>
      </c>
      <c r="F100" s="401" t="n">
        <f aca="false">E100*TableDE1!S100/TableDE1!R100</f>
        <v>50025.2180187372</v>
      </c>
      <c r="G100" s="401" t="n">
        <f aca="false">TableDE3b!E100*TableDE1!T100/TableDE1!R100</f>
        <v>32733.9984925841</v>
      </c>
      <c r="H100" s="384" t="n">
        <f aca="false">H101/(1+D101)</f>
        <v>657.448750329126</v>
      </c>
      <c r="I100" s="385" t="n">
        <f aca="false">1000000*H100/E100</f>
        <v>9409.92011387814</v>
      </c>
      <c r="J100" s="402" t="n">
        <f aca="false">I100/I99-1</f>
        <v>0.0748063812682813</v>
      </c>
      <c r="K100" s="387" t="n">
        <v>0.0757742709449303</v>
      </c>
      <c r="L100" s="388" t="n">
        <v>0.073647419126091</v>
      </c>
      <c r="M100" s="418" t="n">
        <f aca="false">(TableDE1!D100/TableDE1!D99)/(1+D100)-1</f>
        <v>0</v>
      </c>
      <c r="N100" s="419" t="n">
        <f aca="false">(TableDE1!R100/TableDE1!R99)/(1+B100)-1</f>
        <v>0</v>
      </c>
      <c r="O100" s="123"/>
      <c r="R100" s="387" t="n">
        <f aca="false">1+K100</f>
        <v>1.07577427094493</v>
      </c>
      <c r="S100" s="387" t="n">
        <f aca="false">1+L100</f>
        <v>1.07364741912609</v>
      </c>
      <c r="T100" s="387" t="n">
        <f aca="false">1+C100</f>
        <v>1.00648508558485</v>
      </c>
    </row>
    <row r="101" customFormat="false" ht="12" hidden="false" customHeight="false" outlineLevel="0" collapsed="false">
      <c r="A101" s="416" t="n">
        <f aca="false">A100+1</f>
        <v>1961</v>
      </c>
      <c r="B101" s="387" t="n">
        <f aca="false">TableDE1!R101/TableDE1!R100-1</f>
        <v>0.0119771902092696</v>
      </c>
      <c r="C101" s="387" t="n">
        <v>0.00886135898839724</v>
      </c>
      <c r="D101" s="382" t="n">
        <f aca="false">TableDE1!D101/TableDE1!D100-1</f>
        <v>0.039883187631629</v>
      </c>
      <c r="E101" s="383" t="n">
        <f aca="false">E102/(1+B102)</f>
        <v>70704.4407405137</v>
      </c>
      <c r="F101" s="401" t="n">
        <f aca="false">E101*TableDE1!S101/TableDE1!R101</f>
        <v>50532.4637972451</v>
      </c>
      <c r="G101" s="401" t="n">
        <f aca="false">TableDE3b!E101*TableDE1!T101/TableDE1!R101</f>
        <v>33196.1264111112</v>
      </c>
      <c r="H101" s="384" t="n">
        <f aca="false">H102/(1+D102)</f>
        <v>683.669902196683</v>
      </c>
      <c r="I101" s="385" t="n">
        <f aca="false">1000000*H101/E101</f>
        <v>9669.40541550652</v>
      </c>
      <c r="J101" s="402" t="n">
        <f aca="false">I101/I100-1</f>
        <v>0.0275757178050511</v>
      </c>
      <c r="K101" s="387" t="n">
        <v>0.0313402959597888</v>
      </c>
      <c r="L101" s="388" t="n">
        <v>0.0320466808002562</v>
      </c>
      <c r="M101" s="418" t="n">
        <f aca="false">(TableDE1!D101/TableDE1!D100)/(1+D101)-1</f>
        <v>0</v>
      </c>
      <c r="N101" s="419" t="n">
        <f aca="false">(TableDE1!R101/TableDE1!R100)/(1+B101)-1</f>
        <v>0</v>
      </c>
      <c r="O101" s="123"/>
      <c r="R101" s="387" t="n">
        <f aca="false">1+K101</f>
        <v>1.03134029595979</v>
      </c>
      <c r="S101" s="387" t="n">
        <f aca="false">1+L101</f>
        <v>1.03204668080026</v>
      </c>
      <c r="T101" s="387" t="n">
        <f aca="false">1+C101</f>
        <v>1.0088613589884</v>
      </c>
    </row>
    <row r="102" customFormat="false" ht="12" hidden="false" customHeight="false" outlineLevel="0" collapsed="false">
      <c r="A102" s="416" t="n">
        <f aca="false">A101+1</f>
        <v>1962</v>
      </c>
      <c r="B102" s="387" t="n">
        <f aca="false">TableDE1!R102/TableDE1!R101-1</f>
        <v>0.0114524675850491</v>
      </c>
      <c r="C102" s="387" t="n">
        <v>0.00842372103564237</v>
      </c>
      <c r="D102" s="382" t="n">
        <f aca="false">TableDE1!D102/TableDE1!D101-1</f>
        <v>0.0408054074645245</v>
      </c>
      <c r="E102" s="383" t="n">
        <f aca="false">E103/(1+B103)</f>
        <v>71514.1810562135</v>
      </c>
      <c r="F102" s="401" t="n">
        <f aca="false">E102*TableDE1!S102/TableDE1!R102</f>
        <v>51018.2167655027</v>
      </c>
      <c r="G102" s="401" t="n">
        <f aca="false">TableDE3b!E102*TableDE1!T102/TableDE1!R102</f>
        <v>33318.233330379</v>
      </c>
      <c r="H102" s="384" t="n">
        <f aca="false">H103/(1+D103)</f>
        <v>711.56733112705</v>
      </c>
      <c r="I102" s="385" t="n">
        <f aca="false">1000000*H102/E102</f>
        <v>9950.01719404051</v>
      </c>
      <c r="J102" s="402" t="n">
        <f aca="false">I102/I101-1</f>
        <v>0.029020582597973</v>
      </c>
      <c r="K102" s="387" t="n">
        <v>0.0336765220755335</v>
      </c>
      <c r="L102" s="388" t="n">
        <v>0.0339481843423113</v>
      </c>
      <c r="M102" s="418" t="n">
        <f aca="false">(TableDE1!D102/TableDE1!D101)/(1+D102)-1</f>
        <v>0</v>
      </c>
      <c r="N102" s="419" t="n">
        <f aca="false">(TableDE1!R102/TableDE1!R101)/(1+B102)-1</f>
        <v>0</v>
      </c>
      <c r="O102" s="123"/>
      <c r="R102" s="387" t="n">
        <f aca="false">1+K102</f>
        <v>1.03367652207553</v>
      </c>
      <c r="S102" s="387" t="n">
        <f aca="false">1+L102</f>
        <v>1.03394818434231</v>
      </c>
      <c r="T102" s="387" t="n">
        <f aca="false">1+C102</f>
        <v>1.00842372103564</v>
      </c>
    </row>
    <row r="103" customFormat="false" ht="12" hidden="false" customHeight="false" outlineLevel="0" collapsed="false">
      <c r="A103" s="416" t="n">
        <f aca="false">A102+1</f>
        <v>1963</v>
      </c>
      <c r="B103" s="387" t="n">
        <f aca="false">TableDE1!R103/TableDE1!R102-1</f>
        <v>0.0112034557243619</v>
      </c>
      <c r="C103" s="387" t="n">
        <v>0.00815229452774702</v>
      </c>
      <c r="D103" s="382" t="n">
        <f aca="false">TableDE1!D103/TableDE1!D102-1</f>
        <v>0.0221396900412749</v>
      </c>
      <c r="E103" s="383" t="n">
        <f aca="false">E104/(1+B104)</f>
        <v>72315.3870173407</v>
      </c>
      <c r="F103" s="401" t="n">
        <f aca="false">E103*TableDE1!S103/TableDE1!R103</f>
        <v>51495.7870950483</v>
      </c>
      <c r="G103" s="401" t="n">
        <f aca="false">TableDE3b!E103*TableDE1!T103/TableDE1!R103</f>
        <v>33402.9009125028</v>
      </c>
      <c r="H103" s="384" t="n">
        <f aca="false">H104/(1+D104)</f>
        <v>727.3212112817</v>
      </c>
      <c r="I103" s="385" t="n">
        <f aca="false">1000000*H103/E103</f>
        <v>10057.6273083804</v>
      </c>
      <c r="J103" s="402" t="n">
        <f aca="false">I103/I102-1</f>
        <v>0.010815068179409</v>
      </c>
      <c r="K103" s="387" t="n">
        <v>0.017837550888163</v>
      </c>
      <c r="L103" s="388" t="n">
        <v>0.019873429344621</v>
      </c>
      <c r="M103" s="418" t="n">
        <f aca="false">(TableDE1!D103/TableDE1!D102)/(1+D103)-1</f>
        <v>0</v>
      </c>
      <c r="N103" s="419" t="n">
        <f aca="false">(TableDE1!R103/TableDE1!R102)/(1+B103)-1</f>
        <v>0</v>
      </c>
      <c r="O103" s="123"/>
      <c r="R103" s="387" t="n">
        <f aca="false">1+K103</f>
        <v>1.01783755088816</v>
      </c>
      <c r="S103" s="387" t="n">
        <f aca="false">1+L103</f>
        <v>1.01987342934462</v>
      </c>
      <c r="T103" s="387" t="n">
        <f aca="false">1+C103</f>
        <v>1.00815229452775</v>
      </c>
    </row>
    <row r="104" customFormat="false" ht="12" hidden="false" customHeight="false" outlineLevel="0" collapsed="false">
      <c r="A104" s="416" t="n">
        <f aca="false">A103+1</f>
        <v>1964</v>
      </c>
      <c r="B104" s="387" t="n">
        <f aca="false">TableDE1!R104/TableDE1!R103-1</f>
        <v>0.0116426424043312</v>
      </c>
      <c r="C104" s="387" t="n">
        <v>0.008259346954127</v>
      </c>
      <c r="D104" s="382" t="n">
        <f aca="false">TableDE1!D104/TableDE1!D103-1</f>
        <v>0.0641861418420651</v>
      </c>
      <c r="E104" s="383" t="n">
        <f aca="false">E105/(1+B105)</f>
        <v>73157.3292087145</v>
      </c>
      <c r="F104" s="401" t="n">
        <f aca="false">E104*TableDE1!S104/TableDE1!R104</f>
        <v>52000.2296015542</v>
      </c>
      <c r="G104" s="401" t="n">
        <f aca="false">TableDE3b!E104*TableDE1!T104/TableDE1!R104</f>
        <v>33438.2043051826</v>
      </c>
      <c r="H104" s="384" t="n">
        <f aca="false">H105/(1+D105)</f>
        <v>774.00515371377</v>
      </c>
      <c r="I104" s="385" t="n">
        <f aca="false">1000000*H104/E104</f>
        <v>10580.0083475651</v>
      </c>
      <c r="J104" s="402" t="n">
        <f aca="false">I104/I103-1</f>
        <v>0.051938794625003</v>
      </c>
      <c r="K104" s="387" t="n">
        <v>0.0559033657512338</v>
      </c>
      <c r="L104" s="388" t="n">
        <v>0.0520933509004633</v>
      </c>
      <c r="M104" s="418" t="n">
        <f aca="false">(TableDE1!D104/TableDE1!D103)/(1+D104)-1</f>
        <v>0</v>
      </c>
      <c r="N104" s="419" t="n">
        <f aca="false">(TableDE1!R104/TableDE1!R103)/(1+B104)-1</f>
        <v>0</v>
      </c>
      <c r="O104" s="123"/>
      <c r="R104" s="387" t="n">
        <f aca="false">1+K104</f>
        <v>1.05590336575123</v>
      </c>
      <c r="S104" s="387" t="n">
        <f aca="false">1+L104</f>
        <v>1.05209335090046</v>
      </c>
      <c r="T104" s="387" t="n">
        <f aca="false">1+C104</f>
        <v>1.00825934695413</v>
      </c>
    </row>
    <row r="105" customFormat="false" ht="12" hidden="false" customHeight="false" outlineLevel="0" collapsed="false">
      <c r="A105" s="416" t="n">
        <f aca="false">A104+1</f>
        <v>1965</v>
      </c>
      <c r="B105" s="387" t="n">
        <f aca="false">TableDE1!R105/TableDE1!R104-1</f>
        <v>0.0122976204093088</v>
      </c>
      <c r="C105" s="387" t="n">
        <v>0.0091334232601743</v>
      </c>
      <c r="D105" s="382" t="n">
        <f aca="false">TableDE1!D105/TableDE1!D104-1</f>
        <v>0.0509216424566588</v>
      </c>
      <c r="E105" s="383" t="n">
        <f aca="false">E106/(1+B106)</f>
        <v>74056.9902734821</v>
      </c>
      <c r="F105" s="401" t="n">
        <f aca="false">E105*TableDE1!S105/TableDE1!R105</f>
        <v>52543.4345990355</v>
      </c>
      <c r="G105" s="401" t="n">
        <f aca="false">TableDE3b!E105*TableDE1!T105/TableDE1!R105</f>
        <v>33632.9358491098</v>
      </c>
      <c r="H105" s="384" t="n">
        <f aca="false">H106/(1+D106)</f>
        <v>813.418767410794</v>
      </c>
      <c r="I105" s="385" t="n">
        <f aca="false">1000000*H105/E105</f>
        <v>10983.6865420395</v>
      </c>
      <c r="J105" s="402" t="n">
        <f aca="false">I105/I104-1</f>
        <v>0.0381548086932506</v>
      </c>
      <c r="K105" s="387" t="n">
        <v>0.0420296094682502</v>
      </c>
      <c r="L105" s="388" t="n">
        <v>0.0411880582654722</v>
      </c>
      <c r="M105" s="418" t="n">
        <f aca="false">(TableDE1!D105/TableDE1!D104)/(1+D105)-1</f>
        <v>0</v>
      </c>
      <c r="N105" s="419" t="n">
        <f aca="false">(TableDE1!R105/TableDE1!R104)/(1+B105)-1</f>
        <v>0</v>
      </c>
      <c r="O105" s="123"/>
      <c r="R105" s="387" t="n">
        <f aca="false">1+K105</f>
        <v>1.04202960946825</v>
      </c>
      <c r="S105" s="387" t="n">
        <f aca="false">1+L105</f>
        <v>1.04118805826547</v>
      </c>
      <c r="T105" s="387" t="n">
        <f aca="false">1+C105</f>
        <v>1.00913342326017</v>
      </c>
    </row>
    <row r="106" customFormat="false" ht="12" hidden="false" customHeight="false" outlineLevel="0" collapsed="false">
      <c r="A106" s="416" t="n">
        <f aca="false">A105+1</f>
        <v>1966</v>
      </c>
      <c r="B106" s="387" t="n">
        <f aca="false">TableDE1!R106/TableDE1!R105-1</f>
        <v>0.0102260066718785</v>
      </c>
      <c r="C106" s="387" t="n">
        <v>0.00750040478536618</v>
      </c>
      <c r="D106" s="382" t="n">
        <f aca="false">TableDE1!D106/TableDE1!D105-1</f>
        <v>0.023649102907316</v>
      </c>
      <c r="E106" s="383" t="n">
        <f aca="false">E107/(1+B107)</f>
        <v>74814.2975501179</v>
      </c>
      <c r="F106" s="401" t="n">
        <f aca="false">E106*TableDE1!S106/TableDE1!R106</f>
        <v>52983.4855249935</v>
      </c>
      <c r="G106" s="401" t="n">
        <f aca="false">TableDE3b!E106*TableDE1!T106/TableDE1!R106</f>
        <v>33532.1469120328</v>
      </c>
      <c r="H106" s="384" t="n">
        <f aca="false">H107/(1+D107)</f>
        <v>832.655391548034</v>
      </c>
      <c r="I106" s="385" t="n">
        <f aca="false">1000000*H106/E106</f>
        <v>11129.6292127884</v>
      </c>
      <c r="J106" s="402" t="n">
        <f aca="false">I106/I105-1</f>
        <v>0.0132872210245891</v>
      </c>
      <c r="K106" s="387" t="n">
        <v>0.0192127218669362</v>
      </c>
      <c r="L106" s="388" t="n">
        <v>0.0219764715951252</v>
      </c>
      <c r="M106" s="418" t="n">
        <f aca="false">(TableDE1!D106/TableDE1!D105)/(1+D106)-1</f>
        <v>0</v>
      </c>
      <c r="N106" s="419" t="n">
        <f aca="false">(TableDE1!R106/TableDE1!R105)/(1+B106)-1</f>
        <v>0</v>
      </c>
      <c r="O106" s="123"/>
      <c r="R106" s="387" t="n">
        <f aca="false">1+K106</f>
        <v>1.01921272186694</v>
      </c>
      <c r="S106" s="387" t="n">
        <f aca="false">1+L106</f>
        <v>1.02197647159513</v>
      </c>
      <c r="T106" s="387" t="n">
        <f aca="false">1+C106</f>
        <v>1.00750040478537</v>
      </c>
    </row>
    <row r="107" customFormat="false" ht="12" hidden="false" customHeight="false" outlineLevel="0" collapsed="false">
      <c r="A107" s="416" t="n">
        <f aca="false">A106+1</f>
        <v>1967</v>
      </c>
      <c r="B107" s="387" t="n">
        <f aca="false">TableDE1!R107/TableDE1!R106-1</f>
        <v>0.00547389033586287</v>
      </c>
      <c r="C107" s="387" t="n">
        <v>0.00212948628190524</v>
      </c>
      <c r="D107" s="382" t="n">
        <f aca="false">TableDE1!D107/TableDE1!D106-1</f>
        <v>-0.00791620345825395</v>
      </c>
      <c r="E107" s="383" t="n">
        <f aca="false">E108/(1+B108)</f>
        <v>75223.8228104619</v>
      </c>
      <c r="F107" s="401" t="n">
        <f aca="false">E107*TableDE1!S107/TableDE1!R107</f>
        <v>53175.7203447155</v>
      </c>
      <c r="G107" s="401" t="n">
        <f aca="false">TableDE3b!E107*TableDE1!T107/TableDE1!R107</f>
        <v>32438.9730481206</v>
      </c>
      <c r="H107" s="384" t="n">
        <f aca="false">H108/(1+D108)</f>
        <v>826.063922057928</v>
      </c>
      <c r="I107" s="385" t="n">
        <f aca="false">1000000*H107/E107</f>
        <v>10981.4137489306</v>
      </c>
      <c r="J107" s="402" t="n">
        <f aca="false">I107/I106-1</f>
        <v>-0.013317196918603</v>
      </c>
      <c r="K107" s="387" t="n">
        <v>-0.00541646835735343</v>
      </c>
      <c r="L107" s="388" t="n">
        <v>0.000967449484189142</v>
      </c>
      <c r="M107" s="418" t="n">
        <f aca="false">(TableDE1!D107/TableDE1!D106)/(1+D107)-1</f>
        <v>0</v>
      </c>
      <c r="N107" s="419" t="n">
        <f aca="false">(TableDE1!R107/TableDE1!R106)/(1+B107)-1</f>
        <v>0</v>
      </c>
      <c r="O107" s="123"/>
      <c r="R107" s="387" t="n">
        <f aca="false">1+K107</f>
        <v>0.994583531642647</v>
      </c>
      <c r="S107" s="387" t="n">
        <f aca="false">1+L107</f>
        <v>1.00096744948419</v>
      </c>
      <c r="T107" s="387" t="n">
        <f aca="false">1+C107</f>
        <v>1.00212948628191</v>
      </c>
    </row>
    <row r="108" customFormat="false" ht="12" hidden="false" customHeight="false" outlineLevel="0" collapsed="false">
      <c r="A108" s="416" t="n">
        <f aca="false">A107+1</f>
        <v>1968</v>
      </c>
      <c r="B108" s="387" t="n">
        <f aca="false">TableDE1!R108/TableDE1!R107-1</f>
        <v>0.00559621780963204</v>
      </c>
      <c r="C108" s="387" t="n">
        <v>0.00282771211824873</v>
      </c>
      <c r="D108" s="382" t="n">
        <f aca="false">TableDE1!D108/TableDE1!D107-1</f>
        <v>0.0584373684817543</v>
      </c>
      <c r="E108" s="383" t="n">
        <f aca="false">E109/(1+B109)</f>
        <v>75644.7917073824</v>
      </c>
      <c r="F108" s="401" t="n">
        <f aca="false">E108*TableDE1!S108/TableDE1!R108</f>
        <v>53374.965028729</v>
      </c>
      <c r="G108" s="401" t="n">
        <f aca="false">TableDE3b!E108*TableDE1!T108/TableDE1!R108</f>
        <v>32469.9995261203</v>
      </c>
      <c r="H108" s="384" t="n">
        <f aca="false">H109/(1+D109)</f>
        <v>874.33692386071</v>
      </c>
      <c r="I108" s="385" t="n">
        <f aca="false">1000000*H108/E108</f>
        <v>11558.4550386882</v>
      </c>
      <c r="J108" s="402" t="n">
        <f aca="false">I108/I107-1</f>
        <v>0.0525470857350869</v>
      </c>
      <c r="K108" s="387" t="n">
        <v>0.0516268634544119</v>
      </c>
      <c r="L108" s="388" t="n">
        <v>0.049780231233866</v>
      </c>
      <c r="M108" s="418" t="n">
        <f aca="false">(TableDE1!D108/TableDE1!D107)/(1+D108)-1</f>
        <v>0</v>
      </c>
      <c r="N108" s="419" t="n">
        <f aca="false">(TableDE1!R108/TableDE1!R107)/(1+B108)-1</f>
        <v>0</v>
      </c>
      <c r="O108" s="123"/>
      <c r="R108" s="387" t="n">
        <f aca="false">1+K108</f>
        <v>1.05162686345441</v>
      </c>
      <c r="S108" s="387" t="n">
        <f aca="false">1+L108</f>
        <v>1.04978023123387</v>
      </c>
      <c r="T108" s="387" t="n">
        <f aca="false">1+C108</f>
        <v>1.00282771211825</v>
      </c>
    </row>
    <row r="109" customFormat="false" ht="12" hidden="false" customHeight="false" outlineLevel="0" collapsed="false">
      <c r="A109" s="436" t="n">
        <f aca="false">A108+1</f>
        <v>1969</v>
      </c>
      <c r="B109" s="406" t="n">
        <f aca="false">TableDE1!R109/TableDE1!R108-1</f>
        <v>0.010348819901407</v>
      </c>
      <c r="C109" s="406" t="n">
        <v>0.00730549554079563</v>
      </c>
      <c r="D109" s="407" t="n">
        <f aca="false">TableDE1!D109/TableDE1!D108-1</f>
        <v>0.078819222765508</v>
      </c>
      <c r="E109" s="408" t="n">
        <f aca="false">E110/(1+B110)</f>
        <v>76427.6260332416</v>
      </c>
      <c r="F109" s="409" t="n">
        <f aca="false">E109*TableDE1!S109/TableDE1!R109</f>
        <v>53827.977015212</v>
      </c>
      <c r="G109" s="409" t="n">
        <f aca="false">TableDE3b!E109*TableDE1!T109/TableDE1!R109</f>
        <v>32982.8925623722</v>
      </c>
      <c r="H109" s="410" t="n">
        <f aca="false">H110/(1+D110)</f>
        <v>943.251480634596</v>
      </c>
      <c r="I109" s="411" t="n">
        <f aca="false">1000000*H109/E109</f>
        <v>12341.7608212028</v>
      </c>
      <c r="J109" s="412" t="n">
        <f aca="false">I109/I108-1</f>
        <v>0.0677690729334277</v>
      </c>
      <c r="K109" s="406" t="n">
        <v>0.0643256873795892</v>
      </c>
      <c r="L109" s="413" t="n">
        <v>0.0583824145363221</v>
      </c>
      <c r="M109" s="437" t="n">
        <f aca="false">(TableDE1!D109/TableDE1!D108)/(1+D109)-1</f>
        <v>0</v>
      </c>
      <c r="N109" s="438" t="n">
        <f aca="false">(TableDE1!R109/TableDE1!R108)/(1+B109)-1</f>
        <v>0</v>
      </c>
      <c r="O109" s="123"/>
      <c r="R109" s="387" t="n">
        <f aca="false">1+K109</f>
        <v>1.06432568737959</v>
      </c>
      <c r="S109" s="387" t="n">
        <f aca="false">1+L109</f>
        <v>1.05838241453632</v>
      </c>
      <c r="T109" s="387" t="n">
        <f aca="false">1+C109</f>
        <v>1.0073054955408</v>
      </c>
    </row>
    <row r="110" customFormat="false" ht="12" hidden="false" customHeight="false" outlineLevel="0" collapsed="false">
      <c r="A110" s="416" t="n">
        <f aca="false">A109+1</f>
        <v>1970</v>
      </c>
      <c r="B110" s="387" t="n">
        <f aca="false">TableDE1!R110/TableDE1!R109-1</f>
        <v>0.00442332327647632</v>
      </c>
      <c r="C110" s="387" t="n">
        <v>0.00828680037490459</v>
      </c>
      <c r="D110" s="382" t="n">
        <f aca="false">TableDE1!D110/TableDE1!D109-1</f>
        <v>0.0474191948986147</v>
      </c>
      <c r="E110" s="383" t="n">
        <f aca="false">E111/(1+B111)</f>
        <v>76765.6901304402</v>
      </c>
      <c r="F110" s="401" t="n">
        <f aca="false">E110*TableDE1!S110/TableDE1!R110</f>
        <v>53966.2801616995</v>
      </c>
      <c r="G110" s="401" t="n">
        <f aca="false">TableDE3b!E110*TableDE1!T110/TableDE1!R110</f>
        <v>33407.427858329</v>
      </c>
      <c r="H110" s="384" t="n">
        <f aca="false">H111/(1+D111)</f>
        <v>987.979706433215</v>
      </c>
      <c r="I110" s="385" t="n">
        <f aca="false">1000000*H110/E110</f>
        <v>12870.0687084874</v>
      </c>
      <c r="J110" s="402" t="n">
        <f aca="false">I110/I109-1</f>
        <v>0.0428065245258185</v>
      </c>
      <c r="K110" s="387" t="n">
        <v>0.0408598307270685</v>
      </c>
      <c r="L110" s="388" t="n">
        <v>0.038196439930869</v>
      </c>
      <c r="M110" s="418" t="n">
        <f aca="false">(TableDE1!D110/TableDE1!D109)/(1+D110)-1</f>
        <v>0</v>
      </c>
      <c r="N110" s="419" t="n">
        <f aca="false">(TableDE1!R110/TableDE1!R109)/(1+B110)-1</f>
        <v>0</v>
      </c>
      <c r="O110" s="123"/>
      <c r="R110" s="387" t="n">
        <f aca="false">1+K110</f>
        <v>1.04085983072707</v>
      </c>
      <c r="S110" s="387" t="n">
        <f aca="false">1+L110</f>
        <v>1.03819643993087</v>
      </c>
      <c r="T110" s="387" t="n">
        <f aca="false">1+C110</f>
        <v>1.0082868003749</v>
      </c>
    </row>
    <row r="111" customFormat="false" ht="12" hidden="false" customHeight="false" outlineLevel="0" collapsed="false">
      <c r="A111" s="416" t="n">
        <v>1971</v>
      </c>
      <c r="B111" s="387" t="n">
        <f aca="false">TableDE1!R111/TableDE1!R110-1</f>
        <v>0.00251982566824838</v>
      </c>
      <c r="C111" s="387" t="n">
        <v>0.00734792685985353</v>
      </c>
      <c r="D111" s="382" t="n">
        <f aca="false">TableDE1!D111/TableDE1!D110-1</f>
        <v>0.0259078019949348</v>
      </c>
      <c r="E111" s="383" t="n">
        <f aca="false">E112/(1+B112)</f>
        <v>76959.1262868717</v>
      </c>
      <c r="F111" s="401" t="n">
        <f aca="false">E111*TableDE1!S111/TableDE1!R111</f>
        <v>54356.2308964175</v>
      </c>
      <c r="G111" s="401" t="n">
        <f aca="false">TableDE3b!E111*TableDE1!T111/TableDE1!R111</f>
        <v>33559.4568466647</v>
      </c>
      <c r="H111" s="384" t="n">
        <f aca="false">H112/(1+D112)</f>
        <v>1013.5760890425</v>
      </c>
      <c r="I111" s="385" t="n">
        <f aca="false">1000000*H111/E111</f>
        <v>13170.316997419</v>
      </c>
      <c r="J111" s="402" t="n">
        <f aca="false">I111/I110-1</f>
        <v>0.0233291908328064</v>
      </c>
      <c r="K111" s="387" t="n">
        <v>0.0191273007722794</v>
      </c>
      <c r="L111" s="388" t="n">
        <v>0.0219227403376716</v>
      </c>
      <c r="M111" s="418" t="n">
        <f aca="false">(TableDE1!D111/TableDE1!D110)/(1+D111)-1</f>
        <v>0</v>
      </c>
      <c r="N111" s="419" t="n">
        <f aca="false">(TableDE1!R111/TableDE1!R110)/(1+B111)-1</f>
        <v>0</v>
      </c>
      <c r="O111" s="123"/>
      <c r="R111" s="387" t="n">
        <f aca="false">1+K111</f>
        <v>1.01912730077228</v>
      </c>
      <c r="S111" s="387" t="n">
        <f aca="false">1+L111</f>
        <v>1.02192274033767</v>
      </c>
      <c r="T111" s="387" t="n">
        <f aca="false">1+C111</f>
        <v>1.00734792685985</v>
      </c>
    </row>
    <row r="112" customFormat="false" ht="12" hidden="false" customHeight="false" outlineLevel="0" collapsed="false">
      <c r="A112" s="416" t="n">
        <v>1972</v>
      </c>
      <c r="B112" s="387" t="n">
        <f aca="false">TableDE1!R112/TableDE1!R111-1</f>
        <v>0.00659746781294324</v>
      </c>
      <c r="C112" s="387" t="n">
        <v>0.0046248528598325</v>
      </c>
      <c r="D112" s="382" t="n">
        <f aca="false">TableDE1!D112/TableDE1!D111-1</f>
        <v>0.0399780133512939</v>
      </c>
      <c r="E112" s="383" t="n">
        <f aca="false">E113/(1+B113)</f>
        <v>77466.8616454616</v>
      </c>
      <c r="F112" s="401" t="n">
        <f aca="false">E112*TableDE1!S112/TableDE1!R112</f>
        <v>54970.4850236195</v>
      </c>
      <c r="G112" s="401" t="n">
        <f aca="false">TableDE3b!E112*TableDE1!T112/TableDE1!R112</f>
        <v>33744.1532209238</v>
      </c>
      <c r="H112" s="384" t="n">
        <f aca="false">H113/(1+D113)</f>
        <v>1054.09684746279</v>
      </c>
      <c r="I112" s="385" t="n">
        <f aca="false">1000000*H112/E112</f>
        <v>13607.0679135941</v>
      </c>
      <c r="J112" s="402" t="n">
        <f aca="false">I112/I111-1</f>
        <v>0.0331617618817155</v>
      </c>
      <c r="K112" s="387" t="n">
        <v>0.0363601440216237</v>
      </c>
      <c r="L112" s="388" t="n">
        <v>0.0364799645876879</v>
      </c>
      <c r="M112" s="418" t="n">
        <f aca="false">(TableDE1!D112/TableDE1!D111)/(1+D112)-1</f>
        <v>0</v>
      </c>
      <c r="N112" s="419" t="n">
        <f aca="false">(TableDE1!R112/TableDE1!R111)/(1+B112)-1</f>
        <v>0</v>
      </c>
      <c r="O112" s="123"/>
      <c r="R112" s="387" t="n">
        <f aca="false">1+K112</f>
        <v>1.03636014402162</v>
      </c>
      <c r="S112" s="387" t="n">
        <f aca="false">1+L112</f>
        <v>1.03647996458769</v>
      </c>
      <c r="T112" s="387" t="n">
        <f aca="false">1+C112</f>
        <v>1.00462485285983</v>
      </c>
    </row>
    <row r="113" customFormat="false" ht="12" hidden="false" customHeight="false" outlineLevel="0" collapsed="false">
      <c r="A113" s="416" t="n">
        <v>1973</v>
      </c>
      <c r="B113" s="387" t="n">
        <f aca="false">TableDE1!R113/TableDE1!R112-1</f>
        <v>0.00485651500198925</v>
      </c>
      <c r="C113" s="387" t="n">
        <v>0.0029616441095992</v>
      </c>
      <c r="D113" s="382" t="n">
        <f aca="false">TableDE1!D113/TableDE1!D112-1</f>
        <v>0.0483923100083512</v>
      </c>
      <c r="E113" s="383" t="n">
        <f aca="false">E114/(1+B114)</f>
        <v>77843.0806211998</v>
      </c>
      <c r="F113" s="401" t="n">
        <f aca="false">E113*TableDE1!S113/TableDE1!R113</f>
        <v>55494.3321748533</v>
      </c>
      <c r="G113" s="401" t="n">
        <f aca="false">TableDE3b!E113*TableDE1!T113/TableDE1!R113</f>
        <v>34151.2391070458</v>
      </c>
      <c r="H113" s="384" t="n">
        <f aca="false">H114/(1+D114)</f>
        <v>1105.10702888404</v>
      </c>
      <c r="I113" s="385" t="n">
        <f aca="false">1000000*H113/E113</f>
        <v>14196.5993645821</v>
      </c>
      <c r="J113" s="402" t="n">
        <f aca="false">I113/I112-1</f>
        <v>0.0433253846259589</v>
      </c>
      <c r="K113" s="387" t="n">
        <v>0.0435681420442202</v>
      </c>
      <c r="L113" s="388" t="n">
        <v>0.0422978694209799</v>
      </c>
      <c r="M113" s="418" t="n">
        <f aca="false">(TableDE1!D113/TableDE1!D112)/(1+D113)-1</f>
        <v>0</v>
      </c>
      <c r="N113" s="419" t="n">
        <f aca="false">(TableDE1!R113/TableDE1!R112)/(1+B113)-1</f>
        <v>0</v>
      </c>
      <c r="O113" s="123"/>
      <c r="R113" s="387" t="n">
        <f aca="false">1+K113</f>
        <v>1.04356814204422</v>
      </c>
      <c r="S113" s="387" t="n">
        <f aca="false">1+L113</f>
        <v>1.04229786942098</v>
      </c>
      <c r="T113" s="387" t="n">
        <f aca="false">1+C113</f>
        <v>1.0029616441096</v>
      </c>
    </row>
    <row r="114" customFormat="false" ht="12" hidden="false" customHeight="false" outlineLevel="0" collapsed="false">
      <c r="A114" s="416" t="n">
        <v>1974</v>
      </c>
      <c r="B114" s="387" t="n">
        <f aca="false">TableDE1!R114/TableDE1!R113-1</f>
        <v>0.00146958197257896</v>
      </c>
      <c r="C114" s="387" t="n">
        <v>0.000201608051250579</v>
      </c>
      <c r="D114" s="382" t="n">
        <f aca="false">TableDE1!D114/TableDE1!D113-1</f>
        <v>0.00342802163449707</v>
      </c>
      <c r="E114" s="383" t="n">
        <f aca="false">E115/(1+B115)</f>
        <v>77957.4774091707</v>
      </c>
      <c r="F114" s="401" t="n">
        <f aca="false">E114*TableDE1!S114/TableDE1!R114</f>
        <v>55833.1453204481</v>
      </c>
      <c r="G114" s="401" t="n">
        <f aca="false">TableDE3b!E114*TableDE1!T114/TableDE1!R114</f>
        <v>33828.3345615725</v>
      </c>
      <c r="H114" s="384" t="n">
        <f aca="false">H115/(1+D115)</f>
        <v>1108.89535968749</v>
      </c>
      <c r="I114" s="385" t="n">
        <f aca="false">1000000*H114/E114</f>
        <v>14224.3617487428</v>
      </c>
      <c r="J114" s="402" t="n">
        <f aca="false">I114/I113-1</f>
        <v>0.00195556579767575</v>
      </c>
      <c r="K114" s="387" t="n">
        <v>0.0014091889138943</v>
      </c>
      <c r="L114" s="388" t="n">
        <v>0.00806980934445889</v>
      </c>
      <c r="M114" s="418" t="n">
        <f aca="false">(TableDE1!D114/TableDE1!D113)/(1+D114)-1</f>
        <v>0</v>
      </c>
      <c r="N114" s="419" t="n">
        <f aca="false">(TableDE1!R114/TableDE1!R113)/(1+B114)-1</f>
        <v>0</v>
      </c>
      <c r="O114" s="123"/>
      <c r="R114" s="387" t="n">
        <f aca="false">1+K114</f>
        <v>1.00140918891389</v>
      </c>
      <c r="S114" s="387" t="n">
        <f aca="false">1+L114</f>
        <v>1.00806980934446</v>
      </c>
      <c r="T114" s="387" t="n">
        <f aca="false">1+C114</f>
        <v>1.00020160805125</v>
      </c>
    </row>
    <row r="115" customFormat="false" ht="12" hidden="false" customHeight="false" outlineLevel="0" collapsed="false">
      <c r="A115" s="416" t="n">
        <v>1975</v>
      </c>
      <c r="B115" s="387" t="n">
        <f aca="false">TableDE1!R115/TableDE1!R114-1</f>
        <v>-0.00368067154621743</v>
      </c>
      <c r="C115" s="387" t="n">
        <v>-0.00359409755601958</v>
      </c>
      <c r="D115" s="382" t="n">
        <f aca="false">TableDE1!D115/TableDE1!D114-1</f>
        <v>-0.0121712518170901</v>
      </c>
      <c r="E115" s="383" t="n">
        <f aca="false">E116/(1+B116)</f>
        <v>77670.5415402559</v>
      </c>
      <c r="F115" s="401" t="n">
        <f aca="false">E115*TableDE1!S115/TableDE1!R115</f>
        <v>55883.9546382141</v>
      </c>
      <c r="G115" s="401" t="n">
        <f aca="false">TableDE3b!E115*TableDE1!T115/TableDE1!R115</f>
        <v>32978.9825275648</v>
      </c>
      <c r="H115" s="384" t="n">
        <f aca="false">H116/(1+D116)</f>
        <v>1095.39871502593</v>
      </c>
      <c r="I115" s="385" t="n">
        <f aca="false">1000000*H115/E115</f>
        <v>14103.142495256</v>
      </c>
      <c r="J115" s="402" t="n">
        <f aca="false">I115/I114-1</f>
        <v>-0.0085219467578227</v>
      </c>
      <c r="K115" s="387" t="n">
        <v>-0.0104339672441471</v>
      </c>
      <c r="L115" s="388" t="n">
        <v>-0.0018588966882277</v>
      </c>
      <c r="M115" s="418" t="n">
        <f aca="false">(TableDE1!D115/TableDE1!D114)/(1+D115)-1</f>
        <v>0</v>
      </c>
      <c r="N115" s="419" t="n">
        <f aca="false">(TableDE1!R115/TableDE1!R114)/(1+B115)-1</f>
        <v>0</v>
      </c>
      <c r="O115" s="123"/>
      <c r="R115" s="387" t="n">
        <f aca="false">1+K115</f>
        <v>0.989566032755853</v>
      </c>
      <c r="S115" s="387" t="n">
        <f aca="false">1+L115</f>
        <v>0.998141103311772</v>
      </c>
      <c r="T115" s="387" t="n">
        <f aca="false">1+C115</f>
        <v>0.99640590244398</v>
      </c>
    </row>
    <row r="116" customFormat="false" ht="12" hidden="false" customHeight="false" outlineLevel="0" collapsed="false">
      <c r="A116" s="416" t="n">
        <v>1976</v>
      </c>
      <c r="B116" s="387" t="n">
        <f aca="false">TableDE1!R116/TableDE1!R115-1</f>
        <v>-0.00444432495399261</v>
      </c>
      <c r="C116" s="387" t="n">
        <v>-0.00487235220870763</v>
      </c>
      <c r="D116" s="382" t="n">
        <f aca="false">TableDE1!D116/TableDE1!D115-1</f>
        <v>0.0526859114398899</v>
      </c>
      <c r="E116" s="383" t="n">
        <f aca="false">E117/(1+B117)</f>
        <v>77325.3484142984</v>
      </c>
      <c r="F116" s="401" t="n">
        <f aca="false">E116*TableDE1!S116/TableDE1!R116</f>
        <v>55890.7618338549</v>
      </c>
      <c r="G116" s="401" t="n">
        <f aca="false">TableDE3b!E116*TableDE1!T116/TableDE1!R116</f>
        <v>32842.0307942707</v>
      </c>
      <c r="H116" s="384" t="n">
        <f aca="false">H117/(1+D117)</f>
        <v>1153.11079471715</v>
      </c>
      <c r="I116" s="385" t="n">
        <f aca="false">1000000*H116/E116</f>
        <v>14912.4552085941</v>
      </c>
      <c r="J116" s="402" t="n">
        <f aca="false">I116/I115-1</f>
        <v>0.0573852752044655</v>
      </c>
      <c r="K116" s="387" t="n">
        <v>0.0585673710957253</v>
      </c>
      <c r="L116" s="388" t="n">
        <v>0.0534225134940232</v>
      </c>
      <c r="M116" s="418" t="n">
        <f aca="false">(TableDE1!D116/TableDE1!D115)/(1+D116)-1</f>
        <v>0</v>
      </c>
      <c r="N116" s="419" t="n">
        <f aca="false">(TableDE1!R116/TableDE1!R115)/(1+B116)-1</f>
        <v>0</v>
      </c>
      <c r="O116" s="123"/>
      <c r="R116" s="387" t="n">
        <f aca="false">1+K116</f>
        <v>1.05856737109573</v>
      </c>
      <c r="S116" s="387" t="n">
        <f aca="false">1+L116</f>
        <v>1.05342251349402</v>
      </c>
      <c r="T116" s="387" t="n">
        <f aca="false">1+C116</f>
        <v>0.995127647791292</v>
      </c>
    </row>
    <row r="117" customFormat="false" ht="12" hidden="false" customHeight="false" outlineLevel="0" collapsed="false">
      <c r="A117" s="416" t="n">
        <v>1977</v>
      </c>
      <c r="B117" s="387" t="n">
        <f aca="false">TableDE1!R117/TableDE1!R116-1</f>
        <v>-0.00237133004383405</v>
      </c>
      <c r="C117" s="387" t="n">
        <v>-0.00176482555189073</v>
      </c>
      <c r="D117" s="382" t="n">
        <f aca="false">TableDE1!D117/TableDE1!D116-1</f>
        <v>0.0314914430503441</v>
      </c>
      <c r="E117" s="383" t="n">
        <f aca="false">E118/(1+B118)</f>
        <v>77141.9844924536</v>
      </c>
      <c r="F117" s="401" t="n">
        <f aca="false">E117*TableDE1!S117/TableDE1!R117</f>
        <v>56012.7949399706</v>
      </c>
      <c r="G117" s="401" t="n">
        <f aca="false">TableDE3b!E117*TableDE1!T117/TableDE1!R117</f>
        <v>32916.1606315583</v>
      </c>
      <c r="H117" s="384" t="n">
        <f aca="false">H118/(1+D118)</f>
        <v>1189.42391763973</v>
      </c>
      <c r="I117" s="385" t="n">
        <f aca="false">1000000*H117/E117</f>
        <v>15418.6326092775</v>
      </c>
      <c r="J117" s="402" t="n">
        <f aca="false">I117/I116-1</f>
        <v>0.0339432637753545</v>
      </c>
      <c r="K117" s="387" t="n">
        <v>0.0305604420438126</v>
      </c>
      <c r="L117" s="388" t="n">
        <v>0.0305944504537388</v>
      </c>
      <c r="M117" s="418" t="n">
        <f aca="false">(TableDE1!D117/TableDE1!D116)/(1+D117)-1</f>
        <v>0</v>
      </c>
      <c r="N117" s="419" t="n">
        <f aca="false">(TableDE1!R117/TableDE1!R116)/(1+B117)-1</f>
        <v>0</v>
      </c>
      <c r="O117" s="123"/>
      <c r="R117" s="387" t="n">
        <f aca="false">1+K117</f>
        <v>1.03056044204381</v>
      </c>
      <c r="S117" s="387" t="n">
        <f aca="false">1+L117</f>
        <v>1.03059445045374</v>
      </c>
      <c r="T117" s="387" t="n">
        <f aca="false">1+C117</f>
        <v>0.998235174448109</v>
      </c>
    </row>
    <row r="118" customFormat="false" ht="12" hidden="false" customHeight="false" outlineLevel="0" collapsed="false">
      <c r="A118" s="416" t="n">
        <v>1978</v>
      </c>
      <c r="B118" s="387" t="n">
        <f aca="false">TableDE1!R118/TableDE1!R117-1</f>
        <v>-0.000979952390632199</v>
      </c>
      <c r="C118" s="387" t="n">
        <v>-0.00121159241861657</v>
      </c>
      <c r="D118" s="382" t="n">
        <f aca="false">TableDE1!D118/TableDE1!D117-1</f>
        <v>0.0324192826463412</v>
      </c>
      <c r="E118" s="383" t="n">
        <f aca="false">E119/(1+B119)</f>
        <v>77066.3890203322</v>
      </c>
      <c r="F118" s="401" t="n">
        <f aca="false">E118*TableDE1!S118/TableDE1!R118</f>
        <v>56212.2241514303</v>
      </c>
      <c r="G118" s="401" t="n">
        <f aca="false">TableDE3b!E118*TableDE1!T118/TableDE1!R118</f>
        <v>33241.5780528719</v>
      </c>
      <c r="H118" s="384" t="n">
        <f aca="false">H119/(1+D119)</f>
        <v>1227.98418781201</v>
      </c>
      <c r="I118" s="385" t="n">
        <f aca="false">1000000*H118/E118</f>
        <v>15934.1082853646</v>
      </c>
      <c r="J118" s="402" t="n">
        <f aca="false">I118/I117-1</f>
        <v>0.0334319968021632</v>
      </c>
      <c r="K118" s="387" t="n">
        <v>0.0313025788571528</v>
      </c>
      <c r="L118" s="388" t="n">
        <v>0.0293314202077055</v>
      </c>
      <c r="M118" s="418" t="n">
        <f aca="false">(TableDE1!D118/TableDE1!D117)/(1+D118)-1</f>
        <v>0</v>
      </c>
      <c r="N118" s="419" t="n">
        <f aca="false">(TableDE1!R118/TableDE1!R117)/(1+B118)-1</f>
        <v>0</v>
      </c>
      <c r="O118" s="123"/>
      <c r="R118" s="387" t="n">
        <f aca="false">1+K118</f>
        <v>1.03130257885715</v>
      </c>
      <c r="S118" s="387" t="n">
        <f aca="false">1+L118</f>
        <v>1.02933142020771</v>
      </c>
      <c r="T118" s="387" t="n">
        <f aca="false">1+C118</f>
        <v>0.998788407581383</v>
      </c>
    </row>
    <row r="119" customFormat="false" ht="12.75" hidden="false" customHeight="true" outlineLevel="0" collapsed="false">
      <c r="A119" s="436" t="n">
        <v>1979</v>
      </c>
      <c r="B119" s="406" t="n">
        <f aca="false">TableDE1!R119/TableDE1!R118-1</f>
        <v>0.000705909255335646</v>
      </c>
      <c r="C119" s="406" t="n">
        <v>0.000194937432104192</v>
      </c>
      <c r="D119" s="407" t="n">
        <f aca="false">TableDE1!D119/TableDE1!D118-1</f>
        <v>0.0365788087235408</v>
      </c>
      <c r="E119" s="408" t="n">
        <f aca="false">E120/(1+B120)</f>
        <v>77120.7908976169</v>
      </c>
      <c r="F119" s="409" t="n">
        <f aca="false">E119*TableDE1!S119/TableDE1!R119</f>
        <v>56506.4034906839</v>
      </c>
      <c r="G119" s="409" t="n">
        <f aca="false">TableDE3b!E119*TableDE1!T119/TableDE1!R119</f>
        <v>33883.6178300582</v>
      </c>
      <c r="H119" s="410" t="n">
        <f aca="false">H120/(1+D120)</f>
        <v>1272.90238653352</v>
      </c>
      <c r="I119" s="411" t="n">
        <f aca="false">1000000*H119/E119</f>
        <v>16505.3077350228</v>
      </c>
      <c r="J119" s="412" t="n">
        <f aca="false">I119/I118-1</f>
        <v>0.0358475943195935</v>
      </c>
      <c r="K119" s="406" t="n">
        <v>0.0404314608367924</v>
      </c>
      <c r="L119" s="413" t="n">
        <v>0.0399827589666049</v>
      </c>
      <c r="M119" s="437" t="n">
        <f aca="false">(TableDE1!D119/TableDE1!D118)/(1+D119)-1</f>
        <v>0</v>
      </c>
      <c r="N119" s="438" t="n">
        <f aca="false">(TableDE1!R119/TableDE1!R118)/(1+B119)-1</f>
        <v>0</v>
      </c>
      <c r="O119" s="123"/>
      <c r="R119" s="387" t="n">
        <f aca="false">1+K119</f>
        <v>1.04043146083679</v>
      </c>
      <c r="S119" s="387" t="n">
        <f aca="false">1+L119</f>
        <v>1.0399827589666</v>
      </c>
      <c r="T119" s="387" t="n">
        <f aca="false">1+C119</f>
        <v>1.0001949374321</v>
      </c>
    </row>
    <row r="120" customFormat="false" ht="12" hidden="false" customHeight="false" outlineLevel="0" collapsed="false">
      <c r="A120" s="416" t="n">
        <v>1980</v>
      </c>
      <c r="B120" s="387" t="n">
        <f aca="false">TableDE1!R120/TableDE1!R119-1</f>
        <v>0.00273932263751009</v>
      </c>
      <c r="C120" s="387" t="n">
        <v>0.00277418565256315</v>
      </c>
      <c r="D120" s="382" t="n">
        <f aca="false">TableDE1!D120/TableDE1!D119-1</f>
        <v>0.00842635231351685</v>
      </c>
      <c r="E120" s="383" t="n">
        <f aca="false">E121/(1+B121)</f>
        <v>77332.0496259454</v>
      </c>
      <c r="F120" s="401" t="n">
        <f aca="false">E120*TableDE1!S120/TableDE1!R120</f>
        <v>56916.3885246958</v>
      </c>
      <c r="G120" s="401" t="n">
        <f aca="false">TableDE3b!E120*TableDE1!T120/TableDE1!R120</f>
        <v>34451.5277699568</v>
      </c>
      <c r="H120" s="384" t="n">
        <f aca="false">H121/(1+D121)</f>
        <v>1283.62831050316</v>
      </c>
      <c r="I120" s="385" t="n">
        <f aca="false">1000000*H120/E120</f>
        <v>16598.9174826229</v>
      </c>
      <c r="J120" s="402" t="n">
        <f aca="false">I120/I119-1</f>
        <v>0.00567149362513097</v>
      </c>
      <c r="K120" s="387" t="n">
        <v>0.00744894983530209</v>
      </c>
      <c r="L120" s="388" t="n">
        <v>0.00862767913634688</v>
      </c>
      <c r="M120" s="418" t="n">
        <f aca="false">(TableDE1!D120/TableDE1!D119)/(1+D120)-1</f>
        <v>0</v>
      </c>
      <c r="N120" s="419" t="n">
        <f aca="false">(TableDE1!R120/TableDE1!R119)/(1+B120)-1</f>
        <v>0</v>
      </c>
      <c r="O120" s="123"/>
      <c r="R120" s="387" t="n">
        <f aca="false">1+K120</f>
        <v>1.0074489498353</v>
      </c>
      <c r="S120" s="387" t="n">
        <f aca="false">1+L120</f>
        <v>1.00862767913635</v>
      </c>
      <c r="T120" s="387" t="n">
        <f aca="false">1+C120</f>
        <v>1.00277418565256</v>
      </c>
    </row>
    <row r="121" customFormat="false" ht="12" hidden="false" customHeight="false" outlineLevel="0" collapsed="false">
      <c r="A121" s="416" t="n">
        <v>1981</v>
      </c>
      <c r="B121" s="387" t="n">
        <f aca="false">TableDE1!R121/TableDE1!R120-1</f>
        <v>0.00222057696527456</v>
      </c>
      <c r="C121" s="387" t="n">
        <v>0.00132731522417262</v>
      </c>
      <c r="D121" s="382" t="n">
        <f aca="false">TableDE1!D121/TableDE1!D120-1</f>
        <v>-0.00263448045142589</v>
      </c>
      <c r="E121" s="383" t="n">
        <f aca="false">E122/(1+B122)</f>
        <v>77503.7713940223</v>
      </c>
      <c r="F121" s="401" t="n">
        <f aca="false">E121*TableDE1!S121/TableDE1!R121</f>
        <v>57476.7968658069</v>
      </c>
      <c r="G121" s="401" t="n">
        <f aca="false">TableDE3b!E121*TableDE1!T121/TableDE1!R121</f>
        <v>34492.9902213211</v>
      </c>
      <c r="H121" s="384" t="n">
        <f aca="false">H122/(1+D122)</f>
        <v>1280.24661681225</v>
      </c>
      <c r="I121" s="385" t="n">
        <f aca="false">1000000*H121/E121</f>
        <v>16518.5073420955</v>
      </c>
      <c r="J121" s="402" t="n">
        <f aca="false">I121/I120-1</f>
        <v>-0.00484430027509664</v>
      </c>
      <c r="K121" s="387" t="n">
        <v>-0.00096252113132711</v>
      </c>
      <c r="L121" s="388" t="n">
        <v>0.00244918579357245</v>
      </c>
      <c r="M121" s="418" t="n">
        <f aca="false">(TableDE1!D121/TableDE1!D120)/(1+D121)-1</f>
        <v>0</v>
      </c>
      <c r="N121" s="419" t="n">
        <f aca="false">(TableDE1!R121/TableDE1!R120)/(1+B121)-1</f>
        <v>0</v>
      </c>
      <c r="O121" s="123"/>
      <c r="R121" s="387" t="n">
        <f aca="false">1+K121</f>
        <v>0.999037478868673</v>
      </c>
      <c r="S121" s="387" t="n">
        <f aca="false">1+L121</f>
        <v>1.00244918579357</v>
      </c>
      <c r="T121" s="387" t="n">
        <f aca="false">1+C121</f>
        <v>1.00132731522417</v>
      </c>
    </row>
    <row r="122" customFormat="false" ht="12" hidden="false" customHeight="false" outlineLevel="0" collapsed="false">
      <c r="A122" s="416" t="n">
        <v>1982</v>
      </c>
      <c r="B122" s="387" t="n">
        <f aca="false">TableDE1!R122/TableDE1!R121-1</f>
        <v>-0.000906569062456009</v>
      </c>
      <c r="C122" s="387" t="n">
        <v>-0.000849010794773508</v>
      </c>
      <c r="D122" s="382" t="n">
        <f aca="false">TableDE1!D122/TableDE1!D121-1</f>
        <v>-0.00883896150410413</v>
      </c>
      <c r="E122" s="383" t="n">
        <f aca="false">E123/(1+B123)</f>
        <v>77433.5088726528</v>
      </c>
      <c r="F122" s="401" t="n">
        <f aca="false">E122*TableDE1!S122/TableDE1!R122</f>
        <v>57858.3178296462</v>
      </c>
      <c r="G122" s="401" t="n">
        <f aca="false">TableDE3b!E122*TableDE1!T122/TableDE1!R122</f>
        <v>34226.6253822536</v>
      </c>
      <c r="H122" s="384" t="n">
        <f aca="false">H123/(1+D123)</f>
        <v>1268.93056625048</v>
      </c>
      <c r="I122" s="385" t="n">
        <f aca="false">1000000*H122/E122</f>
        <v>16387.3571626125</v>
      </c>
      <c r="J122" s="402" t="n">
        <f aca="false">I122/I121-1</f>
        <v>-0.00793959022851776</v>
      </c>
      <c r="K122" s="387" t="n">
        <v>-0.00863575558936525</v>
      </c>
      <c r="L122" s="388" t="n">
        <v>-0.00770093768089297</v>
      </c>
      <c r="M122" s="418" t="n">
        <f aca="false">(TableDE1!D122/TableDE1!D121)/(1+D122)-1</f>
        <v>0</v>
      </c>
      <c r="N122" s="419" t="n">
        <f aca="false">(TableDE1!R122/TableDE1!R121)/(1+B122)-1</f>
        <v>0</v>
      </c>
      <c r="O122" s="123"/>
      <c r="R122" s="387" t="n">
        <f aca="false">1+K122</f>
        <v>0.991364244410635</v>
      </c>
      <c r="S122" s="387" t="n">
        <f aca="false">1+L122</f>
        <v>0.992299062319107</v>
      </c>
      <c r="T122" s="387" t="n">
        <f aca="false">1+C122</f>
        <v>0.999150989205227</v>
      </c>
    </row>
    <row r="123" customFormat="false" ht="12" hidden="false" customHeight="false" outlineLevel="0" collapsed="false">
      <c r="A123" s="416" t="n">
        <v>1983</v>
      </c>
      <c r="B123" s="387" t="n">
        <f aca="false">TableDE1!R123/TableDE1!R122-1</f>
        <v>-0.00329404499265329</v>
      </c>
      <c r="C123" s="387" t="n">
        <v>-0.0027268816576177</v>
      </c>
      <c r="D123" s="382" t="n">
        <f aca="false">TableDE1!D123/TableDE1!D122-1</f>
        <v>0.018398018336053</v>
      </c>
      <c r="E123" s="383" t="n">
        <f aca="false">E124/(1+B124)</f>
        <v>77178.4394104872</v>
      </c>
      <c r="F123" s="401" t="n">
        <f aca="false">E123*TableDE1!S123/TableDE1!R123</f>
        <v>58099.9291882148</v>
      </c>
      <c r="G123" s="401" t="n">
        <f aca="false">TableDE3b!E123*TableDE1!T123/TableDE1!R123</f>
        <v>33915.0287780614</v>
      </c>
      <c r="H123" s="384" t="n">
        <f aca="false">H124/(1+D124)</f>
        <v>1292.27637407554</v>
      </c>
      <c r="I123" s="385" t="n">
        <f aca="false">1000000*H123/E123</f>
        <v>16744.0075744773</v>
      </c>
      <c r="J123" s="402" t="n">
        <f aca="false">I123/I122-1</f>
        <v>0.0217637541139668</v>
      </c>
      <c r="K123" s="387" t="n">
        <v>0.021187243288783</v>
      </c>
      <c r="L123" s="388" t="n">
        <v>0.0205999472717</v>
      </c>
      <c r="M123" s="418" t="n">
        <f aca="false">(TableDE1!D123/TableDE1!D122)/(1+D123)-1</f>
        <v>0</v>
      </c>
      <c r="N123" s="419" t="n">
        <f aca="false">(TableDE1!R123/TableDE1!R122)/(1+B123)-1</f>
        <v>0</v>
      </c>
      <c r="O123" s="123"/>
      <c r="R123" s="387" t="n">
        <f aca="false">1+K123</f>
        <v>1.02118724328878</v>
      </c>
      <c r="S123" s="387" t="n">
        <f aca="false">1+L123</f>
        <v>1.0205999472717</v>
      </c>
      <c r="T123" s="387" t="n">
        <f aca="false">1+C123</f>
        <v>0.997273118342382</v>
      </c>
    </row>
    <row r="124" customFormat="false" ht="12" hidden="false" customHeight="false" outlineLevel="0" collapsed="false">
      <c r="A124" s="416" t="n">
        <v>1984</v>
      </c>
      <c r="B124" s="387" t="n">
        <f aca="false">TableDE1!R124/TableDE1!R123-1</f>
        <v>-0.00404423115571595</v>
      </c>
      <c r="C124" s="387" t="n">
        <v>-0.00340792831385861</v>
      </c>
      <c r="D124" s="382" t="n">
        <f aca="false">TableDE1!D124/TableDE1!D123-1</f>
        <v>0.0318292611375461</v>
      </c>
      <c r="E124" s="383" t="n">
        <f aca="false">E125/(1+B125)</f>
        <v>76866.3119612738</v>
      </c>
      <c r="F124" s="401" t="n">
        <f aca="false">E124*TableDE1!S124/TableDE1!R124</f>
        <v>58295.4109914301</v>
      </c>
      <c r="G124" s="401" t="n">
        <f aca="false">TableDE3b!E124*TableDE1!T124/TableDE1!R124</f>
        <v>34207.7788134517</v>
      </c>
      <c r="H124" s="384" t="n">
        <f aca="false">H125/(1+D125)</f>
        <v>1333.40857624787</v>
      </c>
      <c r="I124" s="385" t="n">
        <f aca="false">1000000*H124/E124</f>
        <v>17347.1126976881</v>
      </c>
      <c r="J124" s="402" t="n">
        <f aca="false">I124/I123-1</f>
        <v>0.0360191621108734</v>
      </c>
      <c r="K124" s="387" t="n">
        <v>0.0322748459998581</v>
      </c>
      <c r="L124" s="388" t="n">
        <v>0.0317071302216263</v>
      </c>
      <c r="M124" s="418" t="n">
        <f aca="false">(TableDE1!D124/TableDE1!D123)/(1+D124)-1</f>
        <v>0</v>
      </c>
      <c r="N124" s="419" t="n">
        <f aca="false">(TableDE1!R124/TableDE1!R123)/(1+B124)-1</f>
        <v>0</v>
      </c>
      <c r="O124" s="123"/>
      <c r="R124" s="387" t="n">
        <f aca="false">1+K124</f>
        <v>1.03227484599986</v>
      </c>
      <c r="S124" s="387" t="n">
        <f aca="false">1+L124</f>
        <v>1.03170713022163</v>
      </c>
      <c r="T124" s="387" t="n">
        <f aca="false">1+C124</f>
        <v>0.996592071686141</v>
      </c>
    </row>
    <row r="125" customFormat="false" ht="12" hidden="false" customHeight="false" outlineLevel="0" collapsed="false">
      <c r="A125" s="416" t="n">
        <v>1985</v>
      </c>
      <c r="B125" s="387" t="n">
        <f aca="false">TableDE1!R125/TableDE1!R124-1</f>
        <v>-0.00233903670786673</v>
      </c>
      <c r="C125" s="387" t="n">
        <v>-0.00219014932575923</v>
      </c>
      <c r="D125" s="382" t="n">
        <f aca="false">TableDE1!D125/TableDE1!D124-1</f>
        <v>0.0237164834482584</v>
      </c>
      <c r="E125" s="383" t="n">
        <f aca="false">E126/(1+B126)</f>
        <v>76686.5188359981</v>
      </c>
      <c r="F125" s="401" t="n">
        <f aca="false">E125*TableDE1!S125/TableDE1!R125</f>
        <v>58588.5003907025</v>
      </c>
      <c r="G125" s="401" t="n">
        <f aca="false">TableDE3b!E125*TableDE1!T125/TableDE1!R125</f>
        <v>34687.7380989412</v>
      </c>
      <c r="H125" s="384" t="n">
        <f aca="false">H126/(1+D126)</f>
        <v>1365.03233867622</v>
      </c>
      <c r="I125" s="385" t="n">
        <f aca="false">1000000*H125/E125</f>
        <v>17800.1604375272</v>
      </c>
      <c r="J125" s="402" t="n">
        <f aca="false">I125/I124-1</f>
        <v>0.0261166078605961</v>
      </c>
      <c r="K125" s="387" t="n">
        <v>0.0227698401253067</v>
      </c>
      <c r="L125" s="388" t="n">
        <v>0.02412053728691</v>
      </c>
      <c r="M125" s="418" t="n">
        <f aca="false">(TableDE1!D125/TableDE1!D124)/(1+D125)-1</f>
        <v>0</v>
      </c>
      <c r="N125" s="419" t="n">
        <f aca="false">(TableDE1!R125/TableDE1!R124)/(1+B125)-1</f>
        <v>0</v>
      </c>
      <c r="R125" s="387" t="n">
        <f aca="false">1+K125</f>
        <v>1.02276984012531</v>
      </c>
      <c r="S125" s="387" t="n">
        <f aca="false">1+L125</f>
        <v>1.02412053728691</v>
      </c>
      <c r="T125" s="387" t="n">
        <f aca="false">1+C125</f>
        <v>0.997809850674241</v>
      </c>
    </row>
    <row r="126" customFormat="false" ht="12" hidden="false" customHeight="false" outlineLevel="0" collapsed="false">
      <c r="A126" s="416" t="n">
        <v>1986</v>
      </c>
      <c r="B126" s="387" t="n">
        <f aca="false">TableDE1!R126/TableDE1!R125-1</f>
        <v>0.00074715492530375</v>
      </c>
      <c r="C126" s="387" t="n">
        <v>0.000367870685614502</v>
      </c>
      <c r="D126" s="382" t="n">
        <f aca="false">TableDE1!D126/TableDE1!D125-1</f>
        <v>0.0221163433430156</v>
      </c>
      <c r="E126" s="383" t="n">
        <f aca="false">E127/(1+B127)</f>
        <v>76743.8155462508</v>
      </c>
      <c r="F126" s="401" t="n">
        <f aca="false">E126*TableDE1!S126/TableDE1!R126</f>
        <v>59062.0404443946</v>
      </c>
      <c r="G126" s="401" t="n">
        <f aca="false">TableDE3b!E126*TableDE1!T126/TableDE1!R126</f>
        <v>35353.65019661</v>
      </c>
      <c r="H126" s="384" t="n">
        <f aca="false">H127/(1+D127)</f>
        <v>1395.2218625527</v>
      </c>
      <c r="I126" s="385" t="n">
        <f aca="false">1000000*H126/E126</f>
        <v>18180.251432923</v>
      </c>
      <c r="J126" s="402" t="n">
        <f aca="false">I126/I125-1</f>
        <v>0.0213532342435756</v>
      </c>
      <c r="K126" s="387" t="n">
        <v>0.022760739202107</v>
      </c>
      <c r="L126" s="388" t="n">
        <v>0.0217475149564923</v>
      </c>
      <c r="M126" s="418" t="n">
        <f aca="false">(TableDE1!D126/TableDE1!D125)/(1+D126)-1</f>
        <v>0</v>
      </c>
      <c r="N126" s="419" t="n">
        <f aca="false">(TableDE1!R126/TableDE1!R125)/(1+B126)-1</f>
        <v>0</v>
      </c>
      <c r="R126" s="387" t="n">
        <f aca="false">1+K126</f>
        <v>1.02276073920211</v>
      </c>
      <c r="S126" s="387" t="n">
        <f aca="false">1+L126</f>
        <v>1.02174751495649</v>
      </c>
      <c r="T126" s="387" t="n">
        <f aca="false">1+C126</f>
        <v>1.00036787068561</v>
      </c>
    </row>
    <row r="127" customFormat="false" ht="12" hidden="false" customHeight="false" outlineLevel="0" collapsed="false">
      <c r="A127" s="416" t="n">
        <v>1987</v>
      </c>
      <c r="B127" s="387" t="n">
        <f aca="false">TableDE1!R127/TableDE1!R126-1</f>
        <v>0.0017812977610232</v>
      </c>
      <c r="C127" s="387" t="n">
        <v>6.19326234050366E-005</v>
      </c>
      <c r="D127" s="382" t="n">
        <f aca="false">TableDE1!D127/TableDE1!D126-1</f>
        <v>0.0106008077196225</v>
      </c>
      <c r="E127" s="383" t="n">
        <f aca="false">E128/(1+B128)</f>
        <v>76880.5191330557</v>
      </c>
      <c r="F127" s="401" t="n">
        <f aca="false">E127*TableDE1!S127/TableDE1!R127</f>
        <v>59597.7784319448</v>
      </c>
      <c r="G127" s="401" t="n">
        <f aca="false">TableDE3b!E127*TableDE1!T127/TableDE1!R127</f>
        <v>35847.430299221</v>
      </c>
      <c r="H127" s="384" t="n">
        <f aca="false">H128/(1+D128)</f>
        <v>1410.01234124384</v>
      </c>
      <c r="I127" s="385" t="n">
        <f aca="false">1000000*H127/E127</f>
        <v>18340.3072344446</v>
      </c>
      <c r="J127" s="402" t="n">
        <f aca="false">I127/I126-1</f>
        <v>0.00880382771999311</v>
      </c>
      <c r="K127" s="387" t="n">
        <v>0.0146771156393553</v>
      </c>
      <c r="L127" s="388" t="n">
        <v>0.0150209327204927</v>
      </c>
      <c r="M127" s="418" t="n">
        <f aca="false">(TableDE1!D127/TableDE1!D126)/(1+D127)-1</f>
        <v>0</v>
      </c>
      <c r="N127" s="419" t="n">
        <f aca="false">(TableDE1!R127/TableDE1!R126)/(1+B127)-1</f>
        <v>0</v>
      </c>
      <c r="R127" s="387" t="n">
        <f aca="false">1+K127</f>
        <v>1.01467711563936</v>
      </c>
      <c r="S127" s="387" t="n">
        <f aca="false">1+L127</f>
        <v>1.01502093272049</v>
      </c>
      <c r="T127" s="387" t="n">
        <f aca="false">1+C127</f>
        <v>1.00006193262341</v>
      </c>
    </row>
    <row r="128" customFormat="false" ht="12" hidden="false" customHeight="false" outlineLevel="0" collapsed="false">
      <c r="A128" s="416" t="n">
        <v>1988</v>
      </c>
      <c r="B128" s="387" t="n">
        <f aca="false">TableDE1!R128/TableDE1!R127-1</f>
        <v>0.0046956108481111</v>
      </c>
      <c r="C128" s="387" t="n">
        <v>0.00401802417237707</v>
      </c>
      <c r="D128" s="382" t="n">
        <f aca="false">TableDE1!D128/TableDE1!D127-1</f>
        <v>0.04445786087298</v>
      </c>
      <c r="E128" s="383" t="n">
        <f aca="false">E129/(1+B129)</f>
        <v>77241.5201327053</v>
      </c>
      <c r="F128" s="401" t="n">
        <f aca="false">E128*TableDE1!S128/TableDE1!R128</f>
        <v>60310.1789196163</v>
      </c>
      <c r="G128" s="401" t="n">
        <f aca="false">TableDE3b!E128*TableDE1!T128/TableDE1!R128</f>
        <v>36357.5440947936</v>
      </c>
      <c r="H128" s="384" t="n">
        <f aca="false">H129/(1+D129)</f>
        <v>1472.69847374004</v>
      </c>
      <c r="I128" s="385" t="n">
        <f aca="false">1000000*H128/E128</f>
        <v>19066.1508371386</v>
      </c>
      <c r="J128" s="402" t="n">
        <f aca="false">I128/I127-1</f>
        <v>0.0395764145832225</v>
      </c>
      <c r="K128" s="387" t="n">
        <v>0.0309205434028439</v>
      </c>
      <c r="L128" s="388" t="n">
        <v>0.0292166547432124</v>
      </c>
      <c r="M128" s="418" t="n">
        <f aca="false">(TableDE1!D128/TableDE1!D127)/(1+D128)-1</f>
        <v>0</v>
      </c>
      <c r="N128" s="419" t="n">
        <f aca="false">(TableDE1!R128/TableDE1!R127)/(1+B128)-1</f>
        <v>0</v>
      </c>
      <c r="R128" s="387" t="n">
        <f aca="false">1+K128</f>
        <v>1.03092054340284</v>
      </c>
      <c r="S128" s="387" t="n">
        <f aca="false">1+L128</f>
        <v>1.02921665474321</v>
      </c>
      <c r="T128" s="387" t="n">
        <f aca="false">1+C128</f>
        <v>1.00401802417238</v>
      </c>
    </row>
    <row r="129" customFormat="false" ht="12" hidden="false" customHeight="false" outlineLevel="0" collapsed="false">
      <c r="A129" s="436" t="n">
        <v>1989</v>
      </c>
      <c r="B129" s="406" t="n">
        <f aca="false">TableDE1!R129/TableDE1!R128-1</f>
        <v>0.0117195502919152</v>
      </c>
      <c r="C129" s="406" t="n">
        <v>0.00787309363822164</v>
      </c>
      <c r="D129" s="407" t="n">
        <f aca="false">TableDE1!D129/TableDE1!D128-1</f>
        <v>0.0415540287905278</v>
      </c>
      <c r="E129" s="408" t="n">
        <f aca="false">E130/(1+B130)</f>
        <v>78146.7560125245</v>
      </c>
      <c r="F129" s="409" t="n">
        <f aca="false">E129*TableDE1!S129/TableDE1!R129</f>
        <v>61454.6089282493</v>
      </c>
      <c r="G129" s="409" t="n">
        <f aca="false">TableDE3b!E129*TableDE1!T129/TableDE1!R129</f>
        <v>37039.7898854241</v>
      </c>
      <c r="H129" s="410" t="n">
        <f aca="false">H130/(1+D130)</f>
        <v>1533.8950285176</v>
      </c>
      <c r="I129" s="411" t="n">
        <f aca="false">1000000*H129/E129</f>
        <v>19628.3903105557</v>
      </c>
      <c r="J129" s="412" t="n">
        <f aca="false">I129/I128-1</f>
        <v>0.0294888820622321</v>
      </c>
      <c r="K129" s="406" t="n">
        <v>0.0259480607309239</v>
      </c>
      <c r="L129" s="413" t="n">
        <v>0.0246289211231276</v>
      </c>
      <c r="M129" s="437" t="n">
        <f aca="false">(TableDE1!D129/TableDE1!D128)/(1+D129)-1</f>
        <v>0</v>
      </c>
      <c r="N129" s="438" t="n">
        <f aca="false">(TableDE1!R129/TableDE1!R128)/(1+B129)-1</f>
        <v>0</v>
      </c>
      <c r="R129" s="387" t="n">
        <f aca="false">1+K129</f>
        <v>1.02594806073092</v>
      </c>
      <c r="S129" s="387" t="n">
        <f aca="false">1+L129</f>
        <v>1.02462892112313</v>
      </c>
      <c r="T129" s="387" t="n">
        <f aca="false">1+C129</f>
        <v>1.00787309363822</v>
      </c>
    </row>
    <row r="130" customFormat="false" ht="12" hidden="false" customHeight="false" outlineLevel="0" collapsed="false">
      <c r="A130" s="439" t="n">
        <v>1990</v>
      </c>
      <c r="B130" s="387" t="n">
        <f aca="false">TableDE1!R130/TableDE1!R129-1</f>
        <v>0.0161627391155681</v>
      </c>
      <c r="C130" s="387" t="n">
        <v>0.00935190799496577</v>
      </c>
      <c r="D130" s="382" t="n">
        <f aca="false">TableDE1!D130/TableDE1!D129-1</f>
        <v>0.0533433217718748</v>
      </c>
      <c r="E130" s="383" t="n">
        <f aca="false">E131/(1+B131)</f>
        <v>79409.8216426829</v>
      </c>
      <c r="F130" s="401" t="n">
        <f aca="false">E130*TableDE1!S130/TableDE1!R130</f>
        <v>62892.5787410048</v>
      </c>
      <c r="G130" s="401" t="n">
        <f aca="false">TableDE3b!E130*TableDE1!T130/TableDE1!R130</f>
        <v>38207.0207132246</v>
      </c>
      <c r="H130" s="384" t="n">
        <f aca="false">H131/(1+D131)</f>
        <v>1615.71808458809</v>
      </c>
      <c r="I130" s="385" t="n">
        <f aca="false">1000000*H130/E130</f>
        <v>20346.5774278939</v>
      </c>
      <c r="J130" s="402" t="n">
        <f aca="false">I130/I129-1</f>
        <v>0.0365892009469542</v>
      </c>
      <c r="K130" s="387" t="n">
        <v>0.0327264146828659</v>
      </c>
      <c r="L130" s="388" t="n">
        <v>-0.038004063081987</v>
      </c>
      <c r="M130" s="418" t="n">
        <f aca="false">(TableDE1!D130/TableDE1!D129)/(1+D130)-1</f>
        <v>0</v>
      </c>
      <c r="N130" s="419" t="n">
        <f aca="false">(TableDE1!R130/TableDE1!R129)/(1+B130)-1</f>
        <v>0</v>
      </c>
      <c r="R130" s="387" t="n">
        <f aca="false">1+K130</f>
        <v>1.03272641468287</v>
      </c>
      <c r="S130" s="387" t="n">
        <f aca="false">1+L130</f>
        <v>0.961995936918013</v>
      </c>
      <c r="T130" s="387" t="n">
        <f aca="false">1+C130</f>
        <v>1.00935190799497</v>
      </c>
    </row>
    <row r="131" customFormat="false" ht="12" hidden="false" customHeight="false" outlineLevel="0" collapsed="false">
      <c r="A131" s="441" t="n">
        <v>1991</v>
      </c>
      <c r="B131" s="392" t="n">
        <v>0.00760704211168317</v>
      </c>
      <c r="C131" s="387" t="n">
        <v>0.00760704211168317</v>
      </c>
      <c r="D131" s="393" t="n">
        <f aca="false">DataDE1!GE52</f>
        <v>0.0510484273589613</v>
      </c>
      <c r="E131" s="381" t="n">
        <f aca="false">E132/(1+B132)</f>
        <v>80013.8955</v>
      </c>
      <c r="F131" s="394" t="n">
        <f aca="false">E131*TableDE1!S131/TableDE1!R131</f>
        <v>62650.8801765</v>
      </c>
      <c r="G131" s="394" t="n">
        <f aca="false">TableDE3b!E131*TableDE1!T131/TableDE1!R131</f>
        <v>38712</v>
      </c>
      <c r="H131" s="395" t="n">
        <f aca="false">H132/(1+D132)</f>
        <v>1698.19795186175</v>
      </c>
      <c r="I131" s="396" t="n">
        <f aca="false">1000000*H131/E131</f>
        <v>21223.787958952</v>
      </c>
      <c r="J131" s="402" t="n">
        <f aca="false">I131/I130-1</f>
        <v>0.043113419648434</v>
      </c>
      <c r="K131" s="387" t="n">
        <v>0.041451144681808</v>
      </c>
      <c r="L131" s="388" t="n">
        <v>0.0452436066293018</v>
      </c>
      <c r="M131" s="433" t="n">
        <f aca="false">(TableDE1!D131/TableDE1!D130)/(1+D131)-1</f>
        <v>0.0805629816929214</v>
      </c>
      <c r="N131" s="434" t="n">
        <f aca="false">(TableDE1!R131/TableDE1!R130)/(1+B131)-1</f>
        <v>0.256437920129716</v>
      </c>
      <c r="R131" s="387" t="n">
        <f aca="false">1+K131</f>
        <v>1.04145114468181</v>
      </c>
      <c r="S131" s="387" t="n">
        <f aca="false">1+L131</f>
        <v>1.0452436066293</v>
      </c>
      <c r="T131" s="387" t="n">
        <f aca="false">1+C131</f>
        <v>1.00760704211168</v>
      </c>
    </row>
    <row r="132" customFormat="false" ht="12" hidden="false" customHeight="false" outlineLevel="0" collapsed="false">
      <c r="A132" s="416" t="n">
        <v>1992</v>
      </c>
      <c r="B132" s="387" t="n">
        <f aca="false">TableDE1!R132/TableDE1!R131-1</f>
        <v>0.00763245554017544</v>
      </c>
      <c r="C132" s="387" t="n">
        <v>0.00767051070708358</v>
      </c>
      <c r="D132" s="382" t="n">
        <f aca="false">TableDE1!D132/TableDE1!D131-1</f>
        <v>0.0153540218252324</v>
      </c>
      <c r="E132" s="383" t="n">
        <f aca="false">E133/(1+B133)</f>
        <v>80624.598</v>
      </c>
      <c r="F132" s="401" t="n">
        <f aca="false">E132*TableDE1!S132/TableDE1!R132</f>
        <v>63169.372533</v>
      </c>
      <c r="G132" s="401" t="n">
        <f aca="false">TableDE3b!E132*TableDE1!T132/TableDE1!R132</f>
        <v>38183</v>
      </c>
      <c r="H132" s="384" t="n">
        <f aca="false">H133/(1+D133)</f>
        <v>1724.2721202782</v>
      </c>
      <c r="I132" s="385" t="n">
        <f aca="false">1000000*H132/E132</f>
        <v>21386.4275053898</v>
      </c>
      <c r="J132" s="402" t="n">
        <f aca="false">I132/I131-1</f>
        <v>0.00766307818153544</v>
      </c>
      <c r="K132" s="387" t="n">
        <v>0.0145881584588021</v>
      </c>
      <c r="L132" s="388" t="n">
        <v>0.0144771116191198</v>
      </c>
      <c r="M132" s="418" t="n">
        <f aca="false">(TableDE1!D132/TableDE1!D131)/(1+D132)-1</f>
        <v>0</v>
      </c>
      <c r="N132" s="419" t="n">
        <f aca="false">(TableDE1!R132/TableDE1!R131)/(1+B132)-1</f>
        <v>0</v>
      </c>
      <c r="R132" s="387" t="n">
        <f aca="false">1+K132</f>
        <v>1.0145881584588</v>
      </c>
      <c r="S132" s="387" t="n">
        <f aca="false">1+L132</f>
        <v>1.01447711161912</v>
      </c>
      <c r="T132" s="387" t="n">
        <f aca="false">1+C132</f>
        <v>1.00767051070708</v>
      </c>
    </row>
    <row r="133" customFormat="false" ht="12" hidden="false" customHeight="false" outlineLevel="0" collapsed="false">
      <c r="A133" s="416" t="n">
        <v>1993</v>
      </c>
      <c r="B133" s="387" t="n">
        <f aca="false">TableDE1!R133/TableDE1!R132-1</f>
        <v>0.00659556156794716</v>
      </c>
      <c r="C133" s="387" t="n">
        <v>0.00663179688210702</v>
      </c>
      <c r="D133" s="382" t="n">
        <f aca="false">TableDE1!D133/TableDE1!D132-1</f>
        <v>-0.0176366040753381</v>
      </c>
      <c r="E133" s="383" t="n">
        <f aca="false">E134/(1+B134)</f>
        <v>81156.3625</v>
      </c>
      <c r="F133" s="401" t="n">
        <f aca="false">E133*TableDE1!S133/TableDE1!R133</f>
        <v>63626.5882</v>
      </c>
      <c r="G133" s="401" t="n">
        <f aca="false">TableDE3b!E133*TableDE1!T133/TableDE1!R133</f>
        <v>37695</v>
      </c>
      <c r="H133" s="384" t="n">
        <f aca="false">H134/(1+D134)</f>
        <v>1693.86181557471</v>
      </c>
      <c r="I133" s="385" t="n">
        <f aca="false">1000000*H133/E133</f>
        <v>20871.5837353443</v>
      </c>
      <c r="J133" s="402" t="n">
        <f aca="false">I133/I132-1</f>
        <v>-0.0240733881297265</v>
      </c>
      <c r="K133" s="387" t="n">
        <v>-0.0146538000909086</v>
      </c>
      <c r="L133" s="388" t="n">
        <v>-0.0145572593040438</v>
      </c>
      <c r="M133" s="418" t="n">
        <f aca="false">(TableDE1!D133/TableDE1!D132)/(1+D133)-1</f>
        <v>0</v>
      </c>
      <c r="N133" s="419" t="n">
        <f aca="false">(TableDE1!R133/TableDE1!R132)/(1+B133)-1</f>
        <v>0</v>
      </c>
      <c r="R133" s="387" t="n">
        <f aca="false">1+K133</f>
        <v>0.985346199909091</v>
      </c>
      <c r="S133" s="387" t="n">
        <f aca="false">1+L133</f>
        <v>0.985442740695956</v>
      </c>
      <c r="T133" s="387" t="n">
        <f aca="false">1+C133</f>
        <v>1.00663179688211</v>
      </c>
    </row>
    <row r="134" customFormat="false" ht="12" hidden="false" customHeight="false" outlineLevel="0" collapsed="false">
      <c r="A134" s="416" t="n">
        <v>1994</v>
      </c>
      <c r="B134" s="387" t="n">
        <f aca="false">TableDE1!R134/TableDE1!R133-1</f>
        <v>0.00347459510645276</v>
      </c>
      <c r="C134" s="387" t="n">
        <v>0.00347447437438952</v>
      </c>
      <c r="D134" s="382" t="n">
        <f aca="false">TableDE1!D134/TableDE1!D133-1</f>
        <v>0.0178898436800854</v>
      </c>
      <c r="E134" s="383" t="n">
        <f aca="false">E135/(1+B135)</f>
        <v>81438.348</v>
      </c>
      <c r="F134" s="401" t="n">
        <f aca="false">E134*TableDE1!S134/TableDE1!R134</f>
        <v>63888.384006</v>
      </c>
      <c r="G134" s="401" t="n">
        <f aca="false">TableDE3b!E134*TableDE1!T134/TableDE1!R134</f>
        <v>37667</v>
      </c>
      <c r="H134" s="384" t="n">
        <f aca="false">H135/(1+D135)</f>
        <v>1724.164738671</v>
      </c>
      <c r="I134" s="385" t="n">
        <f aca="false">1000000*H134/E134</f>
        <v>21171.4110245827</v>
      </c>
      <c r="J134" s="402" t="n">
        <f aca="false">I134/I133-1</f>
        <v>0.0143653348514552</v>
      </c>
      <c r="K134" s="387" t="n">
        <v>0.0230966901357768</v>
      </c>
      <c r="L134" s="388" t="n">
        <v>0.02301671913496</v>
      </c>
      <c r="M134" s="418" t="n">
        <f aca="false">(TableDE1!D134/TableDE1!D133)/(1+D134)-1</f>
        <v>0</v>
      </c>
      <c r="N134" s="419" t="n">
        <f aca="false">(TableDE1!R134/TableDE1!R133)/(1+B134)-1</f>
        <v>0</v>
      </c>
      <c r="R134" s="387" t="n">
        <f aca="false">1+K134</f>
        <v>1.02309669013578</v>
      </c>
      <c r="S134" s="387" t="n">
        <f aca="false">1+L134</f>
        <v>1.02301671913496</v>
      </c>
      <c r="T134" s="387" t="n">
        <f aca="false">1+C134</f>
        <v>1.00347447437439</v>
      </c>
    </row>
    <row r="135" customFormat="false" ht="12" hidden="false" customHeight="false" outlineLevel="0" collapsed="false">
      <c r="A135" s="416" t="n">
        <v>1995</v>
      </c>
      <c r="B135" s="387" t="n">
        <f aca="false">TableDE1!R135/TableDE1!R134-1</f>
        <v>0.00294336766261516</v>
      </c>
      <c r="C135" s="387" t="n">
        <v>0.0029422153128047</v>
      </c>
      <c r="D135" s="382" t="n">
        <f aca="false">TableDE1!D135/TableDE1!D134-1</f>
        <v>0.0137961782966414</v>
      </c>
      <c r="E135" s="383" t="n">
        <f aca="false">E136/(1+B136)</f>
        <v>81678.051</v>
      </c>
      <c r="F135" s="401" t="n">
        <f aca="false">E135*TableDE1!S135/TableDE1!R135</f>
        <v>64117.270035</v>
      </c>
      <c r="G135" s="401" t="n">
        <f aca="false">TableDE3b!E135*TableDE1!T135/TableDE1!R135</f>
        <v>37802</v>
      </c>
      <c r="H135" s="384" t="n">
        <f aca="false">H136/(1+D136)</f>
        <v>1747.95162281849</v>
      </c>
      <c r="I135" s="385" t="n">
        <f aca="false">1000000*H135/E135</f>
        <v>21400.5060284616</v>
      </c>
      <c r="J135" s="402" t="n">
        <f aca="false">I135/I134-1</f>
        <v>0.01082096056861</v>
      </c>
      <c r="K135" s="387" t="n">
        <v>0.0159639291841569</v>
      </c>
      <c r="L135" s="388" t="n">
        <v>0.0159170976556986</v>
      </c>
      <c r="M135" s="418" t="n">
        <f aca="false">(TableDE1!D135/TableDE1!D134)/(1+D135)-1</f>
        <v>0</v>
      </c>
      <c r="N135" s="419" t="n">
        <f aca="false">(TableDE1!R135/TableDE1!R134)/(1+B135)-1</f>
        <v>0</v>
      </c>
      <c r="R135" s="387" t="n">
        <f aca="false">1+K135</f>
        <v>1.01596392918416</v>
      </c>
      <c r="S135" s="387" t="n">
        <f aca="false">1+L135</f>
        <v>1.0159170976557</v>
      </c>
      <c r="T135" s="387" t="n">
        <f aca="false">1+C135</f>
        <v>1.0029422153128</v>
      </c>
    </row>
    <row r="136" customFormat="false" ht="12" hidden="false" customHeight="false" outlineLevel="0" collapsed="false">
      <c r="A136" s="416" t="n">
        <v>1996</v>
      </c>
      <c r="B136" s="387" t="n">
        <f aca="false">TableDE1!R136/TableDE1!R135-1</f>
        <v>0.00289893670454977</v>
      </c>
      <c r="C136" s="387" t="n">
        <v>0.00290207295194023</v>
      </c>
      <c r="D136" s="382" t="n">
        <f aca="false">TableDE1!D136/TableDE1!D135-1</f>
        <v>0.00911816228328677</v>
      </c>
      <c r="E136" s="383" t="n">
        <f aca="false">E137/(1+B137)</f>
        <v>81914.8305</v>
      </c>
      <c r="F136" s="401" t="n">
        <f aca="false">E136*TableDE1!S136/TableDE1!R136</f>
        <v>64321.2274220071</v>
      </c>
      <c r="G136" s="401" t="n">
        <f aca="false">TableDE3b!E136*TableDE1!T136/TableDE1!R136</f>
        <v>37772</v>
      </c>
      <c r="H136" s="384" t="n">
        <f aca="false">H137/(1+D137)</f>
        <v>1763.88972937868</v>
      </c>
      <c r="I136" s="385" t="n">
        <f aca="false">1000000*H136/E136</f>
        <v>21533.2158854761</v>
      </c>
      <c r="J136" s="402" t="n">
        <f aca="false">I136/I135-1</f>
        <v>0.00620124855169646</v>
      </c>
      <c r="K136" s="387" t="n">
        <v>0.00703828490094249</v>
      </c>
      <c r="L136" s="388" t="n">
        <v>0.00701791838980448</v>
      </c>
      <c r="M136" s="418" t="n">
        <f aca="false">(TableDE1!D136/TableDE1!D135)/(1+D136)-1</f>
        <v>0</v>
      </c>
      <c r="N136" s="419" t="n">
        <f aca="false">(TableDE1!R136/TableDE1!R135)/(1+B136)-1</f>
        <v>0</v>
      </c>
      <c r="R136" s="387" t="n">
        <f aca="false">1+K136</f>
        <v>1.00703828490094</v>
      </c>
      <c r="S136" s="387" t="n">
        <f aca="false">1+L136</f>
        <v>1.0070179183898</v>
      </c>
      <c r="T136" s="387" t="n">
        <f aca="false">1+C136</f>
        <v>1.00290207295194</v>
      </c>
    </row>
    <row r="137" customFormat="false" ht="12" hidden="false" customHeight="false" outlineLevel="0" collapsed="false">
      <c r="A137" s="416" t="n">
        <v>1997</v>
      </c>
      <c r="B137" s="387" t="n">
        <f aca="false">TableDE1!R137/TableDE1!R136-1</f>
        <v>0.00146420372560008</v>
      </c>
      <c r="C137" s="387" t="n">
        <v>0.00147032628272537</v>
      </c>
      <c r="D137" s="382" t="n">
        <f aca="false">TableDE1!D137/TableDE1!D136-1</f>
        <v>0.0144687426533505</v>
      </c>
      <c r="E137" s="383" t="n">
        <f aca="false">E138/(1+B138)</f>
        <v>82034.7705</v>
      </c>
      <c r="F137" s="401" t="n">
        <f aca="false">E137*TableDE1!S137/TableDE1!R137</f>
        <v>64433.5187631671</v>
      </c>
      <c r="G137" s="401" t="n">
        <f aca="false">TableDE3b!E137*TableDE1!T137/TableDE1!R137</f>
        <v>37716</v>
      </c>
      <c r="H137" s="384" t="n">
        <f aca="false">H138/(1+D138)</f>
        <v>1789.41099594195</v>
      </c>
      <c r="I137" s="385" t="n">
        <f aca="false">1000000*H137/E137</f>
        <v>21812.836008872</v>
      </c>
      <c r="J137" s="402" t="n">
        <f aca="false">I137/I136-1</f>
        <v>0.012985525472974</v>
      </c>
      <c r="K137" s="387" t="n">
        <v>0.0165742931398467</v>
      </c>
      <c r="L137" s="388" t="n">
        <v>0.0165499857726243</v>
      </c>
      <c r="M137" s="418" t="n">
        <f aca="false">(TableDE1!D137/TableDE1!D136)/(1+D137)-1</f>
        <v>0</v>
      </c>
      <c r="N137" s="419" t="n">
        <f aca="false">(TableDE1!R137/TableDE1!R136)/(1+B137)-1</f>
        <v>0</v>
      </c>
      <c r="R137" s="387" t="n">
        <f aca="false">1+K137</f>
        <v>1.01657429313985</v>
      </c>
      <c r="S137" s="387" t="n">
        <f aca="false">1+L137</f>
        <v>1.01654998577262</v>
      </c>
      <c r="T137" s="387" t="n">
        <f aca="false">1+C137</f>
        <v>1.00147032628273</v>
      </c>
    </row>
    <row r="138" customFormat="false" ht="12" hidden="false" customHeight="false" outlineLevel="0" collapsed="false">
      <c r="A138" s="416" t="n">
        <v>1998</v>
      </c>
      <c r="B138" s="387" t="n">
        <f aca="false">TableDE1!R138/TableDE1!R137-1</f>
        <v>0.00015145407153927</v>
      </c>
      <c r="C138" s="387" t="n">
        <v>0.00015362559638743</v>
      </c>
      <c r="D138" s="382" t="n">
        <f aca="false">TableDE1!D138/TableDE1!D137-1</f>
        <v>0.0151711276532507</v>
      </c>
      <c r="E138" s="383" t="n">
        <f aca="false">E139/(1+B139)</f>
        <v>82047.195</v>
      </c>
      <c r="F138" s="401" t="n">
        <f aca="false">E138*TableDE1!S138/TableDE1!R138</f>
        <v>64461.3921853911</v>
      </c>
      <c r="G138" s="401" t="n">
        <f aca="false">TableDE3b!E138*TableDE1!T138/TableDE1!R138</f>
        <v>38148</v>
      </c>
      <c r="H138" s="384" t="n">
        <f aca="false">H139/(1+D139)</f>
        <v>1816.55837858552</v>
      </c>
      <c r="I138" s="385" t="n">
        <f aca="false">1000000*H138/E138</f>
        <v>22140.4080734938</v>
      </c>
      <c r="J138" s="402" t="n">
        <f aca="false">I138/I137-1</f>
        <v>0.0150173991354685</v>
      </c>
      <c r="K138" s="387" t="n">
        <v>0.0201493070494392</v>
      </c>
      <c r="L138" s="388" t="n">
        <v>0.0180904686467309</v>
      </c>
      <c r="M138" s="418" t="n">
        <f aca="false">(TableDE1!D138/TableDE1!D137)/(1+D138)-1</f>
        <v>0</v>
      </c>
      <c r="N138" s="419" t="n">
        <f aca="false">(TableDE1!R138/TableDE1!R137)/(1+B138)-1</f>
        <v>0</v>
      </c>
      <c r="R138" s="387" t="n">
        <f aca="false">1+K138</f>
        <v>1.02014930704944</v>
      </c>
      <c r="S138" s="387" t="n">
        <f aca="false">1+L138</f>
        <v>1.01809046864673</v>
      </c>
      <c r="T138" s="387" t="n">
        <f aca="false">1+C138</f>
        <v>1.00015362559639</v>
      </c>
    </row>
    <row r="139" customFormat="false" ht="12" hidden="false" customHeight="false" outlineLevel="0" collapsed="false">
      <c r="A139" s="445" t="n">
        <f aca="false">A138+1</f>
        <v>1999</v>
      </c>
      <c r="B139" s="406" t="n">
        <f aca="false">TableDE1!R139/TableDE1!R138-1</f>
        <v>0.000646554705495905</v>
      </c>
      <c r="C139" s="406" t="n">
        <v>0.000623064034489973</v>
      </c>
      <c r="D139" s="407" t="n">
        <f aca="false">TableDE1!D139/TableDE1!D138-1</f>
        <v>0.0171786344074958</v>
      </c>
      <c r="E139" s="408" t="n">
        <f aca="false">E140/(1+B140)</f>
        <v>82100.243</v>
      </c>
      <c r="F139" s="409" t="n">
        <f aca="false">E139*TableDE1!S139/TableDE1!R139</f>
        <v>64583.6149640154</v>
      </c>
      <c r="G139" s="409" t="n">
        <f aca="false">TableDE3b!E139*TableDE1!T139/TableDE1!R139</f>
        <v>38721</v>
      </c>
      <c r="H139" s="410" t="n">
        <f aca="false">H140/(1+D140)</f>
        <v>1847.76437085111</v>
      </c>
      <c r="I139" s="411" t="n">
        <f aca="false">1000000*H139/E139</f>
        <v>22506.1985608388</v>
      </c>
      <c r="J139" s="412" t="n">
        <f aca="false">I139/I138-1</f>
        <v>0.0165213977145662</v>
      </c>
      <c r="K139" s="406" t="n">
        <v>0.0194864327016651</v>
      </c>
      <c r="L139" s="413" t="n">
        <v>0.0194777974571156</v>
      </c>
      <c r="M139" s="437" t="n">
        <f aca="false">(TableDE1!D139/TableDE1!D138)/(1+D139)-1</f>
        <v>0</v>
      </c>
      <c r="N139" s="438" t="n">
        <f aca="false">(TableDE1!R139/TableDE1!R138)/(1+B139)-1</f>
        <v>0</v>
      </c>
      <c r="R139" s="387" t="n">
        <f aca="false">1+K139</f>
        <v>1.01948643270167</v>
      </c>
      <c r="S139" s="387" t="n">
        <f aca="false">1+L139</f>
        <v>1.01947779745712</v>
      </c>
      <c r="T139" s="387" t="n">
        <f aca="false">1+C139</f>
        <v>1.00062306403449</v>
      </c>
    </row>
    <row r="140" customFormat="false" ht="12" hidden="false" customHeight="false" outlineLevel="0" collapsed="false">
      <c r="A140" s="446" t="n">
        <f aca="false">A139+1</f>
        <v>2000</v>
      </c>
      <c r="B140" s="387" t="n">
        <f aca="false">TableDE1!R140/TableDE1!R139-1</f>
        <v>0.00135516651272272</v>
      </c>
      <c r="C140" s="387" t="n">
        <v>0.00137838935123269</v>
      </c>
      <c r="D140" s="382" t="n">
        <f aca="false">TableDE1!D140/TableDE1!D139-1</f>
        <v>0.0291232650813749</v>
      </c>
      <c r="E140" s="383" t="n">
        <f aca="false">E141/(1+B141)</f>
        <v>82211.5025</v>
      </c>
      <c r="F140" s="401" t="n">
        <f aca="false">E140*TableDE1!S140/TableDE1!R140</f>
        <v>64864.8754725</v>
      </c>
      <c r="G140" s="401" t="n">
        <f aca="false">TableDE3b!E140*TableDE1!T140/TableDE1!R140</f>
        <v>39382</v>
      </c>
      <c r="H140" s="384" t="n">
        <f aca="false">H141/(1+D141)</f>
        <v>1901.57730243133</v>
      </c>
      <c r="I140" s="385" t="n">
        <f aca="false">1000000*H140/E140</f>
        <v>23130.3071298488</v>
      </c>
      <c r="J140" s="402" t="n">
        <f aca="false">I140/I139-1</f>
        <v>0.0277305190977903</v>
      </c>
      <c r="K140" s="387" t="n">
        <v>0.0307198664027151</v>
      </c>
      <c r="L140" s="388" t="n">
        <v>0.0306567690366015</v>
      </c>
      <c r="M140" s="418" t="n">
        <f aca="false">(TableDE1!D140/TableDE1!D139)/(1+D140)-1</f>
        <v>0</v>
      </c>
      <c r="N140" s="419" t="n">
        <f aca="false">(TableDE1!R140/TableDE1!R139)/(1+B140)-1</f>
        <v>0</v>
      </c>
      <c r="R140" s="387" t="n">
        <f aca="false">1+K140</f>
        <v>1.03071986640272</v>
      </c>
      <c r="S140" s="387" t="n">
        <f aca="false">1+L140</f>
        <v>1.0306567690366</v>
      </c>
      <c r="T140" s="387" t="n">
        <f aca="false">1+C140</f>
        <v>1.00137838935123</v>
      </c>
    </row>
    <row r="141" customFormat="false" ht="12" hidden="false" customHeight="false" outlineLevel="0" collapsed="false">
      <c r="A141" s="446" t="n">
        <f aca="false">A140+1</f>
        <v>2001</v>
      </c>
      <c r="B141" s="387" t="n">
        <f aca="false">TableDE1!R141/TableDE1!R140-1</f>
        <v>0.00168361477154622</v>
      </c>
      <c r="C141" s="387" t="n">
        <v>0.00112719743241074</v>
      </c>
      <c r="D141" s="382" t="n">
        <f aca="false">TableDE1!D141/TableDE1!D140-1</f>
        <v>0.0134985763985209</v>
      </c>
      <c r="E141" s="383" t="n">
        <f aca="false">E142/(1+B142)</f>
        <v>82349.915</v>
      </c>
      <c r="F141" s="401" t="n">
        <f aca="false">E141*TableDE1!S141/TableDE1!R141</f>
        <v>65138.782765</v>
      </c>
      <c r="G141" s="401" t="n">
        <f aca="false">TableDE3b!E141*TableDE1!T141/TableDE1!R141</f>
        <v>39485</v>
      </c>
      <c r="H141" s="384" t="n">
        <f aca="false">H142/(1+D142)</f>
        <v>1927.24588892589</v>
      </c>
      <c r="I141" s="385" t="n">
        <f aca="false">1000000*H141/E141</f>
        <v>23403.1314898855</v>
      </c>
      <c r="J141" s="402" t="n">
        <f aca="false">I141/I140-1</f>
        <v>0.0117951032169668</v>
      </c>
      <c r="K141" s="387" t="n">
        <v>0.0112728025675892</v>
      </c>
      <c r="L141" s="388" t="n">
        <v>0.0112531124975792</v>
      </c>
      <c r="M141" s="418" t="n">
        <f aca="false">(TableDE1!D141/TableDE1!D140)/(1+D141)-1</f>
        <v>0</v>
      </c>
      <c r="N141" s="419" t="n">
        <f aca="false">(TableDE1!R141/TableDE1!R140)/(1+B141)-1</f>
        <v>0</v>
      </c>
      <c r="R141" s="387" t="n">
        <f aca="false">1+K141</f>
        <v>1.01127280256759</v>
      </c>
      <c r="S141" s="387" t="n">
        <f aca="false">1+L141</f>
        <v>1.01125311249758</v>
      </c>
      <c r="T141" s="387" t="n">
        <f aca="false">1+C141</f>
        <v>1.00112719743241</v>
      </c>
    </row>
    <row r="142" customFormat="false" ht="12" hidden="false" customHeight="false" outlineLevel="0" collapsed="false">
      <c r="A142" s="446" t="n">
        <f aca="false">A141+1</f>
        <v>2002</v>
      </c>
      <c r="B142" s="387" t="n">
        <f aca="false">TableDE1!R142/TableDE1!R141-1</f>
        <v>0.00168275826392761</v>
      </c>
      <c r="C142" s="387" t="n">
        <v>0.000852206252240473</v>
      </c>
      <c r="D142" s="382" t="n">
        <f aca="false">TableDE1!D142/TableDE1!D141-1</f>
        <v>-0.00299380470894706</v>
      </c>
      <c r="E142" s="383" t="n">
        <f aca="false">E143/(1+B143)</f>
        <v>82488.49</v>
      </c>
      <c r="F142" s="401" t="n">
        <f aca="false">E142*TableDE1!S142/TableDE1!R142</f>
        <v>65413.37257</v>
      </c>
      <c r="G142" s="401" t="n">
        <f aca="false">TableDE3b!E142*TableDE1!T142/TableDE1!R142</f>
        <v>39257</v>
      </c>
      <c r="H142" s="384" t="n">
        <f aca="false">H143/(1+D143)</f>
        <v>1921.47609110833</v>
      </c>
      <c r="I142" s="385" t="n">
        <f aca="false">1000000*H142/E142</f>
        <v>23293.8691338431</v>
      </c>
      <c r="J142" s="402" t="n">
        <f aca="false">I142/I141-1</f>
        <v>-0.00466870666814701</v>
      </c>
      <c r="K142" s="387" t="n">
        <v>-0.000852206252240584</v>
      </c>
      <c r="L142" s="388" t="n">
        <v>-0.000851480615136846</v>
      </c>
      <c r="M142" s="418" t="n">
        <f aca="false">(TableDE1!D142/TableDE1!D141)/(1+D142)-1</f>
        <v>0</v>
      </c>
      <c r="N142" s="419" t="n">
        <f aca="false">(TableDE1!R142/TableDE1!R141)/(1+B142)-1</f>
        <v>0</v>
      </c>
      <c r="R142" s="387" t="n">
        <f aca="false">1+K142</f>
        <v>0.999147793747759</v>
      </c>
      <c r="S142" s="387" t="n">
        <f aca="false">1+L142</f>
        <v>0.999148519384863</v>
      </c>
      <c r="T142" s="387" t="n">
        <f aca="false">1+C142</f>
        <v>1.00085220625224</v>
      </c>
    </row>
    <row r="143" customFormat="false" ht="12" hidden="false" customHeight="false" outlineLevel="0" collapsed="false">
      <c r="A143" s="446" t="n">
        <f aca="false">A142+1</f>
        <v>2003</v>
      </c>
      <c r="B143" s="387" t="n">
        <f aca="false">TableDE1!R143/TableDE1!R142-1</f>
        <v>0.000553840905561653</v>
      </c>
      <c r="C143" s="387" t="n">
        <v>0.000578683809388636</v>
      </c>
      <c r="D143" s="382" t="n">
        <f aca="false">TableDE1!D143/TableDE1!D142-1</f>
        <v>0.00247908523656948</v>
      </c>
      <c r="E143" s="383" t="n">
        <f aca="false">E144/(1+B144)</f>
        <v>82534.1755</v>
      </c>
      <c r="F143" s="401" t="n">
        <f aca="false">E143*TableDE1!S143/TableDE1!R143</f>
        <v>65614.6695225</v>
      </c>
      <c r="G143" s="401" t="n">
        <f aca="false">TableDE3b!E143*TableDE1!T143/TableDE1!R143</f>
        <v>38918</v>
      </c>
      <c r="H143" s="384" t="n">
        <f aca="false">H144/(1+D144)</f>
        <v>1926.23959411821</v>
      </c>
      <c r="I143" s="385" t="n">
        <f aca="false">1000000*H143/E143</f>
        <v>23338.6906993239</v>
      </c>
      <c r="J143" s="402" t="n">
        <f aca="false">I143/I142-1</f>
        <v>0.00192417864216621</v>
      </c>
      <c r="K143" s="387" t="n">
        <v>-0.00245541237517288</v>
      </c>
      <c r="L143" s="388" t="n">
        <v>-0.00275888516733247</v>
      </c>
      <c r="M143" s="418" t="n">
        <f aca="false">(TableDE1!D143/TableDE1!D142)/(1+D143)-1</f>
        <v>0</v>
      </c>
      <c r="N143" s="419" t="n">
        <f aca="false">(TableDE1!R143/TableDE1!R142)/(1+B143)-1</f>
        <v>0</v>
      </c>
      <c r="R143" s="387" t="n">
        <f aca="false">1+K143</f>
        <v>0.997544587624827</v>
      </c>
      <c r="S143" s="387" t="n">
        <f aca="false">1+L143</f>
        <v>0.997241114832668</v>
      </c>
      <c r="T143" s="387" t="n">
        <f aca="false">1+C143</f>
        <v>1.00057868380939</v>
      </c>
    </row>
    <row r="144" customFormat="false" ht="12" hidden="false" customHeight="false" outlineLevel="0" collapsed="false">
      <c r="A144" s="446" t="n">
        <f aca="false">A143+1</f>
        <v>2004</v>
      </c>
      <c r="B144" s="387" t="n">
        <f aca="false">TableDE1!R144/TableDE1!R143-1</f>
        <v>-0.000217067655809866</v>
      </c>
      <c r="C144" s="387" t="n">
        <v>0.000318974926747817</v>
      </c>
      <c r="D144" s="382" t="n">
        <f aca="false">TableDE1!D144/TableDE1!D143-1</f>
        <v>0.0331425036814659</v>
      </c>
      <c r="E144" s="383" t="n">
        <f aca="false">E145/(1+B145)</f>
        <v>82516.26</v>
      </c>
      <c r="F144" s="401" t="n">
        <f aca="false">E144*TableDE1!S144/TableDE1!R144</f>
        <v>65765.45922</v>
      </c>
      <c r="G144" s="401" t="n">
        <f aca="false">TableDE3b!E144*TableDE1!T144/TableDE1!R144</f>
        <v>39034</v>
      </c>
      <c r="H144" s="384" t="n">
        <f aca="false">H145/(1+D145)</f>
        <v>1990.07999695766</v>
      </c>
      <c r="I144" s="385" t="n">
        <f aca="false">1000000*H144/E144</f>
        <v>24117.4284554058</v>
      </c>
      <c r="J144" s="402" t="n">
        <f aca="false">I144/I143-1</f>
        <v>0.0333668141934147</v>
      </c>
      <c r="K144" s="387" t="n">
        <v>0.0121500997887396</v>
      </c>
      <c r="L144" s="388" t="n">
        <v>0.0102736086383015</v>
      </c>
      <c r="M144" s="418" t="n">
        <f aca="false">(TableDE1!D144/TableDE1!D143)/(1+D144)-1</f>
        <v>0</v>
      </c>
      <c r="N144" s="419" t="n">
        <f aca="false">(TableDE1!R144/TableDE1!R143)/(1+B144)-1</f>
        <v>0</v>
      </c>
      <c r="R144" s="387" t="n">
        <f aca="false">1+K144</f>
        <v>1.01215009978874</v>
      </c>
      <c r="S144" s="387" t="n">
        <f aca="false">1+L144</f>
        <v>1.0102736086383</v>
      </c>
      <c r="T144" s="387" t="n">
        <f aca="false">1+C144</f>
        <v>1.00031897492675</v>
      </c>
    </row>
    <row r="145" customFormat="false" ht="12" hidden="false" customHeight="false" outlineLevel="0" collapsed="false">
      <c r="A145" s="446" t="n">
        <f aca="false">A144+1</f>
        <v>2005</v>
      </c>
      <c r="B145" s="387" t="n">
        <f aca="false">TableDE1!R145/TableDE1!R144-1</f>
        <v>-0.000567621460303869</v>
      </c>
      <c r="C145" s="387" t="n">
        <v>8.22691194082292E-005</v>
      </c>
      <c r="D145" s="382" t="n">
        <f aca="false">TableDE1!D145/TableDE1!D144-1</f>
        <v>0.00964444765428429</v>
      </c>
      <c r="E145" s="383" t="n">
        <f aca="false">E146/(1+B146)</f>
        <v>82469.422</v>
      </c>
      <c r="F145" s="401" t="n">
        <f aca="false">E145*TableDE1!S145/TableDE1!R145</f>
        <v>65975.5376</v>
      </c>
      <c r="G145" s="401" t="n">
        <f aca="false">TableDE3b!E145*TableDE1!T145/TableDE1!R145</f>
        <v>38976</v>
      </c>
      <c r="H145" s="384" t="n">
        <f aca="false">H146/(1+D146)</f>
        <v>2009.27321931616</v>
      </c>
      <c r="I145" s="385" t="n">
        <f aca="false">1000000*H145/E145</f>
        <v>24363.857179891</v>
      </c>
      <c r="J145" s="402" t="n">
        <f aca="false">I145/I144-1</f>
        <v>0.0102178689963091</v>
      </c>
      <c r="K145" s="387" t="n">
        <v>0.00902220081526584</v>
      </c>
      <c r="L145" s="388" t="n">
        <v>0.00691707185089707</v>
      </c>
      <c r="M145" s="418" t="n">
        <f aca="false">(TableDE1!D145/TableDE1!D144)/(1+D145)-1</f>
        <v>0</v>
      </c>
      <c r="N145" s="419" t="n">
        <f aca="false">(TableDE1!R145/TableDE1!R144)/(1+B145)-1</f>
        <v>0</v>
      </c>
      <c r="R145" s="387" t="n">
        <f aca="false">1+K145</f>
        <v>1.00902220081527</v>
      </c>
      <c r="S145" s="387" t="n">
        <f aca="false">1+L145</f>
        <v>1.0069170718509</v>
      </c>
      <c r="T145" s="387" t="n">
        <f aca="false">1+C145</f>
        <v>1.00008226911941</v>
      </c>
    </row>
    <row r="146" customFormat="false" ht="12" hidden="false" customHeight="false" outlineLevel="0" collapsed="false">
      <c r="A146" s="446" t="n">
        <f aca="false">A145+1</f>
        <v>2006</v>
      </c>
      <c r="B146" s="387" t="n">
        <f aca="false">TableDE1!R146/TableDE1!R145-1</f>
        <v>-0.0011273451146534</v>
      </c>
      <c r="C146" s="387" t="n">
        <v>-0.000110285656956699</v>
      </c>
      <c r="D146" s="382" t="n">
        <f aca="false">TableDE1!D146/TableDE1!D145-1</f>
        <v>0.0506188902907654</v>
      </c>
      <c r="E146" s="383" t="n">
        <f aca="false">E147/(1+B147)</f>
        <v>82376.4505</v>
      </c>
      <c r="F146" s="401" t="n">
        <f aca="false">E146*TableDE1!S146/TableDE1!R146</f>
        <v>66160.6054347045</v>
      </c>
      <c r="G146" s="401" t="n">
        <f aca="false">TableDE3b!E146*TableDE1!T146/TableDE1!R146</f>
        <v>39192</v>
      </c>
      <c r="H146" s="384" t="n">
        <f aca="false">H147/(1+D147)</f>
        <v>2110.9803999689</v>
      </c>
      <c r="I146" s="385" t="n">
        <f aca="false">1000000*H146/E146</f>
        <v>25626.0179596946</v>
      </c>
      <c r="J146" s="402" t="n">
        <f aca="false">I146/I145-1</f>
        <v>0.0518046371099812</v>
      </c>
      <c r="K146" s="387" t="n">
        <v>0.0277889481098059</v>
      </c>
      <c r="L146" s="388" t="n">
        <v>0.0321142022581331</v>
      </c>
      <c r="M146" s="418" t="n">
        <f aca="false">(TableDE1!D146/TableDE1!D145)/(1+D146)-1</f>
        <v>0</v>
      </c>
      <c r="N146" s="419" t="n">
        <f aca="false">(TableDE1!R146/TableDE1!R145)/(1+B146)-1</f>
        <v>0</v>
      </c>
      <c r="R146" s="387" t="n">
        <f aca="false">1+K146</f>
        <v>1.02778894810981</v>
      </c>
      <c r="S146" s="387" t="n">
        <f aca="false">1+L146</f>
        <v>1.03211420225813</v>
      </c>
      <c r="T146" s="387" t="n">
        <f aca="false">1+C146</f>
        <v>0.999889714343043</v>
      </c>
    </row>
    <row r="147" customFormat="false" ht="12" hidden="false" customHeight="false" outlineLevel="0" collapsed="false">
      <c r="A147" s="446" t="n">
        <f aca="false">A146+1</f>
        <v>2007</v>
      </c>
      <c r="B147" s="387" t="n">
        <f aca="false">TableDE1!R147/TableDE1!R146-1</f>
        <v>-0.00133629209964559</v>
      </c>
      <c r="C147" s="387" t="n">
        <v>-0.000258461608793503</v>
      </c>
      <c r="D147" s="382" t="n">
        <f aca="false">TableDE1!D147/TableDE1!D146-1</f>
        <v>0.0290457361698271</v>
      </c>
      <c r="E147" s="383" t="n">
        <f aca="false">E148/(1+B148)</f>
        <v>82266.3715</v>
      </c>
      <c r="F147" s="401" t="n">
        <f aca="false">E147*TableDE1!S147/TableDE1!R147</f>
        <v>66306.695429</v>
      </c>
      <c r="G147" s="401" t="n">
        <f aca="false">TableDE3b!E147*TableDE1!T147/TableDE1!R147</f>
        <v>39857</v>
      </c>
      <c r="H147" s="384" t="n">
        <f aca="false">H148/(1+D148)</f>
        <v>2172.29537972607</v>
      </c>
      <c r="I147" s="385" t="n">
        <f aca="false">1000000*H147/E147</f>
        <v>26405.6301513927</v>
      </c>
      <c r="J147" s="402" t="n">
        <f aca="false">I147/I146-1</f>
        <v>0.0304226818588909</v>
      </c>
      <c r="K147" s="387" t="n">
        <v>0.0259750976602717</v>
      </c>
      <c r="L147" s="388" t="n">
        <v>0.0252644769141288</v>
      </c>
      <c r="M147" s="418" t="n">
        <f aca="false">(TableDE1!D147/TableDE1!D146)/(1+D147)-1</f>
        <v>0</v>
      </c>
      <c r="N147" s="419" t="n">
        <f aca="false">(TableDE1!R147/TableDE1!R146)/(1+B147)-1</f>
        <v>0</v>
      </c>
      <c r="R147" s="387" t="n">
        <f aca="false">1+K147</f>
        <v>1.02597509766027</v>
      </c>
      <c r="S147" s="387" t="n">
        <f aca="false">1+L147</f>
        <v>1.02526447691413</v>
      </c>
      <c r="T147" s="387" t="n">
        <f aca="false">1+C147</f>
        <v>0.999741538391207</v>
      </c>
    </row>
    <row r="148" customFormat="false" ht="12" hidden="false" customHeight="false" outlineLevel="0" collapsed="false">
      <c r="A148" s="446" t="n">
        <f aca="false">A147+1</f>
        <v>2008</v>
      </c>
      <c r="B148" s="387" t="n">
        <f aca="false">TableDE1!R148/TableDE1!R147-1</f>
        <v>-0.00189962188863535</v>
      </c>
      <c r="C148" s="387" t="n">
        <v>-0.000381645872338798</v>
      </c>
      <c r="D148" s="382" t="n">
        <f aca="false">TableDE1!D148/TableDE1!D147-1</f>
        <v>0.00235272354284577</v>
      </c>
      <c r="E148" s="383" t="n">
        <f aca="false">E149/(1+B149)</f>
        <v>82110.0965</v>
      </c>
      <c r="F148" s="401" t="n">
        <f aca="false">E148*TableDE1!S148/TableDE1!R148</f>
        <v>66470.8394990423</v>
      </c>
      <c r="G148" s="401" t="n">
        <f aca="false">TableDE3b!E148*TableDE1!T148/TableDE1!R148</f>
        <v>40345</v>
      </c>
      <c r="H148" s="384" t="n">
        <f aca="false">H149/(1+D149)</f>
        <v>2177.40619020797</v>
      </c>
      <c r="I148" s="385" t="n">
        <f aca="false">1000000*H148/E148</f>
        <v>26518.129718773</v>
      </c>
      <c r="J148" s="402" t="n">
        <f aca="false">I148/I147-1</f>
        <v>0.00426043865400372</v>
      </c>
      <c r="K148" s="387" t="n">
        <v>0.0146240620083515</v>
      </c>
      <c r="L148" s="388" t="n">
        <v>0.0123863399922119</v>
      </c>
      <c r="M148" s="418" t="n">
        <f aca="false">(TableDE1!D148/TableDE1!D147)/(1+D148)-1</f>
        <v>0</v>
      </c>
      <c r="N148" s="419" t="n">
        <f aca="false">(TableDE1!R148/TableDE1!R147)/(1+B148)-1</f>
        <v>0</v>
      </c>
      <c r="R148" s="387" t="n">
        <f aca="false">1+K148</f>
        <v>1.01462406200835</v>
      </c>
      <c r="S148" s="387" t="n">
        <f aca="false">1+L148</f>
        <v>1.01238633999221</v>
      </c>
      <c r="T148" s="387" t="n">
        <f aca="false">1+C148</f>
        <v>0.999618354127661</v>
      </c>
    </row>
    <row r="149" customFormat="false" ht="12" hidden="false" customHeight="false" outlineLevel="0" collapsed="false">
      <c r="A149" s="445" t="n">
        <f aca="false">A148+1</f>
        <v>2009</v>
      </c>
      <c r="B149" s="406" t="n">
        <f aca="false">TableDE1!R149/TableDE1!R148-1</f>
        <v>-0.00253036482547542</v>
      </c>
      <c r="C149" s="406" t="n">
        <v>-0.000480128894236431</v>
      </c>
      <c r="D149" s="407" t="n">
        <f aca="false">TableDE1!D149/TableDE1!D148-1</f>
        <v>-0.0522739651433245</v>
      </c>
      <c r="E149" s="408" t="n">
        <f aca="false">E150/(1+B150)</f>
        <v>81902.328</v>
      </c>
      <c r="F149" s="409" t="n">
        <f aca="false">E149*TableDE1!S149/TableDE1!R149</f>
        <v>66504.690336</v>
      </c>
      <c r="G149" s="409" t="n">
        <f aca="false">TableDE3b!E149*TableDE1!T149/TableDE1!R149</f>
        <v>40362</v>
      </c>
      <c r="H149" s="410" t="n">
        <f aca="false">H150/(1+D150)</f>
        <v>2063.58453491818</v>
      </c>
      <c r="I149" s="411" t="n">
        <f aca="false">1000000*H149/E149</f>
        <v>25195.6761829551</v>
      </c>
      <c r="J149" s="412" t="n">
        <f aca="false">I149/I148-1</f>
        <v>-0.049869789077986</v>
      </c>
      <c r="K149" s="406" t="n">
        <f aca="false">J149</f>
        <v>-0.049869789077986</v>
      </c>
      <c r="L149" s="413" t="n">
        <f aca="false">J149</f>
        <v>-0.049869789077986</v>
      </c>
      <c r="M149" s="437" t="n">
        <f aca="false">(TableDE1!D149/TableDE1!D148)/(1+D149)-1</f>
        <v>0</v>
      </c>
      <c r="N149" s="438" t="n">
        <f aca="false">(TableDE1!R149/TableDE1!R148)/(1+B149)-1</f>
        <v>0</v>
      </c>
      <c r="R149" s="387" t="n">
        <f aca="false">1+K149</f>
        <v>0.950130210922014</v>
      </c>
      <c r="S149" s="387" t="n">
        <f aca="false">1+L149</f>
        <v>0.950130210922014</v>
      </c>
      <c r="T149" s="387" t="n">
        <f aca="false">1+C149</f>
        <v>0.999519871105764</v>
      </c>
    </row>
    <row r="150" customFormat="false" ht="12" hidden="false" customHeight="false" outlineLevel="0" collapsed="false">
      <c r="A150" s="447" t="n">
        <f aca="false">A149+1</f>
        <v>2010</v>
      </c>
      <c r="B150" s="387" t="n">
        <f aca="false">TableDE1!R150/TableDE1!R149-1</f>
        <v>-0.00153081118768694</v>
      </c>
      <c r="C150" s="387" t="n">
        <f aca="false">B150</f>
        <v>-0.00153081118768694</v>
      </c>
      <c r="D150" s="382" t="n">
        <f aca="false">TableDE1!D150/TableDE1!D149-1</f>
        <v>0.0399670881838112</v>
      </c>
      <c r="E150" s="383" t="n">
        <f aca="false">E151/(1+B151)</f>
        <v>81776.951</v>
      </c>
      <c r="F150" s="401" t="n">
        <f aca="false">E150*TableDE1!S150/TableDE1!R150</f>
        <v>66690.6795980421</v>
      </c>
      <c r="G150" s="401" t="n">
        <f aca="false">TableDE3b!E150*TableDE1!T150/TableDE1!R150</f>
        <v>40553</v>
      </c>
      <c r="H150" s="384" t="n">
        <f aca="false">H151/(1+D151)</f>
        <v>2146.06</v>
      </c>
      <c r="I150" s="385" t="n">
        <f aca="false">1000000*H150/E150</f>
        <v>26242.8468383469</v>
      </c>
      <c r="J150" s="402" t="n">
        <f aca="false">I150/I149-1</f>
        <v>0.0415615222146819</v>
      </c>
      <c r="K150" s="448" t="n">
        <f aca="false">J150</f>
        <v>0.0415615222146819</v>
      </c>
      <c r="L150" s="388" t="n">
        <f aca="false">J150</f>
        <v>0.0415615222146819</v>
      </c>
      <c r="M150" s="418" t="n">
        <f aca="false">(TableDE1!D150/TableDE1!D149)/(1+D150)-1</f>
        <v>0</v>
      </c>
      <c r="N150" s="419" t="n">
        <f aca="false">(TableDE1!R150/TableDE1!R149)/(1+B150)-1</f>
        <v>0</v>
      </c>
      <c r="R150" s="387" t="n">
        <f aca="false">1+K150</f>
        <v>1.04156152221468</v>
      </c>
      <c r="S150" s="387" t="n">
        <f aca="false">1+L150</f>
        <v>1.04156152221468</v>
      </c>
      <c r="T150" s="387" t="n">
        <f aca="false">1+C150</f>
        <v>0.998469188812313</v>
      </c>
    </row>
    <row r="151" customFormat="false" ht="13" hidden="false" customHeight="false" outlineLevel="0" collapsed="false">
      <c r="A151" s="449" t="n">
        <f aca="false">A150+1</f>
        <v>2011</v>
      </c>
      <c r="B151" s="450" t="n">
        <f aca="false">TableDE1!R151/TableDE1!R150-1</f>
        <v>0</v>
      </c>
      <c r="C151" s="450"/>
      <c r="D151" s="451" t="n">
        <f aca="false">TableDE1!D151/TableDE1!D150-1</f>
        <v>0.0305071648948529</v>
      </c>
      <c r="E151" s="452" t="n">
        <f aca="false">TableDE1!R151</f>
        <v>81776.951</v>
      </c>
      <c r="F151" s="453" t="n">
        <f aca="false">E151*TableDE1!S151/TableDE1!R151</f>
        <v>66690.6795980421</v>
      </c>
      <c r="G151" s="453" t="n">
        <f aca="false">TableDE3b!E151*TableDE1!T151/TableDE1!R151</f>
        <v>41077.78</v>
      </c>
      <c r="H151" s="454" t="n">
        <f aca="false">TableDE1!D151</f>
        <v>2211.53020629425</v>
      </c>
      <c r="I151" s="455" t="n">
        <f aca="false">1000000*H151/E151</f>
        <v>27043.4416941547</v>
      </c>
      <c r="J151" s="456" t="n">
        <f aca="false">I151/I150-1</f>
        <v>0.0305071648948529</v>
      </c>
      <c r="K151" s="450"/>
      <c r="L151" s="457"/>
      <c r="M151" s="458" t="n">
        <f aca="false">(TableDE1!D151/TableDE1!D150)/(1+D151)-1</f>
        <v>0</v>
      </c>
      <c r="N151" s="459" t="n">
        <f aca="false">(TableDE1!R151/TableDE1!R150)/(1+B151)-1</f>
        <v>0</v>
      </c>
      <c r="R151" s="460"/>
      <c r="S151" s="460"/>
      <c r="T151" s="460"/>
    </row>
    <row r="152" customFormat="false" ht="13" hidden="false" customHeight="false" outlineLevel="0" collapsed="false">
      <c r="A152" s="31"/>
      <c r="B152" s="31"/>
      <c r="C152" s="31"/>
      <c r="D152" s="31"/>
      <c r="E152" s="461"/>
      <c r="F152" s="461"/>
      <c r="G152" s="461"/>
      <c r="H152" s="461"/>
      <c r="I152" s="461"/>
      <c r="J152" s="114"/>
      <c r="K152" s="29"/>
      <c r="L152" s="29"/>
      <c r="M152" s="114"/>
      <c r="N152" s="114"/>
    </row>
    <row r="153" customFormat="false" ht="12" hidden="false" customHeight="false" outlineLevel="0" collapsed="false">
      <c r="A153" s="31"/>
      <c r="B153" s="31"/>
      <c r="C153" s="31"/>
      <c r="D153" s="31"/>
      <c r="E153" s="462"/>
      <c r="F153" s="462"/>
      <c r="G153" s="462"/>
      <c r="H153" s="462"/>
      <c r="I153" s="462"/>
      <c r="J153" s="433"/>
      <c r="K153" s="463"/>
      <c r="L153" s="463"/>
      <c r="M153" s="114"/>
      <c r="N153" s="114"/>
    </row>
    <row r="154" customFormat="false" ht="12" hidden="false" customHeight="false" outlineLevel="0" collapsed="false">
      <c r="A154" s="31"/>
      <c r="B154" s="31"/>
      <c r="C154" s="31"/>
      <c r="D154" s="31"/>
      <c r="E154" s="464"/>
      <c r="F154" s="464"/>
      <c r="G154" s="464"/>
      <c r="H154" s="464"/>
      <c r="I154" s="464"/>
      <c r="J154" s="25"/>
      <c r="K154" s="465"/>
      <c r="L154" s="465"/>
      <c r="M154" s="114"/>
      <c r="N154" s="114"/>
    </row>
    <row r="155" customFormat="false" ht="12" hidden="false" customHeight="false" outlineLevel="0" collapsed="false">
      <c r="E155" s="130"/>
      <c r="F155" s="130"/>
      <c r="G155" s="130"/>
      <c r="H155" s="130"/>
      <c r="I155" s="130"/>
      <c r="J155" s="25"/>
      <c r="K155" s="197"/>
      <c r="L155" s="197"/>
      <c r="M155" s="114"/>
      <c r="N155" s="114"/>
    </row>
    <row r="156" customFormat="false" ht="12" hidden="false" customHeight="false" outlineLevel="0" collapsed="false">
      <c r="E156" s="130"/>
      <c r="F156" s="130"/>
      <c r="G156" s="130"/>
      <c r="H156" s="130"/>
      <c r="I156" s="130"/>
      <c r="J156" s="25"/>
      <c r="K156" s="25"/>
      <c r="L156" s="25"/>
      <c r="M156" s="114"/>
      <c r="N156" s="114"/>
    </row>
    <row r="157" customFormat="false" ht="12" hidden="false" customHeight="false" outlineLevel="0" collapsed="false">
      <c r="E157" s="130"/>
      <c r="F157" s="130"/>
      <c r="G157" s="130"/>
      <c r="H157" s="130"/>
      <c r="I157" s="130"/>
      <c r="J157" s="130"/>
      <c r="K157" s="197"/>
      <c r="L157" s="197"/>
      <c r="M157" s="114"/>
      <c r="N157" s="114"/>
    </row>
    <row r="158" customFormat="false" ht="12" hidden="false" customHeight="false" outlineLevel="0" collapsed="false">
      <c r="E158" s="130"/>
      <c r="F158" s="130"/>
      <c r="G158" s="130"/>
      <c r="H158" s="130"/>
      <c r="I158" s="130"/>
      <c r="J158" s="130"/>
      <c r="K158" s="197"/>
      <c r="L158" s="197"/>
      <c r="M158" s="114"/>
      <c r="N158" s="114"/>
    </row>
    <row r="159" customFormat="false" ht="12" hidden="false" customHeight="false" outlineLevel="0" collapsed="false">
      <c r="E159" s="130"/>
      <c r="F159" s="130"/>
      <c r="G159" s="130"/>
      <c r="H159" s="130"/>
      <c r="I159" s="130"/>
      <c r="J159" s="130"/>
      <c r="K159" s="197"/>
      <c r="L159" s="197"/>
      <c r="M159" s="114"/>
      <c r="N159" s="114"/>
    </row>
    <row r="160" customFormat="false" ht="12" hidden="false" customHeight="false" outlineLevel="0" collapsed="false">
      <c r="E160" s="130"/>
      <c r="F160" s="130"/>
      <c r="G160" s="130"/>
      <c r="H160" s="130"/>
      <c r="I160" s="130"/>
      <c r="J160" s="130"/>
      <c r="K160" s="197"/>
      <c r="L160" s="197"/>
      <c r="M160" s="114"/>
      <c r="N160" s="114"/>
    </row>
    <row r="161" customFormat="false" ht="12" hidden="false" customHeight="false" outlineLevel="0" collapsed="false">
      <c r="E161" s="130"/>
      <c r="F161" s="130"/>
      <c r="G161" s="130"/>
      <c r="H161" s="130"/>
      <c r="I161" s="130"/>
      <c r="J161" s="130"/>
      <c r="K161" s="197"/>
      <c r="L161" s="197"/>
      <c r="M161" s="114"/>
      <c r="N161" s="114"/>
    </row>
    <row r="162" customFormat="false" ht="12" hidden="false" customHeight="false" outlineLevel="0" collapsed="false">
      <c r="M162" s="114"/>
      <c r="N162" s="114"/>
    </row>
    <row r="163" customFormat="false" ht="12" hidden="false" customHeight="false" outlineLevel="0" collapsed="false">
      <c r="E163" s="130"/>
      <c r="F163" s="130"/>
      <c r="G163" s="130"/>
      <c r="H163" s="130"/>
      <c r="I163" s="130"/>
      <c r="J163" s="25"/>
      <c r="K163" s="25"/>
      <c r="L163" s="25"/>
      <c r="M163" s="114"/>
      <c r="N163" s="114"/>
    </row>
    <row r="164" customFormat="false" ht="12" hidden="false" customHeight="false" outlineLevel="0" collapsed="false">
      <c r="E164" s="130"/>
      <c r="F164" s="130"/>
      <c r="G164" s="130"/>
      <c r="H164" s="130"/>
      <c r="I164" s="130"/>
      <c r="J164" s="25"/>
      <c r="K164" s="197"/>
      <c r="L164" s="197"/>
      <c r="M164" s="114"/>
      <c r="N164" s="114"/>
    </row>
    <row r="165" customFormat="false" ht="12" hidden="false" customHeight="false" outlineLevel="0" collapsed="false">
      <c r="E165" s="130"/>
      <c r="F165" s="130"/>
      <c r="G165" s="130"/>
      <c r="H165" s="130"/>
      <c r="I165" s="130"/>
      <c r="J165" s="130"/>
      <c r="K165" s="197"/>
      <c r="L165" s="197"/>
      <c r="M165" s="114"/>
      <c r="N165" s="114"/>
    </row>
    <row r="166" customFormat="false" ht="12" hidden="false" customHeight="false" outlineLevel="0" collapsed="false">
      <c r="E166" s="130"/>
      <c r="F166" s="130"/>
      <c r="G166" s="130"/>
      <c r="H166" s="130"/>
      <c r="I166" s="130"/>
      <c r="J166" s="130"/>
      <c r="K166" s="197"/>
      <c r="L166" s="197"/>
      <c r="M166" s="114"/>
      <c r="N166" s="114"/>
    </row>
    <row r="167" customFormat="false" ht="12" hidden="false" customHeight="false" outlineLevel="0" collapsed="false">
      <c r="E167" s="130"/>
      <c r="F167" s="130"/>
      <c r="G167" s="130"/>
      <c r="H167" s="130"/>
      <c r="I167" s="130"/>
      <c r="J167" s="25"/>
      <c r="K167" s="25"/>
      <c r="L167" s="25"/>
      <c r="M167" s="114"/>
      <c r="N167" s="114"/>
    </row>
    <row r="168" customFormat="false" ht="12" hidden="false" customHeight="false" outlineLevel="0" collapsed="false">
      <c r="E168" s="130"/>
      <c r="F168" s="130"/>
      <c r="G168" s="130"/>
      <c r="H168" s="130"/>
      <c r="I168" s="130"/>
      <c r="J168" s="130"/>
      <c r="K168" s="197"/>
      <c r="L168" s="197"/>
      <c r="M168" s="114"/>
      <c r="N168" s="114"/>
    </row>
    <row r="169" customFormat="false" ht="12" hidden="false" customHeight="false" outlineLevel="0" collapsed="false">
      <c r="E169" s="130"/>
      <c r="F169" s="130"/>
      <c r="G169" s="130"/>
      <c r="H169" s="130"/>
      <c r="I169" s="130"/>
      <c r="J169" s="130"/>
      <c r="K169" s="197"/>
      <c r="L169" s="197"/>
      <c r="M169" s="114"/>
      <c r="N169" s="114"/>
    </row>
    <row r="170" customFormat="false" ht="12" hidden="false" customHeight="false" outlineLevel="0" collapsed="false">
      <c r="A170" s="32"/>
      <c r="B170" s="32"/>
      <c r="C170" s="32"/>
      <c r="D170" s="32"/>
      <c r="E170" s="461"/>
      <c r="F170" s="461"/>
      <c r="G170" s="461"/>
      <c r="H170" s="461"/>
      <c r="I170" s="461"/>
      <c r="J170" s="466"/>
      <c r="K170" s="466"/>
      <c r="L170" s="466"/>
      <c r="M170" s="114"/>
      <c r="N170" s="114"/>
    </row>
    <row r="171" customFormat="false" ht="12" hidden="false" customHeight="false" outlineLevel="0" collapsed="false">
      <c r="M171" s="114"/>
      <c r="N171" s="114"/>
    </row>
    <row r="176" customFormat="false" ht="12" hidden="false" customHeight="false" outlineLevel="0" collapsed="false">
      <c r="M176" s="130"/>
      <c r="N176" s="130"/>
    </row>
    <row r="177" customFormat="false" ht="12" hidden="false" customHeight="false" outlineLevel="0" collapsed="false">
      <c r="M177" s="130"/>
      <c r="N177" s="130"/>
    </row>
    <row r="178" customFormat="false" ht="12" hidden="false" customHeight="false" outlineLevel="0" collapsed="false">
      <c r="M178" s="130"/>
      <c r="N178" s="130"/>
    </row>
    <row r="179" customFormat="false" ht="12" hidden="false" customHeight="false" outlineLevel="0" collapsed="false">
      <c r="M179" s="130"/>
      <c r="N179" s="130"/>
    </row>
    <row r="180" customFormat="false" ht="12" hidden="false" customHeight="false" outlineLevel="0" collapsed="false">
      <c r="M180" s="130"/>
      <c r="N180" s="130"/>
    </row>
    <row r="181" customFormat="false" ht="12" hidden="false" customHeight="false" outlineLevel="0" collapsed="false">
      <c r="M181" s="130"/>
      <c r="N181" s="130"/>
    </row>
    <row r="182" customFormat="false" ht="12" hidden="false" customHeight="false" outlineLevel="0" collapsed="false">
      <c r="M182" s="130"/>
      <c r="N182" s="130"/>
    </row>
    <row r="183" customFormat="false" ht="12" hidden="false" customHeight="false" outlineLevel="0" collapsed="false">
      <c r="M183" s="130"/>
      <c r="N183" s="130"/>
    </row>
    <row r="184" customFormat="false" ht="12" hidden="false" customHeight="false" outlineLevel="0" collapsed="false">
      <c r="M184" s="130"/>
      <c r="N184" s="130"/>
    </row>
    <row r="185" customFormat="false" ht="12" hidden="false" customHeight="false" outlineLevel="0" collapsed="false">
      <c r="M185" s="130"/>
      <c r="N185" s="130"/>
    </row>
    <row r="186" customFormat="false" ht="12" hidden="false" customHeight="false" outlineLevel="0" collapsed="false">
      <c r="E186" s="130"/>
      <c r="F186" s="130"/>
      <c r="G186" s="130"/>
      <c r="H186" s="130"/>
      <c r="I186" s="130"/>
      <c r="J186" s="130"/>
      <c r="K186" s="197"/>
      <c r="L186" s="197"/>
      <c r="M186" s="130"/>
      <c r="N186" s="130"/>
    </row>
    <row r="187" customFormat="false" ht="12" hidden="false" customHeight="false" outlineLevel="0" collapsed="false">
      <c r="E187" s="130"/>
      <c r="F187" s="130"/>
      <c r="G187" s="130"/>
      <c r="H187" s="130"/>
      <c r="I187" s="130"/>
      <c r="J187" s="130"/>
      <c r="K187" s="197"/>
      <c r="L187" s="197"/>
      <c r="M187" s="130"/>
      <c r="N187" s="130"/>
    </row>
    <row r="188" customFormat="false" ht="12" hidden="false" customHeight="false" outlineLevel="0" collapsed="false">
      <c r="E188" s="130"/>
      <c r="F188" s="130"/>
      <c r="G188" s="130"/>
      <c r="H188" s="130"/>
      <c r="I188" s="130"/>
      <c r="J188" s="130"/>
      <c r="K188" s="197"/>
      <c r="L188" s="197"/>
      <c r="M188" s="130"/>
      <c r="N188" s="130"/>
    </row>
    <row r="189" customFormat="false" ht="12" hidden="false" customHeight="false" outlineLevel="0" collapsed="false">
      <c r="E189" s="130"/>
      <c r="F189" s="130"/>
      <c r="G189" s="130"/>
      <c r="H189" s="130"/>
      <c r="I189" s="130"/>
      <c r="J189" s="130"/>
      <c r="K189" s="197"/>
      <c r="L189" s="197"/>
      <c r="M189" s="130"/>
      <c r="N189" s="130"/>
    </row>
    <row r="190" customFormat="false" ht="12" hidden="false" customHeight="false" outlineLevel="0" collapsed="false">
      <c r="E190" s="130"/>
      <c r="F190" s="130"/>
      <c r="G190" s="130"/>
      <c r="H190" s="130"/>
      <c r="I190" s="130"/>
      <c r="J190" s="130"/>
      <c r="K190" s="197"/>
      <c r="L190" s="197"/>
      <c r="M190" s="130"/>
      <c r="N190" s="130"/>
    </row>
    <row r="191" customFormat="false" ht="12" hidden="false" customHeight="false" outlineLevel="0" collapsed="false">
      <c r="E191" s="130"/>
      <c r="F191" s="130"/>
      <c r="G191" s="130"/>
      <c r="H191" s="130"/>
      <c r="I191" s="130"/>
      <c r="J191" s="130"/>
      <c r="K191" s="197"/>
      <c r="L191" s="197"/>
      <c r="M191" s="130"/>
      <c r="N191" s="130"/>
    </row>
    <row r="192" customFormat="false" ht="12" hidden="false" customHeight="false" outlineLevel="0" collapsed="false">
      <c r="E192" s="130"/>
      <c r="F192" s="130"/>
      <c r="G192" s="130"/>
      <c r="H192" s="130"/>
      <c r="I192" s="130"/>
      <c r="J192" s="130"/>
      <c r="K192" s="197"/>
      <c r="L192" s="197"/>
      <c r="M192" s="130"/>
      <c r="N192" s="130"/>
    </row>
    <row r="193" customFormat="false" ht="12" hidden="false" customHeight="false" outlineLevel="0" collapsed="false">
      <c r="E193" s="130"/>
      <c r="F193" s="130"/>
      <c r="G193" s="130"/>
      <c r="H193" s="130"/>
      <c r="I193" s="130"/>
      <c r="J193" s="130"/>
      <c r="K193" s="197"/>
      <c r="L193" s="197"/>
      <c r="M193" s="130"/>
      <c r="N193" s="130"/>
    </row>
    <row r="194" customFormat="false" ht="12" hidden="false" customHeight="false" outlineLevel="0" collapsed="false">
      <c r="E194" s="130"/>
      <c r="F194" s="130"/>
      <c r="G194" s="130"/>
      <c r="H194" s="130"/>
      <c r="I194" s="130"/>
      <c r="J194" s="130"/>
      <c r="K194" s="197"/>
      <c r="L194" s="197"/>
      <c r="M194" s="130"/>
      <c r="N194" s="130"/>
    </row>
    <row r="195" customFormat="false" ht="12" hidden="false" customHeight="false" outlineLevel="0" collapsed="false">
      <c r="E195" s="130"/>
      <c r="F195" s="130"/>
      <c r="G195" s="130"/>
      <c r="H195" s="130"/>
      <c r="I195" s="130"/>
      <c r="J195" s="130"/>
      <c r="K195" s="197"/>
      <c r="L195" s="197"/>
      <c r="M195" s="130"/>
      <c r="N195" s="130"/>
    </row>
    <row r="196" customFormat="false" ht="12" hidden="false" customHeight="false" outlineLevel="0" collapsed="false">
      <c r="E196" s="130"/>
      <c r="F196" s="130"/>
      <c r="G196" s="130"/>
      <c r="H196" s="130"/>
      <c r="I196" s="130"/>
      <c r="J196" s="130"/>
      <c r="K196" s="197"/>
      <c r="L196" s="197"/>
      <c r="M196" s="130"/>
      <c r="N196" s="130"/>
    </row>
    <row r="197" customFormat="false" ht="12" hidden="false" customHeight="false" outlineLevel="0" collapsed="false">
      <c r="E197" s="130"/>
      <c r="F197" s="130"/>
      <c r="G197" s="130"/>
      <c r="H197" s="130"/>
      <c r="I197" s="130"/>
      <c r="J197" s="130"/>
      <c r="K197" s="197"/>
      <c r="L197" s="197"/>
      <c r="M197" s="130"/>
      <c r="N197" s="130"/>
    </row>
    <row r="198" customFormat="false" ht="12" hidden="false" customHeight="false" outlineLevel="0" collapsed="false">
      <c r="E198" s="130"/>
      <c r="F198" s="130"/>
      <c r="G198" s="130"/>
      <c r="H198" s="130"/>
      <c r="I198" s="130"/>
      <c r="J198" s="130"/>
      <c r="K198" s="197"/>
      <c r="L198" s="197"/>
      <c r="M198" s="130"/>
      <c r="N198" s="130"/>
    </row>
    <row r="199" customFormat="false" ht="12" hidden="false" customHeight="false" outlineLevel="0" collapsed="false">
      <c r="E199" s="130"/>
      <c r="F199" s="130"/>
      <c r="G199" s="130"/>
      <c r="H199" s="130"/>
      <c r="I199" s="130"/>
      <c r="J199" s="130"/>
      <c r="K199" s="197"/>
      <c r="L199" s="197"/>
      <c r="M199" s="130"/>
      <c r="N199" s="130"/>
    </row>
    <row r="200" customFormat="false" ht="12" hidden="false" customHeight="false" outlineLevel="0" collapsed="false">
      <c r="E200" s="130"/>
      <c r="F200" s="130"/>
      <c r="G200" s="130"/>
      <c r="H200" s="130"/>
      <c r="I200" s="130"/>
      <c r="J200" s="130"/>
      <c r="K200" s="197"/>
      <c r="L200" s="197"/>
      <c r="M200" s="130"/>
      <c r="N200" s="130"/>
    </row>
    <row r="201" customFormat="false" ht="12" hidden="false" customHeight="false" outlineLevel="0" collapsed="false">
      <c r="E201" s="130"/>
      <c r="F201" s="130"/>
      <c r="G201" s="130"/>
      <c r="H201" s="130"/>
      <c r="I201" s="130"/>
      <c r="J201" s="130"/>
      <c r="K201" s="197"/>
      <c r="L201" s="197"/>
      <c r="M201" s="130"/>
      <c r="N201" s="130"/>
    </row>
    <row r="202" customFormat="false" ht="12" hidden="false" customHeight="false" outlineLevel="0" collapsed="false">
      <c r="E202" s="130"/>
      <c r="F202" s="130"/>
      <c r="G202" s="130"/>
      <c r="H202" s="130"/>
      <c r="I202" s="130"/>
      <c r="J202" s="130"/>
      <c r="K202" s="197"/>
      <c r="L202" s="197"/>
      <c r="M202" s="130"/>
      <c r="N202" s="130"/>
    </row>
    <row r="203" customFormat="false" ht="12" hidden="false" customHeight="false" outlineLevel="0" collapsed="false">
      <c r="E203" s="130"/>
      <c r="F203" s="130"/>
      <c r="G203" s="130"/>
      <c r="H203" s="130"/>
      <c r="I203" s="130"/>
      <c r="J203" s="130"/>
      <c r="K203" s="197"/>
      <c r="L203" s="197"/>
      <c r="M203" s="130"/>
      <c r="N203" s="130"/>
    </row>
    <row r="204" customFormat="false" ht="12" hidden="false" customHeight="false" outlineLevel="0" collapsed="false">
      <c r="E204" s="130"/>
      <c r="F204" s="130"/>
      <c r="G204" s="130"/>
      <c r="H204" s="130"/>
      <c r="I204" s="130"/>
      <c r="J204" s="130"/>
      <c r="K204" s="197"/>
      <c r="L204" s="197"/>
      <c r="M204" s="130"/>
      <c r="N204" s="130"/>
    </row>
    <row r="205" customFormat="false" ht="12" hidden="false" customHeight="false" outlineLevel="0" collapsed="false">
      <c r="E205" s="130"/>
      <c r="F205" s="130"/>
      <c r="G205" s="130"/>
      <c r="H205" s="130"/>
      <c r="I205" s="130"/>
      <c r="J205" s="130"/>
      <c r="K205" s="197"/>
      <c r="L205" s="197"/>
      <c r="M205" s="130"/>
      <c r="N205" s="130"/>
    </row>
    <row r="206" customFormat="false" ht="12" hidden="false" customHeight="false" outlineLevel="0" collapsed="false">
      <c r="E206" s="130"/>
      <c r="F206" s="130"/>
      <c r="G206" s="130"/>
      <c r="H206" s="130"/>
      <c r="I206" s="130"/>
      <c r="J206" s="130"/>
      <c r="K206" s="197"/>
      <c r="L206" s="197"/>
      <c r="M206" s="130"/>
      <c r="N206" s="130"/>
    </row>
    <row r="207" customFormat="false" ht="12" hidden="false" customHeight="false" outlineLevel="0" collapsed="false">
      <c r="E207" s="130"/>
      <c r="F207" s="130"/>
      <c r="G207" s="130"/>
      <c r="H207" s="130"/>
      <c r="I207" s="130"/>
      <c r="J207" s="130"/>
      <c r="K207" s="197"/>
      <c r="L207" s="197"/>
      <c r="M207" s="130"/>
      <c r="N207" s="130"/>
    </row>
    <row r="208" customFormat="false" ht="12" hidden="false" customHeight="false" outlineLevel="0" collapsed="false">
      <c r="E208" s="130"/>
      <c r="F208" s="130"/>
      <c r="G208" s="130"/>
      <c r="H208" s="130"/>
      <c r="I208" s="130"/>
      <c r="J208" s="130"/>
      <c r="K208" s="197"/>
      <c r="L208" s="197"/>
      <c r="M208" s="130"/>
      <c r="N208" s="130"/>
    </row>
    <row r="209" customFormat="false" ht="12" hidden="false" customHeight="false" outlineLevel="0" collapsed="false">
      <c r="E209" s="130"/>
      <c r="F209" s="130"/>
      <c r="G209" s="130"/>
      <c r="H209" s="130"/>
      <c r="I209" s="130"/>
      <c r="J209" s="130"/>
      <c r="K209" s="197"/>
      <c r="L209" s="197"/>
      <c r="M209" s="130"/>
      <c r="N209" s="130"/>
    </row>
    <row r="210" customFormat="false" ht="12" hidden="false" customHeight="false" outlineLevel="0" collapsed="false">
      <c r="E210" s="130"/>
      <c r="F210" s="130"/>
      <c r="G210" s="130"/>
      <c r="H210" s="130"/>
      <c r="I210" s="130"/>
      <c r="J210" s="130"/>
      <c r="K210" s="197"/>
      <c r="L210" s="197"/>
      <c r="M210" s="130"/>
      <c r="N210" s="130"/>
    </row>
    <row r="211" customFormat="false" ht="12" hidden="false" customHeight="false" outlineLevel="0" collapsed="false">
      <c r="E211" s="130"/>
      <c r="F211" s="130"/>
      <c r="G211" s="130"/>
      <c r="H211" s="130"/>
      <c r="I211" s="130"/>
      <c r="J211" s="130"/>
      <c r="K211" s="197"/>
      <c r="L211" s="197"/>
      <c r="M211" s="130"/>
      <c r="N211" s="130"/>
    </row>
    <row r="212" customFormat="false" ht="12" hidden="false" customHeight="false" outlineLevel="0" collapsed="false">
      <c r="E212" s="130"/>
      <c r="F212" s="130"/>
      <c r="G212" s="130"/>
      <c r="H212" s="130"/>
      <c r="I212" s="130"/>
      <c r="J212" s="130"/>
      <c r="K212" s="197"/>
      <c r="L212" s="197"/>
      <c r="M212" s="130"/>
      <c r="N212" s="130"/>
    </row>
    <row r="213" customFormat="false" ht="12" hidden="false" customHeight="false" outlineLevel="0" collapsed="false">
      <c r="E213" s="130"/>
      <c r="F213" s="130"/>
      <c r="G213" s="130"/>
      <c r="H213" s="130"/>
      <c r="I213" s="130"/>
      <c r="J213" s="130"/>
      <c r="K213" s="197"/>
      <c r="L213" s="197"/>
      <c r="M213" s="130"/>
      <c r="N213" s="130"/>
    </row>
    <row r="214" customFormat="false" ht="12" hidden="false" customHeight="false" outlineLevel="0" collapsed="false">
      <c r="E214" s="130"/>
      <c r="F214" s="130"/>
      <c r="G214" s="130"/>
      <c r="H214" s="130"/>
      <c r="I214" s="130"/>
      <c r="J214" s="130"/>
      <c r="K214" s="197"/>
      <c r="L214" s="197"/>
      <c r="M214" s="130"/>
      <c r="N214" s="130"/>
    </row>
    <row r="215" customFormat="false" ht="12" hidden="false" customHeight="false" outlineLevel="0" collapsed="false">
      <c r="E215" s="130"/>
      <c r="F215" s="130"/>
      <c r="G215" s="130"/>
      <c r="H215" s="130"/>
      <c r="I215" s="130"/>
      <c r="J215" s="130"/>
      <c r="K215" s="197"/>
      <c r="L215" s="197"/>
      <c r="M215" s="130"/>
      <c r="N215" s="130"/>
    </row>
    <row r="216" customFormat="false" ht="12" hidden="false" customHeight="false" outlineLevel="0" collapsed="false">
      <c r="E216" s="130"/>
      <c r="F216" s="130"/>
      <c r="G216" s="130"/>
      <c r="H216" s="130"/>
      <c r="I216" s="130"/>
      <c r="J216" s="130"/>
      <c r="K216" s="197"/>
      <c r="L216" s="197"/>
      <c r="M216" s="130"/>
      <c r="N216" s="130"/>
    </row>
    <row r="217" customFormat="false" ht="12" hidden="false" customHeight="false" outlineLevel="0" collapsed="false">
      <c r="E217" s="130"/>
      <c r="F217" s="130"/>
      <c r="G217" s="130"/>
      <c r="H217" s="130"/>
      <c r="I217" s="130"/>
      <c r="J217" s="130"/>
      <c r="K217" s="197"/>
      <c r="L217" s="197"/>
      <c r="M217" s="130"/>
      <c r="N217" s="130"/>
    </row>
    <row r="218" customFormat="false" ht="12" hidden="false" customHeight="false" outlineLevel="0" collapsed="false">
      <c r="E218" s="130"/>
      <c r="F218" s="130"/>
      <c r="G218" s="130"/>
      <c r="H218" s="130"/>
      <c r="I218" s="130"/>
      <c r="J218" s="130"/>
      <c r="K218" s="197"/>
      <c r="L218" s="197"/>
      <c r="M218" s="130"/>
      <c r="N218" s="130"/>
    </row>
    <row r="219" customFormat="false" ht="12" hidden="false" customHeight="false" outlineLevel="0" collapsed="false">
      <c r="E219" s="130"/>
      <c r="F219" s="130"/>
      <c r="G219" s="130"/>
      <c r="H219" s="130"/>
      <c r="I219" s="130"/>
      <c r="J219" s="130"/>
      <c r="K219" s="197"/>
      <c r="L219" s="197"/>
      <c r="M219" s="130"/>
      <c r="N219" s="130"/>
    </row>
    <row r="220" customFormat="false" ht="12" hidden="false" customHeight="false" outlineLevel="0" collapsed="false">
      <c r="E220" s="130"/>
      <c r="F220" s="130"/>
      <c r="G220" s="130"/>
      <c r="H220" s="130"/>
      <c r="I220" s="130"/>
      <c r="J220" s="130"/>
      <c r="K220" s="197"/>
      <c r="L220" s="197"/>
      <c r="M220" s="130"/>
      <c r="N220" s="130"/>
    </row>
    <row r="221" customFormat="false" ht="12" hidden="false" customHeight="false" outlineLevel="0" collapsed="false">
      <c r="E221" s="130"/>
      <c r="F221" s="130"/>
      <c r="G221" s="130"/>
      <c r="H221" s="130"/>
      <c r="I221" s="130"/>
      <c r="J221" s="130"/>
      <c r="K221" s="197"/>
      <c r="L221" s="197"/>
      <c r="M221" s="130"/>
      <c r="N221" s="130"/>
    </row>
    <row r="222" customFormat="false" ht="12" hidden="false" customHeight="false" outlineLevel="0" collapsed="false">
      <c r="E222" s="130"/>
      <c r="F222" s="130"/>
      <c r="G222" s="130"/>
      <c r="H222" s="130"/>
      <c r="I222" s="130"/>
      <c r="J222" s="130"/>
      <c r="K222" s="197"/>
      <c r="L222" s="197"/>
      <c r="M222" s="130"/>
      <c r="N222" s="130"/>
    </row>
    <row r="223" customFormat="false" ht="12" hidden="false" customHeight="false" outlineLevel="0" collapsed="false">
      <c r="E223" s="130"/>
      <c r="F223" s="130"/>
      <c r="G223" s="130"/>
      <c r="H223" s="130"/>
      <c r="I223" s="130"/>
      <c r="J223" s="130"/>
      <c r="K223" s="197"/>
      <c r="L223" s="197"/>
      <c r="M223" s="130"/>
      <c r="N223" s="130"/>
    </row>
    <row r="224" customFormat="false" ht="12" hidden="false" customHeight="false" outlineLevel="0" collapsed="false">
      <c r="E224" s="130"/>
      <c r="F224" s="130"/>
      <c r="G224" s="130"/>
      <c r="H224" s="130"/>
      <c r="I224" s="130"/>
      <c r="J224" s="130"/>
      <c r="K224" s="197"/>
      <c r="L224" s="197"/>
      <c r="M224" s="130"/>
      <c r="N224" s="130"/>
    </row>
    <row r="225" customFormat="false" ht="12" hidden="false" customHeight="false" outlineLevel="0" collapsed="false">
      <c r="E225" s="130"/>
      <c r="F225" s="130"/>
      <c r="G225" s="130"/>
      <c r="H225" s="130"/>
      <c r="I225" s="130"/>
      <c r="J225" s="130"/>
      <c r="K225" s="197"/>
      <c r="L225" s="197"/>
      <c r="M225" s="130"/>
      <c r="N225" s="130"/>
    </row>
    <row r="226" customFormat="false" ht="12" hidden="false" customHeight="false" outlineLevel="0" collapsed="false">
      <c r="E226" s="130"/>
      <c r="F226" s="130"/>
      <c r="G226" s="130"/>
      <c r="H226" s="130"/>
      <c r="I226" s="130"/>
      <c r="J226" s="130"/>
      <c r="K226" s="197"/>
      <c r="L226" s="197"/>
      <c r="M226" s="130"/>
      <c r="N226" s="130"/>
    </row>
    <row r="227" customFormat="false" ht="12" hidden="false" customHeight="false" outlineLevel="0" collapsed="false">
      <c r="E227" s="130"/>
      <c r="F227" s="130"/>
      <c r="G227" s="130"/>
      <c r="H227" s="130"/>
      <c r="I227" s="130"/>
      <c r="J227" s="130"/>
      <c r="K227" s="197"/>
      <c r="L227" s="197"/>
      <c r="M227" s="130"/>
      <c r="N227" s="130"/>
    </row>
    <row r="228" customFormat="false" ht="12" hidden="false" customHeight="false" outlineLevel="0" collapsed="false">
      <c r="E228" s="130"/>
      <c r="F228" s="130"/>
      <c r="G228" s="130"/>
      <c r="H228" s="130"/>
      <c r="I228" s="130"/>
      <c r="J228" s="130"/>
      <c r="K228" s="197"/>
      <c r="L228" s="197"/>
      <c r="M228" s="130"/>
      <c r="N228" s="130"/>
    </row>
    <row r="229" customFormat="false" ht="12" hidden="false" customHeight="false" outlineLevel="0" collapsed="false">
      <c r="E229" s="130"/>
      <c r="F229" s="130"/>
      <c r="G229" s="130"/>
      <c r="H229" s="130"/>
      <c r="I229" s="130"/>
      <c r="J229" s="130"/>
      <c r="K229" s="197"/>
      <c r="L229" s="197"/>
      <c r="M229" s="130"/>
      <c r="N229" s="130"/>
    </row>
    <row r="230" customFormat="false" ht="12" hidden="false" customHeight="false" outlineLevel="0" collapsed="false">
      <c r="E230" s="130"/>
      <c r="F230" s="130"/>
      <c r="G230" s="130"/>
      <c r="H230" s="130"/>
      <c r="I230" s="130"/>
      <c r="J230" s="130"/>
      <c r="K230" s="197"/>
      <c r="L230" s="197"/>
      <c r="M230" s="130"/>
      <c r="N230" s="130"/>
    </row>
    <row r="231" customFormat="false" ht="12" hidden="false" customHeight="false" outlineLevel="0" collapsed="false">
      <c r="E231" s="130"/>
      <c r="F231" s="130"/>
      <c r="G231" s="130"/>
      <c r="H231" s="130"/>
      <c r="I231" s="130"/>
      <c r="J231" s="130"/>
      <c r="K231" s="197"/>
      <c r="L231" s="197"/>
      <c r="M231" s="130"/>
      <c r="N231" s="130"/>
    </row>
    <row r="232" customFormat="false" ht="12" hidden="false" customHeight="false" outlineLevel="0" collapsed="false">
      <c r="E232" s="130"/>
      <c r="F232" s="130"/>
      <c r="G232" s="130"/>
      <c r="H232" s="130"/>
      <c r="I232" s="130"/>
      <c r="J232" s="130"/>
      <c r="K232" s="197"/>
      <c r="L232" s="197"/>
      <c r="M232" s="130"/>
      <c r="N232" s="130"/>
    </row>
    <row r="233" customFormat="false" ht="12" hidden="false" customHeight="false" outlineLevel="0" collapsed="false">
      <c r="E233" s="130"/>
      <c r="F233" s="130"/>
      <c r="G233" s="130"/>
      <c r="H233" s="130"/>
      <c r="I233" s="130"/>
      <c r="J233" s="130"/>
      <c r="K233" s="197"/>
      <c r="L233" s="197"/>
      <c r="M233" s="130"/>
      <c r="N233" s="130"/>
    </row>
    <row r="234" customFormat="false" ht="12" hidden="false" customHeight="false" outlineLevel="0" collapsed="false">
      <c r="E234" s="130"/>
      <c r="F234" s="130"/>
      <c r="G234" s="130"/>
      <c r="H234" s="130"/>
      <c r="I234" s="130"/>
      <c r="J234" s="130"/>
      <c r="K234" s="197"/>
      <c r="L234" s="197"/>
      <c r="M234" s="130"/>
      <c r="N234" s="130"/>
    </row>
    <row r="235" customFormat="false" ht="12" hidden="false" customHeight="false" outlineLevel="0" collapsed="false">
      <c r="E235" s="130"/>
      <c r="F235" s="130"/>
      <c r="G235" s="130"/>
      <c r="H235" s="130"/>
      <c r="I235" s="130"/>
      <c r="J235" s="130"/>
      <c r="K235" s="197"/>
      <c r="L235" s="197"/>
      <c r="M235" s="130"/>
      <c r="N235" s="130"/>
    </row>
    <row r="236" customFormat="false" ht="12" hidden="false" customHeight="false" outlineLevel="0" collapsed="false">
      <c r="E236" s="130"/>
      <c r="F236" s="130"/>
      <c r="G236" s="130"/>
      <c r="H236" s="130"/>
      <c r="I236" s="130"/>
      <c r="J236" s="130"/>
      <c r="K236" s="197"/>
      <c r="L236" s="197"/>
      <c r="M236" s="130"/>
      <c r="N236" s="130"/>
    </row>
    <row r="237" customFormat="false" ht="12" hidden="false" customHeight="false" outlineLevel="0" collapsed="false">
      <c r="E237" s="130"/>
      <c r="F237" s="130"/>
      <c r="G237" s="130"/>
      <c r="H237" s="130"/>
      <c r="I237" s="130"/>
      <c r="J237" s="130"/>
      <c r="K237" s="197"/>
      <c r="L237" s="197"/>
      <c r="M237" s="130"/>
      <c r="N237" s="130"/>
    </row>
    <row r="238" customFormat="false" ht="12" hidden="false" customHeight="false" outlineLevel="0" collapsed="false">
      <c r="E238" s="130"/>
      <c r="F238" s="130"/>
      <c r="G238" s="130"/>
      <c r="H238" s="130"/>
      <c r="I238" s="130"/>
      <c r="J238" s="130"/>
      <c r="K238" s="197"/>
      <c r="L238" s="197"/>
      <c r="M238" s="130"/>
      <c r="N238" s="130"/>
    </row>
    <row r="239" customFormat="false" ht="12" hidden="false" customHeight="false" outlineLevel="0" collapsed="false">
      <c r="E239" s="130"/>
      <c r="F239" s="130"/>
      <c r="G239" s="130"/>
      <c r="H239" s="130"/>
      <c r="I239" s="130"/>
      <c r="J239" s="130"/>
      <c r="K239" s="197"/>
      <c r="L239" s="197"/>
      <c r="M239" s="130"/>
      <c r="N239" s="130"/>
    </row>
    <row r="240" customFormat="false" ht="12" hidden="false" customHeight="false" outlineLevel="0" collapsed="false">
      <c r="E240" s="130"/>
      <c r="F240" s="130"/>
      <c r="G240" s="130"/>
      <c r="H240" s="130"/>
      <c r="I240" s="130"/>
      <c r="J240" s="130"/>
      <c r="K240" s="197"/>
      <c r="L240" s="197"/>
      <c r="M240" s="130"/>
      <c r="N240" s="130"/>
    </row>
    <row r="241" customFormat="false" ht="12" hidden="false" customHeight="false" outlineLevel="0" collapsed="false">
      <c r="E241" s="130"/>
      <c r="F241" s="130"/>
      <c r="G241" s="130"/>
      <c r="H241" s="130"/>
      <c r="I241" s="130"/>
      <c r="J241" s="130"/>
      <c r="K241" s="197"/>
      <c r="L241" s="197"/>
      <c r="M241" s="130"/>
      <c r="N241" s="130"/>
    </row>
    <row r="242" customFormat="false" ht="12" hidden="false" customHeight="false" outlineLevel="0" collapsed="false">
      <c r="E242" s="130"/>
      <c r="F242" s="130"/>
      <c r="G242" s="130"/>
      <c r="H242" s="130"/>
      <c r="I242" s="130"/>
      <c r="J242" s="130"/>
      <c r="K242" s="197"/>
      <c r="L242" s="197"/>
      <c r="M242" s="130"/>
      <c r="N242" s="130"/>
    </row>
    <row r="243" customFormat="false" ht="12" hidden="false" customHeight="false" outlineLevel="0" collapsed="false">
      <c r="E243" s="130"/>
      <c r="F243" s="130"/>
      <c r="G243" s="130"/>
      <c r="H243" s="130"/>
      <c r="I243" s="130"/>
      <c r="J243" s="130"/>
      <c r="K243" s="197"/>
      <c r="L243" s="197"/>
      <c r="M243" s="130"/>
      <c r="N243" s="130"/>
    </row>
    <row r="244" customFormat="false" ht="12" hidden="false" customHeight="false" outlineLevel="0" collapsed="false">
      <c r="E244" s="130"/>
      <c r="F244" s="130"/>
      <c r="G244" s="130"/>
      <c r="H244" s="130"/>
      <c r="I244" s="130"/>
      <c r="J244" s="130"/>
      <c r="K244" s="197"/>
      <c r="L244" s="197"/>
      <c r="M244" s="130"/>
      <c r="N244" s="130"/>
    </row>
    <row r="245" customFormat="false" ht="12" hidden="false" customHeight="false" outlineLevel="0" collapsed="false">
      <c r="E245" s="130"/>
      <c r="F245" s="130"/>
      <c r="G245" s="130"/>
      <c r="H245" s="130"/>
      <c r="I245" s="130"/>
      <c r="J245" s="130"/>
      <c r="K245" s="197"/>
      <c r="L245" s="197"/>
      <c r="M245" s="130"/>
      <c r="N245" s="130"/>
    </row>
    <row r="246" customFormat="false" ht="12" hidden="false" customHeight="false" outlineLevel="0" collapsed="false">
      <c r="E246" s="130"/>
      <c r="F246" s="130"/>
      <c r="G246" s="130"/>
      <c r="H246" s="130"/>
      <c r="I246" s="130"/>
      <c r="J246" s="130"/>
      <c r="K246" s="197"/>
      <c r="L246" s="197"/>
      <c r="M246" s="130"/>
      <c r="N246" s="130"/>
    </row>
    <row r="247" customFormat="false" ht="12" hidden="false" customHeight="false" outlineLevel="0" collapsed="false">
      <c r="E247" s="130"/>
      <c r="F247" s="130"/>
      <c r="G247" s="130"/>
      <c r="H247" s="130"/>
      <c r="I247" s="130"/>
      <c r="J247" s="130"/>
      <c r="K247" s="197"/>
      <c r="L247" s="197"/>
      <c r="M247" s="130"/>
      <c r="N247" s="130"/>
    </row>
    <row r="248" customFormat="false" ht="12" hidden="false" customHeight="false" outlineLevel="0" collapsed="false">
      <c r="E248" s="130"/>
      <c r="F248" s="130"/>
      <c r="G248" s="130"/>
      <c r="H248" s="130"/>
      <c r="I248" s="130"/>
      <c r="J248" s="130"/>
      <c r="K248" s="197"/>
      <c r="L248" s="197"/>
      <c r="M248" s="130"/>
      <c r="N248" s="130"/>
    </row>
    <row r="249" customFormat="false" ht="12" hidden="false" customHeight="false" outlineLevel="0" collapsed="false">
      <c r="E249" s="130"/>
      <c r="F249" s="130"/>
      <c r="G249" s="130"/>
      <c r="H249" s="130"/>
      <c r="I249" s="130"/>
      <c r="J249" s="130"/>
      <c r="K249" s="197"/>
      <c r="L249" s="197"/>
      <c r="M249" s="130"/>
      <c r="N249" s="130"/>
    </row>
    <row r="250" customFormat="false" ht="12" hidden="false" customHeight="false" outlineLevel="0" collapsed="false">
      <c r="E250" s="130"/>
      <c r="F250" s="130"/>
      <c r="G250" s="130"/>
      <c r="H250" s="130"/>
      <c r="I250" s="130"/>
      <c r="J250" s="130"/>
      <c r="K250" s="197"/>
      <c r="L250" s="197"/>
      <c r="M250" s="130"/>
      <c r="N250" s="130"/>
    </row>
    <row r="251" customFormat="false" ht="12" hidden="false" customHeight="false" outlineLevel="0" collapsed="false">
      <c r="E251" s="130"/>
      <c r="F251" s="130"/>
      <c r="G251" s="130"/>
      <c r="H251" s="130"/>
      <c r="I251" s="130"/>
      <c r="J251" s="130"/>
      <c r="K251" s="197"/>
      <c r="L251" s="197"/>
      <c r="M251" s="130"/>
      <c r="N251" s="130"/>
    </row>
    <row r="252" customFormat="false" ht="12" hidden="false" customHeight="false" outlineLevel="0" collapsed="false">
      <c r="E252" s="130"/>
      <c r="F252" s="130"/>
      <c r="G252" s="130"/>
      <c r="H252" s="130"/>
      <c r="I252" s="130"/>
      <c r="J252" s="130"/>
      <c r="K252" s="197"/>
      <c r="L252" s="197"/>
      <c r="M252" s="130"/>
      <c r="N252" s="130"/>
    </row>
    <row r="253" customFormat="false" ht="12" hidden="false" customHeight="false" outlineLevel="0" collapsed="false">
      <c r="E253" s="130"/>
      <c r="F253" s="130"/>
      <c r="G253" s="130"/>
      <c r="H253" s="130"/>
      <c r="I253" s="130"/>
      <c r="J253" s="130"/>
      <c r="K253" s="197"/>
      <c r="L253" s="197"/>
      <c r="M253" s="130"/>
      <c r="N253" s="130"/>
    </row>
    <row r="254" customFormat="false" ht="12" hidden="false" customHeight="false" outlineLevel="0" collapsed="false">
      <c r="E254" s="130"/>
      <c r="F254" s="130"/>
      <c r="G254" s="130"/>
      <c r="H254" s="130"/>
      <c r="I254" s="130"/>
      <c r="J254" s="130"/>
      <c r="K254" s="197"/>
      <c r="L254" s="197"/>
      <c r="M254" s="130"/>
      <c r="N254" s="130"/>
    </row>
    <row r="255" customFormat="false" ht="12" hidden="false" customHeight="false" outlineLevel="0" collapsed="false">
      <c r="E255" s="130"/>
      <c r="F255" s="130"/>
      <c r="G255" s="130"/>
      <c r="H255" s="130"/>
      <c r="I255" s="130"/>
      <c r="J255" s="130"/>
      <c r="K255" s="197"/>
      <c r="L255" s="197"/>
      <c r="M255" s="130"/>
      <c r="N255" s="130"/>
    </row>
    <row r="256" customFormat="false" ht="12" hidden="false" customHeight="false" outlineLevel="0" collapsed="false">
      <c r="E256" s="130"/>
      <c r="F256" s="130"/>
      <c r="G256" s="130"/>
      <c r="H256" s="130"/>
      <c r="I256" s="130"/>
      <c r="J256" s="130"/>
      <c r="K256" s="197"/>
      <c r="L256" s="197"/>
      <c r="M256" s="130"/>
      <c r="N256" s="130"/>
    </row>
    <row r="257" customFormat="false" ht="12" hidden="false" customHeight="false" outlineLevel="0" collapsed="false">
      <c r="E257" s="130"/>
      <c r="F257" s="130"/>
      <c r="G257" s="130"/>
      <c r="H257" s="130"/>
      <c r="I257" s="130"/>
      <c r="J257" s="130"/>
      <c r="K257" s="197"/>
      <c r="L257" s="197"/>
      <c r="M257" s="130"/>
      <c r="N257" s="130"/>
    </row>
    <row r="258" customFormat="false" ht="12" hidden="false" customHeight="false" outlineLevel="0" collapsed="false">
      <c r="E258" s="130"/>
      <c r="F258" s="130"/>
      <c r="G258" s="130"/>
      <c r="H258" s="130"/>
      <c r="I258" s="130"/>
      <c r="J258" s="130"/>
      <c r="K258" s="197"/>
      <c r="L258" s="197"/>
      <c r="M258" s="130"/>
      <c r="N258" s="130"/>
    </row>
    <row r="259" customFormat="false" ht="12" hidden="false" customHeight="false" outlineLevel="0" collapsed="false">
      <c r="E259" s="130"/>
      <c r="F259" s="130"/>
      <c r="G259" s="130"/>
      <c r="H259" s="130"/>
      <c r="I259" s="130"/>
      <c r="J259" s="130"/>
      <c r="K259" s="197"/>
      <c r="L259" s="197"/>
      <c r="M259" s="130"/>
      <c r="N259" s="130"/>
    </row>
    <row r="260" customFormat="false" ht="12" hidden="false" customHeight="false" outlineLevel="0" collapsed="false">
      <c r="E260" s="130"/>
      <c r="F260" s="130"/>
      <c r="G260" s="130"/>
      <c r="H260" s="130"/>
      <c r="I260" s="130"/>
      <c r="J260" s="130"/>
      <c r="K260" s="197"/>
      <c r="L260" s="197"/>
      <c r="M260" s="130"/>
      <c r="N260" s="130"/>
    </row>
    <row r="261" customFormat="false" ht="12" hidden="false" customHeight="false" outlineLevel="0" collapsed="false">
      <c r="E261" s="130"/>
      <c r="F261" s="130"/>
      <c r="G261" s="130"/>
      <c r="H261" s="130"/>
      <c r="I261" s="130"/>
      <c r="J261" s="130"/>
      <c r="K261" s="197"/>
      <c r="L261" s="197"/>
      <c r="M261" s="130"/>
      <c r="N261" s="130"/>
    </row>
    <row r="262" customFormat="false" ht="12" hidden="false" customHeight="false" outlineLevel="0" collapsed="false">
      <c r="E262" s="130"/>
      <c r="F262" s="130"/>
      <c r="G262" s="130"/>
      <c r="H262" s="130"/>
      <c r="I262" s="130"/>
      <c r="J262" s="130"/>
      <c r="K262" s="197"/>
      <c r="L262" s="197"/>
      <c r="M262" s="130"/>
      <c r="N262" s="130"/>
    </row>
    <row r="263" customFormat="false" ht="12" hidden="false" customHeight="false" outlineLevel="0" collapsed="false">
      <c r="E263" s="130"/>
      <c r="F263" s="130"/>
      <c r="G263" s="130"/>
      <c r="H263" s="130"/>
      <c r="I263" s="130"/>
      <c r="J263" s="130"/>
      <c r="K263" s="197"/>
      <c r="L263" s="197"/>
      <c r="M263" s="130"/>
      <c r="N263" s="130"/>
    </row>
    <row r="264" customFormat="false" ht="12" hidden="false" customHeight="false" outlineLevel="0" collapsed="false">
      <c r="E264" s="130"/>
      <c r="F264" s="130"/>
      <c r="G264" s="130"/>
      <c r="H264" s="130"/>
      <c r="I264" s="130"/>
      <c r="J264" s="130"/>
      <c r="K264" s="197"/>
      <c r="L264" s="197"/>
      <c r="M264" s="130"/>
      <c r="N264" s="130"/>
    </row>
    <row r="265" customFormat="false" ht="12" hidden="false" customHeight="false" outlineLevel="0" collapsed="false">
      <c r="E265" s="130"/>
      <c r="F265" s="130"/>
      <c r="G265" s="130"/>
      <c r="H265" s="130"/>
      <c r="I265" s="130"/>
      <c r="J265" s="130"/>
      <c r="K265" s="197"/>
      <c r="L265" s="197"/>
      <c r="M265" s="130"/>
      <c r="N265" s="130"/>
    </row>
    <row r="266" customFormat="false" ht="12" hidden="false" customHeight="false" outlineLevel="0" collapsed="false">
      <c r="E266" s="130"/>
      <c r="F266" s="130"/>
      <c r="G266" s="130"/>
      <c r="H266" s="130"/>
      <c r="I266" s="130"/>
      <c r="J266" s="130"/>
      <c r="K266" s="197"/>
      <c r="L266" s="197"/>
      <c r="M266" s="130"/>
      <c r="N266" s="130"/>
    </row>
    <row r="267" customFormat="false" ht="12" hidden="false" customHeight="false" outlineLevel="0" collapsed="false">
      <c r="E267" s="130"/>
      <c r="F267" s="130"/>
      <c r="G267" s="130"/>
      <c r="H267" s="130"/>
      <c r="I267" s="130"/>
      <c r="J267" s="130"/>
      <c r="K267" s="197"/>
      <c r="L267" s="197"/>
      <c r="M267" s="130"/>
      <c r="N267" s="130"/>
    </row>
    <row r="268" customFormat="false" ht="12" hidden="false" customHeight="false" outlineLevel="0" collapsed="false">
      <c r="E268" s="130"/>
      <c r="F268" s="130"/>
      <c r="G268" s="130"/>
      <c r="H268" s="130"/>
      <c r="I268" s="130"/>
      <c r="J268" s="130"/>
      <c r="K268" s="197"/>
      <c r="L268" s="197"/>
      <c r="M268" s="130"/>
      <c r="N268" s="130"/>
    </row>
    <row r="269" customFormat="false" ht="12" hidden="false" customHeight="false" outlineLevel="0" collapsed="false">
      <c r="E269" s="130"/>
      <c r="F269" s="130"/>
      <c r="G269" s="130"/>
      <c r="H269" s="130"/>
      <c r="I269" s="130"/>
      <c r="J269" s="130"/>
      <c r="K269" s="197"/>
      <c r="L269" s="197"/>
      <c r="M269" s="130"/>
      <c r="N269" s="130"/>
    </row>
    <row r="270" customFormat="false" ht="12" hidden="false" customHeight="false" outlineLevel="0" collapsed="false">
      <c r="E270" s="130"/>
      <c r="F270" s="130"/>
      <c r="G270" s="130"/>
      <c r="H270" s="130"/>
      <c r="I270" s="130"/>
      <c r="J270" s="130"/>
      <c r="K270" s="197"/>
      <c r="L270" s="197"/>
      <c r="M270" s="130"/>
      <c r="N270" s="130"/>
    </row>
    <row r="271" customFormat="false" ht="12" hidden="false" customHeight="false" outlineLevel="0" collapsed="false">
      <c r="E271" s="130"/>
      <c r="F271" s="130"/>
      <c r="G271" s="130"/>
      <c r="H271" s="130"/>
      <c r="I271" s="130"/>
      <c r="J271" s="130"/>
      <c r="K271" s="197"/>
      <c r="L271" s="197"/>
      <c r="M271" s="130"/>
      <c r="N271" s="130"/>
    </row>
    <row r="272" customFormat="false" ht="12" hidden="false" customHeight="false" outlineLevel="0" collapsed="false">
      <c r="E272" s="130"/>
      <c r="F272" s="130"/>
      <c r="G272" s="130"/>
      <c r="H272" s="130"/>
      <c r="I272" s="130"/>
      <c r="J272" s="130"/>
      <c r="K272" s="197"/>
      <c r="L272" s="197"/>
      <c r="M272" s="130"/>
      <c r="N272" s="130"/>
    </row>
    <row r="273" customFormat="false" ht="12" hidden="false" customHeight="false" outlineLevel="0" collapsed="false">
      <c r="E273" s="130"/>
      <c r="F273" s="130"/>
      <c r="G273" s="130"/>
      <c r="H273" s="130"/>
      <c r="I273" s="130"/>
      <c r="J273" s="130"/>
      <c r="K273" s="197"/>
      <c r="L273" s="197"/>
      <c r="M273" s="130"/>
      <c r="N273" s="130"/>
    </row>
    <row r="274" customFormat="false" ht="12" hidden="false" customHeight="false" outlineLevel="0" collapsed="false">
      <c r="E274" s="130"/>
      <c r="F274" s="130"/>
      <c r="G274" s="130"/>
      <c r="H274" s="130"/>
      <c r="I274" s="130"/>
      <c r="J274" s="130"/>
      <c r="K274" s="197"/>
      <c r="L274" s="197"/>
      <c r="M274" s="130"/>
      <c r="N274" s="130"/>
    </row>
    <row r="275" customFormat="false" ht="12" hidden="false" customHeight="false" outlineLevel="0" collapsed="false">
      <c r="E275" s="130"/>
      <c r="F275" s="130"/>
      <c r="G275" s="130"/>
      <c r="H275" s="130"/>
      <c r="I275" s="130"/>
      <c r="J275" s="130"/>
      <c r="K275" s="197"/>
      <c r="L275" s="197"/>
      <c r="M275" s="130"/>
      <c r="N275" s="130"/>
    </row>
    <row r="276" customFormat="false" ht="12" hidden="false" customHeight="false" outlineLevel="0" collapsed="false">
      <c r="E276" s="130"/>
      <c r="F276" s="130"/>
      <c r="G276" s="130"/>
      <c r="H276" s="130"/>
      <c r="I276" s="130"/>
      <c r="J276" s="130"/>
      <c r="K276" s="197"/>
      <c r="L276" s="197"/>
      <c r="M276" s="130"/>
      <c r="N276" s="130"/>
    </row>
    <row r="277" customFormat="false" ht="12" hidden="false" customHeight="false" outlineLevel="0" collapsed="false">
      <c r="E277" s="130"/>
      <c r="F277" s="130"/>
      <c r="G277" s="130"/>
      <c r="H277" s="130"/>
      <c r="I277" s="130"/>
      <c r="J277" s="130"/>
      <c r="K277" s="197"/>
      <c r="L277" s="197"/>
      <c r="M277" s="130"/>
      <c r="N277" s="130"/>
    </row>
    <row r="278" customFormat="false" ht="12" hidden="false" customHeight="false" outlineLevel="0" collapsed="false">
      <c r="E278" s="130"/>
      <c r="F278" s="130"/>
      <c r="G278" s="130"/>
      <c r="H278" s="130"/>
      <c r="I278" s="130"/>
      <c r="J278" s="130"/>
      <c r="K278" s="197"/>
      <c r="L278" s="197"/>
      <c r="M278" s="130"/>
      <c r="N278" s="130"/>
    </row>
    <row r="279" customFormat="false" ht="12" hidden="false" customHeight="false" outlineLevel="0" collapsed="false">
      <c r="E279" s="130"/>
      <c r="F279" s="130"/>
      <c r="G279" s="130"/>
      <c r="H279" s="130"/>
      <c r="I279" s="130"/>
      <c r="J279" s="130"/>
      <c r="K279" s="197"/>
      <c r="L279" s="197"/>
      <c r="M279" s="130"/>
      <c r="N279" s="130"/>
    </row>
    <row r="280" customFormat="false" ht="12" hidden="false" customHeight="false" outlineLevel="0" collapsed="false">
      <c r="E280" s="130"/>
      <c r="F280" s="130"/>
      <c r="G280" s="130"/>
      <c r="H280" s="130"/>
      <c r="I280" s="130"/>
      <c r="J280" s="130"/>
      <c r="K280" s="197"/>
      <c r="L280" s="197"/>
      <c r="M280" s="130"/>
      <c r="N280" s="130"/>
    </row>
    <row r="281" customFormat="false" ht="12" hidden="false" customHeight="false" outlineLevel="0" collapsed="false">
      <c r="E281" s="130"/>
      <c r="F281" s="130"/>
      <c r="G281" s="130"/>
      <c r="H281" s="130"/>
      <c r="I281" s="130"/>
      <c r="J281" s="130"/>
      <c r="K281" s="197"/>
      <c r="L281" s="197"/>
      <c r="M281" s="130"/>
      <c r="N281" s="130"/>
    </row>
    <row r="282" customFormat="false" ht="12" hidden="false" customHeight="false" outlineLevel="0" collapsed="false">
      <c r="E282" s="130"/>
      <c r="F282" s="130"/>
      <c r="G282" s="130"/>
      <c r="H282" s="130"/>
      <c r="I282" s="130"/>
      <c r="J282" s="130"/>
      <c r="K282" s="197"/>
      <c r="L282" s="197"/>
      <c r="M282" s="130"/>
      <c r="N282" s="130"/>
    </row>
    <row r="283" customFormat="false" ht="12" hidden="false" customHeight="false" outlineLevel="0" collapsed="false">
      <c r="E283" s="130"/>
      <c r="F283" s="130"/>
      <c r="G283" s="130"/>
      <c r="H283" s="130"/>
      <c r="I283" s="130"/>
      <c r="J283" s="130"/>
      <c r="K283" s="197"/>
      <c r="L283" s="197"/>
      <c r="M283" s="130"/>
      <c r="N283" s="130"/>
    </row>
    <row r="284" customFormat="false" ht="12" hidden="false" customHeight="false" outlineLevel="0" collapsed="false">
      <c r="E284" s="130"/>
      <c r="F284" s="130"/>
      <c r="G284" s="130"/>
      <c r="H284" s="130"/>
      <c r="I284" s="130"/>
      <c r="J284" s="130"/>
      <c r="K284" s="197"/>
      <c r="L284" s="197"/>
      <c r="M284" s="130"/>
      <c r="N284" s="130"/>
    </row>
    <row r="285" customFormat="false" ht="12" hidden="false" customHeight="false" outlineLevel="0" collapsed="false">
      <c r="E285" s="130"/>
      <c r="F285" s="130"/>
      <c r="G285" s="130"/>
      <c r="H285" s="130"/>
      <c r="I285" s="130"/>
      <c r="J285" s="130"/>
      <c r="K285" s="197"/>
      <c r="L285" s="197"/>
      <c r="M285" s="130"/>
      <c r="N285" s="130"/>
    </row>
    <row r="286" customFormat="false" ht="12" hidden="false" customHeight="false" outlineLevel="0" collapsed="false">
      <c r="E286" s="130"/>
      <c r="F286" s="130"/>
      <c r="G286" s="130"/>
      <c r="H286" s="130"/>
      <c r="I286" s="130"/>
      <c r="J286" s="130"/>
      <c r="K286" s="197"/>
      <c r="L286" s="197"/>
      <c r="M286" s="130"/>
      <c r="N286" s="130"/>
    </row>
    <row r="287" customFormat="false" ht="12" hidden="false" customHeight="false" outlineLevel="0" collapsed="false">
      <c r="E287" s="130"/>
      <c r="F287" s="130"/>
      <c r="G287" s="130"/>
      <c r="H287" s="130"/>
      <c r="I287" s="130"/>
      <c r="J287" s="130"/>
      <c r="K287" s="197"/>
      <c r="L287" s="197"/>
      <c r="M287" s="130"/>
      <c r="N287" s="130"/>
    </row>
    <row r="288" customFormat="false" ht="12" hidden="false" customHeight="false" outlineLevel="0" collapsed="false">
      <c r="E288" s="130"/>
      <c r="F288" s="130"/>
      <c r="G288" s="130"/>
      <c r="H288" s="130"/>
      <c r="I288" s="130"/>
      <c r="J288" s="130"/>
      <c r="K288" s="197"/>
      <c r="L288" s="197"/>
      <c r="M288" s="130"/>
      <c r="N288" s="130"/>
    </row>
    <row r="289" customFormat="false" ht="12" hidden="false" customHeight="false" outlineLevel="0" collapsed="false">
      <c r="E289" s="130"/>
      <c r="F289" s="130"/>
      <c r="G289" s="130"/>
      <c r="H289" s="130"/>
      <c r="I289" s="130"/>
      <c r="J289" s="130"/>
      <c r="K289" s="197"/>
      <c r="L289" s="197"/>
      <c r="M289" s="130"/>
      <c r="N289" s="130"/>
    </row>
    <row r="290" customFormat="false" ht="12" hidden="false" customHeight="false" outlineLevel="0" collapsed="false">
      <c r="E290" s="130"/>
      <c r="F290" s="130"/>
      <c r="G290" s="130"/>
      <c r="H290" s="130"/>
      <c r="I290" s="130"/>
      <c r="J290" s="130"/>
      <c r="K290" s="197"/>
      <c r="L290" s="197"/>
      <c r="M290" s="130"/>
      <c r="N290" s="130"/>
    </row>
    <row r="291" customFormat="false" ht="12" hidden="false" customHeight="false" outlineLevel="0" collapsed="false">
      <c r="E291" s="130"/>
      <c r="F291" s="130"/>
      <c r="G291" s="130"/>
      <c r="H291" s="130"/>
      <c r="I291" s="130"/>
      <c r="J291" s="130"/>
      <c r="K291" s="197"/>
      <c r="L291" s="197"/>
      <c r="M291" s="130"/>
      <c r="N291" s="130"/>
    </row>
    <row r="292" customFormat="false" ht="12" hidden="false" customHeight="false" outlineLevel="0" collapsed="false">
      <c r="E292" s="130"/>
      <c r="F292" s="130"/>
      <c r="G292" s="130"/>
      <c r="H292" s="130"/>
      <c r="I292" s="130"/>
      <c r="J292" s="130"/>
      <c r="K292" s="197"/>
      <c r="L292" s="197"/>
      <c r="M292" s="130"/>
      <c r="N292" s="130"/>
    </row>
    <row r="293" customFormat="false" ht="12" hidden="false" customHeight="false" outlineLevel="0" collapsed="false">
      <c r="E293" s="130"/>
      <c r="F293" s="130"/>
      <c r="G293" s="130"/>
      <c r="H293" s="130"/>
      <c r="I293" s="130"/>
      <c r="J293" s="130"/>
      <c r="K293" s="197"/>
      <c r="L293" s="197"/>
      <c r="M293" s="130"/>
      <c r="N293" s="130"/>
    </row>
    <row r="294" customFormat="false" ht="12" hidden="false" customHeight="false" outlineLevel="0" collapsed="false">
      <c r="E294" s="130"/>
      <c r="F294" s="130"/>
      <c r="G294" s="130"/>
      <c r="H294" s="130"/>
      <c r="I294" s="130"/>
      <c r="J294" s="130"/>
      <c r="K294" s="197"/>
      <c r="L294" s="197"/>
      <c r="M294" s="130"/>
      <c r="N294" s="130"/>
    </row>
    <row r="295" customFormat="false" ht="12" hidden="false" customHeight="false" outlineLevel="0" collapsed="false">
      <c r="E295" s="130"/>
      <c r="F295" s="130"/>
      <c r="G295" s="130"/>
      <c r="H295" s="130"/>
      <c r="I295" s="130"/>
      <c r="J295" s="130"/>
      <c r="K295" s="197"/>
      <c r="L295" s="197"/>
      <c r="M295" s="130"/>
      <c r="N295" s="130"/>
    </row>
    <row r="296" customFormat="false" ht="12" hidden="false" customHeight="false" outlineLevel="0" collapsed="false">
      <c r="E296" s="130"/>
      <c r="F296" s="130"/>
      <c r="G296" s="130"/>
      <c r="H296" s="130"/>
      <c r="I296" s="130"/>
      <c r="J296" s="130"/>
      <c r="K296" s="197"/>
      <c r="L296" s="197"/>
      <c r="M296" s="130"/>
      <c r="N296" s="130"/>
    </row>
    <row r="297" customFormat="false" ht="12" hidden="false" customHeight="false" outlineLevel="0" collapsed="false">
      <c r="E297" s="130"/>
      <c r="F297" s="130"/>
      <c r="G297" s="130"/>
      <c r="H297" s="130"/>
      <c r="I297" s="130"/>
      <c r="J297" s="130"/>
      <c r="K297" s="197"/>
      <c r="L297" s="197"/>
      <c r="M297" s="130"/>
      <c r="N297" s="130"/>
    </row>
    <row r="298" customFormat="false" ht="12" hidden="false" customHeight="false" outlineLevel="0" collapsed="false">
      <c r="E298" s="130"/>
      <c r="F298" s="130"/>
      <c r="G298" s="130"/>
      <c r="H298" s="130"/>
      <c r="I298" s="130"/>
      <c r="J298" s="130"/>
      <c r="K298" s="197"/>
      <c r="L298" s="197"/>
      <c r="M298" s="130"/>
      <c r="N298" s="130"/>
    </row>
    <row r="299" customFormat="false" ht="12" hidden="false" customHeight="false" outlineLevel="0" collapsed="false">
      <c r="E299" s="130"/>
      <c r="F299" s="130"/>
      <c r="G299" s="130"/>
      <c r="H299" s="130"/>
      <c r="I299" s="130"/>
      <c r="J299" s="130"/>
      <c r="K299" s="197"/>
      <c r="L299" s="197"/>
      <c r="M299" s="130"/>
      <c r="N299" s="130"/>
    </row>
    <row r="300" customFormat="false" ht="12" hidden="false" customHeight="false" outlineLevel="0" collapsed="false">
      <c r="E300" s="130"/>
      <c r="F300" s="130"/>
      <c r="G300" s="130"/>
      <c r="H300" s="130"/>
      <c r="I300" s="130"/>
      <c r="J300" s="130"/>
      <c r="K300" s="197"/>
      <c r="L300" s="197"/>
      <c r="M300" s="130"/>
      <c r="N300" s="130"/>
    </row>
    <row r="301" customFormat="false" ht="12" hidden="false" customHeight="false" outlineLevel="0" collapsed="false">
      <c r="E301" s="130"/>
      <c r="F301" s="130"/>
      <c r="G301" s="130"/>
      <c r="H301" s="130"/>
      <c r="I301" s="130"/>
      <c r="J301" s="130"/>
      <c r="K301" s="197"/>
      <c r="L301" s="197"/>
      <c r="M301" s="130"/>
      <c r="N301" s="130"/>
    </row>
    <row r="302" customFormat="false" ht="12" hidden="false" customHeight="false" outlineLevel="0" collapsed="false">
      <c r="E302" s="130"/>
      <c r="F302" s="130"/>
      <c r="G302" s="130"/>
      <c r="H302" s="130"/>
      <c r="I302" s="130"/>
      <c r="J302" s="130"/>
      <c r="K302" s="197"/>
      <c r="L302" s="197"/>
      <c r="M302" s="130"/>
      <c r="N302" s="130"/>
    </row>
    <row r="303" customFormat="false" ht="12" hidden="false" customHeight="false" outlineLevel="0" collapsed="false">
      <c r="E303" s="130"/>
      <c r="F303" s="130"/>
      <c r="G303" s="130"/>
      <c r="H303" s="130"/>
      <c r="I303" s="130"/>
      <c r="J303" s="130"/>
      <c r="K303" s="197"/>
      <c r="L303" s="197"/>
      <c r="M303" s="130"/>
      <c r="N303" s="130"/>
    </row>
    <row r="304" customFormat="false" ht="12" hidden="false" customHeight="false" outlineLevel="0" collapsed="false">
      <c r="E304" s="130"/>
      <c r="F304" s="130"/>
      <c r="G304" s="130"/>
      <c r="H304" s="130"/>
      <c r="I304" s="130"/>
      <c r="J304" s="130"/>
      <c r="K304" s="197"/>
      <c r="L304" s="197"/>
      <c r="M304" s="130"/>
      <c r="N304" s="130"/>
    </row>
    <row r="305" customFormat="false" ht="12" hidden="false" customHeight="false" outlineLevel="0" collapsed="false">
      <c r="E305" s="130"/>
      <c r="F305" s="130"/>
      <c r="G305" s="130"/>
      <c r="H305" s="130"/>
      <c r="I305" s="130"/>
      <c r="J305" s="130"/>
      <c r="K305" s="197"/>
      <c r="L305" s="197"/>
      <c r="M305" s="130"/>
      <c r="N305" s="130"/>
    </row>
    <row r="306" customFormat="false" ht="12" hidden="false" customHeight="false" outlineLevel="0" collapsed="false">
      <c r="E306" s="130"/>
      <c r="F306" s="130"/>
      <c r="G306" s="130"/>
      <c r="H306" s="130"/>
      <c r="I306" s="130"/>
      <c r="J306" s="130"/>
      <c r="K306" s="197"/>
      <c r="L306" s="197"/>
      <c r="M306" s="130"/>
      <c r="N306" s="130"/>
    </row>
    <row r="307" customFormat="false" ht="12" hidden="false" customHeight="false" outlineLevel="0" collapsed="false">
      <c r="E307" s="130"/>
      <c r="F307" s="130"/>
      <c r="G307" s="130"/>
      <c r="H307" s="130"/>
      <c r="I307" s="130"/>
      <c r="J307" s="130"/>
      <c r="K307" s="197"/>
      <c r="L307" s="197"/>
      <c r="M307" s="130"/>
      <c r="N307" s="130"/>
    </row>
    <row r="308" customFormat="false" ht="12" hidden="false" customHeight="false" outlineLevel="0" collapsed="false">
      <c r="E308" s="130"/>
      <c r="F308" s="130"/>
      <c r="G308" s="130"/>
      <c r="H308" s="130"/>
      <c r="I308" s="130"/>
      <c r="J308" s="130"/>
      <c r="K308" s="197"/>
      <c r="L308" s="197"/>
      <c r="M308" s="130"/>
      <c r="N308" s="130"/>
    </row>
    <row r="309" customFormat="false" ht="12" hidden="false" customHeight="false" outlineLevel="0" collapsed="false">
      <c r="E309" s="130"/>
      <c r="F309" s="130"/>
      <c r="G309" s="130"/>
      <c r="H309" s="130"/>
      <c r="I309" s="130"/>
      <c r="J309" s="130"/>
      <c r="K309" s="197"/>
      <c r="L309" s="197"/>
      <c r="M309" s="130"/>
      <c r="N309" s="130"/>
    </row>
    <row r="310" customFormat="false" ht="12" hidden="false" customHeight="false" outlineLevel="0" collapsed="false">
      <c r="E310" s="130"/>
      <c r="F310" s="130"/>
      <c r="G310" s="130"/>
      <c r="H310" s="130"/>
      <c r="I310" s="130"/>
      <c r="J310" s="130"/>
      <c r="K310" s="197"/>
      <c r="L310" s="197"/>
      <c r="M310" s="130"/>
      <c r="N310" s="130"/>
    </row>
    <row r="311" customFormat="false" ht="12" hidden="false" customHeight="false" outlineLevel="0" collapsed="false">
      <c r="E311" s="130"/>
      <c r="F311" s="130"/>
      <c r="G311" s="130"/>
      <c r="H311" s="130"/>
      <c r="I311" s="130"/>
      <c r="J311" s="130"/>
      <c r="K311" s="197"/>
      <c r="L311" s="197"/>
      <c r="M311" s="130"/>
      <c r="N311" s="130"/>
    </row>
    <row r="312" customFormat="false" ht="12" hidden="false" customHeight="false" outlineLevel="0" collapsed="false">
      <c r="E312" s="130"/>
      <c r="F312" s="130"/>
      <c r="G312" s="130"/>
      <c r="H312" s="130"/>
      <c r="I312" s="130"/>
      <c r="J312" s="130"/>
      <c r="K312" s="197"/>
      <c r="L312" s="197"/>
      <c r="M312" s="130"/>
      <c r="N312" s="130"/>
    </row>
    <row r="313" customFormat="false" ht="12" hidden="false" customHeight="false" outlineLevel="0" collapsed="false">
      <c r="E313" s="130"/>
      <c r="F313" s="130"/>
      <c r="G313" s="130"/>
      <c r="H313" s="130"/>
      <c r="I313" s="130"/>
      <c r="J313" s="130"/>
      <c r="K313" s="197"/>
      <c r="L313" s="197"/>
      <c r="M313" s="130"/>
      <c r="N313" s="130"/>
    </row>
    <row r="314" customFormat="false" ht="12" hidden="false" customHeight="false" outlineLevel="0" collapsed="false">
      <c r="E314" s="130"/>
      <c r="F314" s="130"/>
      <c r="G314" s="130"/>
      <c r="H314" s="130"/>
      <c r="I314" s="130"/>
      <c r="J314" s="130"/>
      <c r="K314" s="197"/>
      <c r="L314" s="197"/>
      <c r="M314" s="130"/>
      <c r="N314" s="130"/>
    </row>
    <row r="315" customFormat="false" ht="12" hidden="false" customHeight="false" outlineLevel="0" collapsed="false">
      <c r="E315" s="130"/>
      <c r="F315" s="130"/>
      <c r="G315" s="130"/>
      <c r="H315" s="130"/>
      <c r="I315" s="130"/>
      <c r="J315" s="130"/>
      <c r="K315" s="197"/>
      <c r="L315" s="197"/>
      <c r="M315" s="130"/>
      <c r="N315" s="130"/>
    </row>
    <row r="316" customFormat="false" ht="12" hidden="false" customHeight="false" outlineLevel="0" collapsed="false">
      <c r="E316" s="130"/>
      <c r="F316" s="130"/>
      <c r="G316" s="130"/>
      <c r="H316" s="130"/>
      <c r="I316" s="130"/>
      <c r="J316" s="130"/>
      <c r="K316" s="197"/>
      <c r="L316" s="197"/>
      <c r="M316" s="130"/>
      <c r="N316" s="130"/>
    </row>
    <row r="317" customFormat="false" ht="12" hidden="false" customHeight="false" outlineLevel="0" collapsed="false">
      <c r="E317" s="130"/>
      <c r="F317" s="130"/>
      <c r="G317" s="130"/>
      <c r="H317" s="130"/>
      <c r="I317" s="130"/>
      <c r="J317" s="130"/>
      <c r="K317" s="197"/>
      <c r="L317" s="197"/>
      <c r="M317" s="130"/>
      <c r="N317" s="130"/>
    </row>
    <row r="318" customFormat="false" ht="12" hidden="false" customHeight="false" outlineLevel="0" collapsed="false">
      <c r="E318" s="130"/>
      <c r="F318" s="130"/>
      <c r="G318" s="130"/>
      <c r="H318" s="130"/>
      <c r="I318" s="130"/>
      <c r="J318" s="130"/>
      <c r="K318" s="197"/>
      <c r="L318" s="197"/>
      <c r="M318" s="130"/>
      <c r="N318" s="130"/>
    </row>
    <row r="319" customFormat="false" ht="12" hidden="false" customHeight="false" outlineLevel="0" collapsed="false">
      <c r="E319" s="130"/>
      <c r="F319" s="130"/>
      <c r="G319" s="130"/>
      <c r="H319" s="130"/>
      <c r="I319" s="130"/>
      <c r="J319" s="130"/>
      <c r="K319" s="197"/>
      <c r="L319" s="197"/>
      <c r="M319" s="130"/>
      <c r="N319" s="130"/>
    </row>
    <row r="320" customFormat="false" ht="12" hidden="false" customHeight="false" outlineLevel="0" collapsed="false">
      <c r="E320" s="130"/>
      <c r="F320" s="130"/>
      <c r="G320" s="130"/>
      <c r="H320" s="130"/>
      <c r="I320" s="130"/>
      <c r="J320" s="130"/>
      <c r="K320" s="197"/>
      <c r="L320" s="197"/>
      <c r="M320" s="130"/>
      <c r="N320" s="130"/>
    </row>
    <row r="321" customFormat="false" ht="12" hidden="false" customHeight="false" outlineLevel="0" collapsed="false">
      <c r="E321" s="130"/>
      <c r="F321" s="130"/>
      <c r="G321" s="130"/>
      <c r="H321" s="130"/>
      <c r="I321" s="130"/>
      <c r="J321" s="130"/>
      <c r="K321" s="197"/>
      <c r="L321" s="197"/>
      <c r="M321" s="130"/>
      <c r="N321" s="130"/>
    </row>
    <row r="322" customFormat="false" ht="12" hidden="false" customHeight="false" outlineLevel="0" collapsed="false">
      <c r="E322" s="130"/>
      <c r="F322" s="130"/>
      <c r="G322" s="130"/>
      <c r="H322" s="130"/>
      <c r="I322" s="130"/>
      <c r="J322" s="130"/>
      <c r="K322" s="197"/>
      <c r="L322" s="197"/>
      <c r="M322" s="130"/>
      <c r="N322" s="130"/>
    </row>
    <row r="323" customFormat="false" ht="12" hidden="false" customHeight="false" outlineLevel="0" collapsed="false">
      <c r="E323" s="130"/>
      <c r="F323" s="130"/>
      <c r="G323" s="130"/>
      <c r="H323" s="130"/>
      <c r="I323" s="130"/>
      <c r="J323" s="130"/>
      <c r="K323" s="197"/>
      <c r="L323" s="197"/>
      <c r="M323" s="130"/>
      <c r="N323" s="130"/>
    </row>
    <row r="324" customFormat="false" ht="12" hidden="false" customHeight="false" outlineLevel="0" collapsed="false">
      <c r="E324" s="130"/>
      <c r="F324" s="130"/>
      <c r="G324" s="130"/>
      <c r="H324" s="130"/>
      <c r="I324" s="130"/>
      <c r="J324" s="130"/>
      <c r="K324" s="197"/>
      <c r="L324" s="197"/>
      <c r="M324" s="130"/>
      <c r="N324" s="130"/>
    </row>
    <row r="325" customFormat="false" ht="12" hidden="false" customHeight="false" outlineLevel="0" collapsed="false">
      <c r="E325" s="130"/>
      <c r="F325" s="130"/>
      <c r="G325" s="130"/>
      <c r="H325" s="130"/>
      <c r="I325" s="130"/>
      <c r="J325" s="130"/>
      <c r="K325" s="197"/>
      <c r="L325" s="197"/>
      <c r="M325" s="130"/>
      <c r="N325" s="130"/>
    </row>
    <row r="326" customFormat="false" ht="12" hidden="false" customHeight="false" outlineLevel="0" collapsed="false">
      <c r="E326" s="130"/>
      <c r="F326" s="130"/>
      <c r="G326" s="130"/>
      <c r="H326" s="130"/>
      <c r="I326" s="130"/>
      <c r="J326" s="130"/>
      <c r="K326" s="197"/>
      <c r="L326" s="197"/>
      <c r="M326" s="130"/>
      <c r="N326" s="130"/>
    </row>
    <row r="327" customFormat="false" ht="12" hidden="false" customHeight="false" outlineLevel="0" collapsed="false">
      <c r="E327" s="130"/>
      <c r="F327" s="130"/>
      <c r="G327" s="130"/>
      <c r="H327" s="130"/>
      <c r="I327" s="130"/>
      <c r="J327" s="130"/>
      <c r="K327" s="197"/>
      <c r="L327" s="197"/>
      <c r="M327" s="130"/>
      <c r="N327" s="130"/>
    </row>
    <row r="328" customFormat="false" ht="12" hidden="false" customHeight="false" outlineLevel="0" collapsed="false">
      <c r="E328" s="130"/>
      <c r="F328" s="130"/>
      <c r="G328" s="130"/>
      <c r="H328" s="130"/>
      <c r="I328" s="130"/>
      <c r="J328" s="130"/>
      <c r="K328" s="197"/>
      <c r="L328" s="197"/>
      <c r="M328" s="130"/>
      <c r="N328" s="130"/>
    </row>
    <row r="329" customFormat="false" ht="12" hidden="false" customHeight="false" outlineLevel="0" collapsed="false">
      <c r="E329" s="130"/>
      <c r="F329" s="130"/>
      <c r="G329" s="130"/>
      <c r="H329" s="130"/>
      <c r="I329" s="130"/>
      <c r="J329" s="130"/>
      <c r="K329" s="197"/>
      <c r="L329" s="197"/>
      <c r="M329" s="130"/>
      <c r="N329" s="130"/>
    </row>
    <row r="330" customFormat="false" ht="12" hidden="false" customHeight="false" outlineLevel="0" collapsed="false">
      <c r="E330" s="130"/>
      <c r="F330" s="130"/>
      <c r="G330" s="130"/>
      <c r="H330" s="130"/>
      <c r="I330" s="130"/>
      <c r="J330" s="130"/>
      <c r="K330" s="197"/>
      <c r="L330" s="197"/>
      <c r="M330" s="130"/>
      <c r="N330" s="130"/>
    </row>
    <row r="331" customFormat="false" ht="12" hidden="false" customHeight="false" outlineLevel="0" collapsed="false">
      <c r="E331" s="130"/>
      <c r="F331" s="130"/>
      <c r="G331" s="130"/>
      <c r="H331" s="130"/>
      <c r="I331" s="130"/>
      <c r="J331" s="130"/>
      <c r="K331" s="197"/>
      <c r="L331" s="197"/>
      <c r="M331" s="130"/>
      <c r="N331" s="130"/>
    </row>
    <row r="332" customFormat="false" ht="12" hidden="false" customHeight="false" outlineLevel="0" collapsed="false">
      <c r="E332" s="130"/>
      <c r="F332" s="130"/>
      <c r="G332" s="130"/>
      <c r="H332" s="130"/>
      <c r="I332" s="130"/>
      <c r="J332" s="130"/>
      <c r="K332" s="197"/>
      <c r="L332" s="197"/>
      <c r="M332" s="130"/>
      <c r="N332" s="130"/>
    </row>
    <row r="333" customFormat="false" ht="12" hidden="false" customHeight="false" outlineLevel="0" collapsed="false">
      <c r="E333" s="130"/>
      <c r="F333" s="130"/>
      <c r="G333" s="130"/>
      <c r="H333" s="130"/>
      <c r="I333" s="130"/>
      <c r="J333" s="130"/>
      <c r="K333" s="197"/>
      <c r="L333" s="197"/>
      <c r="M333" s="130"/>
      <c r="N333" s="130"/>
    </row>
    <row r="334" customFormat="false" ht="12" hidden="false" customHeight="false" outlineLevel="0" collapsed="false">
      <c r="E334" s="130"/>
      <c r="F334" s="130"/>
      <c r="G334" s="130"/>
      <c r="H334" s="130"/>
      <c r="I334" s="130"/>
      <c r="J334" s="130"/>
      <c r="K334" s="197"/>
      <c r="L334" s="197"/>
      <c r="M334" s="130"/>
      <c r="N334" s="130"/>
    </row>
    <row r="335" customFormat="false" ht="12" hidden="false" customHeight="false" outlineLevel="0" collapsed="false">
      <c r="E335" s="130"/>
      <c r="F335" s="130"/>
      <c r="G335" s="130"/>
      <c r="H335" s="130"/>
      <c r="I335" s="130"/>
      <c r="J335" s="130"/>
      <c r="K335" s="197"/>
      <c r="L335" s="197"/>
      <c r="M335" s="130"/>
      <c r="N335" s="130"/>
    </row>
    <row r="336" customFormat="false" ht="12" hidden="false" customHeight="false" outlineLevel="0" collapsed="false">
      <c r="E336" s="130"/>
      <c r="F336" s="130"/>
      <c r="G336" s="130"/>
      <c r="H336" s="130"/>
      <c r="I336" s="130"/>
      <c r="J336" s="130"/>
      <c r="K336" s="197"/>
      <c r="L336" s="197"/>
      <c r="M336" s="130"/>
      <c r="N336" s="130"/>
    </row>
    <row r="337" customFormat="false" ht="12" hidden="false" customHeight="false" outlineLevel="0" collapsed="false">
      <c r="E337" s="130"/>
      <c r="F337" s="130"/>
      <c r="G337" s="130"/>
      <c r="H337" s="130"/>
      <c r="I337" s="130"/>
      <c r="J337" s="130"/>
      <c r="K337" s="197"/>
      <c r="L337" s="197"/>
      <c r="M337" s="130"/>
      <c r="N337" s="130"/>
    </row>
    <row r="338" customFormat="false" ht="12" hidden="false" customHeight="false" outlineLevel="0" collapsed="false">
      <c r="E338" s="130"/>
      <c r="F338" s="130"/>
      <c r="G338" s="130"/>
      <c r="H338" s="130"/>
      <c r="I338" s="130"/>
      <c r="J338" s="130"/>
      <c r="K338" s="197"/>
      <c r="L338" s="197"/>
      <c r="M338" s="130"/>
      <c r="N338" s="130"/>
    </row>
    <row r="339" customFormat="false" ht="12" hidden="false" customHeight="false" outlineLevel="0" collapsed="false">
      <c r="E339" s="130"/>
      <c r="F339" s="130"/>
      <c r="G339" s="130"/>
      <c r="H339" s="130"/>
      <c r="I339" s="130"/>
      <c r="J339" s="130"/>
      <c r="K339" s="197"/>
      <c r="L339" s="197"/>
      <c r="M339" s="130"/>
      <c r="N339" s="130"/>
    </row>
    <row r="340" customFormat="false" ht="12" hidden="false" customHeight="false" outlineLevel="0" collapsed="false">
      <c r="E340" s="130"/>
      <c r="F340" s="130"/>
      <c r="G340" s="130"/>
      <c r="H340" s="130"/>
      <c r="I340" s="130"/>
      <c r="J340" s="130"/>
      <c r="K340" s="197"/>
      <c r="L340" s="197"/>
      <c r="M340" s="130"/>
      <c r="N340" s="130"/>
    </row>
    <row r="341" customFormat="false" ht="12" hidden="false" customHeight="false" outlineLevel="0" collapsed="false">
      <c r="E341" s="130"/>
      <c r="F341" s="130"/>
      <c r="G341" s="130"/>
      <c r="H341" s="130"/>
      <c r="I341" s="130"/>
      <c r="J341" s="130"/>
      <c r="K341" s="197"/>
      <c r="L341" s="197"/>
      <c r="M341" s="130"/>
      <c r="N341" s="130"/>
    </row>
    <row r="342" customFormat="false" ht="12" hidden="false" customHeight="false" outlineLevel="0" collapsed="false">
      <c r="E342" s="130"/>
      <c r="F342" s="130"/>
      <c r="G342" s="130"/>
      <c r="H342" s="130"/>
      <c r="I342" s="130"/>
      <c r="J342" s="130"/>
      <c r="K342" s="197"/>
      <c r="L342" s="197"/>
      <c r="M342" s="130"/>
      <c r="N342" s="130"/>
    </row>
    <row r="343" customFormat="false" ht="12" hidden="false" customHeight="false" outlineLevel="0" collapsed="false">
      <c r="E343" s="130"/>
      <c r="F343" s="130"/>
      <c r="G343" s="130"/>
      <c r="H343" s="130"/>
      <c r="I343" s="130"/>
      <c r="J343" s="130"/>
      <c r="K343" s="197"/>
      <c r="L343" s="197"/>
      <c r="M343" s="130"/>
      <c r="N343" s="130"/>
    </row>
    <row r="344" customFormat="false" ht="12" hidden="false" customHeight="false" outlineLevel="0" collapsed="false">
      <c r="E344" s="130"/>
      <c r="F344" s="130"/>
      <c r="G344" s="130"/>
      <c r="H344" s="130"/>
      <c r="I344" s="130"/>
      <c r="J344" s="130"/>
      <c r="K344" s="197"/>
      <c r="L344" s="197"/>
      <c r="M344" s="130"/>
      <c r="N344" s="130"/>
    </row>
    <row r="345" customFormat="false" ht="12" hidden="false" customHeight="false" outlineLevel="0" collapsed="false">
      <c r="E345" s="130"/>
      <c r="F345" s="130"/>
      <c r="G345" s="130"/>
      <c r="H345" s="130"/>
      <c r="I345" s="130"/>
      <c r="J345" s="130"/>
      <c r="K345" s="197"/>
      <c r="L345" s="197"/>
      <c r="M345" s="130"/>
      <c r="N345" s="130"/>
    </row>
    <row r="346" customFormat="false" ht="12" hidden="false" customHeight="false" outlineLevel="0" collapsed="false">
      <c r="E346" s="130"/>
      <c r="F346" s="130"/>
      <c r="G346" s="130"/>
      <c r="H346" s="130"/>
      <c r="I346" s="130"/>
      <c r="J346" s="130"/>
      <c r="K346" s="197"/>
      <c r="L346" s="197"/>
      <c r="M346" s="130"/>
      <c r="N346" s="130"/>
    </row>
    <row r="347" customFormat="false" ht="12" hidden="false" customHeight="false" outlineLevel="0" collapsed="false">
      <c r="E347" s="130"/>
      <c r="F347" s="130"/>
      <c r="G347" s="130"/>
      <c r="H347" s="130"/>
      <c r="I347" s="130"/>
      <c r="J347" s="130"/>
      <c r="K347" s="197"/>
      <c r="L347" s="197"/>
      <c r="M347" s="130"/>
      <c r="N347" s="130"/>
    </row>
    <row r="348" customFormat="false" ht="12" hidden="false" customHeight="false" outlineLevel="0" collapsed="false">
      <c r="E348" s="130"/>
      <c r="F348" s="130"/>
      <c r="G348" s="130"/>
      <c r="H348" s="130"/>
      <c r="I348" s="130"/>
      <c r="J348" s="130"/>
      <c r="K348" s="197"/>
      <c r="L348" s="197"/>
      <c r="M348" s="130"/>
      <c r="N348" s="130"/>
    </row>
    <row r="349" customFormat="false" ht="12" hidden="false" customHeight="false" outlineLevel="0" collapsed="false">
      <c r="E349" s="130"/>
      <c r="F349" s="130"/>
      <c r="G349" s="130"/>
      <c r="H349" s="130"/>
      <c r="I349" s="130"/>
      <c r="J349" s="130"/>
      <c r="K349" s="197"/>
      <c r="L349" s="197"/>
      <c r="M349" s="130"/>
      <c r="N349" s="130"/>
    </row>
    <row r="350" customFormat="false" ht="12" hidden="false" customHeight="false" outlineLevel="0" collapsed="false">
      <c r="E350" s="130"/>
      <c r="F350" s="130"/>
      <c r="G350" s="130"/>
      <c r="H350" s="130"/>
      <c r="I350" s="130"/>
      <c r="J350" s="130"/>
      <c r="K350" s="197"/>
      <c r="L350" s="197"/>
      <c r="M350" s="130"/>
      <c r="N350" s="130"/>
    </row>
    <row r="351" customFormat="false" ht="12" hidden="false" customHeight="false" outlineLevel="0" collapsed="false">
      <c r="E351" s="130"/>
      <c r="F351" s="130"/>
      <c r="G351" s="130"/>
      <c r="H351" s="130"/>
      <c r="I351" s="130"/>
      <c r="J351" s="130"/>
      <c r="K351" s="197"/>
      <c r="L351" s="197"/>
      <c r="M351" s="130"/>
      <c r="N351" s="130"/>
    </row>
    <row r="352" customFormat="false" ht="12" hidden="false" customHeight="false" outlineLevel="0" collapsed="false">
      <c r="E352" s="130"/>
      <c r="F352" s="130"/>
      <c r="G352" s="130"/>
      <c r="H352" s="130"/>
      <c r="I352" s="130"/>
      <c r="J352" s="130"/>
      <c r="K352" s="197"/>
      <c r="L352" s="197"/>
      <c r="M352" s="130"/>
      <c r="N352" s="130"/>
    </row>
    <row r="353" customFormat="false" ht="12" hidden="false" customHeight="false" outlineLevel="0" collapsed="false">
      <c r="E353" s="130"/>
      <c r="F353" s="130"/>
      <c r="G353" s="130"/>
      <c r="H353" s="130"/>
      <c r="I353" s="130"/>
      <c r="J353" s="130"/>
      <c r="K353" s="197"/>
      <c r="L353" s="197"/>
      <c r="M353" s="130"/>
      <c r="N353" s="130"/>
    </row>
    <row r="354" customFormat="false" ht="12" hidden="false" customHeight="false" outlineLevel="0" collapsed="false">
      <c r="E354" s="130"/>
      <c r="F354" s="130"/>
      <c r="G354" s="130"/>
      <c r="H354" s="130"/>
      <c r="I354" s="130"/>
      <c r="J354" s="130"/>
      <c r="K354" s="197"/>
      <c r="L354" s="197"/>
      <c r="M354" s="130"/>
      <c r="N354" s="130"/>
    </row>
    <row r="355" customFormat="false" ht="12" hidden="false" customHeight="false" outlineLevel="0" collapsed="false">
      <c r="E355" s="130"/>
      <c r="F355" s="130"/>
      <c r="G355" s="130"/>
      <c r="H355" s="130"/>
      <c r="I355" s="130"/>
      <c r="J355" s="130"/>
      <c r="K355" s="197"/>
      <c r="L355" s="197"/>
      <c r="M355" s="130"/>
      <c r="N355" s="130"/>
    </row>
    <row r="356" customFormat="false" ht="12" hidden="false" customHeight="false" outlineLevel="0" collapsed="false">
      <c r="E356" s="130"/>
      <c r="F356" s="130"/>
      <c r="G356" s="130"/>
      <c r="H356" s="130"/>
      <c r="I356" s="130"/>
      <c r="J356" s="130"/>
      <c r="K356" s="197"/>
      <c r="L356" s="197"/>
      <c r="M356" s="130"/>
      <c r="N356" s="130"/>
    </row>
    <row r="357" customFormat="false" ht="12" hidden="false" customHeight="false" outlineLevel="0" collapsed="false">
      <c r="E357" s="130"/>
      <c r="F357" s="130"/>
      <c r="G357" s="130"/>
      <c r="H357" s="130"/>
      <c r="I357" s="130"/>
      <c r="J357" s="130"/>
      <c r="K357" s="197"/>
      <c r="L357" s="197"/>
      <c r="M357" s="130"/>
      <c r="N357" s="130"/>
    </row>
    <row r="358" customFormat="false" ht="12" hidden="false" customHeight="false" outlineLevel="0" collapsed="false">
      <c r="E358" s="130"/>
      <c r="F358" s="130"/>
      <c r="G358" s="130"/>
      <c r="H358" s="130"/>
      <c r="I358" s="130"/>
      <c r="J358" s="130"/>
      <c r="K358" s="197"/>
      <c r="L358" s="197"/>
      <c r="M358" s="130"/>
      <c r="N358" s="130"/>
    </row>
    <row r="359" customFormat="false" ht="12" hidden="false" customHeight="false" outlineLevel="0" collapsed="false">
      <c r="E359" s="130"/>
      <c r="F359" s="130"/>
      <c r="G359" s="130"/>
      <c r="H359" s="130"/>
      <c r="I359" s="130"/>
      <c r="J359" s="130"/>
      <c r="K359" s="197"/>
      <c r="L359" s="197"/>
      <c r="M359" s="130"/>
      <c r="N359" s="130"/>
    </row>
    <row r="360" customFormat="false" ht="12" hidden="false" customHeight="false" outlineLevel="0" collapsed="false">
      <c r="E360" s="130"/>
      <c r="F360" s="130"/>
      <c r="G360" s="130"/>
      <c r="H360" s="130"/>
      <c r="I360" s="130"/>
      <c r="J360" s="130"/>
      <c r="K360" s="197"/>
      <c r="L360" s="197"/>
      <c r="M360" s="130"/>
      <c r="N360" s="130"/>
    </row>
  </sheetData>
  <mergeCells count="19">
    <mergeCell ref="A3:N3"/>
    <mergeCell ref="B6:N6"/>
    <mergeCell ref="A7:A9"/>
    <mergeCell ref="B7:D7"/>
    <mergeCell ref="E7:I7"/>
    <mergeCell ref="J7:L7"/>
    <mergeCell ref="M7:N7"/>
    <mergeCell ref="R7:T7"/>
    <mergeCell ref="B8:B9"/>
    <mergeCell ref="C8:C9"/>
    <mergeCell ref="E8:E9"/>
    <mergeCell ref="F8:F9"/>
    <mergeCell ref="G8:G9"/>
    <mergeCell ref="J8:J9"/>
    <mergeCell ref="K8:K9"/>
    <mergeCell ref="L8:L9"/>
    <mergeCell ref="M8:M9"/>
    <mergeCell ref="N8:N9"/>
    <mergeCell ref="H9:I9"/>
  </mergeCells>
  <hyperlinks>
    <hyperlink ref="B1" location="Index!A1" display="Back to index"/>
  </hyperlinks>
  <printOptions headings="false" gridLines="false" gridLinesSet="true" horizontalCentered="true" verticalCentered="true"/>
  <pageMargins left="0.790277777777778" right="0.790277777777778" top="0.979861111111111" bottom="0.979861111111111" header="0.511811023622047" footer="0.511811023622047"/>
  <pageSetup paperSize="9" scale="100" fitToWidth="1" fitToHeight="2"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CCFF"/>
    <pageSetUpPr fitToPage="true"/>
  </sheetPr>
  <dimension ref="A1:U2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3" activeCellId="0" sqref="A3"/>
    </sheetView>
  </sheetViews>
  <sheetFormatPr defaultColWidth="11.9921875" defaultRowHeight="12" zeroHeight="false" outlineLevelRow="0" outlineLevelCol="0"/>
  <cols>
    <col collapsed="false" customWidth="true" hidden="false" outlineLevel="0" max="1" min="1" style="289" width="14.82"/>
    <col collapsed="false" customWidth="true" hidden="false" outlineLevel="0" max="11" min="2" style="289" width="9.33"/>
    <col collapsed="false" customWidth="true" hidden="false" outlineLevel="0" max="12" min="12" style="289" width="10.15"/>
    <col collapsed="false" customWidth="false" hidden="false" outlineLevel="0" max="14" min="13" style="289" width="11.99"/>
    <col collapsed="false" customWidth="true" hidden="false" outlineLevel="0" max="16" min="15" style="289" width="12.32"/>
    <col collapsed="false" customWidth="false" hidden="false" outlineLevel="0" max="257" min="17" style="289" width="11.99"/>
  </cols>
  <sheetData>
    <row r="1" customFormat="false" ht="12" hidden="false" customHeight="false" outlineLevel="0" collapsed="false">
      <c r="A1" s="290"/>
      <c r="B1" s="21" t="s">
        <v>9</v>
      </c>
      <c r="C1" s="291"/>
      <c r="D1" s="291"/>
      <c r="E1" s="291"/>
      <c r="F1" s="291"/>
      <c r="G1" s="291"/>
      <c r="H1" s="291"/>
      <c r="I1" s="291"/>
      <c r="J1" s="291"/>
      <c r="K1" s="291"/>
      <c r="L1" s="291"/>
    </row>
    <row r="2" customFormat="false" ht="13" hidden="false" customHeight="false" outlineLevel="0" collapsed="false"/>
    <row r="3" customFormat="false" ht="19.75" hidden="false" customHeight="true" outlineLevel="0" collapsed="false">
      <c r="A3" s="292" t="s">
        <v>113</v>
      </c>
      <c r="B3" s="292"/>
      <c r="C3" s="292"/>
      <c r="D3" s="292"/>
      <c r="E3" s="292"/>
      <c r="F3" s="292"/>
      <c r="G3" s="292"/>
      <c r="H3" s="292"/>
      <c r="I3" s="292"/>
      <c r="J3" s="292"/>
      <c r="K3" s="292"/>
      <c r="L3" s="292"/>
    </row>
    <row r="4" customFormat="false" ht="12" hidden="false" customHeight="false" outlineLevel="0" collapsed="false">
      <c r="A4" s="293"/>
      <c r="B4" s="294"/>
      <c r="C4" s="294"/>
      <c r="D4" s="294"/>
      <c r="E4" s="294"/>
      <c r="F4" s="294"/>
      <c r="G4" s="294"/>
      <c r="H4" s="294"/>
      <c r="I4" s="294"/>
      <c r="J4" s="294"/>
      <c r="K4" s="294"/>
      <c r="L4" s="295"/>
    </row>
    <row r="5" customFormat="false" ht="12" hidden="false" customHeight="false" outlineLevel="0" collapsed="false">
      <c r="A5" s="293"/>
      <c r="B5" s="296" t="s">
        <v>11</v>
      </c>
      <c r="C5" s="296" t="s">
        <v>12</v>
      </c>
      <c r="D5" s="296" t="s">
        <v>13</v>
      </c>
      <c r="E5" s="296" t="s">
        <v>14</v>
      </c>
      <c r="F5" s="296" t="s">
        <v>15</v>
      </c>
      <c r="G5" s="296" t="s">
        <v>16</v>
      </c>
      <c r="H5" s="296" t="s">
        <v>17</v>
      </c>
      <c r="I5" s="296" t="s">
        <v>18</v>
      </c>
      <c r="J5" s="296" t="s">
        <v>19</v>
      </c>
      <c r="K5" s="296" t="s">
        <v>20</v>
      </c>
      <c r="L5" s="297" t="s">
        <v>21</v>
      </c>
    </row>
    <row r="6" customFormat="false" ht="28" hidden="false" customHeight="true" outlineLevel="0" collapsed="false">
      <c r="A6" s="293"/>
      <c r="B6" s="298" t="s">
        <v>90</v>
      </c>
      <c r="C6" s="298"/>
      <c r="D6" s="298"/>
      <c r="E6" s="298"/>
      <c r="F6" s="298"/>
      <c r="G6" s="298"/>
      <c r="H6" s="298"/>
      <c r="I6" s="298"/>
      <c r="J6" s="298"/>
      <c r="K6" s="298"/>
      <c r="L6" s="298"/>
    </row>
    <row r="7" customFormat="false" ht="155" hidden="false" customHeight="true" outlineLevel="0" collapsed="false">
      <c r="A7" s="299"/>
      <c r="B7" s="300" t="s">
        <v>61</v>
      </c>
      <c r="C7" s="301" t="s">
        <v>62</v>
      </c>
      <c r="D7" s="302" t="s">
        <v>63</v>
      </c>
      <c r="E7" s="302" t="s">
        <v>64</v>
      </c>
      <c r="F7" s="301" t="s">
        <v>65</v>
      </c>
      <c r="G7" s="303" t="s">
        <v>66</v>
      </c>
      <c r="H7" s="302" t="s">
        <v>67</v>
      </c>
      <c r="I7" s="304" t="s">
        <v>68</v>
      </c>
      <c r="J7" s="305" t="s">
        <v>69</v>
      </c>
      <c r="K7" s="302" t="s">
        <v>70</v>
      </c>
      <c r="L7" s="306" t="s">
        <v>71</v>
      </c>
      <c r="O7" s="467" t="s">
        <v>114</v>
      </c>
      <c r="P7" s="467" t="s">
        <v>115</v>
      </c>
      <c r="Q7" s="467" t="s">
        <v>116</v>
      </c>
    </row>
    <row r="8" customFormat="false" ht="15" hidden="false" customHeight="true" outlineLevel="0" collapsed="false">
      <c r="A8" s="307" t="s">
        <v>72</v>
      </c>
      <c r="B8" s="308" t="n">
        <f aca="false">(((1+B11)^40)*((1+B14)^100))^(1/140)-1</f>
        <v>0.0247172608432522</v>
      </c>
      <c r="C8" s="309" t="n">
        <f aca="false">(((1+C11)^40)*((1+C14)^100))^(1/140)-1</f>
        <v>0.0208013190571956</v>
      </c>
      <c r="D8" s="310" t="n">
        <f aca="false">(1+B8)/(1+G8)-1</f>
        <v>0.017246986097442</v>
      </c>
      <c r="E8" s="311" t="n">
        <f aca="false">(1+D8)*(1+J8)/(1+K8)-1</f>
        <v>0.0173283382200475</v>
      </c>
      <c r="F8" s="309" t="n">
        <f aca="false">(1+D8)*(1+G8)/(1+I8)-1</f>
        <v>0.0162869015084988</v>
      </c>
      <c r="G8" s="308" t="n">
        <f aca="false">(((1+G11)^40)*((1+G14)^100))^(1/140)-1</f>
        <v>0.00734361944336559</v>
      </c>
      <c r="H8" s="312" t="n">
        <f aca="false">(((1+H11)^40)*((1+H14)^100))^(1/140)-1</f>
        <v>0.00998588184308602</v>
      </c>
      <c r="I8" s="313" t="n">
        <f aca="false">(((1+I11)^40)*((1+I14)^100))^(1/140)-1</f>
        <v>0.00829525532823472</v>
      </c>
      <c r="J8" s="308" t="n">
        <f aca="false">(((1+J11)^40)*((1+J14)^100))^(1/140)-1</f>
        <v>0.0192364016278941</v>
      </c>
      <c r="K8" s="312" t="n">
        <f aca="false">(((1+K11)^40)*((1+K14)^100))^(1/140)-1</f>
        <v>0.0191548969242561</v>
      </c>
      <c r="L8" s="314"/>
      <c r="N8" s="468"/>
      <c r="O8" s="312" t="n">
        <f aca="false">PRODUCT(TableDE3b!R11:R150)^(1/140)-1</f>
        <v>0.0162743465316495</v>
      </c>
      <c r="P8" s="312" t="n">
        <f aca="false">PRODUCT(TableDE3b!S11:S150)^(1/140)-1</f>
        <v>0.0174019784801194</v>
      </c>
      <c r="Q8" s="312" t="n">
        <f aca="false">PRODUCT(TableDE3b!T11:T150)^(1/140)-1</f>
        <v>0.00680981763398725</v>
      </c>
    </row>
    <row r="9" customFormat="false" ht="15" hidden="false" customHeight="true" outlineLevel="0" collapsed="false">
      <c r="A9" s="315"/>
      <c r="B9" s="469"/>
      <c r="C9" s="317"/>
      <c r="D9" s="318"/>
      <c r="E9" s="470"/>
      <c r="F9" s="317"/>
      <c r="G9" s="469"/>
      <c r="H9" s="471"/>
      <c r="I9" s="472"/>
      <c r="J9" s="322"/>
      <c r="K9" s="322"/>
      <c r="L9" s="323"/>
      <c r="O9" s="473"/>
      <c r="P9" s="473"/>
      <c r="Q9" s="473"/>
    </row>
    <row r="10" customFormat="false" ht="4.75" hidden="false" customHeight="true" outlineLevel="0" collapsed="false">
      <c r="A10" s="299"/>
      <c r="B10" s="324"/>
      <c r="C10" s="325"/>
      <c r="D10" s="326"/>
      <c r="E10" s="327"/>
      <c r="F10" s="325"/>
      <c r="G10" s="324"/>
      <c r="H10" s="474"/>
      <c r="I10" s="329"/>
      <c r="J10" s="326"/>
      <c r="K10" s="326"/>
      <c r="L10" s="330"/>
      <c r="O10" s="327"/>
      <c r="P10" s="327"/>
      <c r="Q10" s="327"/>
    </row>
    <row r="11" customFormat="false" ht="15" hidden="false" customHeight="true" outlineLevel="0" collapsed="false">
      <c r="A11" s="307" t="s">
        <v>73</v>
      </c>
      <c r="B11" s="308" t="n">
        <f aca="false">(TableDE3b!H50/TableDE3b!H10)^(1/40)-1</f>
        <v>0.0251251967298254</v>
      </c>
      <c r="C11" s="309" t="n">
        <f aca="false">(TableDE5a!C50/TableDE5a!C10)^(1/40)-1</f>
        <v>0.021388109621193</v>
      </c>
      <c r="D11" s="311" t="n">
        <f aca="false">(1+B11)/(1+G11)-1</f>
        <v>0.0134175831050023</v>
      </c>
      <c r="E11" s="311" t="n">
        <f aca="false">(1+D11)*(1+J11)/(1+K11)-1</f>
        <v>0.0101635997278571</v>
      </c>
      <c r="F11" s="309" t="n">
        <f aca="false">(1+D11)*(1+G11)/(1+I11)-1</f>
        <v>0.0122139328836106</v>
      </c>
      <c r="G11" s="308" t="n">
        <f aca="false">(TableDE3b!E50/TableDE3b!E10)^(1/40)-1</f>
        <v>0.0115526055793824</v>
      </c>
      <c r="H11" s="312" t="n">
        <f aca="false">(TableDE3b!F50/TableDE3b!F10)^(1/40)-1</f>
        <v>0.0116866057046086</v>
      </c>
      <c r="I11" s="313" t="n">
        <f aca="false">(TableDE3b!G50/TableDE3b!G10)^(1/40)-1</f>
        <v>0.0127554693990755</v>
      </c>
      <c r="J11" s="311" t="n">
        <f aca="false">(TableDE15a!C49/TableDE15a!C9)^(1/40)-1</f>
        <v>0.0058343466044366</v>
      </c>
      <c r="K11" s="311" t="n">
        <f aca="false">(TableDE15a!B49/TableDE15a!B9)^(1/40)-1</f>
        <v>0.00907438440118003</v>
      </c>
      <c r="L11" s="295"/>
      <c r="N11" s="468"/>
      <c r="O11" s="312" t="n">
        <f aca="false">PRODUCT(TableDE3b!R11:R50)^(1/40)-1</f>
        <v>0.013979505402723</v>
      </c>
      <c r="P11" s="312" t="n">
        <f aca="false">PRODUCT(TableDE3b!S11:S50)^(1/40)-1</f>
        <v>0.0150875036842222</v>
      </c>
      <c r="Q11" s="312" t="n">
        <f aca="false">PRODUCT(TableDE3b!T11:T50)^(1/40)-1</f>
        <v>0.0118654552999891</v>
      </c>
      <c r="R11" s="290"/>
      <c r="U11" s="290"/>
    </row>
    <row r="12" customFormat="false" ht="15" hidden="false" customHeight="true" outlineLevel="0" collapsed="false">
      <c r="A12" s="315"/>
      <c r="B12" s="308"/>
      <c r="C12" s="317"/>
      <c r="D12" s="318"/>
      <c r="E12" s="470"/>
      <c r="F12" s="317"/>
      <c r="G12" s="308"/>
      <c r="H12" s="312"/>
      <c r="I12" s="472"/>
      <c r="J12" s="322"/>
      <c r="K12" s="322"/>
      <c r="L12" s="323"/>
      <c r="O12" s="473"/>
      <c r="P12" s="473"/>
      <c r="Q12" s="473"/>
      <c r="U12" s="290"/>
    </row>
    <row r="13" customFormat="false" ht="4.75" hidden="false" customHeight="true" outlineLevel="0" collapsed="false">
      <c r="A13" s="299"/>
      <c r="B13" s="324"/>
      <c r="C13" s="325"/>
      <c r="D13" s="326"/>
      <c r="E13" s="327"/>
      <c r="F13" s="325"/>
      <c r="G13" s="324"/>
      <c r="H13" s="474"/>
      <c r="I13" s="329"/>
      <c r="J13" s="326"/>
      <c r="K13" s="326"/>
      <c r="L13" s="330"/>
      <c r="O13" s="327"/>
      <c r="P13" s="327"/>
      <c r="Q13" s="327"/>
    </row>
    <row r="14" customFormat="false" ht="15" hidden="false" customHeight="true" outlineLevel="0" collapsed="false">
      <c r="A14" s="307" t="s">
        <v>74</v>
      </c>
      <c r="B14" s="308" t="n">
        <f aca="false">(((1+B17)^40)*((1+B20)^60))^(1/100)-1</f>
        <v>0.0245541319454916</v>
      </c>
      <c r="C14" s="309" t="n">
        <f aca="false">(((1+C17)^40)*((1+C20)^60))^(1/100)-1</f>
        <v>0.0205666972340728</v>
      </c>
      <c r="D14" s="311" t="n">
        <f aca="false">(1+B14)/(1+G14)-1</f>
        <v>0.0187827958853526</v>
      </c>
      <c r="E14" s="311" t="n">
        <f aca="false">(1+D14)*(1+J14)/(1+K14)-1</f>
        <v>0.0202084422483919</v>
      </c>
      <c r="F14" s="309" t="n">
        <f aca="false">(1+D14)*(1+G14)/(1+I14)-1</f>
        <v>0.0179206741635454</v>
      </c>
      <c r="G14" s="308" t="n">
        <f aca="false">(((1+G17)^40)*((1+G20)^60))^(1/100)-1</f>
        <v>0.00566493278395375</v>
      </c>
      <c r="H14" s="312" t="n">
        <f aca="false">(((1+H17)^40)*((1+H20)^60))^(1/100)-1</f>
        <v>0.00930639310155068</v>
      </c>
      <c r="I14" s="313" t="n">
        <f aca="false">(((1+I17)^40)*((1+I20)^60))^(1/100)-1</f>
        <v>0.00651667458016525</v>
      </c>
      <c r="J14" s="311" t="n">
        <f aca="false">(TableDE15a!C149/TableDE15a!C49)^(1/100)-1</f>
        <v>0.0246470915998722</v>
      </c>
      <c r="K14" s="311" t="n">
        <f aca="false">(TableDE15a!B149/TableDE15a!B49)^(1/100)-1</f>
        <v>0.0232152426374006</v>
      </c>
      <c r="L14" s="314"/>
      <c r="N14" s="468"/>
      <c r="O14" s="312" t="n">
        <f aca="false">PRODUCT(TableDE3b!R51:R150)^(1/100)-1</f>
        <v>0.0171937365589332</v>
      </c>
      <c r="P14" s="312" t="n">
        <f aca="false">PRODUCT(TableDE3b!S51:S150)^(1/100)-1</f>
        <v>0.0183292453340551</v>
      </c>
      <c r="Q14" s="312" t="n">
        <f aca="false">PRODUCT(TableDE3b!T51:T150)^(1/100)-1</f>
        <v>0.0047946423803662</v>
      </c>
    </row>
    <row r="15" customFormat="false" ht="15" hidden="false" customHeight="true" outlineLevel="0" collapsed="false">
      <c r="A15" s="315"/>
      <c r="B15" s="332"/>
      <c r="C15" s="317"/>
      <c r="D15" s="318"/>
      <c r="E15" s="470"/>
      <c r="F15" s="317"/>
      <c r="G15" s="332"/>
      <c r="H15" s="471"/>
      <c r="I15" s="472"/>
      <c r="J15" s="322"/>
      <c r="K15" s="322"/>
      <c r="L15" s="323"/>
      <c r="O15" s="473"/>
      <c r="P15" s="473"/>
      <c r="Q15" s="473"/>
    </row>
    <row r="16" customFormat="false" ht="4.75" hidden="false" customHeight="true" outlineLevel="0" collapsed="false">
      <c r="A16" s="315"/>
      <c r="B16" s="316"/>
      <c r="C16" s="317"/>
      <c r="D16" s="326"/>
      <c r="E16" s="327"/>
      <c r="F16" s="317"/>
      <c r="G16" s="316"/>
      <c r="H16" s="475"/>
      <c r="I16" s="472"/>
      <c r="J16" s="311"/>
      <c r="K16" s="311"/>
      <c r="L16" s="314"/>
      <c r="O16" s="473"/>
      <c r="P16" s="473"/>
      <c r="Q16" s="473"/>
    </row>
    <row r="17" customFormat="false" ht="15" hidden="false" customHeight="true" outlineLevel="0" collapsed="false">
      <c r="A17" s="307" t="s">
        <v>75</v>
      </c>
      <c r="B17" s="308" t="n">
        <f aca="false">(TableDE3b!H90/TableDE3b!H50)^(1/40)-1</f>
        <v>0.0117071673703502</v>
      </c>
      <c r="C17" s="309" t="n">
        <f aca="false">(TableDE5a!C90/TableDE5a!C50)^(1/40)-1</f>
        <v>-0.0184696183287009</v>
      </c>
      <c r="D17" s="311" t="n">
        <f aca="false">(1+B17)/(1+G17)-1</f>
        <v>0.00374507093817345</v>
      </c>
      <c r="E17" s="311" t="n">
        <f aca="false">(1+D17)*(1+J17)/(1+K17)-1</f>
        <v>0.00426122378471527</v>
      </c>
      <c r="F17" s="309" t="n">
        <f aca="false">(1+D17)*(1+G17)/(1+I17)-1</f>
        <v>0.00649391929382648</v>
      </c>
      <c r="G17" s="308" t="n">
        <f aca="false">(TableDE3b!E90/TableDE3b!E50)^(1/40)-1</f>
        <v>0.00793238907239147</v>
      </c>
      <c r="H17" s="312" t="n">
        <f aca="false">(TableDE3b!F90/TableDE3b!F50)^(1/40)-1</f>
        <v>0.0130233576949614</v>
      </c>
      <c r="I17" s="313" t="n">
        <f aca="false">(TableDE3b!G90/TableDE3b!G50)^(1/40)-1</f>
        <v>0.00517961209361451</v>
      </c>
      <c r="J17" s="311" t="n">
        <f aca="false">(TableDE15a!C89/TableDE15a!C49)^(1/40)-1</f>
        <v>0.0183672260538321</v>
      </c>
      <c r="K17" s="311" t="n">
        <f aca="false">(TableDE15a!B89/TableDE15a!B49)^(1/40)-1</f>
        <v>0.0178438232477658</v>
      </c>
      <c r="L17" s="314"/>
      <c r="N17" s="468"/>
      <c r="O17" s="312" t="n">
        <f aca="false">PRODUCT(TableDE3b!R51:R90)^(1/40)-1</f>
        <v>-0.000562472162667693</v>
      </c>
      <c r="P17" s="312" t="n">
        <f aca="false">PRODUCT(TableDE3b!S51:S90)^(1/40)-1</f>
        <v>0.00370198131107768</v>
      </c>
      <c r="Q17" s="312" t="n">
        <f aca="false">PRODUCT(TableDE3b!T51:T90)^(1/40)-1</f>
        <v>0.0073799962538208</v>
      </c>
      <c r="R17" s="290"/>
      <c r="U17" s="290"/>
    </row>
    <row r="18" customFormat="false" ht="15" hidden="false" customHeight="true" outlineLevel="0" collapsed="false">
      <c r="A18" s="315"/>
      <c r="B18" s="316"/>
      <c r="C18" s="317"/>
      <c r="D18" s="318"/>
      <c r="E18" s="470"/>
      <c r="F18" s="317"/>
      <c r="G18" s="316"/>
      <c r="H18" s="475"/>
      <c r="I18" s="472"/>
      <c r="J18" s="322"/>
      <c r="K18" s="322"/>
      <c r="L18" s="323"/>
      <c r="O18" s="473"/>
      <c r="P18" s="473"/>
      <c r="Q18" s="473"/>
      <c r="U18" s="290"/>
    </row>
    <row r="19" customFormat="false" ht="4" hidden="false" customHeight="true" outlineLevel="0" collapsed="false">
      <c r="A19" s="315"/>
      <c r="B19" s="316"/>
      <c r="C19" s="317"/>
      <c r="D19" s="318"/>
      <c r="E19" s="470"/>
      <c r="F19" s="317"/>
      <c r="G19" s="316"/>
      <c r="H19" s="475"/>
      <c r="I19" s="472"/>
      <c r="J19" s="311"/>
      <c r="K19" s="311"/>
      <c r="L19" s="314"/>
      <c r="O19" s="473"/>
      <c r="P19" s="473"/>
      <c r="Q19" s="473"/>
    </row>
    <row r="20" customFormat="false" ht="15" hidden="false" customHeight="true" outlineLevel="0" collapsed="false">
      <c r="A20" s="307" t="s">
        <v>76</v>
      </c>
      <c r="B20" s="308" t="n">
        <f aca="false">(TableDE3b!H150/TableDE3b!H90)^(1/60)-1</f>
        <v>0.0332092780246136</v>
      </c>
      <c r="C20" s="309" t="n">
        <f aca="false">(TableDE5a!C150/TableDE5a!C90)^(1/60)-1</f>
        <v>0.0474496503609321</v>
      </c>
      <c r="D20" s="311" t="n">
        <f aca="false">(1+B20)/(1+G20)-1</f>
        <v>0.0289328993413567</v>
      </c>
      <c r="E20" s="311" t="n">
        <f aca="false">(1+D20)*(1+J20)/(1+K20)-1</f>
        <v>0.0309803602401622</v>
      </c>
      <c r="F20" s="309" t="n">
        <f aca="false">(1+D20)*(1+G20)/(1+I20)-1</f>
        <v>0.0256104914391626</v>
      </c>
      <c r="G20" s="308" t="n">
        <f aca="false">(TableDE3b!E150/TableDE3b!E90)^(1/60)-1</f>
        <v>0.00415612979815716</v>
      </c>
      <c r="H20" s="312" t="n">
        <f aca="false">(TableDE3b!F150/TableDE3b!F90)^(1/60)-1</f>
        <v>0.00683599658228951</v>
      </c>
      <c r="I20" s="313" t="n">
        <f aca="false">(TableDE3b!G150/TableDE3b!G90)^(1/60)-1</f>
        <v>0.00740903749413491</v>
      </c>
      <c r="J20" s="311" t="n">
        <f aca="false">(TableDE15a!C149/TableDE15a!C89)^(1/60)-1</f>
        <v>0.0288551680489397</v>
      </c>
      <c r="K20" s="311" t="n">
        <f aca="false">(TableDE15a!B149/TableDE15a!B89)^(1/60)-1</f>
        <v>0.0268119276455789</v>
      </c>
      <c r="L20" s="314" t="n">
        <f aca="false">(TableDE15a!D149/TableDE15a!D89)^(1/60)-1</f>
        <v>0.0257843651407743</v>
      </c>
      <c r="N20" s="468"/>
      <c r="O20" s="312" t="n">
        <f aca="false">PRODUCT(TableDE3b!R91:R150)^(1/60)-1</f>
        <v>0.0292061208830707</v>
      </c>
      <c r="P20" s="312" t="n">
        <f aca="false">PRODUCT(TableDE3b!S91:S150)^(1/60)-1</f>
        <v>0.0281989903505142</v>
      </c>
      <c r="Q20" s="312" t="n">
        <f aca="false">PRODUCT(TableDE3b!T91:T150)^(1/60)-1</f>
        <v>0.00307476034328036</v>
      </c>
      <c r="R20" s="290"/>
    </row>
    <row r="21" customFormat="false" ht="15" hidden="false" customHeight="true" outlineLevel="0" collapsed="false">
      <c r="A21" s="315"/>
      <c r="B21" s="316"/>
      <c r="C21" s="317"/>
      <c r="D21" s="318"/>
      <c r="E21" s="470"/>
      <c r="F21" s="317"/>
      <c r="G21" s="316"/>
      <c r="H21" s="475"/>
      <c r="I21" s="472"/>
      <c r="J21" s="322"/>
      <c r="K21" s="322"/>
      <c r="L21" s="323"/>
      <c r="O21" s="473"/>
      <c r="P21" s="473"/>
      <c r="Q21" s="473"/>
      <c r="R21" s="290"/>
    </row>
    <row r="22" customFormat="false" ht="4.75" hidden="false" customHeight="true" outlineLevel="0" collapsed="false">
      <c r="A22" s="315"/>
      <c r="B22" s="316"/>
      <c r="C22" s="317"/>
      <c r="D22" s="326"/>
      <c r="E22" s="327"/>
      <c r="F22" s="317"/>
      <c r="G22" s="316"/>
      <c r="H22" s="475"/>
      <c r="I22" s="472"/>
      <c r="J22" s="311"/>
      <c r="K22" s="311"/>
      <c r="L22" s="314"/>
      <c r="O22" s="473"/>
      <c r="P22" s="473"/>
      <c r="Q22" s="473"/>
    </row>
    <row r="23" customFormat="false" ht="15" hidden="false" customHeight="false" outlineLevel="0" collapsed="false">
      <c r="A23" s="333" t="s">
        <v>77</v>
      </c>
      <c r="B23" s="308" t="n">
        <f aca="false">(TableDE3b!H120/TableDE3b!H90)^(1/30)-1</f>
        <v>0.0493890037489992</v>
      </c>
      <c r="C23" s="309" t="n">
        <f aca="false">(TableDE5a!C120/TableDE5a!C90)^(1/30)-1</f>
        <v>0.0611452185957455</v>
      </c>
      <c r="D23" s="311" t="n">
        <f aca="false">(1+B23)/(1+G23)-1</f>
        <v>0.0426608527416967</v>
      </c>
      <c r="E23" s="311" t="n">
        <f aca="false">(1+D23)*(1+J23)/(1+K23)-1</f>
        <v>0.050339550018758</v>
      </c>
      <c r="F23" s="309" t="n">
        <f aca="false">(1+D23)*(1+G23)/(1+I23)-1</f>
        <v>0.0396455696981382</v>
      </c>
      <c r="G23" s="308" t="n">
        <f aca="false">(TableDE3b!E120/TableDE3b!E90)^(1/30)-1</f>
        <v>0.0064528662312493</v>
      </c>
      <c r="H23" s="312" t="n">
        <f aca="false">(TableDE3b!F120/TableDE3b!F90)^(1/30)-1</f>
        <v>0.00837764240361572</v>
      </c>
      <c r="I23" s="313" t="n">
        <f aca="false">(TableDE3b!G120/TableDE3b!G90)^(1/30)-1</f>
        <v>0.00937188050894133</v>
      </c>
      <c r="J23" s="311" t="n">
        <f aca="false">(TableDE15a!C119/TableDE15a!C89)^(1/30)-1</f>
        <v>0.0393372312230371</v>
      </c>
      <c r="K23" s="311" t="n">
        <f aca="false">(TableDE15a!B119/TableDE15a!B89)^(1/30)-1</f>
        <v>0.0317389683877491</v>
      </c>
      <c r="L23" s="314" t="n">
        <f aca="false">(TableDE15a!D119/TableDE15a!D89)^(1/30)-1</f>
        <v>0.0320302255911986</v>
      </c>
      <c r="N23" s="468"/>
      <c r="O23" s="312" t="n">
        <f aca="false">PRODUCT(TableDE3b!R91:R120)^(1/30)-1</f>
        <v>0.0435290846451599</v>
      </c>
      <c r="P23" s="312" t="n">
        <f aca="false">PRODUCT(TableDE3b!S91:S120)^(1/30)-1</f>
        <v>0.0439763676786278</v>
      </c>
      <c r="Q23" s="312" t="n">
        <f aca="false">PRODUCT(TableDE3b!T91:T120)^(1/30)-1</f>
        <v>0.00452754626187701</v>
      </c>
      <c r="R23" s="290"/>
    </row>
    <row r="24" customFormat="false" ht="15" hidden="false" customHeight="false" outlineLevel="0" collapsed="false">
      <c r="A24" s="334"/>
      <c r="B24" s="335"/>
      <c r="C24" s="336"/>
      <c r="D24" s="318"/>
      <c r="E24" s="470"/>
      <c r="F24" s="336"/>
      <c r="G24" s="335"/>
      <c r="H24" s="337"/>
      <c r="I24" s="472"/>
      <c r="J24" s="322"/>
      <c r="K24" s="322"/>
      <c r="L24" s="323"/>
      <c r="O24" s="337"/>
      <c r="P24" s="337"/>
      <c r="Q24" s="337"/>
    </row>
    <row r="25" customFormat="false" ht="4" hidden="false" customHeight="true" outlineLevel="0" collapsed="false">
      <c r="A25" s="334"/>
      <c r="B25" s="335"/>
      <c r="C25" s="336"/>
      <c r="D25" s="326"/>
      <c r="E25" s="327"/>
      <c r="F25" s="336"/>
      <c r="G25" s="335"/>
      <c r="H25" s="337"/>
      <c r="I25" s="472"/>
      <c r="J25" s="322"/>
      <c r="K25" s="322"/>
      <c r="L25" s="323"/>
      <c r="O25" s="337"/>
      <c r="P25" s="337"/>
      <c r="Q25" s="337"/>
    </row>
    <row r="26" customFormat="false" ht="15" hidden="false" customHeight="false" outlineLevel="0" collapsed="false">
      <c r="A26" s="333" t="s">
        <v>78</v>
      </c>
      <c r="B26" s="308" t="n">
        <f aca="false">(TableDE3b!H150/TableDE3b!H120)^(1/30)-1</f>
        <v>0.0172790151053279</v>
      </c>
      <c r="C26" s="309" t="n">
        <f aca="false">(TableDE5a!C150/TableDE5a!C120)^(1/30)-1</f>
        <v>0.0339308426542606</v>
      </c>
      <c r="D26" s="311" t="n">
        <f aca="false">(1+B26)/(1+G26)-1</f>
        <v>0.0153856918701136</v>
      </c>
      <c r="E26" s="311" t="n">
        <f aca="false">(1+D26)*(1+J26)/(1+K26)-1</f>
        <v>0.0119779867205341</v>
      </c>
      <c r="F26" s="309" t="n">
        <f aca="false">(1+D26)*(1+G26)/(1+I26)-1</f>
        <v>0.0117648848881202</v>
      </c>
      <c r="G26" s="308" t="n">
        <f aca="false">(TableDE3b!E150/TableDE3b!E120)^(1/30)-1</f>
        <v>0.00186463454269004</v>
      </c>
      <c r="H26" s="312" t="n">
        <f aca="false">(TableDE3b!F150/TableDE3b!F120)^(1/30)-1</f>
        <v>0.00529670768731561</v>
      </c>
      <c r="I26" s="313" t="n">
        <f aca="false">(TableDE3b!G150/TableDE3b!G120)^(1/30)-1</f>
        <v>0.00545001145974489</v>
      </c>
      <c r="J26" s="311" t="n">
        <f aca="false">(TableDE15a!C149/TableDE15a!C119)^(1/30)-1</f>
        <v>0.0184788199835531</v>
      </c>
      <c r="K26" s="311" t="n">
        <f aca="false">(TableDE15a!B149/TableDE15a!B119)^(1/30)-1</f>
        <v>0.0219084158494105</v>
      </c>
      <c r="L26" s="314" t="n">
        <f aca="false">(TableDE15a!D149/TableDE15a!D119)^(1/30)-1</f>
        <v>0.0195763047196507</v>
      </c>
      <c r="N26" s="468"/>
      <c r="O26" s="312" t="n">
        <f aca="false">PRODUCT(TableDE3b!R121:R150)^(1/30)-1</f>
        <v>0.0150797470329913</v>
      </c>
      <c r="P26" s="312" t="n">
        <f aca="false">PRODUCT(TableDE3b!S121:S150)^(1/30)-1</f>
        <v>0.0126600529364258</v>
      </c>
      <c r="Q26" s="312" t="n">
        <f aca="false">PRODUCT(TableDE3b!T121:T150)^(1/30)-1</f>
        <v>0.00162407549889831</v>
      </c>
      <c r="S26" s="158"/>
    </row>
    <row r="27" customFormat="false" ht="15" hidden="false" customHeight="false" outlineLevel="0" collapsed="false">
      <c r="A27" s="334"/>
      <c r="B27" s="335"/>
      <c r="C27" s="336"/>
      <c r="D27" s="318"/>
      <c r="E27" s="470"/>
      <c r="F27" s="336"/>
      <c r="G27" s="335"/>
      <c r="H27" s="337"/>
      <c r="I27" s="472"/>
      <c r="J27" s="322"/>
      <c r="K27" s="322"/>
      <c r="L27" s="323"/>
      <c r="O27" s="337"/>
      <c r="P27" s="337"/>
      <c r="Q27" s="337"/>
    </row>
    <row r="28" customFormat="false" ht="4" hidden="false" customHeight="true" outlineLevel="0" collapsed="false">
      <c r="A28" s="334"/>
      <c r="B28" s="335"/>
      <c r="C28" s="336"/>
      <c r="D28" s="326"/>
      <c r="E28" s="327"/>
      <c r="F28" s="336"/>
      <c r="G28" s="335"/>
      <c r="H28" s="337"/>
      <c r="I28" s="472"/>
      <c r="J28" s="322"/>
      <c r="K28" s="322"/>
      <c r="L28" s="323"/>
      <c r="O28" s="337"/>
      <c r="P28" s="337"/>
      <c r="Q28" s="337"/>
    </row>
    <row r="29" customFormat="false" ht="15" hidden="false" customHeight="false" outlineLevel="0" collapsed="false">
      <c r="A29" s="333" t="s">
        <v>79</v>
      </c>
      <c r="B29" s="308" t="n">
        <f aca="false">(TableDE3b!H110/TableDE3b!H90)^(1/20)-1</f>
        <v>0.0610117670085468</v>
      </c>
      <c r="C29" s="309" t="n">
        <f aca="false">(TableDE5a!C110/TableDE5a!C90)^(1/20)-1</f>
        <v>0.0725969476679189</v>
      </c>
      <c r="D29" s="311" t="n">
        <f aca="false">(1+B29)/(1+G29)-1</f>
        <v>0.0512104197284693</v>
      </c>
      <c r="E29" s="311" t="n">
        <f aca="false">(1+D29)*(1+J29)/(1+K29)-1</f>
        <v>0.062702641153795</v>
      </c>
      <c r="F29" s="309" t="n">
        <f aca="false">(1+D29)*(1+G29)/(1+I29)-1</f>
        <v>0.0478802861326852</v>
      </c>
      <c r="G29" s="308" t="n">
        <f aca="false">(TableDE3b!E110/TableDE3b!E90)^(1/20)-1</f>
        <v>0.0093238680821004</v>
      </c>
      <c r="H29" s="312" t="n">
        <f aca="false">(TableDE3b!F110/TableDE3b!F90)^(1/20)-1</f>
        <v>0.00990162129400263</v>
      </c>
      <c r="I29" s="313" t="n">
        <f aca="false">(TableDE3b!G110/TableDE3b!G90)^(1/20)-1</f>
        <v>0.0125314704834507</v>
      </c>
      <c r="J29" s="311" t="n">
        <f aca="false">(TableDE15a!C109/TableDE15a!C89)^(1/20)-1</f>
        <v>0.0335731079545412</v>
      </c>
      <c r="K29" s="311" t="n">
        <f aca="false">(TableDE15a!B109/TableDE15a!B89)^(1/20)-1</f>
        <v>0.0223958975516578</v>
      </c>
      <c r="L29" s="314" t="n">
        <f aca="false">(TableDE15a!D109/TableDE15a!D89)^(1/20)-1</f>
        <v>0.0230013254999941</v>
      </c>
      <c r="N29" s="468"/>
      <c r="O29" s="312" t="n">
        <f aca="false">PRODUCT(TableDE3b!R91:R110)^(1/20)-1</f>
        <v>0.0525925499683484</v>
      </c>
      <c r="P29" s="312" t="n">
        <f aca="false">PRODUCT(TableDE3b!S91:S110)^(1/20)-1</f>
        <v>0.0526965523348615</v>
      </c>
      <c r="Q29" s="312" t="n">
        <f aca="false">PRODUCT(TableDE3b!T91:T110)^(1/20)-1</f>
        <v>0.0064670217454248</v>
      </c>
    </row>
    <row r="30" customFormat="false" ht="15" hidden="false" customHeight="false" outlineLevel="0" collapsed="false">
      <c r="A30" s="334"/>
      <c r="B30" s="335"/>
      <c r="C30" s="336"/>
      <c r="D30" s="337"/>
      <c r="E30" s="470"/>
      <c r="F30" s="336"/>
      <c r="G30" s="335"/>
      <c r="H30" s="337"/>
      <c r="I30" s="472"/>
      <c r="J30" s="322"/>
      <c r="K30" s="322"/>
      <c r="L30" s="323"/>
      <c r="O30" s="337"/>
      <c r="P30" s="337"/>
      <c r="Q30" s="337"/>
    </row>
    <row r="31" customFormat="false" ht="4" hidden="false" customHeight="true" outlineLevel="0" collapsed="false">
      <c r="A31" s="334"/>
      <c r="B31" s="335"/>
      <c r="C31" s="336"/>
      <c r="D31" s="337"/>
      <c r="E31" s="470"/>
      <c r="F31" s="336"/>
      <c r="G31" s="335"/>
      <c r="H31" s="337"/>
      <c r="I31" s="472"/>
      <c r="J31" s="322"/>
      <c r="K31" s="322"/>
      <c r="L31" s="323"/>
      <c r="O31" s="337"/>
      <c r="P31" s="337"/>
      <c r="Q31" s="337"/>
    </row>
    <row r="32" customFormat="false" ht="15" hidden="false" customHeight="false" outlineLevel="0" collapsed="false">
      <c r="A32" s="333" t="s">
        <v>80</v>
      </c>
      <c r="B32" s="308" t="n">
        <f aca="false">(TableDE3b!H150/TableDE3b!H110)^(1/40)-1</f>
        <v>0.0195824371209541</v>
      </c>
      <c r="C32" s="309" t="n">
        <f aca="false">(TableDE5a!C150/TableDE5a!C110)^(1/40)-1</f>
        <v>0.0350979675248244</v>
      </c>
      <c r="D32" s="311" t="n">
        <f aca="false">(1+B32)/(1+G32)-1</f>
        <v>0.0179718110827019</v>
      </c>
      <c r="E32" s="311" t="n">
        <f aca="false">(1+D32)*(1+J32)/(1+K32)-1</f>
        <v>0.0154761045838252</v>
      </c>
      <c r="F32" s="309" t="n">
        <f aca="false">(1+D32)*(1+G32)/(1+I32)-1</f>
        <v>0.0146537088653775</v>
      </c>
      <c r="G32" s="308" t="n">
        <f aca="false">(TableDE3b!E150/TableDE3b!E110)^(1/40)-1</f>
        <v>0.00158219119696379</v>
      </c>
      <c r="H32" s="312" t="n">
        <f aca="false">(TableDE3b!F150/TableDE3b!F110)^(1/40)-1</f>
        <v>0.00530667571071497</v>
      </c>
      <c r="I32" s="313" t="n">
        <f aca="false">(TableDE3b!G150/TableDE3b!G110)^(1/40)-1</f>
        <v>0.0048575471734964</v>
      </c>
      <c r="J32" s="311" t="n">
        <f aca="false">(TableDE15a!C149/TableDE15a!C109)^(1/40)-1</f>
        <v>0.0265042802240643</v>
      </c>
      <c r="K32" s="311" t="n">
        <f aca="false">(TableDE15a!B149/TableDE15a!B109)^(1/40)-1</f>
        <v>0.0290270903539291</v>
      </c>
      <c r="L32" s="314" t="n">
        <f aca="false">(TableDE15a!D149/TableDE15a!D109)^(1/40)-1</f>
        <v>0.027178722861231</v>
      </c>
      <c r="N32" s="468"/>
      <c r="O32" s="312" t="n">
        <f aca="false">PRODUCT(TableDE3b!R111:R150)^(1/40)-1</f>
        <v>0.0177084832233543</v>
      </c>
      <c r="P32" s="312" t="n">
        <f aca="false">PRODUCT(TableDE3b!S111:S150)^(1/40)-1</f>
        <v>0.0161648291572838</v>
      </c>
      <c r="Q32" s="312" t="n">
        <f aca="false">PRODUCT(TableDE3b!T111:T150)^(1/40)-1</f>
        <v>0.00138291961505033</v>
      </c>
    </row>
    <row r="33" customFormat="false" ht="15" hidden="false" customHeight="false" outlineLevel="0" collapsed="false">
      <c r="A33" s="334"/>
      <c r="B33" s="335"/>
      <c r="C33" s="336"/>
      <c r="D33" s="318"/>
      <c r="E33" s="470"/>
      <c r="F33" s="336"/>
      <c r="G33" s="335"/>
      <c r="H33" s="337"/>
      <c r="I33" s="472"/>
      <c r="J33" s="322"/>
      <c r="K33" s="322"/>
      <c r="L33" s="323"/>
      <c r="O33" s="337"/>
      <c r="P33" s="337"/>
      <c r="Q33" s="337"/>
    </row>
    <row r="34" customFormat="false" ht="4" hidden="false" customHeight="true" outlineLevel="0" collapsed="false">
      <c r="A34" s="334"/>
      <c r="B34" s="335"/>
      <c r="C34" s="336"/>
      <c r="D34" s="326"/>
      <c r="E34" s="327"/>
      <c r="F34" s="336"/>
      <c r="G34" s="335"/>
      <c r="H34" s="337"/>
      <c r="I34" s="472"/>
      <c r="J34" s="322"/>
      <c r="K34" s="322"/>
      <c r="L34" s="323"/>
      <c r="O34" s="337"/>
      <c r="P34" s="337"/>
      <c r="Q34" s="337"/>
    </row>
    <row r="35" customFormat="false" ht="15" hidden="false" customHeight="false" outlineLevel="0" collapsed="false">
      <c r="A35" s="333" t="s">
        <v>81</v>
      </c>
      <c r="B35" s="308" t="n">
        <f aca="false">(TableDE3b!H130/TableDE3b!H110)^(1/20)-1</f>
        <v>0.0248985485714113</v>
      </c>
      <c r="C35" s="309" t="n">
        <f aca="false">(TableDE5a!C130/TableDE5a!C110)^(1/20)-1</f>
        <v>0.038573881929763</v>
      </c>
      <c r="D35" s="311" t="n">
        <f aca="false">(1+B35)/(1+G35)-1</f>
        <v>0.0231646452897358</v>
      </c>
      <c r="E35" s="311" t="n">
        <f aca="false">(1+D35)*(1+J35)/(1+K35)-1</f>
        <v>0.0242551066842522</v>
      </c>
      <c r="F35" s="309" t="n">
        <f aca="false">(1+D35)*(1+G35)/(1+I35)-1</f>
        <v>0.0180424123106004</v>
      </c>
      <c r="G35" s="308" t="n">
        <f aca="false">(TableDE3b!E130/TableDE3b!E110)^(1/20)-1</f>
        <v>0.00169464737631198</v>
      </c>
      <c r="H35" s="312" t="n">
        <f aca="false">(TableDE3b!F130/TableDE3b!F110)^(1/20)-1</f>
        <v>0.00768280049907277</v>
      </c>
      <c r="I35" s="313" t="n">
        <f aca="false">(TableDE3b!G130/TableDE3b!G110)^(1/20)-1</f>
        <v>0.0067346273376272</v>
      </c>
      <c r="J35" s="311" t="n">
        <f aca="false">(TableDE15a!C129/TableDE15a!C109)^(1/20)-1</f>
        <v>0.0393557574584185</v>
      </c>
      <c r="K35" s="311" t="n">
        <f aca="false">(TableDE15a!B129/TableDE15a!B109)^(1/20)-1</f>
        <v>0.0382492193300945</v>
      </c>
      <c r="L35" s="314" t="n">
        <f aca="false">(TableDE15a!D129/TableDE15a!D109)^(1/20)-1</f>
        <v>0.0377989272017851</v>
      </c>
      <c r="N35" s="468"/>
      <c r="O35" s="312" t="n">
        <f aca="false">PRODUCT(TableDE3b!R111:R130)^(1/20)-1</f>
        <v>0.0224524433014439</v>
      </c>
      <c r="P35" s="312" t="n">
        <f aca="false">PRODUCT(TableDE3b!S111:S130)^(1/20)-1</f>
        <v>0.019434819114186</v>
      </c>
      <c r="Q35" s="312" t="n">
        <f aca="false">PRODUCT(TableDE3b!T111:T130)^(1/20)-1</f>
        <v>0.00101683683195741</v>
      </c>
      <c r="U35" s="290"/>
    </row>
    <row r="36" customFormat="false" ht="15" hidden="false" customHeight="false" outlineLevel="0" collapsed="false">
      <c r="A36" s="334"/>
      <c r="B36" s="335"/>
      <c r="C36" s="336"/>
      <c r="D36" s="318"/>
      <c r="E36" s="470"/>
      <c r="F36" s="336"/>
      <c r="G36" s="335"/>
      <c r="H36" s="337"/>
      <c r="I36" s="472"/>
      <c r="J36" s="322"/>
      <c r="K36" s="322"/>
      <c r="L36" s="323"/>
      <c r="O36" s="337"/>
      <c r="P36" s="337"/>
      <c r="Q36" s="337"/>
    </row>
    <row r="37" customFormat="false" ht="4" hidden="false" customHeight="true" outlineLevel="0" collapsed="false">
      <c r="A37" s="334"/>
      <c r="B37" s="335"/>
      <c r="C37" s="336"/>
      <c r="D37" s="326"/>
      <c r="E37" s="327"/>
      <c r="F37" s="336"/>
      <c r="G37" s="335"/>
      <c r="H37" s="337"/>
      <c r="I37" s="472"/>
      <c r="J37" s="322"/>
      <c r="K37" s="322"/>
      <c r="L37" s="323"/>
      <c r="O37" s="337"/>
      <c r="P37" s="337"/>
      <c r="Q37" s="337"/>
    </row>
    <row r="38" customFormat="false" ht="15" hidden="false" customHeight="false" outlineLevel="0" collapsed="false">
      <c r="A38" s="333" t="s">
        <v>82</v>
      </c>
      <c r="B38" s="308" t="n">
        <f aca="false">(TableDE3b!H150/TableDE3b!H130)^(1/20)-1</f>
        <v>0.0142939001470077</v>
      </c>
      <c r="C38" s="309" t="n">
        <f aca="false">(TableDE5a!C150/TableDE5a!C130)^(1/20)-1</f>
        <v>0.0316336863615463</v>
      </c>
      <c r="D38" s="311" t="n">
        <f aca="false">(1+B38)/(1+G38)-1</f>
        <v>0.0128053318980244</v>
      </c>
      <c r="E38" s="311" t="n">
        <f aca="false">(1+D38)*(1+J38)/(1+K38)-1</f>
        <v>0.00677234826677386</v>
      </c>
      <c r="F38" s="309" t="n">
        <f aca="false">(1+D38)*(1+G38)/(1+I38)-1</f>
        <v>0.0112762852164583</v>
      </c>
      <c r="G38" s="308" t="n">
        <f aca="false">(TableDE3b!E150/TableDE3b!E130)^(1/20)-1</f>
        <v>0.00146974764261332</v>
      </c>
      <c r="H38" s="312" t="n">
        <f aca="false">(TableDE3b!F150/TableDE3b!F130)^(1/20)-1</f>
        <v>0.00293615384522838</v>
      </c>
      <c r="I38" s="313" t="n">
        <f aca="false">(TableDE3b!G150/TableDE3b!G130)^(1/20)-1</f>
        <v>0.00298396686905744</v>
      </c>
      <c r="J38" s="311" t="n">
        <f aca="false">(TableDE15a!C149/TableDE15a!C129)^(1/20)-1</f>
        <v>0.0138117095680592</v>
      </c>
      <c r="K38" s="311" t="n">
        <f aca="false">(TableDE15a!B149/TableDE15a!B129)^(1/20)-1</f>
        <v>0.0198868758750439</v>
      </c>
      <c r="L38" s="314" t="n">
        <f aca="false">(TableDE15a!D149/TableDE15a!D129)^(1/20)-1</f>
        <v>0.0166671992460841</v>
      </c>
      <c r="N38" s="468"/>
      <c r="O38" s="312" t="n">
        <f aca="false">PRODUCT(TableDE3b!R131:R150)^(1/20)-1</f>
        <v>0.0129865341027131</v>
      </c>
      <c r="P38" s="312" t="n">
        <f aca="false">PRODUCT(TableDE3b!S131:S150)^(1/20)-1</f>
        <v>0.0129053281832157</v>
      </c>
      <c r="Q38" s="312" t="n">
        <f aca="false">PRODUCT(TableDE3b!T131:T150)^(1/20)-1</f>
        <v>0.00174913627861284</v>
      </c>
      <c r="U38" s="290"/>
    </row>
    <row r="39" customFormat="false" ht="15" hidden="false" customHeight="false" outlineLevel="0" collapsed="false">
      <c r="A39" s="334"/>
      <c r="B39" s="335"/>
      <c r="C39" s="336"/>
      <c r="D39" s="318"/>
      <c r="E39" s="470"/>
      <c r="F39" s="336"/>
      <c r="G39" s="335"/>
      <c r="H39" s="337"/>
      <c r="I39" s="472"/>
      <c r="J39" s="322"/>
      <c r="K39" s="322"/>
      <c r="L39" s="323"/>
      <c r="O39" s="337"/>
      <c r="P39" s="337"/>
      <c r="Q39" s="337"/>
    </row>
    <row r="40" customFormat="false" ht="4.75" hidden="false" customHeight="true" outlineLevel="0" collapsed="false">
      <c r="A40" s="338"/>
      <c r="B40" s="316"/>
      <c r="C40" s="317"/>
      <c r="D40" s="326"/>
      <c r="E40" s="327"/>
      <c r="F40" s="317"/>
      <c r="G40" s="316"/>
      <c r="H40" s="475"/>
      <c r="I40" s="472"/>
      <c r="J40" s="322"/>
      <c r="K40" s="322"/>
      <c r="L40" s="323"/>
      <c r="O40" s="473"/>
      <c r="P40" s="473"/>
      <c r="Q40" s="473"/>
    </row>
    <row r="41" customFormat="false" ht="15" hidden="false" customHeight="false" outlineLevel="0" collapsed="false">
      <c r="A41" s="339" t="s">
        <v>83</v>
      </c>
      <c r="B41" s="340" t="n">
        <f aca="false">(TableDE3b!H100/TableDE3b!H90)^(1/10)-1</f>
        <v>0.0808160588402462</v>
      </c>
      <c r="C41" s="341" t="n">
        <f aca="false">(TableDE5a!C100/TableDE5a!C90)^(1/10)-1</f>
        <v>0.0754421669163652</v>
      </c>
      <c r="D41" s="337" t="n">
        <f aca="false">(1+B41)/(1+G41)-1</f>
        <v>0.0709762034582622</v>
      </c>
      <c r="E41" s="337" t="n">
        <f aca="false">(1+D41)*(1+J41)/(1+K41)-1</f>
        <v>0.0822342850874378</v>
      </c>
      <c r="F41" s="341" t="n">
        <f aca="false">(1+D41)*(1+G41)/(1+I41)-1</f>
        <v>0.0563774602279679</v>
      </c>
      <c r="G41" s="340" t="n">
        <f aca="false">(TableDE3b!E100/TableDE3b!E90)^(1/10)-1</f>
        <v>0.00918774418162638</v>
      </c>
      <c r="H41" s="476" t="n">
        <f aca="false">(TableDE3b!F100/TableDE3b!F90)^(1/10)-1</f>
        <v>0.0121964026071548</v>
      </c>
      <c r="I41" s="343" t="n">
        <f aca="false">(TableDE3b!G100/TableDE3b!G90)^(1/10)-1</f>
        <v>0.0231343431040307</v>
      </c>
      <c r="J41" s="337" t="n">
        <f aca="false">(TableDE15a!C99/TableDE15a!C89)^(1/10)-1</f>
        <v>0.0294939207102232</v>
      </c>
      <c r="K41" s="337" t="n">
        <f aca="false">(TableDE15a!B99/TableDE15a!B89)^(1/10)-1</f>
        <v>0.0187844775186692</v>
      </c>
      <c r="L41" s="344" t="n">
        <f aca="false">(TableDE15a!D99/TableDE15a!D89)^(1/10)-1</f>
        <v>0.0191201549770796</v>
      </c>
      <c r="N41" s="468"/>
      <c r="O41" s="476" t="n">
        <f aca="false">PRODUCT(TableDE3b!R91:R100)^(1/10)-1</f>
        <v>0.0705333299174502</v>
      </c>
      <c r="P41" s="476" t="n">
        <f aca="false">PRODUCT(TableDE3b!S91:S100)^(1/10)-1</f>
        <v>0.0709901511834465</v>
      </c>
      <c r="Q41" s="476" t="n">
        <f aca="false">PRODUCT(TableDE3b!T91:T100)^(1/10)-1</f>
        <v>0.00584920519052035</v>
      </c>
    </row>
    <row r="42" customFormat="false" ht="15" hidden="true" customHeight="false" outlineLevel="0" collapsed="false">
      <c r="A42" s="339"/>
      <c r="B42" s="340"/>
      <c r="C42" s="341"/>
      <c r="D42" s="337"/>
      <c r="E42" s="337"/>
      <c r="F42" s="341"/>
      <c r="G42" s="340"/>
      <c r="H42" s="476"/>
      <c r="I42" s="343"/>
      <c r="J42" s="311"/>
      <c r="K42" s="337"/>
      <c r="L42" s="344"/>
      <c r="O42" s="476"/>
      <c r="P42" s="476"/>
      <c r="Q42" s="476"/>
    </row>
    <row r="43" customFormat="false" ht="15" hidden="true" customHeight="false" outlineLevel="0" collapsed="false">
      <c r="A43" s="339"/>
      <c r="B43" s="340"/>
      <c r="C43" s="341"/>
      <c r="D43" s="337"/>
      <c r="E43" s="337"/>
      <c r="F43" s="341"/>
      <c r="G43" s="340"/>
      <c r="H43" s="476"/>
      <c r="I43" s="343"/>
      <c r="J43" s="311"/>
      <c r="K43" s="337"/>
      <c r="L43" s="344"/>
      <c r="O43" s="476"/>
      <c r="P43" s="476"/>
      <c r="Q43" s="476"/>
    </row>
    <row r="44" customFormat="false" ht="15" hidden="true" customHeight="false" outlineLevel="0" collapsed="false">
      <c r="A44" s="339"/>
      <c r="B44" s="340"/>
      <c r="C44" s="341"/>
      <c r="D44" s="337"/>
      <c r="E44" s="337"/>
      <c r="F44" s="341"/>
      <c r="G44" s="340"/>
      <c r="H44" s="476"/>
      <c r="I44" s="343"/>
      <c r="J44" s="311"/>
      <c r="K44" s="337"/>
      <c r="L44" s="344"/>
      <c r="O44" s="476"/>
      <c r="P44" s="476"/>
      <c r="Q44" s="476"/>
    </row>
    <row r="45" customFormat="false" ht="15" hidden="true" customHeight="false" outlineLevel="0" collapsed="false">
      <c r="A45" s="339"/>
      <c r="B45" s="340"/>
      <c r="C45" s="341"/>
      <c r="D45" s="337"/>
      <c r="E45" s="337"/>
      <c r="F45" s="341"/>
      <c r="G45" s="340"/>
      <c r="H45" s="476"/>
      <c r="I45" s="343"/>
      <c r="J45" s="311"/>
      <c r="K45" s="337"/>
      <c r="L45" s="344"/>
      <c r="O45" s="476"/>
      <c r="P45" s="476"/>
      <c r="Q45" s="476"/>
    </row>
    <row r="46" customFormat="false" ht="15" hidden="true" customHeight="false" outlineLevel="0" collapsed="false">
      <c r="A46" s="339"/>
      <c r="B46" s="340"/>
      <c r="C46" s="341"/>
      <c r="D46" s="337"/>
      <c r="E46" s="337"/>
      <c r="F46" s="341"/>
      <c r="G46" s="340"/>
      <c r="H46" s="476"/>
      <c r="I46" s="343"/>
      <c r="J46" s="311"/>
      <c r="K46" s="337"/>
      <c r="L46" s="344"/>
      <c r="O46" s="476"/>
      <c r="P46" s="476"/>
      <c r="Q46" s="476"/>
    </row>
    <row r="47" customFormat="false" ht="15" hidden="true" customHeight="false" outlineLevel="0" collapsed="false">
      <c r="A47" s="339"/>
      <c r="B47" s="340"/>
      <c r="C47" s="341"/>
      <c r="D47" s="337"/>
      <c r="E47" s="337"/>
      <c r="F47" s="341"/>
      <c r="G47" s="340"/>
      <c r="H47" s="476"/>
      <c r="I47" s="343"/>
      <c r="J47" s="311"/>
      <c r="K47" s="337"/>
      <c r="L47" s="344"/>
      <c r="O47" s="476"/>
      <c r="P47" s="476"/>
      <c r="Q47" s="476"/>
    </row>
    <row r="48" customFormat="false" ht="15" hidden="true" customHeight="false" outlineLevel="0" collapsed="false">
      <c r="A48" s="339"/>
      <c r="B48" s="340"/>
      <c r="C48" s="341"/>
      <c r="D48" s="337"/>
      <c r="E48" s="337"/>
      <c r="F48" s="341"/>
      <c r="G48" s="340"/>
      <c r="H48" s="476"/>
      <c r="I48" s="343"/>
      <c r="J48" s="311"/>
      <c r="K48" s="337"/>
      <c r="L48" s="344"/>
      <c r="O48" s="476"/>
      <c r="P48" s="476"/>
      <c r="Q48" s="476"/>
    </row>
    <row r="49" customFormat="false" ht="15" hidden="false" customHeight="false" outlineLevel="0" collapsed="false">
      <c r="A49" s="345"/>
      <c r="B49" s="335"/>
      <c r="C49" s="336"/>
      <c r="D49" s="318"/>
      <c r="E49" s="470"/>
      <c r="F49" s="336"/>
      <c r="G49" s="335"/>
      <c r="H49" s="337"/>
      <c r="I49" s="472"/>
      <c r="J49" s="322"/>
      <c r="K49" s="322"/>
      <c r="L49" s="323"/>
      <c r="O49" s="337"/>
      <c r="P49" s="337"/>
      <c r="Q49" s="337"/>
    </row>
    <row r="50" customFormat="false" ht="4.75" hidden="false" customHeight="true" outlineLevel="0" collapsed="false">
      <c r="A50" s="315"/>
      <c r="B50" s="316"/>
      <c r="C50" s="317"/>
      <c r="D50" s="318"/>
      <c r="E50" s="470"/>
      <c r="F50" s="317"/>
      <c r="G50" s="316"/>
      <c r="H50" s="475"/>
      <c r="I50" s="472"/>
      <c r="J50" s="322"/>
      <c r="K50" s="322"/>
      <c r="L50" s="323"/>
      <c r="N50" s="468"/>
      <c r="O50" s="473"/>
      <c r="P50" s="473"/>
      <c r="Q50" s="473"/>
    </row>
    <row r="51" customFormat="false" ht="15" hidden="false" customHeight="false" outlineLevel="0" collapsed="false">
      <c r="A51" s="339" t="s">
        <v>84</v>
      </c>
      <c r="B51" s="340" t="n">
        <f aca="false">(TableDE3b!H110/TableDE3b!H100)^(1/10)-1</f>
        <v>0.0415703583628873</v>
      </c>
      <c r="C51" s="341" t="n">
        <f aca="false">(TableDE5a!C110/TableDE5a!C100)^(1/10)-1</f>
        <v>0.0697592558094344</v>
      </c>
      <c r="D51" s="337" t="n">
        <f aca="false">(1+B51)/(1+G51)-1</f>
        <v>0.0318094304779477</v>
      </c>
      <c r="E51" s="337" t="n">
        <f aca="false">(1+D51)*(1+J51)/(1+K51)-1</f>
        <v>0.0435234949371499</v>
      </c>
      <c r="F51" s="341" t="n">
        <f aca="false">(1+D51)*(1+G51)/(1+I51)-1</f>
        <v>0.0394514606820147</v>
      </c>
      <c r="G51" s="340" t="n">
        <f aca="false">(TableDE3b!E110/TableDE3b!E100)^(1/10)-1</f>
        <v>0.00946001034359423</v>
      </c>
      <c r="H51" s="476" t="n">
        <f aca="false">(TableDE3b!F110/TableDE3b!F100)^(1/10)-1</f>
        <v>0.00761204254950387</v>
      </c>
      <c r="I51" s="343" t="n">
        <f aca="false">(TableDE3b!G110/TableDE3b!G100)^(1/10)-1</f>
        <v>0.0020384767937911</v>
      </c>
      <c r="J51" s="337" t="n">
        <f aca="false">(TableDE15a!C109/TableDE15a!C99)^(1/10)-1</f>
        <v>0.0376684582555218</v>
      </c>
      <c r="K51" s="337" t="n">
        <f aca="false">(TableDE15a!B109/TableDE15a!B99)^(1/10)-1</f>
        <v>0.0260201194627108</v>
      </c>
      <c r="L51" s="344" t="n">
        <f aca="false">(TableDE15a!D109/TableDE15a!D99)^(1/10)-1</f>
        <v>0.0268972768949722</v>
      </c>
      <c r="N51" s="468"/>
      <c r="O51" s="476" t="n">
        <f aca="false">PRODUCT(TableDE3b!R101:R110)^(1/10)-1</f>
        <v>0.0349524347217711</v>
      </c>
      <c r="P51" s="476" t="n">
        <f aca="false">PRODUCT(TableDE3b!S101:S110)^(1/10)-1</f>
        <v>0.0347154267228071</v>
      </c>
      <c r="Q51" s="476" t="n">
        <f aca="false">PRODUCT(TableDE3b!T101:T110)^(1/10)-1</f>
        <v>0.0070852177779821</v>
      </c>
    </row>
    <row r="52" customFormat="false" ht="15" hidden="true" customHeight="false" outlineLevel="0" collapsed="false">
      <c r="A52" s="339"/>
      <c r="B52" s="340"/>
      <c r="C52" s="341"/>
      <c r="D52" s="337"/>
      <c r="E52" s="337"/>
      <c r="F52" s="341"/>
      <c r="G52" s="340"/>
      <c r="H52" s="476"/>
      <c r="I52" s="343"/>
      <c r="J52" s="311"/>
      <c r="K52" s="337"/>
      <c r="L52" s="344"/>
      <c r="O52" s="476"/>
      <c r="P52" s="476"/>
      <c r="Q52" s="476"/>
    </row>
    <row r="53" customFormat="false" ht="15" hidden="true" customHeight="false" outlineLevel="0" collapsed="false">
      <c r="A53" s="339"/>
      <c r="B53" s="340"/>
      <c r="C53" s="341"/>
      <c r="D53" s="337"/>
      <c r="E53" s="337"/>
      <c r="F53" s="341"/>
      <c r="G53" s="340"/>
      <c r="H53" s="476"/>
      <c r="I53" s="343"/>
      <c r="J53" s="311"/>
      <c r="K53" s="337"/>
      <c r="L53" s="344"/>
      <c r="O53" s="476"/>
      <c r="P53" s="476"/>
      <c r="Q53" s="476"/>
    </row>
    <row r="54" customFormat="false" ht="15" hidden="true" customHeight="false" outlineLevel="0" collapsed="false">
      <c r="A54" s="339"/>
      <c r="B54" s="340"/>
      <c r="C54" s="341"/>
      <c r="D54" s="337"/>
      <c r="E54" s="337"/>
      <c r="F54" s="341"/>
      <c r="G54" s="340"/>
      <c r="H54" s="476"/>
      <c r="I54" s="343"/>
      <c r="J54" s="311"/>
      <c r="K54" s="337"/>
      <c r="L54" s="344"/>
      <c r="O54" s="476"/>
      <c r="P54" s="476"/>
      <c r="Q54" s="476"/>
    </row>
    <row r="55" customFormat="false" ht="15" hidden="true" customHeight="false" outlineLevel="0" collapsed="false">
      <c r="A55" s="339"/>
      <c r="B55" s="340"/>
      <c r="C55" s="341"/>
      <c r="D55" s="337"/>
      <c r="E55" s="337"/>
      <c r="F55" s="341"/>
      <c r="G55" s="340"/>
      <c r="H55" s="476"/>
      <c r="I55" s="343"/>
      <c r="J55" s="311"/>
      <c r="K55" s="337"/>
      <c r="L55" s="344"/>
      <c r="O55" s="476"/>
      <c r="P55" s="476"/>
      <c r="Q55" s="476"/>
    </row>
    <row r="56" customFormat="false" ht="15" hidden="true" customHeight="false" outlineLevel="0" collapsed="false">
      <c r="A56" s="339"/>
      <c r="B56" s="340"/>
      <c r="C56" s="341"/>
      <c r="D56" s="337"/>
      <c r="E56" s="337"/>
      <c r="F56" s="341"/>
      <c r="G56" s="340"/>
      <c r="H56" s="476"/>
      <c r="I56" s="343"/>
      <c r="J56" s="311"/>
      <c r="K56" s="337"/>
      <c r="L56" s="344"/>
      <c r="O56" s="476"/>
      <c r="P56" s="476"/>
      <c r="Q56" s="476"/>
    </row>
    <row r="57" customFormat="false" ht="15" hidden="true" customHeight="false" outlineLevel="0" collapsed="false">
      <c r="A57" s="339"/>
      <c r="B57" s="340"/>
      <c r="C57" s="341"/>
      <c r="D57" s="337"/>
      <c r="E57" s="337"/>
      <c r="F57" s="341"/>
      <c r="G57" s="340"/>
      <c r="H57" s="476"/>
      <c r="I57" s="343"/>
      <c r="J57" s="311"/>
      <c r="K57" s="337"/>
      <c r="L57" s="344"/>
      <c r="O57" s="476"/>
      <c r="P57" s="476"/>
      <c r="Q57" s="476"/>
    </row>
    <row r="58" customFormat="false" ht="15" hidden="true" customHeight="false" outlineLevel="0" collapsed="false">
      <c r="A58" s="339"/>
      <c r="B58" s="340"/>
      <c r="C58" s="341"/>
      <c r="D58" s="337"/>
      <c r="E58" s="337"/>
      <c r="F58" s="341"/>
      <c r="G58" s="340"/>
      <c r="H58" s="476"/>
      <c r="I58" s="343"/>
      <c r="J58" s="311"/>
      <c r="K58" s="337"/>
      <c r="L58" s="344"/>
      <c r="O58" s="476"/>
      <c r="P58" s="476"/>
      <c r="Q58" s="476"/>
    </row>
    <row r="59" customFormat="false" ht="15" hidden="false" customHeight="false" outlineLevel="0" collapsed="false">
      <c r="A59" s="345"/>
      <c r="B59" s="335"/>
      <c r="C59" s="336"/>
      <c r="D59" s="318"/>
      <c r="E59" s="470"/>
      <c r="F59" s="336"/>
      <c r="G59" s="335"/>
      <c r="H59" s="337"/>
      <c r="I59" s="472"/>
      <c r="J59" s="322"/>
      <c r="K59" s="322"/>
      <c r="L59" s="323"/>
      <c r="O59" s="337"/>
      <c r="P59" s="337"/>
      <c r="Q59" s="337"/>
    </row>
    <row r="60" customFormat="false" ht="4.75" hidden="false" customHeight="true" outlineLevel="0" collapsed="false">
      <c r="A60" s="315"/>
      <c r="B60" s="346"/>
      <c r="C60" s="317"/>
      <c r="D60" s="326"/>
      <c r="E60" s="327"/>
      <c r="F60" s="317"/>
      <c r="G60" s="346"/>
      <c r="H60" s="475"/>
      <c r="I60" s="472"/>
      <c r="J60" s="337"/>
      <c r="K60" s="337"/>
      <c r="L60" s="344"/>
      <c r="O60" s="473"/>
      <c r="P60" s="473"/>
      <c r="Q60" s="473"/>
    </row>
    <row r="61" customFormat="false" ht="15" hidden="false" customHeight="false" outlineLevel="0" collapsed="false">
      <c r="A61" s="339" t="s">
        <v>85</v>
      </c>
      <c r="B61" s="340" t="n">
        <f aca="false">(TableDE3b!H120/TableDE3b!H110)^(1/10)-1</f>
        <v>0.0265240442255243</v>
      </c>
      <c r="C61" s="341" t="n">
        <f aca="false">(TableDE5a!C120/TableDE5a!C110)^(1/10)-1</f>
        <v>0.0386072529510715</v>
      </c>
      <c r="D61" s="337" t="n">
        <f aca="false">(1+B61)/(1+G61)-1</f>
        <v>0.0257697558988874</v>
      </c>
      <c r="E61" s="337" t="n">
        <f aca="false">(1+D61)*(1+J61)/(1+K61)-1</f>
        <v>0.0260431774576466</v>
      </c>
      <c r="F61" s="341" t="n">
        <f aca="false">(1+D61)*(1+G61)/(1+I61)-1</f>
        <v>0.0233697646518016</v>
      </c>
      <c r="G61" s="340" t="n">
        <f aca="false">(TableDE3b!E120/TableDE3b!E110)^(1/10)-1</f>
        <v>0.000735338824623399</v>
      </c>
      <c r="H61" s="476" t="n">
        <f aca="false">(TableDE3b!F120/TableDE3b!F110)^(1/10)-1</f>
        <v>0.00533658037394513</v>
      </c>
      <c r="I61" s="343" t="n">
        <f aca="false">(TableDE3b!G120/TableDE3b!G110)^(1/10)-1</f>
        <v>0.00308224815963354</v>
      </c>
      <c r="J61" s="337" t="n">
        <f aca="false">(TableDE15a!C119/TableDE15a!C109)^(1/10)-1</f>
        <v>0.0509620946739267</v>
      </c>
      <c r="K61" s="337" t="n">
        <f aca="false">(TableDE15a!B119/TableDE15a!B109)^(1/10)-1</f>
        <v>0.0506820326839093</v>
      </c>
      <c r="L61" s="344" t="n">
        <f aca="false">(TableDE15a!D119/TableDE15a!D109)^(1/10)-1</f>
        <v>0.050327793406741</v>
      </c>
      <c r="O61" s="476" t="n">
        <f aca="false">PRODUCT(TableDE3b!R111:R120)^(1/10)-1</f>
        <v>0.025635607940907</v>
      </c>
      <c r="P61" s="476" t="n">
        <f aca="false">PRODUCT(TableDE3b!S111:S120)^(1/10)-1</f>
        <v>0.0267521052371951</v>
      </c>
      <c r="Q61" s="476" t="n">
        <f aca="false">PRODUCT(TableDE3b!T111:T120)^(1/10)-1</f>
        <v>0.000659800278773659</v>
      </c>
    </row>
    <row r="62" customFormat="false" ht="15" hidden="true" customHeight="false" outlineLevel="0" collapsed="false">
      <c r="A62" s="339"/>
      <c r="B62" s="340"/>
      <c r="C62" s="341"/>
      <c r="D62" s="337"/>
      <c r="E62" s="337"/>
      <c r="F62" s="341"/>
      <c r="G62" s="340"/>
      <c r="H62" s="476"/>
      <c r="I62" s="343"/>
      <c r="J62" s="337"/>
      <c r="K62" s="337"/>
      <c r="L62" s="344"/>
      <c r="O62" s="476"/>
      <c r="P62" s="476"/>
      <c r="Q62" s="476"/>
    </row>
    <row r="63" customFormat="false" ht="15" hidden="true" customHeight="false" outlineLevel="0" collapsed="false">
      <c r="A63" s="339"/>
      <c r="B63" s="340"/>
      <c r="C63" s="341"/>
      <c r="D63" s="337"/>
      <c r="E63" s="337"/>
      <c r="F63" s="341"/>
      <c r="G63" s="340"/>
      <c r="H63" s="476"/>
      <c r="I63" s="343"/>
      <c r="J63" s="337"/>
      <c r="K63" s="337"/>
      <c r="L63" s="344"/>
      <c r="O63" s="476"/>
      <c r="P63" s="476"/>
      <c r="Q63" s="476"/>
    </row>
    <row r="64" customFormat="false" ht="15" hidden="true" customHeight="false" outlineLevel="0" collapsed="false">
      <c r="A64" s="339"/>
      <c r="B64" s="340"/>
      <c r="C64" s="341"/>
      <c r="D64" s="337"/>
      <c r="E64" s="337"/>
      <c r="F64" s="341"/>
      <c r="G64" s="340"/>
      <c r="H64" s="476"/>
      <c r="I64" s="343"/>
      <c r="J64" s="337"/>
      <c r="K64" s="337"/>
      <c r="L64" s="344"/>
      <c r="O64" s="476"/>
      <c r="P64" s="476"/>
      <c r="Q64" s="476"/>
    </row>
    <row r="65" customFormat="false" ht="15" hidden="true" customHeight="false" outlineLevel="0" collapsed="false">
      <c r="A65" s="339"/>
      <c r="B65" s="340"/>
      <c r="C65" s="341"/>
      <c r="D65" s="337"/>
      <c r="E65" s="337"/>
      <c r="F65" s="341"/>
      <c r="G65" s="340"/>
      <c r="H65" s="476"/>
      <c r="I65" s="343"/>
      <c r="J65" s="337"/>
      <c r="K65" s="337"/>
      <c r="L65" s="344"/>
      <c r="O65" s="476"/>
      <c r="P65" s="476"/>
      <c r="Q65" s="476"/>
    </row>
    <row r="66" customFormat="false" ht="15" hidden="true" customHeight="false" outlineLevel="0" collapsed="false">
      <c r="A66" s="339"/>
      <c r="B66" s="340"/>
      <c r="C66" s="341"/>
      <c r="D66" s="337"/>
      <c r="E66" s="337"/>
      <c r="F66" s="341"/>
      <c r="G66" s="340"/>
      <c r="H66" s="476"/>
      <c r="I66" s="343"/>
      <c r="J66" s="337"/>
      <c r="K66" s="337"/>
      <c r="L66" s="344"/>
      <c r="O66" s="476"/>
      <c r="P66" s="476"/>
      <c r="Q66" s="476"/>
    </row>
    <row r="67" customFormat="false" ht="15" hidden="true" customHeight="false" outlineLevel="0" collapsed="false">
      <c r="A67" s="339"/>
      <c r="B67" s="340"/>
      <c r="C67" s="341"/>
      <c r="D67" s="337"/>
      <c r="E67" s="337"/>
      <c r="F67" s="341"/>
      <c r="G67" s="340"/>
      <c r="H67" s="476"/>
      <c r="I67" s="343"/>
      <c r="J67" s="337"/>
      <c r="K67" s="337"/>
      <c r="L67" s="344"/>
      <c r="O67" s="476"/>
      <c r="P67" s="476"/>
      <c r="Q67" s="476"/>
    </row>
    <row r="68" customFormat="false" ht="15" hidden="true" customHeight="false" outlineLevel="0" collapsed="false">
      <c r="A68" s="339"/>
      <c r="B68" s="340"/>
      <c r="C68" s="341"/>
      <c r="D68" s="337"/>
      <c r="E68" s="337"/>
      <c r="F68" s="341"/>
      <c r="G68" s="340"/>
      <c r="H68" s="476"/>
      <c r="I68" s="343"/>
      <c r="J68" s="337"/>
      <c r="K68" s="337"/>
      <c r="L68" s="344"/>
      <c r="O68" s="476"/>
      <c r="P68" s="476"/>
      <c r="Q68" s="476"/>
    </row>
    <row r="69" customFormat="false" ht="15" hidden="false" customHeight="false" outlineLevel="0" collapsed="false">
      <c r="A69" s="345"/>
      <c r="B69" s="335"/>
      <c r="C69" s="336"/>
      <c r="D69" s="318"/>
      <c r="E69" s="470"/>
      <c r="F69" s="341"/>
      <c r="G69" s="335"/>
      <c r="H69" s="337"/>
      <c r="I69" s="472"/>
      <c r="J69" s="322"/>
      <c r="K69" s="322"/>
      <c r="L69" s="323"/>
      <c r="O69" s="337"/>
      <c r="P69" s="337"/>
      <c r="Q69" s="337"/>
    </row>
    <row r="70" customFormat="false" ht="4.75" hidden="false" customHeight="true" outlineLevel="0" collapsed="false">
      <c r="A70" s="315"/>
      <c r="B70" s="316"/>
      <c r="C70" s="317"/>
      <c r="D70" s="326"/>
      <c r="E70" s="327"/>
      <c r="F70" s="341"/>
      <c r="G70" s="316"/>
      <c r="H70" s="475"/>
      <c r="I70" s="472"/>
      <c r="J70" s="322"/>
      <c r="K70" s="322"/>
      <c r="L70" s="323"/>
      <c r="O70" s="473"/>
      <c r="P70" s="473"/>
      <c r="Q70" s="473"/>
    </row>
    <row r="71" customFormat="false" ht="15" hidden="false" customHeight="false" outlineLevel="0" collapsed="false">
      <c r="A71" s="339" t="s">
        <v>86</v>
      </c>
      <c r="B71" s="340" t="n">
        <f aca="false">(TableDE3b!H130/TableDE3b!H120)^(1/10)-1</f>
        <v>0.02327562688148</v>
      </c>
      <c r="C71" s="341" t="n">
        <f aca="false">(TableDE5a!C130/TableDE5a!C120)^(1/10)-1</f>
        <v>0.0385405119806836</v>
      </c>
      <c r="D71" s="337" t="n">
        <f aca="false">(1+B71)/(1+G71)-1</f>
        <v>0.0205661507864376</v>
      </c>
      <c r="E71" s="337" t="n">
        <f aca="false">(1+D71)*(1+J71)/(1+K71)-1</f>
        <v>0.022470151956226</v>
      </c>
      <c r="F71" s="341" t="n">
        <f aca="false">(1+D71)*(1+G71)/(1+I71)-1</f>
        <v>0.0127427925485188</v>
      </c>
      <c r="G71" s="340" t="n">
        <f aca="false">(TableDE3b!E130/TableDE3b!E120)^(1/10)-1</f>
        <v>0.00265487552468247</v>
      </c>
      <c r="H71" s="476" t="n">
        <f aca="false">(TableDE3b!F130/TableDE3b!F120)^(1/10)-1</f>
        <v>0.0100344961524792</v>
      </c>
      <c r="I71" s="343" t="n">
        <f aca="false">(TableDE3b!G130/TableDE3b!G120)^(1/10)-1</f>
        <v>0.0104003053988226</v>
      </c>
      <c r="J71" s="337" t="n">
        <f aca="false">(TableDE15a!C129/TableDE15a!C119)^(1/10)-1</f>
        <v>0.0278775952401273</v>
      </c>
      <c r="K71" s="337" t="n">
        <f aca="false">(TableDE15a!B129/TableDE15a!B119)^(1/10)-1</f>
        <v>0.0259635245555288</v>
      </c>
      <c r="L71" s="344" t="n">
        <f aca="false">(TableDE15a!D129/TableDE15a!D119)^(1/10)-1</f>
        <v>0.0254195119485863</v>
      </c>
      <c r="O71" s="476" t="n">
        <f aca="false">PRODUCT(TableDE3b!R121:R130)^(1/10)-1</f>
        <v>0.0192791579378595</v>
      </c>
      <c r="P71" s="476" t="n">
        <f aca="false">PRODUCT(TableDE3b!S121:S130)^(1/10)-1</f>
        <v>0.0121696806088276</v>
      </c>
      <c r="Q71" s="476" t="n">
        <f aca="false">PRODUCT(TableDE3b!T121:T130)^(1/10)-1</f>
        <v>0.00137400077618866</v>
      </c>
    </row>
    <row r="72" customFormat="false" ht="15" hidden="true" customHeight="false" outlineLevel="0" collapsed="false">
      <c r="A72" s="339"/>
      <c r="B72" s="340"/>
      <c r="C72" s="341"/>
      <c r="D72" s="337"/>
      <c r="E72" s="337"/>
      <c r="F72" s="341"/>
      <c r="G72" s="340"/>
      <c r="H72" s="476"/>
      <c r="I72" s="343"/>
      <c r="J72" s="337"/>
      <c r="K72" s="337"/>
      <c r="L72" s="344"/>
      <c r="O72" s="476"/>
      <c r="P72" s="476"/>
      <c r="Q72" s="476"/>
    </row>
    <row r="73" customFormat="false" ht="15" hidden="true" customHeight="false" outlineLevel="0" collapsed="false">
      <c r="A73" s="339"/>
      <c r="B73" s="340"/>
      <c r="C73" s="341"/>
      <c r="D73" s="337"/>
      <c r="E73" s="337"/>
      <c r="F73" s="341"/>
      <c r="G73" s="340"/>
      <c r="H73" s="476"/>
      <c r="I73" s="343"/>
      <c r="J73" s="337"/>
      <c r="K73" s="337"/>
      <c r="L73" s="344"/>
      <c r="O73" s="476"/>
      <c r="P73" s="476"/>
      <c r="Q73" s="476"/>
    </row>
    <row r="74" customFormat="false" ht="15" hidden="true" customHeight="false" outlineLevel="0" collapsed="false">
      <c r="A74" s="339"/>
      <c r="B74" s="340"/>
      <c r="C74" s="341"/>
      <c r="D74" s="337"/>
      <c r="E74" s="337"/>
      <c r="F74" s="341"/>
      <c r="G74" s="340"/>
      <c r="H74" s="476"/>
      <c r="I74" s="343"/>
      <c r="J74" s="337"/>
      <c r="K74" s="337"/>
      <c r="L74" s="344"/>
      <c r="O74" s="476"/>
      <c r="P74" s="476"/>
      <c r="Q74" s="476"/>
    </row>
    <row r="75" customFormat="false" ht="15" hidden="true" customHeight="false" outlineLevel="0" collapsed="false">
      <c r="A75" s="339"/>
      <c r="B75" s="340"/>
      <c r="C75" s="341"/>
      <c r="D75" s="337"/>
      <c r="E75" s="337"/>
      <c r="F75" s="341"/>
      <c r="G75" s="340"/>
      <c r="H75" s="476"/>
      <c r="I75" s="343"/>
      <c r="J75" s="337"/>
      <c r="K75" s="337"/>
      <c r="L75" s="344"/>
      <c r="O75" s="476"/>
      <c r="P75" s="476"/>
      <c r="Q75" s="476"/>
    </row>
    <row r="76" customFormat="false" ht="15" hidden="true" customHeight="false" outlineLevel="0" collapsed="false">
      <c r="A76" s="339"/>
      <c r="B76" s="340"/>
      <c r="C76" s="341"/>
      <c r="D76" s="337"/>
      <c r="E76" s="337"/>
      <c r="F76" s="341"/>
      <c r="G76" s="340"/>
      <c r="H76" s="476"/>
      <c r="I76" s="343"/>
      <c r="J76" s="337"/>
      <c r="K76" s="337"/>
      <c r="L76" s="344"/>
      <c r="O76" s="476"/>
      <c r="P76" s="476"/>
      <c r="Q76" s="476"/>
    </row>
    <row r="77" customFormat="false" ht="15" hidden="true" customHeight="false" outlineLevel="0" collapsed="false">
      <c r="A77" s="339"/>
      <c r="B77" s="340"/>
      <c r="C77" s="341"/>
      <c r="D77" s="337"/>
      <c r="E77" s="337"/>
      <c r="F77" s="341"/>
      <c r="G77" s="340"/>
      <c r="H77" s="476"/>
      <c r="I77" s="343"/>
      <c r="J77" s="337"/>
      <c r="K77" s="337"/>
      <c r="L77" s="344"/>
      <c r="O77" s="476"/>
      <c r="P77" s="476"/>
      <c r="Q77" s="476"/>
    </row>
    <row r="78" customFormat="false" ht="15" hidden="true" customHeight="false" outlineLevel="0" collapsed="false">
      <c r="A78" s="339"/>
      <c r="B78" s="340"/>
      <c r="C78" s="341"/>
      <c r="D78" s="337"/>
      <c r="E78" s="337"/>
      <c r="F78" s="341"/>
      <c r="G78" s="340"/>
      <c r="H78" s="476"/>
      <c r="I78" s="343"/>
      <c r="J78" s="337"/>
      <c r="K78" s="337"/>
      <c r="L78" s="344"/>
      <c r="O78" s="476"/>
      <c r="P78" s="476"/>
      <c r="Q78" s="476"/>
    </row>
    <row r="79" customFormat="false" ht="15" hidden="false" customHeight="false" outlineLevel="0" collapsed="false">
      <c r="A79" s="345"/>
      <c r="B79" s="335"/>
      <c r="C79" s="336"/>
      <c r="D79" s="318"/>
      <c r="E79" s="470"/>
      <c r="F79" s="341"/>
      <c r="G79" s="335"/>
      <c r="H79" s="337"/>
      <c r="I79" s="472"/>
      <c r="J79" s="322"/>
      <c r="K79" s="322"/>
      <c r="L79" s="323"/>
      <c r="O79" s="337"/>
      <c r="P79" s="337"/>
      <c r="Q79" s="337"/>
    </row>
    <row r="80" customFormat="false" ht="4.75" hidden="false" customHeight="true" outlineLevel="0" collapsed="false">
      <c r="A80" s="315"/>
      <c r="B80" s="316"/>
      <c r="C80" s="317"/>
      <c r="D80" s="326"/>
      <c r="E80" s="327"/>
      <c r="F80" s="341"/>
      <c r="G80" s="316"/>
      <c r="H80" s="475"/>
      <c r="I80" s="472"/>
      <c r="J80" s="337"/>
      <c r="K80" s="337"/>
      <c r="L80" s="344"/>
      <c r="O80" s="473"/>
      <c r="P80" s="473"/>
      <c r="Q80" s="473"/>
    </row>
    <row r="81" customFormat="false" ht="15" hidden="false" customHeight="false" outlineLevel="0" collapsed="false">
      <c r="A81" s="339" t="s">
        <v>87</v>
      </c>
      <c r="B81" s="340" t="n">
        <f aca="false">(TableDE3b!H140/TableDE3b!H130)^(1/10)-1</f>
        <v>0.0164238332375164</v>
      </c>
      <c r="C81" s="341" t="n">
        <f aca="false">(TableDE5a!C140/TableDE5a!C130)^(1/10)-1</f>
        <v>0.0364321223726778</v>
      </c>
      <c r="D81" s="337" t="n">
        <f aca="false">(1+B81)/(1+G81)-1</f>
        <v>0.0129056727710879</v>
      </c>
      <c r="E81" s="337" t="n">
        <f aca="false">(1+D81)*(1+J81)/(1+K81)-1</f>
        <v>0.00658402252121548</v>
      </c>
      <c r="F81" s="341" t="n">
        <f aca="false">(1+D81)*(1+G81)/(1+I81)-1</f>
        <v>0.0133497868678265</v>
      </c>
      <c r="G81" s="340" t="n">
        <f aca="false">(TableDE3b!E140/TableDE3b!E130)^(1/10)-1</f>
        <v>0.00347333474478773</v>
      </c>
      <c r="H81" s="476" t="n">
        <f aca="false">(TableDE3b!F140/TableDE3b!F130)^(1/10)-1</f>
        <v>0.00309258174654969</v>
      </c>
      <c r="I81" s="343" t="n">
        <f aca="false">(TableDE3b!G140/TableDE3b!G130)^(1/10)-1</f>
        <v>0.00303354913528087</v>
      </c>
      <c r="J81" s="337" t="n">
        <f aca="false">(TableDE15a!C139/TableDE15a!C129)^(1/10)-1</f>
        <v>0.0178183653702571</v>
      </c>
      <c r="K81" s="337" t="n">
        <f aca="false">(TableDE15a!B139/TableDE15a!B129)^(1/10)-1</f>
        <v>0.0242105706703686</v>
      </c>
      <c r="L81" s="344" t="n">
        <f aca="false">(TableDE15a!D139/TableDE15a!D129)^(1/10)-1</f>
        <v>0.019731847015966</v>
      </c>
      <c r="O81" s="476" t="n">
        <f aca="false">PRODUCT(TableDE3b!R131:R140)^(1/10)-1</f>
        <v>0.0173452101070062</v>
      </c>
      <c r="P81" s="476" t="n">
        <f aca="false">PRODUCT(TableDE3b!S131:S140)^(1/10)-1</f>
        <v>0.0174840989392626</v>
      </c>
      <c r="Q81" s="476" t="n">
        <f aca="false">PRODUCT(TableDE3b!T131:T140)^(1/10)-1</f>
        <v>0.00348172597314433</v>
      </c>
    </row>
    <row r="82" customFormat="false" ht="15" hidden="true" customHeight="false" outlineLevel="0" collapsed="false">
      <c r="A82" s="339"/>
      <c r="B82" s="340"/>
      <c r="C82" s="341"/>
      <c r="D82" s="337"/>
      <c r="E82" s="337"/>
      <c r="F82" s="341"/>
      <c r="G82" s="340"/>
      <c r="H82" s="476"/>
      <c r="I82" s="343"/>
      <c r="J82" s="311"/>
      <c r="K82" s="337"/>
      <c r="L82" s="344"/>
      <c r="O82" s="476"/>
      <c r="P82" s="476"/>
      <c r="Q82" s="476"/>
    </row>
    <row r="83" customFormat="false" ht="15" hidden="true" customHeight="false" outlineLevel="0" collapsed="false">
      <c r="A83" s="339"/>
      <c r="B83" s="340"/>
      <c r="C83" s="341"/>
      <c r="D83" s="337"/>
      <c r="E83" s="337"/>
      <c r="F83" s="341"/>
      <c r="G83" s="340"/>
      <c r="H83" s="476"/>
      <c r="I83" s="343"/>
      <c r="J83" s="311"/>
      <c r="K83" s="337"/>
      <c r="L83" s="344"/>
      <c r="O83" s="476"/>
      <c r="P83" s="476"/>
      <c r="Q83" s="476"/>
    </row>
    <row r="84" customFormat="false" ht="15" hidden="true" customHeight="false" outlineLevel="0" collapsed="false">
      <c r="A84" s="339"/>
      <c r="B84" s="340"/>
      <c r="C84" s="341"/>
      <c r="D84" s="337"/>
      <c r="E84" s="337"/>
      <c r="F84" s="341"/>
      <c r="G84" s="340"/>
      <c r="H84" s="476"/>
      <c r="I84" s="343"/>
      <c r="J84" s="311"/>
      <c r="K84" s="337"/>
      <c r="L84" s="344"/>
      <c r="O84" s="476"/>
      <c r="P84" s="476"/>
      <c r="Q84" s="476"/>
    </row>
    <row r="85" customFormat="false" ht="15" hidden="true" customHeight="false" outlineLevel="0" collapsed="false">
      <c r="A85" s="339"/>
      <c r="B85" s="340"/>
      <c r="C85" s="341"/>
      <c r="D85" s="337"/>
      <c r="E85" s="337"/>
      <c r="F85" s="341"/>
      <c r="G85" s="340"/>
      <c r="H85" s="476"/>
      <c r="I85" s="343"/>
      <c r="J85" s="311"/>
      <c r="K85" s="337"/>
      <c r="L85" s="344"/>
      <c r="O85" s="476"/>
      <c r="P85" s="476"/>
      <c r="Q85" s="476"/>
    </row>
    <row r="86" customFormat="false" ht="15" hidden="true" customHeight="false" outlineLevel="0" collapsed="false">
      <c r="A86" s="339"/>
      <c r="B86" s="340"/>
      <c r="C86" s="341"/>
      <c r="D86" s="337"/>
      <c r="E86" s="337"/>
      <c r="F86" s="341"/>
      <c r="G86" s="340"/>
      <c r="H86" s="476"/>
      <c r="I86" s="343"/>
      <c r="J86" s="311"/>
      <c r="K86" s="337"/>
      <c r="L86" s="344"/>
      <c r="O86" s="476"/>
      <c r="P86" s="476"/>
      <c r="Q86" s="476"/>
    </row>
    <row r="87" customFormat="false" ht="15" hidden="true" customHeight="false" outlineLevel="0" collapsed="false">
      <c r="A87" s="339"/>
      <c r="B87" s="340"/>
      <c r="C87" s="341"/>
      <c r="D87" s="337"/>
      <c r="E87" s="337"/>
      <c r="F87" s="341"/>
      <c r="G87" s="340"/>
      <c r="H87" s="476"/>
      <c r="I87" s="343"/>
      <c r="J87" s="311"/>
      <c r="K87" s="337"/>
      <c r="L87" s="344"/>
      <c r="O87" s="476"/>
      <c r="P87" s="476"/>
      <c r="Q87" s="476"/>
    </row>
    <row r="88" customFormat="false" ht="15" hidden="true" customHeight="false" outlineLevel="0" collapsed="false">
      <c r="A88" s="339"/>
      <c r="B88" s="340"/>
      <c r="C88" s="341"/>
      <c r="D88" s="337"/>
      <c r="E88" s="337"/>
      <c r="F88" s="341"/>
      <c r="G88" s="340"/>
      <c r="H88" s="476"/>
      <c r="I88" s="343"/>
      <c r="J88" s="311"/>
      <c r="K88" s="337"/>
      <c r="L88" s="344"/>
      <c r="O88" s="476"/>
      <c r="P88" s="476"/>
      <c r="Q88" s="476"/>
    </row>
    <row r="89" customFormat="false" ht="15" hidden="false" customHeight="false" outlineLevel="0" collapsed="false">
      <c r="A89" s="345"/>
      <c r="B89" s="335"/>
      <c r="C89" s="336"/>
      <c r="D89" s="337"/>
      <c r="E89" s="470"/>
      <c r="F89" s="341"/>
      <c r="G89" s="335"/>
      <c r="H89" s="337"/>
      <c r="I89" s="472"/>
      <c r="J89" s="322"/>
      <c r="K89" s="322"/>
      <c r="L89" s="323"/>
      <c r="O89" s="337"/>
      <c r="P89" s="337"/>
      <c r="Q89" s="337"/>
    </row>
    <row r="90" customFormat="false" ht="4.75" hidden="false" customHeight="true" outlineLevel="0" collapsed="false">
      <c r="A90" s="315"/>
      <c r="B90" s="346"/>
      <c r="C90" s="317"/>
      <c r="D90" s="337"/>
      <c r="E90" s="470"/>
      <c r="F90" s="341"/>
      <c r="G90" s="346"/>
      <c r="H90" s="475"/>
      <c r="I90" s="472"/>
      <c r="J90" s="337"/>
      <c r="K90" s="337"/>
      <c r="L90" s="344"/>
      <c r="O90" s="473"/>
      <c r="P90" s="473"/>
      <c r="Q90" s="473"/>
    </row>
    <row r="91" customFormat="false" ht="15" hidden="false" customHeight="false" outlineLevel="0" collapsed="false">
      <c r="A91" s="339" t="s">
        <v>88</v>
      </c>
      <c r="B91" s="340" t="n">
        <f aca="false">(TableDE3b!H150/TableDE3b!H140)^(1/10)-1</f>
        <v>0.0121684303668048</v>
      </c>
      <c r="C91" s="341" t="n">
        <f aca="false">(TableDE5a!C150/TableDE5a!C140)^(1/10)-1</f>
        <v>0.0268574659761713</v>
      </c>
      <c r="D91" s="337" t="n">
        <f aca="false">(1+B91)/(1+G91)-1</f>
        <v>0.0127050009649692</v>
      </c>
      <c r="E91" s="337" t="n">
        <f aca="false">(1+D91)*(1+J91)/(1+K91)-1</f>
        <v>0.00696070924693371</v>
      </c>
      <c r="F91" s="341" t="n">
        <f aca="false">(1+D91)*(1+G91)/(1+I91)-1</f>
        <v>0.00920702633412573</v>
      </c>
      <c r="G91" s="340" t="n">
        <f aca="false">(TableDE3b!E150/TableDE3b!E140)^(1/10)-1</f>
        <v>-0.000529838993243992</v>
      </c>
      <c r="H91" s="476" t="n">
        <f aca="false">(TableDE3b!F150/TableDE3b!F140)^(1/10)-1</f>
        <v>0.00277975033815436</v>
      </c>
      <c r="I91" s="343" t="n">
        <f aca="false">(TableDE3b!G150/TableDE3b!G140)^(1/10)-1</f>
        <v>0.00293438705380034</v>
      </c>
      <c r="J91" s="337" t="n">
        <f aca="false">(TableDE15a!C149/TableDE15a!C139)^(1/10)-1</f>
        <v>0.00982082602077794</v>
      </c>
      <c r="K91" s="337" t="n">
        <f aca="false">(TableDE15a!B149/TableDE15a!B139)^(1/10)-1</f>
        <v>0.015581433514539</v>
      </c>
      <c r="L91" s="344" t="n">
        <f aca="false">(TableDE15a!D149/TableDE15a!D139)^(1/10)-1</f>
        <v>0.0136117618053497</v>
      </c>
      <c r="O91" s="476" t="n">
        <f aca="false">PRODUCT(TableDE3b!R141:R150)^(1/10)-1</f>
        <v>0.00864653224788436</v>
      </c>
      <c r="P91" s="476" t="n">
        <f aca="false">PRODUCT(TableDE3b!S141:S150)^(1/10)-1</f>
        <v>0.0083471623109781</v>
      </c>
      <c r="Q91" s="476" t="n">
        <f aca="false">PRODUCT(TableDE3b!T141:T150)^(1/10)-1</f>
        <v>1.95380357159713E-005</v>
      </c>
    </row>
    <row r="92" customFormat="false" ht="13" hidden="false" customHeight="false" outlineLevel="0" collapsed="false">
      <c r="A92" s="347"/>
      <c r="B92" s="477"/>
      <c r="C92" s="478"/>
      <c r="D92" s="479"/>
      <c r="E92" s="479"/>
      <c r="F92" s="478"/>
      <c r="G92" s="477"/>
      <c r="H92" s="480"/>
      <c r="I92" s="481"/>
      <c r="J92" s="479"/>
      <c r="K92" s="482"/>
      <c r="L92" s="483"/>
      <c r="O92" s="484"/>
      <c r="P92" s="484"/>
      <c r="Q92" s="484"/>
    </row>
    <row r="93" customFormat="false" ht="13" hidden="false" customHeight="false" outlineLevel="0" collapsed="false">
      <c r="B93" s="355"/>
      <c r="C93" s="355"/>
      <c r="D93" s="355"/>
      <c r="E93" s="355"/>
      <c r="F93" s="355"/>
      <c r="G93" s="355"/>
      <c r="H93" s="355"/>
      <c r="I93" s="355"/>
      <c r="J93" s="355"/>
      <c r="K93" s="355"/>
      <c r="L93" s="355"/>
    </row>
    <row r="94" customFormat="false" ht="12" hidden="false" customHeight="false" outlineLevel="0" collapsed="false">
      <c r="B94" s="355"/>
      <c r="C94" s="355"/>
      <c r="D94" s="355"/>
      <c r="E94" s="355"/>
      <c r="F94" s="355"/>
      <c r="G94" s="355"/>
      <c r="H94" s="355"/>
      <c r="I94" s="355"/>
      <c r="J94" s="355"/>
      <c r="K94" s="355"/>
      <c r="L94" s="355"/>
    </row>
    <row r="95" customFormat="false" ht="12" hidden="false" customHeight="false" outlineLevel="0" collapsed="false">
      <c r="B95" s="355"/>
      <c r="C95" s="355"/>
      <c r="D95" s="355"/>
      <c r="E95" s="355"/>
      <c r="F95" s="355"/>
      <c r="G95" s="355"/>
      <c r="H95" s="355"/>
      <c r="I95" s="355"/>
      <c r="J95" s="355"/>
      <c r="K95" s="355"/>
      <c r="L95" s="355"/>
    </row>
    <row r="96" customFormat="false" ht="12" hidden="false" customHeight="false" outlineLevel="0" collapsed="false">
      <c r="B96" s="355"/>
      <c r="C96" s="355"/>
      <c r="D96" s="355"/>
      <c r="E96" s="355"/>
      <c r="F96" s="355"/>
      <c r="G96" s="355"/>
      <c r="H96" s="355"/>
      <c r="I96" s="355"/>
      <c r="J96" s="355"/>
      <c r="K96" s="355"/>
      <c r="L96" s="355"/>
    </row>
    <row r="97" customFormat="false" ht="12" hidden="false" customHeight="false" outlineLevel="0" collapsed="false">
      <c r="B97" s="355"/>
      <c r="C97" s="355"/>
      <c r="D97" s="355"/>
      <c r="E97" s="355"/>
      <c r="F97" s="355"/>
      <c r="G97" s="355"/>
      <c r="H97" s="355"/>
      <c r="I97" s="355"/>
      <c r="J97" s="355"/>
      <c r="K97" s="355"/>
      <c r="L97" s="355"/>
    </row>
    <row r="98" customFormat="false" ht="12" hidden="false" customHeight="false" outlineLevel="0" collapsed="false">
      <c r="B98" s="355"/>
      <c r="C98" s="355"/>
      <c r="D98" s="355"/>
      <c r="E98" s="355"/>
      <c r="F98" s="355"/>
      <c r="G98" s="355"/>
      <c r="H98" s="355"/>
      <c r="I98" s="355"/>
      <c r="J98" s="355"/>
      <c r="K98" s="355"/>
      <c r="L98" s="355"/>
    </row>
    <row r="99" customFormat="false" ht="12" hidden="false" customHeight="false" outlineLevel="0" collapsed="false">
      <c r="B99" s="355"/>
      <c r="C99" s="355"/>
      <c r="D99" s="355"/>
      <c r="E99" s="355"/>
      <c r="F99" s="355"/>
      <c r="G99" s="355"/>
      <c r="H99" s="355"/>
      <c r="I99" s="355"/>
      <c r="J99" s="355"/>
      <c r="K99" s="355"/>
      <c r="L99" s="355"/>
    </row>
    <row r="100" customFormat="false" ht="12" hidden="false" customHeight="false" outlineLevel="0" collapsed="false">
      <c r="B100" s="355"/>
      <c r="C100" s="355"/>
      <c r="D100" s="355"/>
      <c r="E100" s="355"/>
      <c r="F100" s="355"/>
      <c r="G100" s="355"/>
      <c r="H100" s="355"/>
      <c r="I100" s="355"/>
      <c r="J100" s="355"/>
      <c r="K100" s="355"/>
      <c r="L100" s="355"/>
    </row>
    <row r="101" customFormat="false" ht="12" hidden="false" customHeight="false" outlineLevel="0" collapsed="false">
      <c r="B101" s="355"/>
      <c r="C101" s="355"/>
      <c r="D101" s="355"/>
      <c r="E101" s="355"/>
      <c r="F101" s="355"/>
      <c r="G101" s="355"/>
      <c r="H101" s="355"/>
      <c r="I101" s="355"/>
      <c r="J101" s="355"/>
      <c r="K101" s="355"/>
      <c r="L101" s="355"/>
    </row>
    <row r="102" customFormat="false" ht="12" hidden="false" customHeight="false" outlineLevel="0" collapsed="false">
      <c r="B102" s="355"/>
      <c r="C102" s="355"/>
      <c r="D102" s="355"/>
      <c r="E102" s="355"/>
      <c r="F102" s="355"/>
      <c r="G102" s="355"/>
      <c r="H102" s="355"/>
      <c r="I102" s="355"/>
      <c r="J102" s="355"/>
      <c r="K102" s="355"/>
      <c r="L102" s="355"/>
    </row>
    <row r="103" customFormat="false" ht="12" hidden="false" customHeight="false" outlineLevel="0" collapsed="false">
      <c r="B103" s="355"/>
      <c r="C103" s="355"/>
      <c r="D103" s="355"/>
      <c r="E103" s="355"/>
      <c r="F103" s="355"/>
      <c r="G103" s="355"/>
      <c r="H103" s="355"/>
      <c r="I103" s="355"/>
      <c r="J103" s="355"/>
      <c r="K103" s="355"/>
      <c r="L103" s="355"/>
    </row>
    <row r="104" customFormat="false" ht="12" hidden="false" customHeight="false" outlineLevel="0" collapsed="false">
      <c r="B104" s="355"/>
      <c r="C104" s="355"/>
      <c r="D104" s="355"/>
      <c r="E104" s="355"/>
      <c r="F104" s="355"/>
      <c r="G104" s="355"/>
      <c r="H104" s="355"/>
      <c r="I104" s="355"/>
      <c r="J104" s="355"/>
      <c r="K104" s="355"/>
      <c r="L104" s="355"/>
    </row>
    <row r="105" customFormat="false" ht="12" hidden="false" customHeight="false" outlineLevel="0" collapsed="false">
      <c r="B105" s="355"/>
      <c r="C105" s="355"/>
      <c r="D105" s="355"/>
      <c r="E105" s="355"/>
      <c r="F105" s="355"/>
      <c r="G105" s="355"/>
      <c r="H105" s="355"/>
      <c r="I105" s="355"/>
      <c r="J105" s="355"/>
      <c r="K105" s="355"/>
      <c r="L105" s="355"/>
    </row>
    <row r="106" customFormat="false" ht="12" hidden="false" customHeight="false" outlineLevel="0" collapsed="false">
      <c r="B106" s="355"/>
      <c r="C106" s="355"/>
      <c r="D106" s="355"/>
      <c r="E106" s="355"/>
      <c r="F106" s="355"/>
      <c r="G106" s="355"/>
      <c r="H106" s="355"/>
      <c r="I106" s="355"/>
      <c r="J106" s="355"/>
      <c r="K106" s="355"/>
      <c r="L106" s="355"/>
    </row>
    <row r="107" customFormat="false" ht="12" hidden="false" customHeight="false" outlineLevel="0" collapsed="false">
      <c r="B107" s="355"/>
      <c r="C107" s="355"/>
      <c r="D107" s="355"/>
      <c r="E107" s="355"/>
      <c r="F107" s="355"/>
      <c r="G107" s="355"/>
      <c r="H107" s="355"/>
      <c r="I107" s="355"/>
      <c r="J107" s="355"/>
      <c r="K107" s="355"/>
      <c r="L107" s="355"/>
    </row>
    <row r="108" customFormat="false" ht="12" hidden="false" customHeight="false" outlineLevel="0" collapsed="false">
      <c r="B108" s="355"/>
      <c r="C108" s="355"/>
      <c r="D108" s="355"/>
      <c r="E108" s="355"/>
      <c r="F108" s="355"/>
      <c r="G108" s="355"/>
      <c r="H108" s="355"/>
      <c r="I108" s="355"/>
      <c r="J108" s="355"/>
      <c r="K108" s="355"/>
      <c r="L108" s="355"/>
    </row>
    <row r="109" customFormat="false" ht="12" hidden="false" customHeight="false" outlineLevel="0" collapsed="false">
      <c r="B109" s="355"/>
      <c r="C109" s="355"/>
      <c r="D109" s="355"/>
      <c r="E109" s="355"/>
      <c r="F109" s="355"/>
      <c r="G109" s="355"/>
      <c r="H109" s="355"/>
      <c r="I109" s="355"/>
      <c r="J109" s="355"/>
      <c r="K109" s="355"/>
      <c r="L109" s="355"/>
    </row>
    <row r="110" customFormat="false" ht="12" hidden="false" customHeight="false" outlineLevel="0" collapsed="false">
      <c r="B110" s="355"/>
      <c r="C110" s="355"/>
      <c r="D110" s="355"/>
      <c r="E110" s="355"/>
      <c r="F110" s="355"/>
      <c r="G110" s="355"/>
      <c r="H110" s="355"/>
      <c r="I110" s="355"/>
      <c r="J110" s="355"/>
      <c r="K110" s="355"/>
      <c r="L110" s="355"/>
    </row>
    <row r="111" customFormat="false" ht="12" hidden="false" customHeight="false" outlineLevel="0" collapsed="false">
      <c r="B111" s="355"/>
      <c r="C111" s="355"/>
      <c r="D111" s="355"/>
      <c r="E111" s="355"/>
      <c r="F111" s="355"/>
      <c r="G111" s="355"/>
      <c r="H111" s="355"/>
      <c r="I111" s="355"/>
      <c r="J111" s="355"/>
      <c r="K111" s="355"/>
      <c r="L111" s="355"/>
    </row>
    <row r="112" customFormat="false" ht="12" hidden="false" customHeight="false" outlineLevel="0" collapsed="false">
      <c r="B112" s="355"/>
      <c r="C112" s="355"/>
      <c r="D112" s="355"/>
      <c r="E112" s="355"/>
      <c r="F112" s="355"/>
      <c r="G112" s="355"/>
      <c r="H112" s="355"/>
      <c r="I112" s="355"/>
      <c r="J112" s="355"/>
      <c r="K112" s="355"/>
      <c r="L112" s="355"/>
    </row>
    <row r="113" customFormat="false" ht="12" hidden="false" customHeight="false" outlineLevel="0" collapsed="false">
      <c r="B113" s="355"/>
      <c r="C113" s="355"/>
      <c r="D113" s="355"/>
      <c r="E113" s="355"/>
      <c r="F113" s="355"/>
      <c r="G113" s="355"/>
      <c r="H113" s="355"/>
      <c r="I113" s="355"/>
      <c r="J113" s="355"/>
      <c r="K113" s="355"/>
      <c r="L113" s="355"/>
    </row>
    <row r="114" customFormat="false" ht="12" hidden="false" customHeight="false" outlineLevel="0" collapsed="false">
      <c r="B114" s="355"/>
      <c r="C114" s="355"/>
      <c r="D114" s="355"/>
      <c r="E114" s="355"/>
      <c r="F114" s="355"/>
      <c r="G114" s="355"/>
      <c r="H114" s="355"/>
      <c r="I114" s="355"/>
      <c r="J114" s="355"/>
      <c r="K114" s="355"/>
      <c r="L114" s="355"/>
    </row>
    <row r="115" customFormat="false" ht="12" hidden="false" customHeight="false" outlineLevel="0" collapsed="false">
      <c r="B115" s="355"/>
      <c r="C115" s="355"/>
      <c r="D115" s="355"/>
      <c r="E115" s="355"/>
      <c r="F115" s="355"/>
      <c r="G115" s="355"/>
      <c r="H115" s="355"/>
      <c r="I115" s="355"/>
      <c r="J115" s="355"/>
      <c r="K115" s="355"/>
      <c r="L115" s="355"/>
    </row>
    <row r="116" customFormat="false" ht="12" hidden="false" customHeight="false" outlineLevel="0" collapsed="false">
      <c r="B116" s="355"/>
      <c r="C116" s="355"/>
      <c r="D116" s="355"/>
      <c r="E116" s="355"/>
      <c r="F116" s="355"/>
      <c r="G116" s="355"/>
      <c r="H116" s="355"/>
      <c r="I116" s="355"/>
      <c r="J116" s="355"/>
      <c r="K116" s="355"/>
      <c r="L116" s="355"/>
    </row>
    <row r="117" customFormat="false" ht="12" hidden="false" customHeight="false" outlineLevel="0" collapsed="false">
      <c r="B117" s="355"/>
      <c r="C117" s="355"/>
      <c r="D117" s="355"/>
      <c r="E117" s="355"/>
      <c r="F117" s="355"/>
      <c r="G117" s="355"/>
      <c r="H117" s="355"/>
      <c r="I117" s="355"/>
      <c r="J117" s="355"/>
      <c r="K117" s="355"/>
      <c r="L117" s="355"/>
    </row>
    <row r="118" customFormat="false" ht="12" hidden="false" customHeight="false" outlineLevel="0" collapsed="false">
      <c r="B118" s="355"/>
      <c r="C118" s="355"/>
      <c r="D118" s="355"/>
      <c r="E118" s="355"/>
      <c r="F118" s="355"/>
      <c r="G118" s="355"/>
      <c r="H118" s="355"/>
      <c r="I118" s="355"/>
      <c r="J118" s="355"/>
      <c r="K118" s="355"/>
      <c r="L118" s="355"/>
    </row>
    <row r="119" customFormat="false" ht="12" hidden="false" customHeight="false" outlineLevel="0" collapsed="false">
      <c r="B119" s="355"/>
      <c r="C119" s="355"/>
      <c r="D119" s="355"/>
      <c r="E119" s="355"/>
      <c r="F119" s="355"/>
      <c r="G119" s="355"/>
      <c r="H119" s="355"/>
      <c r="I119" s="355"/>
      <c r="J119" s="355"/>
      <c r="K119" s="355"/>
      <c r="L119" s="355"/>
    </row>
    <row r="120" customFormat="false" ht="12" hidden="false" customHeight="false" outlineLevel="0" collapsed="false">
      <c r="B120" s="355"/>
      <c r="C120" s="355"/>
      <c r="D120" s="355"/>
      <c r="E120" s="355"/>
      <c r="F120" s="355"/>
      <c r="G120" s="355"/>
      <c r="H120" s="355"/>
      <c r="I120" s="355"/>
      <c r="J120" s="355"/>
      <c r="K120" s="355"/>
      <c r="L120" s="355"/>
    </row>
    <row r="121" customFormat="false" ht="12" hidden="false" customHeight="false" outlineLevel="0" collapsed="false">
      <c r="B121" s="355"/>
      <c r="C121" s="355"/>
      <c r="D121" s="355"/>
      <c r="E121" s="355"/>
      <c r="F121" s="355"/>
      <c r="G121" s="355"/>
      <c r="H121" s="355"/>
      <c r="I121" s="355"/>
      <c r="J121" s="355"/>
      <c r="K121" s="355"/>
      <c r="L121" s="355"/>
    </row>
    <row r="122" customFormat="false" ht="12" hidden="false" customHeight="false" outlineLevel="0" collapsed="false">
      <c r="B122" s="355"/>
      <c r="C122" s="355"/>
      <c r="D122" s="355"/>
      <c r="E122" s="355"/>
      <c r="F122" s="355"/>
      <c r="G122" s="355"/>
      <c r="H122" s="355"/>
      <c r="I122" s="355"/>
      <c r="J122" s="355"/>
      <c r="K122" s="355"/>
      <c r="L122" s="355"/>
    </row>
    <row r="123" customFormat="false" ht="12" hidden="false" customHeight="false" outlineLevel="0" collapsed="false">
      <c r="B123" s="355"/>
      <c r="C123" s="355"/>
      <c r="D123" s="355"/>
      <c r="E123" s="355"/>
      <c r="F123" s="355"/>
      <c r="G123" s="355"/>
      <c r="H123" s="355"/>
      <c r="I123" s="355"/>
      <c r="J123" s="355"/>
      <c r="K123" s="355"/>
      <c r="L123" s="355"/>
    </row>
    <row r="124" customFormat="false" ht="12" hidden="false" customHeight="false" outlineLevel="0" collapsed="false">
      <c r="B124" s="355"/>
      <c r="C124" s="355"/>
      <c r="D124" s="355"/>
      <c r="E124" s="355"/>
      <c r="F124" s="355"/>
      <c r="G124" s="355"/>
      <c r="H124" s="355"/>
      <c r="I124" s="355"/>
      <c r="J124" s="355"/>
      <c r="K124" s="355"/>
      <c r="L124" s="355"/>
    </row>
    <row r="125" customFormat="false" ht="12" hidden="false" customHeight="false" outlineLevel="0" collapsed="false">
      <c r="B125" s="355"/>
      <c r="C125" s="355"/>
      <c r="D125" s="355"/>
      <c r="E125" s="355"/>
      <c r="F125" s="355"/>
      <c r="G125" s="355"/>
      <c r="H125" s="355"/>
      <c r="I125" s="355"/>
      <c r="J125" s="355"/>
      <c r="K125" s="355"/>
      <c r="L125" s="355"/>
    </row>
    <row r="126" customFormat="false" ht="12" hidden="false" customHeight="false" outlineLevel="0" collapsed="false">
      <c r="B126" s="355"/>
      <c r="C126" s="355"/>
      <c r="D126" s="355"/>
      <c r="E126" s="355"/>
      <c r="F126" s="355"/>
      <c r="G126" s="355"/>
      <c r="H126" s="355"/>
      <c r="I126" s="355"/>
      <c r="J126" s="355"/>
      <c r="K126" s="355"/>
      <c r="L126" s="355"/>
    </row>
    <row r="127" customFormat="false" ht="12" hidden="false" customHeight="false" outlineLevel="0" collapsed="false">
      <c r="B127" s="355"/>
      <c r="C127" s="355"/>
      <c r="D127" s="355"/>
      <c r="E127" s="355"/>
      <c r="F127" s="355"/>
      <c r="G127" s="355"/>
      <c r="H127" s="355"/>
      <c r="I127" s="355"/>
      <c r="J127" s="355"/>
      <c r="K127" s="355"/>
      <c r="L127" s="355"/>
    </row>
    <row r="128" customFormat="false" ht="12" hidden="false" customHeight="false" outlineLevel="0" collapsed="false">
      <c r="B128" s="355"/>
      <c r="C128" s="355"/>
      <c r="D128" s="355"/>
      <c r="E128" s="355"/>
      <c r="F128" s="355"/>
      <c r="G128" s="355"/>
      <c r="H128" s="355"/>
      <c r="I128" s="355"/>
      <c r="J128" s="355"/>
      <c r="K128" s="355"/>
      <c r="L128" s="355"/>
    </row>
    <row r="129" customFormat="false" ht="12" hidden="false" customHeight="false" outlineLevel="0" collapsed="false">
      <c r="B129" s="355"/>
      <c r="C129" s="355"/>
      <c r="D129" s="355"/>
      <c r="E129" s="355"/>
      <c r="F129" s="355"/>
      <c r="G129" s="355"/>
      <c r="H129" s="355"/>
      <c r="I129" s="355"/>
      <c r="J129" s="355"/>
      <c r="K129" s="355"/>
      <c r="L129" s="355"/>
    </row>
    <row r="130" customFormat="false" ht="12" hidden="false" customHeight="false" outlineLevel="0" collapsed="false">
      <c r="B130" s="355"/>
      <c r="C130" s="355"/>
      <c r="D130" s="355"/>
      <c r="E130" s="355"/>
      <c r="F130" s="355"/>
      <c r="G130" s="355"/>
      <c r="H130" s="355"/>
      <c r="I130" s="355"/>
      <c r="J130" s="355"/>
      <c r="K130" s="355"/>
      <c r="L130" s="355"/>
    </row>
    <row r="131" customFormat="false" ht="12" hidden="false" customHeight="false" outlineLevel="0" collapsed="false">
      <c r="B131" s="355"/>
      <c r="C131" s="355"/>
      <c r="D131" s="355"/>
      <c r="E131" s="355"/>
      <c r="F131" s="355"/>
      <c r="G131" s="355"/>
      <c r="H131" s="355"/>
      <c r="I131" s="355"/>
      <c r="J131" s="355"/>
      <c r="K131" s="355"/>
      <c r="L131" s="355"/>
    </row>
    <row r="132" customFormat="false" ht="12" hidden="false" customHeight="false" outlineLevel="0" collapsed="false">
      <c r="B132" s="355"/>
      <c r="C132" s="355"/>
      <c r="D132" s="355"/>
      <c r="E132" s="355"/>
      <c r="F132" s="355"/>
      <c r="G132" s="355"/>
      <c r="H132" s="355"/>
      <c r="I132" s="355"/>
      <c r="J132" s="355"/>
      <c r="K132" s="355"/>
      <c r="L132" s="355"/>
    </row>
    <row r="133" customFormat="false" ht="12" hidden="false" customHeight="false" outlineLevel="0" collapsed="false">
      <c r="B133" s="355"/>
      <c r="C133" s="355"/>
      <c r="D133" s="355"/>
      <c r="E133" s="355"/>
      <c r="F133" s="355"/>
      <c r="G133" s="355"/>
      <c r="H133" s="355"/>
      <c r="I133" s="355"/>
      <c r="J133" s="355"/>
      <c r="K133" s="355"/>
      <c r="L133" s="355"/>
    </row>
    <row r="134" customFormat="false" ht="12" hidden="false" customHeight="false" outlineLevel="0" collapsed="false">
      <c r="B134" s="355"/>
      <c r="C134" s="355"/>
      <c r="D134" s="355"/>
      <c r="E134" s="355"/>
      <c r="F134" s="355"/>
      <c r="G134" s="355"/>
      <c r="H134" s="355"/>
      <c r="I134" s="355"/>
      <c r="J134" s="355"/>
      <c r="K134" s="355"/>
      <c r="L134" s="355"/>
    </row>
    <row r="135" customFormat="false" ht="12" hidden="false" customHeight="false" outlineLevel="0" collapsed="false">
      <c r="B135" s="355"/>
      <c r="C135" s="355"/>
      <c r="D135" s="355"/>
      <c r="E135" s="355"/>
      <c r="F135" s="355"/>
      <c r="G135" s="355"/>
      <c r="H135" s="355"/>
      <c r="I135" s="355"/>
      <c r="J135" s="355"/>
      <c r="K135" s="355"/>
      <c r="L135" s="355"/>
    </row>
    <row r="136" customFormat="false" ht="12" hidden="false" customHeight="false" outlineLevel="0" collapsed="false">
      <c r="B136" s="355"/>
      <c r="C136" s="355"/>
      <c r="D136" s="355"/>
      <c r="E136" s="355"/>
      <c r="F136" s="355"/>
      <c r="G136" s="355"/>
      <c r="H136" s="355"/>
      <c r="I136" s="355"/>
      <c r="J136" s="355"/>
      <c r="K136" s="355"/>
      <c r="L136" s="355"/>
    </row>
    <row r="137" customFormat="false" ht="12" hidden="false" customHeight="false" outlineLevel="0" collapsed="false">
      <c r="B137" s="355"/>
      <c r="C137" s="355"/>
      <c r="D137" s="355"/>
      <c r="E137" s="355"/>
      <c r="F137" s="355"/>
      <c r="G137" s="355"/>
      <c r="H137" s="355"/>
      <c r="I137" s="355"/>
      <c r="J137" s="355"/>
      <c r="K137" s="355"/>
      <c r="L137" s="355"/>
    </row>
    <row r="138" customFormat="false" ht="12" hidden="false" customHeight="false" outlineLevel="0" collapsed="false">
      <c r="B138" s="355"/>
      <c r="C138" s="355"/>
      <c r="D138" s="355"/>
      <c r="E138" s="355"/>
      <c r="F138" s="355"/>
      <c r="G138" s="355"/>
      <c r="H138" s="355"/>
      <c r="I138" s="355"/>
      <c r="J138" s="355"/>
      <c r="K138" s="355"/>
      <c r="L138" s="355"/>
    </row>
    <row r="139" customFormat="false" ht="12" hidden="false" customHeight="false" outlineLevel="0" collapsed="false">
      <c r="B139" s="355"/>
      <c r="C139" s="355"/>
      <c r="D139" s="355"/>
      <c r="E139" s="355"/>
      <c r="F139" s="355"/>
      <c r="G139" s="355"/>
      <c r="H139" s="355"/>
      <c r="I139" s="355"/>
      <c r="J139" s="355"/>
      <c r="K139" s="355"/>
      <c r="L139" s="355"/>
    </row>
    <row r="140" customFormat="false" ht="12" hidden="false" customHeight="false" outlineLevel="0" collapsed="false">
      <c r="B140" s="355"/>
      <c r="C140" s="355"/>
      <c r="D140" s="355"/>
      <c r="E140" s="355"/>
      <c r="F140" s="355"/>
      <c r="G140" s="355"/>
      <c r="H140" s="355"/>
      <c r="I140" s="355"/>
      <c r="J140" s="355"/>
      <c r="K140" s="355"/>
      <c r="L140" s="355"/>
    </row>
    <row r="141" customFormat="false" ht="12" hidden="false" customHeight="false" outlineLevel="0" collapsed="false">
      <c r="B141" s="355"/>
      <c r="C141" s="355"/>
      <c r="D141" s="355"/>
      <c r="E141" s="355"/>
      <c r="F141" s="355"/>
      <c r="G141" s="355"/>
      <c r="H141" s="355"/>
      <c r="I141" s="355"/>
      <c r="J141" s="355"/>
      <c r="K141" s="355"/>
      <c r="L141" s="355"/>
    </row>
    <row r="142" customFormat="false" ht="12" hidden="false" customHeight="false" outlineLevel="0" collapsed="false">
      <c r="B142" s="355"/>
      <c r="C142" s="355"/>
      <c r="D142" s="355"/>
      <c r="E142" s="355"/>
      <c r="F142" s="355"/>
      <c r="G142" s="355"/>
      <c r="H142" s="355"/>
      <c r="I142" s="355"/>
      <c r="J142" s="355"/>
      <c r="K142" s="355"/>
      <c r="L142" s="355"/>
    </row>
    <row r="143" customFormat="false" ht="12" hidden="false" customHeight="false" outlineLevel="0" collapsed="false">
      <c r="B143" s="355"/>
      <c r="C143" s="355"/>
      <c r="D143" s="355"/>
      <c r="E143" s="355"/>
      <c r="F143" s="355"/>
      <c r="G143" s="355"/>
      <c r="H143" s="355"/>
      <c r="I143" s="355"/>
      <c r="J143" s="355"/>
      <c r="K143" s="355"/>
      <c r="L143" s="355"/>
    </row>
    <row r="144" customFormat="false" ht="12" hidden="false" customHeight="false" outlineLevel="0" collapsed="false">
      <c r="B144" s="355"/>
      <c r="C144" s="355"/>
      <c r="D144" s="355"/>
      <c r="E144" s="355"/>
      <c r="F144" s="355"/>
      <c r="G144" s="355"/>
      <c r="H144" s="355"/>
      <c r="I144" s="355"/>
      <c r="J144" s="355"/>
      <c r="K144" s="355"/>
      <c r="L144" s="355"/>
    </row>
    <row r="145" customFormat="false" ht="12" hidden="false" customHeight="false" outlineLevel="0" collapsed="false">
      <c r="B145" s="355"/>
      <c r="C145" s="355"/>
      <c r="D145" s="355"/>
      <c r="E145" s="355"/>
      <c r="F145" s="355"/>
      <c r="G145" s="355"/>
      <c r="H145" s="355"/>
      <c r="I145" s="355"/>
      <c r="J145" s="355"/>
      <c r="K145" s="355"/>
      <c r="L145" s="355"/>
    </row>
    <row r="146" customFormat="false" ht="12" hidden="false" customHeight="false" outlineLevel="0" collapsed="false">
      <c r="B146" s="355"/>
      <c r="C146" s="355"/>
      <c r="D146" s="355"/>
      <c r="E146" s="355"/>
      <c r="F146" s="355"/>
      <c r="G146" s="355"/>
      <c r="H146" s="355"/>
      <c r="I146" s="355"/>
      <c r="J146" s="355"/>
      <c r="K146" s="355"/>
      <c r="L146" s="355"/>
    </row>
    <row r="147" customFormat="false" ht="12" hidden="false" customHeight="false" outlineLevel="0" collapsed="false">
      <c r="B147" s="355"/>
      <c r="C147" s="355"/>
      <c r="D147" s="355"/>
      <c r="E147" s="355"/>
      <c r="F147" s="355"/>
      <c r="G147" s="355"/>
      <c r="H147" s="355"/>
      <c r="I147" s="355"/>
      <c r="J147" s="355"/>
      <c r="K147" s="355"/>
      <c r="L147" s="355"/>
    </row>
    <row r="148" customFormat="false" ht="12" hidden="false" customHeight="false" outlineLevel="0" collapsed="false">
      <c r="B148" s="355"/>
      <c r="C148" s="355"/>
      <c r="D148" s="355"/>
      <c r="E148" s="355"/>
      <c r="F148" s="355"/>
      <c r="G148" s="355"/>
      <c r="H148" s="355"/>
      <c r="I148" s="355"/>
      <c r="J148" s="355"/>
      <c r="K148" s="355"/>
      <c r="L148" s="355"/>
    </row>
    <row r="149" customFormat="false" ht="12" hidden="false" customHeight="false" outlineLevel="0" collapsed="false">
      <c r="B149" s="355"/>
      <c r="C149" s="355"/>
      <c r="D149" s="355"/>
      <c r="E149" s="355"/>
      <c r="F149" s="355"/>
      <c r="G149" s="355"/>
      <c r="H149" s="355"/>
      <c r="I149" s="355"/>
      <c r="J149" s="355"/>
      <c r="K149" s="355"/>
      <c r="L149" s="355"/>
    </row>
    <row r="150" customFormat="false" ht="12" hidden="false" customHeight="false" outlineLevel="0" collapsed="false">
      <c r="B150" s="355"/>
      <c r="C150" s="355"/>
      <c r="D150" s="355"/>
      <c r="E150" s="355"/>
      <c r="F150" s="355"/>
      <c r="G150" s="355"/>
      <c r="H150" s="355"/>
      <c r="I150" s="355"/>
      <c r="J150" s="355"/>
      <c r="K150" s="355"/>
      <c r="L150" s="355"/>
    </row>
    <row r="151" customFormat="false" ht="12" hidden="false" customHeight="false" outlineLevel="0" collapsed="false">
      <c r="B151" s="355"/>
      <c r="C151" s="355"/>
      <c r="D151" s="355"/>
      <c r="E151" s="355"/>
      <c r="F151" s="355"/>
      <c r="G151" s="355"/>
      <c r="H151" s="355"/>
      <c r="I151" s="355"/>
      <c r="J151" s="355"/>
      <c r="K151" s="355"/>
      <c r="L151" s="355"/>
    </row>
    <row r="152" customFormat="false" ht="12" hidden="false" customHeight="false" outlineLevel="0" collapsed="false">
      <c r="B152" s="355"/>
      <c r="C152" s="355"/>
      <c r="D152" s="355"/>
      <c r="E152" s="355"/>
      <c r="F152" s="355"/>
      <c r="G152" s="355"/>
      <c r="H152" s="355"/>
      <c r="I152" s="355"/>
      <c r="J152" s="355"/>
      <c r="K152" s="355"/>
      <c r="L152" s="355"/>
    </row>
    <row r="153" customFormat="false" ht="12" hidden="false" customHeight="false" outlineLevel="0" collapsed="false">
      <c r="B153" s="355"/>
      <c r="C153" s="355"/>
      <c r="D153" s="355"/>
      <c r="E153" s="355"/>
      <c r="F153" s="355"/>
      <c r="G153" s="355"/>
      <c r="H153" s="355"/>
      <c r="I153" s="355"/>
      <c r="J153" s="355"/>
      <c r="K153" s="355"/>
      <c r="L153" s="355"/>
    </row>
    <row r="154" customFormat="false" ht="12" hidden="false" customHeight="false" outlineLevel="0" collapsed="false">
      <c r="B154" s="355"/>
      <c r="C154" s="355"/>
      <c r="D154" s="355"/>
      <c r="E154" s="355"/>
      <c r="F154" s="355"/>
      <c r="G154" s="355"/>
      <c r="H154" s="355"/>
      <c r="I154" s="355"/>
      <c r="J154" s="355"/>
      <c r="K154" s="355"/>
      <c r="L154" s="355"/>
    </row>
    <row r="155" customFormat="false" ht="12" hidden="false" customHeight="false" outlineLevel="0" collapsed="false">
      <c r="B155" s="355"/>
      <c r="C155" s="355"/>
      <c r="D155" s="355"/>
      <c r="E155" s="355"/>
      <c r="F155" s="355"/>
      <c r="G155" s="355"/>
      <c r="H155" s="355"/>
      <c r="I155" s="355"/>
      <c r="J155" s="355"/>
      <c r="K155" s="355"/>
      <c r="L155" s="355"/>
    </row>
    <row r="156" customFormat="false" ht="12" hidden="false" customHeight="false" outlineLevel="0" collapsed="false">
      <c r="B156" s="355"/>
      <c r="C156" s="355"/>
      <c r="D156" s="355"/>
      <c r="E156" s="355"/>
      <c r="F156" s="355"/>
      <c r="G156" s="355"/>
      <c r="H156" s="355"/>
      <c r="I156" s="355"/>
      <c r="J156" s="355"/>
      <c r="K156" s="355"/>
      <c r="L156" s="355"/>
    </row>
    <row r="157" customFormat="false" ht="12" hidden="false" customHeight="false" outlineLevel="0" collapsed="false">
      <c r="B157" s="355"/>
      <c r="C157" s="355"/>
      <c r="D157" s="355"/>
      <c r="E157" s="355"/>
      <c r="F157" s="355"/>
      <c r="G157" s="355"/>
      <c r="H157" s="355"/>
      <c r="I157" s="355"/>
      <c r="J157" s="355"/>
      <c r="K157" s="355"/>
      <c r="L157" s="355"/>
    </row>
    <row r="158" customFormat="false" ht="12" hidden="false" customHeight="false" outlineLevel="0" collapsed="false">
      <c r="B158" s="355"/>
      <c r="C158" s="355"/>
      <c r="D158" s="355"/>
      <c r="E158" s="355"/>
      <c r="F158" s="355"/>
      <c r="G158" s="355"/>
      <c r="H158" s="355"/>
      <c r="I158" s="355"/>
      <c r="J158" s="355"/>
      <c r="K158" s="355"/>
      <c r="L158" s="355"/>
    </row>
    <row r="159" customFormat="false" ht="12" hidden="false" customHeight="false" outlineLevel="0" collapsed="false">
      <c r="B159" s="355"/>
      <c r="C159" s="355"/>
      <c r="D159" s="355"/>
      <c r="E159" s="355"/>
      <c r="F159" s="355"/>
      <c r="G159" s="355"/>
      <c r="H159" s="355"/>
      <c r="I159" s="355"/>
      <c r="J159" s="355"/>
      <c r="K159" s="355"/>
      <c r="L159" s="355"/>
    </row>
    <row r="160" customFormat="false" ht="12" hidden="false" customHeight="false" outlineLevel="0" collapsed="false">
      <c r="B160" s="355"/>
      <c r="C160" s="355"/>
      <c r="D160" s="355"/>
      <c r="E160" s="355"/>
      <c r="F160" s="355"/>
      <c r="G160" s="355"/>
      <c r="H160" s="355"/>
      <c r="I160" s="355"/>
      <c r="J160" s="355"/>
      <c r="K160" s="355"/>
      <c r="L160" s="355"/>
    </row>
    <row r="161" customFormat="false" ht="12" hidden="false" customHeight="false" outlineLevel="0" collapsed="false">
      <c r="B161" s="355"/>
      <c r="C161" s="355"/>
      <c r="D161" s="355"/>
      <c r="E161" s="355"/>
      <c r="F161" s="355"/>
      <c r="G161" s="355"/>
      <c r="H161" s="355"/>
      <c r="I161" s="355"/>
      <c r="J161" s="355"/>
      <c r="K161" s="355"/>
      <c r="L161" s="355"/>
    </row>
    <row r="162" customFormat="false" ht="12" hidden="false" customHeight="false" outlineLevel="0" collapsed="false">
      <c r="B162" s="355"/>
      <c r="C162" s="355"/>
      <c r="D162" s="355"/>
      <c r="E162" s="355"/>
      <c r="F162" s="355"/>
      <c r="G162" s="355"/>
      <c r="H162" s="355"/>
      <c r="I162" s="355"/>
      <c r="J162" s="355"/>
      <c r="K162" s="355"/>
      <c r="L162" s="355"/>
    </row>
    <row r="163" customFormat="false" ht="12" hidden="false" customHeight="false" outlineLevel="0" collapsed="false">
      <c r="B163" s="355"/>
      <c r="C163" s="355"/>
      <c r="D163" s="355"/>
      <c r="E163" s="355"/>
      <c r="F163" s="355"/>
      <c r="G163" s="355"/>
      <c r="H163" s="355"/>
      <c r="I163" s="355"/>
      <c r="J163" s="355"/>
      <c r="K163" s="355"/>
      <c r="L163" s="355"/>
    </row>
    <row r="164" customFormat="false" ht="12" hidden="false" customHeight="false" outlineLevel="0" collapsed="false">
      <c r="B164" s="355"/>
      <c r="C164" s="355"/>
      <c r="D164" s="355"/>
      <c r="E164" s="355"/>
      <c r="F164" s="355"/>
      <c r="G164" s="355"/>
      <c r="H164" s="355"/>
      <c r="I164" s="355"/>
      <c r="J164" s="355"/>
      <c r="K164" s="355"/>
      <c r="L164" s="355"/>
    </row>
    <row r="165" customFormat="false" ht="12" hidden="false" customHeight="false" outlineLevel="0" collapsed="false">
      <c r="B165" s="355"/>
      <c r="C165" s="355"/>
      <c r="D165" s="355"/>
      <c r="E165" s="355"/>
      <c r="F165" s="355"/>
      <c r="G165" s="355"/>
      <c r="H165" s="355"/>
      <c r="I165" s="355"/>
      <c r="J165" s="355"/>
      <c r="K165" s="355"/>
      <c r="L165" s="355"/>
    </row>
    <row r="166" customFormat="false" ht="12" hidden="false" customHeight="false" outlineLevel="0" collapsed="false">
      <c r="B166" s="355"/>
      <c r="C166" s="355"/>
      <c r="D166" s="355"/>
      <c r="E166" s="355"/>
      <c r="F166" s="355"/>
      <c r="G166" s="355"/>
      <c r="H166" s="355"/>
      <c r="I166" s="355"/>
      <c r="J166" s="355"/>
      <c r="K166" s="355"/>
      <c r="L166" s="355"/>
    </row>
    <row r="167" customFormat="false" ht="12" hidden="false" customHeight="false" outlineLevel="0" collapsed="false">
      <c r="B167" s="355"/>
      <c r="C167" s="355"/>
      <c r="D167" s="355"/>
      <c r="E167" s="355"/>
      <c r="F167" s="355"/>
      <c r="G167" s="355"/>
      <c r="H167" s="355"/>
      <c r="I167" s="355"/>
      <c r="J167" s="355"/>
      <c r="K167" s="355"/>
      <c r="L167" s="355"/>
    </row>
    <row r="168" customFormat="false" ht="12" hidden="false" customHeight="false" outlineLevel="0" collapsed="false">
      <c r="B168" s="355"/>
      <c r="C168" s="355"/>
      <c r="D168" s="355"/>
      <c r="E168" s="355"/>
      <c r="F168" s="355"/>
      <c r="G168" s="355"/>
      <c r="H168" s="355"/>
      <c r="I168" s="355"/>
      <c r="J168" s="355"/>
      <c r="K168" s="355"/>
      <c r="L168" s="355"/>
    </row>
    <row r="169" customFormat="false" ht="12" hidden="false" customHeight="false" outlineLevel="0" collapsed="false">
      <c r="B169" s="355"/>
      <c r="C169" s="355"/>
      <c r="D169" s="355"/>
      <c r="E169" s="355"/>
      <c r="F169" s="355"/>
      <c r="G169" s="355"/>
      <c r="H169" s="355"/>
      <c r="I169" s="355"/>
      <c r="J169" s="355"/>
      <c r="K169" s="355"/>
      <c r="L169" s="355"/>
    </row>
    <row r="170" customFormat="false" ht="12" hidden="false" customHeight="false" outlineLevel="0" collapsed="false">
      <c r="B170" s="355"/>
      <c r="C170" s="355"/>
      <c r="D170" s="355"/>
      <c r="E170" s="355"/>
      <c r="F170" s="355"/>
      <c r="G170" s="355"/>
      <c r="H170" s="355"/>
      <c r="I170" s="355"/>
      <c r="J170" s="355"/>
      <c r="K170" s="355"/>
      <c r="L170" s="355"/>
    </row>
    <row r="171" customFormat="false" ht="12" hidden="false" customHeight="false" outlineLevel="0" collapsed="false">
      <c r="B171" s="355"/>
      <c r="C171" s="355"/>
      <c r="D171" s="355"/>
      <c r="E171" s="355"/>
      <c r="F171" s="355"/>
      <c r="G171" s="355"/>
      <c r="H171" s="355"/>
      <c r="I171" s="355"/>
      <c r="J171" s="355"/>
      <c r="K171" s="355"/>
      <c r="L171" s="355"/>
    </row>
    <row r="172" customFormat="false" ht="12" hidden="false" customHeight="false" outlineLevel="0" collapsed="false">
      <c r="B172" s="355"/>
      <c r="C172" s="355"/>
      <c r="D172" s="355"/>
      <c r="E172" s="355"/>
      <c r="F172" s="355"/>
      <c r="G172" s="355"/>
      <c r="H172" s="355"/>
      <c r="I172" s="355"/>
      <c r="J172" s="355"/>
      <c r="K172" s="355"/>
      <c r="L172" s="355"/>
    </row>
    <row r="173" customFormat="false" ht="12" hidden="false" customHeight="false" outlineLevel="0" collapsed="false">
      <c r="B173" s="355"/>
      <c r="C173" s="355"/>
      <c r="D173" s="355"/>
      <c r="E173" s="355"/>
      <c r="F173" s="355"/>
      <c r="G173" s="355"/>
      <c r="H173" s="355"/>
      <c r="I173" s="355"/>
      <c r="J173" s="355"/>
      <c r="K173" s="355"/>
      <c r="L173" s="355"/>
    </row>
    <row r="174" customFormat="false" ht="12" hidden="false" customHeight="false" outlineLevel="0" collapsed="false">
      <c r="B174" s="355"/>
      <c r="C174" s="355"/>
      <c r="D174" s="355"/>
      <c r="E174" s="355"/>
      <c r="F174" s="355"/>
      <c r="G174" s="355"/>
      <c r="H174" s="355"/>
      <c r="I174" s="355"/>
      <c r="J174" s="355"/>
      <c r="K174" s="355"/>
      <c r="L174" s="355"/>
    </row>
    <row r="175" customFormat="false" ht="12" hidden="false" customHeight="false" outlineLevel="0" collapsed="false">
      <c r="B175" s="355"/>
      <c r="C175" s="355"/>
      <c r="D175" s="355"/>
      <c r="E175" s="355"/>
      <c r="F175" s="355"/>
      <c r="G175" s="355"/>
      <c r="H175" s="355"/>
      <c r="I175" s="355"/>
      <c r="J175" s="355"/>
      <c r="K175" s="355"/>
      <c r="L175" s="355"/>
    </row>
    <row r="176" customFormat="false" ht="12" hidden="false" customHeight="false" outlineLevel="0" collapsed="false">
      <c r="B176" s="355"/>
      <c r="C176" s="355"/>
      <c r="D176" s="355"/>
      <c r="E176" s="355"/>
      <c r="F176" s="355"/>
      <c r="G176" s="355"/>
      <c r="H176" s="355"/>
      <c r="I176" s="355"/>
      <c r="J176" s="355"/>
      <c r="K176" s="355"/>
      <c r="L176" s="355"/>
    </row>
    <row r="177" customFormat="false" ht="12" hidden="false" customHeight="false" outlineLevel="0" collapsed="false">
      <c r="B177" s="355"/>
      <c r="C177" s="355"/>
      <c r="D177" s="355"/>
      <c r="E177" s="355"/>
      <c r="F177" s="355"/>
      <c r="G177" s="355"/>
      <c r="H177" s="355"/>
      <c r="I177" s="355"/>
      <c r="J177" s="355"/>
      <c r="K177" s="355"/>
      <c r="L177" s="355"/>
    </row>
    <row r="178" customFormat="false" ht="12" hidden="false" customHeight="false" outlineLevel="0" collapsed="false">
      <c r="B178" s="355"/>
      <c r="C178" s="355"/>
      <c r="D178" s="355"/>
      <c r="E178" s="355"/>
      <c r="F178" s="355"/>
      <c r="G178" s="355"/>
      <c r="H178" s="355"/>
      <c r="I178" s="355"/>
      <c r="J178" s="355"/>
      <c r="K178" s="355"/>
      <c r="L178" s="355"/>
    </row>
    <row r="179" customFormat="false" ht="12" hidden="false" customHeight="false" outlineLevel="0" collapsed="false">
      <c r="B179" s="355"/>
      <c r="C179" s="355"/>
      <c r="D179" s="355"/>
      <c r="E179" s="355"/>
      <c r="F179" s="355"/>
      <c r="G179" s="355"/>
      <c r="H179" s="355"/>
      <c r="I179" s="355"/>
      <c r="J179" s="355"/>
      <c r="K179" s="355"/>
      <c r="L179" s="355"/>
    </row>
    <row r="180" customFormat="false" ht="12" hidden="false" customHeight="false" outlineLevel="0" collapsed="false">
      <c r="B180" s="355"/>
      <c r="C180" s="355"/>
      <c r="D180" s="355"/>
      <c r="E180" s="355"/>
      <c r="F180" s="355"/>
      <c r="G180" s="355"/>
      <c r="H180" s="355"/>
      <c r="I180" s="355"/>
      <c r="J180" s="355"/>
      <c r="K180" s="355"/>
      <c r="L180" s="355"/>
    </row>
    <row r="181" customFormat="false" ht="12" hidden="false" customHeight="false" outlineLevel="0" collapsed="false">
      <c r="B181" s="355"/>
      <c r="C181" s="355"/>
      <c r="D181" s="355"/>
      <c r="E181" s="355"/>
      <c r="F181" s="355"/>
      <c r="G181" s="355"/>
      <c r="H181" s="355"/>
      <c r="I181" s="355"/>
      <c r="J181" s="355"/>
      <c r="K181" s="355"/>
      <c r="L181" s="355"/>
    </row>
    <row r="182" customFormat="false" ht="12" hidden="false" customHeight="false" outlineLevel="0" collapsed="false">
      <c r="B182" s="355"/>
      <c r="C182" s="355"/>
      <c r="D182" s="355"/>
      <c r="E182" s="355"/>
      <c r="F182" s="355"/>
      <c r="G182" s="355"/>
      <c r="H182" s="355"/>
      <c r="I182" s="355"/>
      <c r="J182" s="355"/>
      <c r="K182" s="355"/>
      <c r="L182" s="355"/>
    </row>
    <row r="183" customFormat="false" ht="12" hidden="false" customHeight="false" outlineLevel="0" collapsed="false">
      <c r="B183" s="355"/>
      <c r="C183" s="355"/>
      <c r="D183" s="355"/>
      <c r="E183" s="355"/>
      <c r="F183" s="355"/>
      <c r="G183" s="355"/>
      <c r="H183" s="355"/>
      <c r="I183" s="355"/>
      <c r="J183" s="355"/>
      <c r="K183" s="355"/>
      <c r="L183" s="355"/>
    </row>
    <row r="184" customFormat="false" ht="12" hidden="false" customHeight="false" outlineLevel="0" collapsed="false">
      <c r="B184" s="355"/>
      <c r="C184" s="355"/>
      <c r="D184" s="355"/>
      <c r="E184" s="355"/>
      <c r="F184" s="355"/>
      <c r="G184" s="355"/>
      <c r="H184" s="355"/>
      <c r="I184" s="355"/>
      <c r="J184" s="355"/>
      <c r="K184" s="355"/>
      <c r="L184" s="355"/>
    </row>
    <row r="185" customFormat="false" ht="12" hidden="false" customHeight="false" outlineLevel="0" collapsed="false">
      <c r="B185" s="355"/>
      <c r="C185" s="355"/>
      <c r="D185" s="355"/>
      <c r="E185" s="355"/>
      <c r="F185" s="355"/>
      <c r="G185" s="355"/>
      <c r="H185" s="355"/>
      <c r="I185" s="355"/>
      <c r="J185" s="355"/>
      <c r="K185" s="355"/>
      <c r="L185" s="355"/>
    </row>
    <row r="186" customFormat="false" ht="12" hidden="false" customHeight="false" outlineLevel="0" collapsed="false">
      <c r="B186" s="355"/>
      <c r="C186" s="355"/>
      <c r="D186" s="355"/>
      <c r="E186" s="355"/>
      <c r="F186" s="355"/>
      <c r="G186" s="355"/>
      <c r="H186" s="355"/>
      <c r="I186" s="355"/>
      <c r="J186" s="355"/>
      <c r="K186" s="355"/>
      <c r="L186" s="355"/>
    </row>
    <row r="187" customFormat="false" ht="12" hidden="false" customHeight="false" outlineLevel="0" collapsed="false">
      <c r="B187" s="355"/>
      <c r="C187" s="355"/>
      <c r="D187" s="355"/>
      <c r="E187" s="355"/>
      <c r="F187" s="355"/>
      <c r="G187" s="355"/>
      <c r="H187" s="355"/>
      <c r="I187" s="355"/>
      <c r="J187" s="355"/>
      <c r="K187" s="355"/>
      <c r="L187" s="355"/>
    </row>
    <row r="188" customFormat="false" ht="12" hidden="false" customHeight="false" outlineLevel="0" collapsed="false">
      <c r="B188" s="355"/>
      <c r="C188" s="355"/>
      <c r="D188" s="355"/>
      <c r="E188" s="355"/>
      <c r="F188" s="355"/>
      <c r="G188" s="355"/>
      <c r="H188" s="355"/>
      <c r="I188" s="355"/>
      <c r="J188" s="355"/>
      <c r="K188" s="355"/>
      <c r="L188" s="355"/>
    </row>
    <row r="189" customFormat="false" ht="12" hidden="false" customHeight="false" outlineLevel="0" collapsed="false">
      <c r="B189" s="355"/>
      <c r="C189" s="355"/>
      <c r="D189" s="355"/>
      <c r="E189" s="355"/>
      <c r="F189" s="355"/>
      <c r="G189" s="355"/>
      <c r="H189" s="355"/>
      <c r="I189" s="355"/>
      <c r="J189" s="355"/>
      <c r="K189" s="355"/>
      <c r="L189" s="355"/>
    </row>
    <row r="190" customFormat="false" ht="12" hidden="false" customHeight="false" outlineLevel="0" collapsed="false">
      <c r="B190" s="355"/>
      <c r="C190" s="355"/>
      <c r="D190" s="355"/>
      <c r="E190" s="355"/>
      <c r="F190" s="355"/>
      <c r="G190" s="355"/>
      <c r="H190" s="355"/>
      <c r="I190" s="355"/>
      <c r="J190" s="355"/>
      <c r="K190" s="355"/>
      <c r="L190" s="355"/>
    </row>
    <row r="191" customFormat="false" ht="12" hidden="false" customHeight="false" outlineLevel="0" collapsed="false">
      <c r="B191" s="355"/>
      <c r="C191" s="355"/>
      <c r="D191" s="355"/>
      <c r="E191" s="355"/>
      <c r="F191" s="355"/>
      <c r="G191" s="355"/>
      <c r="H191" s="355"/>
      <c r="I191" s="355"/>
      <c r="J191" s="355"/>
      <c r="K191" s="355"/>
      <c r="L191" s="355"/>
    </row>
    <row r="192" customFormat="false" ht="12" hidden="false" customHeight="false" outlineLevel="0" collapsed="false">
      <c r="B192" s="355"/>
      <c r="C192" s="355"/>
      <c r="D192" s="355"/>
      <c r="E192" s="355"/>
      <c r="F192" s="355"/>
      <c r="G192" s="355"/>
      <c r="H192" s="355"/>
      <c r="I192" s="355"/>
      <c r="J192" s="355"/>
      <c r="K192" s="355"/>
      <c r="L192" s="355"/>
    </row>
    <row r="193" customFormat="false" ht="12" hidden="false" customHeight="false" outlineLevel="0" collapsed="false">
      <c r="B193" s="355"/>
      <c r="C193" s="355"/>
      <c r="D193" s="355"/>
      <c r="E193" s="355"/>
      <c r="F193" s="355"/>
      <c r="G193" s="355"/>
      <c r="H193" s="355"/>
      <c r="I193" s="355"/>
      <c r="J193" s="355"/>
      <c r="K193" s="355"/>
      <c r="L193" s="355"/>
    </row>
    <row r="194" customFormat="false" ht="12" hidden="false" customHeight="false" outlineLevel="0" collapsed="false">
      <c r="B194" s="355"/>
      <c r="C194" s="355"/>
      <c r="D194" s="355"/>
      <c r="E194" s="355"/>
      <c r="F194" s="355"/>
      <c r="G194" s="355"/>
      <c r="H194" s="355"/>
      <c r="I194" s="355"/>
      <c r="J194" s="355"/>
      <c r="K194" s="355"/>
      <c r="L194" s="355"/>
    </row>
    <row r="195" customFormat="false" ht="12" hidden="false" customHeight="false" outlineLevel="0" collapsed="false">
      <c r="B195" s="355"/>
      <c r="C195" s="355"/>
      <c r="D195" s="355"/>
      <c r="E195" s="355"/>
      <c r="F195" s="355"/>
      <c r="G195" s="355"/>
      <c r="H195" s="355"/>
      <c r="I195" s="355"/>
      <c r="J195" s="355"/>
      <c r="K195" s="355"/>
      <c r="L195" s="355"/>
    </row>
    <row r="196" customFormat="false" ht="12" hidden="false" customHeight="false" outlineLevel="0" collapsed="false">
      <c r="B196" s="355"/>
      <c r="C196" s="355"/>
      <c r="D196" s="355"/>
      <c r="E196" s="355"/>
      <c r="F196" s="355"/>
      <c r="G196" s="355"/>
      <c r="H196" s="355"/>
      <c r="I196" s="355"/>
      <c r="J196" s="355"/>
      <c r="K196" s="355"/>
      <c r="L196" s="355"/>
    </row>
    <row r="197" customFormat="false" ht="12" hidden="false" customHeight="false" outlineLevel="0" collapsed="false">
      <c r="B197" s="355"/>
      <c r="C197" s="355"/>
      <c r="D197" s="355"/>
      <c r="E197" s="355"/>
      <c r="F197" s="355"/>
      <c r="G197" s="355"/>
      <c r="H197" s="355"/>
      <c r="I197" s="355"/>
      <c r="J197" s="355"/>
      <c r="K197" s="355"/>
      <c r="L197" s="355"/>
    </row>
    <row r="198" customFormat="false" ht="12" hidden="false" customHeight="false" outlineLevel="0" collapsed="false">
      <c r="B198" s="355"/>
      <c r="C198" s="355"/>
      <c r="D198" s="355"/>
      <c r="E198" s="355"/>
      <c r="F198" s="355"/>
      <c r="G198" s="355"/>
      <c r="H198" s="355"/>
      <c r="I198" s="355"/>
      <c r="J198" s="355"/>
      <c r="K198" s="355"/>
      <c r="L198" s="355"/>
    </row>
    <row r="199" customFormat="false" ht="12" hidden="false" customHeight="false" outlineLevel="0" collapsed="false">
      <c r="B199" s="355"/>
      <c r="C199" s="355"/>
      <c r="D199" s="355"/>
      <c r="E199" s="355"/>
      <c r="F199" s="355"/>
      <c r="G199" s="355"/>
      <c r="H199" s="355"/>
      <c r="I199" s="355"/>
      <c r="J199" s="355"/>
      <c r="K199" s="355"/>
      <c r="L199" s="355"/>
    </row>
    <row r="200" customFormat="false" ht="12" hidden="false" customHeight="false" outlineLevel="0" collapsed="false">
      <c r="B200" s="355"/>
      <c r="C200" s="355"/>
      <c r="D200" s="355"/>
      <c r="E200" s="355"/>
      <c r="F200" s="355"/>
      <c r="G200" s="355"/>
      <c r="H200" s="355"/>
      <c r="I200" s="355"/>
      <c r="J200" s="355"/>
      <c r="K200" s="355"/>
      <c r="L200" s="355"/>
    </row>
    <row r="201" customFormat="false" ht="12" hidden="false" customHeight="false" outlineLevel="0" collapsed="false">
      <c r="B201" s="355"/>
      <c r="C201" s="355"/>
      <c r="D201" s="355"/>
      <c r="E201" s="355"/>
      <c r="F201" s="355"/>
      <c r="G201" s="355"/>
      <c r="H201" s="355"/>
      <c r="I201" s="355"/>
      <c r="J201" s="355"/>
      <c r="K201" s="355"/>
      <c r="L201" s="355"/>
    </row>
    <row r="202" customFormat="false" ht="12" hidden="false" customHeight="false" outlineLevel="0" collapsed="false">
      <c r="B202" s="355"/>
      <c r="C202" s="355"/>
      <c r="D202" s="355"/>
      <c r="E202" s="355"/>
      <c r="F202" s="355"/>
      <c r="G202" s="355"/>
      <c r="H202" s="355"/>
      <c r="I202" s="355"/>
      <c r="J202" s="355"/>
      <c r="K202" s="355"/>
      <c r="L202" s="355"/>
    </row>
    <row r="203" customFormat="false" ht="12" hidden="false" customHeight="false" outlineLevel="0" collapsed="false">
      <c r="B203" s="355"/>
      <c r="C203" s="355"/>
      <c r="D203" s="355"/>
      <c r="E203" s="355"/>
      <c r="F203" s="355"/>
      <c r="G203" s="355"/>
      <c r="H203" s="355"/>
      <c r="I203" s="355"/>
      <c r="J203" s="355"/>
      <c r="K203" s="355"/>
      <c r="L203" s="355"/>
    </row>
    <row r="204" customFormat="false" ht="12" hidden="false" customHeight="false" outlineLevel="0" collapsed="false">
      <c r="B204" s="355"/>
      <c r="C204" s="355"/>
      <c r="D204" s="355"/>
      <c r="E204" s="355"/>
      <c r="F204" s="355"/>
      <c r="G204" s="355"/>
      <c r="H204" s="355"/>
      <c r="I204" s="355"/>
      <c r="J204" s="355"/>
      <c r="K204" s="355"/>
      <c r="L204" s="355"/>
    </row>
    <row r="205" customFormat="false" ht="12" hidden="false" customHeight="false" outlineLevel="0" collapsed="false">
      <c r="B205" s="355"/>
      <c r="C205" s="355"/>
      <c r="D205" s="355"/>
      <c r="E205" s="355"/>
      <c r="F205" s="355"/>
      <c r="G205" s="355"/>
      <c r="H205" s="355"/>
      <c r="I205" s="355"/>
      <c r="J205" s="355"/>
      <c r="K205" s="355"/>
      <c r="L205" s="355"/>
    </row>
    <row r="206" customFormat="false" ht="12" hidden="false" customHeight="false" outlineLevel="0" collapsed="false">
      <c r="B206" s="355"/>
      <c r="C206" s="355"/>
      <c r="D206" s="355"/>
      <c r="E206" s="355"/>
      <c r="F206" s="355"/>
      <c r="G206" s="355"/>
      <c r="H206" s="355"/>
      <c r="I206" s="355"/>
      <c r="J206" s="355"/>
      <c r="K206" s="355"/>
      <c r="L206" s="355"/>
    </row>
    <row r="207" customFormat="false" ht="12" hidden="false" customHeight="false" outlineLevel="0" collapsed="false">
      <c r="B207" s="355"/>
      <c r="C207" s="355"/>
      <c r="D207" s="355"/>
      <c r="E207" s="355"/>
      <c r="F207" s="355"/>
      <c r="G207" s="355"/>
      <c r="H207" s="355"/>
      <c r="I207" s="355"/>
      <c r="J207" s="355"/>
      <c r="K207" s="355"/>
      <c r="L207" s="355"/>
    </row>
    <row r="208" customFormat="false" ht="12" hidden="false" customHeight="false" outlineLevel="0" collapsed="false">
      <c r="B208" s="355"/>
      <c r="C208" s="355"/>
      <c r="D208" s="355"/>
      <c r="E208" s="355"/>
      <c r="F208" s="355"/>
      <c r="G208" s="355"/>
      <c r="H208" s="355"/>
      <c r="I208" s="355"/>
      <c r="J208" s="355"/>
      <c r="K208" s="355"/>
      <c r="L208" s="355"/>
    </row>
    <row r="209" customFormat="false" ht="12" hidden="false" customHeight="false" outlineLevel="0" collapsed="false">
      <c r="B209" s="355"/>
      <c r="C209" s="355"/>
      <c r="D209" s="355"/>
      <c r="E209" s="355"/>
      <c r="F209" s="355"/>
      <c r="G209" s="355"/>
      <c r="H209" s="355"/>
      <c r="I209" s="355"/>
      <c r="J209" s="355"/>
      <c r="K209" s="355"/>
      <c r="L209" s="355"/>
    </row>
    <row r="210" customFormat="false" ht="12" hidden="false" customHeight="false" outlineLevel="0" collapsed="false">
      <c r="B210" s="355"/>
      <c r="C210" s="355"/>
      <c r="D210" s="355"/>
      <c r="E210" s="355"/>
      <c r="F210" s="355"/>
      <c r="G210" s="355"/>
      <c r="H210" s="355"/>
      <c r="I210" s="355"/>
      <c r="J210" s="355"/>
      <c r="K210" s="355"/>
      <c r="L210" s="355"/>
    </row>
    <row r="211" customFormat="false" ht="12" hidden="false" customHeight="false" outlineLevel="0" collapsed="false">
      <c r="B211" s="355"/>
      <c r="C211" s="355"/>
      <c r="D211" s="355"/>
      <c r="E211" s="355"/>
      <c r="F211" s="355"/>
      <c r="G211" s="355"/>
      <c r="H211" s="355"/>
      <c r="I211" s="355"/>
      <c r="J211" s="355"/>
      <c r="K211" s="355"/>
      <c r="L211" s="355"/>
    </row>
    <row r="212" customFormat="false" ht="12" hidden="false" customHeight="false" outlineLevel="0" collapsed="false">
      <c r="B212" s="355"/>
      <c r="C212" s="355"/>
      <c r="D212" s="355"/>
      <c r="E212" s="355"/>
      <c r="F212" s="355"/>
      <c r="G212" s="355"/>
      <c r="H212" s="355"/>
      <c r="I212" s="355"/>
      <c r="J212" s="355"/>
      <c r="K212" s="355"/>
      <c r="L212" s="355"/>
    </row>
    <row r="213" customFormat="false" ht="12" hidden="false" customHeight="false" outlineLevel="0" collapsed="false">
      <c r="B213" s="355"/>
      <c r="C213" s="355"/>
      <c r="D213" s="355"/>
      <c r="E213" s="355"/>
      <c r="F213" s="355"/>
      <c r="G213" s="355"/>
      <c r="H213" s="355"/>
      <c r="I213" s="355"/>
      <c r="J213" s="355"/>
      <c r="K213" s="355"/>
      <c r="L213" s="355"/>
    </row>
    <row r="214" customFormat="false" ht="12" hidden="false" customHeight="false" outlineLevel="0" collapsed="false">
      <c r="B214" s="355"/>
      <c r="C214" s="355"/>
      <c r="D214" s="355"/>
      <c r="E214" s="355"/>
      <c r="F214" s="355"/>
      <c r="G214" s="355"/>
      <c r="H214" s="355"/>
      <c r="I214" s="355"/>
      <c r="J214" s="355"/>
      <c r="K214" s="355"/>
      <c r="L214" s="355"/>
    </row>
    <row r="215" customFormat="false" ht="12" hidden="false" customHeight="false" outlineLevel="0" collapsed="false">
      <c r="B215" s="355"/>
      <c r="C215" s="355"/>
      <c r="D215" s="355"/>
      <c r="E215" s="355"/>
      <c r="F215" s="355"/>
      <c r="G215" s="355"/>
      <c r="H215" s="355"/>
      <c r="I215" s="355"/>
      <c r="J215" s="355"/>
      <c r="K215" s="355"/>
      <c r="L215" s="355"/>
    </row>
    <row r="216" customFormat="false" ht="12" hidden="false" customHeight="false" outlineLevel="0" collapsed="false">
      <c r="B216" s="355"/>
      <c r="C216" s="355"/>
      <c r="D216" s="355"/>
      <c r="E216" s="355"/>
      <c r="F216" s="355"/>
      <c r="G216" s="355"/>
      <c r="H216" s="355"/>
      <c r="I216" s="355"/>
      <c r="J216" s="355"/>
      <c r="K216" s="355"/>
      <c r="L216" s="355"/>
    </row>
    <row r="217" customFormat="false" ht="12" hidden="false" customHeight="false" outlineLevel="0" collapsed="false">
      <c r="B217" s="355"/>
      <c r="C217" s="355"/>
      <c r="D217" s="355"/>
      <c r="E217" s="355"/>
      <c r="F217" s="355"/>
      <c r="G217" s="355"/>
      <c r="H217" s="355"/>
      <c r="I217" s="355"/>
      <c r="J217" s="355"/>
      <c r="K217" s="355"/>
      <c r="L217" s="355"/>
    </row>
    <row r="218" customFormat="false" ht="12" hidden="false" customHeight="false" outlineLevel="0" collapsed="false">
      <c r="B218" s="355"/>
      <c r="C218" s="355"/>
      <c r="D218" s="355"/>
      <c r="E218" s="355"/>
      <c r="F218" s="355"/>
      <c r="G218" s="355"/>
      <c r="H218" s="355"/>
      <c r="I218" s="355"/>
      <c r="J218" s="355"/>
      <c r="K218" s="355"/>
      <c r="L218" s="355"/>
    </row>
    <row r="219" customFormat="false" ht="12" hidden="false" customHeight="false" outlineLevel="0" collapsed="false">
      <c r="B219" s="355"/>
      <c r="C219" s="355"/>
      <c r="D219" s="355"/>
      <c r="E219" s="355"/>
      <c r="F219" s="355"/>
      <c r="G219" s="355"/>
      <c r="H219" s="355"/>
      <c r="I219" s="355"/>
      <c r="J219" s="355"/>
      <c r="K219" s="355"/>
      <c r="L219" s="355"/>
    </row>
    <row r="220" customFormat="false" ht="12" hidden="false" customHeight="false" outlineLevel="0" collapsed="false">
      <c r="B220" s="355"/>
      <c r="C220" s="355"/>
      <c r="D220" s="355"/>
      <c r="E220" s="355"/>
      <c r="F220" s="355"/>
      <c r="G220" s="355"/>
      <c r="H220" s="355"/>
      <c r="I220" s="355"/>
      <c r="J220" s="355"/>
      <c r="K220" s="355"/>
      <c r="L220" s="355"/>
    </row>
    <row r="221" customFormat="false" ht="12" hidden="false" customHeight="false" outlineLevel="0" collapsed="false">
      <c r="B221" s="355"/>
      <c r="C221" s="355"/>
      <c r="D221" s="355"/>
      <c r="E221" s="355"/>
      <c r="F221" s="355"/>
      <c r="G221" s="355"/>
      <c r="H221" s="355"/>
      <c r="I221" s="355"/>
      <c r="J221" s="355"/>
      <c r="K221" s="355"/>
      <c r="L221" s="355"/>
    </row>
    <row r="222" customFormat="false" ht="12" hidden="false" customHeight="false" outlineLevel="0" collapsed="false">
      <c r="B222" s="355"/>
      <c r="C222" s="355"/>
      <c r="D222" s="355"/>
      <c r="E222" s="355"/>
      <c r="F222" s="355"/>
      <c r="G222" s="355"/>
      <c r="H222" s="355"/>
      <c r="I222" s="355"/>
      <c r="J222" s="355"/>
      <c r="K222" s="355"/>
      <c r="L222" s="355"/>
    </row>
    <row r="223" customFormat="false" ht="12" hidden="false" customHeight="false" outlineLevel="0" collapsed="false">
      <c r="B223" s="355"/>
      <c r="C223" s="355"/>
      <c r="D223" s="355"/>
      <c r="E223" s="355"/>
      <c r="F223" s="355"/>
      <c r="G223" s="355"/>
      <c r="H223" s="355"/>
      <c r="I223" s="355"/>
      <c r="J223" s="355"/>
      <c r="K223" s="355"/>
      <c r="L223" s="355"/>
    </row>
    <row r="224" customFormat="false" ht="12" hidden="false" customHeight="false" outlineLevel="0" collapsed="false">
      <c r="B224" s="355"/>
      <c r="C224" s="355"/>
      <c r="D224" s="355"/>
      <c r="E224" s="355"/>
      <c r="F224" s="355"/>
      <c r="G224" s="355"/>
      <c r="H224" s="355"/>
      <c r="I224" s="355"/>
      <c r="J224" s="355"/>
      <c r="K224" s="355"/>
      <c r="L224" s="355"/>
    </row>
    <row r="225" customFormat="false" ht="12" hidden="false" customHeight="false" outlineLevel="0" collapsed="false">
      <c r="B225" s="355"/>
      <c r="C225" s="355"/>
      <c r="D225" s="355"/>
      <c r="E225" s="355"/>
      <c r="F225" s="355"/>
      <c r="G225" s="355"/>
      <c r="H225" s="355"/>
      <c r="I225" s="355"/>
      <c r="J225" s="355"/>
      <c r="K225" s="355"/>
      <c r="L225" s="355"/>
    </row>
    <row r="226" customFormat="false" ht="12" hidden="false" customHeight="false" outlineLevel="0" collapsed="false">
      <c r="B226" s="355"/>
      <c r="C226" s="355"/>
      <c r="D226" s="355"/>
      <c r="E226" s="355"/>
      <c r="F226" s="355"/>
      <c r="G226" s="355"/>
      <c r="H226" s="355"/>
      <c r="I226" s="355"/>
      <c r="J226" s="355"/>
      <c r="K226" s="355"/>
      <c r="L226" s="355"/>
    </row>
    <row r="227" customFormat="false" ht="12" hidden="false" customHeight="false" outlineLevel="0" collapsed="false">
      <c r="B227" s="355"/>
      <c r="C227" s="355"/>
      <c r="D227" s="355"/>
      <c r="E227" s="355"/>
      <c r="F227" s="355"/>
      <c r="G227" s="355"/>
      <c r="H227" s="355"/>
      <c r="I227" s="355"/>
      <c r="J227" s="355"/>
      <c r="K227" s="355"/>
      <c r="L227" s="355"/>
    </row>
    <row r="228" customFormat="false" ht="12" hidden="false" customHeight="false" outlineLevel="0" collapsed="false">
      <c r="B228" s="355"/>
      <c r="C228" s="355"/>
      <c r="D228" s="355"/>
      <c r="E228" s="355"/>
      <c r="F228" s="355"/>
      <c r="G228" s="355"/>
      <c r="H228" s="355"/>
      <c r="I228" s="355"/>
      <c r="J228" s="355"/>
      <c r="K228" s="355"/>
      <c r="L228" s="355"/>
    </row>
    <row r="229" customFormat="false" ht="12" hidden="false" customHeight="false" outlineLevel="0" collapsed="false">
      <c r="B229" s="355"/>
      <c r="C229" s="355"/>
      <c r="D229" s="355"/>
      <c r="E229" s="355"/>
      <c r="F229" s="355"/>
      <c r="G229" s="355"/>
      <c r="H229" s="355"/>
      <c r="I229" s="355"/>
      <c r="J229" s="355"/>
      <c r="K229" s="355"/>
      <c r="L229" s="355"/>
    </row>
    <row r="230" customFormat="false" ht="12" hidden="false" customHeight="false" outlineLevel="0" collapsed="false">
      <c r="B230" s="355"/>
      <c r="C230" s="355"/>
      <c r="D230" s="355"/>
      <c r="E230" s="355"/>
      <c r="F230" s="355"/>
      <c r="G230" s="355"/>
      <c r="H230" s="355"/>
      <c r="I230" s="355"/>
      <c r="J230" s="355"/>
      <c r="K230" s="355"/>
      <c r="L230" s="355"/>
    </row>
    <row r="231" customFormat="false" ht="12" hidden="false" customHeight="false" outlineLevel="0" collapsed="false">
      <c r="B231" s="355"/>
      <c r="C231" s="355"/>
      <c r="D231" s="355"/>
      <c r="E231" s="355"/>
      <c r="F231" s="355"/>
      <c r="G231" s="355"/>
      <c r="H231" s="355"/>
      <c r="I231" s="355"/>
      <c r="J231" s="355"/>
      <c r="K231" s="355"/>
      <c r="L231" s="355"/>
    </row>
    <row r="232" customFormat="false" ht="12" hidden="false" customHeight="false" outlineLevel="0" collapsed="false">
      <c r="B232" s="355"/>
      <c r="C232" s="355"/>
      <c r="D232" s="355"/>
      <c r="E232" s="355"/>
      <c r="F232" s="355"/>
      <c r="G232" s="355"/>
      <c r="H232" s="355"/>
      <c r="I232" s="355"/>
      <c r="J232" s="355"/>
      <c r="K232" s="355"/>
      <c r="L232" s="355"/>
    </row>
    <row r="233" customFormat="false" ht="12" hidden="false" customHeight="false" outlineLevel="0" collapsed="false">
      <c r="B233" s="355"/>
      <c r="C233" s="355"/>
      <c r="D233" s="355"/>
      <c r="E233" s="355"/>
      <c r="F233" s="355"/>
      <c r="G233" s="355"/>
      <c r="H233" s="355"/>
      <c r="I233" s="355"/>
      <c r="J233" s="355"/>
      <c r="K233" s="355"/>
      <c r="L233" s="355"/>
    </row>
    <row r="234" customFormat="false" ht="12" hidden="false" customHeight="false" outlineLevel="0" collapsed="false">
      <c r="B234" s="355"/>
      <c r="C234" s="355"/>
      <c r="D234" s="355"/>
      <c r="E234" s="355"/>
      <c r="F234" s="355"/>
      <c r="G234" s="355"/>
      <c r="H234" s="355"/>
      <c r="I234" s="355"/>
      <c r="J234" s="355"/>
      <c r="K234" s="355"/>
      <c r="L234" s="355"/>
    </row>
    <row r="235" customFormat="false" ht="12" hidden="false" customHeight="false" outlineLevel="0" collapsed="false">
      <c r="B235" s="355"/>
      <c r="C235" s="355"/>
      <c r="D235" s="355"/>
      <c r="E235" s="355"/>
      <c r="F235" s="355"/>
      <c r="G235" s="355"/>
      <c r="H235" s="355"/>
      <c r="I235" s="355"/>
      <c r="J235" s="355"/>
      <c r="K235" s="355"/>
      <c r="L235" s="355"/>
    </row>
    <row r="236" customFormat="false" ht="12" hidden="false" customHeight="false" outlineLevel="0" collapsed="false">
      <c r="B236" s="355"/>
      <c r="C236" s="355"/>
      <c r="D236" s="355"/>
      <c r="E236" s="355"/>
      <c r="F236" s="355"/>
      <c r="G236" s="355"/>
      <c r="H236" s="355"/>
      <c r="I236" s="355"/>
      <c r="J236" s="355"/>
      <c r="K236" s="355"/>
      <c r="L236" s="355"/>
    </row>
    <row r="237" customFormat="false" ht="12" hidden="false" customHeight="false" outlineLevel="0" collapsed="false">
      <c r="B237" s="355"/>
      <c r="C237" s="355"/>
      <c r="D237" s="355"/>
      <c r="E237" s="355"/>
      <c r="F237" s="355"/>
      <c r="G237" s="355"/>
      <c r="H237" s="355"/>
      <c r="I237" s="355"/>
      <c r="J237" s="355"/>
      <c r="K237" s="355"/>
      <c r="L237" s="355"/>
    </row>
    <row r="238" customFormat="false" ht="12" hidden="false" customHeight="false" outlineLevel="0" collapsed="false">
      <c r="B238" s="355"/>
      <c r="C238" s="355"/>
      <c r="D238" s="355"/>
      <c r="E238" s="355"/>
      <c r="F238" s="355"/>
      <c r="G238" s="355"/>
      <c r="H238" s="355"/>
      <c r="I238" s="355"/>
      <c r="J238" s="355"/>
      <c r="K238" s="355"/>
      <c r="L238" s="355"/>
    </row>
  </sheetData>
  <mergeCells count="2">
    <mergeCell ref="A3:L3"/>
    <mergeCell ref="B6:L6"/>
  </mergeCells>
  <hyperlinks>
    <hyperlink ref="B1" location="Index!A1" display="Back to index"/>
  </hyperlinks>
  <printOptions headings="false" gridLines="false" gridLinesSet="true" horizontalCentered="true" verticalCentered="true"/>
  <pageMargins left="0.790277777777778" right="0.790277777777778" top="0.979861111111111" bottom="0.97986111111111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CCFF"/>
    <pageSetUpPr fitToPage="true"/>
  </sheetPr>
  <dimension ref="A1:R3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A3" activeCellId="0" sqref="A3"/>
    </sheetView>
  </sheetViews>
  <sheetFormatPr defaultColWidth="11.0546875" defaultRowHeight="12" zeroHeight="false" outlineLevelRow="0" outlineLevelCol="0"/>
  <cols>
    <col collapsed="false" customWidth="true" hidden="false" outlineLevel="0" max="1" min="1" style="0" width="6.66"/>
    <col collapsed="false" customWidth="true" hidden="false" outlineLevel="0" max="2" min="2" style="0" width="8.33"/>
    <col collapsed="false" customWidth="true" hidden="false" outlineLevel="0" max="6" min="3" style="0" width="7.66"/>
    <col collapsed="false" customWidth="true" hidden="false" outlineLevel="0" max="11" min="7" style="0" width="7.32"/>
    <col collapsed="false" customWidth="true" hidden="false" outlineLevel="0" max="13" min="12" style="0" width="7.66"/>
    <col collapsed="false" customWidth="true" hidden="false" outlineLevel="0" max="16" min="14" style="0" width="8.33"/>
  </cols>
  <sheetData>
    <row r="1" customFormat="false" ht="12" hidden="false" customHeight="false" outlineLevel="0" collapsed="false">
      <c r="B1" s="21" t="s">
        <v>9</v>
      </c>
      <c r="C1" s="198"/>
      <c r="D1" s="198"/>
      <c r="E1" s="198"/>
      <c r="F1" s="198"/>
      <c r="G1" s="198"/>
      <c r="H1" s="198"/>
      <c r="I1" s="198"/>
      <c r="J1" s="198"/>
      <c r="K1" s="198"/>
      <c r="L1" s="198"/>
      <c r="M1" s="198"/>
      <c r="N1" s="198"/>
    </row>
    <row r="2" customFormat="false" ht="13" hidden="false" customHeight="false" outlineLevel="0" collapsed="false"/>
    <row r="3" customFormat="false" ht="19.75" hidden="false" customHeight="true" outlineLevel="0" collapsed="false">
      <c r="A3" s="27" t="s">
        <v>117</v>
      </c>
      <c r="B3" s="27"/>
      <c r="C3" s="27"/>
      <c r="D3" s="27"/>
      <c r="E3" s="27"/>
      <c r="F3" s="27"/>
      <c r="G3" s="27"/>
      <c r="H3" s="27"/>
      <c r="I3" s="27"/>
      <c r="J3" s="27"/>
      <c r="K3" s="27"/>
      <c r="L3" s="27"/>
      <c r="M3" s="27"/>
      <c r="N3" s="27"/>
      <c r="O3" s="27"/>
      <c r="P3" s="27"/>
    </row>
    <row r="4" customFormat="false" ht="12" hidden="false" customHeight="false" outlineLevel="0" collapsed="false">
      <c r="A4" s="28"/>
      <c r="B4" s="29"/>
      <c r="C4" s="29"/>
      <c r="D4" s="29"/>
      <c r="E4" s="29"/>
      <c r="F4" s="29"/>
      <c r="G4" s="29"/>
      <c r="H4" s="29"/>
      <c r="I4" s="29"/>
      <c r="J4" s="29"/>
      <c r="K4" s="29"/>
      <c r="L4" s="29"/>
      <c r="M4" s="29"/>
      <c r="N4" s="29"/>
      <c r="O4" s="29"/>
      <c r="P4" s="199"/>
    </row>
    <row r="5" customFormat="false" ht="12" hidden="false" customHeight="false" outlineLevel="0" collapsed="false">
      <c r="A5" s="28"/>
      <c r="B5" s="485" t="s">
        <v>11</v>
      </c>
      <c r="C5" s="31" t="s">
        <v>12</v>
      </c>
      <c r="D5" s="31" t="s">
        <v>13</v>
      </c>
      <c r="E5" s="31" t="s">
        <v>14</v>
      </c>
      <c r="F5" s="31" t="s">
        <v>15</v>
      </c>
      <c r="G5" s="31" t="s">
        <v>16</v>
      </c>
      <c r="H5" s="31" t="s">
        <v>17</v>
      </c>
      <c r="I5" s="31" t="s">
        <v>18</v>
      </c>
      <c r="J5" s="31" t="s">
        <v>19</v>
      </c>
      <c r="K5" s="31" t="s">
        <v>20</v>
      </c>
      <c r="L5" s="31" t="s">
        <v>21</v>
      </c>
      <c r="M5" s="31" t="s">
        <v>22</v>
      </c>
      <c r="N5" s="31" t="s">
        <v>23</v>
      </c>
      <c r="O5" s="31" t="s">
        <v>24</v>
      </c>
      <c r="P5" s="486" t="s">
        <v>25</v>
      </c>
    </row>
    <row r="6" customFormat="false" ht="28.75" hidden="false" customHeight="true" outlineLevel="0" collapsed="false">
      <c r="A6" s="28"/>
      <c r="B6" s="298" t="s">
        <v>118</v>
      </c>
      <c r="C6" s="298"/>
      <c r="D6" s="298"/>
      <c r="E6" s="298"/>
      <c r="F6" s="298"/>
      <c r="G6" s="298"/>
      <c r="H6" s="298"/>
      <c r="I6" s="298"/>
      <c r="J6" s="298"/>
      <c r="K6" s="298"/>
      <c r="L6" s="298"/>
      <c r="M6" s="298"/>
      <c r="N6" s="298"/>
      <c r="O6" s="298"/>
      <c r="P6" s="298"/>
    </row>
    <row r="7" customFormat="false" ht="39.75" hidden="false" customHeight="true" outlineLevel="0" collapsed="false">
      <c r="A7" s="35"/>
      <c r="B7" s="487" t="s">
        <v>119</v>
      </c>
      <c r="C7" s="487" t="s">
        <v>120</v>
      </c>
      <c r="D7" s="487" t="s">
        <v>121</v>
      </c>
      <c r="E7" s="487" t="s">
        <v>122</v>
      </c>
      <c r="F7" s="487" t="s">
        <v>123</v>
      </c>
      <c r="G7" s="487" t="s">
        <v>124</v>
      </c>
      <c r="H7" s="487" t="s">
        <v>125</v>
      </c>
      <c r="I7" s="487" t="s">
        <v>126</v>
      </c>
      <c r="J7" s="487" t="s">
        <v>127</v>
      </c>
      <c r="K7" s="487" t="s">
        <v>128</v>
      </c>
      <c r="L7" s="487" t="s">
        <v>129</v>
      </c>
      <c r="M7" s="487" t="s">
        <v>130</v>
      </c>
      <c r="N7" s="487" t="s">
        <v>131</v>
      </c>
      <c r="O7" s="488" t="s">
        <v>132</v>
      </c>
      <c r="P7" s="489" t="s">
        <v>133</v>
      </c>
    </row>
    <row r="8" customFormat="false" ht="49.75" hidden="false" customHeight="true" outlineLevel="0" collapsed="false">
      <c r="A8" s="35"/>
      <c r="B8" s="487"/>
      <c r="C8" s="487"/>
      <c r="D8" s="487"/>
      <c r="E8" s="487"/>
      <c r="F8" s="487"/>
      <c r="G8" s="487"/>
      <c r="H8" s="487"/>
      <c r="I8" s="487"/>
      <c r="J8" s="487"/>
      <c r="K8" s="487"/>
      <c r="L8" s="487"/>
      <c r="M8" s="487"/>
      <c r="N8" s="487"/>
      <c r="O8" s="488"/>
      <c r="P8" s="489"/>
    </row>
    <row r="9" customFormat="false" ht="49.75" hidden="false" customHeight="true" outlineLevel="0" collapsed="false">
      <c r="A9" s="35"/>
      <c r="B9" s="490" t="s">
        <v>134</v>
      </c>
      <c r="C9" s="490" t="s">
        <v>135</v>
      </c>
      <c r="D9" s="490" t="s">
        <v>136</v>
      </c>
      <c r="E9" s="490" t="s">
        <v>137</v>
      </c>
      <c r="F9" s="490" t="s">
        <v>138</v>
      </c>
      <c r="G9" s="490" t="s">
        <v>139</v>
      </c>
      <c r="H9" s="490" t="s">
        <v>140</v>
      </c>
      <c r="I9" s="490" t="s">
        <v>141</v>
      </c>
      <c r="J9" s="490" t="s">
        <v>142</v>
      </c>
      <c r="K9" s="490" t="s">
        <v>143</v>
      </c>
      <c r="L9" s="490" t="s">
        <v>144</v>
      </c>
      <c r="M9" s="490" t="s">
        <v>145</v>
      </c>
      <c r="N9" s="490" t="s">
        <v>146</v>
      </c>
      <c r="O9" s="46" t="s">
        <v>147</v>
      </c>
      <c r="P9" s="491" t="s">
        <v>148</v>
      </c>
    </row>
    <row r="10" customFormat="false" ht="12" hidden="false" customHeight="true" outlineLevel="0" collapsed="false">
      <c r="A10" s="76" t="n">
        <v>1870</v>
      </c>
      <c r="B10" s="492" t="n">
        <f aca="false">TableDE1!N10</f>
        <v>7.03716354197713</v>
      </c>
      <c r="C10" s="493" t="n">
        <f aca="false">TableDE11b!N9</f>
        <v>0.220646027029618</v>
      </c>
      <c r="D10" s="493" t="n">
        <f aca="false">TableDE11b!O9</f>
        <v>0.779353972970382</v>
      </c>
      <c r="E10" s="493" t="n">
        <f aca="false">(DataDE1c!X33+DataDE1c!AC33)/DataDE1c!W33</f>
        <v>0.233681587271159</v>
      </c>
      <c r="F10" s="494" t="n">
        <f aca="false">E10/B10</f>
        <v>0.0332067864953306</v>
      </c>
      <c r="G10" s="493" t="n">
        <f aca="false">DataDE1c!AN33/TableDE1!B10</f>
        <v>0.0513358185771979</v>
      </c>
      <c r="H10" s="495" t="n">
        <f aca="false">G10</f>
        <v>0.0513358185771979</v>
      </c>
      <c r="I10" s="496"/>
      <c r="J10" s="496"/>
      <c r="K10" s="496"/>
      <c r="L10" s="497" t="n">
        <f aca="false">E10*(1-H10)</f>
        <v>0.221685351702175</v>
      </c>
      <c r="M10" s="498" t="n">
        <f aca="false">(1-H10)*F10</f>
        <v>0.0315020889282746</v>
      </c>
      <c r="N10" s="499"/>
      <c r="O10" s="500" t="n">
        <f aca="false">TableDE12c!C10</f>
        <v>0.123458468815902</v>
      </c>
      <c r="P10" s="501" t="n">
        <f aca="false">TableDE5a!O10</f>
        <v>0</v>
      </c>
      <c r="R10" s="502"/>
    </row>
    <row r="11" customFormat="false" ht="12" hidden="false" customHeight="true" outlineLevel="0" collapsed="false">
      <c r="A11" s="76" t="n">
        <v>1871</v>
      </c>
      <c r="B11" s="492" t="n">
        <f aca="false">TableDE1!N11</f>
        <v>6.89700494608442</v>
      </c>
      <c r="C11" s="493" t="n">
        <f aca="false">TableDE11b!N10</f>
        <v>0.237708535616559</v>
      </c>
      <c r="D11" s="493" t="n">
        <f aca="false">TableDE11b!O10</f>
        <v>0.762291464383441</v>
      </c>
      <c r="E11" s="493" t="n">
        <f aca="false">(DataDE1c!X34+DataDE1c!AC34)/DataDE1c!W34</f>
        <v>0.249889663694942</v>
      </c>
      <c r="F11" s="494" t="n">
        <f aca="false">E11/B11</f>
        <v>0.0362316201957793</v>
      </c>
      <c r="G11" s="493" t="n">
        <f aca="false">DataDE1c!AN34/TableDE1!B11</f>
        <v>0.0482409191465068</v>
      </c>
      <c r="H11" s="495" t="n">
        <f aca="false">G11</f>
        <v>0.0482409191465068</v>
      </c>
      <c r="I11" s="496"/>
      <c r="J11" s="496"/>
      <c r="K11" s="496"/>
      <c r="L11" s="497" t="n">
        <f aca="false">E11*(1-H11)</f>
        <v>0.237834756633087</v>
      </c>
      <c r="M11" s="498" t="n">
        <f aca="false">(1-H11)*F11</f>
        <v>0.0344837735353678</v>
      </c>
      <c r="N11" s="499"/>
      <c r="O11" s="500" t="n">
        <f aca="false">TableDE12c!C11</f>
        <v>0.0723152485450275</v>
      </c>
      <c r="P11" s="501" t="n">
        <f aca="false">TableDE5a!O11</f>
        <v>0</v>
      </c>
      <c r="R11" s="502"/>
    </row>
    <row r="12" customFormat="false" ht="12" hidden="false" customHeight="true" outlineLevel="0" collapsed="false">
      <c r="A12" s="76" t="n">
        <v>1872</v>
      </c>
      <c r="B12" s="492" t="n">
        <f aca="false">TableDE1!N12</f>
        <v>6.29577980988563</v>
      </c>
      <c r="C12" s="493" t="n">
        <f aca="false">TableDE11b!N11</f>
        <v>0.235880138060872</v>
      </c>
      <c r="D12" s="493" t="n">
        <f aca="false">TableDE11b!O11</f>
        <v>0.764119861939128</v>
      </c>
      <c r="E12" s="493" t="n">
        <f aca="false">(DataDE1c!X35+DataDE1c!AC35)/DataDE1c!W35</f>
        <v>0.246862252902416</v>
      </c>
      <c r="F12" s="494" t="n">
        <f aca="false">E12/B12</f>
        <v>0.0392107507500172</v>
      </c>
      <c r="G12" s="493" t="n">
        <f aca="false">DataDE1c!AN35/TableDE1!B12</f>
        <v>0.0446863535213809</v>
      </c>
      <c r="H12" s="495" t="n">
        <f aca="false">G12</f>
        <v>0.0446863535213809</v>
      </c>
      <c r="I12" s="496"/>
      <c r="J12" s="496"/>
      <c r="K12" s="496"/>
      <c r="L12" s="497" t="n">
        <f aca="false">E12*(1-H12)</f>
        <v>0.235830878998134</v>
      </c>
      <c r="M12" s="498" t="n">
        <f aca="false">(1-H12)*F12</f>
        <v>0.0374585652801632</v>
      </c>
      <c r="N12" s="499"/>
      <c r="O12" s="500" t="n">
        <f aca="false">TableDE12c!C12</f>
        <v>0.16012616275959</v>
      </c>
      <c r="P12" s="501" t="n">
        <f aca="false">TableDE5a!O12</f>
        <v>0</v>
      </c>
      <c r="R12" s="502"/>
    </row>
    <row r="13" customFormat="false" ht="12" hidden="false" customHeight="true" outlineLevel="0" collapsed="false">
      <c r="A13" s="76" t="n">
        <v>1873</v>
      </c>
      <c r="B13" s="492" t="n">
        <f aca="false">TableDE1!N13</f>
        <v>6.3314291286276</v>
      </c>
      <c r="C13" s="493" t="n">
        <f aca="false">TableDE11b!N12</f>
        <v>0.222691179626583</v>
      </c>
      <c r="D13" s="493" t="n">
        <f aca="false">TableDE11b!O12</f>
        <v>0.777308820373417</v>
      </c>
      <c r="E13" s="493" t="n">
        <f aca="false">(DataDE1c!X36+DataDE1c!AC36)/DataDE1c!W36</f>
        <v>0.232849273910866</v>
      </c>
      <c r="F13" s="494" t="n">
        <f aca="false">E13/B13</f>
        <v>0.0367767322638165</v>
      </c>
      <c r="G13" s="493" t="n">
        <f aca="false">DataDE1c!AN36/TableDE1!B13</f>
        <v>0.048133704735376</v>
      </c>
      <c r="H13" s="495" t="n">
        <f aca="false">G13</f>
        <v>0.048133704735376</v>
      </c>
      <c r="I13" s="496"/>
      <c r="J13" s="496"/>
      <c r="K13" s="496"/>
      <c r="L13" s="497" t="n">
        <f aca="false">E13*(1-H13)</f>
        <v>0.221641375712594</v>
      </c>
      <c r="M13" s="498" t="n">
        <f aca="false">(1-H13)*F13</f>
        <v>0.035006531891898</v>
      </c>
      <c r="N13" s="499"/>
      <c r="O13" s="500" t="n">
        <f aca="false">TableDE12c!C13</f>
        <v>0.199672970001546</v>
      </c>
      <c r="P13" s="501" t="n">
        <f aca="false">TableDE5a!O13</f>
        <v>0</v>
      </c>
      <c r="R13" s="502"/>
    </row>
    <row r="14" customFormat="false" ht="12" hidden="false" customHeight="true" outlineLevel="0" collapsed="false">
      <c r="A14" s="76" t="n">
        <v>1874</v>
      </c>
      <c r="B14" s="492" t="n">
        <f aca="false">TableDE1!N14</f>
        <v>6.01261626677786</v>
      </c>
      <c r="C14" s="493" t="n">
        <f aca="false">TableDE11b!N13</f>
        <v>0.233251800516375</v>
      </c>
      <c r="D14" s="493" t="n">
        <f aca="false">TableDE11b!O13</f>
        <v>0.766748199483626</v>
      </c>
      <c r="E14" s="493" t="n">
        <f aca="false">(DataDE1c!X37+DataDE1c!AC37)/DataDE1c!W37</f>
        <v>0.242763962494904</v>
      </c>
      <c r="F14" s="494" t="n">
        <f aca="false">E14/B14</f>
        <v>0.0403757618520034</v>
      </c>
      <c r="G14" s="493" t="n">
        <f aca="false">DataDE1c!AN37/TableDE1!B14</f>
        <v>0.043389275480966</v>
      </c>
      <c r="H14" s="495" t="n">
        <f aca="false">G14</f>
        <v>0.043389275480966</v>
      </c>
      <c r="I14" s="496"/>
      <c r="J14" s="496"/>
      <c r="K14" s="496"/>
      <c r="L14" s="497" t="n">
        <f aca="false">E14*(1-H14)</f>
        <v>0.232230610049362</v>
      </c>
      <c r="M14" s="498" t="n">
        <f aca="false">(1-H14)*F14</f>
        <v>0.0386238867982529</v>
      </c>
      <c r="N14" s="499"/>
      <c r="O14" s="500" t="n">
        <f aca="false">TableDE12c!C14</f>
        <v>0.179270720545349</v>
      </c>
      <c r="P14" s="501" t="n">
        <f aca="false">TableDE5a!O14</f>
        <v>0</v>
      </c>
      <c r="R14" s="502"/>
    </row>
    <row r="15" customFormat="false" ht="12" hidden="false" customHeight="true" outlineLevel="0" collapsed="false">
      <c r="A15" s="76" t="n">
        <v>1875</v>
      </c>
      <c r="B15" s="492" t="n">
        <f aca="false">TableDE1!N15</f>
        <v>6.38557214085435</v>
      </c>
      <c r="C15" s="493" t="n">
        <f aca="false">TableDE11b!N14</f>
        <v>0.179570043557679</v>
      </c>
      <c r="D15" s="493" t="n">
        <f aca="false">TableDE11b!O14</f>
        <v>0.820429956442321</v>
      </c>
      <c r="E15" s="493" t="n">
        <f aca="false">(DataDE1c!X38+DataDE1c!AC38)/DataDE1c!W38</f>
        <v>0.190178445974427</v>
      </c>
      <c r="F15" s="494" t="n">
        <f aca="false">E15/B15</f>
        <v>0.0297825225022018</v>
      </c>
      <c r="G15" s="493" t="n">
        <f aca="false">DataDE1c!AN38/TableDE1!B15</f>
        <v>0.0464313123561013</v>
      </c>
      <c r="H15" s="495" t="n">
        <f aca="false">G15</f>
        <v>0.0464313123561013</v>
      </c>
      <c r="I15" s="496"/>
      <c r="J15" s="496"/>
      <c r="K15" s="496"/>
      <c r="L15" s="497" t="n">
        <f aca="false">E15*(1-H15)</f>
        <v>0.181348211145991</v>
      </c>
      <c r="M15" s="498" t="n">
        <f aca="false">(1-H15)*F15</f>
        <v>0.0283996808971494</v>
      </c>
      <c r="N15" s="499"/>
      <c r="O15" s="500" t="n">
        <f aca="false">TableDE12c!C15</f>
        <v>0.128583550858644</v>
      </c>
      <c r="P15" s="501" t="n">
        <f aca="false">TableDE5a!O15</f>
        <v>0</v>
      </c>
      <c r="R15" s="502"/>
    </row>
    <row r="16" customFormat="false" ht="12" hidden="false" customHeight="true" outlineLevel="0" collapsed="false">
      <c r="A16" s="76" t="n">
        <v>1876</v>
      </c>
      <c r="B16" s="492" t="n">
        <f aca="false">TableDE1!N16</f>
        <v>6.3737554293766</v>
      </c>
      <c r="C16" s="493" t="n">
        <f aca="false">TableDE11b!N15</f>
        <v>0.189817681458548</v>
      </c>
      <c r="D16" s="493" t="n">
        <f aca="false">TableDE11b!O15</f>
        <v>0.810182318541452</v>
      </c>
      <c r="E16" s="493" t="n">
        <f aca="false">(DataDE1c!X39+DataDE1c!AC39)/DataDE1c!W39</f>
        <v>0.200756793945648</v>
      </c>
      <c r="F16" s="494" t="n">
        <f aca="false">E16/B16</f>
        <v>0.031497410933021</v>
      </c>
      <c r="G16" s="493" t="n">
        <f aca="false">DataDE1c!AN39/TableDE1!B16</f>
        <v>0.048124162572577</v>
      </c>
      <c r="H16" s="495" t="n">
        <f aca="false">G16</f>
        <v>0.048124162572577</v>
      </c>
      <c r="I16" s="496"/>
      <c r="J16" s="496"/>
      <c r="K16" s="496"/>
      <c r="L16" s="497" t="n">
        <f aca="false">E16*(1-H16)</f>
        <v>0.191095541356259</v>
      </c>
      <c r="M16" s="498" t="n">
        <f aca="false">(1-H16)*F16</f>
        <v>0.029981624408665</v>
      </c>
      <c r="N16" s="499"/>
      <c r="O16" s="500" t="n">
        <f aca="false">TableDE12c!C16</f>
        <v>0.131182358279727</v>
      </c>
      <c r="P16" s="501" t="n">
        <f aca="false">TableDE5a!O16</f>
        <v>0</v>
      </c>
      <c r="R16" s="502"/>
    </row>
    <row r="17" customFormat="false" ht="12" hidden="false" customHeight="true" outlineLevel="0" collapsed="false">
      <c r="A17" s="76" t="n">
        <v>1877</v>
      </c>
      <c r="B17" s="492" t="n">
        <f aca="false">TableDE1!N17</f>
        <v>6.40825540946898</v>
      </c>
      <c r="C17" s="493" t="n">
        <f aca="false">TableDE11b!N16</f>
        <v>0.213235811238484</v>
      </c>
      <c r="D17" s="493" t="n">
        <f aca="false">TableDE11b!O16</f>
        <v>0.786764188761516</v>
      </c>
      <c r="E17" s="493" t="n">
        <f aca="false">(DataDE1c!X40+DataDE1c!AC40)/DataDE1c!W40</f>
        <v>0.225824600886138</v>
      </c>
      <c r="F17" s="494" t="n">
        <f aca="false">E17/B17</f>
        <v>0.0352396380070081</v>
      </c>
      <c r="G17" s="493" t="n">
        <f aca="false">DataDE1c!AN40/TableDE1!B17</f>
        <v>0.0501895026989778</v>
      </c>
      <c r="H17" s="495" t="n">
        <f aca="false">G17</f>
        <v>0.0501895026989778</v>
      </c>
      <c r="I17" s="496"/>
      <c r="J17" s="496"/>
      <c r="K17" s="496"/>
      <c r="L17" s="497" t="n">
        <f aca="false">E17*(1-H17)</f>
        <v>0.214490576470468</v>
      </c>
      <c r="M17" s="498" t="n">
        <f aca="false">(1-H17)*F17</f>
        <v>0.0334709781001444</v>
      </c>
      <c r="N17" s="499"/>
      <c r="O17" s="500" t="n">
        <f aca="false">TableDE12c!C17</f>
        <v>0.108681711462006</v>
      </c>
      <c r="P17" s="501" t="n">
        <f aca="false">TableDE5a!O17</f>
        <v>0</v>
      </c>
      <c r="R17" s="502"/>
    </row>
    <row r="18" customFormat="false" ht="12" hidden="false" customHeight="true" outlineLevel="0" collapsed="false">
      <c r="A18" s="76" t="n">
        <v>1878</v>
      </c>
      <c r="B18" s="492" t="n">
        <f aca="false">TableDE1!N18</f>
        <v>6.14869271330516</v>
      </c>
      <c r="C18" s="493" t="n">
        <f aca="false">TableDE11b!N17</f>
        <v>0.215938303341902</v>
      </c>
      <c r="D18" s="493" t="n">
        <f aca="false">TableDE11b!O17</f>
        <v>0.784061696658098</v>
      </c>
      <c r="E18" s="493" t="n">
        <f aca="false">(DataDE1c!X41+DataDE1c!AC41)/DataDE1c!W41</f>
        <v>0.229220222793488</v>
      </c>
      <c r="F18" s="494" t="n">
        <f aca="false">E18/B18</f>
        <v>0.0372795053324876</v>
      </c>
      <c r="G18" s="493" t="n">
        <f aca="false">DataDE1c!AN41/TableDE1!B18</f>
        <v>0.0504084144567528</v>
      </c>
      <c r="H18" s="495" t="n">
        <f aca="false">G18</f>
        <v>0.0504084144567528</v>
      </c>
      <c r="I18" s="496"/>
      <c r="J18" s="496"/>
      <c r="K18" s="496"/>
      <c r="L18" s="497" t="n">
        <f aca="false">E18*(1-H18)</f>
        <v>0.217665594801044</v>
      </c>
      <c r="M18" s="498" t="n">
        <f aca="false">(1-H18)*F18</f>
        <v>0.0354003045769449</v>
      </c>
      <c r="N18" s="499"/>
      <c r="O18" s="500" t="n">
        <f aca="false">TableDE12c!C18</f>
        <v>0.131345140745512</v>
      </c>
      <c r="P18" s="501" t="n">
        <f aca="false">TableDE5a!O18</f>
        <v>0</v>
      </c>
      <c r="R18" s="502"/>
    </row>
    <row r="19" customFormat="false" ht="12" hidden="false" customHeight="true" outlineLevel="0" collapsed="false">
      <c r="A19" s="94" t="n">
        <v>1879</v>
      </c>
      <c r="B19" s="503" t="n">
        <f aca="false">TableDE1!N19</f>
        <v>6.49960650209336</v>
      </c>
      <c r="C19" s="504" t="n">
        <f aca="false">TableDE11b!N18</f>
        <v>0.211406954750473</v>
      </c>
      <c r="D19" s="504" t="n">
        <f aca="false">TableDE11b!O18</f>
        <v>0.788593045249527</v>
      </c>
      <c r="E19" s="504" t="n">
        <f aca="false">(DataDE1c!X42+DataDE1c!AC42)/DataDE1c!W42</f>
        <v>0.225956641932198</v>
      </c>
      <c r="F19" s="505" t="n">
        <f aca="false">E19/B19</f>
        <v>0.0347646648853932</v>
      </c>
      <c r="G19" s="504" t="n">
        <f aca="false">DataDE1c!AN42/TableDE1!B19</f>
        <v>0.0583403285765679</v>
      </c>
      <c r="H19" s="506" t="n">
        <f aca="false">G19</f>
        <v>0.0583403285765679</v>
      </c>
      <c r="I19" s="507"/>
      <c r="J19" s="507"/>
      <c r="K19" s="507"/>
      <c r="L19" s="508" t="n">
        <f aca="false">E19*(1-H19)</f>
        <v>0.212774257197816</v>
      </c>
      <c r="M19" s="509" t="n">
        <f aca="false">(1-H19)*F19</f>
        <v>0.0327364829131251</v>
      </c>
      <c r="N19" s="510"/>
      <c r="O19" s="511" t="n">
        <f aca="false">TableDE12c!C19</f>
        <v>0.0924941015711085</v>
      </c>
      <c r="P19" s="512" t="n">
        <f aca="false">TableDE5a!O19</f>
        <v>0</v>
      </c>
      <c r="R19" s="502"/>
    </row>
    <row r="20" customFormat="false" ht="12" hidden="false" customHeight="true" outlineLevel="0" collapsed="false">
      <c r="A20" s="76" t="n">
        <v>1880</v>
      </c>
      <c r="B20" s="492" t="n">
        <f aca="false">TableDE1!N20</f>
        <v>6.45979339331592</v>
      </c>
      <c r="C20" s="493" t="n">
        <f aca="false">TableDE11b!N19</f>
        <v>0.239625909248355</v>
      </c>
      <c r="D20" s="493" t="n">
        <f aca="false">TableDE11b!O19</f>
        <v>0.760374090751645</v>
      </c>
      <c r="E20" s="493" t="n">
        <f aca="false">(DataDE1c!X43+DataDE1c!AC43)/DataDE1c!W43</f>
        <v>0.254935919639765</v>
      </c>
      <c r="F20" s="494" t="n">
        <f aca="false">E20/B20</f>
        <v>0.0394650268387147</v>
      </c>
      <c r="G20" s="493" t="n">
        <f aca="false">DataDE1c!AN43/TableDE1!B20</f>
        <v>0.0597729691379922</v>
      </c>
      <c r="H20" s="495" t="n">
        <f aca="false">G20</f>
        <v>0.0597729691379922</v>
      </c>
      <c r="I20" s="496"/>
      <c r="J20" s="496"/>
      <c r="K20" s="496"/>
      <c r="L20" s="497" t="n">
        <f aca="false">E20*(1-H20)</f>
        <v>0.239697642782971</v>
      </c>
      <c r="M20" s="498" t="n">
        <f aca="false">(1-H20)*F20</f>
        <v>0.0371060850074541</v>
      </c>
      <c r="N20" s="499"/>
      <c r="O20" s="500" t="n">
        <f aca="false">TableDE12c!C20</f>
        <v>0.104037734124173</v>
      </c>
      <c r="P20" s="501" t="n">
        <f aca="false">TableDE5a!O20</f>
        <v>0</v>
      </c>
      <c r="R20" s="502"/>
    </row>
    <row r="21" customFormat="false" ht="12" hidden="false" customHeight="true" outlineLevel="0" collapsed="false">
      <c r="A21" s="76" t="n">
        <v>1881</v>
      </c>
      <c r="B21" s="492" t="n">
        <f aca="false">TableDE1!N21</f>
        <v>6.41567616515221</v>
      </c>
      <c r="C21" s="493" t="n">
        <f aca="false">TableDE11b!N20</f>
        <v>0.234607508532423</v>
      </c>
      <c r="D21" s="493" t="n">
        <f aca="false">TableDE11b!O20</f>
        <v>0.765392491467577</v>
      </c>
      <c r="E21" s="493" t="n">
        <f aca="false">(DataDE1c!X44+DataDE1c!AC44)/DataDE1c!W44</f>
        <v>0.250921501706485</v>
      </c>
      <c r="F21" s="494" t="n">
        <f aca="false">E21/B21</f>
        <v>0.0391106868936755</v>
      </c>
      <c r="G21" s="493" t="n">
        <f aca="false">DataDE1c!AN44/TableDE1!B21</f>
        <v>0.0619530170428374</v>
      </c>
      <c r="H21" s="495" t="n">
        <f aca="false">G21</f>
        <v>0.0619530170428374</v>
      </c>
      <c r="I21" s="496"/>
      <c r="J21" s="496"/>
      <c r="K21" s="496"/>
      <c r="L21" s="497" t="n">
        <f aca="false">E21*(1-H21)</f>
        <v>0.235376157634848</v>
      </c>
      <c r="M21" s="498" t="n">
        <f aca="false">(1-H21)*F21</f>
        <v>0.0366876618419945</v>
      </c>
      <c r="N21" s="499"/>
      <c r="O21" s="500" t="n">
        <f aca="false">TableDE12c!C21</f>
        <v>0.1193894518655</v>
      </c>
      <c r="P21" s="501" t="n">
        <f aca="false">TableDE5a!O21</f>
        <v>0</v>
      </c>
      <c r="R21" s="502"/>
    </row>
    <row r="22" customFormat="false" ht="12" hidden="false" customHeight="true" outlineLevel="0" collapsed="false">
      <c r="A22" s="76" t="n">
        <v>1882</v>
      </c>
      <c r="B22" s="492" t="n">
        <f aca="false">TableDE1!N22</f>
        <v>6.4956121267504</v>
      </c>
      <c r="C22" s="493" t="n">
        <f aca="false">TableDE11b!N21</f>
        <v>0.227036160865157</v>
      </c>
      <c r="D22" s="493" t="n">
        <f aca="false">TableDE11b!O21</f>
        <v>0.772963839134843</v>
      </c>
      <c r="E22" s="493" t="n">
        <f aca="false">(DataDE1c!X45+DataDE1c!AC45)/DataDE1c!W45</f>
        <v>0.244204123014532</v>
      </c>
      <c r="F22" s="494" t="n">
        <f aca="false">E22/B22</f>
        <v>0.0375952440277098</v>
      </c>
      <c r="G22" s="493" t="n">
        <f aca="false">DataDE1c!AN45/TableDE1!B22</f>
        <v>0.06316751385002</v>
      </c>
      <c r="H22" s="495" t="n">
        <f aca="false">G22</f>
        <v>0.06316751385002</v>
      </c>
      <c r="I22" s="496"/>
      <c r="J22" s="496"/>
      <c r="K22" s="496"/>
      <c r="L22" s="497" t="n">
        <f aca="false">E22*(1-H22)</f>
        <v>0.22877835569178</v>
      </c>
      <c r="M22" s="498" t="n">
        <f aca="false">(1-H22)*F22</f>
        <v>0.0352204459298945</v>
      </c>
      <c r="N22" s="499"/>
      <c r="O22" s="500" t="n">
        <f aca="false">TableDE12c!C22</f>
        <v>0.114777885658804</v>
      </c>
      <c r="P22" s="501" t="n">
        <f aca="false">TableDE5a!O22</f>
        <v>0</v>
      </c>
      <c r="R22" s="502"/>
    </row>
    <row r="23" customFormat="false" ht="12" hidden="false" customHeight="true" outlineLevel="0" collapsed="false">
      <c r="A23" s="76" t="n">
        <v>1883</v>
      </c>
      <c r="B23" s="492" t="n">
        <f aca="false">TableDE1!N23</f>
        <v>6.40803833582627</v>
      </c>
      <c r="C23" s="493" t="n">
        <f aca="false">TableDE11b!N22</f>
        <v>0.243989141675284</v>
      </c>
      <c r="D23" s="493" t="n">
        <f aca="false">TableDE11b!O22</f>
        <v>0.756010858324716</v>
      </c>
      <c r="E23" s="493" t="n">
        <f aca="false">(DataDE1c!X46+DataDE1c!AC46)/DataDE1c!W46</f>
        <v>0.261957083764219</v>
      </c>
      <c r="F23" s="494" t="n">
        <f aca="false">E23/B23</f>
        <v>0.0408794501586642</v>
      </c>
      <c r="G23" s="493" t="n">
        <f aca="false">DataDE1c!AN46/TableDE1!B23</f>
        <v>0.0606614591989363</v>
      </c>
      <c r="H23" s="495" t="n">
        <f aca="false">G23</f>
        <v>0.0606614591989363</v>
      </c>
      <c r="I23" s="496"/>
      <c r="J23" s="496"/>
      <c r="K23" s="496"/>
      <c r="L23" s="497" t="n">
        <f aca="false">E23*(1-H23)</f>
        <v>0.246066384815584</v>
      </c>
      <c r="M23" s="498" t="n">
        <f aca="false">(1-H23)*F23</f>
        <v>0.0383996430607894</v>
      </c>
      <c r="N23" s="499"/>
      <c r="O23" s="500" t="n">
        <f aca="false">TableDE12c!C23</f>
        <v>0.122589330231012</v>
      </c>
      <c r="P23" s="501" t="n">
        <f aca="false">TableDE5a!O23</f>
        <v>0</v>
      </c>
      <c r="R23" s="502"/>
    </row>
    <row r="24" customFormat="false" ht="12" hidden="false" customHeight="true" outlineLevel="0" collapsed="false">
      <c r="A24" s="76" t="n">
        <v>1884</v>
      </c>
      <c r="B24" s="492" t="n">
        <f aca="false">TableDE1!N24</f>
        <v>6.28028631397664</v>
      </c>
      <c r="C24" s="493" t="n">
        <f aca="false">TableDE11b!N23</f>
        <v>0.246355685131195</v>
      </c>
      <c r="D24" s="493" t="n">
        <f aca="false">TableDE11b!O23</f>
        <v>0.753644314868805</v>
      </c>
      <c r="E24" s="493" t="n">
        <f aca="false">(DataDE1c!X47+DataDE1c!AC47)/DataDE1c!W47</f>
        <v>0.266066675117252</v>
      </c>
      <c r="F24" s="494" t="n">
        <f aca="false">E24/B24</f>
        <v>0.0423653734583925</v>
      </c>
      <c r="G24" s="493" t="n">
        <f aca="false">DataDE1c!AN47/TableDE1!B24</f>
        <v>0.0608148108282654</v>
      </c>
      <c r="H24" s="495" t="n">
        <f aca="false">G24</f>
        <v>0.0608148108282654</v>
      </c>
      <c r="I24" s="496"/>
      <c r="J24" s="496"/>
      <c r="K24" s="496"/>
      <c r="L24" s="497" t="n">
        <f aca="false">E24*(1-H24)</f>
        <v>0.249885880602291</v>
      </c>
      <c r="M24" s="498" t="n">
        <f aca="false">(1-H24)*F24</f>
        <v>0.0397889312858516</v>
      </c>
      <c r="N24" s="499"/>
      <c r="O24" s="500" t="n">
        <f aca="false">TableDE12c!C24</f>
        <v>0.145167536731069</v>
      </c>
      <c r="P24" s="501" t="n">
        <f aca="false">TableDE5a!O24</f>
        <v>0</v>
      </c>
      <c r="R24" s="502"/>
    </row>
    <row r="25" customFormat="false" ht="12" hidden="false" customHeight="true" outlineLevel="0" collapsed="false">
      <c r="A25" s="76" t="n">
        <v>1885</v>
      </c>
      <c r="B25" s="492" t="n">
        <f aca="false">TableDE1!N25</f>
        <v>6.38547560585033</v>
      </c>
      <c r="C25" s="493" t="n">
        <f aca="false">TableDE11b!N24</f>
        <v>0.23932697137117</v>
      </c>
      <c r="D25" s="493" t="n">
        <f aca="false">TableDE11b!O24</f>
        <v>0.76067302862883</v>
      </c>
      <c r="E25" s="493" t="n">
        <f aca="false">(DataDE1c!X48+DataDE1c!AC48)/DataDE1c!W48</f>
        <v>0.260484681064792</v>
      </c>
      <c r="F25" s="494" t="n">
        <f aca="false">E25/B25</f>
        <v>0.0407933092448333</v>
      </c>
      <c r="G25" s="493" t="n">
        <f aca="false">DataDE1c!AN48/TableDE1!B25</f>
        <v>0.0609053058610014</v>
      </c>
      <c r="H25" s="495" t="n">
        <f aca="false">G25</f>
        <v>0.0609053058610014</v>
      </c>
      <c r="I25" s="496"/>
      <c r="J25" s="496"/>
      <c r="K25" s="496"/>
      <c r="L25" s="497" t="n">
        <f aca="false">E25*(1-H25)</f>
        <v>0.244619781892435</v>
      </c>
      <c r="M25" s="498" t="n">
        <f aca="false">(1-H25)*F25</f>
        <v>0.0383087802681943</v>
      </c>
      <c r="N25" s="499"/>
      <c r="O25" s="500" t="n">
        <f aca="false">TableDE12c!C25</f>
        <v>0.144136329667983</v>
      </c>
      <c r="P25" s="501" t="n">
        <f aca="false">TableDE5a!O25</f>
        <v>0</v>
      </c>
      <c r="R25" s="502"/>
    </row>
    <row r="26" customFormat="false" ht="12" hidden="false" customHeight="true" outlineLevel="0" collapsed="false">
      <c r="A26" s="76" t="n">
        <v>1886</v>
      </c>
      <c r="B26" s="492" t="n">
        <f aca="false">TableDE1!N26</f>
        <v>6.51861730220767</v>
      </c>
      <c r="C26" s="493" t="n">
        <f aca="false">TableDE11b!N25</f>
        <v>0.232446710485902</v>
      </c>
      <c r="D26" s="493" t="n">
        <f aca="false">TableDE11b!O25</f>
        <v>0.767553289514098</v>
      </c>
      <c r="E26" s="493" t="n">
        <f aca="false">(DataDE1c!X49+DataDE1c!AC49)/DataDE1c!W49</f>
        <v>0.253393943116899</v>
      </c>
      <c r="F26" s="494" t="n">
        <f aca="false">E26/B26</f>
        <v>0.0388723453716299</v>
      </c>
      <c r="G26" s="493" t="n">
        <f aca="false">DataDE1c!AN49/TableDE1!B26</f>
        <v>0.0679729586986374</v>
      </c>
      <c r="H26" s="495" t="n">
        <f aca="false">G26</f>
        <v>0.0679729586986374</v>
      </c>
      <c r="I26" s="496"/>
      <c r="J26" s="496"/>
      <c r="K26" s="496"/>
      <c r="L26" s="497" t="n">
        <f aca="false">E26*(1-H26)</f>
        <v>0.236170007086929</v>
      </c>
      <c r="M26" s="498" t="n">
        <f aca="false">(1-H26)*F26</f>
        <v>0.036230077045165</v>
      </c>
      <c r="N26" s="499"/>
      <c r="O26" s="500" t="n">
        <f aca="false">TableDE12c!C26</f>
        <v>0.143557621210521</v>
      </c>
      <c r="P26" s="501" t="n">
        <f aca="false">TableDE5a!O26</f>
        <v>0</v>
      </c>
      <c r="R26" s="502"/>
    </row>
    <row r="27" customFormat="false" ht="12" hidden="false" customHeight="true" outlineLevel="0" collapsed="false">
      <c r="A27" s="76" t="n">
        <v>1887</v>
      </c>
      <c r="B27" s="492" t="n">
        <f aca="false">TableDE1!N27</f>
        <v>6.64824238018589</v>
      </c>
      <c r="C27" s="493" t="n">
        <f aca="false">TableDE11b!N26</f>
        <v>0.247316219369895</v>
      </c>
      <c r="D27" s="493" t="n">
        <f aca="false">TableDE11b!O26</f>
        <v>0.752683780630105</v>
      </c>
      <c r="E27" s="493" t="n">
        <f aca="false">(DataDE1c!X50+DataDE1c!AC50)/DataDE1c!W50</f>
        <v>0.268319719953326</v>
      </c>
      <c r="F27" s="494" t="n">
        <f aca="false">E27/B27</f>
        <v>0.0403594972338874</v>
      </c>
      <c r="G27" s="493" t="n">
        <f aca="false">DataDE1c!AN50/TableDE1!B27</f>
        <v>0.065164338750714</v>
      </c>
      <c r="H27" s="495" t="n">
        <f aca="false">G27</f>
        <v>0.065164338750714</v>
      </c>
      <c r="I27" s="496"/>
      <c r="J27" s="496"/>
      <c r="K27" s="496"/>
      <c r="L27" s="497" t="n">
        <f aca="false">E27*(1-H27)</f>
        <v>0.25083484282879</v>
      </c>
      <c r="M27" s="498" t="n">
        <f aca="false">(1-H27)*F27</f>
        <v>0.0377294972843299</v>
      </c>
      <c r="N27" s="499"/>
      <c r="O27" s="500" t="n">
        <f aca="false">TableDE12c!C27</f>
        <v>0.155068175917753</v>
      </c>
      <c r="P27" s="501" t="n">
        <f aca="false">TableDE5a!O27</f>
        <v>0</v>
      </c>
      <c r="R27" s="502"/>
    </row>
    <row r="28" customFormat="false" ht="12" hidden="false" customHeight="true" outlineLevel="0" collapsed="false">
      <c r="A28" s="76" t="n">
        <v>1888</v>
      </c>
      <c r="B28" s="492" t="n">
        <f aca="false">TableDE1!N28</f>
        <v>6.48403381642512</v>
      </c>
      <c r="C28" s="493" t="n">
        <f aca="false">TableDE11b!N27</f>
        <v>0.251842003213118</v>
      </c>
      <c r="D28" s="493" t="n">
        <f aca="false">TableDE11b!O27</f>
        <v>0.748157996786882</v>
      </c>
      <c r="E28" s="493" t="n">
        <f aca="false">(DataDE1c!X51+DataDE1c!AC51)/DataDE1c!W51</f>
        <v>0.272671874134397</v>
      </c>
      <c r="F28" s="494" t="n">
        <f aca="false">E28/B28</f>
        <v>0.0420528149380829</v>
      </c>
      <c r="G28" s="493" t="n">
        <f aca="false">DataDE1c!AN51/TableDE1!B28</f>
        <v>0.0671014492753623</v>
      </c>
      <c r="H28" s="495" t="n">
        <f aca="false">G28</f>
        <v>0.0671014492753623</v>
      </c>
      <c r="I28" s="496"/>
      <c r="J28" s="496"/>
      <c r="K28" s="496"/>
      <c r="L28" s="497" t="n">
        <f aca="false">E28*(1-H28)</f>
        <v>0.25437519620335</v>
      </c>
      <c r="M28" s="498" t="n">
        <f aca="false">(1-H28)*F28</f>
        <v>0.0392310101096289</v>
      </c>
      <c r="N28" s="499"/>
      <c r="O28" s="500" t="n">
        <f aca="false">TableDE12c!C28</f>
        <v>0.160028985507246</v>
      </c>
      <c r="P28" s="501" t="n">
        <f aca="false">TableDE5a!O28</f>
        <v>0</v>
      </c>
      <c r="R28" s="502"/>
    </row>
    <row r="29" customFormat="false" ht="12" hidden="false" customHeight="true" outlineLevel="0" collapsed="false">
      <c r="A29" s="94" t="n">
        <v>1889</v>
      </c>
      <c r="B29" s="503" t="n">
        <f aca="false">TableDE1!N29</f>
        <v>6.33770174886481</v>
      </c>
      <c r="C29" s="504" t="n">
        <f aca="false">TableDE11b!N28</f>
        <v>0.258899676375405</v>
      </c>
      <c r="D29" s="504" t="n">
        <f aca="false">TableDE11b!O28</f>
        <v>0.741100323624595</v>
      </c>
      <c r="E29" s="504" t="n">
        <f aca="false">(DataDE1c!X52+DataDE1c!AC52)/DataDE1c!W52</f>
        <v>0.278891324772941</v>
      </c>
      <c r="F29" s="505" t="n">
        <f aca="false">E29/B29</f>
        <v>0.0440051198090688</v>
      </c>
      <c r="G29" s="504" t="n">
        <f aca="false">DataDE1c!AN52/TableDE1!B29</f>
        <v>0.0705390459919975</v>
      </c>
      <c r="H29" s="506" t="n">
        <f aca="false">G29</f>
        <v>0.0705390459919975</v>
      </c>
      <c r="I29" s="507"/>
      <c r="J29" s="507"/>
      <c r="K29" s="507"/>
      <c r="L29" s="508" t="n">
        <f aca="false">E29*(1-H29)</f>
        <v>0.259218596788013</v>
      </c>
      <c r="M29" s="509" t="n">
        <f aca="false">(1-H29)*F29</f>
        <v>0.0409010406389735</v>
      </c>
      <c r="N29" s="510"/>
      <c r="O29" s="511" t="n">
        <f aca="false">TableDE12c!C29</f>
        <v>0.1690190172189</v>
      </c>
      <c r="P29" s="512" t="n">
        <f aca="false">TableDE5a!O29</f>
        <v>0</v>
      </c>
      <c r="R29" s="502"/>
    </row>
    <row r="30" customFormat="false" ht="12" hidden="false" customHeight="true" outlineLevel="0" collapsed="false">
      <c r="A30" s="76" t="n">
        <v>1890</v>
      </c>
      <c r="B30" s="492" t="n">
        <f aca="false">TableDE1!N30</f>
        <v>6.22249492213947</v>
      </c>
      <c r="C30" s="493" t="n">
        <f aca="false">TableDE11b!N29</f>
        <v>0.283389995143273</v>
      </c>
      <c r="D30" s="493" t="n">
        <f aca="false">TableDE11b!O29</f>
        <v>0.716610004856727</v>
      </c>
      <c r="E30" s="493" t="n">
        <f aca="false">(DataDE1c!X53+DataDE1c!AC53)/DataDE1c!W53</f>
        <v>0.303933948518698</v>
      </c>
      <c r="F30" s="494" t="n">
        <f aca="false">E30/B30</f>
        <v>0.0488443867486833</v>
      </c>
      <c r="G30" s="493" t="n">
        <f aca="false">DataDE1c!AN53/TableDE1!B30</f>
        <v>0.0683818551117129</v>
      </c>
      <c r="H30" s="495" t="n">
        <f aca="false">G30</f>
        <v>0.0683818551117129</v>
      </c>
      <c r="I30" s="496"/>
      <c r="J30" s="496"/>
      <c r="K30" s="496"/>
      <c r="L30" s="497" t="n">
        <f aca="false">E30*(1-H30)</f>
        <v>0.283150381287562</v>
      </c>
      <c r="M30" s="498" t="n">
        <f aca="false">(1-H30)*F30</f>
        <v>0.0455043169710144</v>
      </c>
      <c r="N30" s="499"/>
      <c r="O30" s="500" t="n">
        <f aca="false">TableDE12c!C30</f>
        <v>0.162305137102234</v>
      </c>
      <c r="P30" s="501" t="n">
        <f aca="false">TableDE5a!O30</f>
        <v>0</v>
      </c>
      <c r="R30" s="502"/>
    </row>
    <row r="31" customFormat="false" ht="12" hidden="false" customHeight="true" outlineLevel="0" collapsed="false">
      <c r="A31" s="76" t="n">
        <v>1891</v>
      </c>
      <c r="B31" s="492" t="n">
        <f aca="false">TableDE1!N31</f>
        <v>6.54865871502682</v>
      </c>
      <c r="C31" s="493" t="n">
        <f aca="false">TableDE11b!N30</f>
        <v>0.260136785539814</v>
      </c>
      <c r="D31" s="493" t="n">
        <f aca="false">TableDE11b!O30</f>
        <v>0.739863214460186</v>
      </c>
      <c r="E31" s="493" t="n">
        <f aca="false">(DataDE1c!X54+DataDE1c!AC54)/DataDE1c!W54</f>
        <v>0.282510991695164</v>
      </c>
      <c r="F31" s="494" t="n">
        <f aca="false">E31/B31</f>
        <v>0.0431402832227159</v>
      </c>
      <c r="G31" s="493" t="n">
        <f aca="false">DataDE1c!AN54/TableDE1!B31</f>
        <v>0.073604398527912</v>
      </c>
      <c r="H31" s="495" t="n">
        <f aca="false">G31</f>
        <v>0.073604398527912</v>
      </c>
      <c r="I31" s="496"/>
      <c r="J31" s="496"/>
      <c r="K31" s="496"/>
      <c r="L31" s="497" t="n">
        <f aca="false">E31*(1-H31)</f>
        <v>0.261716940073917</v>
      </c>
      <c r="M31" s="498" t="n">
        <f aca="false">(1-H31)*F31</f>
        <v>0.0399649686237841</v>
      </c>
      <c r="N31" s="499"/>
      <c r="O31" s="500" t="n">
        <f aca="false">TableDE12c!C31</f>
        <v>0.11243750277125</v>
      </c>
      <c r="P31" s="501" t="n">
        <f aca="false">TableDE5a!O31</f>
        <v>0</v>
      </c>
      <c r="R31" s="502"/>
    </row>
    <row r="32" customFormat="false" ht="12" hidden="false" customHeight="true" outlineLevel="0" collapsed="false">
      <c r="A32" s="76" t="n">
        <v>1892</v>
      </c>
      <c r="B32" s="492" t="n">
        <f aca="false">TableDE1!N32</f>
        <v>6.0335495675316</v>
      </c>
      <c r="C32" s="493" t="n">
        <f aca="false">TableDE11b!N31</f>
        <v>0.272822316209666</v>
      </c>
      <c r="D32" s="493" t="n">
        <f aca="false">TableDE11b!O31</f>
        <v>0.727177683790334</v>
      </c>
      <c r="E32" s="493" t="n">
        <f aca="false">(DataDE1c!X55+DataDE1c!AC55)/DataDE1c!W55</f>
        <v>0.295205056313263</v>
      </c>
      <c r="F32" s="494" t="n">
        <f aca="false">E32/B32</f>
        <v>0.0489272613093051</v>
      </c>
      <c r="G32" s="493" t="n">
        <f aca="false">DataDE1c!AN55/TableDE1!B32</f>
        <v>0.0676979374584165</v>
      </c>
      <c r="H32" s="495" t="n">
        <f aca="false">G32</f>
        <v>0.0676979374584165</v>
      </c>
      <c r="I32" s="496"/>
      <c r="J32" s="496"/>
      <c r="K32" s="496"/>
      <c r="L32" s="497" t="n">
        <f aca="false">E32*(1-H32)</f>
        <v>0.27522028287356</v>
      </c>
      <c r="M32" s="498" t="n">
        <f aca="false">(1-H32)*F32</f>
        <v>0.0456149866331761</v>
      </c>
      <c r="N32" s="499"/>
      <c r="O32" s="500" t="n">
        <f aca="false">TableDE12c!C32</f>
        <v>0.134455297737858</v>
      </c>
      <c r="P32" s="501" t="n">
        <f aca="false">TableDE5a!O32</f>
        <v>0</v>
      </c>
      <c r="R32" s="502"/>
    </row>
    <row r="33" customFormat="false" ht="12" hidden="false" customHeight="true" outlineLevel="0" collapsed="false">
      <c r="A33" s="76" t="n">
        <v>1893</v>
      </c>
      <c r="B33" s="492" t="n">
        <f aca="false">TableDE1!N33</f>
        <v>5.91598323609171</v>
      </c>
      <c r="C33" s="493" t="n">
        <f aca="false">TableDE11b!N32</f>
        <v>0.269201664774877</v>
      </c>
      <c r="D33" s="493" t="n">
        <f aca="false">TableDE11b!O32</f>
        <v>0.730798335225123</v>
      </c>
      <c r="E33" s="493" t="n">
        <f aca="false">(DataDE1c!X56+DataDE1c!AC56)/DataDE1c!W56</f>
        <v>0.292565266742338</v>
      </c>
      <c r="F33" s="494" t="n">
        <f aca="false">E33/B33</f>
        <v>0.0494533630449596</v>
      </c>
      <c r="G33" s="493" t="n">
        <f aca="false">DataDE1c!AN56/TableDE1!B33</f>
        <v>0.0684937135343907</v>
      </c>
      <c r="H33" s="495" t="n">
        <f aca="false">G33</f>
        <v>0.0684937135343907</v>
      </c>
      <c r="I33" s="496"/>
      <c r="J33" s="496"/>
      <c r="K33" s="496"/>
      <c r="L33" s="497" t="n">
        <f aca="false">E33*(1-H33)</f>
        <v>0.272526385171976</v>
      </c>
      <c r="M33" s="498" t="n">
        <f aca="false">(1-H33)*F33</f>
        <v>0.0460661185632459</v>
      </c>
      <c r="N33" s="499"/>
      <c r="O33" s="500" t="n">
        <f aca="false">TableDE12c!C33</f>
        <v>0.134063522064262</v>
      </c>
      <c r="P33" s="501" t="n">
        <f aca="false">TableDE5a!O33</f>
        <v>0</v>
      </c>
      <c r="R33" s="502"/>
    </row>
    <row r="34" customFormat="false" ht="12" hidden="false" customHeight="true" outlineLevel="0" collapsed="false">
      <c r="A34" s="76" t="n">
        <v>1894</v>
      </c>
      <c r="B34" s="492" t="n">
        <f aca="false">TableDE1!N34</f>
        <v>5.9968304015931</v>
      </c>
      <c r="C34" s="493" t="n">
        <f aca="false">TableDE11b!N33</f>
        <v>0.259567075174907</v>
      </c>
      <c r="D34" s="493" t="n">
        <f aca="false">TableDE11b!O33</f>
        <v>0.740432924825093</v>
      </c>
      <c r="E34" s="493" t="n">
        <f aca="false">(DataDE1c!X57+DataDE1c!AC57)/DataDE1c!W57</f>
        <v>0.283420200028173</v>
      </c>
      <c r="F34" s="494" t="n">
        <f aca="false">E34/B34</f>
        <v>0.0472616667553047</v>
      </c>
      <c r="G34" s="493" t="n">
        <f aca="false">DataDE1c!AN57/TableDE1!B34</f>
        <v>0.0733488217723199</v>
      </c>
      <c r="H34" s="495" t="n">
        <f aca="false">G34</f>
        <v>0.0733488217723199</v>
      </c>
      <c r="I34" s="496"/>
      <c r="J34" s="496"/>
      <c r="K34" s="496"/>
      <c r="L34" s="497" t="n">
        <f aca="false">E34*(1-H34)</f>
        <v>0.262631662289631</v>
      </c>
      <c r="M34" s="498" t="n">
        <f aca="false">(1-H34)*F34</f>
        <v>0.0437950791838071</v>
      </c>
      <c r="N34" s="499"/>
      <c r="O34" s="500" t="n">
        <f aca="false">TableDE12c!C34</f>
        <v>0.124335628941255</v>
      </c>
      <c r="P34" s="501" t="n">
        <f aca="false">TableDE5a!O34</f>
        <v>0</v>
      </c>
      <c r="R34" s="502"/>
    </row>
    <row r="35" customFormat="false" ht="12" hidden="false" customHeight="true" outlineLevel="0" collapsed="false">
      <c r="A35" s="76" t="n">
        <v>1895</v>
      </c>
      <c r="B35" s="492" t="n">
        <f aca="false">TableDE1!N35</f>
        <v>5.82088369328314</v>
      </c>
      <c r="C35" s="493" t="n">
        <f aca="false">TableDE11b!N34</f>
        <v>0.256656261476313</v>
      </c>
      <c r="D35" s="493" t="n">
        <f aca="false">TableDE11b!O34</f>
        <v>0.743343738523687</v>
      </c>
      <c r="E35" s="493" t="n">
        <f aca="false">(DataDE1c!X58+DataDE1c!AC58)/DataDE1c!W58</f>
        <v>0.280526992287918</v>
      </c>
      <c r="F35" s="494" t="n">
        <f aca="false">E35/B35</f>
        <v>0.0481931966123331</v>
      </c>
      <c r="G35" s="493" t="n">
        <f aca="false">DataDE1c!AN58/TableDE1!B35</f>
        <v>0.0709332276599961</v>
      </c>
      <c r="H35" s="495" t="n">
        <f aca="false">G35</f>
        <v>0.0709332276599961</v>
      </c>
      <c r="I35" s="496"/>
      <c r="J35" s="496"/>
      <c r="K35" s="496"/>
      <c r="L35" s="497" t="n">
        <f aca="false">E35*(1-H35)</f>
        <v>0.260628307279185</v>
      </c>
      <c r="M35" s="498" t="n">
        <f aca="false">(1-H35)*F35</f>
        <v>0.0447746976253675</v>
      </c>
      <c r="N35" s="499"/>
      <c r="O35" s="500" t="n">
        <f aca="false">TableDE12c!C35</f>
        <v>0.119344164850406</v>
      </c>
      <c r="P35" s="501" t="n">
        <f aca="false">TableDE5a!O35</f>
        <v>0</v>
      </c>
      <c r="R35" s="502"/>
    </row>
    <row r="36" customFormat="false" ht="12" hidden="false" customHeight="true" outlineLevel="0" collapsed="false">
      <c r="A36" s="76" t="n">
        <v>1896</v>
      </c>
      <c r="B36" s="492" t="n">
        <f aca="false">TableDE1!N36</f>
        <v>5.66284823978929</v>
      </c>
      <c r="C36" s="493" t="n">
        <f aca="false">TableDE11b!N35</f>
        <v>0.262511967969362</v>
      </c>
      <c r="D36" s="493" t="n">
        <f aca="false">TableDE11b!O35</f>
        <v>0.737488032030638</v>
      </c>
      <c r="E36" s="493" t="n">
        <f aca="false">(DataDE1c!X59+DataDE1c!AC59)/DataDE1c!W59</f>
        <v>0.285577508921577</v>
      </c>
      <c r="F36" s="494" t="n">
        <f aca="false">E36/B36</f>
        <v>0.0504300127478258</v>
      </c>
      <c r="G36" s="493" t="n">
        <f aca="false">DataDE1c!AN59/TableDE1!B36</f>
        <v>0.0714100233705531</v>
      </c>
      <c r="H36" s="495" t="n">
        <f aca="false">G36</f>
        <v>0.0714100233705531</v>
      </c>
      <c r="I36" s="496"/>
      <c r="J36" s="496"/>
      <c r="K36" s="496"/>
      <c r="L36" s="497" t="n">
        <f aca="false">E36*(1-H36)</f>
        <v>0.265184412335383</v>
      </c>
      <c r="M36" s="498" t="n">
        <f aca="false">(1-H36)*F36</f>
        <v>0.0468288043589263</v>
      </c>
      <c r="N36" s="499"/>
      <c r="O36" s="500" t="n">
        <f aca="false">TableDE12c!C36</f>
        <v>0.15026675817042</v>
      </c>
      <c r="P36" s="501" t="n">
        <f aca="false">TableDE5a!O36</f>
        <v>0</v>
      </c>
      <c r="R36" s="502"/>
    </row>
    <row r="37" customFormat="false" ht="12" hidden="false" customHeight="true" outlineLevel="0" collapsed="false">
      <c r="A37" s="76" t="n">
        <v>1897</v>
      </c>
      <c r="B37" s="492" t="n">
        <f aca="false">TableDE1!N37</f>
        <v>5.63600641539695</v>
      </c>
      <c r="C37" s="493" t="n">
        <f aca="false">TableDE11b!N36</f>
        <v>0.283964095099466</v>
      </c>
      <c r="D37" s="493" t="n">
        <f aca="false">TableDE11b!O36</f>
        <v>0.716035904900534</v>
      </c>
      <c r="E37" s="493" t="n">
        <f aca="false">(DataDE1c!X60+DataDE1c!AC60)/DataDE1c!W60</f>
        <v>0.305353388322821</v>
      </c>
      <c r="F37" s="494" t="n">
        <f aca="false">E37/B37</f>
        <v>0.0541790349082337</v>
      </c>
      <c r="G37" s="493" t="n">
        <f aca="false">DataDE1c!AN60/TableDE1!B37</f>
        <v>0.0692095812558837</v>
      </c>
      <c r="H37" s="495" t="n">
        <f aca="false">G37</f>
        <v>0.0692095812558837</v>
      </c>
      <c r="I37" s="496"/>
      <c r="J37" s="496"/>
      <c r="K37" s="496"/>
      <c r="L37" s="497" t="n">
        <f aca="false">E37*(1-H37)</f>
        <v>0.284220008181933</v>
      </c>
      <c r="M37" s="498" t="n">
        <f aca="false">(1-H37)*F37</f>
        <v>0.050429326589387</v>
      </c>
      <c r="N37" s="499"/>
      <c r="O37" s="500" t="n">
        <f aca="false">TableDE12c!C37</f>
        <v>0.160569784875004</v>
      </c>
      <c r="P37" s="501" t="n">
        <f aca="false">TableDE5a!O37</f>
        <v>0</v>
      </c>
      <c r="R37" s="502"/>
    </row>
    <row r="38" customFormat="false" ht="12" hidden="false" customHeight="true" outlineLevel="0" collapsed="false">
      <c r="A38" s="76" t="n">
        <v>1898</v>
      </c>
      <c r="B38" s="492" t="n">
        <f aca="false">TableDE1!N38</f>
        <v>5.55933124211752</v>
      </c>
      <c r="C38" s="493" t="n">
        <f aca="false">TableDE11b!N37</f>
        <v>0.297928536392107</v>
      </c>
      <c r="D38" s="493" t="n">
        <f aca="false">TableDE11b!O37</f>
        <v>0.702071463607893</v>
      </c>
      <c r="E38" s="493" t="n">
        <f aca="false">(DataDE1c!X61+DataDE1c!AC61)/DataDE1c!W61</f>
        <v>0.317586688299438</v>
      </c>
      <c r="F38" s="494" t="n">
        <f aca="false">E38/B38</f>
        <v>0.0571267791876476</v>
      </c>
      <c r="G38" s="493" t="n">
        <f aca="false">DataDE1c!AN61/TableDE1!B38</f>
        <v>0.0683633541376969</v>
      </c>
      <c r="H38" s="495" t="n">
        <f aca="false">G38</f>
        <v>0.0683633541376969</v>
      </c>
      <c r="I38" s="496"/>
      <c r="J38" s="496"/>
      <c r="K38" s="496"/>
      <c r="L38" s="497" t="n">
        <f aca="false">E38*(1-H38)</f>
        <v>0.295875397057805</v>
      </c>
      <c r="M38" s="498" t="n">
        <f aca="false">(1-H38)*F38</f>
        <v>0.0532214009512964</v>
      </c>
      <c r="N38" s="499"/>
      <c r="O38" s="500" t="n">
        <f aca="false">TableDE12c!C38</f>
        <v>0.186833813019435</v>
      </c>
      <c r="P38" s="501" t="n">
        <f aca="false">TableDE5a!O38</f>
        <v>0</v>
      </c>
      <c r="R38" s="502"/>
    </row>
    <row r="39" customFormat="false" ht="12" hidden="false" customHeight="true" outlineLevel="0" collapsed="false">
      <c r="A39" s="94" t="n">
        <v>1899</v>
      </c>
      <c r="B39" s="503" t="n">
        <f aca="false">TableDE1!N39</f>
        <v>5.83392682078366</v>
      </c>
      <c r="C39" s="504" t="n">
        <f aca="false">TableDE11b!N38</f>
        <v>0.292447679708826</v>
      </c>
      <c r="D39" s="504" t="n">
        <f aca="false">TableDE11b!O38</f>
        <v>0.707552320291174</v>
      </c>
      <c r="E39" s="504" t="n">
        <f aca="false">(DataDE1c!X62+DataDE1c!AC62)/DataDE1c!W62</f>
        <v>0.31213830755232</v>
      </c>
      <c r="F39" s="505" t="n">
        <f aca="false">E39/B39</f>
        <v>0.0535039806190767</v>
      </c>
      <c r="G39" s="504" t="n">
        <f aca="false">DataDE1c!AN62/TableDE1!B39</f>
        <v>0.0694475190537934</v>
      </c>
      <c r="H39" s="506" t="n">
        <f aca="false">G39</f>
        <v>0.0694475190537934</v>
      </c>
      <c r="I39" s="507"/>
      <c r="J39" s="507"/>
      <c r="K39" s="507"/>
      <c r="L39" s="508" t="n">
        <f aca="false">E39*(1-H39)</f>
        <v>0.290461076491162</v>
      </c>
      <c r="M39" s="509" t="n">
        <f aca="false">(1-H39)*F39</f>
        <v>0.0497882619055795</v>
      </c>
      <c r="N39" s="510"/>
      <c r="O39" s="511" t="n">
        <f aca="false">TableDE12c!C39</f>
        <v>0.167434426488726</v>
      </c>
      <c r="P39" s="512" t="n">
        <f aca="false">TableDE5a!O39</f>
        <v>0</v>
      </c>
      <c r="R39" s="502"/>
    </row>
    <row r="40" customFormat="false" ht="12" hidden="false" customHeight="true" outlineLevel="0" collapsed="false">
      <c r="A40" s="76" t="n">
        <v>1900</v>
      </c>
      <c r="B40" s="492" t="n">
        <f aca="false">TableDE1!N40</f>
        <v>6.14296546174796</v>
      </c>
      <c r="C40" s="493" t="n">
        <f aca="false">TableDE11b!N39</f>
        <v>0.293432680644602</v>
      </c>
      <c r="D40" s="493" t="n">
        <f aca="false">TableDE11b!O39</f>
        <v>0.706567319355398</v>
      </c>
      <c r="E40" s="493" t="n">
        <f aca="false">(DataDE1c!X63+DataDE1c!AC63)/DataDE1c!W63</f>
        <v>0.312944030497314</v>
      </c>
      <c r="F40" s="494" t="n">
        <f aca="false">E40/B40</f>
        <v>0.0509434787556607</v>
      </c>
      <c r="G40" s="493" t="n">
        <f aca="false">DataDE1c!AN63/TableDE1!B40</f>
        <v>0.0711809853924239</v>
      </c>
      <c r="H40" s="495" t="n">
        <f aca="false">G40</f>
        <v>0.0711809853924239</v>
      </c>
      <c r="I40" s="496"/>
      <c r="J40" s="496"/>
      <c r="K40" s="496"/>
      <c r="L40" s="497" t="n">
        <f aca="false">E40*(1-H40)</f>
        <v>0.290668366033839</v>
      </c>
      <c r="M40" s="498" t="n">
        <f aca="false">(1-H40)*F40</f>
        <v>0.0473172717385147</v>
      </c>
      <c r="N40" s="499"/>
      <c r="O40" s="500" t="n">
        <f aca="false">TableDE12c!C40</f>
        <v>0.166344392176281</v>
      </c>
      <c r="P40" s="501" t="n">
        <f aca="false">TableDE5a!O40</f>
        <v>0</v>
      </c>
      <c r="R40" s="502"/>
    </row>
    <row r="41" customFormat="false" ht="12" hidden="false" customHeight="true" outlineLevel="0" collapsed="false">
      <c r="A41" s="76" t="n">
        <v>1901</v>
      </c>
      <c r="B41" s="492" t="n">
        <f aca="false">TableDE1!N41</f>
        <v>6.47546881467095</v>
      </c>
      <c r="C41" s="493" t="n">
        <f aca="false">TableDE11b!N40</f>
        <v>0.276220948630498</v>
      </c>
      <c r="D41" s="493" t="n">
        <f aca="false">TableDE11b!O40</f>
        <v>0.723779051369502</v>
      </c>
      <c r="E41" s="493" t="n">
        <f aca="false">(DataDE1c!X64+DataDE1c!AC64)/DataDE1c!W64</f>
        <v>0.297141450722548</v>
      </c>
      <c r="F41" s="494" t="n">
        <f aca="false">E41/B41</f>
        <v>0.0458872491284861</v>
      </c>
      <c r="G41" s="493" t="n">
        <f aca="false">DataDE1c!AN64/TableDE1!B41</f>
        <v>0.0753605654430259</v>
      </c>
      <c r="H41" s="495" t="n">
        <f aca="false">G41</f>
        <v>0.0753605654430259</v>
      </c>
      <c r="I41" s="496"/>
      <c r="J41" s="496"/>
      <c r="K41" s="496"/>
      <c r="L41" s="497" t="n">
        <f aca="false">E41*(1-H41)</f>
        <v>0.274748702979536</v>
      </c>
      <c r="M41" s="498" t="n">
        <f aca="false">(1-H41)*F41</f>
        <v>0.0424291600875384</v>
      </c>
      <c r="N41" s="499"/>
      <c r="O41" s="500" t="n">
        <f aca="false">TableDE12c!C41</f>
        <v>0.137423668375306</v>
      </c>
      <c r="P41" s="501" t="n">
        <f aca="false">TableDE5a!O41</f>
        <v>0</v>
      </c>
      <c r="R41" s="502"/>
    </row>
    <row r="42" customFormat="false" ht="12" hidden="false" customHeight="true" outlineLevel="0" collapsed="false">
      <c r="A42" s="76" t="n">
        <v>1902</v>
      </c>
      <c r="B42" s="492" t="n">
        <f aca="false">TableDE1!N42</f>
        <v>6.34062970396387</v>
      </c>
      <c r="C42" s="493" t="n">
        <f aca="false">TableDE11b!N41</f>
        <v>0.282511672617413</v>
      </c>
      <c r="D42" s="493" t="n">
        <f aca="false">TableDE11b!O41</f>
        <v>0.717488327382587</v>
      </c>
      <c r="E42" s="493" t="n">
        <f aca="false">(DataDE1c!X65+DataDE1c!AC65)/DataDE1c!W65</f>
        <v>0.303797033781928</v>
      </c>
      <c r="F42" s="494" t="n">
        <f aca="false">E42/B42</f>
        <v>0.0479127544054509</v>
      </c>
      <c r="G42" s="493" t="n">
        <f aca="false">DataDE1c!AN65/TableDE1!B42</f>
        <v>0.0757965378825891</v>
      </c>
      <c r="H42" s="495" t="n">
        <f aca="false">G42</f>
        <v>0.0757965378825891</v>
      </c>
      <c r="I42" s="496"/>
      <c r="J42" s="496"/>
      <c r="K42" s="496"/>
      <c r="L42" s="497" t="n">
        <f aca="false">E42*(1-H42)</f>
        <v>0.280770270402258</v>
      </c>
      <c r="M42" s="498" t="n">
        <f aca="false">(1-H42)*F42</f>
        <v>0.044281133501099</v>
      </c>
      <c r="N42" s="499"/>
      <c r="O42" s="500" t="n">
        <f aca="false">TableDE12c!C42</f>
        <v>0.121409307576518</v>
      </c>
      <c r="P42" s="501" t="n">
        <f aca="false">TableDE5a!O42</f>
        <v>0</v>
      </c>
      <c r="R42" s="502"/>
    </row>
    <row r="43" customFormat="false" ht="12" hidden="false" customHeight="true" outlineLevel="0" collapsed="false">
      <c r="A43" s="76" t="n">
        <v>1903</v>
      </c>
      <c r="B43" s="492" t="n">
        <f aca="false">TableDE1!N43</f>
        <v>6.03795321637427</v>
      </c>
      <c r="C43" s="493" t="n">
        <f aca="false">TableDE11b!N42</f>
        <v>0.284904114079659</v>
      </c>
      <c r="D43" s="493" t="n">
        <f aca="false">TableDE11b!O42</f>
        <v>0.715095885920341</v>
      </c>
      <c r="E43" s="493" t="n">
        <f aca="false">(DataDE1c!X66+DataDE1c!AC66)/DataDE1c!W66</f>
        <v>0.306048188821505</v>
      </c>
      <c r="F43" s="494" t="n">
        <f aca="false">E43/B43</f>
        <v>0.050687406452825</v>
      </c>
      <c r="G43" s="493" t="n">
        <f aca="false">DataDE1c!AN66/TableDE1!B43</f>
        <v>0.072046783625731</v>
      </c>
      <c r="H43" s="495" t="n">
        <f aca="false">G43</f>
        <v>0.072046783625731</v>
      </c>
      <c r="I43" s="496"/>
      <c r="J43" s="496"/>
      <c r="K43" s="496"/>
      <c r="L43" s="497" t="n">
        <f aca="false">E43*(1-H43)</f>
        <v>0.283998401182435</v>
      </c>
      <c r="M43" s="498" t="n">
        <f aca="false">(1-H43)*F43</f>
        <v>0.0470355418475688</v>
      </c>
      <c r="N43" s="499"/>
      <c r="O43" s="500" t="n">
        <f aca="false">TableDE12c!C43</f>
        <v>0.148441520467836</v>
      </c>
      <c r="P43" s="501" t="n">
        <f aca="false">TableDE5a!O43</f>
        <v>0</v>
      </c>
      <c r="R43" s="502"/>
    </row>
    <row r="44" customFormat="false" ht="12" hidden="false" customHeight="true" outlineLevel="0" collapsed="false">
      <c r="A44" s="76" t="n">
        <v>1904</v>
      </c>
      <c r="B44" s="492" t="n">
        <f aca="false">TableDE1!N44</f>
        <v>5.98776374836246</v>
      </c>
      <c r="C44" s="493" t="n">
        <f aca="false">TableDE11b!N43</f>
        <v>0.288011741560753</v>
      </c>
      <c r="D44" s="493" t="n">
        <f aca="false">TableDE11b!O43</f>
        <v>0.711988258439247</v>
      </c>
      <c r="E44" s="493" t="n">
        <f aca="false">(DataDE1c!X67+DataDE1c!AC67)/DataDE1c!W67</f>
        <v>0.309121568872373</v>
      </c>
      <c r="F44" s="494" t="n">
        <f aca="false">E44/B44</f>
        <v>0.0516255453393451</v>
      </c>
      <c r="G44" s="493" t="n">
        <f aca="false">DataDE1c!AN67/TableDE1!B44</f>
        <v>0.0706023357582852</v>
      </c>
      <c r="H44" s="495" t="n">
        <f aca="false">G44</f>
        <v>0.0706023357582852</v>
      </c>
      <c r="I44" s="496"/>
      <c r="J44" s="496"/>
      <c r="K44" s="496"/>
      <c r="L44" s="497" t="n">
        <f aca="false">E44*(1-H44)</f>
        <v>0.287296864076718</v>
      </c>
      <c r="M44" s="498" t="n">
        <f aca="false">(1-H44)*F44</f>
        <v>0.0479806612535921</v>
      </c>
      <c r="N44" s="499"/>
      <c r="O44" s="500" t="n">
        <f aca="false">TableDE12c!C44</f>
        <v>0.162563759511665</v>
      </c>
      <c r="P44" s="501" t="n">
        <f aca="false">TableDE5a!O44</f>
        <v>0</v>
      </c>
      <c r="R44" s="502"/>
    </row>
    <row r="45" customFormat="false" ht="12" hidden="false" customHeight="true" outlineLevel="0" collapsed="false">
      <c r="A45" s="76" t="n">
        <v>1905</v>
      </c>
      <c r="B45" s="492" t="n">
        <f aca="false">TableDE1!N45</f>
        <v>5.8569581965306</v>
      </c>
      <c r="C45" s="493" t="n">
        <f aca="false">TableDE11b!N44</f>
        <v>0.304779947537161</v>
      </c>
      <c r="D45" s="493" t="n">
        <f aca="false">TableDE11b!O44</f>
        <v>0.695220052462839</v>
      </c>
      <c r="E45" s="493" t="n">
        <f aca="false">(DataDE1c!X68+DataDE1c!AC68)/DataDE1c!W68</f>
        <v>0.325415330807345</v>
      </c>
      <c r="F45" s="494" t="n">
        <f aca="false">E45/B45</f>
        <v>0.0555604666941462</v>
      </c>
      <c r="G45" s="493" t="n">
        <f aca="false">DataDE1c!AN68/TableDE1!B45</f>
        <v>0.0713787130632611</v>
      </c>
      <c r="H45" s="495" t="n">
        <f aca="false">G45</f>
        <v>0.0713787130632611</v>
      </c>
      <c r="I45" s="496"/>
      <c r="J45" s="496"/>
      <c r="K45" s="496"/>
      <c r="L45" s="497" t="n">
        <f aca="false">E45*(1-H45)</f>
        <v>0.302187603283261</v>
      </c>
      <c r="M45" s="498" t="n">
        <f aca="false">(1-H45)*F45</f>
        <v>0.0515946320843239</v>
      </c>
      <c r="N45" s="499"/>
      <c r="O45" s="500" t="n">
        <f aca="false">TableDE12c!C45</f>
        <v>0.187017915772602</v>
      </c>
      <c r="P45" s="501" t="n">
        <f aca="false">TableDE5a!O45</f>
        <v>0</v>
      </c>
      <c r="R45" s="502"/>
    </row>
    <row r="46" customFormat="false" ht="12" hidden="false" customHeight="true" outlineLevel="0" collapsed="false">
      <c r="A46" s="76" t="n">
        <v>1906</v>
      </c>
      <c r="B46" s="492" t="n">
        <f aca="false">TableDE1!N46</f>
        <v>6.00781985822634</v>
      </c>
      <c r="C46" s="493" t="n">
        <f aca="false">TableDE11b!N45</f>
        <v>0.306053995091355</v>
      </c>
      <c r="D46" s="493" t="n">
        <f aca="false">TableDE11b!O45</f>
        <v>0.693946004908645</v>
      </c>
      <c r="E46" s="493" t="n">
        <f aca="false">(DataDE1c!X69+DataDE1c!AC69)/DataDE1c!W69</f>
        <v>0.32645214071448</v>
      </c>
      <c r="F46" s="494" t="n">
        <f aca="false">E46/B46</f>
        <v>0.054337871044432</v>
      </c>
      <c r="G46" s="493" t="n">
        <f aca="false">DataDE1c!AN69/TableDE1!B46</f>
        <v>0.0726466068507411</v>
      </c>
      <c r="H46" s="495" t="n">
        <f aca="false">G46</f>
        <v>0.0726466068507411</v>
      </c>
      <c r="I46" s="496"/>
      <c r="J46" s="496"/>
      <c r="K46" s="496"/>
      <c r="L46" s="497" t="n">
        <f aca="false">E46*(1-H46)</f>
        <v>0.302736500392413</v>
      </c>
      <c r="M46" s="498" t="n">
        <f aca="false">(1-H46)*F46</f>
        <v>0.0503904090895608</v>
      </c>
      <c r="N46" s="499"/>
      <c r="O46" s="500" t="n">
        <f aca="false">TableDE12c!C46</f>
        <v>0.169983393644971</v>
      </c>
      <c r="P46" s="501" t="n">
        <f aca="false">TableDE5a!O46</f>
        <v>0</v>
      </c>
      <c r="R46" s="502"/>
    </row>
    <row r="47" customFormat="false" ht="12" hidden="false" customHeight="true" outlineLevel="0" collapsed="false">
      <c r="A47" s="76" t="n">
        <v>1907</v>
      </c>
      <c r="B47" s="492" t="n">
        <f aca="false">TableDE1!N47</f>
        <v>5.98964466060084</v>
      </c>
      <c r="C47" s="493" t="n">
        <f aca="false">TableDE11b!N46</f>
        <v>0.301857024622388</v>
      </c>
      <c r="D47" s="493" t="n">
        <f aca="false">TableDE11b!O46</f>
        <v>0.698142975377612</v>
      </c>
      <c r="E47" s="493" t="n">
        <f aca="false">(DataDE1c!X70+DataDE1c!AC70)/DataDE1c!W70</f>
        <v>0.322315332091868</v>
      </c>
      <c r="F47" s="494" t="n">
        <f aca="false">E47/B47</f>
        <v>0.0538120957678875</v>
      </c>
      <c r="G47" s="493" t="n">
        <f aca="false">DataDE1c!AN70/TableDE1!B47</f>
        <v>0.0738603309054522</v>
      </c>
      <c r="H47" s="495" t="n">
        <f aca="false">G47</f>
        <v>0.0738603309054522</v>
      </c>
      <c r="I47" s="496"/>
      <c r="J47" s="496"/>
      <c r="K47" s="496"/>
      <c r="L47" s="497" t="n">
        <f aca="false">E47*(1-H47)</f>
        <v>0.298509015007662</v>
      </c>
      <c r="M47" s="498" t="n">
        <f aca="false">(1-H47)*F47</f>
        <v>0.0498375165677554</v>
      </c>
      <c r="N47" s="499"/>
      <c r="O47" s="500" t="n">
        <f aca="false">TableDE12c!C47</f>
        <v>0.192720778163033</v>
      </c>
      <c r="P47" s="501" t="n">
        <f aca="false">TableDE5a!O47</f>
        <v>0</v>
      </c>
      <c r="R47" s="502"/>
    </row>
    <row r="48" customFormat="false" ht="12" hidden="false" customHeight="true" outlineLevel="0" collapsed="false">
      <c r="A48" s="76" t="n">
        <v>1908</v>
      </c>
      <c r="B48" s="492" t="n">
        <f aca="false">TableDE1!N48</f>
        <v>6.2572030141844</v>
      </c>
      <c r="C48" s="493" t="n">
        <f aca="false">TableDE11b!N47</f>
        <v>0.292538010482072</v>
      </c>
      <c r="D48" s="493" t="n">
        <f aca="false">TableDE11b!O47</f>
        <v>0.707461989517929</v>
      </c>
      <c r="E48" s="493" t="n">
        <f aca="false">(DataDE1c!X71+DataDE1c!AC71)/DataDE1c!W71</f>
        <v>0.31459187380001</v>
      </c>
      <c r="F48" s="494" t="n">
        <f aca="false">E48/B48</f>
        <v>0.0502767567372938</v>
      </c>
      <c r="G48" s="493" t="n">
        <f aca="false">DataDE1c!AN71/TableDE1!B48</f>
        <v>0.077626329787234</v>
      </c>
      <c r="H48" s="495" t="n">
        <f aca="false">G48</f>
        <v>0.077626329787234</v>
      </c>
      <c r="I48" s="496"/>
      <c r="J48" s="496"/>
      <c r="K48" s="496"/>
      <c r="L48" s="497" t="n">
        <f aca="false">E48*(1-H48)</f>
        <v>0.290171261256027</v>
      </c>
      <c r="M48" s="498" t="n">
        <f aca="false">(1-H48)*F48</f>
        <v>0.0463739566381721</v>
      </c>
      <c r="N48" s="499"/>
      <c r="O48" s="500" t="n">
        <f aca="false">TableDE12c!C48</f>
        <v>0.16675349860689</v>
      </c>
      <c r="P48" s="501" t="n">
        <f aca="false">TableDE5a!O48</f>
        <v>0</v>
      </c>
      <c r="R48" s="502"/>
    </row>
    <row r="49" customFormat="false" ht="12" hidden="false" customHeight="true" outlineLevel="0" collapsed="false">
      <c r="A49" s="94" t="n">
        <v>1909</v>
      </c>
      <c r="B49" s="503" t="n">
        <f aca="false">TableDE1!N49</f>
        <v>6.02744850113271</v>
      </c>
      <c r="C49" s="504" t="n">
        <f aca="false">TableDE11b!N48</f>
        <v>0.29229523134555</v>
      </c>
      <c r="D49" s="504" t="n">
        <f aca="false">TableDE11b!O48</f>
        <v>0.70770476865445</v>
      </c>
      <c r="E49" s="504" t="n">
        <f aca="false">(DataDE1c!X72+DataDE1c!AC72)/DataDE1c!W72</f>
        <v>0.316011946947454</v>
      </c>
      <c r="F49" s="505" t="n">
        <f aca="false">E49/B49</f>
        <v>0.0524288091201554</v>
      </c>
      <c r="G49" s="504" t="n">
        <f aca="false">DataDE1c!AN72/TableDE1!B49</f>
        <v>0.0833389780758202</v>
      </c>
      <c r="H49" s="506" t="n">
        <f aca="false">G49</f>
        <v>0.0833389780758202</v>
      </c>
      <c r="I49" s="507"/>
      <c r="J49" s="507"/>
      <c r="K49" s="507"/>
      <c r="L49" s="508" t="n">
        <f aca="false">E49*(1-H49)</f>
        <v>0.289675834229103</v>
      </c>
      <c r="M49" s="509" t="n">
        <f aca="false">(1-H49)*F49</f>
        <v>0.0480594457463494</v>
      </c>
      <c r="N49" s="510"/>
      <c r="O49" s="511" t="n">
        <f aca="false">TableDE12c!C49</f>
        <v>0.151562765773292</v>
      </c>
      <c r="P49" s="512" t="n">
        <f aca="false">TableDE5a!O49</f>
        <v>0</v>
      </c>
      <c r="R49" s="502"/>
    </row>
    <row r="50" customFormat="false" ht="12" hidden="false" customHeight="true" outlineLevel="0" collapsed="false">
      <c r="A50" s="76" t="n">
        <v>1910</v>
      </c>
      <c r="B50" s="492" t="n">
        <f aca="false">TableDE1!N50</f>
        <v>6.08069505693412</v>
      </c>
      <c r="C50" s="493" t="n">
        <f aca="false">TableDE11b!N49</f>
        <v>0.297481198519756</v>
      </c>
      <c r="D50" s="493" t="n">
        <f aca="false">TableDE11b!O49</f>
        <v>0.702518801480244</v>
      </c>
      <c r="E50" s="493" t="n">
        <f aca="false">(DataDE1c!X73+DataDE1c!AC73)/DataDE1c!W73</f>
        <v>0.3208069714695</v>
      </c>
      <c r="F50" s="494" t="n">
        <f aca="false">E50/B50</f>
        <v>0.0527582732674068</v>
      </c>
      <c r="G50" s="493" t="n">
        <f aca="false">DataDE1c!AN73/TableDE1!B50</f>
        <v>0.0881985124728493</v>
      </c>
      <c r="H50" s="495" t="n">
        <f aca="false">G50</f>
        <v>0.0881985124728493</v>
      </c>
      <c r="I50" s="496"/>
      <c r="J50" s="496"/>
      <c r="K50" s="496"/>
      <c r="L50" s="497" t="n">
        <f aca="false">E50*(1-H50)</f>
        <v>0.29251227379497</v>
      </c>
      <c r="M50" s="498" t="n">
        <f aca="false">(1-H50)*F50</f>
        <v>0.0481050720445854</v>
      </c>
      <c r="N50" s="499"/>
      <c r="O50" s="500" t="n">
        <f aca="false">TableDE12c!C50</f>
        <v>0.139986909176009</v>
      </c>
      <c r="P50" s="501" t="n">
        <f aca="false">TableDE5a!O50</f>
        <v>0</v>
      </c>
      <c r="R50" s="502"/>
    </row>
    <row r="51" customFormat="false" ht="12" hidden="false" customHeight="true" outlineLevel="0" collapsed="false">
      <c r="A51" s="76" t="n">
        <v>1911</v>
      </c>
      <c r="B51" s="492" t="n">
        <f aca="false">TableDE1!N51</f>
        <v>6.04758327594961</v>
      </c>
      <c r="C51" s="493" t="n">
        <f aca="false">TableDE11b!N50</f>
        <v>0.294610128071684</v>
      </c>
      <c r="D51" s="493" t="n">
        <f aca="false">TableDE11b!O50</f>
        <v>0.705389871928316</v>
      </c>
      <c r="E51" s="493" t="n">
        <f aca="false">(DataDE1c!X74+DataDE1c!AC74)/DataDE1c!W74</f>
        <v>0.317350771597954</v>
      </c>
      <c r="F51" s="494" t="n">
        <f aca="false">E51/B51</f>
        <v>0.0524756348308611</v>
      </c>
      <c r="G51" s="493" t="n">
        <f aca="false">DataDE1c!AN74/TableDE1!B51</f>
        <v>0.0904784758884043</v>
      </c>
      <c r="H51" s="495" t="n">
        <f aca="false">G51</f>
        <v>0.0904784758884043</v>
      </c>
      <c r="I51" s="496"/>
      <c r="J51" s="496"/>
      <c r="K51" s="496"/>
      <c r="L51" s="497" t="n">
        <f aca="false">E51*(1-H51)</f>
        <v>0.288637357461762</v>
      </c>
      <c r="M51" s="498" t="n">
        <f aca="false">(1-H51)*F51</f>
        <v>0.0477277193700883</v>
      </c>
      <c r="N51" s="499"/>
      <c r="O51" s="500" t="n">
        <f aca="false">TableDE12c!C51</f>
        <v>0.160859364675278</v>
      </c>
      <c r="P51" s="501" t="n">
        <f aca="false">TableDE5a!O51</f>
        <v>0</v>
      </c>
      <c r="R51" s="502"/>
    </row>
    <row r="52" customFormat="false" ht="12" hidden="false" customHeight="true" outlineLevel="0" collapsed="false">
      <c r="A52" s="76" t="n">
        <v>1912</v>
      </c>
      <c r="B52" s="492" t="n">
        <f aca="false">TableDE1!N52</f>
        <v>5.97790320487868</v>
      </c>
      <c r="C52" s="493" t="n">
        <f aca="false">TableDE11b!N51</f>
        <v>0.306059452830986</v>
      </c>
      <c r="D52" s="493" t="n">
        <f aca="false">TableDE11b!O51</f>
        <v>0.693940547169014</v>
      </c>
      <c r="E52" s="493" t="n">
        <f aca="false">(DataDE1c!X75+DataDE1c!AC75)/DataDE1c!W75</f>
        <v>0.32815341029219</v>
      </c>
      <c r="F52" s="494" t="n">
        <f aca="false">E52/B52</f>
        <v>0.054894400100754</v>
      </c>
      <c r="G52" s="493" t="n">
        <f aca="false">DataDE1c!AN75/TableDE1!B52</f>
        <v>0.0881276761385753</v>
      </c>
      <c r="H52" s="495" t="n">
        <f aca="false">G52</f>
        <v>0.0881276761385753</v>
      </c>
      <c r="I52" s="496"/>
      <c r="J52" s="496"/>
      <c r="K52" s="496"/>
      <c r="L52" s="497" t="n">
        <f aca="false">E52*(1-H52)</f>
        <v>0.299234012826191</v>
      </c>
      <c r="M52" s="498" t="n">
        <f aca="false">(1-H52)*F52</f>
        <v>0.0500566841868534</v>
      </c>
      <c r="N52" s="499"/>
      <c r="O52" s="500" t="n">
        <f aca="false">TableDE12c!C52</f>
        <v>0.170769235759699</v>
      </c>
      <c r="P52" s="501" t="n">
        <f aca="false">TableDE5a!O52</f>
        <v>0</v>
      </c>
      <c r="R52" s="502"/>
    </row>
    <row r="53" customFormat="false" ht="12" hidden="false" customHeight="true" outlineLevel="0" collapsed="false">
      <c r="A53" s="76" t="n">
        <v>1913</v>
      </c>
      <c r="B53" s="492" t="n">
        <f aca="false">TableDE1!N53</f>
        <v>6.23157086651953</v>
      </c>
      <c r="C53" s="493" t="n">
        <f aca="false">TableDE11b!N52</f>
        <v>0.30106954063025</v>
      </c>
      <c r="D53" s="493" t="n">
        <f aca="false">TableDE11b!O52</f>
        <v>0.69893045936975</v>
      </c>
      <c r="E53" s="493" t="n">
        <f aca="false">(DataDE1c!X76+DataDE1c!AC76)/DataDE1c!W76</f>
        <v>0.323525796008687</v>
      </c>
      <c r="F53" s="494" t="n">
        <f aca="false">E53/B53</f>
        <v>0.0519172136430158</v>
      </c>
      <c r="G53" s="493" t="n">
        <f aca="false">DataDE1c!AN76/TableDE1!B53</f>
        <v>0.0909125803665675</v>
      </c>
      <c r="H53" s="495" t="n">
        <f aca="false">G53</f>
        <v>0.0909125803665675</v>
      </c>
      <c r="I53" s="496"/>
      <c r="J53" s="496"/>
      <c r="K53" s="496"/>
      <c r="L53" s="497" t="n">
        <f aca="false">E53*(1-H53)</f>
        <v>0.29411323107839</v>
      </c>
      <c r="M53" s="498" t="n">
        <f aca="false">(1-H53)*F53</f>
        <v>0.0471972857852869</v>
      </c>
      <c r="N53" s="499"/>
      <c r="O53" s="500" t="n">
        <f aca="false">TableDE12c!C53</f>
        <v>0.167747559833232</v>
      </c>
      <c r="P53" s="501" t="n">
        <f aca="false">TableDE5a!O53</f>
        <v>0</v>
      </c>
      <c r="R53" s="502"/>
    </row>
    <row r="54" customFormat="false" ht="12" hidden="false" customHeight="true" outlineLevel="0" collapsed="false">
      <c r="A54" s="76" t="n">
        <v>1914</v>
      </c>
      <c r="B54" s="492" t="n">
        <f aca="false">TableDE1!N54</f>
        <v>5.96562010164426</v>
      </c>
      <c r="C54" s="513" t="n">
        <f aca="false">TableDE11b!N53</f>
        <v>0.274</v>
      </c>
      <c r="D54" s="514" t="n">
        <f aca="false">TableDE11b!O53</f>
        <v>0.726</v>
      </c>
      <c r="E54" s="496"/>
      <c r="F54" s="499"/>
      <c r="G54" s="496"/>
      <c r="H54" s="515"/>
      <c r="I54" s="496"/>
      <c r="J54" s="496"/>
      <c r="K54" s="496"/>
      <c r="L54" s="499"/>
      <c r="M54" s="499"/>
      <c r="N54" s="499"/>
      <c r="O54" s="500" t="n">
        <f aca="false">TableDE12c!C54</f>
        <v>0.120306408111415</v>
      </c>
      <c r="P54" s="501" t="n">
        <f aca="false">TableDE5a!O54</f>
        <v>0</v>
      </c>
      <c r="R54" s="502"/>
    </row>
    <row r="55" customFormat="false" ht="12" hidden="false" customHeight="true" outlineLevel="0" collapsed="false">
      <c r="A55" s="76" t="n">
        <v>1915</v>
      </c>
      <c r="B55" s="492" t="n">
        <f aca="false">TableDE1!N55</f>
        <v>5.70219272616711</v>
      </c>
      <c r="C55" s="513" t="n">
        <f aca="false">TableDE11b!N54</f>
        <v>0.258</v>
      </c>
      <c r="D55" s="514" t="n">
        <f aca="false">TableDE11b!O54</f>
        <v>0.742</v>
      </c>
      <c r="E55" s="496"/>
      <c r="F55" s="499"/>
      <c r="G55" s="496"/>
      <c r="H55" s="515"/>
      <c r="I55" s="496"/>
      <c r="J55" s="496"/>
      <c r="K55" s="496"/>
      <c r="L55" s="499"/>
      <c r="M55" s="499"/>
      <c r="N55" s="499"/>
      <c r="O55" s="500" t="n">
        <f aca="false">TableDE12c!C55</f>
        <v>0.261506371604008</v>
      </c>
      <c r="P55" s="501" t="n">
        <f aca="false">TableDE5a!O55</f>
        <v>0</v>
      </c>
      <c r="R55" s="502"/>
    </row>
    <row r="56" customFormat="false" ht="12" hidden="false" customHeight="true" outlineLevel="0" collapsed="false">
      <c r="A56" s="76" t="n">
        <v>1916</v>
      </c>
      <c r="B56" s="492" t="n">
        <f aca="false">TableDE1!N56</f>
        <v>5.38245399174567</v>
      </c>
      <c r="C56" s="513" t="n">
        <f aca="false">TableDE11b!N55</f>
        <v>0.294</v>
      </c>
      <c r="D56" s="514" t="n">
        <f aca="false">TableDE11b!O55</f>
        <v>0.706</v>
      </c>
      <c r="E56" s="496"/>
      <c r="F56" s="499"/>
      <c r="G56" s="496"/>
      <c r="H56" s="515"/>
      <c r="I56" s="496"/>
      <c r="J56" s="496"/>
      <c r="K56" s="496"/>
      <c r="L56" s="499"/>
      <c r="M56" s="499"/>
      <c r="N56" s="499"/>
      <c r="O56" s="500" t="n">
        <f aca="false">TableDE12c!C56</f>
        <v>0.352303015713385</v>
      </c>
      <c r="P56" s="501" t="n">
        <f aca="false">TableDE5a!O56</f>
        <v>0</v>
      </c>
      <c r="R56" s="502"/>
    </row>
    <row r="57" customFormat="false" ht="12" hidden="false" customHeight="true" outlineLevel="0" collapsed="false">
      <c r="A57" s="76" t="n">
        <v>1917</v>
      </c>
      <c r="B57" s="492" t="n">
        <f aca="false">TableDE1!N57</f>
        <v>5.05737723526901</v>
      </c>
      <c r="C57" s="493" t="n">
        <f aca="false">TableDE11b!N56</f>
        <v>0.304</v>
      </c>
      <c r="D57" s="514" t="n">
        <f aca="false">TableDE11b!O56</f>
        <v>0.696</v>
      </c>
      <c r="E57" s="496"/>
      <c r="F57" s="499"/>
      <c r="G57" s="496"/>
      <c r="H57" s="515"/>
      <c r="I57" s="496"/>
      <c r="J57" s="496"/>
      <c r="K57" s="496"/>
      <c r="L57" s="499"/>
      <c r="M57" s="499"/>
      <c r="N57" s="499"/>
      <c r="O57" s="500" t="n">
        <f aca="false">TableDE12c!C57</f>
        <v>0.299666097403111</v>
      </c>
      <c r="P57" s="501" t="n">
        <f aca="false">TableDE5a!O57</f>
        <v>0</v>
      </c>
      <c r="R57" s="502"/>
    </row>
    <row r="58" customFormat="false" ht="12" hidden="false" customHeight="true" outlineLevel="0" collapsed="false">
      <c r="A58" s="76" t="n">
        <v>1918</v>
      </c>
      <c r="B58" s="492" t="n">
        <f aca="false">TableDE1!N58</f>
        <v>4.73767664933573</v>
      </c>
      <c r="C58" s="496"/>
      <c r="D58" s="493"/>
      <c r="E58" s="496"/>
      <c r="F58" s="499"/>
      <c r="G58" s="496"/>
      <c r="H58" s="515"/>
      <c r="I58" s="496"/>
      <c r="J58" s="496"/>
      <c r="K58" s="496"/>
      <c r="L58" s="499"/>
      <c r="M58" s="499"/>
      <c r="N58" s="499"/>
      <c r="O58" s="500" t="n">
        <f aca="false">TableDE12c!C58</f>
        <v>0.137031989094128</v>
      </c>
      <c r="P58" s="501" t="n">
        <f aca="false">TableDE5a!O58</f>
        <v>0</v>
      </c>
      <c r="R58" s="502"/>
    </row>
    <row r="59" customFormat="false" ht="12" hidden="false" customHeight="true" outlineLevel="0" collapsed="false">
      <c r="A59" s="94" t="n">
        <v>1919</v>
      </c>
      <c r="B59" s="503" t="n">
        <f aca="false">TableDE1!N59</f>
        <v>4.41605949556904</v>
      </c>
      <c r="C59" s="507"/>
      <c r="D59" s="504"/>
      <c r="E59" s="507"/>
      <c r="F59" s="510"/>
      <c r="G59" s="507"/>
      <c r="H59" s="516"/>
      <c r="I59" s="507"/>
      <c r="J59" s="507"/>
      <c r="K59" s="507"/>
      <c r="L59" s="510"/>
      <c r="M59" s="510"/>
      <c r="N59" s="510"/>
      <c r="O59" s="511" t="n">
        <f aca="false">TableDE12c!C59</f>
        <v>0.0759473134471805</v>
      </c>
      <c r="P59" s="512" t="n">
        <f aca="false">TableDE5a!O59</f>
        <v>0</v>
      </c>
      <c r="R59" s="502"/>
    </row>
    <row r="60" customFormat="false" ht="12" hidden="false" customHeight="true" outlineLevel="0" collapsed="false">
      <c r="A60" s="76" t="n">
        <v>1920</v>
      </c>
      <c r="B60" s="492" t="n">
        <f aca="false">TableDE1!N60</f>
        <v>3.33691358368194</v>
      </c>
      <c r="C60" s="496"/>
      <c r="D60" s="493"/>
      <c r="E60" s="496"/>
      <c r="F60" s="499"/>
      <c r="G60" s="496"/>
      <c r="H60" s="515"/>
      <c r="I60" s="496"/>
      <c r="J60" s="496"/>
      <c r="K60" s="496"/>
      <c r="L60" s="499"/>
      <c r="M60" s="499"/>
      <c r="N60" s="499"/>
      <c r="O60" s="500" t="n">
        <f aca="false">TableDE12c!C60</f>
        <v>0.180007263138912</v>
      </c>
      <c r="P60" s="501" t="n">
        <f aca="false">TableDE5a!O60</f>
        <v>0</v>
      </c>
      <c r="R60" s="502"/>
    </row>
    <row r="61" customFormat="false" ht="12" hidden="false" customHeight="true" outlineLevel="0" collapsed="false">
      <c r="A61" s="76" t="n">
        <v>1921</v>
      </c>
      <c r="B61" s="492" t="n">
        <f aca="false">TableDE1!N61</f>
        <v>2.85482987521863</v>
      </c>
      <c r="C61" s="496"/>
      <c r="D61" s="493"/>
      <c r="E61" s="496"/>
      <c r="F61" s="499"/>
      <c r="G61" s="496"/>
      <c r="H61" s="515"/>
      <c r="I61" s="496"/>
      <c r="J61" s="496"/>
      <c r="K61" s="496"/>
      <c r="L61" s="499"/>
      <c r="M61" s="499"/>
      <c r="N61" s="499"/>
      <c r="O61" s="500" t="n">
        <f aca="false">TableDE12c!C61</f>
        <v>0.103829988126255</v>
      </c>
      <c r="P61" s="501" t="n">
        <f aca="false">TableDE5a!O61</f>
        <v>0</v>
      </c>
      <c r="R61" s="502"/>
    </row>
    <row r="62" customFormat="false" ht="12" hidden="false" customHeight="true" outlineLevel="0" collapsed="false">
      <c r="A62" s="76" t="n">
        <v>1922</v>
      </c>
      <c r="B62" s="492" t="n">
        <f aca="false">TableDE1!N62</f>
        <v>2.36589441802819</v>
      </c>
      <c r="C62" s="496"/>
      <c r="D62" s="493"/>
      <c r="E62" s="496"/>
      <c r="F62" s="499"/>
      <c r="G62" s="496"/>
      <c r="H62" s="515"/>
      <c r="I62" s="496"/>
      <c r="J62" s="496"/>
      <c r="K62" s="496"/>
      <c r="L62" s="499"/>
      <c r="M62" s="499"/>
      <c r="N62" s="499"/>
      <c r="O62" s="500" t="n">
        <f aca="false">TableDE12c!C62</f>
        <v>0.0624056896014685</v>
      </c>
      <c r="P62" s="501" t="n">
        <f aca="false">TableDE5a!O62</f>
        <v>0</v>
      </c>
      <c r="R62" s="502"/>
    </row>
    <row r="63" customFormat="false" ht="12" hidden="false" customHeight="true" outlineLevel="0" collapsed="false">
      <c r="A63" s="76" t="n">
        <v>1923</v>
      </c>
      <c r="B63" s="492" t="n">
        <f aca="false">TableDE1!N63</f>
        <v>2.40337983915697</v>
      </c>
      <c r="C63" s="496"/>
      <c r="D63" s="493"/>
      <c r="E63" s="496"/>
      <c r="F63" s="499"/>
      <c r="G63" s="496"/>
      <c r="H63" s="515"/>
      <c r="I63" s="496"/>
      <c r="J63" s="496"/>
      <c r="K63" s="496"/>
      <c r="L63" s="499"/>
      <c r="M63" s="499"/>
      <c r="N63" s="499"/>
      <c r="O63" s="500" t="n">
        <f aca="false">TableDE12c!C63</f>
        <v>0.0624056896014685</v>
      </c>
      <c r="P63" s="501" t="n">
        <f aca="false">TableDE5a!O63</f>
        <v>0</v>
      </c>
      <c r="R63" s="502"/>
    </row>
    <row r="64" customFormat="false" ht="12" hidden="false" customHeight="true" outlineLevel="0" collapsed="false">
      <c r="A64" s="76" t="n">
        <v>1924</v>
      </c>
      <c r="B64" s="492" t="n">
        <f aca="false">TableDE1!N64</f>
        <v>2.21310046375039</v>
      </c>
      <c r="C64" s="496"/>
      <c r="D64" s="493"/>
      <c r="E64" s="496"/>
      <c r="F64" s="499"/>
      <c r="G64" s="493"/>
      <c r="H64" s="515"/>
      <c r="I64" s="496"/>
      <c r="J64" s="496"/>
      <c r="K64" s="496"/>
      <c r="L64" s="497"/>
      <c r="M64" s="499"/>
      <c r="N64" s="499"/>
      <c r="O64" s="500" t="n">
        <f aca="false">TableDE12c!C64</f>
        <v>0.0624056896014685</v>
      </c>
      <c r="P64" s="501" t="n">
        <f aca="false">TableDE5a!O64</f>
        <v>0</v>
      </c>
      <c r="R64" s="502"/>
    </row>
    <row r="65" customFormat="false" ht="12" hidden="false" customHeight="true" outlineLevel="0" collapsed="false">
      <c r="A65" s="76" t="n">
        <v>1925</v>
      </c>
      <c r="B65" s="492" t="n">
        <f aca="false">TableDE1!N65</f>
        <v>2.30106747206493</v>
      </c>
      <c r="C65" s="493" t="n">
        <f aca="false">TableDE11b!N64</f>
        <v>0.255647562014364</v>
      </c>
      <c r="D65" s="493" t="n">
        <f aca="false">TableDE11b!O64</f>
        <v>0.744352437985636</v>
      </c>
      <c r="E65" s="493" t="n">
        <f aca="false">(DataDE1c!X88+DataDE1c!AC88)/DataDE1c!W88</f>
        <v>0.258495519522139</v>
      </c>
      <c r="F65" s="498" t="n">
        <f aca="false">E65/B65</f>
        <v>0.112337218556295</v>
      </c>
      <c r="G65" s="493" t="n">
        <f aca="false">(DataDE1c!AN88+DataDE1c!F88)/TableDE1!B65</f>
        <v>0.171807814830135</v>
      </c>
      <c r="H65" s="495" t="n">
        <f aca="false">G65</f>
        <v>0.171807814830135</v>
      </c>
      <c r="I65" s="496"/>
      <c r="J65" s="496"/>
      <c r="K65" s="496"/>
      <c r="L65" s="497" t="n">
        <f aca="false">E65*(1-H65)</f>
        <v>0.214083969169659</v>
      </c>
      <c r="M65" s="498" t="n">
        <f aca="false">(1-H65)*F65</f>
        <v>0.0930368065120426</v>
      </c>
      <c r="N65" s="499"/>
      <c r="O65" s="500" t="n">
        <f aca="false">TableDE12c!C65</f>
        <v>0.145204484067692</v>
      </c>
      <c r="P65" s="501" t="n">
        <f aca="false">TableDE5a!O65</f>
        <v>0</v>
      </c>
      <c r="R65" s="502"/>
    </row>
    <row r="66" customFormat="false" ht="12" hidden="false" customHeight="true" outlineLevel="0" collapsed="false">
      <c r="A66" s="76" t="n">
        <v>1926</v>
      </c>
      <c r="B66" s="492" t="n">
        <f aca="false">TableDE1!N66</f>
        <v>2.6717317802794</v>
      </c>
      <c r="C66" s="493" t="n">
        <f aca="false">TableDE11b!N65</f>
        <v>0.26796310960212</v>
      </c>
      <c r="D66" s="493" t="n">
        <f aca="false">TableDE11b!O65</f>
        <v>0.73203689039788</v>
      </c>
      <c r="E66" s="493" t="n">
        <f aca="false">(DataDE1c!X89+DataDE1c!AC89)/DataDE1c!W89</f>
        <v>0.271665161483755</v>
      </c>
      <c r="F66" s="498" t="n">
        <f aca="false">E66/B66</f>
        <v>0.101681300304533</v>
      </c>
      <c r="G66" s="493" t="n">
        <f aca="false">(DataDE1c!AN89+DataDE1c!F89)/TableDE1!B66</f>
        <v>0.161853605702822</v>
      </c>
      <c r="H66" s="495" t="n">
        <f aca="false">G66</f>
        <v>0.161853605702822</v>
      </c>
      <c r="I66" s="496"/>
      <c r="J66" s="496"/>
      <c r="K66" s="496"/>
      <c r="L66" s="497" t="n">
        <f aca="false">E66*(1-H66)</f>
        <v>0.22769517555377</v>
      </c>
      <c r="M66" s="498" t="n">
        <f aca="false">(1-H66)*F66</f>
        <v>0.0852238152176931</v>
      </c>
      <c r="N66" s="499"/>
      <c r="O66" s="500" t="n">
        <f aca="false">TableDE12c!C66</f>
        <v>0.0799207206530758</v>
      </c>
      <c r="P66" s="501" t="n">
        <f aca="false">TableDE5a!O66</f>
        <v>0</v>
      </c>
      <c r="R66" s="502"/>
    </row>
    <row r="67" customFormat="false" ht="12" hidden="false" customHeight="true" outlineLevel="0" collapsed="false">
      <c r="A67" s="76" t="n">
        <v>1927</v>
      </c>
      <c r="B67" s="492" t="n">
        <f aca="false">TableDE1!N67</f>
        <v>2.74751038725353</v>
      </c>
      <c r="C67" s="493" t="n">
        <f aca="false">TableDE11b!N66</f>
        <v>0.258347215013198</v>
      </c>
      <c r="D67" s="493" t="n">
        <f aca="false">TableDE11b!O66</f>
        <v>0.741652784986802</v>
      </c>
      <c r="E67" s="493" t="n">
        <f aca="false">(DataDE1c!X90+DataDE1c!AC90)/DataDE1c!W90</f>
        <v>0.263326575324171</v>
      </c>
      <c r="F67" s="498" t="n">
        <f aca="false">E67/B67</f>
        <v>0.095841885273962</v>
      </c>
      <c r="G67" s="493" t="n">
        <f aca="false">(DataDE1c!AN90+DataDE1c!F90)/TableDE1!B67</f>
        <v>0.17184310078873</v>
      </c>
      <c r="H67" s="495" t="n">
        <f aca="false">G67</f>
        <v>0.17184310078873</v>
      </c>
      <c r="I67" s="496"/>
      <c r="J67" s="496"/>
      <c r="K67" s="496"/>
      <c r="L67" s="497" t="n">
        <f aca="false">E67*(1-H67)</f>
        <v>0.218075720100389</v>
      </c>
      <c r="M67" s="498" t="n">
        <f aca="false">(1-H67)*F67</f>
        <v>0.0793721185230466</v>
      </c>
      <c r="N67" s="499"/>
      <c r="O67" s="500" t="n">
        <f aca="false">TableDE12c!C67</f>
        <v>0.0411065006961931</v>
      </c>
      <c r="P67" s="501" t="n">
        <f aca="false">TableDE5a!O67</f>
        <v>0</v>
      </c>
      <c r="R67" s="502"/>
    </row>
    <row r="68" customFormat="false" ht="12" hidden="false" customHeight="true" outlineLevel="0" collapsed="false">
      <c r="A68" s="76" t="n">
        <v>1928</v>
      </c>
      <c r="B68" s="492" t="n">
        <f aca="false">TableDE1!N68</f>
        <v>2.7994292717406</v>
      </c>
      <c r="C68" s="493" t="n">
        <f aca="false">TableDE11b!N67</f>
        <v>0.243362206097662</v>
      </c>
      <c r="D68" s="493" t="n">
        <f aca="false">TableDE11b!O67</f>
        <v>0.756637793902338</v>
      </c>
      <c r="E68" s="493" t="n">
        <f aca="false">(DataDE1c!X91+DataDE1c!AC91)/DataDE1c!W91</f>
        <v>0.249997242065186</v>
      </c>
      <c r="F68" s="498" t="n">
        <f aca="false">E68/B68</f>
        <v>0.0893029320614857</v>
      </c>
      <c r="G68" s="493" t="n">
        <f aca="false">(DataDE1c!AN91+DataDE1c!F91)/TableDE1!B68</f>
        <v>0.172276545618228</v>
      </c>
      <c r="H68" s="495" t="n">
        <f aca="false">G68</f>
        <v>0.172276545618228</v>
      </c>
      <c r="I68" s="496"/>
      <c r="J68" s="496"/>
      <c r="K68" s="496"/>
      <c r="L68" s="497" t="n">
        <f aca="false">E68*(1-H68)</f>
        <v>0.206928580788111</v>
      </c>
      <c r="M68" s="498" t="n">
        <f aca="false">(1-H68)*F68</f>
        <v>0.0739181314123537</v>
      </c>
      <c r="N68" s="499"/>
      <c r="O68" s="500" t="n">
        <f aca="false">TableDE12c!C68</f>
        <v>0.0766635279346228</v>
      </c>
      <c r="P68" s="501" t="n">
        <f aca="false">TableDE5a!O68</f>
        <v>0</v>
      </c>
      <c r="R68" s="502"/>
    </row>
    <row r="69" customFormat="false" ht="12" hidden="false" customHeight="true" outlineLevel="0" collapsed="false">
      <c r="A69" s="94" t="n">
        <v>1929</v>
      </c>
      <c r="B69" s="503" t="n">
        <f aca="false">TableDE1!N69</f>
        <v>3.04610714401076</v>
      </c>
      <c r="C69" s="504" t="n">
        <f aca="false">TableDE11b!N68</f>
        <v>0.238445868954738</v>
      </c>
      <c r="D69" s="504" t="n">
        <f aca="false">TableDE11b!O68</f>
        <v>0.761554131045263</v>
      </c>
      <c r="E69" s="504" t="n">
        <f aca="false">(DataDE1c!X92+DataDE1c!AC92)/DataDE1c!W92</f>
        <v>0.248162993866015</v>
      </c>
      <c r="F69" s="509" t="n">
        <f aca="false">E69/B69</f>
        <v>0.0814688985428342</v>
      </c>
      <c r="G69" s="504" t="n">
        <f aca="false">(DataDE1c!AN92+DataDE1c!F92)/TableDE1!B69</f>
        <v>0.173513214994678</v>
      </c>
      <c r="H69" s="506" t="n">
        <f aca="false">G69</f>
        <v>0.173513214994678</v>
      </c>
      <c r="I69" s="507"/>
      <c r="J69" s="507"/>
      <c r="K69" s="507"/>
      <c r="L69" s="508" t="n">
        <f aca="false">E69*(1-H69)</f>
        <v>0.205103434957619</v>
      </c>
      <c r="M69" s="509" t="n">
        <f aca="false">(1-H69)*F69</f>
        <v>0.0673329680345919</v>
      </c>
      <c r="N69" s="510"/>
      <c r="O69" s="511" t="n">
        <f aca="false">TableDE12c!C69</f>
        <v>0.0685478177629806</v>
      </c>
      <c r="P69" s="512" t="n">
        <f aca="false">TableDE5a!O69</f>
        <v>0</v>
      </c>
      <c r="R69" s="502"/>
    </row>
    <row r="70" customFormat="false" ht="12" hidden="false" customHeight="true" outlineLevel="0" collapsed="false">
      <c r="A70" s="76" t="n">
        <v>1930</v>
      </c>
      <c r="B70" s="492" t="n">
        <f aca="false">TableDE1!N70</f>
        <v>3.20522144595527</v>
      </c>
      <c r="C70" s="493" t="n">
        <f aca="false">TableDE11b!N69</f>
        <v>0.221432319959718</v>
      </c>
      <c r="D70" s="493" t="n">
        <f aca="false">TableDE11b!O69</f>
        <v>0.778567680040282</v>
      </c>
      <c r="E70" s="493" t="n">
        <f aca="false">(DataDE1c!X93+DataDE1c!AC93)/DataDE1c!W93</f>
        <v>0.234294917578431</v>
      </c>
      <c r="F70" s="498" t="n">
        <f aca="false">E70/B70</f>
        <v>0.0730978877837263</v>
      </c>
      <c r="G70" s="493" t="n">
        <f aca="false">(DataDE1c!AN93+DataDE1c!F93)/TableDE1!B70</f>
        <v>0.187756507317371</v>
      </c>
      <c r="H70" s="495" t="n">
        <f aca="false">G70</f>
        <v>0.187756507317371</v>
      </c>
      <c r="I70" s="496"/>
      <c r="J70" s="496"/>
      <c r="K70" s="496"/>
      <c r="L70" s="497" t="n">
        <f aca="false">E70*(1-H70)</f>
        <v>0.190304522171694</v>
      </c>
      <c r="M70" s="498" t="n">
        <f aca="false">(1-H70)*F70</f>
        <v>0.0593732836811768</v>
      </c>
      <c r="N70" s="499"/>
      <c r="O70" s="500" t="n">
        <f aca="false">TableDE12c!C70</f>
        <v>0.0438203713706912</v>
      </c>
      <c r="P70" s="501" t="n">
        <f aca="false">TableDE5a!O70</f>
        <v>0</v>
      </c>
      <c r="R70" s="502"/>
    </row>
    <row r="71" customFormat="false" ht="12" hidden="false" customHeight="true" outlineLevel="0" collapsed="false">
      <c r="A71" s="76" t="n">
        <v>1931</v>
      </c>
      <c r="B71" s="492" t="n">
        <f aca="false">TableDE1!N71</f>
        <v>3.36622157328003</v>
      </c>
      <c r="C71" s="493" t="n">
        <f aca="false">TableDE11b!N70</f>
        <v>0.196970324053991</v>
      </c>
      <c r="D71" s="493" t="n">
        <f aca="false">TableDE11b!O70</f>
        <v>0.803029675946009</v>
      </c>
      <c r="E71" s="493" t="n">
        <f aca="false">(DataDE1c!X94+DataDE1c!AC94)/DataDE1c!W94</f>
        <v>0.213887867608658</v>
      </c>
      <c r="F71" s="498" t="n">
        <f aca="false">E71/B71</f>
        <v>0.0635394500785184</v>
      </c>
      <c r="G71" s="493" t="n">
        <f aca="false">(DataDE1c!AN94+DataDE1c!F94)/TableDE1!B71</f>
        <v>0.198931758972067</v>
      </c>
      <c r="H71" s="495" t="n">
        <f aca="false">G71</f>
        <v>0.198931758972067</v>
      </c>
      <c r="I71" s="496"/>
      <c r="J71" s="496"/>
      <c r="K71" s="496"/>
      <c r="L71" s="497" t="n">
        <f aca="false">E71*(1-H71)</f>
        <v>0.171338777882483</v>
      </c>
      <c r="M71" s="498" t="n">
        <f aca="false">(1-H71)*F71</f>
        <v>0.0508994355102809</v>
      </c>
      <c r="N71" s="499"/>
      <c r="O71" s="500" t="n">
        <f aca="false">TableDE12c!C71</f>
        <v>-0.0183789972290407</v>
      </c>
      <c r="P71" s="501" t="n">
        <f aca="false">TableDE5a!O71</f>
        <v>0</v>
      </c>
      <c r="R71" s="502"/>
    </row>
    <row r="72" customFormat="false" ht="12" hidden="false" customHeight="true" outlineLevel="0" collapsed="false">
      <c r="A72" s="76" t="n">
        <v>1932</v>
      </c>
      <c r="B72" s="492" t="n">
        <f aca="false">TableDE1!N72</f>
        <v>3.48602055818593</v>
      </c>
      <c r="C72" s="493" t="n">
        <f aca="false">TableDE11b!N71</f>
        <v>0.195119867592602</v>
      </c>
      <c r="D72" s="493" t="n">
        <f aca="false">TableDE11b!O71</f>
        <v>0.804880132407398</v>
      </c>
      <c r="E72" s="493" t="n">
        <f aca="false">(DataDE1c!X95+DataDE1c!AC95)/DataDE1c!W95</f>
        <v>0.214926253420048</v>
      </c>
      <c r="F72" s="498" t="n">
        <f aca="false">E72/B72</f>
        <v>0.0616537538527575</v>
      </c>
      <c r="G72" s="493" t="n">
        <f aca="false">(DataDE1c!AN95+DataDE1c!F95)/TableDE1!B72</f>
        <v>0.211918499249179</v>
      </c>
      <c r="H72" s="495" t="n">
        <f aca="false">G72</f>
        <v>0.211918499249179</v>
      </c>
      <c r="I72" s="496"/>
      <c r="J72" s="496"/>
      <c r="K72" s="496"/>
      <c r="L72" s="497" t="n">
        <f aca="false">E72*(1-H72)</f>
        <v>0.169379404346023</v>
      </c>
      <c r="M72" s="498" t="n">
        <f aca="false">(1-H72)*F72</f>
        <v>0.0485881828632028</v>
      </c>
      <c r="N72" s="499"/>
      <c r="O72" s="500" t="n">
        <f aca="false">TableDE12c!C72</f>
        <v>-0.0439601724371703</v>
      </c>
      <c r="P72" s="501" t="n">
        <f aca="false">TableDE5a!O72</f>
        <v>0</v>
      </c>
      <c r="R72" s="502"/>
    </row>
    <row r="73" customFormat="false" ht="12" hidden="false" customHeight="true" outlineLevel="0" collapsed="false">
      <c r="A73" s="76" t="n">
        <v>1933</v>
      </c>
      <c r="B73" s="492" t="n">
        <f aca="false">TableDE1!N73</f>
        <v>3.31267321846689</v>
      </c>
      <c r="C73" s="493" t="n">
        <f aca="false">TableDE11b!N72</f>
        <v>0.201406751216177</v>
      </c>
      <c r="D73" s="493" t="n">
        <f aca="false">TableDE11b!O72</f>
        <v>0.798593248783823</v>
      </c>
      <c r="E73" s="493" t="n">
        <f aca="false">(DataDE1c!X96+DataDE1c!AC96)/DataDE1c!W96</f>
        <v>0.221065699098419</v>
      </c>
      <c r="F73" s="498" t="n">
        <f aca="false">E73/B73</f>
        <v>0.0667333251786086</v>
      </c>
      <c r="G73" s="493" t="n">
        <f aca="false">(DataDE1c!AN96+DataDE1c!F96)/TableDE1!B73</f>
        <v>0.201059192830782</v>
      </c>
      <c r="H73" s="495" t="n">
        <f aca="false">G73</f>
        <v>0.201059192830782</v>
      </c>
      <c r="I73" s="496"/>
      <c r="J73" s="496"/>
      <c r="K73" s="496"/>
      <c r="L73" s="497" t="n">
        <f aca="false">E73*(1-H73)</f>
        <v>0.176618408075118</v>
      </c>
      <c r="M73" s="498" t="n">
        <f aca="false">(1-H73)*F73</f>
        <v>0.0533159766832834</v>
      </c>
      <c r="N73" s="499"/>
      <c r="O73" s="500" t="n">
        <f aca="false">TableDE12c!C73</f>
        <v>0.00313040927093877</v>
      </c>
      <c r="P73" s="501" t="n">
        <f aca="false">TableDE5a!O73</f>
        <v>0</v>
      </c>
      <c r="R73" s="502"/>
    </row>
    <row r="74" customFormat="false" ht="12" hidden="false" customHeight="true" outlineLevel="0" collapsed="false">
      <c r="A74" s="76" t="n">
        <v>1934</v>
      </c>
      <c r="B74" s="492" t="n">
        <f aca="false">TableDE1!N74</f>
        <v>3.04876431192634</v>
      </c>
      <c r="C74" s="493" t="n">
        <f aca="false">TableDE11b!N73</f>
        <v>0.227433849820321</v>
      </c>
      <c r="D74" s="493" t="n">
        <f aca="false">TableDE11b!O73</f>
        <v>0.772566150179679</v>
      </c>
      <c r="E74" s="493" t="n">
        <f aca="false">(DataDE1c!X97+DataDE1c!AC97)/DataDE1c!W97</f>
        <v>0.245779524510282</v>
      </c>
      <c r="F74" s="498" t="n">
        <f aca="false">E74/B74</f>
        <v>0.0806161117633221</v>
      </c>
      <c r="G74" s="493" t="n">
        <f aca="false">(DataDE1c!AN97+DataDE1c!F97)/TableDE1!B74</f>
        <v>0.192119054715137</v>
      </c>
      <c r="H74" s="495" t="n">
        <f aca="false">G74</f>
        <v>0.192119054715137</v>
      </c>
      <c r="I74" s="496"/>
      <c r="J74" s="496"/>
      <c r="K74" s="496"/>
      <c r="L74" s="497" t="n">
        <f aca="false">E74*(1-H74)</f>
        <v>0.19856059459303</v>
      </c>
      <c r="M74" s="498" t="n">
        <f aca="false">(1-H74)*F74</f>
        <v>0.0651282205765428</v>
      </c>
      <c r="N74" s="499"/>
      <c r="O74" s="500" t="n">
        <f aca="false">TableDE12c!C74</f>
        <v>0.0426501283581031</v>
      </c>
      <c r="P74" s="501" t="n">
        <f aca="false">TableDE5a!O74</f>
        <v>0</v>
      </c>
      <c r="R74" s="502"/>
    </row>
    <row r="75" customFormat="false" ht="12" hidden="false" customHeight="true" outlineLevel="0" collapsed="false">
      <c r="A75" s="76" t="n">
        <v>1935</v>
      </c>
      <c r="B75" s="492" t="n">
        <f aca="false">TableDE1!N75</f>
        <v>2.904961969977</v>
      </c>
      <c r="C75" s="493" t="n">
        <f aca="false">TableDE11b!N74</f>
        <v>0.246881987951252</v>
      </c>
      <c r="D75" s="493" t="n">
        <f aca="false">TableDE11b!O74</f>
        <v>0.753118012048748</v>
      </c>
      <c r="E75" s="493" t="n">
        <f aca="false">(DataDE1c!X98+DataDE1c!AC98)/DataDE1c!W98</f>
        <v>0.266238370309599</v>
      </c>
      <c r="F75" s="498" t="n">
        <f aca="false">E75/B75</f>
        <v>0.0916495200492098</v>
      </c>
      <c r="G75" s="493" t="n">
        <f aca="false">(DataDE1c!AN98+DataDE1c!F98)/TableDE1!B75</f>
        <v>0.197734145180546</v>
      </c>
      <c r="H75" s="495" t="n">
        <f aca="false">G75</f>
        <v>0.197734145180546</v>
      </c>
      <c r="I75" s="496"/>
      <c r="J75" s="496"/>
      <c r="K75" s="496"/>
      <c r="L75" s="497" t="n">
        <f aca="false">E75*(1-H75)</f>
        <v>0.213593953742169</v>
      </c>
      <c r="M75" s="498" t="n">
        <f aca="false">(1-H75)*F75</f>
        <v>0.073527280546072</v>
      </c>
      <c r="N75" s="499"/>
      <c r="O75" s="500" t="n">
        <f aca="false">TableDE12c!C75</f>
        <v>0.0847406430824484</v>
      </c>
      <c r="P75" s="501" t="n">
        <f aca="false">TableDE5a!O75</f>
        <v>0</v>
      </c>
      <c r="R75" s="502"/>
    </row>
    <row r="76" customFormat="false" ht="12" hidden="false" customHeight="true" outlineLevel="0" collapsed="false">
      <c r="A76" s="76" t="n">
        <v>1936</v>
      </c>
      <c r="B76" s="492" t="n">
        <f aca="false">TableDE1!N76</f>
        <v>2.77195921904878</v>
      </c>
      <c r="C76" s="493" t="n">
        <f aca="false">TableDE11b!N75</f>
        <v>0.259108424125681</v>
      </c>
      <c r="D76" s="493" t="n">
        <f aca="false">TableDE11b!O75</f>
        <v>0.740891575874319</v>
      </c>
      <c r="E76" s="493" t="n">
        <f aca="false">(DataDE1c!X99+DataDE1c!AC99)/DataDE1c!W99</f>
        <v>0.278712796097237</v>
      </c>
      <c r="F76" s="498" t="n">
        <f aca="false">E76/B76</f>
        <v>0.100547220962681</v>
      </c>
      <c r="G76" s="493" t="n">
        <f aca="false">(DataDE1c!AN99+DataDE1c!F99)/TableDE1!B76</f>
        <v>0.205482086593658</v>
      </c>
      <c r="H76" s="495" t="n">
        <f aca="false">G76</f>
        <v>0.205482086593658</v>
      </c>
      <c r="I76" s="496"/>
      <c r="J76" s="496"/>
      <c r="K76" s="496"/>
      <c r="L76" s="497" t="n">
        <f aca="false">E76*(1-H76)</f>
        <v>0.221442309194824</v>
      </c>
      <c r="M76" s="498" t="n">
        <f aca="false">(1-H76)*F76</f>
        <v>0.0798865681980754</v>
      </c>
      <c r="N76" s="499"/>
      <c r="O76" s="500" t="n">
        <f aca="false">TableDE12c!C76</f>
        <v>0.102604984068492</v>
      </c>
      <c r="P76" s="501" t="n">
        <f aca="false">TableDE5a!O76</f>
        <v>0</v>
      </c>
      <c r="R76" s="502"/>
    </row>
    <row r="77" customFormat="false" ht="12" hidden="false" customHeight="true" outlineLevel="0" collapsed="false">
      <c r="A77" s="76" t="n">
        <v>1937</v>
      </c>
      <c r="B77" s="492" t="n">
        <f aca="false">TableDE1!N77</f>
        <v>2.6705544819023</v>
      </c>
      <c r="C77" s="493" t="n">
        <f aca="false">TableDE11b!N76</f>
        <v>0.292063760723853</v>
      </c>
      <c r="D77" s="493" t="n">
        <f aca="false">TableDE11b!O76</f>
        <v>0.707936239276147</v>
      </c>
      <c r="E77" s="493" t="n">
        <f aca="false">(DataDE1c!X100+DataDE1c!AC100)/DataDE1c!W100</f>
        <v>0.311553224366478</v>
      </c>
      <c r="F77" s="498" t="n">
        <f aca="false">E77/B77</f>
        <v>0.116662373480039</v>
      </c>
      <c r="G77" s="493" t="n">
        <f aca="false">(DataDE1c!AN100+DataDE1c!F100)/TableDE1!B77</f>
        <v>0.21744964887129</v>
      </c>
      <c r="H77" s="495" t="n">
        <f aca="false">G77</f>
        <v>0.21744964887129</v>
      </c>
      <c r="I77" s="496"/>
      <c r="J77" s="496"/>
      <c r="K77" s="496"/>
      <c r="L77" s="497" t="n">
        <f aca="false">E77*(1-H77)</f>
        <v>0.243806085123269</v>
      </c>
      <c r="M77" s="498" t="n">
        <f aca="false">(1-H77)*F77</f>
        <v>0.0912941813303133</v>
      </c>
      <c r="N77" s="499"/>
      <c r="O77" s="500" t="n">
        <f aca="false">TableDE12c!C77</f>
        <v>0.114186675780958</v>
      </c>
      <c r="P77" s="501" t="n">
        <f aca="false">TableDE5a!O77</f>
        <v>0</v>
      </c>
      <c r="R77" s="502"/>
    </row>
    <row r="78" customFormat="false" ht="12" hidden="false" customHeight="true" outlineLevel="0" collapsed="false">
      <c r="A78" s="76" t="n">
        <v>1938</v>
      </c>
      <c r="B78" s="492" t="n">
        <f aca="false">TableDE1!N78</f>
        <v>2.6478701221546</v>
      </c>
      <c r="C78" s="493" t="n">
        <f aca="false">TableDE11b!N77</f>
        <v>0.300568633723819</v>
      </c>
      <c r="D78" s="493" t="n">
        <f aca="false">TableDE11b!O77</f>
        <v>0.699431366276181</v>
      </c>
      <c r="E78" s="493" t="n">
        <f aca="false">(DataDE1c!X101+DataDE1c!AC101)/DataDE1c!W101</f>
        <v>0.321823346286865</v>
      </c>
      <c r="F78" s="498" t="n">
        <f aca="false">E78/B78</f>
        <v>0.121540457590493</v>
      </c>
      <c r="G78" s="493" t="n">
        <f aca="false">(DataDE1c!AN101+DataDE1c!F101)/TableDE1!B78</f>
        <v>0.234886930772218</v>
      </c>
      <c r="H78" s="495" t="n">
        <f aca="false">G78</f>
        <v>0.234886930772218</v>
      </c>
      <c r="I78" s="496"/>
      <c r="J78" s="497"/>
      <c r="K78" s="496"/>
      <c r="L78" s="497" t="n">
        <f aca="false">E78*(1-H78)</f>
        <v>0.246231248226698</v>
      </c>
      <c r="M78" s="498" t="n">
        <f aca="false">(1-H78)*F78</f>
        <v>0.0929921925424111</v>
      </c>
      <c r="N78" s="499"/>
      <c r="O78" s="500" t="n">
        <f aca="false">TableDE12c!C78</f>
        <v>0.182148297482014</v>
      </c>
      <c r="P78" s="501" t="n">
        <f aca="false">TableDE5a!O78</f>
        <v>0</v>
      </c>
      <c r="R78" s="502"/>
    </row>
    <row r="79" customFormat="false" ht="12" hidden="false" customHeight="true" outlineLevel="0" collapsed="false">
      <c r="A79" s="94" t="n">
        <v>1939</v>
      </c>
      <c r="B79" s="503" t="n">
        <f aca="false">TableDE1!N79</f>
        <v>2.81626544087146</v>
      </c>
      <c r="C79" s="504"/>
      <c r="D79" s="504"/>
      <c r="E79" s="507"/>
      <c r="F79" s="510"/>
      <c r="G79" s="507"/>
      <c r="H79" s="507"/>
      <c r="I79" s="507"/>
      <c r="J79" s="507"/>
      <c r="K79" s="507"/>
      <c r="L79" s="510"/>
      <c r="M79" s="510"/>
      <c r="N79" s="510"/>
      <c r="O79" s="511" t="n">
        <f aca="false">TableDE12c!C79</f>
        <v>0.0529535835739049</v>
      </c>
      <c r="P79" s="512" t="n">
        <f aca="false">TableDE5a!O79</f>
        <v>0</v>
      </c>
      <c r="R79" s="502"/>
    </row>
    <row r="80" customFormat="false" ht="12" hidden="false" customHeight="true" outlineLevel="0" collapsed="false">
      <c r="A80" s="76" t="n">
        <v>1940</v>
      </c>
      <c r="B80" s="492" t="n">
        <f aca="false">TableDE1!N80</f>
        <v>2.87248866113009</v>
      </c>
      <c r="C80" s="496"/>
      <c r="D80" s="496"/>
      <c r="E80" s="496"/>
      <c r="F80" s="499"/>
      <c r="G80" s="496"/>
      <c r="H80" s="496"/>
      <c r="I80" s="496"/>
      <c r="J80" s="496"/>
      <c r="K80" s="496"/>
      <c r="L80" s="499"/>
      <c r="M80" s="499"/>
      <c r="N80" s="499"/>
      <c r="O80" s="500" t="n">
        <f aca="false">TableDE12c!C80</f>
        <v>0.118674103224221</v>
      </c>
      <c r="P80" s="501" t="n">
        <f aca="false">TableDE5a!O80</f>
        <v>-0.0888180774081637</v>
      </c>
      <c r="R80" s="502"/>
    </row>
    <row r="81" customFormat="false" ht="12" hidden="false" customHeight="true" outlineLevel="0" collapsed="false">
      <c r="A81" s="76" t="n">
        <v>1941</v>
      </c>
      <c r="B81" s="492" t="n">
        <f aca="false">TableDE1!N81</f>
        <v>2.63187893442654</v>
      </c>
      <c r="C81" s="496"/>
      <c r="D81" s="496"/>
      <c r="E81" s="496"/>
      <c r="F81" s="499"/>
      <c r="G81" s="496"/>
      <c r="H81" s="496"/>
      <c r="I81" s="496"/>
      <c r="J81" s="496"/>
      <c r="K81" s="496"/>
      <c r="L81" s="499"/>
      <c r="M81" s="499"/>
      <c r="N81" s="499"/>
      <c r="O81" s="500" t="n">
        <f aca="false">TableDE12c!C81</f>
        <v>0.198125145380181</v>
      </c>
      <c r="P81" s="501" t="n">
        <f aca="false">TableDE5a!O81</f>
        <v>-0.077745501208987</v>
      </c>
      <c r="R81" s="502"/>
    </row>
    <row r="82" customFormat="false" ht="12" hidden="false" customHeight="true" outlineLevel="0" collapsed="false">
      <c r="A82" s="76" t="n">
        <v>1942</v>
      </c>
      <c r="B82" s="492" t="n">
        <f aca="false">TableDE1!N82</f>
        <v>2.6963992530691</v>
      </c>
      <c r="C82" s="496"/>
      <c r="D82" s="496"/>
      <c r="E82" s="496"/>
      <c r="F82" s="499"/>
      <c r="G82" s="496"/>
      <c r="H82" s="496"/>
      <c r="I82" s="496"/>
      <c r="J82" s="496"/>
      <c r="K82" s="496"/>
      <c r="L82" s="499"/>
      <c r="M82" s="499"/>
      <c r="N82" s="499"/>
      <c r="O82" s="500" t="n">
        <f aca="false">TableDE12c!C82</f>
        <v>0.242349666350638</v>
      </c>
      <c r="P82" s="501" t="n">
        <f aca="false">TableDE5a!O82</f>
        <v>-0.0735872011155127</v>
      </c>
      <c r="R82" s="502"/>
    </row>
    <row r="83" customFormat="false" ht="12" hidden="false" customHeight="true" outlineLevel="0" collapsed="false">
      <c r="A83" s="76" t="n">
        <v>1943</v>
      </c>
      <c r="B83" s="492" t="n">
        <f aca="false">TableDE1!N83</f>
        <v>2.78709097712112</v>
      </c>
      <c r="C83" s="496"/>
      <c r="D83" s="496"/>
      <c r="E83" s="496"/>
      <c r="F83" s="499"/>
      <c r="G83" s="496"/>
      <c r="H83" s="496"/>
      <c r="I83" s="496"/>
      <c r="J83" s="496"/>
      <c r="K83" s="496"/>
      <c r="L83" s="499"/>
      <c r="M83" s="499"/>
      <c r="N83" s="499"/>
      <c r="O83" s="500" t="n">
        <f aca="false">TableDE12c!C83</f>
        <v>0.301358832544919</v>
      </c>
      <c r="P83" s="501" t="n">
        <f aca="false">TableDE5a!O83</f>
        <v>-0.069169642316808</v>
      </c>
      <c r="R83" s="502"/>
    </row>
    <row r="84" customFormat="false" ht="12" hidden="false" customHeight="true" outlineLevel="0" collapsed="false">
      <c r="A84" s="76" t="n">
        <v>1944</v>
      </c>
      <c r="B84" s="492" t="n">
        <f aca="false">TableDE1!N84</f>
        <v>2.96206288722261</v>
      </c>
      <c r="C84" s="496"/>
      <c r="D84" s="496"/>
      <c r="E84" s="496"/>
      <c r="F84" s="499"/>
      <c r="G84" s="496"/>
      <c r="H84" s="496"/>
      <c r="I84" s="496"/>
      <c r="J84" s="496"/>
      <c r="K84" s="496"/>
      <c r="L84" s="499"/>
      <c r="M84" s="499"/>
      <c r="N84" s="499"/>
      <c r="O84" s="500" t="n">
        <f aca="false">TableDE12c!C84</f>
        <v>-0.0647515</v>
      </c>
      <c r="P84" s="501" t="n">
        <f aca="false">TableDE5a!O84</f>
        <v>-0.302343753993788</v>
      </c>
      <c r="R84" s="502"/>
    </row>
    <row r="85" customFormat="false" ht="12" hidden="false" customHeight="true" outlineLevel="0" collapsed="false">
      <c r="A85" s="76" t="n">
        <v>1945</v>
      </c>
      <c r="B85" s="492" t="n">
        <f aca="false">TableDE1!N85</f>
        <v>2.60485268254877</v>
      </c>
      <c r="C85" s="496"/>
      <c r="D85" s="496"/>
      <c r="E85" s="496"/>
      <c r="F85" s="499"/>
      <c r="G85" s="496"/>
      <c r="H85" s="496"/>
      <c r="I85" s="496"/>
      <c r="J85" s="496"/>
      <c r="K85" s="496"/>
      <c r="L85" s="499"/>
      <c r="M85" s="499"/>
      <c r="N85" s="499"/>
      <c r="O85" s="500" t="n">
        <f aca="false">TableDE12c!C85</f>
        <v>-0.0647515</v>
      </c>
      <c r="P85" s="501" t="n">
        <f aca="false">TableDE5a!O85</f>
        <v>0</v>
      </c>
      <c r="R85" s="502"/>
    </row>
    <row r="86" customFormat="false" ht="12" hidden="false" customHeight="true" outlineLevel="0" collapsed="false">
      <c r="A86" s="76" t="n">
        <v>1946</v>
      </c>
      <c r="B86" s="492" t="n">
        <f aca="false">TableDE1!N86</f>
        <v>2.35122106335948</v>
      </c>
      <c r="C86" s="496"/>
      <c r="D86" s="496"/>
      <c r="E86" s="496"/>
      <c r="F86" s="499"/>
      <c r="G86" s="496"/>
      <c r="H86" s="496"/>
      <c r="I86" s="496"/>
      <c r="J86" s="496"/>
      <c r="K86" s="496"/>
      <c r="L86" s="499"/>
      <c r="M86" s="499"/>
      <c r="N86" s="499"/>
      <c r="O86" s="500" t="n">
        <f aca="false">TableDE12c!C86</f>
        <v>0.0968022674513154</v>
      </c>
      <c r="P86" s="501" t="n">
        <f aca="false">TableDE5a!O86</f>
        <v>0</v>
      </c>
      <c r="R86" s="502"/>
    </row>
    <row r="87" customFormat="false" ht="12" hidden="false" customHeight="true" outlineLevel="0" collapsed="false">
      <c r="A87" s="76" t="n">
        <v>1947</v>
      </c>
      <c r="B87" s="492" t="n">
        <f aca="false">TableDE1!N87</f>
        <v>2.14452547648039</v>
      </c>
      <c r="C87" s="496"/>
      <c r="D87" s="496"/>
      <c r="E87" s="496"/>
      <c r="F87" s="499"/>
      <c r="G87" s="496"/>
      <c r="H87" s="496"/>
      <c r="I87" s="496"/>
      <c r="J87" s="496"/>
      <c r="K87" s="496"/>
      <c r="L87" s="499"/>
      <c r="M87" s="499"/>
      <c r="N87" s="499"/>
      <c r="O87" s="500" t="n">
        <f aca="false">TableDE12c!C87</f>
        <v>0.132503146587545</v>
      </c>
      <c r="P87" s="501" t="n">
        <f aca="false">TableDE5a!O87</f>
        <v>0</v>
      </c>
      <c r="R87" s="502"/>
    </row>
    <row r="88" customFormat="false" ht="12" hidden="false" customHeight="true" outlineLevel="0" collapsed="false">
      <c r="A88" s="76" t="n">
        <v>1948</v>
      </c>
      <c r="B88" s="492" t="n">
        <f aca="false">TableDE1!N88</f>
        <v>1.98808149388641</v>
      </c>
      <c r="C88" s="496"/>
      <c r="D88" s="496"/>
      <c r="E88" s="496"/>
      <c r="F88" s="499"/>
      <c r="G88" s="496"/>
      <c r="H88" s="496"/>
      <c r="I88" s="496"/>
      <c r="J88" s="496"/>
      <c r="K88" s="496"/>
      <c r="L88" s="499"/>
      <c r="M88" s="499"/>
      <c r="N88" s="499"/>
      <c r="O88" s="500" t="n">
        <f aca="false">TableDE12c!C88</f>
        <v>0.132503146587545</v>
      </c>
      <c r="P88" s="501" t="n">
        <f aca="false">TableDE5a!O88</f>
        <v>0</v>
      </c>
      <c r="R88" s="502"/>
    </row>
    <row r="89" customFormat="false" ht="12" hidden="false" customHeight="true" outlineLevel="0" collapsed="false">
      <c r="A89" s="94" t="n">
        <v>1949</v>
      </c>
      <c r="B89" s="503" t="n">
        <f aca="false">TableDE1!N89</f>
        <v>1.83084764388668</v>
      </c>
      <c r="C89" s="507"/>
      <c r="D89" s="507"/>
      <c r="E89" s="507"/>
      <c r="F89" s="510"/>
      <c r="G89" s="507"/>
      <c r="H89" s="507"/>
      <c r="I89" s="507"/>
      <c r="J89" s="507"/>
      <c r="K89" s="507"/>
      <c r="L89" s="510"/>
      <c r="M89" s="510"/>
      <c r="N89" s="510"/>
      <c r="O89" s="511" t="n">
        <f aca="false">TableDE12c!C89</f>
        <v>0.132503146587545</v>
      </c>
      <c r="P89" s="512" t="n">
        <f aca="false">TableDE5a!O89</f>
        <v>0</v>
      </c>
      <c r="R89" s="502"/>
    </row>
    <row r="90" customFormat="false" ht="12" hidden="false" customHeight="false" outlineLevel="0" collapsed="false">
      <c r="A90" s="145" t="n">
        <v>1950</v>
      </c>
      <c r="B90" s="517" t="n">
        <f aca="false">TableDE1!N90</f>
        <v>1.81096491207406</v>
      </c>
      <c r="C90" s="518" t="n">
        <f aca="false">TableDE11b!N89</f>
        <v>0.217835072647638</v>
      </c>
      <c r="D90" s="518" t="n">
        <f aca="false">TableDE11b!O89</f>
        <v>0.782164927352363</v>
      </c>
      <c r="E90" s="519" t="n">
        <f aca="false">TableDE11b!B89</f>
        <v>0.210585682989255</v>
      </c>
      <c r="F90" s="520" t="n">
        <f aca="false">E90/B90</f>
        <v>0.116283690305228</v>
      </c>
      <c r="G90" s="497" t="n">
        <f aca="false">TableDE13!B9</f>
        <v>0.293944666557193</v>
      </c>
      <c r="H90" s="497"/>
      <c r="I90" s="497"/>
      <c r="J90" s="497"/>
      <c r="L90" s="497"/>
      <c r="M90" s="520"/>
      <c r="N90" s="521" t="n">
        <f aca="false">TableDE12!I10</f>
        <v>0.0302265415598598</v>
      </c>
      <c r="O90" s="522" t="n">
        <f aca="false">TableDE12!J10</f>
        <v>0.129041259430632</v>
      </c>
      <c r="P90" s="523" t="n">
        <f aca="false">TableDE5a!O90</f>
        <v>0</v>
      </c>
      <c r="R90" s="502"/>
    </row>
    <row r="91" customFormat="false" ht="12" hidden="false" customHeight="false" outlineLevel="0" collapsed="false">
      <c r="A91" s="145" t="n">
        <f aca="false">A90+1</f>
        <v>1951</v>
      </c>
      <c r="B91" s="517" t="n">
        <f aca="false">TableDE1!N91</f>
        <v>1.7259870972447</v>
      </c>
      <c r="C91" s="518" t="n">
        <f aca="false">TableDE11b!N90</f>
        <v>0.23274115361604</v>
      </c>
      <c r="D91" s="518" t="n">
        <f aca="false">TableDE11b!O90</f>
        <v>0.767258846383961</v>
      </c>
      <c r="E91" s="519" t="n">
        <f aca="false">TableDE11b!B90</f>
        <v>0.222223342787</v>
      </c>
      <c r="F91" s="520" t="n">
        <f aca="false">E91/B91</f>
        <v>0.128751450773733</v>
      </c>
      <c r="G91" s="497" t="n">
        <f aca="false">TableDE13!B10</f>
        <v>0.305438197938319</v>
      </c>
      <c r="H91" s="497"/>
      <c r="I91" s="497"/>
      <c r="J91" s="497"/>
      <c r="K91" s="497"/>
      <c r="L91" s="497"/>
      <c r="M91" s="520"/>
      <c r="N91" s="521" t="n">
        <f aca="false">TableDE12!I11</f>
        <v>0.0269925644614136</v>
      </c>
      <c r="O91" s="522" t="n">
        <f aca="false">TableDE12!J11</f>
        <v>0.140471595577549</v>
      </c>
      <c r="P91" s="523" t="n">
        <f aca="false">TableDE5a!O91</f>
        <v>0</v>
      </c>
      <c r="R91" s="502"/>
    </row>
    <row r="92" customFormat="false" ht="12" hidden="false" customHeight="false" outlineLevel="0" collapsed="false">
      <c r="A92" s="145" t="n">
        <f aca="false">A91+1</f>
        <v>1952</v>
      </c>
      <c r="B92" s="517" t="n">
        <f aca="false">TableDE1!N92</f>
        <v>1.6928524202708</v>
      </c>
      <c r="C92" s="518" t="n">
        <f aca="false">TableDE11b!N91</f>
        <v>0.254186787330289</v>
      </c>
      <c r="D92" s="518" t="n">
        <f aca="false">TableDE11b!O91</f>
        <v>0.745813212669712</v>
      </c>
      <c r="E92" s="519" t="n">
        <f aca="false">TableDE11b!B91</f>
        <v>0.24459380172977</v>
      </c>
      <c r="F92" s="520" t="n">
        <f aca="false">E92/B92</f>
        <v>0.144486193126417</v>
      </c>
      <c r="G92" s="497" t="n">
        <f aca="false">TableDE13!B11</f>
        <v>0.31831841542342</v>
      </c>
      <c r="H92" s="497"/>
      <c r="I92" s="497"/>
      <c r="J92" s="497"/>
      <c r="K92" s="497"/>
      <c r="L92" s="497"/>
      <c r="M92" s="520"/>
      <c r="N92" s="521" t="n">
        <f aca="false">TableDE12!I12</f>
        <v>0.0443064121991936</v>
      </c>
      <c r="O92" s="522" t="n">
        <f aca="false">TableDE12!J12</f>
        <v>0.150920021402004</v>
      </c>
      <c r="P92" s="523" t="n">
        <f aca="false">TableDE5a!O92</f>
        <v>0</v>
      </c>
      <c r="R92" s="502"/>
    </row>
    <row r="93" customFormat="false" ht="12" hidden="false" customHeight="false" outlineLevel="0" collapsed="false">
      <c r="A93" s="145" t="n">
        <f aca="false">A92+1</f>
        <v>1953</v>
      </c>
      <c r="B93" s="517" t="n">
        <f aca="false">TableDE1!N93</f>
        <v>1.68102603404635</v>
      </c>
      <c r="C93" s="518" t="n">
        <f aca="false">TableDE11b!N92</f>
        <v>0.242333879298656</v>
      </c>
      <c r="D93" s="518" t="n">
        <f aca="false">TableDE11b!O92</f>
        <v>0.757666120701344</v>
      </c>
      <c r="E93" s="519" t="n">
        <f aca="false">TableDE11b!B92</f>
        <v>0.234071790375529</v>
      </c>
      <c r="F93" s="520" t="n">
        <f aca="false">E93/B93</f>
        <v>0.139243405893067</v>
      </c>
      <c r="G93" s="497" t="n">
        <f aca="false">TableDE13!B12</f>
        <v>0.325858086113409</v>
      </c>
      <c r="H93" s="497"/>
      <c r="I93" s="497"/>
      <c r="J93" s="497"/>
      <c r="K93" s="497"/>
      <c r="L93" s="497"/>
      <c r="M93" s="520"/>
      <c r="N93" s="521" t="n">
        <f aca="false">TableDE12!I13</f>
        <v>0.052432582889028</v>
      </c>
      <c r="O93" s="522" t="n">
        <f aca="false">TableDE12!J13</f>
        <v>0.131423283191845</v>
      </c>
      <c r="P93" s="523" t="n">
        <f aca="false">TableDE5a!O93</f>
        <v>0</v>
      </c>
      <c r="R93" s="502"/>
    </row>
    <row r="94" customFormat="false" ht="12" hidden="false" customHeight="false" outlineLevel="0" collapsed="false">
      <c r="A94" s="145" t="n">
        <f aca="false">A93+1</f>
        <v>1954</v>
      </c>
      <c r="B94" s="517" t="n">
        <f aca="false">TableDE1!N94</f>
        <v>1.70211908841729</v>
      </c>
      <c r="C94" s="518" t="n">
        <f aca="false">TableDE11b!N93</f>
        <v>0.235521637205408</v>
      </c>
      <c r="D94" s="518" t="n">
        <f aca="false">TableDE11b!O93</f>
        <v>0.764478362794592</v>
      </c>
      <c r="E94" s="519" t="n">
        <f aca="false">TableDE11b!B93</f>
        <v>0.223798658804942</v>
      </c>
      <c r="F94" s="520" t="n">
        <f aca="false">E94/B94</f>
        <v>0.131482374134609</v>
      </c>
      <c r="G94" s="497" t="n">
        <f aca="false">TableDE13!B13</f>
        <v>0.322379415099277</v>
      </c>
      <c r="H94" s="497"/>
      <c r="I94" s="497"/>
      <c r="J94" s="497"/>
      <c r="K94" s="497"/>
      <c r="L94" s="497"/>
      <c r="M94" s="520"/>
      <c r="N94" s="521" t="n">
        <f aca="false">TableDE12!I14</f>
        <v>0.0564217574399448</v>
      </c>
      <c r="O94" s="522" t="n">
        <f aca="false">TableDE12!J14</f>
        <v>0.139502925210176</v>
      </c>
      <c r="P94" s="523" t="n">
        <f aca="false">TableDE5a!O94</f>
        <v>0</v>
      </c>
      <c r="R94" s="502"/>
    </row>
    <row r="95" customFormat="false" ht="12" hidden="false" customHeight="false" outlineLevel="0" collapsed="false">
      <c r="A95" s="145" t="n">
        <f aca="false">A94+1</f>
        <v>1955</v>
      </c>
      <c r="B95" s="517" t="n">
        <f aca="false">TableDE1!N95</f>
        <v>1.60198436608059</v>
      </c>
      <c r="C95" s="518" t="n">
        <f aca="false">TableDE11b!N94</f>
        <v>0.250976133238694</v>
      </c>
      <c r="D95" s="518" t="n">
        <f aca="false">TableDE11b!O94</f>
        <v>0.749023866761306</v>
      </c>
      <c r="E95" s="519" t="n">
        <f aca="false">TableDE11b!B94</f>
        <v>0.241013127977007</v>
      </c>
      <c r="F95" s="520" t="n">
        <f aca="false">E95/B95</f>
        <v>0.150446616758608</v>
      </c>
      <c r="G95" s="497" t="n">
        <f aca="false">TableDE13!B14</f>
        <v>0.312175252335342</v>
      </c>
      <c r="H95" s="497"/>
      <c r="I95" s="497"/>
      <c r="J95" s="497"/>
      <c r="K95" s="497"/>
      <c r="L95" s="497"/>
      <c r="M95" s="520"/>
      <c r="N95" s="521" t="n">
        <f aca="false">TableDE12!I15</f>
        <v>0.0496286716805891</v>
      </c>
      <c r="O95" s="522" t="n">
        <f aca="false">TableDE12!J15</f>
        <v>0.156642917239501</v>
      </c>
      <c r="P95" s="523" t="n">
        <f aca="false">TableDE5a!O95</f>
        <v>0</v>
      </c>
      <c r="R95" s="502"/>
    </row>
    <row r="96" customFormat="false" ht="12" hidden="false" customHeight="false" outlineLevel="0" collapsed="false">
      <c r="A96" s="145" t="n">
        <f aca="false">A95+1</f>
        <v>1956</v>
      </c>
      <c r="B96" s="517" t="n">
        <f aca="false">TableDE1!N96</f>
        <v>1.54136823480604</v>
      </c>
      <c r="C96" s="518" t="n">
        <f aca="false">TableDE11b!N95</f>
        <v>0.250553366261135</v>
      </c>
      <c r="D96" s="518" t="n">
        <f aca="false">TableDE11b!O95</f>
        <v>0.749446633738865</v>
      </c>
      <c r="E96" s="519" t="n">
        <f aca="false">TableDE11b!B95</f>
        <v>0.239002850880478</v>
      </c>
      <c r="F96" s="520" t="n">
        <f aca="false">E96/B96</f>
        <v>0.155058892147569</v>
      </c>
      <c r="G96" s="497" t="n">
        <f aca="false">TableDE13!B15</f>
        <v>0.313559067231498</v>
      </c>
      <c r="H96" s="497"/>
      <c r="I96" s="497"/>
      <c r="J96" s="497"/>
      <c r="K96" s="497"/>
      <c r="L96" s="497"/>
      <c r="M96" s="520"/>
      <c r="N96" s="521" t="n">
        <f aca="false">TableDE12!I16</f>
        <v>0.0441278608660523</v>
      </c>
      <c r="O96" s="522" t="n">
        <f aca="false">TableDE12!J16</f>
        <v>0.153460284020784</v>
      </c>
      <c r="P96" s="523" t="n">
        <f aca="false">TableDE5a!O96</f>
        <v>0</v>
      </c>
      <c r="R96" s="502"/>
    </row>
    <row r="97" customFormat="false" ht="12" hidden="false" customHeight="false" outlineLevel="0" collapsed="false">
      <c r="A97" s="145" t="n">
        <f aca="false">A96+1</f>
        <v>1957</v>
      </c>
      <c r="B97" s="517" t="n">
        <f aca="false">TableDE1!N97</f>
        <v>1.53818303519292</v>
      </c>
      <c r="C97" s="518" t="n">
        <f aca="false">TableDE11b!N96</f>
        <v>0.254725326877651</v>
      </c>
      <c r="D97" s="518" t="n">
        <f aca="false">TableDE11b!O96</f>
        <v>0.745274673122349</v>
      </c>
      <c r="E97" s="519" t="n">
        <f aca="false">TableDE11b!B96</f>
        <v>0.244759195853942</v>
      </c>
      <c r="F97" s="520" t="n">
        <f aca="false">E97/B97</f>
        <v>0.15912228275437</v>
      </c>
      <c r="G97" s="497" t="n">
        <f aca="false">TableDE13!B16</f>
        <v>0.320399959298177</v>
      </c>
      <c r="H97" s="497"/>
      <c r="I97" s="497"/>
      <c r="J97" s="497"/>
      <c r="K97" s="497"/>
      <c r="L97" s="497"/>
      <c r="M97" s="520"/>
      <c r="N97" s="521" t="n">
        <f aca="false">TableDE12!I17</f>
        <v>0.0600532081980675</v>
      </c>
      <c r="O97" s="522" t="n">
        <f aca="false">TableDE12!J17</f>
        <v>0.164874669097362</v>
      </c>
      <c r="P97" s="523" t="n">
        <f aca="false">TableDE5a!O97</f>
        <v>0</v>
      </c>
      <c r="R97" s="502"/>
    </row>
    <row r="98" customFormat="false" ht="12" hidden="false" customHeight="false" outlineLevel="0" collapsed="false">
      <c r="A98" s="145" t="n">
        <f aca="false">A97+1</f>
        <v>1958</v>
      </c>
      <c r="B98" s="517" t="n">
        <f aca="false">TableDE1!N98</f>
        <v>1.61165062318547</v>
      </c>
      <c r="C98" s="518" t="n">
        <f aca="false">TableDE11b!N97</f>
        <v>0.25019189272452</v>
      </c>
      <c r="D98" s="518" t="n">
        <f aca="false">TableDE11b!O97</f>
        <v>0.74980810727548</v>
      </c>
      <c r="E98" s="519" t="n">
        <f aca="false">TableDE11b!B97</f>
        <v>0.242640518186274</v>
      </c>
      <c r="F98" s="520" t="n">
        <f aca="false">E98/B98</f>
        <v>0.150554043597047</v>
      </c>
      <c r="G98" s="497" t="n">
        <f aca="false">TableDE13!B17</f>
        <v>0.322754545355586</v>
      </c>
      <c r="H98" s="497"/>
      <c r="I98" s="497"/>
      <c r="J98" s="497"/>
      <c r="K98" s="497"/>
      <c r="L98" s="497"/>
      <c r="M98" s="520"/>
      <c r="N98" s="521" t="n">
        <f aca="false">TableDE12!I18</f>
        <v>0.0631081834329254</v>
      </c>
      <c r="O98" s="522" t="n">
        <f aca="false">TableDE12!J18</f>
        <v>0.170235611906622</v>
      </c>
      <c r="P98" s="523" t="n">
        <f aca="false">TableDE5a!O98</f>
        <v>0</v>
      </c>
      <c r="R98" s="502"/>
    </row>
    <row r="99" customFormat="false" ht="12" hidden="false" customHeight="false" outlineLevel="0" collapsed="false">
      <c r="A99" s="145" t="n">
        <f aca="false">A98+1</f>
        <v>1959</v>
      </c>
      <c r="B99" s="517" t="n">
        <f aca="false">TableDE1!N99</f>
        <v>1.65921444356448</v>
      </c>
      <c r="C99" s="518" t="n">
        <f aca="false">TableDE11b!N98</f>
        <v>0.26406276605921</v>
      </c>
      <c r="D99" s="518" t="n">
        <f aca="false">TableDE11b!O98</f>
        <v>0.73593723394079</v>
      </c>
      <c r="E99" s="519" t="n">
        <f aca="false">TableDE11b!B98</f>
        <v>0.255245958048576</v>
      </c>
      <c r="F99" s="520" t="n">
        <f aca="false">E99/B99</f>
        <v>0.153835424371206</v>
      </c>
      <c r="G99" s="497" t="n">
        <f aca="false">TableDE13!B18</f>
        <v>0.32623715074975</v>
      </c>
      <c r="H99" s="497"/>
      <c r="I99" s="497"/>
      <c r="J99" s="497"/>
      <c r="K99" s="497"/>
      <c r="L99" s="497"/>
      <c r="M99" s="520"/>
      <c r="N99" s="521" t="n">
        <f aca="false">TableDE12!I19</f>
        <v>0.0636457594857226</v>
      </c>
      <c r="O99" s="522" t="n">
        <f aca="false">TableDE12!J19</f>
        <v>0.172067086021464</v>
      </c>
      <c r="P99" s="523" t="n">
        <f aca="false">TableDE5a!O99</f>
        <v>0</v>
      </c>
      <c r="R99" s="502"/>
    </row>
    <row r="100" customFormat="false" ht="12" hidden="false" customHeight="false" outlineLevel="0" collapsed="false">
      <c r="A100" s="131" t="n">
        <f aca="false">A99+1</f>
        <v>1960</v>
      </c>
      <c r="B100" s="524" t="n">
        <f aca="false">TableDE1!N100</f>
        <v>1.72291064507652</v>
      </c>
      <c r="C100" s="525" t="n">
        <f aca="false">TableDE11b!N99</f>
        <v>0.275044925895278</v>
      </c>
      <c r="D100" s="525" t="n">
        <f aca="false">TableDE11b!O99</f>
        <v>0.724955074104723</v>
      </c>
      <c r="E100" s="526" t="n">
        <f aca="false">TableDE11b!B99</f>
        <v>0.266819433448415</v>
      </c>
      <c r="F100" s="527" t="n">
        <f aca="false">E100/B100</f>
        <v>0.154865508673298</v>
      </c>
      <c r="G100" s="528" t="n">
        <f aca="false">TableDE13!B19</f>
        <v>0.329060659751494</v>
      </c>
      <c r="H100" s="528"/>
      <c r="I100" s="528"/>
      <c r="J100" s="528"/>
      <c r="K100" s="528"/>
      <c r="L100" s="528"/>
      <c r="M100" s="527"/>
      <c r="N100" s="529" t="n">
        <f aca="false">TableDE12!I20</f>
        <v>0.0615432007959414</v>
      </c>
      <c r="O100" s="530" t="n">
        <f aca="false">TableDE12!J20</f>
        <v>0.174482018998493</v>
      </c>
      <c r="P100" s="531" t="n">
        <f aca="false">TableDE5a!O100</f>
        <v>0</v>
      </c>
      <c r="R100" s="502"/>
    </row>
    <row r="101" customFormat="false" ht="12" hidden="false" customHeight="false" outlineLevel="0" collapsed="false">
      <c r="A101" s="145" t="n">
        <f aca="false">A100+1</f>
        <v>1961</v>
      </c>
      <c r="B101" s="517" t="n">
        <f aca="false">TableDE1!N101</f>
        <v>1.85092968455441</v>
      </c>
      <c r="C101" s="518" t="n">
        <f aca="false">TableDE11b!N100</f>
        <v>0.254148227726244</v>
      </c>
      <c r="D101" s="518" t="n">
        <f aca="false">TableDE11b!O100</f>
        <v>0.745851772273755</v>
      </c>
      <c r="E101" s="519" t="n">
        <f aca="false">TableDE11b!B100</f>
        <v>0.245001757767506</v>
      </c>
      <c r="F101" s="520" t="n">
        <f aca="false">E101/B101</f>
        <v>0.132366863966789</v>
      </c>
      <c r="G101" s="497" t="n">
        <f aca="false">TableDE13!B20</f>
        <v>0.342285942717864</v>
      </c>
      <c r="H101" s="497"/>
      <c r="I101" s="497"/>
      <c r="J101" s="497"/>
      <c r="K101" s="497"/>
      <c r="L101" s="497"/>
      <c r="M101" s="520"/>
      <c r="N101" s="521" t="n">
        <f aca="false">TableDE12!I21</f>
        <v>0.0668455932929867</v>
      </c>
      <c r="O101" s="522" t="n">
        <f aca="false">TableDE12!J21</f>
        <v>0.163651192943359</v>
      </c>
      <c r="P101" s="523" t="n">
        <f aca="false">TableDE5a!O101</f>
        <v>0</v>
      </c>
      <c r="R101" s="502"/>
    </row>
    <row r="102" customFormat="false" ht="12" hidden="false" customHeight="false" outlineLevel="0" collapsed="false">
      <c r="A102" s="145" t="n">
        <f aca="false">A101+1</f>
        <v>1962</v>
      </c>
      <c r="B102" s="517" t="n">
        <f aca="false">TableDE1!N102</f>
        <v>1.92458454459699</v>
      </c>
      <c r="C102" s="518" t="n">
        <f aca="false">TableDE11b!N101</f>
        <v>0.244537156606109</v>
      </c>
      <c r="D102" s="518" t="n">
        <f aca="false">TableDE11b!O101</f>
        <v>0.755462843393891</v>
      </c>
      <c r="E102" s="519" t="n">
        <f aca="false">TableDE11b!B101</f>
        <v>0.236353170747936</v>
      </c>
      <c r="F102" s="520" t="n">
        <f aca="false">E102/B102</f>
        <v>0.122807372329506</v>
      </c>
      <c r="G102" s="497" t="n">
        <f aca="false">TableDE13!B21</f>
        <v>0.348466250763395</v>
      </c>
      <c r="H102" s="497"/>
      <c r="I102" s="497"/>
      <c r="J102" s="497"/>
      <c r="K102" s="497"/>
      <c r="L102" s="497"/>
      <c r="M102" s="520"/>
      <c r="N102" s="521" t="n">
        <f aca="false">TableDE12!I22</f>
        <v>0.0638661766276336</v>
      </c>
      <c r="O102" s="522" t="n">
        <f aca="false">TableDE12!J22</f>
        <v>0.157950710036278</v>
      </c>
      <c r="P102" s="523" t="n">
        <f aca="false">TableDE5a!O102</f>
        <v>0</v>
      </c>
      <c r="R102" s="502"/>
    </row>
    <row r="103" customFormat="false" ht="12" hidden="false" customHeight="false" outlineLevel="0" collapsed="false">
      <c r="A103" s="145" t="n">
        <f aca="false">A102+1</f>
        <v>1963</v>
      </c>
      <c r="B103" s="517" t="n">
        <f aca="false">TableDE1!N103</f>
        <v>2.03219589620557</v>
      </c>
      <c r="C103" s="518" t="n">
        <f aca="false">TableDE11b!N102</f>
        <v>0.244390535780255</v>
      </c>
      <c r="D103" s="518" t="n">
        <f aca="false">TableDE11b!O102</f>
        <v>0.755609464219745</v>
      </c>
      <c r="E103" s="519" t="n">
        <f aca="false">TableDE11b!B102</f>
        <v>0.236026718696745</v>
      </c>
      <c r="F103" s="520" t="n">
        <f aca="false">E103/B103</f>
        <v>0.116143684345316</v>
      </c>
      <c r="G103" s="497" t="n">
        <f aca="false">TableDE13!B22</f>
        <v>0.352688524837078</v>
      </c>
      <c r="H103" s="497"/>
      <c r="I103" s="497"/>
      <c r="J103" s="497"/>
      <c r="K103" s="497"/>
      <c r="L103" s="497"/>
      <c r="M103" s="520"/>
      <c r="N103" s="521" t="n">
        <f aca="false">TableDE12!I23</f>
        <v>0.0733324725396677</v>
      </c>
      <c r="O103" s="522" t="n">
        <f aca="false">TableDE12!J23</f>
        <v>0.145314807080079</v>
      </c>
      <c r="P103" s="523" t="n">
        <f aca="false">TableDE5a!O103</f>
        <v>0</v>
      </c>
      <c r="R103" s="502"/>
    </row>
    <row r="104" customFormat="false" ht="12" hidden="false" customHeight="false" outlineLevel="0" collapsed="false">
      <c r="A104" s="145" t="n">
        <f aca="false">A103+1</f>
        <v>1964</v>
      </c>
      <c r="B104" s="517" t="n">
        <f aca="false">TableDE1!N104</f>
        <v>2.05916032080744</v>
      </c>
      <c r="C104" s="518" t="n">
        <f aca="false">TableDE11b!N103</f>
        <v>0.249265899910599</v>
      </c>
      <c r="D104" s="518" t="n">
        <f aca="false">TableDE11b!O103</f>
        <v>0.750734100089401</v>
      </c>
      <c r="E104" s="519" t="n">
        <f aca="false">TableDE11b!B103</f>
        <v>0.24156811156112</v>
      </c>
      <c r="F104" s="520" t="n">
        <f aca="false">E104/B104</f>
        <v>0.117313892036535</v>
      </c>
      <c r="G104" s="497" t="n">
        <f aca="false">TableDE13!B23</f>
        <v>0.348680042880846</v>
      </c>
      <c r="H104" s="497"/>
      <c r="I104" s="497"/>
      <c r="J104" s="497"/>
      <c r="K104" s="497"/>
      <c r="L104" s="497"/>
      <c r="M104" s="520"/>
      <c r="N104" s="521" t="n">
        <f aca="false">TableDE12!I24</f>
        <v>0.0807932197061177</v>
      </c>
      <c r="O104" s="522" t="n">
        <f aca="false">TableDE12!J24</f>
        <v>0.162032626093683</v>
      </c>
      <c r="P104" s="523" t="n">
        <f aca="false">TableDE5a!O104</f>
        <v>0</v>
      </c>
      <c r="R104" s="502"/>
    </row>
    <row r="105" customFormat="false" ht="12" hidden="false" customHeight="false" outlineLevel="0" collapsed="false">
      <c r="A105" s="145" t="n">
        <f aca="false">A104+1</f>
        <v>1965</v>
      </c>
      <c r="B105" s="517" t="n">
        <f aca="false">TableDE1!N105</f>
        <v>2.08023135044425</v>
      </c>
      <c r="C105" s="518" t="n">
        <f aca="false">TableDE11b!N104</f>
        <v>0.245231557514042</v>
      </c>
      <c r="D105" s="518" t="n">
        <f aca="false">TableDE11b!O104</f>
        <v>0.754768442485958</v>
      </c>
      <c r="E105" s="519" t="n">
        <f aca="false">TableDE11b!B104</f>
        <v>0.238336360442188</v>
      </c>
      <c r="F105" s="520" t="n">
        <f aca="false">E105/B105</f>
        <v>0.114572045263758</v>
      </c>
      <c r="G105" s="497" t="n">
        <f aca="false">TableDE13!B24</f>
        <v>0.338603811720048</v>
      </c>
      <c r="H105" s="497"/>
      <c r="I105" s="497"/>
      <c r="J105" s="497"/>
      <c r="K105" s="497"/>
      <c r="L105" s="497"/>
      <c r="M105" s="520"/>
      <c r="N105" s="521" t="n">
        <f aca="false">TableDE12!I25</f>
        <v>0.0901952115973582</v>
      </c>
      <c r="O105" s="522" t="n">
        <f aca="false">TableDE12!J25</f>
        <v>0.166631201809104</v>
      </c>
      <c r="P105" s="523" t="n">
        <f aca="false">TableDE5a!O105</f>
        <v>0</v>
      </c>
      <c r="R105" s="502"/>
    </row>
    <row r="106" customFormat="false" ht="12" hidden="false" customHeight="false" outlineLevel="0" collapsed="false">
      <c r="A106" s="145" t="n">
        <f aca="false">A105+1</f>
        <v>1966</v>
      </c>
      <c r="B106" s="517" t="n">
        <f aca="false">TableDE1!N106</f>
        <v>2.15670604416821</v>
      </c>
      <c r="C106" s="518" t="n">
        <f aca="false">TableDE11b!N105</f>
        <v>0.235268301761803</v>
      </c>
      <c r="D106" s="518" t="n">
        <f aca="false">TableDE11b!O105</f>
        <v>0.764731698238197</v>
      </c>
      <c r="E106" s="519" t="n">
        <f aca="false">TableDE11b!B105</f>
        <v>0.229486994013115</v>
      </c>
      <c r="F106" s="520" t="n">
        <f aca="false">E106/B106</f>
        <v>0.106406246059195</v>
      </c>
      <c r="G106" s="497" t="n">
        <f aca="false">TableDE13!B25</f>
        <v>0.349368297135629</v>
      </c>
      <c r="H106" s="497"/>
      <c r="I106" s="497"/>
      <c r="J106" s="497"/>
      <c r="K106" s="497"/>
      <c r="L106" s="497"/>
      <c r="M106" s="520"/>
      <c r="N106" s="521" t="n">
        <f aca="false">TableDE12!I26</f>
        <v>0.0864878429910414</v>
      </c>
      <c r="O106" s="522" t="n">
        <f aca="false">TableDE12!J26</f>
        <v>0.155713040821261</v>
      </c>
      <c r="P106" s="523" t="n">
        <f aca="false">TableDE5a!O106</f>
        <v>0</v>
      </c>
      <c r="R106" s="502"/>
    </row>
    <row r="107" customFormat="false" ht="12" hidden="false" customHeight="false" outlineLevel="0" collapsed="false">
      <c r="A107" s="145" t="n">
        <f aca="false">A106+1</f>
        <v>1967</v>
      </c>
      <c r="B107" s="517" t="n">
        <f aca="false">TableDE1!N107</f>
        <v>2.36200777433169</v>
      </c>
      <c r="C107" s="518" t="n">
        <f aca="false">TableDE11b!N106</f>
        <v>0.237025966147616</v>
      </c>
      <c r="D107" s="518" t="n">
        <f aca="false">TableDE11b!O106</f>
        <v>0.762974033852384</v>
      </c>
      <c r="E107" s="519" t="n">
        <f aca="false">TableDE11b!B106</f>
        <v>0.233038345247298</v>
      </c>
      <c r="F107" s="520" t="n">
        <f aca="false">E107/B107</f>
        <v>0.0986611254119323</v>
      </c>
      <c r="G107" s="497" t="n">
        <f aca="false">TableDE13!B26</f>
        <v>0.357276782995542</v>
      </c>
      <c r="H107" s="497"/>
      <c r="I107" s="497"/>
      <c r="J107" s="497"/>
      <c r="K107" s="497"/>
      <c r="L107" s="497"/>
      <c r="M107" s="520"/>
      <c r="N107" s="521" t="n">
        <f aca="false">TableDE12!I27</f>
        <v>0.0836368767500594</v>
      </c>
      <c r="O107" s="522" t="n">
        <f aca="false">TableDE12!J27</f>
        <v>0.151821108085628</v>
      </c>
      <c r="P107" s="523" t="n">
        <f aca="false">TableDE5a!O107</f>
        <v>0</v>
      </c>
      <c r="R107" s="502"/>
    </row>
    <row r="108" customFormat="false" ht="12" hidden="false" customHeight="false" outlineLevel="0" collapsed="false">
      <c r="A108" s="145" t="n">
        <f aca="false">A107+1</f>
        <v>1968</v>
      </c>
      <c r="B108" s="517" t="n">
        <f aca="false">TableDE1!N108</f>
        <v>2.40188261173434</v>
      </c>
      <c r="C108" s="518" t="n">
        <f aca="false">TableDE11b!N107</f>
        <v>0.257338399452782</v>
      </c>
      <c r="D108" s="518" t="n">
        <f aca="false">TableDE11b!O107</f>
        <v>0.742661600547218</v>
      </c>
      <c r="E108" s="519" t="n">
        <f aca="false">TableDE11b!B107</f>
        <v>0.252608760790724</v>
      </c>
      <c r="F108" s="520" t="n">
        <f aca="false">E108/B108</f>
        <v>0.105171151810921</v>
      </c>
      <c r="G108" s="497" t="n">
        <f aca="false">TableDE13!B27</f>
        <v>0.364084359051555</v>
      </c>
      <c r="H108" s="497"/>
      <c r="I108" s="497"/>
      <c r="J108" s="497"/>
      <c r="K108" s="497"/>
      <c r="L108" s="497"/>
      <c r="M108" s="520"/>
      <c r="N108" s="521" t="n">
        <f aca="false">TableDE12!I28</f>
        <v>0.0931137083855779</v>
      </c>
      <c r="O108" s="522" t="n">
        <f aca="false">TableDE12!J28</f>
        <v>0.163465948328095</v>
      </c>
      <c r="P108" s="523" t="n">
        <f aca="false">TableDE5a!O108</f>
        <v>0</v>
      </c>
      <c r="R108" s="502"/>
    </row>
    <row r="109" customFormat="false" ht="12" hidden="false" customHeight="false" outlineLevel="0" collapsed="false">
      <c r="A109" s="160" t="n">
        <f aca="false">A108+1</f>
        <v>1969</v>
      </c>
      <c r="B109" s="532" t="n">
        <f aca="false">TableDE1!N109</f>
        <v>2.34281054543449</v>
      </c>
      <c r="C109" s="533" t="n">
        <f aca="false">TableDE11b!N108</f>
        <v>0.253293576422688</v>
      </c>
      <c r="D109" s="533" t="n">
        <f aca="false">TableDE11b!O108</f>
        <v>0.746706423577312</v>
      </c>
      <c r="E109" s="534" t="n">
        <f aca="false">TableDE11b!B108</f>
        <v>0.248958694526387</v>
      </c>
      <c r="F109" s="535" t="n">
        <f aca="false">E109/B109</f>
        <v>0.106264970939089</v>
      </c>
      <c r="G109" s="508" t="n">
        <f aca="false">TableDE13!B28</f>
        <v>0.377798177369909</v>
      </c>
      <c r="H109" s="508"/>
      <c r="I109" s="508"/>
      <c r="J109" s="508"/>
      <c r="K109" s="508"/>
      <c r="L109" s="508"/>
      <c r="M109" s="535"/>
      <c r="N109" s="536" t="n">
        <f aca="false">TableDE12!I29</f>
        <v>0.0964638492315008</v>
      </c>
      <c r="O109" s="537" t="n">
        <f aca="false">TableDE12!J29</f>
        <v>0.155456095789605</v>
      </c>
      <c r="P109" s="538" t="n">
        <f aca="false">TableDE5a!O109</f>
        <v>0</v>
      </c>
      <c r="R109" s="502"/>
    </row>
    <row r="110" customFormat="false" ht="12" hidden="false" customHeight="false" outlineLevel="0" collapsed="false">
      <c r="A110" s="145" t="n">
        <f aca="false">A109+1</f>
        <v>1970</v>
      </c>
      <c r="B110" s="517" t="n">
        <f aca="false">TableDE1!N110</f>
        <v>2.25028311964994</v>
      </c>
      <c r="C110" s="518" t="n">
        <f aca="false">TableDE11b!N109</f>
        <v>0.234390472336068</v>
      </c>
      <c r="D110" s="518" t="n">
        <f aca="false">TableDE11b!O109</f>
        <v>0.765609527663932</v>
      </c>
      <c r="E110" s="519" t="n">
        <f aca="false">TableDE11b!B109</f>
        <v>0.229351549188671</v>
      </c>
      <c r="F110" s="520" t="n">
        <f aca="false">E110/B110</f>
        <v>0.101921197020022</v>
      </c>
      <c r="G110" s="497" t="n">
        <f aca="false">TableDE13!B29</f>
        <v>0.369799451918286</v>
      </c>
      <c r="H110" s="497" t="n">
        <f aca="false">TableDE13!M29</f>
        <v>0.26475195106363</v>
      </c>
      <c r="I110" s="497" t="n">
        <f aca="false">TableDE13!N29</f>
        <v>0.402937005048599</v>
      </c>
      <c r="J110" s="497" t="n">
        <f aca="false">H110*E110+K110*D110</f>
        <v>0.254537907563778</v>
      </c>
      <c r="K110" s="497" t="n">
        <f aca="false">TableDE13!O29</f>
        <v>0.253153377058923</v>
      </c>
      <c r="L110" s="497" t="n">
        <f aca="false">TableDE12!C30</f>
        <v>0.168630279061504</v>
      </c>
      <c r="M110" s="520" t="n">
        <f aca="false">(1-H110)*F110</f>
        <v>0.0749373612542303</v>
      </c>
      <c r="N110" s="521" t="n">
        <f aca="false">TableDE12!I30</f>
        <v>0.102508295242015</v>
      </c>
      <c r="O110" s="522" t="n">
        <f aca="false">TableDE12!J30</f>
        <v>0.163334591429995</v>
      </c>
      <c r="P110" s="523" t="n">
        <f aca="false">TableDE5a!O110</f>
        <v>0</v>
      </c>
      <c r="R110" s="502"/>
    </row>
    <row r="111" customFormat="false" ht="12" hidden="false" customHeight="false" outlineLevel="0" collapsed="false">
      <c r="A111" s="145" t="n">
        <v>1971</v>
      </c>
      <c r="B111" s="517" t="n">
        <f aca="false">TableDE1!N111</f>
        <v>2.19997368560301</v>
      </c>
      <c r="C111" s="518" t="n">
        <f aca="false">TableDE11b!N110</f>
        <v>0.221751115861339</v>
      </c>
      <c r="D111" s="518" t="n">
        <f aca="false">TableDE11b!O110</f>
        <v>0.778248884138661</v>
      </c>
      <c r="E111" s="519" t="n">
        <f aca="false">TableDE11b!B110</f>
        <v>0.217250075192246</v>
      </c>
      <c r="F111" s="520" t="n">
        <f aca="false">E111/B111</f>
        <v>0.0987512153504229</v>
      </c>
      <c r="G111" s="497" t="n">
        <f aca="false">TableDE13!B30</f>
        <v>0.379787894172731</v>
      </c>
      <c r="H111" s="497" t="n">
        <f aca="false">TableDE13!M30</f>
        <v>0.256269111498529</v>
      </c>
      <c r="I111" s="497" t="n">
        <f aca="false">TableDE13!N30</f>
        <v>0.415791592298062</v>
      </c>
      <c r="J111" s="497" t="n">
        <f aca="false">H111*E111+K111*D111</f>
        <v>0.262452039048336</v>
      </c>
      <c r="K111" s="497" t="n">
        <f aca="false">TableDE13!O30</f>
        <v>0.26569592262851</v>
      </c>
      <c r="L111" s="497" t="n">
        <f aca="false">TableDE12!C31</f>
        <v>0.161575591449741</v>
      </c>
      <c r="M111" s="520" t="n">
        <f aca="false">(1-H111)*F111</f>
        <v>0.0734443291331701</v>
      </c>
      <c r="N111" s="521" t="n">
        <f aca="false">TableDE12!I31</f>
        <v>0.100607094066776</v>
      </c>
      <c r="O111" s="522" t="n">
        <f aca="false">TableDE12!J31</f>
        <v>0.152056196762001</v>
      </c>
      <c r="P111" s="523" t="n">
        <f aca="false">TableDE5a!O111</f>
        <v>0</v>
      </c>
      <c r="R111" s="502"/>
    </row>
    <row r="112" customFormat="false" ht="12" hidden="false" customHeight="false" outlineLevel="0" collapsed="false">
      <c r="A112" s="145" t="n">
        <v>1972</v>
      </c>
      <c r="B112" s="517" t="n">
        <f aca="false">TableDE1!N112</f>
        <v>2.21783938845911</v>
      </c>
      <c r="C112" s="518" t="n">
        <f aca="false">TableDE11b!N111</f>
        <v>0.213035772881011</v>
      </c>
      <c r="D112" s="518" t="n">
        <f aca="false">TableDE11b!O111</f>
        <v>0.786964227118989</v>
      </c>
      <c r="E112" s="519" t="n">
        <f aca="false">TableDE11b!B111</f>
        <v>0.211688075705341</v>
      </c>
      <c r="F112" s="520" t="n">
        <f aca="false">E112/B112</f>
        <v>0.0954478835604122</v>
      </c>
      <c r="G112" s="497" t="n">
        <f aca="false">TableDE13!B31</f>
        <v>0.383250311332503</v>
      </c>
      <c r="H112" s="497" t="n">
        <f aca="false">TableDE13!M31</f>
        <v>0.25176482531275</v>
      </c>
      <c r="I112" s="497" t="n">
        <f aca="false">TableDE13!N31</f>
        <v>0.419079320603481</v>
      </c>
      <c r="J112" s="497" t="n">
        <f aca="false">H112*E112+K112*D112</f>
        <v>0.260657689076061</v>
      </c>
      <c r="K112" s="497" t="n">
        <f aca="false">TableDE13!O31</f>
        <v>0.263496192748747</v>
      </c>
      <c r="L112" s="497" t="n">
        <f aca="false">TableDE12!C32</f>
        <v>0.158392464304593</v>
      </c>
      <c r="M112" s="520" t="n">
        <f aca="false">(1-H112)*F112</f>
        <v>0.0714174638293533</v>
      </c>
      <c r="N112" s="521" t="n">
        <f aca="false">TableDE12!I32</f>
        <v>0.109649013963338</v>
      </c>
      <c r="O112" s="522" t="n">
        <f aca="false">TableDE12!J32</f>
        <v>0.149517444997924</v>
      </c>
      <c r="P112" s="523" t="n">
        <f aca="false">TableDE5a!O112</f>
        <v>0</v>
      </c>
      <c r="R112" s="502"/>
    </row>
    <row r="113" customFormat="false" ht="12" hidden="false" customHeight="false" outlineLevel="0" collapsed="false">
      <c r="A113" s="145" t="n">
        <v>1973</v>
      </c>
      <c r="B113" s="517" t="n">
        <f aca="false">TableDE1!N113</f>
        <v>2.18479912165755</v>
      </c>
      <c r="C113" s="518" t="n">
        <f aca="false">TableDE11b!N112</f>
        <v>0.204432066791021</v>
      </c>
      <c r="D113" s="518" t="n">
        <f aca="false">TableDE11b!O112</f>
        <v>0.795567933208979</v>
      </c>
      <c r="E113" s="519" t="n">
        <f aca="false">TableDE11b!B112</f>
        <v>0.203568202916675</v>
      </c>
      <c r="F113" s="520" t="n">
        <f aca="false">E113/B113</f>
        <v>0.0931747916312936</v>
      </c>
      <c r="G113" s="497" t="n">
        <f aca="false">TableDE13!B32</f>
        <v>0.405457000512176</v>
      </c>
      <c r="H113" s="497" t="n">
        <f aca="false">TableDE13!M32</f>
        <v>0.27245630083424</v>
      </c>
      <c r="I113" s="497" t="n">
        <f aca="false">TableDE13!N32</f>
        <v>0.439809018073463</v>
      </c>
      <c r="J113" s="497" t="n">
        <f aca="false">H113*E113+K113*D113</f>
        <v>0.282155979087111</v>
      </c>
      <c r="K113" s="497" t="n">
        <f aca="false">TableDE13!O32</f>
        <v>0.284944289595207</v>
      </c>
      <c r="L113" s="497" t="n">
        <f aca="false">TableDE12!C33</f>
        <v>0.148104763382524</v>
      </c>
      <c r="M113" s="520" t="n">
        <f aca="false">(1-H113)*F113</f>
        <v>0.0677887325724302</v>
      </c>
      <c r="N113" s="521" t="n">
        <f aca="false">TableDE12!I33</f>
        <v>0.10322653893987</v>
      </c>
      <c r="O113" s="522" t="n">
        <f aca="false">TableDE12!J33</f>
        <v>0.133445090096382</v>
      </c>
      <c r="P113" s="523" t="n">
        <f aca="false">TableDE5a!O113</f>
        <v>0</v>
      </c>
      <c r="R113" s="502"/>
    </row>
    <row r="114" customFormat="false" ht="12" hidden="false" customHeight="false" outlineLevel="0" collapsed="false">
      <c r="A114" s="145" t="n">
        <v>1974</v>
      </c>
      <c r="B114" s="517" t="n">
        <f aca="false">TableDE1!N114</f>
        <v>2.20126698092742</v>
      </c>
      <c r="C114" s="518" t="n">
        <f aca="false">TableDE11b!N113</f>
        <v>0.189614858537759</v>
      </c>
      <c r="D114" s="518" t="n">
        <f aca="false">TableDE11b!O113</f>
        <v>0.810385141462241</v>
      </c>
      <c r="E114" s="519" t="n">
        <f aca="false">TableDE11b!B113</f>
        <v>0.192325420009202</v>
      </c>
      <c r="F114" s="520" t="n">
        <f aca="false">E114/B114</f>
        <v>0.0873703288495121</v>
      </c>
      <c r="G114" s="497" t="n">
        <f aca="false">TableDE13!B33</f>
        <v>0.411704911650842</v>
      </c>
      <c r="H114" s="497" t="n">
        <f aca="false">TableDE13!M33</f>
        <v>0.267625041635691</v>
      </c>
      <c r="I114" s="497" t="n">
        <f aca="false">TableDE13!N33</f>
        <v>0.444877435435328</v>
      </c>
      <c r="J114" s="497" t="n">
        <f aca="false">H114*E114+K114*D114</f>
        <v>0.278923400172315</v>
      </c>
      <c r="K114" s="497" t="n">
        <f aca="false">TableDE13!O33</f>
        <v>0.280671855883661</v>
      </c>
      <c r="L114" s="497" t="n">
        <f aca="false">TableDE12!C34</f>
        <v>0.140854321471637</v>
      </c>
      <c r="M114" s="520" t="n">
        <f aca="false">(1-H114)*F114</f>
        <v>0.0639878409534374</v>
      </c>
      <c r="N114" s="521" t="n">
        <f aca="false">TableDE12!I34</f>
        <v>0.111056441089748</v>
      </c>
      <c r="O114" s="522" t="n">
        <f aca="false">TableDE12!J34</f>
        <v>0.141769587127193</v>
      </c>
      <c r="P114" s="523" t="n">
        <f aca="false">TableDE5a!O114</f>
        <v>0</v>
      </c>
      <c r="R114" s="502"/>
    </row>
    <row r="115" customFormat="false" ht="12" hidden="false" customHeight="false" outlineLevel="0" collapsed="false">
      <c r="A115" s="145" t="n">
        <v>1975</v>
      </c>
      <c r="B115" s="517" t="n">
        <f aca="false">TableDE1!N115</f>
        <v>2.29465431841867</v>
      </c>
      <c r="C115" s="518" t="n">
        <f aca="false">TableDE11b!N114</f>
        <v>0.191416118243326</v>
      </c>
      <c r="D115" s="518" t="n">
        <f aca="false">TableDE11b!O114</f>
        <v>0.808583881756674</v>
      </c>
      <c r="E115" s="519" t="n">
        <f aca="false">TableDE11b!B114</f>
        <v>0.197643123498077</v>
      </c>
      <c r="F115" s="520" t="n">
        <f aca="false">E115/B115</f>
        <v>0.0861319815850433</v>
      </c>
      <c r="G115" s="497" t="n">
        <f aca="false">TableDE13!B34</f>
        <v>0.411035826029299</v>
      </c>
      <c r="H115" s="497" t="n">
        <f aca="false">TableDE13!M34</f>
        <v>0.248342685621531</v>
      </c>
      <c r="I115" s="497" t="n">
        <f aca="false">TableDE13!N34</f>
        <v>0.448445422031516</v>
      </c>
      <c r="J115" s="497" t="n">
        <f aca="false">H115*E115+K115*D115</f>
        <v>0.252832950343457</v>
      </c>
      <c r="K115" s="497" t="n">
        <f aca="false">TableDE13!O34</f>
        <v>0.251983413046354</v>
      </c>
      <c r="L115" s="497" t="n">
        <f aca="false">TableDE12!C35</f>
        <v>0.148559899413937</v>
      </c>
      <c r="M115" s="520" t="n">
        <f aca="false">(1-H115)*F115</f>
        <v>0.0647417339603093</v>
      </c>
      <c r="N115" s="521" t="n">
        <f aca="false">TableDE12!I35</f>
        <v>0.121352825172545</v>
      </c>
      <c r="O115" s="522" t="n">
        <f aca="false">TableDE12!J35</f>
        <v>0.147137448457347</v>
      </c>
      <c r="P115" s="523" t="n">
        <f aca="false">TableDE5a!O115</f>
        <v>0</v>
      </c>
      <c r="R115" s="502"/>
    </row>
    <row r="116" customFormat="false" ht="12" hidden="false" customHeight="false" outlineLevel="0" collapsed="false">
      <c r="A116" s="145" t="n">
        <v>1976</v>
      </c>
      <c r="B116" s="517" t="n">
        <f aca="false">TableDE1!N116</f>
        <v>2.28676888070146</v>
      </c>
      <c r="C116" s="518" t="n">
        <f aca="false">TableDE11b!N115</f>
        <v>0.199694584955381</v>
      </c>
      <c r="D116" s="518" t="n">
        <f aca="false">TableDE11b!O115</f>
        <v>0.800305415044619</v>
      </c>
      <c r="E116" s="519" t="n">
        <f aca="false">TableDE11b!B115</f>
        <v>0.209314079879022</v>
      </c>
      <c r="F116" s="520" t="n">
        <f aca="false">E116/B116</f>
        <v>0.0915326781142899</v>
      </c>
      <c r="G116" s="497" t="n">
        <f aca="false">TableDE13!B35</f>
        <v>0.427738505801879</v>
      </c>
      <c r="H116" s="497" t="n">
        <f aca="false">TableDE13!M35</f>
        <v>0.265162509185326</v>
      </c>
      <c r="I116" s="497" t="n">
        <f aca="false">TableDE13!N35</f>
        <v>0.466400052641339</v>
      </c>
      <c r="J116" s="497" t="n">
        <f aca="false">H116*E116+K116*D116</f>
        <v>0.271678268913525</v>
      </c>
      <c r="K116" s="497" t="n">
        <f aca="false">TableDE13!O35</f>
        <v>0.270116905647744</v>
      </c>
      <c r="L116" s="497" t="n">
        <f aca="false">TableDE12!C36</f>
        <v>0.153811833250483</v>
      </c>
      <c r="M116" s="520" t="n">
        <f aca="false">(1-H116)*F116</f>
        <v>0.067261643513052</v>
      </c>
      <c r="N116" s="521" t="n">
        <f aca="false">TableDE12!I36</f>
        <v>0.105951699473701</v>
      </c>
      <c r="O116" s="522" t="n">
        <f aca="false">TableDE12!J36</f>
        <v>0.136920534268239</v>
      </c>
      <c r="P116" s="523" t="n">
        <f aca="false">TableDE5a!O116</f>
        <v>0</v>
      </c>
      <c r="R116" s="502"/>
    </row>
    <row r="117" customFormat="false" ht="12" hidden="false" customHeight="false" outlineLevel="0" collapsed="false">
      <c r="A117" s="145" t="n">
        <v>1977</v>
      </c>
      <c r="B117" s="517" t="n">
        <f aca="false">TableDE1!N117</f>
        <v>2.36449969898551</v>
      </c>
      <c r="C117" s="518" t="n">
        <f aca="false">TableDE11b!N116</f>
        <v>0.196535621445285</v>
      </c>
      <c r="D117" s="518" t="n">
        <f aca="false">TableDE11b!O116</f>
        <v>0.803464378554715</v>
      </c>
      <c r="E117" s="519" t="n">
        <f aca="false">TableDE11b!B116</f>
        <v>0.207988384347185</v>
      </c>
      <c r="F117" s="520" t="n">
        <f aca="false">E117/B117</f>
        <v>0.0879629565765741</v>
      </c>
      <c r="G117" s="497" t="n">
        <f aca="false">TableDE13!B36</f>
        <v>0.438148300757807</v>
      </c>
      <c r="H117" s="497" t="n">
        <f aca="false">TableDE13!M36</f>
        <v>0.289029920586293</v>
      </c>
      <c r="I117" s="497" t="n">
        <f aca="false">TableDE13!N36</f>
        <v>0.472026773875205</v>
      </c>
      <c r="J117" s="497" t="n">
        <f aca="false">H117*E117+K117*D117</f>
        <v>0.282452262192047</v>
      </c>
      <c r="K117" s="497" t="n">
        <f aca="false">TableDE13!O36</f>
        <v>0.276723401703575</v>
      </c>
      <c r="L117" s="497" t="n">
        <f aca="false">TableDE12!C37</f>
        <v>0.147873518136447</v>
      </c>
      <c r="M117" s="520" t="n">
        <f aca="false">(1-H117)*F117</f>
        <v>0.0625390302227114</v>
      </c>
      <c r="N117" s="521" t="n">
        <f aca="false">TableDE12!I37</f>
        <v>0.0966430447686635</v>
      </c>
      <c r="O117" s="522" t="n">
        <f aca="false">TableDE12!J37</f>
        <v>0.1262473423028</v>
      </c>
      <c r="P117" s="523" t="n">
        <f aca="false">TableDE5a!O117</f>
        <v>0</v>
      </c>
      <c r="R117" s="502"/>
    </row>
    <row r="118" customFormat="false" ht="12" hidden="false" customHeight="false" outlineLevel="0" collapsed="false">
      <c r="A118" s="145" t="n">
        <v>1978</v>
      </c>
      <c r="B118" s="517" t="n">
        <f aca="false">TableDE1!N118</f>
        <v>2.45751763593208</v>
      </c>
      <c r="C118" s="518" t="n">
        <f aca="false">TableDE11b!N117</f>
        <v>0.199648387543944</v>
      </c>
      <c r="D118" s="518" t="n">
        <f aca="false">TableDE11b!O117</f>
        <v>0.800351612456056</v>
      </c>
      <c r="E118" s="519" t="n">
        <f aca="false">TableDE11b!B117</f>
        <v>0.210483872323572</v>
      </c>
      <c r="F118" s="520" t="n">
        <f aca="false">E118/B118</f>
        <v>0.0856489773444659</v>
      </c>
      <c r="G118" s="497" t="n">
        <f aca="false">TableDE13!B37</f>
        <v>0.430955892210752</v>
      </c>
      <c r="H118" s="497" t="n">
        <f aca="false">TableDE13!M37</f>
        <v>0.283045245900729</v>
      </c>
      <c r="I118" s="497" t="n">
        <f aca="false">TableDE13!N37</f>
        <v>0.46547714572306</v>
      </c>
      <c r="J118" s="497" t="n">
        <f aca="false">H118*E118+K118*D118</f>
        <v>0.278686973690889</v>
      </c>
      <c r="K118" s="497" t="n">
        <f aca="false">TableDE13!O37</f>
        <v>0.273767817645218</v>
      </c>
      <c r="L118" s="497" t="n">
        <f aca="false">TableDE12!C38</f>
        <v>0.150907412923609</v>
      </c>
      <c r="M118" s="520" t="n">
        <f aca="false">(1-H118)*F118</f>
        <v>0.0614064414908556</v>
      </c>
      <c r="N118" s="521" t="n">
        <f aca="false">TableDE12!I38</f>
        <v>0.0966675191530123</v>
      </c>
      <c r="O118" s="522" t="n">
        <f aca="false">TableDE12!J38</f>
        <v>0.133395904276713</v>
      </c>
      <c r="P118" s="523" t="n">
        <f aca="false">TableDE5a!O118</f>
        <v>0</v>
      </c>
      <c r="R118" s="502"/>
    </row>
    <row r="119" customFormat="false" ht="12.75" hidden="false" customHeight="true" outlineLevel="0" collapsed="false">
      <c r="A119" s="145" t="n">
        <v>1979</v>
      </c>
      <c r="B119" s="517" t="n">
        <f aca="false">TableDE1!N119</f>
        <v>2.48603507321817</v>
      </c>
      <c r="C119" s="518" t="n">
        <f aca="false">TableDE11b!N118</f>
        <v>0.201243872335249</v>
      </c>
      <c r="D119" s="518" t="n">
        <f aca="false">TableDE11b!O118</f>
        <v>0.798756127664751</v>
      </c>
      <c r="E119" s="519" t="n">
        <f aca="false">TableDE11b!B118</f>
        <v>0.212606526983842</v>
      </c>
      <c r="F119" s="520" t="n">
        <f aca="false">E119/B119</f>
        <v>0.0855203248233434</v>
      </c>
      <c r="G119" s="497" t="n">
        <f aca="false">TableDE13!B38</f>
        <v>0.428141763046107</v>
      </c>
      <c r="H119" s="497" t="n">
        <f aca="false">TableDE13!M38</f>
        <v>0.282706400409967</v>
      </c>
      <c r="I119" s="497" t="n">
        <f aca="false">TableDE13!N38</f>
        <v>0.462313158750529</v>
      </c>
      <c r="J119" s="497" t="n">
        <f aca="false">H119*E119+K119*D119</f>
        <v>0.279544442354744</v>
      </c>
      <c r="K119" s="497" t="n">
        <f aca="false">TableDE13!O38</f>
        <v>0.274726175871767</v>
      </c>
      <c r="L119" s="497" t="n">
        <f aca="false">TableDE12!C39</f>
        <v>0.152501301036576</v>
      </c>
      <c r="M119" s="520" t="n">
        <f aca="false">(1-H119)*F119</f>
        <v>0.0613431816306449</v>
      </c>
      <c r="N119" s="521" t="n">
        <f aca="false">TableDE12!I39</f>
        <v>0.101583525777653</v>
      </c>
      <c r="O119" s="522" t="n">
        <f aca="false">TableDE12!J39</f>
        <v>0.126895296269883</v>
      </c>
      <c r="P119" s="523" t="n">
        <f aca="false">TableDE5a!O119</f>
        <v>0</v>
      </c>
      <c r="R119" s="502"/>
    </row>
    <row r="120" customFormat="false" ht="12" hidden="false" customHeight="false" outlineLevel="0" collapsed="false">
      <c r="A120" s="131" t="n">
        <v>1980</v>
      </c>
      <c r="B120" s="524" t="n">
        <f aca="false">TableDE1!N120</f>
        <v>2.5296440222246</v>
      </c>
      <c r="C120" s="525" t="n">
        <f aca="false">TableDE11b!N119</f>
        <v>0.18521093339094</v>
      </c>
      <c r="D120" s="525" t="n">
        <f aca="false">TableDE11b!O119</f>
        <v>0.81478906660906</v>
      </c>
      <c r="E120" s="526" t="n">
        <f aca="false">TableDE11b!B119</f>
        <v>0.1992262651088</v>
      </c>
      <c r="F120" s="527" t="n">
        <f aca="false">E120/B120</f>
        <v>0.0787566406017861</v>
      </c>
      <c r="G120" s="528" t="n">
        <f aca="false">TableDE13!B39</f>
        <v>0.432164467449151</v>
      </c>
      <c r="H120" s="528" t="n">
        <f aca="false">TableDE13!M39</f>
        <v>0.279603840185783</v>
      </c>
      <c r="I120" s="528" t="n">
        <f aca="false">TableDE13!N39</f>
        <v>0.463917002415307</v>
      </c>
      <c r="J120" s="528" t="n">
        <f aca="false">H120*E120+K120*D120</f>
        <v>0.284453468336654</v>
      </c>
      <c r="K120" s="528" t="n">
        <f aca="false">TableDE13!O39</f>
        <v>0.280746329228934</v>
      </c>
      <c r="L120" s="528" t="n">
        <f aca="false">TableDE12!C40</f>
        <v>0.143521836318508</v>
      </c>
      <c r="M120" s="527" t="n">
        <f aca="false">(1-H120)*F120</f>
        <v>0.0567359814493952</v>
      </c>
      <c r="N120" s="529" t="n">
        <f aca="false">TableDE12!I40</f>
        <v>0.104468907195451</v>
      </c>
      <c r="O120" s="530" t="n">
        <f aca="false">TableDE12!J40</f>
        <v>0.11127797623387</v>
      </c>
      <c r="P120" s="531" t="n">
        <f aca="false">TableDE5a!O120</f>
        <v>0</v>
      </c>
      <c r="R120" s="502"/>
    </row>
    <row r="121" customFormat="false" ht="12" hidden="false" customHeight="false" outlineLevel="0" collapsed="false">
      <c r="A121" s="145" t="n">
        <v>1981</v>
      </c>
      <c r="B121" s="517" t="n">
        <f aca="false">TableDE1!N121</f>
        <v>2.62013228686627</v>
      </c>
      <c r="C121" s="518" t="n">
        <f aca="false">TableDE11b!N120</f>
        <v>0.180885568178961</v>
      </c>
      <c r="D121" s="518" t="n">
        <f aca="false">TableDE11b!O120</f>
        <v>0.819114431821039</v>
      </c>
      <c r="E121" s="519" t="n">
        <f aca="false">TableDE11b!B120</f>
        <v>0.197272063072912</v>
      </c>
      <c r="F121" s="520" t="n">
        <f aca="false">E121/B121</f>
        <v>0.0752908790375823</v>
      </c>
      <c r="G121" s="497" t="n">
        <f aca="false">TableDE13!B40</f>
        <v>0.431483975977999</v>
      </c>
      <c r="H121" s="497" t="n">
        <f aca="false">TableDE13!M40</f>
        <v>0.269140690144052</v>
      </c>
      <c r="I121" s="497" t="n">
        <f aca="false">TableDE13!N40</f>
        <v>0.464088547382937</v>
      </c>
      <c r="J121" s="497" t="n">
        <f aca="false">H121*E121+K121*D121</f>
        <v>0.278664089326235</v>
      </c>
      <c r="K121" s="497" t="n">
        <f aca="false">TableDE13!O40</f>
        <v>0.275382951833931</v>
      </c>
      <c r="L121" s="497" t="n">
        <f aca="false">TableDE12!C41</f>
        <v>0.144178123871328</v>
      </c>
      <c r="M121" s="520" t="n">
        <f aca="false">(1-H121)*F121</f>
        <v>0.0550270398918551</v>
      </c>
      <c r="N121" s="521" t="n">
        <f aca="false">TableDE12!I41</f>
        <v>0.110091485659763</v>
      </c>
      <c r="O121" s="522" t="n">
        <f aca="false">TableDE12!J41</f>
        <v>0.10875848908346</v>
      </c>
      <c r="P121" s="523" t="n">
        <f aca="false">TableDE5a!O121</f>
        <v>0</v>
      </c>
      <c r="R121" s="502"/>
    </row>
    <row r="122" customFormat="false" ht="12" hidden="false" customHeight="false" outlineLevel="0" collapsed="false">
      <c r="A122" s="145" t="n">
        <v>1982</v>
      </c>
      <c r="B122" s="517" t="n">
        <f aca="false">TableDE1!N122</f>
        <v>2.72744244161063</v>
      </c>
      <c r="C122" s="518" t="n">
        <f aca="false">TableDE11b!N121</f>
        <v>0.185761515698255</v>
      </c>
      <c r="D122" s="518" t="n">
        <f aca="false">TableDE11b!O121</f>
        <v>0.814238484301745</v>
      </c>
      <c r="E122" s="519" t="n">
        <f aca="false">TableDE11b!B121</f>
        <v>0.19996116449174</v>
      </c>
      <c r="F122" s="520" t="n">
        <f aca="false">E122/B122</f>
        <v>0.0733145313870154</v>
      </c>
      <c r="G122" s="497" t="n">
        <f aca="false">TableDE13!B41</f>
        <v>0.433593697120656</v>
      </c>
      <c r="H122" s="497" t="n">
        <f aca="false">TableDE13!M41</f>
        <v>0.268845423775654</v>
      </c>
      <c r="I122" s="497" t="n">
        <f aca="false">TableDE13!N41</f>
        <v>0.468335620086624</v>
      </c>
      <c r="J122" s="497" t="n">
        <f aca="false">H122*E122+K122*D122</f>
        <v>0.275276385266526</v>
      </c>
      <c r="K122" s="497" t="n">
        <f aca="false">TableDE13!O41</f>
        <v>0.272055111040391</v>
      </c>
      <c r="L122" s="497" t="n">
        <f aca="false">TableDE12!C42</f>
        <v>0.146202520485285</v>
      </c>
      <c r="M122" s="520" t="n">
        <f aca="false">(1-H122)*F122</f>
        <v>0.0536042551273598</v>
      </c>
      <c r="N122" s="521" t="n">
        <f aca="false">TableDE12!I42</f>
        <v>0.104371133462387</v>
      </c>
      <c r="O122" s="522" t="n">
        <f aca="false">TableDE12!J42</f>
        <v>0.108824843307929</v>
      </c>
      <c r="P122" s="523" t="n">
        <f aca="false">TableDE5a!O122</f>
        <v>0</v>
      </c>
      <c r="R122" s="502"/>
    </row>
    <row r="123" customFormat="false" ht="12" hidden="false" customHeight="false" outlineLevel="0" collapsed="false">
      <c r="A123" s="145" t="n">
        <v>1983</v>
      </c>
      <c r="B123" s="517" t="n">
        <f aca="false">TableDE1!N123</f>
        <v>2.79661246602516</v>
      </c>
      <c r="C123" s="518" t="n">
        <f aca="false">TableDE11b!N122</f>
        <v>0.20411502193632</v>
      </c>
      <c r="D123" s="518" t="n">
        <f aca="false">TableDE11b!O122</f>
        <v>0.79588497806368</v>
      </c>
      <c r="E123" s="519" t="n">
        <f aca="false">TableDE11b!B122</f>
        <v>0.220489008877672</v>
      </c>
      <c r="F123" s="520" t="n">
        <f aca="false">E123/B123</f>
        <v>0.0788414596431567</v>
      </c>
      <c r="G123" s="497" t="n">
        <f aca="false">TableDE13!B42</f>
        <v>0.428831857262913</v>
      </c>
      <c r="H123" s="497" t="n">
        <f aca="false">TableDE13!M42</f>
        <v>0.265019695980011</v>
      </c>
      <c r="I123" s="497" t="n">
        <f aca="false">TableDE13!N42</f>
        <v>0.467591580712199</v>
      </c>
      <c r="J123" s="497" t="n">
        <f aca="false">H123*E123+K123*D123</f>
        <v>0.275770193548114</v>
      </c>
      <c r="K123" s="497" t="n">
        <f aca="false">TableDE13!O42</f>
        <v>0.273074966155511</v>
      </c>
      <c r="L123" s="497" t="n">
        <f aca="false">TableDE12!C43</f>
        <v>0.162055078777977</v>
      </c>
      <c r="M123" s="520" t="n">
        <f aca="false">(1-H123)*F123</f>
        <v>0.0579469199779071</v>
      </c>
      <c r="N123" s="521" t="n">
        <f aca="false">TableDE12!I43</f>
        <v>0.0903872260650334</v>
      </c>
      <c r="O123" s="522" t="n">
        <f aca="false">TableDE12!J43</f>
        <v>0.109380050423428</v>
      </c>
      <c r="P123" s="523" t="n">
        <f aca="false">TableDE5a!O123</f>
        <v>0</v>
      </c>
      <c r="R123" s="502"/>
    </row>
    <row r="124" customFormat="false" ht="12" hidden="false" customHeight="false" outlineLevel="0" collapsed="false">
      <c r="A124" s="145" t="n">
        <v>1984</v>
      </c>
      <c r="B124" s="517" t="n">
        <f aca="false">TableDE1!N124</f>
        <v>2.83672792160897</v>
      </c>
      <c r="C124" s="518" t="n">
        <f aca="false">TableDE11b!N123</f>
        <v>0.215532523664378</v>
      </c>
      <c r="D124" s="518" t="n">
        <f aca="false">TableDE11b!O123</f>
        <v>0.784467476335622</v>
      </c>
      <c r="E124" s="519" t="n">
        <f aca="false">TableDE11b!B123</f>
        <v>0.232150172178549</v>
      </c>
      <c r="F124" s="520" t="n">
        <f aca="false">E124/B124</f>
        <v>0.0818373064297529</v>
      </c>
      <c r="G124" s="497" t="n">
        <f aca="false">TableDE13!B43</f>
        <v>0.428929488518387</v>
      </c>
      <c r="H124" s="497" t="n">
        <f aca="false">TableDE13!M43</f>
        <v>0.268192927107155</v>
      </c>
      <c r="I124" s="497" t="n">
        <f aca="false">TableDE13!N43</f>
        <v>0.469658573256242</v>
      </c>
      <c r="J124" s="497" t="n">
        <f aca="false">H124*E124+K124*D124</f>
        <v>0.281216923618298</v>
      </c>
      <c r="K124" s="497" t="n">
        <f aca="false">TableDE13!O43</f>
        <v>0.279114043626235</v>
      </c>
      <c r="L124" s="497" t="n">
        <f aca="false">TableDE12!C44</f>
        <v>0.169889137973554</v>
      </c>
      <c r="M124" s="520" t="n">
        <f aca="false">(1-H124)*F124</f>
        <v>0.0598891196717923</v>
      </c>
      <c r="N124" s="521" t="n">
        <f aca="false">TableDE12!I44</f>
        <v>0.0936958631789755</v>
      </c>
      <c r="O124" s="522" t="n">
        <f aca="false">TableDE12!J44</f>
        <v>0.105785651976263</v>
      </c>
      <c r="P124" s="523" t="n">
        <f aca="false">TableDE5a!O124</f>
        <v>0</v>
      </c>
      <c r="R124" s="502"/>
    </row>
    <row r="125" customFormat="false" ht="12" hidden="false" customHeight="false" outlineLevel="0" collapsed="false">
      <c r="A125" s="145" t="n">
        <v>1985</v>
      </c>
      <c r="B125" s="517" t="n">
        <f aca="false">TableDE1!N125</f>
        <v>2.90342841424184</v>
      </c>
      <c r="C125" s="518" t="n">
        <f aca="false">TableDE11b!N124</f>
        <v>0.223463115385608</v>
      </c>
      <c r="D125" s="518" t="n">
        <f aca="false">TableDE11b!O124</f>
        <v>0.776536884614392</v>
      </c>
      <c r="E125" s="519" t="n">
        <f aca="false">TableDE11b!B124</f>
        <v>0.239156484349951</v>
      </c>
      <c r="F125" s="520" t="n">
        <f aca="false">E125/B125</f>
        <v>0.082370373995393</v>
      </c>
      <c r="G125" s="497" t="n">
        <f aca="false">TableDE13!B44</f>
        <v>0.43077411242082</v>
      </c>
      <c r="H125" s="497" t="n">
        <f aca="false">TableDE13!M44</f>
        <v>0.271713448756533</v>
      </c>
      <c r="I125" s="497" t="n">
        <f aca="false">TableDE13!N44</f>
        <v>0.473134510441445</v>
      </c>
      <c r="J125" s="497" t="n">
        <f aca="false">H125*E125+K125*D125</f>
        <v>0.286321280259309</v>
      </c>
      <c r="K125" s="497" t="n">
        <f aca="false">TableDE13!O44</f>
        <v>0.28503378460124</v>
      </c>
      <c r="L125" s="497" t="n">
        <f aca="false">TableDE12!C45</f>
        <v>0.174174451194738</v>
      </c>
      <c r="M125" s="520" t="n">
        <f aca="false">(1-H125)*F125</f>
        <v>0.0599892356017393</v>
      </c>
      <c r="N125" s="521" t="n">
        <f aca="false">TableDE12!I45</f>
        <v>0.0916900729806913</v>
      </c>
      <c r="O125" s="522" t="n">
        <f aca="false">TableDE12!J45</f>
        <v>0.105322537048571</v>
      </c>
      <c r="P125" s="523" t="n">
        <f aca="false">TableDE5a!O125</f>
        <v>0</v>
      </c>
      <c r="R125" s="502"/>
    </row>
    <row r="126" customFormat="false" ht="12" hidden="false" customHeight="false" outlineLevel="0" collapsed="false">
      <c r="A126" s="145" t="n">
        <v>1986</v>
      </c>
      <c r="B126" s="517" t="n">
        <f aca="false">TableDE1!N126</f>
        <v>2.94643285549051</v>
      </c>
      <c r="C126" s="518" t="n">
        <f aca="false">TableDE11b!N125</f>
        <v>0.227238284773429</v>
      </c>
      <c r="D126" s="518" t="n">
        <f aca="false">TableDE11b!O125</f>
        <v>0.772761715226572</v>
      </c>
      <c r="E126" s="519" t="n">
        <f aca="false">TableDE11b!B125</f>
        <v>0.242646361925352</v>
      </c>
      <c r="F126" s="520" t="n">
        <f aca="false">E126/B126</f>
        <v>0.0823525849140579</v>
      </c>
      <c r="G126" s="497" t="n">
        <f aca="false">TableDE13!B45</f>
        <v>0.425200102702642</v>
      </c>
      <c r="H126" s="497" t="n">
        <f aca="false">TableDE13!M45</f>
        <v>0.262372796969547</v>
      </c>
      <c r="I126" s="497" t="n">
        <f aca="false">TableDE13!N45</f>
        <v>0.469832218047451</v>
      </c>
      <c r="J126" s="497" t="n">
        <f aca="false">H126*E126+K126*D126</f>
        <v>0.284098279096576</v>
      </c>
      <c r="K126" s="497" t="n">
        <f aca="false">TableDE13!O45</f>
        <v>0.285255428808486</v>
      </c>
      <c r="L126" s="497" t="n">
        <f aca="false">TableDE12!C46</f>
        <v>0.178982557272513</v>
      </c>
      <c r="M126" s="520" t="n">
        <f aca="false">(1-H126)*F126</f>
        <v>0.0607455068724844</v>
      </c>
      <c r="N126" s="521" t="n">
        <f aca="false">TableDE12!I46</f>
        <v>0.0955246207258399</v>
      </c>
      <c r="O126" s="522" t="n">
        <f aca="false">TableDE12!J46</f>
        <v>0.122774310943413</v>
      </c>
      <c r="P126" s="523" t="n">
        <f aca="false">TableDE5a!O126</f>
        <v>0</v>
      </c>
      <c r="R126" s="502"/>
    </row>
    <row r="127" customFormat="false" ht="12" hidden="false" customHeight="false" outlineLevel="0" collapsed="false">
      <c r="A127" s="145" t="n">
        <v>1987</v>
      </c>
      <c r="B127" s="517" t="n">
        <f aca="false">TableDE1!N127</f>
        <v>3.04244965338094</v>
      </c>
      <c r="C127" s="518" t="n">
        <f aca="false">TableDE11b!N126</f>
        <v>0.213101212883412</v>
      </c>
      <c r="D127" s="518" t="n">
        <f aca="false">TableDE11b!O126</f>
        <v>0.786898787116588</v>
      </c>
      <c r="E127" s="519" t="n">
        <f aca="false">TableDE11b!B126</f>
        <v>0.233650902459711</v>
      </c>
      <c r="F127" s="520" t="n">
        <f aca="false">E127/B127</f>
        <v>0.0767969659580282</v>
      </c>
      <c r="G127" s="497" t="n">
        <f aca="false">TableDE13!B46</f>
        <v>0.429277176757983</v>
      </c>
      <c r="H127" s="497" t="n">
        <f aca="false">TableDE13!M46</f>
        <v>0.255773164905762</v>
      </c>
      <c r="I127" s="497" t="n">
        <f aca="false">TableDE13!N46</f>
        <v>0.472166849973974</v>
      </c>
      <c r="J127" s="497" t="n">
        <f aca="false">H127*E127+K127*D127</f>
        <v>0.285097758194341</v>
      </c>
      <c r="K127" s="497" t="n">
        <f aca="false">TableDE13!O46</f>
        <v>0.286359734032412</v>
      </c>
      <c r="L127" s="497" t="n">
        <f aca="false">TableDE12!C47</f>
        <v>0.173889271654503</v>
      </c>
      <c r="M127" s="520" t="n">
        <f aca="false">(1-H127)*F127</f>
        <v>0.0571543629197833</v>
      </c>
      <c r="N127" s="521" t="n">
        <f aca="false">TableDE12!I47</f>
        <v>0.0971034723433956</v>
      </c>
      <c r="O127" s="522" t="n">
        <f aca="false">TableDE12!J47</f>
        <v>0.121608358052696</v>
      </c>
      <c r="P127" s="523" t="n">
        <f aca="false">TableDE5a!O127</f>
        <v>0</v>
      </c>
      <c r="R127" s="502"/>
    </row>
    <row r="128" customFormat="false" ht="12" hidden="false" customHeight="false" outlineLevel="0" collapsed="false">
      <c r="A128" s="145" t="n">
        <v>1988</v>
      </c>
      <c r="B128" s="517" t="n">
        <f aca="false">TableDE1!N128</f>
        <v>3.03297460198842</v>
      </c>
      <c r="C128" s="518" t="n">
        <f aca="false">TableDE11b!N127</f>
        <v>0.230586556562194</v>
      </c>
      <c r="D128" s="518" t="n">
        <f aca="false">TableDE11b!O127</f>
        <v>0.769413443437806</v>
      </c>
      <c r="E128" s="519" t="n">
        <f aca="false">TableDE11b!B127</f>
        <v>0.254127081758175</v>
      </c>
      <c r="F128" s="520" t="n">
        <f aca="false">E128/B128</f>
        <v>0.0837880678564104</v>
      </c>
      <c r="G128" s="497" t="n">
        <f aca="false">TableDE13!B47</f>
        <v>0.421388232878119</v>
      </c>
      <c r="H128" s="497" t="n">
        <f aca="false">TableDE13!M47</f>
        <v>0.2473810059605</v>
      </c>
      <c r="I128" s="497" t="n">
        <f aca="false">TableDE13!N47</f>
        <v>0.46895211409554</v>
      </c>
      <c r="J128" s="497" t="n">
        <f aca="false">H128*E128+K128*D128</f>
        <v>0.27860777748061</v>
      </c>
      <c r="K128" s="497" t="n">
        <f aca="false">TableDE13!O47</f>
        <v>0.280397445864105</v>
      </c>
      <c r="L128" s="497" t="n">
        <f aca="false">TableDE12!C48</f>
        <v>0.191260868631032</v>
      </c>
      <c r="M128" s="520" t="n">
        <f aca="false">(1-H128)*F128</f>
        <v>0.063060491342605</v>
      </c>
      <c r="N128" s="521" t="n">
        <f aca="false">TableDE12!I48</f>
        <v>0.0992504363897731</v>
      </c>
      <c r="O128" s="522" t="n">
        <f aca="false">TableDE12!J48</f>
        <v>0.138125064174967</v>
      </c>
      <c r="P128" s="523" t="n">
        <f aca="false">TableDE5a!O128</f>
        <v>0</v>
      </c>
      <c r="R128" s="502"/>
    </row>
    <row r="129" customFormat="false" ht="12" hidden="false" customHeight="false" outlineLevel="0" collapsed="false">
      <c r="A129" s="160" t="n">
        <v>1989</v>
      </c>
      <c r="B129" s="532" t="n">
        <f aca="false">TableDE1!N129</f>
        <v>3.01193899964686</v>
      </c>
      <c r="C129" s="533" t="n">
        <f aca="false">TableDE11b!N128</f>
        <v>0.247895814936832</v>
      </c>
      <c r="D129" s="533" t="n">
        <f aca="false">TableDE11b!O128</f>
        <v>0.752104185063168</v>
      </c>
      <c r="E129" s="534" t="n">
        <f aca="false">TableDE11b!B128</f>
        <v>0.264715601602364</v>
      </c>
      <c r="F129" s="535" t="n">
        <f aca="false">E129/B129</f>
        <v>0.0878887658858299</v>
      </c>
      <c r="G129" s="508" t="n">
        <f aca="false">TableDE13!B48</f>
        <v>0.42337326305702</v>
      </c>
      <c r="H129" s="508" t="n">
        <f aca="false">TableDE13!M48</f>
        <v>0.253378408248791</v>
      </c>
      <c r="I129" s="508" t="n">
        <f aca="false">TableDE13!N48</f>
        <v>0.475969267240638</v>
      </c>
      <c r="J129" s="508" t="n">
        <f aca="false">H129*E129+K129*D129</f>
        <v>0.283384230364621</v>
      </c>
      <c r="K129" s="508" t="n">
        <f aca="false">TableDE13!O48</f>
        <v>0.287607776805317</v>
      </c>
      <c r="L129" s="508" t="n">
        <f aca="false">TableDE12!C49</f>
        <v>0.197642383829736</v>
      </c>
      <c r="M129" s="535" t="n">
        <f aca="false">(1-H129)*F129</f>
        <v>0.0656196502827276</v>
      </c>
      <c r="N129" s="536" t="n">
        <f aca="false">TableDE12!I49</f>
        <v>0.0943076185912793</v>
      </c>
      <c r="O129" s="537" t="n">
        <f aca="false">TableDE12!J49</f>
        <v>0.126085289889794</v>
      </c>
      <c r="P129" s="538" t="n">
        <f aca="false">TableDE5a!O129</f>
        <v>0</v>
      </c>
      <c r="R129" s="502"/>
    </row>
    <row r="130" customFormat="false" ht="12" hidden="false" customHeight="false" outlineLevel="0" collapsed="false">
      <c r="A130" s="145" t="n">
        <v>1990</v>
      </c>
      <c r="B130" s="517" t="n">
        <f aca="false">TableDE1!N130</f>
        <v>2.93337465632571</v>
      </c>
      <c r="C130" s="518" t="n">
        <f aca="false">TableDE11b!N129</f>
        <v>0.254066480744093</v>
      </c>
      <c r="D130" s="518" t="n">
        <f aca="false">TableDE11b!O129</f>
        <v>0.745933519255907</v>
      </c>
      <c r="E130" s="519" t="n">
        <f aca="false">TableDE11b!B129</f>
        <v>0.270207542816036</v>
      </c>
      <c r="F130" s="520" t="n">
        <f aca="false">E130/B130</f>
        <v>0.0921149101201046</v>
      </c>
      <c r="G130" s="497" t="n">
        <f aca="false">TableDE13!B49</f>
        <v>0.407883853937528</v>
      </c>
      <c r="H130" s="497" t="n">
        <f aca="false">TableDE13!M49</f>
        <v>0.236363400698239</v>
      </c>
      <c r="I130" s="497" t="n">
        <f aca="false">TableDE13!N49</f>
        <v>0.463423976163143</v>
      </c>
      <c r="J130" s="497" t="n">
        <f aca="false">H130*E130+K130*D130</f>
        <v>0.274073308442379</v>
      </c>
      <c r="K130" s="497" t="n">
        <f aca="false">TableDE13!O49</f>
        <v>0.281802773707974</v>
      </c>
      <c r="L130" s="497" t="n">
        <f aca="false">TableDE12!C50</f>
        <v>0.206340369101722</v>
      </c>
      <c r="M130" s="520" t="n">
        <f aca="false">(1-H130)*F130</f>
        <v>0.070342316709104</v>
      </c>
      <c r="N130" s="521" t="n">
        <f aca="false">TableDE12!I50</f>
        <v>0.100175978882534</v>
      </c>
      <c r="O130" s="522" t="n">
        <f aca="false">TableDE12!J50</f>
        <v>0.144549054113506</v>
      </c>
      <c r="P130" s="523" t="n">
        <f aca="false">TableDE5a!O130</f>
        <v>0</v>
      </c>
      <c r="R130" s="502"/>
    </row>
    <row r="131" customFormat="false" ht="12" hidden="false" customHeight="false" outlineLevel="0" collapsed="false">
      <c r="A131" s="145" t="n">
        <v>1991</v>
      </c>
      <c r="B131" s="517" t="n">
        <f aca="false">TableDE1!N131</f>
        <v>2.86881455730272</v>
      </c>
      <c r="C131" s="518" t="n">
        <f aca="false">TableDE11b!N130</f>
        <v>0.231506268136798</v>
      </c>
      <c r="D131" s="518" t="n">
        <f aca="false">TableDE11b!O130</f>
        <v>0.768493731863202</v>
      </c>
      <c r="E131" s="519" t="n">
        <f aca="false">TableDE11b!B130</f>
        <v>0.250293734412025</v>
      </c>
      <c r="F131" s="520" t="n">
        <f aca="false">E131/B131</f>
        <v>0.0872463972182829</v>
      </c>
      <c r="G131" s="497" t="n">
        <f aca="false">TableDE13!B50</f>
        <v>0.422037172039051</v>
      </c>
      <c r="H131" s="497" t="n">
        <f aca="false">TableDE13!M50</f>
        <v>0.280186396980334</v>
      </c>
      <c r="I131" s="497" t="n">
        <f aca="false">TableDE13!N50</f>
        <v>0.459961531680751</v>
      </c>
      <c r="J131" s="497" t="n">
        <f aca="false">H131*E131+K131*D131</f>
        <v>0.27690240949505</v>
      </c>
      <c r="K131" s="497" t="n">
        <f aca="false">TableDE13!O50</f>
        <v>0.269063365503415</v>
      </c>
      <c r="L131" s="497" t="n">
        <f aca="false">TableDE12!C51</f>
        <v>0.180164834780367</v>
      </c>
      <c r="M131" s="520" t="n">
        <f aca="false">(1-H131)*F131</f>
        <v>0.0628011435321771</v>
      </c>
      <c r="N131" s="521" t="n">
        <f aca="false">TableDE12!I51</f>
        <v>0.102970907205183</v>
      </c>
      <c r="O131" s="522" t="n">
        <f aca="false">TableDE12!J51</f>
        <v>0.125600306635502</v>
      </c>
      <c r="P131" s="523" t="n">
        <f aca="false">TableDE5a!O131</f>
        <v>0</v>
      </c>
      <c r="R131" s="502"/>
    </row>
    <row r="132" customFormat="false" ht="12" hidden="false" customHeight="false" outlineLevel="0" collapsed="false">
      <c r="A132" s="145" t="n">
        <v>1992</v>
      </c>
      <c r="B132" s="517" t="n">
        <f aca="false">TableDE1!N132</f>
        <v>2.89751818871317</v>
      </c>
      <c r="C132" s="518" t="n">
        <f aca="false">TableDE11b!N131</f>
        <v>0.218220540669048</v>
      </c>
      <c r="D132" s="518" t="n">
        <f aca="false">TableDE11b!O131</f>
        <v>0.781779459330952</v>
      </c>
      <c r="E132" s="519" t="n">
        <f aca="false">TableDE11b!B131</f>
        <v>0.239734515525839</v>
      </c>
      <c r="F132" s="520" t="n">
        <f aca="false">E132/B132</f>
        <v>0.0827378811493533</v>
      </c>
      <c r="G132" s="497" t="n">
        <f aca="false">TableDE13!B51</f>
        <v>0.434562768617096</v>
      </c>
      <c r="H132" s="497" t="n">
        <f aca="false">TableDE13!M51</f>
        <v>0.288980331212989</v>
      </c>
      <c r="I132" s="497" t="n">
        <f aca="false">TableDE13!N51</f>
        <v>0.469632133509266</v>
      </c>
      <c r="J132" s="497" t="n">
        <f aca="false">H132*E132+K132*D132</f>
        <v>0.282111182643527</v>
      </c>
      <c r="K132" s="497" t="n">
        <f aca="false">TableDE13!O51</f>
        <v>0.27224125730526</v>
      </c>
      <c r="L132" s="497" t="n">
        <f aca="false">TableDE12!C52</f>
        <v>0.170455955825997</v>
      </c>
      <c r="M132" s="520" t="n">
        <f aca="false">(1-H132)*F132</f>
        <v>0.0588282608509522</v>
      </c>
      <c r="N132" s="521" t="n">
        <f aca="false">TableDE12!I52</f>
        <v>0.102727604707997</v>
      </c>
      <c r="O132" s="522" t="n">
        <f aca="false">TableDE12!J52</f>
        <v>0.115733588022135</v>
      </c>
      <c r="P132" s="523" t="n">
        <f aca="false">TableDE5a!O132</f>
        <v>0</v>
      </c>
      <c r="R132" s="502"/>
    </row>
    <row r="133" customFormat="false" ht="12" hidden="false" customHeight="false" outlineLevel="0" collapsed="false">
      <c r="A133" s="145" t="n">
        <v>1993</v>
      </c>
      <c r="B133" s="517" t="n">
        <f aca="false">TableDE1!N133</f>
        <v>3.03685599967001</v>
      </c>
      <c r="C133" s="518" t="n">
        <f aca="false">TableDE11b!N132</f>
        <v>0.211111154808765</v>
      </c>
      <c r="D133" s="518" t="n">
        <f aca="false">TableDE11b!O132</f>
        <v>0.788888845191235</v>
      </c>
      <c r="E133" s="519" t="n">
        <f aca="false">TableDE11b!B132</f>
        <v>0.235532660902765</v>
      </c>
      <c r="F133" s="520" t="n">
        <f aca="false">E133/B133</f>
        <v>0.0775580603520084</v>
      </c>
      <c r="G133" s="497" t="n">
        <f aca="false">TableDE13!B52</f>
        <v>0.446011907217204</v>
      </c>
      <c r="H133" s="497" t="n">
        <f aca="false">TableDE13!M52</f>
        <v>0.291034494843993</v>
      </c>
      <c r="I133" s="497" t="n">
        <f aca="false">TableDE13!N52</f>
        <v>0.481371123947366</v>
      </c>
      <c r="J133" s="497" t="n">
        <f aca="false">H133*E133+K133*D133</f>
        <v>0.28297724039531</v>
      </c>
      <c r="K133" s="497" t="n">
        <f aca="false">TableDE13!O52</f>
        <v>0.271811564730938</v>
      </c>
      <c r="L133" s="497" t="n">
        <f aca="false">TableDE12!C53</f>
        <v>0.166984531917667</v>
      </c>
      <c r="M133" s="520" t="n">
        <f aca="false">(1-H133)*F133</f>
        <v>0.0549859894363817</v>
      </c>
      <c r="N133" s="521" t="n">
        <f aca="false">TableDE12!I53</f>
        <v>0.0991007713566803</v>
      </c>
      <c r="O133" s="522" t="n">
        <f aca="false">TableDE12!J53</f>
        <v>0.107158072965504</v>
      </c>
      <c r="P133" s="523" t="n">
        <f aca="false">TableDE5a!O133</f>
        <v>0</v>
      </c>
      <c r="R133" s="502"/>
    </row>
    <row r="134" customFormat="false" ht="12" hidden="false" customHeight="false" outlineLevel="0" collapsed="false">
      <c r="A134" s="145" t="n">
        <v>1994</v>
      </c>
      <c r="B134" s="517" t="n">
        <f aca="false">TableDE1!N134</f>
        <v>3.07172228372608</v>
      </c>
      <c r="C134" s="518" t="n">
        <f aca="false">TableDE11b!N133</f>
        <v>0.226034434359625</v>
      </c>
      <c r="D134" s="518" t="n">
        <f aca="false">TableDE11b!O133</f>
        <v>0.773965565640375</v>
      </c>
      <c r="E134" s="519" t="n">
        <f aca="false">TableDE11b!B133</f>
        <v>0.251915106236448</v>
      </c>
      <c r="F134" s="520" t="n">
        <f aca="false">E134/B134</f>
        <v>0.0820110293079191</v>
      </c>
      <c r="G134" s="497" t="n">
        <f aca="false">TableDE13!B53</f>
        <v>0.450564078232906</v>
      </c>
      <c r="H134" s="497" t="n">
        <f aca="false">TableDE13!M53</f>
        <v>0.27472675718643</v>
      </c>
      <c r="I134" s="497" t="n">
        <f aca="false">TableDE13!N53</f>
        <v>0.495943896653168</v>
      </c>
      <c r="J134" s="497" t="n">
        <f aca="false">H134*E134+K134*D134</f>
        <v>0.284862431590039</v>
      </c>
      <c r="K134" s="497" t="n">
        <f aca="false">TableDE13!O53</f>
        <v>0.278635925086658</v>
      </c>
      <c r="L134" s="497" t="n">
        <f aca="false">TableDE12!C54</f>
        <v>0.182707286013833</v>
      </c>
      <c r="M134" s="520" t="n">
        <f aca="false">(1-H134)*F134</f>
        <v>0.0594804051726332</v>
      </c>
      <c r="N134" s="521" t="n">
        <f aca="false">TableDE12!I54</f>
        <v>0.0917944804681322</v>
      </c>
      <c r="O134" s="522" t="n">
        <f aca="false">TableDE12!J54</f>
        <v>0.101824002319574</v>
      </c>
      <c r="P134" s="523" t="n">
        <f aca="false">TableDE5a!O134</f>
        <v>0</v>
      </c>
      <c r="R134" s="502"/>
    </row>
    <row r="135" customFormat="false" ht="12" hidden="false" customHeight="false" outlineLevel="0" collapsed="false">
      <c r="A135" s="145" t="n">
        <v>1995</v>
      </c>
      <c r="B135" s="517" t="n">
        <f aca="false">TableDE1!N135</f>
        <v>3.10277372448817</v>
      </c>
      <c r="C135" s="518" t="n">
        <f aca="false">TableDE11b!N134</f>
        <v>0.231467981935625</v>
      </c>
      <c r="D135" s="518" t="n">
        <f aca="false">TableDE11b!O134</f>
        <v>0.768532018064375</v>
      </c>
      <c r="E135" s="519" t="n">
        <f aca="false">TableDE11b!B134</f>
        <v>0.263814111488576</v>
      </c>
      <c r="F135" s="520" t="n">
        <f aca="false">E135/B135</f>
        <v>0.0850252499582755</v>
      </c>
      <c r="G135" s="497" t="n">
        <f aca="false">TableDE13!B54</f>
        <v>0.451977545129574</v>
      </c>
      <c r="H135" s="497" t="n">
        <f aca="false">TableDE13!M54</f>
        <v>0.259008604345677</v>
      </c>
      <c r="I135" s="497" t="n">
        <f aca="false">TableDE13!N54</f>
        <v>0.503069576897645</v>
      </c>
      <c r="J135" s="497" t="n">
        <f aca="false">H135*E135+K135*D135</f>
        <v>0.282013193406599</v>
      </c>
      <c r="K135" s="497" t="n">
        <f aca="false">TableDE13!O54</f>
        <v>0.278040554668666</v>
      </c>
      <c r="L135" s="497" t="n">
        <f aca="false">TableDE12!C55</f>
        <v>0.195483986665225</v>
      </c>
      <c r="M135" s="520" t="n">
        <f aca="false">(1-H135)*F135</f>
        <v>0.0630029786324402</v>
      </c>
      <c r="N135" s="521" t="n">
        <f aca="false">TableDE12!I55</f>
        <v>0.0895964304147525</v>
      </c>
      <c r="O135" s="522" t="n">
        <f aca="false">TableDE12!J55</f>
        <v>0.189247882908428</v>
      </c>
      <c r="P135" s="523" t="n">
        <f aca="false">TableDE5a!O135</f>
        <v>0</v>
      </c>
      <c r="R135" s="502"/>
    </row>
    <row r="136" customFormat="false" ht="12" hidden="false" customHeight="false" outlineLevel="0" collapsed="false">
      <c r="A136" s="145" t="n">
        <v>1996</v>
      </c>
      <c r="B136" s="517" t="n">
        <f aca="false">TableDE1!N136</f>
        <v>3.20750040783546</v>
      </c>
      <c r="C136" s="518" t="n">
        <f aca="false">TableDE11b!N135</f>
        <v>0.236535838137891</v>
      </c>
      <c r="D136" s="518" t="n">
        <f aca="false">TableDE11b!O135</f>
        <v>0.763464161862108</v>
      </c>
      <c r="E136" s="519" t="n">
        <f aca="false">TableDE11b!B135</f>
        <v>0.269374425552994</v>
      </c>
      <c r="F136" s="520" t="n">
        <f aca="false">E136/B136</f>
        <v>0.0839826629156309</v>
      </c>
      <c r="G136" s="497" t="n">
        <f aca="false">TableDE13!B55</f>
        <v>0.458796069721041</v>
      </c>
      <c r="H136" s="497" t="n">
        <f aca="false">TableDE13!M55</f>
        <v>0.271137142367187</v>
      </c>
      <c r="I136" s="497" t="n">
        <f aca="false">TableDE13!N55</f>
        <v>0.509266122506386</v>
      </c>
      <c r="J136" s="497" t="n">
        <f aca="false">H136*E136+K136*D136</f>
        <v>0.280426083807327</v>
      </c>
      <c r="K136" s="497" t="n">
        <f aca="false">TableDE13!O55</f>
        <v>0.271641659420214</v>
      </c>
      <c r="L136" s="497" t="n">
        <f aca="false">TableDE12!C56</f>
        <v>0.196337013581753</v>
      </c>
      <c r="M136" s="520" t="n">
        <f aca="false">(1-H136)*F136</f>
        <v>0.0612118436843</v>
      </c>
      <c r="N136" s="521" t="n">
        <f aca="false">TableDE12!I56</f>
        <v>0.0871261529194745</v>
      </c>
      <c r="O136" s="522" t="n">
        <f aca="false">TableDE12!J56</f>
        <v>0.110818255970084</v>
      </c>
      <c r="P136" s="523" t="n">
        <f aca="false">TableDE5a!O136</f>
        <v>0</v>
      </c>
      <c r="R136" s="502"/>
    </row>
    <row r="137" customFormat="false" ht="12" hidden="false" customHeight="false" outlineLevel="0" collapsed="false">
      <c r="A137" s="145" t="n">
        <v>1997</v>
      </c>
      <c r="B137" s="517" t="n">
        <f aca="false">TableDE1!N137</f>
        <v>3.31142434149651</v>
      </c>
      <c r="C137" s="518" t="n">
        <f aca="false">TableDE11b!N136</f>
        <v>0.250097535611573</v>
      </c>
      <c r="D137" s="518" t="n">
        <f aca="false">TableDE11b!O136</f>
        <v>0.749902464388427</v>
      </c>
      <c r="E137" s="519" t="n">
        <f aca="false">TableDE11b!B136</f>
        <v>0.283292047270549</v>
      </c>
      <c r="F137" s="520" t="n">
        <f aca="false">E137/B137</f>
        <v>0.085549907850989</v>
      </c>
      <c r="G137" s="497" t="n">
        <f aca="false">TableDE13!B56</f>
        <v>0.46218000123373</v>
      </c>
      <c r="H137" s="497" t="n">
        <f aca="false">TableDE13!M56</f>
        <v>0.267994298865303</v>
      </c>
      <c r="I137" s="497" t="n">
        <f aca="false">TableDE13!N56</f>
        <v>0.519284237406476</v>
      </c>
      <c r="J137" s="497" t="n">
        <f aca="false">H137*E137+K137*D137</f>
        <v>0.283314800351839</v>
      </c>
      <c r="K137" s="497" t="n">
        <f aca="false">TableDE13!O56</f>
        <v>0.276561495152025</v>
      </c>
      <c r="L137" s="497" t="n">
        <f aca="false">TableDE12!C57</f>
        <v>0.207371393688162</v>
      </c>
      <c r="M137" s="520" t="n">
        <f aca="false">(1-H137)*F137</f>
        <v>0.0626230202784719</v>
      </c>
      <c r="N137" s="521" t="n">
        <f aca="false">TableDE12!I57</f>
        <v>0.0850039602738881</v>
      </c>
      <c r="O137" s="522" t="n">
        <f aca="false">TableDE12!J57</f>
        <v>0.108068546048979</v>
      </c>
      <c r="P137" s="523" t="n">
        <f aca="false">TableDE5a!O137</f>
        <v>0</v>
      </c>
      <c r="R137" s="502"/>
    </row>
    <row r="138" customFormat="false" ht="12" hidden="false" customHeight="false" outlineLevel="0" collapsed="false">
      <c r="A138" s="145" t="n">
        <v>1998</v>
      </c>
      <c r="B138" s="517" t="n">
        <f aca="false">TableDE1!N138</f>
        <v>3.4068805122629</v>
      </c>
      <c r="C138" s="518" t="n">
        <f aca="false">TableDE11b!N137</f>
        <v>0.255122364633756</v>
      </c>
      <c r="D138" s="518" t="n">
        <f aca="false">TableDE11b!O137</f>
        <v>0.744877635366245</v>
      </c>
      <c r="E138" s="519" t="n">
        <f aca="false">TableDE11b!B137</f>
        <v>0.288427809565317</v>
      </c>
      <c r="F138" s="520" t="n">
        <f aca="false">E138/B138</f>
        <v>0.0846603831649322</v>
      </c>
      <c r="G138" s="497" t="n">
        <f aca="false">TableDE13!B57</f>
        <v>0.466805605895856</v>
      </c>
      <c r="H138" s="497" t="n">
        <f aca="false">TableDE13!M57</f>
        <v>0.275318331480544</v>
      </c>
      <c r="I138" s="497" t="n">
        <f aca="false">TableDE13!N57</f>
        <v>0.524438335646804</v>
      </c>
      <c r="J138" s="497" t="n">
        <f aca="false">H138*E138+K138*D138</f>
        <v>0.289279831786703</v>
      </c>
      <c r="K138" s="497" t="n">
        <f aca="false">TableDE13!O57</f>
        <v>0.281751469691262</v>
      </c>
      <c r="L138" s="497" t="n">
        <f aca="false">TableDE12!C58</f>
        <v>0.209018346283206</v>
      </c>
      <c r="M138" s="520" t="n">
        <f aca="false">(1-H138)*F138</f>
        <v>0.0613518277294595</v>
      </c>
      <c r="N138" s="521" t="n">
        <f aca="false">TableDE12!I58</f>
        <v>0.0867766098828078</v>
      </c>
      <c r="O138" s="522" t="n">
        <f aca="false">TableDE12!J58</f>
        <v>0.106675123837139</v>
      </c>
      <c r="P138" s="523" t="n">
        <f aca="false">TableDE5a!O138</f>
        <v>0</v>
      </c>
      <c r="R138" s="502"/>
    </row>
    <row r="139" customFormat="false" ht="12" hidden="false" customHeight="false" outlineLevel="0" collapsed="false">
      <c r="A139" s="174" t="n">
        <f aca="false">A138+1</f>
        <v>1999</v>
      </c>
      <c r="B139" s="517" t="n">
        <f aca="false">TableDE1!N139</f>
        <v>3.50800500275626</v>
      </c>
      <c r="C139" s="518" t="n">
        <f aca="false">TableDE11b!N138</f>
        <v>0.246854759521371</v>
      </c>
      <c r="D139" s="518" t="n">
        <f aca="false">TableDE11b!O138</f>
        <v>0.753145240478629</v>
      </c>
      <c r="E139" s="519" t="n">
        <f aca="false">TableDE11b!B138</f>
        <v>0.277305695632684</v>
      </c>
      <c r="F139" s="520" t="n">
        <f aca="false">E139/B139</f>
        <v>0.0790494014161337</v>
      </c>
      <c r="G139" s="497" t="n">
        <f aca="false">TableDE13!B58</f>
        <v>0.479019839129378</v>
      </c>
      <c r="H139" s="497" t="n">
        <f aca="false">TableDE13!M58</f>
        <v>0.298482276406356</v>
      </c>
      <c r="I139" s="497" t="n">
        <f aca="false">TableDE13!N58</f>
        <v>0.530369929011074</v>
      </c>
      <c r="J139" s="497" t="n">
        <f aca="false">H139*E139+K139*D139</f>
        <v>0.298294001307186</v>
      </c>
      <c r="K139" s="497" t="n">
        <f aca="false">TableDE13!O58</f>
        <v>0.286164147936894</v>
      </c>
      <c r="L139" s="497" t="n">
        <f aca="false">TableDE12!C59</f>
        <v>0.194534860339793</v>
      </c>
      <c r="M139" s="520" t="n">
        <f aca="false">(1-H139)*F139</f>
        <v>0.0554545561328862</v>
      </c>
      <c r="N139" s="521" t="n">
        <f aca="false">TableDE12!I59</f>
        <v>0.0842762896619583</v>
      </c>
      <c r="O139" s="522" t="n">
        <f aca="false">TableDE12!J59</f>
        <v>0.0891901343749815</v>
      </c>
      <c r="P139" s="523" t="n">
        <f aca="false">TableDE5a!O139</f>
        <v>0</v>
      </c>
      <c r="R139" s="502"/>
    </row>
    <row r="140" customFormat="false" ht="12" hidden="false" customHeight="false" outlineLevel="0" collapsed="false">
      <c r="A140" s="175" t="n">
        <f aca="false">A139+1</f>
        <v>2000</v>
      </c>
      <c r="B140" s="524" t="n">
        <f aca="false">TableDE1!N140</f>
        <v>3.56473937826538</v>
      </c>
      <c r="C140" s="525" t="n">
        <f aca="false">TableDE11b!N139</f>
        <v>0.235340880313866</v>
      </c>
      <c r="D140" s="525" t="n">
        <f aca="false">TableDE11b!O139</f>
        <v>0.764659119686134</v>
      </c>
      <c r="E140" s="526" t="n">
        <f aca="false">TableDE11b!B139</f>
        <v>0.266875300638927</v>
      </c>
      <c r="F140" s="527" t="n">
        <f aca="false">E140/B140</f>
        <v>0.0748653049549977</v>
      </c>
      <c r="G140" s="528" t="n">
        <f aca="false">TableDE13!B59</f>
        <v>0.478373817793834</v>
      </c>
      <c r="H140" s="528" t="n">
        <f aca="false">TableDE13!M59</f>
        <v>0.310069011751353</v>
      </c>
      <c r="I140" s="528" t="n">
        <f aca="false">TableDE13!N59</f>
        <v>0.521710244684656</v>
      </c>
      <c r="J140" s="528" t="n">
        <f aca="false">H140*E140+K140*D140</f>
        <v>0.298975404245318</v>
      </c>
      <c r="K140" s="528" t="n">
        <f aca="false">TableDE13!O59</f>
        <v>0.282773902708587</v>
      </c>
      <c r="L140" s="528" t="n">
        <f aca="false">TableDE12!C60</f>
        <v>0.184125539908969</v>
      </c>
      <c r="M140" s="527" t="n">
        <f aca="false">(1-H140)*F140</f>
        <v>0.0516518938331379</v>
      </c>
      <c r="N140" s="529" t="n">
        <f aca="false">TableDE12!I60</f>
        <v>0.0809553907441448</v>
      </c>
      <c r="O140" s="530" t="n">
        <f aca="false">TableDE12!J60</f>
        <v>0.083176285712629</v>
      </c>
      <c r="P140" s="531" t="n">
        <f aca="false">TableDE5a!O140</f>
        <v>0</v>
      </c>
      <c r="R140" s="502"/>
    </row>
    <row r="141" customFormat="false" ht="12" hidden="false" customHeight="false" outlineLevel="0" collapsed="false">
      <c r="A141" s="174" t="n">
        <f aca="false">A140+1</f>
        <v>2001</v>
      </c>
      <c r="B141" s="517" t="n">
        <f aca="false">TableDE1!N141</f>
        <v>3.58484961640301</v>
      </c>
      <c r="C141" s="518" t="n">
        <f aca="false">TableDE11b!N140</f>
        <v>0.244125522233755</v>
      </c>
      <c r="D141" s="518" t="n">
        <f aca="false">TableDE11b!O140</f>
        <v>0.755874477766245</v>
      </c>
      <c r="E141" s="519" t="n">
        <f aca="false">TableDE11b!B140</f>
        <v>0.2729133434529</v>
      </c>
      <c r="F141" s="520" t="n">
        <f aca="false">E141/B141</f>
        <v>0.0761296491222795</v>
      </c>
      <c r="G141" s="497" t="n">
        <f aca="false">TableDE13!B60</f>
        <v>0.45958652997488</v>
      </c>
      <c r="H141" s="497" t="n">
        <f aca="false">TableDE13!M60</f>
        <v>0.252547487187036</v>
      </c>
      <c r="I141" s="497" t="n">
        <f aca="false">TableDE13!N60</f>
        <v>0.520894075945828</v>
      </c>
      <c r="J141" s="497" t="n">
        <f aca="false">H141*E141+K141*D141</f>
        <v>0.277627977826291</v>
      </c>
      <c r="K141" s="497" t="n">
        <f aca="false">TableDE13!O60</f>
        <v>0.276109863286046</v>
      </c>
      <c r="L141" s="497" t="n">
        <f aca="false">TableDE12!C61</f>
        <v>0.203989764344057</v>
      </c>
      <c r="M141" s="520" t="n">
        <f aca="false">(1-H141)*F141</f>
        <v>0.056903297536017</v>
      </c>
      <c r="N141" s="521" t="n">
        <f aca="false">TableDE12!I61</f>
        <v>0.0803912915563401</v>
      </c>
      <c r="O141" s="522" t="n">
        <f aca="false">TableDE12!J61</f>
        <v>0.0996107452418132</v>
      </c>
      <c r="P141" s="523" t="n">
        <f aca="false">TableDE5a!O141</f>
        <v>0</v>
      </c>
      <c r="R141" s="502"/>
    </row>
    <row r="142" customFormat="false" ht="12" hidden="false" customHeight="false" outlineLevel="0" collapsed="false">
      <c r="A142" s="174" t="n">
        <f aca="false">A141+1</f>
        <v>2002</v>
      </c>
      <c r="B142" s="517" t="n">
        <f aca="false">TableDE1!N142</f>
        <v>3.63016879171539</v>
      </c>
      <c r="C142" s="518" t="n">
        <f aca="false">TableDE11b!N141</f>
        <v>0.249169168213594</v>
      </c>
      <c r="D142" s="518" t="n">
        <f aca="false">TableDE11b!O141</f>
        <v>0.750830831786406</v>
      </c>
      <c r="E142" s="519" t="n">
        <f aca="false">TableDE11b!B141</f>
        <v>0.277237340048787</v>
      </c>
      <c r="F142" s="520" t="n">
        <f aca="false">E142/B142</f>
        <v>0.0763703717252724</v>
      </c>
      <c r="G142" s="497" t="n">
        <f aca="false">TableDE13!B61</f>
        <v>0.457589473036405</v>
      </c>
      <c r="H142" s="497" t="n">
        <f aca="false">TableDE13!M61</f>
        <v>0.248381865947457</v>
      </c>
      <c r="I142" s="497" t="n">
        <f aca="false">TableDE13!N61</f>
        <v>0.521784487568593</v>
      </c>
      <c r="J142" s="497" t="n">
        <f aca="false">H142*E142+K142*D142</f>
        <v>0.271683234971239</v>
      </c>
      <c r="K142" s="497" t="n">
        <f aca="false">TableDE13!O61</f>
        <v>0.270130765217843</v>
      </c>
      <c r="L142" s="497" t="n">
        <f aca="false">TableDE12!C62</f>
        <v>0.20837661221716</v>
      </c>
      <c r="M142" s="520" t="n">
        <f aca="false">(1-H142)*F142</f>
        <v>0.0574013562930483</v>
      </c>
      <c r="N142" s="521" t="n">
        <f aca="false">TableDE12!I62</f>
        <v>0.0781409973089554</v>
      </c>
      <c r="O142" s="522" t="n">
        <f aca="false">TableDE12!J62</f>
        <v>0.108044600847036</v>
      </c>
      <c r="P142" s="523" t="n">
        <f aca="false">TableDE5a!O142</f>
        <v>0</v>
      </c>
      <c r="R142" s="502"/>
    </row>
    <row r="143" customFormat="false" ht="12" hidden="false" customHeight="false" outlineLevel="0" collapsed="false">
      <c r="A143" s="174" t="n">
        <f aca="false">A142+1</f>
        <v>2003</v>
      </c>
      <c r="B143" s="517" t="n">
        <f aca="false">TableDE1!N143</f>
        <v>3.70546508418438</v>
      </c>
      <c r="C143" s="518" t="n">
        <f aca="false">TableDE11b!N142</f>
        <v>0.258249308281834</v>
      </c>
      <c r="D143" s="518" t="n">
        <f aca="false">TableDE11b!O142</f>
        <v>0.741750691718166</v>
      </c>
      <c r="E143" s="519" t="n">
        <f aca="false">TableDE11b!B142</f>
        <v>0.288951008206089</v>
      </c>
      <c r="F143" s="520" t="n">
        <f aca="false">E143/B143</f>
        <v>0.0779796872029333</v>
      </c>
      <c r="G143" s="497" t="n">
        <f aca="false">TableDE13!B62</f>
        <v>0.459210598951145</v>
      </c>
      <c r="H143" s="497" t="n">
        <f aca="false">TableDE13!M62</f>
        <v>0.253850952038064</v>
      </c>
      <c r="I143" s="497" t="n">
        <f aca="false">TableDE13!N62</f>
        <v>0.524790870045075</v>
      </c>
      <c r="J143" s="497" t="n">
        <f aca="false">H143*E143+K143*D143</f>
        <v>0.272203218003195</v>
      </c>
      <c r="K143" s="497" t="n">
        <f aca="false">TableDE13!O62</f>
        <v>0.268085667729012</v>
      </c>
      <c r="L143" s="497" t="n">
        <f aca="false">TableDE12!C63</f>
        <v>0.215600519680615</v>
      </c>
      <c r="M143" s="520" t="n">
        <f aca="false">(1-H143)*F143</f>
        <v>0.0581844693668382</v>
      </c>
      <c r="N143" s="521" t="n">
        <f aca="false">TableDE12!I63</f>
        <v>0.0897929892354402</v>
      </c>
      <c r="O143" s="522" t="n">
        <f aca="false">TableDE12!J63</f>
        <v>0.109213359094673</v>
      </c>
      <c r="P143" s="523" t="n">
        <f aca="false">TableDE5a!O143</f>
        <v>0</v>
      </c>
      <c r="R143" s="502"/>
    </row>
    <row r="144" customFormat="false" ht="12" hidden="false" customHeight="false" outlineLevel="0" collapsed="false">
      <c r="A144" s="174" t="n">
        <f aca="false">A143+1</f>
        <v>2004</v>
      </c>
      <c r="B144" s="517" t="n">
        <f aca="false">TableDE1!N144</f>
        <v>3.7228401653644</v>
      </c>
      <c r="C144" s="518" t="n">
        <f aca="false">TableDE11b!N143</f>
        <v>0.291604372772858</v>
      </c>
      <c r="D144" s="518" t="n">
        <f aca="false">TableDE11b!O143</f>
        <v>0.708395627227142</v>
      </c>
      <c r="E144" s="519" t="n">
        <f aca="false">TableDE11b!B143</f>
        <v>0.32196661181036</v>
      </c>
      <c r="F144" s="520" t="n">
        <f aca="false">E144/B144</f>
        <v>0.0864841350981946</v>
      </c>
      <c r="G144" s="497" t="n">
        <f aca="false">TableDE13!B63</f>
        <v>0.441075714482073</v>
      </c>
      <c r="H144" s="497" t="n">
        <f aca="false">TableDE13!M63</f>
        <v>0.249995040433436</v>
      </c>
      <c r="I144" s="497" t="n">
        <f aca="false">TableDE13!N63</f>
        <v>0.513608880867405</v>
      </c>
      <c r="J144" s="497" t="n">
        <f aca="false">H144*E144+K144*D144</f>
        <v>0.262977301577813</v>
      </c>
      <c r="K144" s="497" t="n">
        <f aca="false">TableDE13!O63</f>
        <v>0.257606397366358</v>
      </c>
      <c r="L144" s="497" t="n">
        <f aca="false">TableDE12!C64</f>
        <v>0.241476555672613</v>
      </c>
      <c r="M144" s="520" t="n">
        <f aca="false">(1-H144)*F144</f>
        <v>0.0648635302474707</v>
      </c>
      <c r="N144" s="521" t="n">
        <f aca="false">TableDE12!I64</f>
        <v>0.0883705685194388</v>
      </c>
      <c r="O144" s="522" t="n">
        <f aca="false">TableDE12!J64</f>
        <v>0.134675773691834</v>
      </c>
      <c r="P144" s="523" t="n">
        <f aca="false">TableDE5a!O144</f>
        <v>0</v>
      </c>
      <c r="R144" s="502"/>
    </row>
    <row r="145" customFormat="false" ht="12" hidden="false" customHeight="false" outlineLevel="0" collapsed="false">
      <c r="A145" s="174" t="n">
        <f aca="false">A144+1</f>
        <v>2005</v>
      </c>
      <c r="B145" s="517" t="n">
        <f aca="false">TableDE1!N145</f>
        <v>3.83695092187362</v>
      </c>
      <c r="C145" s="518" t="n">
        <f aca="false">TableDE11b!N144</f>
        <v>0.306384370187646</v>
      </c>
      <c r="D145" s="518" t="n">
        <f aca="false">TableDE11b!O144</f>
        <v>0.693615629812354</v>
      </c>
      <c r="E145" s="519" t="n">
        <f aca="false">TableDE11b!B144</f>
        <v>0.33515489351053</v>
      </c>
      <c r="F145" s="520" t="n">
        <f aca="false">E145/B145</f>
        <v>0.0873492781989693</v>
      </c>
      <c r="G145" s="497" t="n">
        <f aca="false">TableDE13!B64</f>
        <v>0.440282468529321</v>
      </c>
      <c r="H145" s="497" t="n">
        <f aca="false">TableDE13!M64</f>
        <v>0.256850079824287</v>
      </c>
      <c r="I145" s="497" t="n">
        <f aca="false">TableDE13!N64</f>
        <v>0.515085705931622</v>
      </c>
      <c r="J145" s="497" t="n">
        <f aca="false">H145*E145+K145*D145</f>
        <v>0.26721392814067</v>
      </c>
      <c r="K145" s="497" t="n">
        <f aca="false">TableDE13!O64</f>
        <v>0.261137954803572</v>
      </c>
      <c r="L145" s="497" t="n">
        <f aca="false">TableDE12!C65</f>
        <v>0.24907033235885</v>
      </c>
      <c r="M145" s="520" t="n">
        <f aca="false">(1-H145)*F145</f>
        <v>0.0649136091209702</v>
      </c>
      <c r="N145" s="521" t="n">
        <f aca="false">TableDE12!I65</f>
        <v>0.0912194335017667</v>
      </c>
      <c r="O145" s="522" t="n">
        <f aca="false">TableDE12!J65</f>
        <v>0.130134313057144</v>
      </c>
      <c r="P145" s="523" t="n">
        <f aca="false">TableDE5a!O145</f>
        <v>0</v>
      </c>
      <c r="R145" s="502"/>
    </row>
    <row r="146" customFormat="false" ht="12" hidden="false" customHeight="false" outlineLevel="0" collapsed="false">
      <c r="A146" s="174" t="n">
        <f aca="false">A145+1</f>
        <v>2006</v>
      </c>
      <c r="B146" s="517" t="n">
        <f aca="false">TableDE1!N146</f>
        <v>3.77789847916255</v>
      </c>
      <c r="C146" s="518" t="n">
        <f aca="false">TableDE11b!N145</f>
        <v>0.332276102178756</v>
      </c>
      <c r="D146" s="518" t="n">
        <f aca="false">TableDE11b!O145</f>
        <v>0.667723897821244</v>
      </c>
      <c r="E146" s="519" t="n">
        <f aca="false">TableDE11b!B145</f>
        <v>0.359105289684966</v>
      </c>
      <c r="F146" s="520" t="n">
        <f aca="false">E146/B146</f>
        <v>0.0950542455456794</v>
      </c>
      <c r="G146" s="497" t="n">
        <f aca="false">TableDE13!B65</f>
        <v>0.436761801303575</v>
      </c>
      <c r="H146" s="497" t="n">
        <f aca="false">TableDE13!M65</f>
        <v>0.264827572427887</v>
      </c>
      <c r="I146" s="497" t="n">
        <f aca="false">TableDE13!N65</f>
        <v>0.515920394577535</v>
      </c>
      <c r="J146" s="497" t="n">
        <f aca="false">H146*E146+K146*D146</f>
        <v>0.275476234711425</v>
      </c>
      <c r="K146" s="497" t="n">
        <f aca="false">TableDE13!O65</f>
        <v>0.270134487003834</v>
      </c>
      <c r="L146" s="497" t="n">
        <f aca="false">TableDE12!C66</f>
        <v>0.264004307571684</v>
      </c>
      <c r="M146" s="520" t="n">
        <f aca="false">(1-H146)*F146</f>
        <v>0.0698812604488529</v>
      </c>
      <c r="N146" s="521" t="n">
        <f aca="false">TableDE12!I66</f>
        <v>0.0868704325498712</v>
      </c>
      <c r="O146" s="522" t="n">
        <f aca="false">TableDE12!J66</f>
        <v>0.137240766344064</v>
      </c>
      <c r="P146" s="523" t="n">
        <f aca="false">TableDE5a!O146</f>
        <v>0</v>
      </c>
      <c r="R146" s="502"/>
    </row>
    <row r="147" customFormat="false" ht="12" hidden="false" customHeight="false" outlineLevel="0" collapsed="false">
      <c r="A147" s="174" t="n">
        <f aca="false">A146+1</f>
        <v>2007</v>
      </c>
      <c r="B147" s="517" t="n">
        <f aca="false">TableDE1!N147</f>
        <v>3.79048630783758</v>
      </c>
      <c r="C147" s="518" t="n">
        <f aca="false">TableDE11b!N146</f>
        <v>0.34250491259546</v>
      </c>
      <c r="D147" s="518" t="n">
        <f aca="false">TableDE11b!O146</f>
        <v>0.65749508740454</v>
      </c>
      <c r="E147" s="519" t="n">
        <f aca="false">TableDE11b!B146</f>
        <v>0.368904112748623</v>
      </c>
      <c r="F147" s="520" t="n">
        <f aca="false">E147/B147</f>
        <v>0.0973236895713988</v>
      </c>
      <c r="G147" s="497" t="n">
        <f aca="false">TableDE13!B66</f>
        <v>0.4390462700661</v>
      </c>
      <c r="H147" s="497" t="n">
        <f aca="false">TableDE13!M66</f>
        <v>0.272278561302085</v>
      </c>
      <c r="I147" s="497" t="n">
        <f aca="false">TableDE13!N66</f>
        <v>0.519492222488952</v>
      </c>
      <c r="J147" s="497" t="n">
        <f aca="false">H147*E147+K147*D147</f>
        <v>0.287074365403398</v>
      </c>
      <c r="K147" s="497" t="n">
        <f aca="false">TableDE13!O66</f>
        <v>0.28384954945063</v>
      </c>
      <c r="L147" s="497" t="n">
        <f aca="false">TableDE12!C67</f>
        <v>0.268459431671005</v>
      </c>
      <c r="M147" s="520" t="n">
        <f aca="false">(1-H147)*F147</f>
        <v>0.0708245353942876</v>
      </c>
      <c r="N147" s="521" t="n">
        <f aca="false">TableDE12!I67</f>
        <v>0.0835080264400378</v>
      </c>
      <c r="O147" s="522" t="n">
        <f aca="false">TableDE12!J67</f>
        <v>0.140882908404155</v>
      </c>
      <c r="P147" s="523" t="n">
        <f aca="false">TableDE5a!O147</f>
        <v>0</v>
      </c>
      <c r="R147" s="502"/>
    </row>
    <row r="148" customFormat="false" ht="12" hidden="false" customHeight="false" outlineLevel="0" collapsed="false">
      <c r="A148" s="174" t="n">
        <v>2008</v>
      </c>
      <c r="B148" s="517" t="n">
        <f aca="false">TableDE1!N148</f>
        <v>3.89654156987207</v>
      </c>
      <c r="C148" s="518" t="n">
        <f aca="false">TableDE11b!N147</f>
        <v>0.321108772196899</v>
      </c>
      <c r="D148" s="518" t="n">
        <f aca="false">TableDE11b!O147</f>
        <v>0.678891227803102</v>
      </c>
      <c r="E148" s="519" t="n">
        <f aca="false">TableDE11b!B147</f>
        <v>0.346584532279956</v>
      </c>
      <c r="F148" s="520" t="n">
        <f aca="false">E148/B148</f>
        <v>0.088946704677742</v>
      </c>
      <c r="G148" s="497" t="n">
        <f aca="false">TableDE13!B67</f>
        <v>0.445178810980598</v>
      </c>
      <c r="H148" s="497" t="n">
        <f aca="false">TableDE13!M67</f>
        <v>0.275280561631604</v>
      </c>
      <c r="I148" s="497" t="n">
        <f aca="false">TableDE13!N67</f>
        <v>0.519452244202121</v>
      </c>
      <c r="J148" s="497" t="n">
        <f aca="false">H148*E148+K148*D148</f>
        <v>0.293044856235735</v>
      </c>
      <c r="K148" s="497" t="n">
        <f aca="false">TableDE13!O67</f>
        <v>0.291117138420593</v>
      </c>
      <c r="L148" s="497" t="n">
        <f aca="false">TableDE12!C68</f>
        <v>0.251176547581103</v>
      </c>
      <c r="M148" s="520" t="n">
        <f aca="false">(1-H148)*F148</f>
        <v>0.0644614058587728</v>
      </c>
      <c r="N148" s="521" t="n">
        <f aca="false">TableDE12!I68</f>
        <v>0.0826956964770661</v>
      </c>
      <c r="O148" s="522" t="n">
        <f aca="false">TableDE12!J68</f>
        <v>0.127165900879214</v>
      </c>
      <c r="P148" s="523" t="n">
        <f aca="false">TableDE5a!O148</f>
        <v>0</v>
      </c>
      <c r="R148" s="502"/>
    </row>
    <row r="149" customFormat="false" ht="12" hidden="false" customHeight="false" outlineLevel="0" collapsed="false">
      <c r="A149" s="446" t="n">
        <v>2009</v>
      </c>
      <c r="B149" s="517" t="n">
        <f aca="false">TableDE1!N149</f>
        <v>4.15195285079167</v>
      </c>
      <c r="C149" s="539" t="n">
        <f aca="false">TableDE11b!N148</f>
        <v>0.288545834547279</v>
      </c>
      <c r="D149" s="539" t="n">
        <f aca="false">TableDE11b!O148</f>
        <v>0.711454165452721</v>
      </c>
      <c r="E149" s="519" t="n">
        <f aca="false">TableDE11b!B148</f>
        <v>0.312011688084557</v>
      </c>
      <c r="F149" s="520" t="n">
        <f aca="false">E149/B149</f>
        <v>0.0751481770861307</v>
      </c>
      <c r="G149" s="497" t="n">
        <f aca="false">TableDE13!B68</f>
        <v>0.451051985024569</v>
      </c>
      <c r="H149" s="497" t="n">
        <f aca="false">TableDE13!M68</f>
        <v>0.263483208851839</v>
      </c>
      <c r="I149" s="497" t="n">
        <f aca="false">TableDE13!N68</f>
        <v>0.522310224245698</v>
      </c>
      <c r="J149" s="497" t="n">
        <f aca="false">H149*E149+K149*D149</f>
        <v>0.284190446002765</v>
      </c>
      <c r="K149" s="497" t="n">
        <f aca="false">TableDE13!O68</f>
        <v>0.283898267850382</v>
      </c>
      <c r="L149" s="497" t="n">
        <f aca="false">TableDE12!C69</f>
        <v>0.229801847308759</v>
      </c>
      <c r="M149" s="520" t="n">
        <f aca="false">(1-H149)*F149</f>
        <v>0.0553478942481107</v>
      </c>
      <c r="N149" s="539" t="n">
        <f aca="false">TableDE12!I69</f>
        <v>0.0880391545121285</v>
      </c>
      <c r="O149" s="540" t="n">
        <f aca="false">TableDE12!J69</f>
        <v>0.114280282349271</v>
      </c>
      <c r="P149" s="541" t="n">
        <f aca="false">TableDE5a!O149</f>
        <v>0</v>
      </c>
      <c r="R149" s="502"/>
    </row>
    <row r="150" customFormat="false" ht="12" hidden="false" customHeight="false" outlineLevel="0" collapsed="false">
      <c r="A150" s="542" t="n">
        <v>2010</v>
      </c>
      <c r="B150" s="524" t="n">
        <f aca="false">TableDE1!N150</f>
        <v>4.11719616413334</v>
      </c>
      <c r="C150" s="543" t="n">
        <f aca="false">TableDE11b!N149</f>
        <v>0.309691963032352</v>
      </c>
      <c r="D150" s="543" t="n">
        <f aca="false">TableDE11b!O149</f>
        <v>0.690308036967648</v>
      </c>
      <c r="E150" s="526" t="n">
        <f aca="false">TableDE11b!B149</f>
        <v>0.331940237371659</v>
      </c>
      <c r="F150" s="527" t="n">
        <f aca="false">E150/B150</f>
        <v>0.0806228860949917</v>
      </c>
      <c r="G150" s="528" t="n">
        <f aca="false">TableDE13!B69</f>
        <v>0.436525539826473</v>
      </c>
      <c r="H150" s="528" t="n">
        <f aca="false">TableDE13!M69</f>
        <v>0.257798951259602</v>
      </c>
      <c r="I150" s="528" t="n">
        <f aca="false">TableDE13!N69</f>
        <v>0.512061415256611</v>
      </c>
      <c r="J150" s="528" t="n">
        <f aca="false">H150*E150+K150*D150</f>
        <v>0.275666165730974</v>
      </c>
      <c r="K150" s="528" t="n">
        <f aca="false">TableDE13!O69</f>
        <v>0.275373181935886</v>
      </c>
      <c r="L150" s="528" t="n">
        <f aca="false">TableDE12!C70</f>
        <v>0.246366392296382</v>
      </c>
      <c r="M150" s="527" t="n">
        <f aca="false">(1-H150)*F150</f>
        <v>0.0598383906121805</v>
      </c>
      <c r="N150" s="543" t="n">
        <f aca="false">TableDE12!I70</f>
        <v>0.0871876834757649</v>
      </c>
      <c r="O150" s="544" t="n">
        <f aca="false">TableDE12!J70</f>
        <v>0.144474059439158</v>
      </c>
      <c r="P150" s="545" t="n">
        <f aca="false">TableDE5a!O150</f>
        <v>0</v>
      </c>
      <c r="R150" s="502"/>
    </row>
    <row r="151" customFormat="false" ht="13" hidden="false" customHeight="false" outlineLevel="0" collapsed="false">
      <c r="A151" s="449" t="n">
        <v>2011</v>
      </c>
      <c r="B151" s="546" t="n">
        <f aca="false">TableDE1!N151</f>
        <v>4.11609907120743</v>
      </c>
      <c r="C151" s="547" t="n">
        <f aca="false">TableDE11b!N150</f>
        <v>0.303565455369442</v>
      </c>
      <c r="D151" s="547" t="n">
        <f aca="false">TableDE11b!O150</f>
        <v>0.696434544630558</v>
      </c>
      <c r="E151" s="548" t="n">
        <f aca="false">TableDE11b!B150</f>
        <v>0.324492660227198</v>
      </c>
      <c r="F151" s="549" t="n">
        <f aca="false">E151/B151</f>
        <v>0.078834997558018</v>
      </c>
      <c r="G151" s="550" t="n">
        <f aca="false">TableDE13!B70</f>
        <v>0.445995423340961</v>
      </c>
      <c r="H151" s="550" t="n">
        <f aca="false">TableDE13!M70</f>
        <v>0.277501433577122</v>
      </c>
      <c r="I151" s="550" t="n">
        <f aca="false">TableDE13!N70</f>
        <v>0.514638129579019</v>
      </c>
      <c r="J151" s="550" t="n">
        <f aca="false">H151*E151+K151*D151</f>
        <v>0.292511536530929</v>
      </c>
      <c r="K151" s="550" t="n">
        <f aca="false">TableDE13!O70</f>
        <v>0.290715559263405</v>
      </c>
      <c r="L151" s="550" t="n">
        <f aca="false">TableDE12!C71</f>
        <v>0.234445481828897</v>
      </c>
      <c r="M151" s="549" t="n">
        <f aca="false">(1-H151)*F151</f>
        <v>0.0569581727196191</v>
      </c>
      <c r="N151" s="547" t="n">
        <f aca="false">TableDE12!I71</f>
        <v>0.0837663211737787</v>
      </c>
      <c r="O151" s="551" t="n">
        <f aca="false">TableDE12!J71</f>
        <v>0.108543096872617</v>
      </c>
      <c r="P151" s="552" t="n">
        <f aca="false">TableDE5a!O151</f>
        <v>0</v>
      </c>
      <c r="R151" s="502"/>
    </row>
    <row r="152" customFormat="false" ht="13" hidden="false" customHeight="false" outlineLevel="0" collapsed="false">
      <c r="B152" s="197"/>
      <c r="C152" s="197"/>
      <c r="D152" s="197"/>
      <c r="E152" s="197"/>
      <c r="F152" s="197"/>
      <c r="G152" s="197"/>
      <c r="H152" s="197"/>
      <c r="I152" s="197"/>
      <c r="J152" s="197"/>
      <c r="K152" s="197"/>
      <c r="L152" s="197"/>
      <c r="M152" s="197"/>
      <c r="N152" s="197"/>
      <c r="O152" s="115"/>
    </row>
    <row r="153" customFormat="false" ht="12" hidden="false" customHeight="false" outlineLevel="0" collapsed="false">
      <c r="B153" s="197"/>
      <c r="C153" s="197"/>
      <c r="D153" s="197"/>
      <c r="E153" s="197"/>
      <c r="F153" s="197"/>
      <c r="G153" s="197"/>
      <c r="H153" s="197"/>
      <c r="I153" s="197"/>
      <c r="J153" s="197"/>
      <c r="K153" s="197"/>
      <c r="L153" s="197"/>
      <c r="M153" s="197"/>
      <c r="N153" s="197"/>
      <c r="O153" s="115"/>
    </row>
    <row r="154" customFormat="false" ht="12" hidden="false" customHeight="false" outlineLevel="0" collapsed="false">
      <c r="B154" s="197"/>
      <c r="C154" s="197"/>
      <c r="D154" s="197"/>
      <c r="E154" s="197"/>
      <c r="F154" s="197"/>
      <c r="G154" s="197"/>
      <c r="H154" s="197"/>
      <c r="I154" s="197"/>
      <c r="J154" s="197"/>
      <c r="K154" s="197"/>
      <c r="L154" s="197"/>
      <c r="M154" s="197"/>
      <c r="N154" s="197"/>
      <c r="O154" s="115"/>
    </row>
    <row r="155" customFormat="false" ht="12" hidden="false" customHeight="false" outlineLevel="0" collapsed="false">
      <c r="B155" s="197"/>
      <c r="C155" s="197"/>
      <c r="D155" s="197"/>
      <c r="E155" s="197"/>
      <c r="F155" s="197"/>
      <c r="G155" s="197"/>
      <c r="H155" s="197"/>
      <c r="I155" s="197"/>
      <c r="J155" s="197"/>
      <c r="K155" s="197"/>
      <c r="L155" s="197"/>
      <c r="M155" s="197"/>
      <c r="N155" s="197"/>
      <c r="O155" s="115"/>
    </row>
    <row r="156" customFormat="false" ht="12" hidden="false" customHeight="false" outlineLevel="0" collapsed="false">
      <c r="B156" s="197"/>
      <c r="C156" s="197"/>
      <c r="D156" s="197"/>
      <c r="E156" s="197"/>
      <c r="F156" s="197"/>
      <c r="G156" s="197"/>
      <c r="H156" s="197"/>
      <c r="I156" s="197"/>
      <c r="J156" s="197"/>
      <c r="K156" s="197"/>
      <c r="L156" s="197"/>
      <c r="M156" s="197"/>
      <c r="N156" s="197"/>
      <c r="O156" s="115"/>
    </row>
    <row r="157" customFormat="false" ht="12" hidden="false" customHeight="false" outlineLevel="0" collapsed="false">
      <c r="B157" s="197"/>
      <c r="C157" s="197"/>
      <c r="D157" s="197"/>
      <c r="E157" s="197"/>
      <c r="F157" s="197"/>
      <c r="G157" s="197"/>
      <c r="H157" s="197"/>
      <c r="I157" s="197"/>
      <c r="J157" s="197"/>
      <c r="K157" s="197"/>
      <c r="L157" s="197"/>
      <c r="M157" s="197"/>
      <c r="N157" s="197"/>
      <c r="O157" s="115"/>
    </row>
    <row r="158" customFormat="false" ht="12" hidden="false" customHeight="false" outlineLevel="0" collapsed="false">
      <c r="B158" s="197"/>
      <c r="C158" s="197"/>
      <c r="D158" s="197"/>
      <c r="E158" s="197"/>
      <c r="F158" s="197"/>
      <c r="G158" s="197"/>
      <c r="H158" s="197"/>
      <c r="I158" s="197"/>
      <c r="J158" s="197"/>
      <c r="K158" s="197"/>
      <c r="L158" s="197"/>
      <c r="M158" s="197"/>
      <c r="N158" s="197"/>
      <c r="O158" s="115"/>
    </row>
    <row r="159" customFormat="false" ht="12" hidden="false" customHeight="false" outlineLevel="0" collapsed="false">
      <c r="B159" s="197"/>
      <c r="C159" s="197"/>
      <c r="D159" s="197"/>
      <c r="E159" s="197"/>
      <c r="F159" s="197"/>
      <c r="G159" s="197"/>
      <c r="H159" s="197"/>
      <c r="I159" s="197"/>
      <c r="J159" s="197"/>
      <c r="K159" s="197"/>
      <c r="L159" s="197"/>
      <c r="M159" s="197"/>
      <c r="N159" s="197"/>
      <c r="O159" s="115"/>
    </row>
    <row r="160" customFormat="false" ht="12" hidden="false" customHeight="false" outlineLevel="0" collapsed="false">
      <c r="B160" s="197"/>
      <c r="C160" s="197"/>
      <c r="D160" s="197"/>
      <c r="E160" s="197"/>
      <c r="F160" s="197"/>
      <c r="G160" s="197"/>
      <c r="H160" s="197"/>
      <c r="I160" s="197"/>
      <c r="J160" s="197"/>
      <c r="K160" s="197"/>
      <c r="L160" s="197"/>
      <c r="M160" s="197"/>
      <c r="N160" s="197"/>
      <c r="O160" s="115"/>
    </row>
    <row r="161" customFormat="false" ht="12" hidden="false" customHeight="false" outlineLevel="0" collapsed="false">
      <c r="B161" s="197"/>
      <c r="C161" s="197"/>
      <c r="D161" s="197"/>
      <c r="E161" s="197"/>
      <c r="F161" s="197"/>
      <c r="G161" s="197"/>
      <c r="H161" s="197"/>
      <c r="I161" s="197"/>
      <c r="J161" s="197"/>
      <c r="K161" s="197"/>
      <c r="L161" s="197"/>
      <c r="M161" s="197"/>
      <c r="N161" s="197"/>
      <c r="O161" s="115"/>
    </row>
    <row r="162" customFormat="false" ht="12" hidden="false" customHeight="false" outlineLevel="0" collapsed="false">
      <c r="B162" s="197"/>
      <c r="C162" s="197"/>
      <c r="D162" s="197"/>
      <c r="E162" s="197"/>
      <c r="F162" s="197"/>
      <c r="G162" s="197"/>
      <c r="H162" s="197"/>
      <c r="I162" s="197"/>
      <c r="J162" s="197"/>
      <c r="K162" s="197"/>
      <c r="L162" s="197"/>
      <c r="M162" s="197"/>
      <c r="N162" s="197"/>
      <c r="O162" s="197"/>
    </row>
    <row r="163" customFormat="false" ht="12" hidden="false" customHeight="false" outlineLevel="0" collapsed="false">
      <c r="B163" s="197"/>
      <c r="C163" s="197"/>
      <c r="D163" s="197"/>
      <c r="E163" s="197"/>
      <c r="F163" s="197"/>
      <c r="G163" s="197"/>
      <c r="H163" s="197"/>
      <c r="I163" s="197"/>
      <c r="J163" s="197"/>
      <c r="K163" s="197"/>
      <c r="L163" s="197"/>
      <c r="M163" s="197"/>
      <c r="N163" s="197"/>
      <c r="O163" s="197"/>
    </row>
    <row r="164" customFormat="false" ht="12" hidden="false" customHeight="false" outlineLevel="0" collapsed="false">
      <c r="B164" s="197"/>
      <c r="C164" s="197"/>
      <c r="D164" s="197"/>
      <c r="E164" s="197"/>
      <c r="F164" s="197"/>
      <c r="G164" s="197"/>
      <c r="H164" s="197"/>
      <c r="I164" s="197"/>
      <c r="J164" s="197"/>
      <c r="K164" s="197"/>
      <c r="L164" s="197"/>
      <c r="M164" s="197"/>
      <c r="N164" s="197"/>
      <c r="O164" s="197"/>
    </row>
    <row r="165" customFormat="false" ht="12" hidden="false" customHeight="false" outlineLevel="0" collapsed="false">
      <c r="B165" s="197"/>
      <c r="C165" s="197"/>
      <c r="D165" s="197"/>
      <c r="E165" s="197"/>
      <c r="F165" s="197"/>
      <c r="G165" s="197"/>
      <c r="H165" s="197"/>
      <c r="I165" s="197"/>
      <c r="J165" s="197"/>
      <c r="K165" s="197"/>
      <c r="L165" s="197"/>
      <c r="M165" s="197"/>
      <c r="N165" s="197"/>
      <c r="O165" s="197"/>
    </row>
    <row r="166" customFormat="false" ht="12" hidden="false" customHeight="false" outlineLevel="0" collapsed="false">
      <c r="B166" s="197"/>
      <c r="C166" s="197"/>
      <c r="D166" s="197"/>
      <c r="E166" s="197"/>
      <c r="F166" s="197"/>
      <c r="G166" s="197"/>
      <c r="H166" s="197"/>
      <c r="I166" s="197"/>
      <c r="J166" s="197"/>
      <c r="K166" s="197"/>
      <c r="L166" s="197"/>
      <c r="M166" s="197"/>
      <c r="N166" s="197"/>
      <c r="O166" s="197"/>
    </row>
    <row r="167" customFormat="false" ht="12" hidden="false" customHeight="false" outlineLevel="0" collapsed="false">
      <c r="B167" s="197"/>
      <c r="C167" s="197"/>
      <c r="D167" s="197"/>
      <c r="E167" s="197"/>
      <c r="F167" s="197"/>
      <c r="G167" s="197"/>
      <c r="H167" s="197"/>
      <c r="I167" s="197"/>
      <c r="J167" s="197"/>
      <c r="K167" s="197"/>
      <c r="L167" s="197"/>
      <c r="M167" s="197"/>
      <c r="N167" s="197"/>
      <c r="O167" s="197"/>
    </row>
    <row r="168" customFormat="false" ht="12" hidden="false" customHeight="false" outlineLevel="0" collapsed="false">
      <c r="B168" s="197"/>
      <c r="C168" s="197"/>
      <c r="D168" s="197"/>
      <c r="E168" s="197"/>
      <c r="F168" s="197"/>
      <c r="G168" s="197"/>
      <c r="H168" s="197"/>
      <c r="I168" s="197"/>
      <c r="J168" s="197"/>
      <c r="K168" s="197"/>
      <c r="L168" s="197"/>
      <c r="M168" s="197"/>
      <c r="N168" s="197"/>
      <c r="O168" s="197"/>
    </row>
    <row r="169" customFormat="false" ht="12" hidden="false" customHeight="false" outlineLevel="0" collapsed="false">
      <c r="B169" s="197"/>
      <c r="C169" s="197"/>
      <c r="D169" s="197"/>
      <c r="E169" s="197"/>
      <c r="F169" s="197"/>
      <c r="G169" s="197"/>
      <c r="H169" s="197"/>
      <c r="I169" s="197"/>
      <c r="J169" s="197"/>
      <c r="K169" s="197"/>
      <c r="L169" s="197"/>
      <c r="M169" s="197"/>
      <c r="N169" s="197"/>
      <c r="O169" s="197"/>
    </row>
    <row r="170" customFormat="false" ht="12" hidden="false" customHeight="false" outlineLevel="0" collapsed="false">
      <c r="B170" s="197"/>
      <c r="C170" s="197"/>
      <c r="D170" s="197"/>
      <c r="E170" s="197"/>
      <c r="F170" s="197"/>
      <c r="G170" s="197"/>
      <c r="H170" s="197"/>
      <c r="I170" s="197"/>
      <c r="J170" s="197"/>
      <c r="K170" s="197"/>
      <c r="L170" s="197"/>
      <c r="M170" s="197"/>
      <c r="N170" s="197"/>
      <c r="O170" s="197"/>
    </row>
    <row r="171" customFormat="false" ht="12" hidden="false" customHeight="false" outlineLevel="0" collapsed="false">
      <c r="B171" s="197"/>
      <c r="C171" s="197"/>
      <c r="D171" s="197"/>
      <c r="E171" s="197"/>
      <c r="F171" s="197"/>
      <c r="G171" s="197"/>
      <c r="H171" s="197"/>
      <c r="I171" s="197"/>
      <c r="J171" s="197"/>
      <c r="K171" s="197"/>
      <c r="L171" s="197"/>
      <c r="M171" s="197"/>
      <c r="N171" s="197"/>
      <c r="O171" s="197"/>
    </row>
    <row r="172" customFormat="false" ht="12" hidden="false" customHeight="false" outlineLevel="0" collapsed="false">
      <c r="B172" s="197"/>
      <c r="C172" s="197"/>
      <c r="D172" s="197"/>
      <c r="E172" s="197"/>
      <c r="F172" s="197"/>
      <c r="G172" s="197"/>
      <c r="H172" s="197"/>
      <c r="I172" s="197"/>
      <c r="J172" s="197"/>
      <c r="K172" s="197"/>
      <c r="L172" s="197"/>
      <c r="M172" s="197"/>
      <c r="N172" s="197"/>
      <c r="O172" s="197"/>
    </row>
    <row r="173" customFormat="false" ht="12" hidden="false" customHeight="false" outlineLevel="0" collapsed="false">
      <c r="B173" s="197"/>
      <c r="C173" s="197"/>
      <c r="D173" s="197"/>
      <c r="E173" s="197"/>
      <c r="F173" s="197"/>
      <c r="G173" s="197"/>
      <c r="H173" s="197"/>
      <c r="I173" s="197"/>
      <c r="J173" s="197"/>
      <c r="K173" s="197"/>
      <c r="L173" s="197"/>
      <c r="M173" s="197"/>
      <c r="N173" s="197"/>
      <c r="O173" s="197"/>
    </row>
    <row r="174" customFormat="false" ht="12" hidden="false" customHeight="false" outlineLevel="0" collapsed="false">
      <c r="B174" s="197"/>
      <c r="C174" s="197"/>
      <c r="D174" s="197"/>
      <c r="E174" s="197"/>
      <c r="F174" s="197"/>
      <c r="G174" s="197"/>
      <c r="H174" s="197"/>
      <c r="I174" s="197"/>
      <c r="J174" s="197"/>
      <c r="K174" s="197"/>
      <c r="L174" s="197"/>
      <c r="M174" s="197"/>
      <c r="N174" s="197"/>
      <c r="O174" s="197"/>
    </row>
    <row r="175" customFormat="false" ht="12" hidden="false" customHeight="false" outlineLevel="0" collapsed="false">
      <c r="B175" s="197"/>
      <c r="C175" s="197"/>
      <c r="D175" s="197"/>
      <c r="E175" s="197"/>
      <c r="F175" s="197"/>
      <c r="G175" s="197"/>
      <c r="H175" s="197"/>
      <c r="I175" s="197"/>
      <c r="J175" s="197"/>
      <c r="K175" s="197"/>
      <c r="L175" s="197"/>
      <c r="M175" s="197"/>
      <c r="N175" s="197"/>
      <c r="O175" s="197"/>
    </row>
    <row r="176" customFormat="false" ht="12" hidden="false" customHeight="false" outlineLevel="0" collapsed="false">
      <c r="B176" s="197"/>
      <c r="C176" s="197"/>
      <c r="D176" s="197"/>
      <c r="E176" s="197"/>
      <c r="F176" s="197"/>
      <c r="G176" s="197"/>
      <c r="H176" s="197"/>
      <c r="I176" s="197"/>
      <c r="J176" s="197"/>
      <c r="K176" s="197"/>
      <c r="L176" s="197"/>
      <c r="M176" s="197"/>
      <c r="N176" s="197"/>
      <c r="O176" s="197"/>
    </row>
    <row r="177" customFormat="false" ht="12" hidden="false" customHeight="false" outlineLevel="0" collapsed="false">
      <c r="B177" s="197"/>
      <c r="C177" s="197"/>
      <c r="D177" s="197"/>
      <c r="E177" s="197"/>
      <c r="F177" s="197"/>
      <c r="G177" s="197"/>
      <c r="H177" s="197"/>
      <c r="I177" s="197"/>
      <c r="J177" s="197"/>
      <c r="K177" s="197"/>
      <c r="L177" s="197"/>
      <c r="M177" s="197"/>
      <c r="N177" s="197"/>
      <c r="O177" s="197"/>
    </row>
    <row r="178" customFormat="false" ht="12" hidden="false" customHeight="false" outlineLevel="0" collapsed="false">
      <c r="B178" s="197"/>
      <c r="C178" s="197"/>
      <c r="D178" s="197"/>
      <c r="E178" s="197"/>
      <c r="F178" s="197"/>
      <c r="G178" s="197"/>
      <c r="H178" s="197"/>
      <c r="I178" s="197"/>
      <c r="J178" s="197"/>
      <c r="K178" s="197"/>
      <c r="L178" s="197"/>
      <c r="M178" s="197"/>
      <c r="N178" s="197"/>
      <c r="O178" s="197"/>
    </row>
    <row r="179" customFormat="false" ht="12" hidden="false" customHeight="false" outlineLevel="0" collapsed="false">
      <c r="B179" s="197"/>
      <c r="C179" s="197"/>
      <c r="D179" s="197"/>
      <c r="E179" s="197"/>
      <c r="F179" s="197"/>
      <c r="G179" s="197"/>
      <c r="H179" s="197"/>
      <c r="I179" s="197"/>
      <c r="J179" s="197"/>
      <c r="K179" s="197"/>
      <c r="L179" s="197"/>
      <c r="M179" s="197"/>
      <c r="N179" s="197"/>
      <c r="O179" s="197"/>
    </row>
    <row r="180" customFormat="false" ht="12" hidden="false" customHeight="false" outlineLevel="0" collapsed="false">
      <c r="B180" s="197"/>
      <c r="C180" s="197"/>
      <c r="D180" s="197"/>
      <c r="E180" s="197"/>
      <c r="F180" s="197"/>
      <c r="G180" s="197"/>
      <c r="H180" s="197"/>
      <c r="I180" s="197"/>
      <c r="J180" s="197"/>
      <c r="K180" s="197"/>
      <c r="L180" s="197"/>
      <c r="M180" s="197"/>
      <c r="N180" s="197"/>
      <c r="O180" s="197"/>
    </row>
    <row r="181" customFormat="false" ht="12" hidden="false" customHeight="false" outlineLevel="0" collapsed="false">
      <c r="B181" s="197"/>
      <c r="C181" s="197"/>
      <c r="D181" s="197"/>
      <c r="E181" s="197"/>
      <c r="F181" s="197"/>
      <c r="G181" s="197"/>
      <c r="H181" s="197"/>
      <c r="I181" s="197"/>
      <c r="J181" s="197"/>
      <c r="K181" s="197"/>
      <c r="L181" s="197"/>
      <c r="M181" s="197"/>
      <c r="N181" s="197"/>
      <c r="O181" s="197"/>
    </row>
    <row r="182" customFormat="false" ht="12" hidden="false" customHeight="false" outlineLevel="0" collapsed="false">
      <c r="B182" s="197"/>
      <c r="C182" s="197"/>
      <c r="D182" s="197"/>
      <c r="E182" s="197"/>
      <c r="F182" s="197"/>
      <c r="G182" s="197"/>
      <c r="H182" s="197"/>
      <c r="I182" s="197"/>
      <c r="J182" s="197"/>
      <c r="K182" s="197"/>
      <c r="L182" s="197"/>
      <c r="M182" s="197"/>
      <c r="N182" s="197"/>
      <c r="O182" s="197"/>
    </row>
    <row r="183" customFormat="false" ht="12" hidden="false" customHeight="false" outlineLevel="0" collapsed="false">
      <c r="B183" s="197"/>
      <c r="C183" s="197"/>
      <c r="D183" s="197"/>
      <c r="E183" s="197"/>
      <c r="F183" s="197"/>
      <c r="G183" s="197"/>
      <c r="H183" s="197"/>
      <c r="I183" s="197"/>
      <c r="J183" s="197"/>
      <c r="K183" s="197"/>
      <c r="L183" s="197"/>
      <c r="M183" s="197"/>
      <c r="N183" s="197"/>
      <c r="O183" s="197"/>
    </row>
    <row r="184" customFormat="false" ht="12" hidden="false" customHeight="false" outlineLevel="0" collapsed="false">
      <c r="B184" s="197"/>
      <c r="C184" s="197"/>
      <c r="D184" s="197"/>
      <c r="E184" s="197"/>
      <c r="F184" s="197"/>
      <c r="G184" s="197"/>
      <c r="H184" s="197"/>
      <c r="I184" s="197"/>
      <c r="J184" s="197"/>
      <c r="K184" s="197"/>
      <c r="L184" s="197"/>
      <c r="M184" s="197"/>
      <c r="N184" s="197"/>
      <c r="O184" s="197"/>
    </row>
    <row r="185" customFormat="false" ht="12" hidden="false" customHeight="false" outlineLevel="0" collapsed="false">
      <c r="B185" s="197"/>
      <c r="C185" s="197"/>
      <c r="D185" s="197"/>
      <c r="E185" s="197"/>
      <c r="F185" s="197"/>
      <c r="G185" s="197"/>
      <c r="H185" s="197"/>
      <c r="I185" s="197"/>
      <c r="J185" s="197"/>
      <c r="K185" s="197"/>
      <c r="L185" s="197"/>
      <c r="M185" s="197"/>
      <c r="N185" s="197"/>
      <c r="O185" s="197"/>
    </row>
    <row r="186" customFormat="false" ht="12" hidden="false" customHeight="false" outlineLevel="0" collapsed="false">
      <c r="B186" s="197"/>
      <c r="C186" s="197"/>
      <c r="D186" s="197"/>
      <c r="E186" s="197"/>
      <c r="F186" s="197"/>
      <c r="G186" s="197"/>
      <c r="H186" s="197"/>
      <c r="I186" s="197"/>
      <c r="J186" s="197"/>
      <c r="K186" s="197"/>
      <c r="L186" s="197"/>
      <c r="M186" s="197"/>
      <c r="N186" s="197"/>
      <c r="O186" s="197"/>
    </row>
    <row r="187" customFormat="false" ht="12" hidden="false" customHeight="false" outlineLevel="0" collapsed="false">
      <c r="B187" s="197"/>
      <c r="C187" s="197"/>
      <c r="D187" s="197"/>
      <c r="E187" s="197"/>
      <c r="F187" s="197"/>
      <c r="G187" s="197"/>
      <c r="H187" s="197"/>
      <c r="I187" s="197"/>
      <c r="J187" s="197"/>
      <c r="K187" s="197"/>
      <c r="L187" s="197"/>
      <c r="M187" s="197"/>
      <c r="N187" s="197"/>
      <c r="O187" s="197"/>
    </row>
    <row r="188" customFormat="false" ht="12" hidden="false" customHeight="false" outlineLevel="0" collapsed="false">
      <c r="B188" s="197"/>
      <c r="C188" s="197"/>
      <c r="D188" s="197"/>
      <c r="E188" s="197"/>
      <c r="F188" s="197"/>
      <c r="G188" s="197"/>
      <c r="H188" s="197"/>
      <c r="I188" s="197"/>
      <c r="J188" s="197"/>
      <c r="K188" s="197"/>
      <c r="L188" s="197"/>
      <c r="M188" s="197"/>
      <c r="N188" s="197"/>
      <c r="O188" s="197"/>
    </row>
    <row r="189" customFormat="false" ht="12" hidden="false" customHeight="false" outlineLevel="0" collapsed="false">
      <c r="B189" s="197"/>
      <c r="C189" s="197"/>
      <c r="D189" s="197"/>
      <c r="E189" s="197"/>
      <c r="F189" s="197"/>
      <c r="G189" s="197"/>
      <c r="H189" s="197"/>
      <c r="I189" s="197"/>
      <c r="J189" s="197"/>
      <c r="K189" s="197"/>
      <c r="L189" s="197"/>
      <c r="M189" s="197"/>
      <c r="N189" s="197"/>
      <c r="O189" s="197"/>
    </row>
    <row r="190" customFormat="false" ht="12" hidden="false" customHeight="false" outlineLevel="0" collapsed="false">
      <c r="B190" s="197"/>
      <c r="C190" s="197"/>
      <c r="D190" s="197"/>
      <c r="E190" s="197"/>
      <c r="F190" s="197"/>
      <c r="G190" s="197"/>
      <c r="H190" s="197"/>
      <c r="I190" s="197"/>
      <c r="J190" s="197"/>
      <c r="K190" s="197"/>
      <c r="L190" s="197"/>
      <c r="M190" s="197"/>
      <c r="N190" s="197"/>
      <c r="O190" s="197"/>
    </row>
    <row r="191" customFormat="false" ht="12" hidden="false" customHeight="false" outlineLevel="0" collapsed="false">
      <c r="B191" s="197"/>
      <c r="C191" s="197"/>
      <c r="D191" s="197"/>
      <c r="E191" s="197"/>
      <c r="F191" s="197"/>
      <c r="G191" s="197"/>
      <c r="H191" s="197"/>
      <c r="I191" s="197"/>
      <c r="J191" s="197"/>
      <c r="K191" s="197"/>
      <c r="L191" s="197"/>
      <c r="M191" s="197"/>
      <c r="N191" s="197"/>
      <c r="O191" s="197"/>
    </row>
    <row r="192" customFormat="false" ht="12" hidden="false" customHeight="false" outlineLevel="0" collapsed="false">
      <c r="B192" s="197"/>
      <c r="C192" s="197"/>
      <c r="D192" s="197"/>
      <c r="E192" s="197"/>
      <c r="F192" s="197"/>
      <c r="G192" s="197"/>
      <c r="H192" s="197"/>
      <c r="I192" s="197"/>
      <c r="J192" s="197"/>
      <c r="K192" s="197"/>
      <c r="L192" s="197"/>
      <c r="M192" s="197"/>
      <c r="N192" s="197"/>
      <c r="O192" s="197"/>
    </row>
    <row r="193" customFormat="false" ht="12" hidden="false" customHeight="false" outlineLevel="0" collapsed="false">
      <c r="B193" s="197"/>
      <c r="C193" s="197"/>
      <c r="D193" s="197"/>
      <c r="E193" s="197"/>
      <c r="F193" s="197"/>
      <c r="G193" s="197"/>
      <c r="H193" s="197"/>
      <c r="I193" s="197"/>
      <c r="J193" s="197"/>
      <c r="K193" s="197"/>
      <c r="L193" s="197"/>
      <c r="M193" s="197"/>
      <c r="N193" s="197"/>
      <c r="O193" s="197"/>
    </row>
    <row r="194" customFormat="false" ht="12" hidden="false" customHeight="false" outlineLevel="0" collapsed="false">
      <c r="B194" s="197"/>
      <c r="C194" s="197"/>
      <c r="D194" s="197"/>
      <c r="E194" s="197"/>
      <c r="F194" s="197"/>
      <c r="G194" s="197"/>
      <c r="H194" s="197"/>
      <c r="I194" s="197"/>
      <c r="J194" s="197"/>
      <c r="K194" s="197"/>
      <c r="L194" s="197"/>
      <c r="M194" s="197"/>
      <c r="N194" s="197"/>
      <c r="O194" s="197"/>
    </row>
    <row r="195" customFormat="false" ht="12" hidden="false" customHeight="false" outlineLevel="0" collapsed="false">
      <c r="B195" s="197"/>
      <c r="C195" s="197"/>
      <c r="D195" s="197"/>
      <c r="E195" s="197"/>
      <c r="F195" s="197"/>
      <c r="G195" s="197"/>
      <c r="H195" s="197"/>
      <c r="I195" s="197"/>
      <c r="J195" s="197"/>
      <c r="K195" s="197"/>
      <c r="L195" s="197"/>
      <c r="M195" s="197"/>
      <c r="N195" s="197"/>
      <c r="O195" s="197"/>
    </row>
    <row r="196" customFormat="false" ht="12" hidden="false" customHeight="false" outlineLevel="0" collapsed="false">
      <c r="B196" s="197"/>
      <c r="C196" s="197"/>
      <c r="D196" s="197"/>
      <c r="E196" s="197"/>
      <c r="F196" s="197"/>
      <c r="G196" s="197"/>
      <c r="H196" s="197"/>
      <c r="I196" s="197"/>
      <c r="J196" s="197"/>
      <c r="K196" s="197"/>
      <c r="L196" s="197"/>
      <c r="M196" s="197"/>
      <c r="N196" s="197"/>
      <c r="O196" s="197"/>
    </row>
    <row r="197" customFormat="false" ht="12" hidden="false" customHeight="false" outlineLevel="0" collapsed="false">
      <c r="B197" s="197"/>
      <c r="C197" s="197"/>
      <c r="D197" s="197"/>
      <c r="E197" s="197"/>
      <c r="F197" s="197"/>
      <c r="G197" s="197"/>
      <c r="H197" s="197"/>
      <c r="I197" s="197"/>
      <c r="J197" s="197"/>
      <c r="K197" s="197"/>
      <c r="L197" s="197"/>
      <c r="M197" s="197"/>
      <c r="N197" s="197"/>
      <c r="O197" s="197"/>
    </row>
    <row r="198" customFormat="false" ht="12" hidden="false" customHeight="false" outlineLevel="0" collapsed="false">
      <c r="B198" s="197"/>
      <c r="C198" s="197"/>
      <c r="D198" s="197"/>
      <c r="E198" s="197"/>
      <c r="F198" s="197"/>
      <c r="G198" s="197"/>
      <c r="H198" s="197"/>
      <c r="I198" s="197"/>
      <c r="J198" s="197"/>
      <c r="K198" s="197"/>
      <c r="L198" s="197"/>
      <c r="M198" s="197"/>
      <c r="N198" s="197"/>
      <c r="O198" s="197"/>
    </row>
    <row r="199" customFormat="false" ht="12" hidden="false" customHeight="false" outlineLevel="0" collapsed="false">
      <c r="B199" s="197"/>
      <c r="C199" s="197"/>
      <c r="D199" s="197"/>
      <c r="E199" s="197"/>
      <c r="F199" s="197"/>
      <c r="G199" s="197"/>
      <c r="H199" s="197"/>
      <c r="I199" s="197"/>
      <c r="J199" s="197"/>
      <c r="K199" s="197"/>
      <c r="L199" s="197"/>
      <c r="M199" s="197"/>
      <c r="N199" s="197"/>
      <c r="O199" s="197"/>
    </row>
    <row r="200" customFormat="false" ht="12" hidden="false" customHeight="false" outlineLevel="0" collapsed="false">
      <c r="B200" s="197"/>
      <c r="C200" s="197"/>
      <c r="D200" s="197"/>
      <c r="E200" s="197"/>
      <c r="F200" s="197"/>
      <c r="G200" s="197"/>
      <c r="H200" s="197"/>
      <c r="I200" s="197"/>
      <c r="J200" s="197"/>
      <c r="K200" s="197"/>
      <c r="L200" s="197"/>
      <c r="M200" s="197"/>
      <c r="N200" s="197"/>
      <c r="O200" s="197"/>
    </row>
    <row r="201" customFormat="false" ht="12" hidden="false" customHeight="false" outlineLevel="0" collapsed="false">
      <c r="B201" s="197"/>
      <c r="C201" s="197"/>
      <c r="D201" s="197"/>
      <c r="E201" s="197"/>
      <c r="F201" s="197"/>
      <c r="G201" s="197"/>
      <c r="H201" s="197"/>
      <c r="I201" s="197"/>
      <c r="J201" s="197"/>
      <c r="K201" s="197"/>
      <c r="L201" s="197"/>
      <c r="M201" s="197"/>
      <c r="N201" s="197"/>
      <c r="O201" s="197"/>
    </row>
    <row r="202" customFormat="false" ht="12" hidden="false" customHeight="false" outlineLevel="0" collapsed="false">
      <c r="B202" s="197"/>
      <c r="C202" s="197"/>
      <c r="D202" s="197"/>
      <c r="E202" s="197"/>
      <c r="F202" s="197"/>
      <c r="G202" s="197"/>
      <c r="H202" s="197"/>
      <c r="I202" s="197"/>
      <c r="J202" s="197"/>
      <c r="K202" s="197"/>
      <c r="L202" s="197"/>
      <c r="M202" s="197"/>
      <c r="N202" s="197"/>
      <c r="O202" s="197"/>
    </row>
    <row r="203" customFormat="false" ht="12" hidden="false" customHeight="false" outlineLevel="0" collapsed="false">
      <c r="B203" s="197"/>
      <c r="C203" s="197"/>
      <c r="D203" s="197"/>
      <c r="E203" s="197"/>
      <c r="F203" s="197"/>
      <c r="G203" s="197"/>
      <c r="H203" s="197"/>
      <c r="I203" s="197"/>
      <c r="J203" s="197"/>
      <c r="K203" s="197"/>
      <c r="L203" s="197"/>
      <c r="M203" s="197"/>
      <c r="N203" s="197"/>
      <c r="O203" s="197"/>
    </row>
    <row r="204" customFormat="false" ht="12" hidden="false" customHeight="false" outlineLevel="0" collapsed="false">
      <c r="B204" s="197"/>
      <c r="C204" s="197"/>
      <c r="D204" s="197"/>
      <c r="E204" s="197"/>
      <c r="F204" s="197"/>
      <c r="G204" s="197"/>
      <c r="H204" s="197"/>
      <c r="I204" s="197"/>
      <c r="J204" s="197"/>
      <c r="K204" s="197"/>
      <c r="L204" s="197"/>
      <c r="M204" s="197"/>
      <c r="N204" s="197"/>
      <c r="O204" s="197"/>
    </row>
    <row r="205" customFormat="false" ht="12" hidden="false" customHeight="false" outlineLevel="0" collapsed="false">
      <c r="B205" s="197"/>
      <c r="C205" s="197"/>
      <c r="D205" s="197"/>
      <c r="E205" s="197"/>
      <c r="F205" s="197"/>
      <c r="G205" s="197"/>
      <c r="H205" s="197"/>
      <c r="I205" s="197"/>
      <c r="J205" s="197"/>
      <c r="K205" s="197"/>
      <c r="L205" s="197"/>
      <c r="M205" s="197"/>
      <c r="N205" s="197"/>
      <c r="O205" s="197"/>
    </row>
    <row r="206" customFormat="false" ht="12" hidden="false" customHeight="false" outlineLevel="0" collapsed="false">
      <c r="B206" s="197"/>
      <c r="C206" s="197"/>
      <c r="D206" s="197"/>
      <c r="E206" s="197"/>
      <c r="F206" s="197"/>
      <c r="G206" s="197"/>
      <c r="H206" s="197"/>
      <c r="I206" s="197"/>
      <c r="J206" s="197"/>
      <c r="K206" s="197"/>
      <c r="L206" s="197"/>
      <c r="M206" s="197"/>
      <c r="N206" s="197"/>
      <c r="O206" s="197"/>
    </row>
    <row r="207" customFormat="false" ht="12" hidden="false" customHeight="false" outlineLevel="0" collapsed="false">
      <c r="B207" s="197"/>
      <c r="C207" s="197"/>
      <c r="D207" s="197"/>
      <c r="E207" s="197"/>
      <c r="F207" s="197"/>
      <c r="G207" s="197"/>
      <c r="H207" s="197"/>
      <c r="I207" s="197"/>
      <c r="J207" s="197"/>
      <c r="K207" s="197"/>
      <c r="L207" s="197"/>
      <c r="M207" s="197"/>
      <c r="N207" s="197"/>
      <c r="O207" s="197"/>
    </row>
    <row r="208" customFormat="false" ht="12" hidden="false" customHeight="false" outlineLevel="0" collapsed="false">
      <c r="B208" s="197"/>
      <c r="C208" s="197"/>
      <c r="D208" s="197"/>
      <c r="E208" s="197"/>
      <c r="F208" s="197"/>
      <c r="G208" s="197"/>
      <c r="H208" s="197"/>
      <c r="I208" s="197"/>
      <c r="J208" s="197"/>
      <c r="K208" s="197"/>
      <c r="L208" s="197"/>
      <c r="M208" s="197"/>
      <c r="N208" s="197"/>
      <c r="O208" s="197"/>
    </row>
    <row r="209" customFormat="false" ht="12" hidden="false" customHeight="false" outlineLevel="0" collapsed="false">
      <c r="B209" s="197"/>
      <c r="C209" s="197"/>
      <c r="D209" s="197"/>
      <c r="E209" s="197"/>
      <c r="F209" s="197"/>
      <c r="G209" s="197"/>
      <c r="H209" s="197"/>
      <c r="I209" s="197"/>
      <c r="J209" s="197"/>
      <c r="K209" s="197"/>
      <c r="L209" s="197"/>
      <c r="M209" s="197"/>
      <c r="N209" s="197"/>
      <c r="O209" s="197"/>
    </row>
    <row r="210" customFormat="false" ht="12" hidden="false" customHeight="false" outlineLevel="0" collapsed="false">
      <c r="B210" s="197"/>
      <c r="C210" s="197"/>
      <c r="D210" s="197"/>
      <c r="E210" s="197"/>
      <c r="F210" s="197"/>
      <c r="G210" s="197"/>
      <c r="H210" s="197"/>
      <c r="I210" s="197"/>
      <c r="J210" s="197"/>
      <c r="K210" s="197"/>
      <c r="L210" s="197"/>
      <c r="M210" s="197"/>
      <c r="N210" s="197"/>
      <c r="O210" s="197"/>
    </row>
    <row r="211" customFormat="false" ht="12" hidden="false" customHeight="false" outlineLevel="0" collapsed="false">
      <c r="B211" s="197"/>
      <c r="C211" s="197"/>
      <c r="D211" s="197"/>
      <c r="E211" s="197"/>
      <c r="F211" s="197"/>
      <c r="G211" s="197"/>
      <c r="H211" s="197"/>
      <c r="I211" s="197"/>
      <c r="J211" s="197"/>
      <c r="K211" s="197"/>
      <c r="L211" s="197"/>
      <c r="M211" s="197"/>
      <c r="N211" s="197"/>
      <c r="O211" s="197"/>
    </row>
    <row r="212" customFormat="false" ht="12" hidden="false" customHeight="false" outlineLevel="0" collapsed="false">
      <c r="B212" s="197"/>
      <c r="C212" s="197"/>
      <c r="D212" s="197"/>
      <c r="E212" s="197"/>
      <c r="F212" s="197"/>
      <c r="G212" s="197"/>
      <c r="H212" s="197"/>
      <c r="I212" s="197"/>
      <c r="J212" s="197"/>
      <c r="K212" s="197"/>
      <c r="L212" s="197"/>
      <c r="M212" s="197"/>
      <c r="N212" s="197"/>
      <c r="O212" s="197"/>
    </row>
    <row r="213" customFormat="false" ht="12" hidden="false" customHeight="false" outlineLevel="0" collapsed="false">
      <c r="B213" s="197"/>
      <c r="C213" s="197"/>
      <c r="D213" s="197"/>
      <c r="E213" s="197"/>
      <c r="F213" s="197"/>
      <c r="G213" s="197"/>
      <c r="H213" s="197"/>
      <c r="I213" s="197"/>
      <c r="J213" s="197"/>
      <c r="K213" s="197"/>
      <c r="L213" s="197"/>
      <c r="M213" s="197"/>
      <c r="N213" s="197"/>
      <c r="O213" s="197"/>
    </row>
    <row r="214" customFormat="false" ht="12" hidden="false" customHeight="false" outlineLevel="0" collapsed="false">
      <c r="B214" s="197"/>
      <c r="C214" s="197"/>
      <c r="D214" s="197"/>
      <c r="E214" s="197"/>
      <c r="F214" s="197"/>
      <c r="G214" s="197"/>
      <c r="H214" s="197"/>
      <c r="I214" s="197"/>
      <c r="J214" s="197"/>
      <c r="K214" s="197"/>
      <c r="L214" s="197"/>
      <c r="M214" s="197"/>
      <c r="N214" s="197"/>
      <c r="O214" s="197"/>
    </row>
    <row r="215" customFormat="false" ht="12" hidden="false" customHeight="false" outlineLevel="0" collapsed="false">
      <c r="B215" s="197"/>
      <c r="C215" s="197"/>
      <c r="D215" s="197"/>
      <c r="E215" s="197"/>
      <c r="F215" s="197"/>
      <c r="G215" s="197"/>
      <c r="H215" s="197"/>
      <c r="I215" s="197"/>
      <c r="J215" s="197"/>
      <c r="K215" s="197"/>
      <c r="L215" s="197"/>
      <c r="M215" s="197"/>
      <c r="N215" s="197"/>
      <c r="O215" s="197"/>
    </row>
    <row r="216" customFormat="false" ht="12" hidden="false" customHeight="false" outlineLevel="0" collapsed="false">
      <c r="B216" s="197"/>
      <c r="C216" s="197"/>
      <c r="D216" s="197"/>
      <c r="E216" s="197"/>
      <c r="F216" s="197"/>
      <c r="G216" s="197"/>
      <c r="H216" s="197"/>
      <c r="I216" s="197"/>
      <c r="J216" s="197"/>
      <c r="K216" s="197"/>
      <c r="L216" s="197"/>
      <c r="M216" s="197"/>
      <c r="N216" s="197"/>
      <c r="O216" s="197"/>
    </row>
    <row r="217" customFormat="false" ht="12" hidden="false" customHeight="false" outlineLevel="0" collapsed="false">
      <c r="B217" s="197"/>
      <c r="C217" s="197"/>
      <c r="D217" s="197"/>
      <c r="E217" s="197"/>
      <c r="F217" s="197"/>
      <c r="G217" s="197"/>
      <c r="H217" s="197"/>
      <c r="I217" s="197"/>
      <c r="J217" s="197"/>
      <c r="K217" s="197"/>
      <c r="L217" s="197"/>
      <c r="M217" s="197"/>
      <c r="N217" s="197"/>
      <c r="O217" s="197"/>
    </row>
    <row r="218" customFormat="false" ht="12" hidden="false" customHeight="false" outlineLevel="0" collapsed="false">
      <c r="B218" s="197"/>
      <c r="C218" s="197"/>
      <c r="D218" s="197"/>
      <c r="E218" s="197"/>
      <c r="F218" s="197"/>
      <c r="G218" s="197"/>
      <c r="H218" s="197"/>
      <c r="I218" s="197"/>
      <c r="J218" s="197"/>
      <c r="K218" s="197"/>
      <c r="L218" s="197"/>
      <c r="M218" s="197"/>
      <c r="N218" s="197"/>
      <c r="O218" s="197"/>
    </row>
    <row r="219" customFormat="false" ht="12" hidden="false" customHeight="false" outlineLevel="0" collapsed="false">
      <c r="B219" s="197"/>
      <c r="C219" s="197"/>
      <c r="D219" s="197"/>
      <c r="E219" s="197"/>
      <c r="F219" s="197"/>
      <c r="G219" s="197"/>
      <c r="H219" s="197"/>
      <c r="I219" s="197"/>
      <c r="J219" s="197"/>
      <c r="K219" s="197"/>
      <c r="L219" s="197"/>
      <c r="M219" s="197"/>
      <c r="N219" s="197"/>
      <c r="O219" s="197"/>
    </row>
    <row r="220" customFormat="false" ht="12" hidden="false" customHeight="false" outlineLevel="0" collapsed="false">
      <c r="B220" s="197"/>
      <c r="C220" s="197"/>
      <c r="D220" s="197"/>
      <c r="E220" s="197"/>
      <c r="F220" s="197"/>
      <c r="G220" s="197"/>
      <c r="H220" s="197"/>
      <c r="I220" s="197"/>
      <c r="J220" s="197"/>
      <c r="K220" s="197"/>
      <c r="L220" s="197"/>
      <c r="M220" s="197"/>
      <c r="N220" s="197"/>
      <c r="O220" s="197"/>
    </row>
    <row r="221" customFormat="false" ht="12" hidden="false" customHeight="false" outlineLevel="0" collapsed="false">
      <c r="B221" s="197"/>
      <c r="C221" s="197"/>
      <c r="D221" s="197"/>
      <c r="E221" s="197"/>
      <c r="F221" s="197"/>
      <c r="G221" s="197"/>
      <c r="H221" s="197"/>
      <c r="I221" s="197"/>
      <c r="J221" s="197"/>
      <c r="K221" s="197"/>
      <c r="L221" s="197"/>
      <c r="M221" s="197"/>
      <c r="N221" s="197"/>
      <c r="O221" s="197"/>
    </row>
    <row r="222" customFormat="false" ht="12" hidden="false" customHeight="false" outlineLevel="0" collapsed="false">
      <c r="B222" s="197"/>
      <c r="C222" s="197"/>
      <c r="D222" s="197"/>
      <c r="E222" s="197"/>
      <c r="F222" s="197"/>
      <c r="G222" s="197"/>
      <c r="H222" s="197"/>
      <c r="I222" s="197"/>
      <c r="J222" s="197"/>
      <c r="K222" s="197"/>
      <c r="L222" s="197"/>
      <c r="M222" s="197"/>
      <c r="N222" s="197"/>
      <c r="O222" s="197"/>
    </row>
    <row r="223" customFormat="false" ht="12" hidden="false" customHeight="false" outlineLevel="0" collapsed="false">
      <c r="B223" s="197"/>
      <c r="C223" s="197"/>
      <c r="D223" s="197"/>
      <c r="E223" s="197"/>
      <c r="F223" s="197"/>
      <c r="G223" s="197"/>
      <c r="H223" s="197"/>
      <c r="I223" s="197"/>
      <c r="J223" s="197"/>
      <c r="K223" s="197"/>
      <c r="L223" s="197"/>
      <c r="M223" s="197"/>
      <c r="N223" s="197"/>
      <c r="O223" s="197"/>
    </row>
    <row r="224" customFormat="false" ht="12" hidden="false" customHeight="false" outlineLevel="0" collapsed="false">
      <c r="B224" s="197"/>
      <c r="C224" s="197"/>
      <c r="D224" s="197"/>
      <c r="E224" s="197"/>
      <c r="F224" s="197"/>
      <c r="G224" s="197"/>
      <c r="H224" s="197"/>
      <c r="I224" s="197"/>
      <c r="J224" s="197"/>
      <c r="K224" s="197"/>
      <c r="L224" s="197"/>
      <c r="M224" s="197"/>
      <c r="N224" s="197"/>
      <c r="O224" s="197"/>
    </row>
    <row r="225" customFormat="false" ht="12" hidden="false" customHeight="false" outlineLevel="0" collapsed="false">
      <c r="B225" s="197"/>
      <c r="C225" s="197"/>
      <c r="D225" s="197"/>
      <c r="E225" s="197"/>
      <c r="F225" s="197"/>
      <c r="G225" s="197"/>
      <c r="H225" s="197"/>
      <c r="I225" s="197"/>
      <c r="J225" s="197"/>
      <c r="K225" s="197"/>
      <c r="L225" s="197"/>
      <c r="M225" s="197"/>
      <c r="N225" s="197"/>
      <c r="O225" s="197"/>
    </row>
    <row r="226" customFormat="false" ht="12" hidden="false" customHeight="false" outlineLevel="0" collapsed="false">
      <c r="B226" s="197"/>
      <c r="C226" s="197"/>
      <c r="D226" s="197"/>
      <c r="E226" s="197"/>
      <c r="F226" s="197"/>
      <c r="G226" s="197"/>
      <c r="H226" s="197"/>
      <c r="I226" s="197"/>
      <c r="J226" s="197"/>
      <c r="K226" s="197"/>
      <c r="L226" s="197"/>
      <c r="M226" s="197"/>
      <c r="N226" s="197"/>
      <c r="O226" s="197"/>
    </row>
    <row r="227" customFormat="false" ht="12" hidden="false" customHeight="false" outlineLevel="0" collapsed="false">
      <c r="B227" s="197"/>
      <c r="C227" s="197"/>
      <c r="D227" s="197"/>
      <c r="E227" s="197"/>
      <c r="F227" s="197"/>
      <c r="G227" s="197"/>
      <c r="H227" s="197"/>
      <c r="I227" s="197"/>
      <c r="J227" s="197"/>
      <c r="K227" s="197"/>
      <c r="L227" s="197"/>
      <c r="M227" s="197"/>
      <c r="N227" s="197"/>
      <c r="O227" s="197"/>
    </row>
    <row r="228" customFormat="false" ht="12" hidden="false" customHeight="false" outlineLevel="0" collapsed="false">
      <c r="B228" s="197"/>
      <c r="C228" s="197"/>
      <c r="D228" s="197"/>
      <c r="E228" s="197"/>
      <c r="F228" s="197"/>
      <c r="G228" s="197"/>
      <c r="H228" s="197"/>
      <c r="I228" s="197"/>
      <c r="J228" s="197"/>
      <c r="K228" s="197"/>
      <c r="L228" s="197"/>
      <c r="M228" s="197"/>
      <c r="N228" s="197"/>
      <c r="O228" s="197"/>
    </row>
    <row r="229" customFormat="false" ht="12" hidden="false" customHeight="false" outlineLevel="0" collapsed="false">
      <c r="B229" s="197"/>
      <c r="C229" s="197"/>
      <c r="D229" s="197"/>
      <c r="E229" s="197"/>
      <c r="F229" s="197"/>
      <c r="G229" s="197"/>
      <c r="H229" s="197"/>
      <c r="I229" s="197"/>
      <c r="J229" s="197"/>
      <c r="K229" s="197"/>
      <c r="L229" s="197"/>
      <c r="M229" s="197"/>
      <c r="N229" s="197"/>
      <c r="O229" s="197"/>
    </row>
    <row r="230" customFormat="false" ht="12" hidden="false" customHeight="false" outlineLevel="0" collapsed="false">
      <c r="B230" s="197"/>
      <c r="C230" s="197"/>
      <c r="D230" s="197"/>
      <c r="E230" s="197"/>
      <c r="F230" s="197"/>
      <c r="G230" s="197"/>
      <c r="H230" s="197"/>
      <c r="I230" s="197"/>
      <c r="J230" s="197"/>
      <c r="K230" s="197"/>
      <c r="L230" s="197"/>
      <c r="M230" s="197"/>
      <c r="N230" s="197"/>
      <c r="O230" s="197"/>
    </row>
    <row r="231" customFormat="false" ht="12" hidden="false" customHeight="false" outlineLevel="0" collapsed="false">
      <c r="B231" s="197"/>
      <c r="C231" s="197"/>
      <c r="D231" s="197"/>
      <c r="E231" s="197"/>
      <c r="F231" s="197"/>
      <c r="G231" s="197"/>
      <c r="H231" s="197"/>
      <c r="I231" s="197"/>
      <c r="J231" s="197"/>
      <c r="K231" s="197"/>
      <c r="L231" s="197"/>
      <c r="M231" s="197"/>
      <c r="N231" s="197"/>
      <c r="O231" s="197"/>
    </row>
    <row r="232" customFormat="false" ht="12" hidden="false" customHeight="false" outlineLevel="0" collapsed="false">
      <c r="B232" s="197"/>
      <c r="C232" s="197"/>
      <c r="D232" s="197"/>
      <c r="E232" s="197"/>
      <c r="F232" s="197"/>
      <c r="G232" s="197"/>
      <c r="H232" s="197"/>
      <c r="I232" s="197"/>
      <c r="J232" s="197"/>
      <c r="K232" s="197"/>
      <c r="L232" s="197"/>
      <c r="M232" s="197"/>
      <c r="N232" s="197"/>
      <c r="O232" s="197"/>
    </row>
    <row r="233" customFormat="false" ht="12" hidden="false" customHeight="false" outlineLevel="0" collapsed="false">
      <c r="B233" s="197"/>
      <c r="C233" s="197"/>
      <c r="D233" s="197"/>
      <c r="E233" s="197"/>
      <c r="F233" s="197"/>
      <c r="G233" s="197"/>
      <c r="H233" s="197"/>
      <c r="I233" s="197"/>
      <c r="J233" s="197"/>
      <c r="K233" s="197"/>
      <c r="L233" s="197"/>
      <c r="M233" s="197"/>
      <c r="N233" s="197"/>
      <c r="O233" s="197"/>
    </row>
    <row r="234" customFormat="false" ht="12" hidden="false" customHeight="false" outlineLevel="0" collapsed="false">
      <c r="B234" s="197"/>
      <c r="C234" s="197"/>
      <c r="D234" s="197"/>
      <c r="E234" s="197"/>
      <c r="F234" s="197"/>
      <c r="G234" s="197"/>
      <c r="H234" s="197"/>
      <c r="I234" s="197"/>
      <c r="J234" s="197"/>
      <c r="K234" s="197"/>
      <c r="L234" s="197"/>
      <c r="M234" s="197"/>
      <c r="N234" s="197"/>
      <c r="O234" s="197"/>
    </row>
    <row r="235" customFormat="false" ht="12" hidden="false" customHeight="false" outlineLevel="0" collapsed="false">
      <c r="B235" s="197"/>
      <c r="C235" s="197"/>
      <c r="D235" s="197"/>
      <c r="E235" s="197"/>
      <c r="F235" s="197"/>
      <c r="G235" s="197"/>
      <c r="H235" s="197"/>
      <c r="I235" s="197"/>
      <c r="J235" s="197"/>
      <c r="K235" s="197"/>
      <c r="L235" s="197"/>
      <c r="M235" s="197"/>
      <c r="N235" s="197"/>
      <c r="O235" s="197"/>
    </row>
    <row r="236" customFormat="false" ht="12" hidden="false" customHeight="false" outlineLevel="0" collapsed="false">
      <c r="B236" s="197"/>
      <c r="C236" s="197"/>
      <c r="D236" s="197"/>
      <c r="E236" s="197"/>
      <c r="F236" s="197"/>
      <c r="G236" s="197"/>
      <c r="H236" s="197"/>
      <c r="I236" s="197"/>
      <c r="J236" s="197"/>
      <c r="K236" s="197"/>
      <c r="L236" s="197"/>
      <c r="M236" s="197"/>
      <c r="N236" s="197"/>
      <c r="O236" s="197"/>
    </row>
    <row r="237" customFormat="false" ht="12" hidden="false" customHeight="false" outlineLevel="0" collapsed="false">
      <c r="B237" s="197"/>
      <c r="C237" s="197"/>
      <c r="D237" s="197"/>
      <c r="E237" s="197"/>
      <c r="F237" s="197"/>
      <c r="G237" s="197"/>
      <c r="H237" s="197"/>
      <c r="I237" s="197"/>
      <c r="J237" s="197"/>
      <c r="K237" s="197"/>
      <c r="L237" s="197"/>
      <c r="M237" s="197"/>
      <c r="N237" s="197"/>
      <c r="O237" s="197"/>
    </row>
    <row r="238" customFormat="false" ht="12" hidden="false" customHeight="false" outlineLevel="0" collapsed="false">
      <c r="B238" s="197"/>
      <c r="C238" s="197"/>
      <c r="D238" s="197"/>
      <c r="E238" s="197"/>
      <c r="F238" s="197"/>
      <c r="G238" s="197"/>
      <c r="H238" s="197"/>
      <c r="I238" s="197"/>
      <c r="J238" s="197"/>
      <c r="K238" s="197"/>
      <c r="L238" s="197"/>
      <c r="M238" s="197"/>
      <c r="N238" s="197"/>
      <c r="O238" s="197"/>
    </row>
    <row r="239" customFormat="false" ht="12" hidden="false" customHeight="false" outlineLevel="0" collapsed="false">
      <c r="B239" s="197"/>
      <c r="C239" s="197"/>
      <c r="D239" s="197"/>
      <c r="E239" s="197"/>
      <c r="F239" s="197"/>
      <c r="G239" s="197"/>
      <c r="H239" s="197"/>
      <c r="I239" s="197"/>
      <c r="J239" s="197"/>
      <c r="K239" s="197"/>
      <c r="L239" s="197"/>
      <c r="M239" s="197"/>
      <c r="N239" s="197"/>
      <c r="O239" s="197"/>
    </row>
    <row r="240" customFormat="false" ht="12" hidden="false" customHeight="false" outlineLevel="0" collapsed="false">
      <c r="B240" s="197"/>
      <c r="C240" s="197"/>
      <c r="D240" s="197"/>
      <c r="E240" s="197"/>
      <c r="F240" s="197"/>
      <c r="G240" s="197"/>
      <c r="H240" s="197"/>
      <c r="I240" s="197"/>
      <c r="J240" s="197"/>
      <c r="K240" s="197"/>
      <c r="L240" s="197"/>
      <c r="M240" s="197"/>
      <c r="N240" s="197"/>
      <c r="O240" s="197"/>
    </row>
    <row r="241" customFormat="false" ht="12" hidden="false" customHeight="false" outlineLevel="0" collapsed="false">
      <c r="B241" s="197"/>
      <c r="C241" s="197"/>
      <c r="D241" s="197"/>
      <c r="E241" s="197"/>
      <c r="F241" s="197"/>
      <c r="G241" s="197"/>
      <c r="H241" s="197"/>
      <c r="I241" s="197"/>
      <c r="J241" s="197"/>
      <c r="K241" s="197"/>
      <c r="L241" s="197"/>
      <c r="M241" s="197"/>
      <c r="N241" s="197"/>
      <c r="O241" s="197"/>
    </row>
    <row r="242" customFormat="false" ht="12" hidden="false" customHeight="false" outlineLevel="0" collapsed="false">
      <c r="B242" s="197"/>
      <c r="C242" s="197"/>
      <c r="D242" s="197"/>
      <c r="E242" s="197"/>
      <c r="F242" s="197"/>
      <c r="G242" s="197"/>
      <c r="H242" s="197"/>
      <c r="I242" s="197"/>
      <c r="J242" s="197"/>
      <c r="K242" s="197"/>
      <c r="L242" s="197"/>
      <c r="M242" s="197"/>
      <c r="N242" s="197"/>
      <c r="O242" s="197"/>
    </row>
    <row r="243" customFormat="false" ht="12" hidden="false" customHeight="false" outlineLevel="0" collapsed="false">
      <c r="B243" s="197"/>
      <c r="C243" s="197"/>
      <c r="D243" s="197"/>
      <c r="E243" s="197"/>
      <c r="F243" s="197"/>
      <c r="G243" s="197"/>
      <c r="H243" s="197"/>
      <c r="I243" s="197"/>
      <c r="J243" s="197"/>
      <c r="K243" s="197"/>
      <c r="L243" s="197"/>
      <c r="M243" s="197"/>
      <c r="N243" s="197"/>
      <c r="O243" s="197"/>
    </row>
    <row r="244" customFormat="false" ht="12" hidden="false" customHeight="false" outlineLevel="0" collapsed="false">
      <c r="B244" s="197"/>
      <c r="C244" s="197"/>
      <c r="D244" s="197"/>
      <c r="E244" s="197"/>
      <c r="F244" s="197"/>
      <c r="G244" s="197"/>
      <c r="H244" s="197"/>
      <c r="I244" s="197"/>
      <c r="J244" s="197"/>
      <c r="K244" s="197"/>
      <c r="L244" s="197"/>
      <c r="M244" s="197"/>
      <c r="N244" s="197"/>
      <c r="O244" s="197"/>
    </row>
    <row r="245" customFormat="false" ht="12" hidden="false" customHeight="false" outlineLevel="0" collapsed="false">
      <c r="B245" s="197"/>
      <c r="C245" s="197"/>
      <c r="D245" s="197"/>
      <c r="E245" s="197"/>
      <c r="F245" s="197"/>
      <c r="G245" s="197"/>
      <c r="H245" s="197"/>
      <c r="I245" s="197"/>
      <c r="J245" s="197"/>
      <c r="K245" s="197"/>
      <c r="L245" s="197"/>
      <c r="M245" s="197"/>
      <c r="N245" s="197"/>
      <c r="O245" s="197"/>
    </row>
    <row r="246" customFormat="false" ht="12" hidden="false" customHeight="false" outlineLevel="0" collapsed="false">
      <c r="B246" s="197"/>
      <c r="C246" s="197"/>
      <c r="D246" s="197"/>
      <c r="E246" s="197"/>
      <c r="F246" s="197"/>
      <c r="G246" s="197"/>
      <c r="H246" s="197"/>
      <c r="I246" s="197"/>
      <c r="J246" s="197"/>
      <c r="K246" s="197"/>
      <c r="L246" s="197"/>
      <c r="M246" s="197"/>
      <c r="N246" s="197"/>
      <c r="O246" s="197"/>
    </row>
    <row r="247" customFormat="false" ht="12" hidden="false" customHeight="false" outlineLevel="0" collapsed="false">
      <c r="B247" s="197"/>
      <c r="C247" s="197"/>
      <c r="D247" s="197"/>
      <c r="E247" s="197"/>
      <c r="F247" s="197"/>
      <c r="G247" s="197"/>
      <c r="H247" s="197"/>
      <c r="I247" s="197"/>
      <c r="J247" s="197"/>
      <c r="K247" s="197"/>
      <c r="L247" s="197"/>
      <c r="M247" s="197"/>
      <c r="N247" s="197"/>
      <c r="O247" s="197"/>
    </row>
    <row r="248" customFormat="false" ht="12" hidden="false" customHeight="false" outlineLevel="0" collapsed="false">
      <c r="B248" s="197"/>
      <c r="C248" s="197"/>
      <c r="D248" s="197"/>
      <c r="E248" s="197"/>
      <c r="F248" s="197"/>
      <c r="G248" s="197"/>
      <c r="H248" s="197"/>
      <c r="I248" s="197"/>
      <c r="J248" s="197"/>
      <c r="K248" s="197"/>
      <c r="L248" s="197"/>
      <c r="M248" s="197"/>
      <c r="N248" s="197"/>
      <c r="O248" s="197"/>
    </row>
    <row r="249" customFormat="false" ht="12" hidden="false" customHeight="false" outlineLevel="0" collapsed="false">
      <c r="B249" s="197"/>
      <c r="C249" s="197"/>
      <c r="D249" s="197"/>
      <c r="E249" s="197"/>
      <c r="F249" s="197"/>
      <c r="G249" s="197"/>
      <c r="H249" s="197"/>
      <c r="I249" s="197"/>
      <c r="J249" s="197"/>
      <c r="K249" s="197"/>
      <c r="L249" s="197"/>
      <c r="M249" s="197"/>
      <c r="N249" s="197"/>
      <c r="O249" s="197"/>
    </row>
    <row r="250" customFormat="false" ht="12" hidden="false" customHeight="false" outlineLevel="0" collapsed="false">
      <c r="B250" s="197"/>
      <c r="C250" s="197"/>
      <c r="D250" s="197"/>
      <c r="E250" s="197"/>
      <c r="F250" s="197"/>
      <c r="G250" s="197"/>
      <c r="H250" s="197"/>
      <c r="I250" s="197"/>
      <c r="J250" s="197"/>
      <c r="K250" s="197"/>
      <c r="L250" s="197"/>
      <c r="M250" s="197"/>
      <c r="N250" s="197"/>
      <c r="O250" s="197"/>
    </row>
    <row r="251" customFormat="false" ht="12" hidden="false" customHeight="false" outlineLevel="0" collapsed="false">
      <c r="B251" s="197"/>
      <c r="C251" s="197"/>
      <c r="D251" s="197"/>
      <c r="E251" s="197"/>
      <c r="F251" s="197"/>
      <c r="G251" s="197"/>
      <c r="H251" s="197"/>
      <c r="I251" s="197"/>
      <c r="J251" s="197"/>
      <c r="K251" s="197"/>
      <c r="L251" s="197"/>
      <c r="M251" s="197"/>
      <c r="N251" s="197"/>
      <c r="O251" s="197"/>
    </row>
    <row r="252" customFormat="false" ht="12" hidden="false" customHeight="false" outlineLevel="0" collapsed="false">
      <c r="B252" s="197"/>
      <c r="C252" s="197"/>
      <c r="D252" s="197"/>
      <c r="E252" s="197"/>
      <c r="F252" s="197"/>
      <c r="G252" s="197"/>
      <c r="H252" s="197"/>
      <c r="I252" s="197"/>
      <c r="J252" s="197"/>
      <c r="K252" s="197"/>
      <c r="L252" s="197"/>
      <c r="M252" s="197"/>
      <c r="N252" s="197"/>
      <c r="O252" s="197"/>
    </row>
    <row r="253" customFormat="false" ht="12" hidden="false" customHeight="false" outlineLevel="0" collapsed="false">
      <c r="B253" s="197"/>
      <c r="C253" s="197"/>
      <c r="D253" s="197"/>
      <c r="E253" s="197"/>
      <c r="F253" s="197"/>
      <c r="G253" s="197"/>
      <c r="H253" s="197"/>
      <c r="I253" s="197"/>
      <c r="J253" s="197"/>
      <c r="K253" s="197"/>
      <c r="L253" s="197"/>
      <c r="M253" s="197"/>
      <c r="N253" s="197"/>
      <c r="O253" s="197"/>
    </row>
    <row r="254" customFormat="false" ht="12" hidden="false" customHeight="false" outlineLevel="0" collapsed="false">
      <c r="B254" s="197"/>
      <c r="C254" s="197"/>
      <c r="D254" s="197"/>
      <c r="E254" s="197"/>
      <c r="F254" s="197"/>
      <c r="G254" s="197"/>
      <c r="H254" s="197"/>
      <c r="I254" s="197"/>
      <c r="J254" s="197"/>
      <c r="K254" s="197"/>
      <c r="L254" s="197"/>
      <c r="M254" s="197"/>
      <c r="N254" s="197"/>
      <c r="O254" s="197"/>
    </row>
    <row r="255" customFormat="false" ht="12" hidden="false" customHeight="false" outlineLevel="0" collapsed="false">
      <c r="B255" s="197"/>
      <c r="C255" s="197"/>
      <c r="D255" s="197"/>
      <c r="E255" s="197"/>
      <c r="F255" s="197"/>
      <c r="G255" s="197"/>
      <c r="H255" s="197"/>
      <c r="I255" s="197"/>
      <c r="J255" s="197"/>
      <c r="K255" s="197"/>
      <c r="L255" s="197"/>
      <c r="M255" s="197"/>
      <c r="N255" s="197"/>
      <c r="O255" s="197"/>
    </row>
    <row r="256" customFormat="false" ht="12" hidden="false" customHeight="false" outlineLevel="0" collapsed="false">
      <c r="B256" s="197"/>
      <c r="C256" s="197"/>
      <c r="D256" s="197"/>
      <c r="E256" s="197"/>
      <c r="F256" s="197"/>
      <c r="G256" s="197"/>
      <c r="H256" s="197"/>
      <c r="I256" s="197"/>
      <c r="J256" s="197"/>
      <c r="K256" s="197"/>
      <c r="L256" s="197"/>
      <c r="M256" s="197"/>
      <c r="N256" s="197"/>
      <c r="O256" s="197"/>
    </row>
    <row r="257" customFormat="false" ht="12" hidden="false" customHeight="false" outlineLevel="0" collapsed="false">
      <c r="B257" s="197"/>
      <c r="C257" s="197"/>
      <c r="D257" s="197"/>
      <c r="E257" s="197"/>
      <c r="F257" s="197"/>
      <c r="G257" s="197"/>
      <c r="H257" s="197"/>
      <c r="I257" s="197"/>
      <c r="J257" s="197"/>
      <c r="K257" s="197"/>
      <c r="L257" s="197"/>
      <c r="M257" s="197"/>
      <c r="N257" s="197"/>
      <c r="O257" s="197"/>
    </row>
    <row r="258" customFormat="false" ht="12" hidden="false" customHeight="false" outlineLevel="0" collapsed="false">
      <c r="B258" s="197"/>
      <c r="C258" s="197"/>
      <c r="D258" s="197"/>
      <c r="E258" s="197"/>
      <c r="F258" s="197"/>
      <c r="G258" s="197"/>
      <c r="H258" s="197"/>
      <c r="I258" s="197"/>
      <c r="J258" s="197"/>
      <c r="K258" s="197"/>
      <c r="L258" s="197"/>
      <c r="M258" s="197"/>
      <c r="N258" s="197"/>
      <c r="O258" s="197"/>
    </row>
    <row r="259" customFormat="false" ht="12" hidden="false" customHeight="false" outlineLevel="0" collapsed="false">
      <c r="B259" s="197"/>
      <c r="C259" s="197"/>
      <c r="D259" s="197"/>
      <c r="E259" s="197"/>
      <c r="F259" s="197"/>
      <c r="G259" s="197"/>
      <c r="H259" s="197"/>
      <c r="I259" s="197"/>
      <c r="J259" s="197"/>
      <c r="K259" s="197"/>
      <c r="L259" s="197"/>
      <c r="M259" s="197"/>
      <c r="N259" s="197"/>
      <c r="O259" s="197"/>
    </row>
    <row r="260" customFormat="false" ht="12" hidden="false" customHeight="false" outlineLevel="0" collapsed="false">
      <c r="B260" s="197"/>
      <c r="C260" s="197"/>
      <c r="D260" s="197"/>
      <c r="E260" s="197"/>
      <c r="F260" s="197"/>
      <c r="G260" s="197"/>
      <c r="H260" s="197"/>
      <c r="I260" s="197"/>
      <c r="J260" s="197"/>
      <c r="K260" s="197"/>
      <c r="L260" s="197"/>
      <c r="M260" s="197"/>
      <c r="N260" s="197"/>
      <c r="O260" s="197"/>
    </row>
    <row r="261" customFormat="false" ht="12" hidden="false" customHeight="false" outlineLevel="0" collapsed="false">
      <c r="B261" s="197"/>
      <c r="C261" s="197"/>
      <c r="D261" s="197"/>
      <c r="E261" s="197"/>
      <c r="F261" s="197"/>
      <c r="G261" s="197"/>
      <c r="H261" s="197"/>
      <c r="I261" s="197"/>
      <c r="J261" s="197"/>
      <c r="K261" s="197"/>
      <c r="L261" s="197"/>
      <c r="M261" s="197"/>
      <c r="N261" s="197"/>
      <c r="O261" s="197"/>
    </row>
    <row r="262" customFormat="false" ht="12" hidden="false" customHeight="false" outlineLevel="0" collapsed="false">
      <c r="B262" s="197"/>
      <c r="C262" s="197"/>
      <c r="D262" s="197"/>
      <c r="E262" s="197"/>
      <c r="F262" s="197"/>
      <c r="G262" s="197"/>
      <c r="H262" s="197"/>
      <c r="I262" s="197"/>
      <c r="J262" s="197"/>
      <c r="K262" s="197"/>
      <c r="L262" s="197"/>
      <c r="M262" s="197"/>
      <c r="N262" s="197"/>
      <c r="O262" s="197"/>
    </row>
    <row r="263" customFormat="false" ht="12" hidden="false" customHeight="false" outlineLevel="0" collapsed="false">
      <c r="B263" s="197"/>
      <c r="C263" s="197"/>
      <c r="D263" s="197"/>
      <c r="E263" s="197"/>
      <c r="F263" s="197"/>
      <c r="G263" s="197"/>
      <c r="H263" s="197"/>
      <c r="I263" s="197"/>
      <c r="J263" s="197"/>
      <c r="K263" s="197"/>
      <c r="L263" s="197"/>
      <c r="M263" s="197"/>
      <c r="N263" s="197"/>
      <c r="O263" s="197"/>
    </row>
    <row r="264" customFormat="false" ht="12" hidden="false" customHeight="false" outlineLevel="0" collapsed="false">
      <c r="B264" s="197"/>
      <c r="C264" s="197"/>
      <c r="D264" s="197"/>
      <c r="E264" s="197"/>
      <c r="F264" s="197"/>
      <c r="G264" s="197"/>
      <c r="H264" s="197"/>
      <c r="I264" s="197"/>
      <c r="J264" s="197"/>
      <c r="K264" s="197"/>
      <c r="L264" s="197"/>
      <c r="M264" s="197"/>
      <c r="N264" s="197"/>
      <c r="O264" s="197"/>
    </row>
    <row r="265" customFormat="false" ht="12" hidden="false" customHeight="false" outlineLevel="0" collapsed="false">
      <c r="B265" s="197"/>
      <c r="C265" s="197"/>
      <c r="D265" s="197"/>
      <c r="E265" s="197"/>
      <c r="F265" s="197"/>
      <c r="G265" s="197"/>
      <c r="H265" s="197"/>
      <c r="I265" s="197"/>
      <c r="J265" s="197"/>
      <c r="K265" s="197"/>
      <c r="L265" s="197"/>
      <c r="M265" s="197"/>
      <c r="N265" s="197"/>
      <c r="O265" s="197"/>
    </row>
    <row r="266" customFormat="false" ht="12" hidden="false" customHeight="false" outlineLevel="0" collapsed="false">
      <c r="B266" s="197"/>
      <c r="C266" s="197"/>
      <c r="D266" s="197"/>
      <c r="E266" s="197"/>
      <c r="F266" s="197"/>
      <c r="G266" s="197"/>
      <c r="H266" s="197"/>
      <c r="I266" s="197"/>
      <c r="J266" s="197"/>
      <c r="K266" s="197"/>
      <c r="L266" s="197"/>
      <c r="M266" s="197"/>
      <c r="N266" s="197"/>
      <c r="O266" s="197"/>
    </row>
    <row r="267" customFormat="false" ht="12" hidden="false" customHeight="false" outlineLevel="0" collapsed="false">
      <c r="B267" s="197"/>
      <c r="C267" s="197"/>
      <c r="D267" s="197"/>
      <c r="E267" s="197"/>
      <c r="F267" s="197"/>
      <c r="G267" s="197"/>
      <c r="H267" s="197"/>
      <c r="I267" s="197"/>
      <c r="J267" s="197"/>
      <c r="K267" s="197"/>
      <c r="L267" s="197"/>
      <c r="M267" s="197"/>
      <c r="N267" s="197"/>
      <c r="O267" s="197"/>
    </row>
    <row r="268" customFormat="false" ht="12" hidden="false" customHeight="false" outlineLevel="0" collapsed="false">
      <c r="B268" s="197"/>
      <c r="C268" s="197"/>
      <c r="D268" s="197"/>
      <c r="E268" s="197"/>
      <c r="F268" s="197"/>
      <c r="G268" s="197"/>
      <c r="H268" s="197"/>
      <c r="I268" s="197"/>
      <c r="J268" s="197"/>
      <c r="K268" s="197"/>
      <c r="L268" s="197"/>
      <c r="M268" s="197"/>
      <c r="N268" s="197"/>
      <c r="O268" s="197"/>
    </row>
    <row r="269" customFormat="false" ht="12" hidden="false" customHeight="false" outlineLevel="0" collapsed="false">
      <c r="B269" s="197"/>
      <c r="C269" s="197"/>
      <c r="D269" s="197"/>
      <c r="E269" s="197"/>
      <c r="F269" s="197"/>
      <c r="G269" s="197"/>
      <c r="H269" s="197"/>
      <c r="I269" s="197"/>
      <c r="J269" s="197"/>
      <c r="K269" s="197"/>
      <c r="L269" s="197"/>
      <c r="M269" s="197"/>
      <c r="N269" s="197"/>
      <c r="O269" s="197"/>
    </row>
    <row r="270" customFormat="false" ht="12" hidden="false" customHeight="false" outlineLevel="0" collapsed="false">
      <c r="B270" s="197"/>
      <c r="C270" s="197"/>
      <c r="D270" s="197"/>
      <c r="E270" s="197"/>
      <c r="F270" s="197"/>
      <c r="G270" s="197"/>
      <c r="H270" s="197"/>
      <c r="I270" s="197"/>
      <c r="J270" s="197"/>
      <c r="K270" s="197"/>
      <c r="L270" s="197"/>
      <c r="M270" s="197"/>
      <c r="N270" s="197"/>
      <c r="O270" s="197"/>
    </row>
    <row r="271" customFormat="false" ht="12" hidden="false" customHeight="false" outlineLevel="0" collapsed="false">
      <c r="B271" s="197"/>
      <c r="C271" s="197"/>
      <c r="D271" s="197"/>
      <c r="E271" s="197"/>
      <c r="F271" s="197"/>
      <c r="G271" s="197"/>
      <c r="H271" s="197"/>
      <c r="I271" s="197"/>
      <c r="J271" s="197"/>
      <c r="K271" s="197"/>
      <c r="L271" s="197"/>
      <c r="M271" s="197"/>
      <c r="N271" s="197"/>
      <c r="O271" s="197"/>
    </row>
    <row r="272" customFormat="false" ht="12" hidden="false" customHeight="false" outlineLevel="0" collapsed="false">
      <c r="B272" s="197"/>
      <c r="C272" s="197"/>
      <c r="D272" s="197"/>
      <c r="E272" s="197"/>
      <c r="F272" s="197"/>
      <c r="G272" s="197"/>
      <c r="H272" s="197"/>
      <c r="I272" s="197"/>
      <c r="J272" s="197"/>
      <c r="K272" s="197"/>
      <c r="L272" s="197"/>
      <c r="M272" s="197"/>
      <c r="N272" s="197"/>
      <c r="O272" s="197"/>
    </row>
    <row r="273" customFormat="false" ht="12" hidden="false" customHeight="false" outlineLevel="0" collapsed="false">
      <c r="B273" s="197"/>
      <c r="C273" s="197"/>
      <c r="D273" s="197"/>
      <c r="E273" s="197"/>
      <c r="F273" s="197"/>
      <c r="G273" s="197"/>
      <c r="H273" s="197"/>
      <c r="I273" s="197"/>
      <c r="J273" s="197"/>
      <c r="K273" s="197"/>
      <c r="L273" s="197"/>
      <c r="M273" s="197"/>
      <c r="N273" s="197"/>
      <c r="O273" s="197"/>
    </row>
    <row r="274" customFormat="false" ht="12" hidden="false" customHeight="false" outlineLevel="0" collapsed="false">
      <c r="B274" s="197"/>
      <c r="C274" s="197"/>
      <c r="D274" s="197"/>
      <c r="E274" s="197"/>
      <c r="F274" s="197"/>
      <c r="G274" s="197"/>
      <c r="H274" s="197"/>
      <c r="I274" s="197"/>
      <c r="J274" s="197"/>
      <c r="K274" s="197"/>
      <c r="L274" s="197"/>
      <c r="M274" s="197"/>
      <c r="N274" s="197"/>
      <c r="O274" s="197"/>
    </row>
    <row r="275" customFormat="false" ht="12" hidden="false" customHeight="false" outlineLevel="0" collapsed="false">
      <c r="B275" s="197"/>
      <c r="C275" s="197"/>
      <c r="D275" s="197"/>
      <c r="E275" s="197"/>
      <c r="F275" s="197"/>
      <c r="G275" s="197"/>
      <c r="H275" s="197"/>
      <c r="I275" s="197"/>
      <c r="J275" s="197"/>
      <c r="K275" s="197"/>
      <c r="L275" s="197"/>
      <c r="M275" s="197"/>
      <c r="N275" s="197"/>
      <c r="O275" s="197"/>
    </row>
    <row r="276" customFormat="false" ht="12" hidden="false" customHeight="false" outlineLevel="0" collapsed="false">
      <c r="B276" s="197"/>
      <c r="C276" s="197"/>
      <c r="D276" s="197"/>
      <c r="E276" s="197"/>
      <c r="F276" s="197"/>
      <c r="G276" s="197"/>
      <c r="H276" s="197"/>
      <c r="I276" s="197"/>
      <c r="J276" s="197"/>
      <c r="K276" s="197"/>
      <c r="L276" s="197"/>
      <c r="M276" s="197"/>
      <c r="N276" s="197"/>
      <c r="O276" s="197"/>
    </row>
    <row r="277" customFormat="false" ht="12" hidden="false" customHeight="false" outlineLevel="0" collapsed="false">
      <c r="B277" s="197"/>
      <c r="C277" s="197"/>
      <c r="D277" s="197"/>
      <c r="E277" s="197"/>
      <c r="F277" s="197"/>
      <c r="G277" s="197"/>
      <c r="H277" s="197"/>
      <c r="I277" s="197"/>
      <c r="J277" s="197"/>
      <c r="K277" s="197"/>
      <c r="L277" s="197"/>
      <c r="M277" s="197"/>
      <c r="N277" s="197"/>
      <c r="O277" s="197"/>
    </row>
    <row r="278" customFormat="false" ht="12" hidden="false" customHeight="false" outlineLevel="0" collapsed="false">
      <c r="B278" s="197"/>
      <c r="C278" s="197"/>
      <c r="D278" s="197"/>
      <c r="E278" s="197"/>
      <c r="F278" s="197"/>
      <c r="G278" s="197"/>
      <c r="H278" s="197"/>
      <c r="I278" s="197"/>
      <c r="J278" s="197"/>
      <c r="K278" s="197"/>
      <c r="L278" s="197"/>
      <c r="M278" s="197"/>
      <c r="N278" s="197"/>
      <c r="O278" s="197"/>
    </row>
    <row r="279" customFormat="false" ht="12" hidden="false" customHeight="false" outlineLevel="0" collapsed="false">
      <c r="B279" s="197"/>
      <c r="C279" s="197"/>
      <c r="D279" s="197"/>
      <c r="E279" s="197"/>
      <c r="F279" s="197"/>
      <c r="G279" s="197"/>
      <c r="H279" s="197"/>
      <c r="I279" s="197"/>
      <c r="J279" s="197"/>
      <c r="K279" s="197"/>
      <c r="L279" s="197"/>
      <c r="M279" s="197"/>
      <c r="N279" s="197"/>
      <c r="O279" s="197"/>
    </row>
    <row r="280" customFormat="false" ht="12" hidden="false" customHeight="false" outlineLevel="0" collapsed="false">
      <c r="B280" s="197"/>
      <c r="C280" s="197"/>
      <c r="D280" s="197"/>
      <c r="E280" s="197"/>
      <c r="F280" s="197"/>
      <c r="G280" s="197"/>
      <c r="H280" s="197"/>
      <c r="I280" s="197"/>
      <c r="J280" s="197"/>
      <c r="K280" s="197"/>
      <c r="L280" s="197"/>
      <c r="M280" s="197"/>
      <c r="N280" s="197"/>
      <c r="O280" s="197"/>
    </row>
    <row r="281" customFormat="false" ht="12" hidden="false" customHeight="false" outlineLevel="0" collapsed="false">
      <c r="B281" s="197"/>
      <c r="C281" s="197"/>
      <c r="D281" s="197"/>
      <c r="E281" s="197"/>
      <c r="F281" s="197"/>
      <c r="G281" s="197"/>
      <c r="H281" s="197"/>
      <c r="I281" s="197"/>
      <c r="J281" s="197"/>
      <c r="K281" s="197"/>
      <c r="L281" s="197"/>
      <c r="M281" s="197"/>
      <c r="N281" s="197"/>
      <c r="O281" s="197"/>
    </row>
    <row r="282" customFormat="false" ht="12" hidden="false" customHeight="false" outlineLevel="0" collapsed="false">
      <c r="B282" s="197"/>
      <c r="C282" s="197"/>
      <c r="D282" s="197"/>
      <c r="E282" s="197"/>
      <c r="F282" s="197"/>
      <c r="G282" s="197"/>
      <c r="H282" s="197"/>
      <c r="I282" s="197"/>
      <c r="J282" s="197"/>
      <c r="K282" s="197"/>
      <c r="L282" s="197"/>
      <c r="M282" s="197"/>
      <c r="N282" s="197"/>
      <c r="O282" s="197"/>
    </row>
    <row r="283" customFormat="false" ht="12" hidden="false" customHeight="false" outlineLevel="0" collapsed="false">
      <c r="B283" s="197"/>
      <c r="C283" s="197"/>
      <c r="D283" s="197"/>
      <c r="E283" s="197"/>
      <c r="F283" s="197"/>
      <c r="G283" s="197"/>
      <c r="H283" s="197"/>
      <c r="I283" s="197"/>
      <c r="J283" s="197"/>
      <c r="K283" s="197"/>
      <c r="L283" s="197"/>
      <c r="M283" s="197"/>
      <c r="N283" s="197"/>
      <c r="O283" s="197"/>
    </row>
    <row r="284" customFormat="false" ht="12" hidden="false" customHeight="false" outlineLevel="0" collapsed="false">
      <c r="B284" s="197"/>
      <c r="C284" s="197"/>
      <c r="D284" s="197"/>
      <c r="E284" s="197"/>
      <c r="F284" s="197"/>
      <c r="G284" s="197"/>
      <c r="H284" s="197"/>
      <c r="I284" s="197"/>
      <c r="J284" s="197"/>
      <c r="K284" s="197"/>
      <c r="L284" s="197"/>
      <c r="M284" s="197"/>
      <c r="N284" s="197"/>
      <c r="O284" s="197"/>
    </row>
    <row r="285" customFormat="false" ht="12" hidden="false" customHeight="false" outlineLevel="0" collapsed="false">
      <c r="B285" s="197"/>
      <c r="C285" s="197"/>
      <c r="D285" s="197"/>
      <c r="E285" s="197"/>
      <c r="F285" s="197"/>
      <c r="G285" s="197"/>
      <c r="H285" s="197"/>
      <c r="I285" s="197"/>
      <c r="J285" s="197"/>
      <c r="K285" s="197"/>
      <c r="L285" s="197"/>
      <c r="M285" s="197"/>
      <c r="N285" s="197"/>
      <c r="O285" s="197"/>
    </row>
    <row r="286" customFormat="false" ht="12" hidden="false" customHeight="false" outlineLevel="0" collapsed="false">
      <c r="B286" s="197"/>
      <c r="C286" s="197"/>
      <c r="D286" s="197"/>
      <c r="E286" s="197"/>
      <c r="F286" s="197"/>
      <c r="G286" s="197"/>
      <c r="H286" s="197"/>
      <c r="I286" s="197"/>
      <c r="J286" s="197"/>
      <c r="K286" s="197"/>
      <c r="L286" s="197"/>
      <c r="M286" s="197"/>
      <c r="N286" s="197"/>
      <c r="O286" s="197"/>
    </row>
    <row r="287" customFormat="false" ht="12" hidden="false" customHeight="false" outlineLevel="0" collapsed="false">
      <c r="B287" s="197"/>
      <c r="C287" s="197"/>
      <c r="D287" s="197"/>
      <c r="E287" s="197"/>
      <c r="F287" s="197"/>
      <c r="G287" s="197"/>
      <c r="H287" s="197"/>
      <c r="I287" s="197"/>
      <c r="J287" s="197"/>
      <c r="K287" s="197"/>
      <c r="L287" s="197"/>
      <c r="M287" s="197"/>
      <c r="N287" s="197"/>
      <c r="O287" s="197"/>
    </row>
    <row r="288" customFormat="false" ht="12" hidden="false" customHeight="false" outlineLevel="0" collapsed="false">
      <c r="B288" s="197"/>
      <c r="C288" s="197"/>
      <c r="D288" s="197"/>
      <c r="E288" s="197"/>
      <c r="F288" s="197"/>
      <c r="G288" s="197"/>
      <c r="H288" s="197"/>
      <c r="I288" s="197"/>
      <c r="J288" s="197"/>
      <c r="K288" s="197"/>
      <c r="L288" s="197"/>
      <c r="M288" s="197"/>
      <c r="N288" s="197"/>
      <c r="O288" s="197"/>
    </row>
    <row r="289" customFormat="false" ht="12" hidden="false" customHeight="false" outlineLevel="0" collapsed="false">
      <c r="B289" s="197"/>
      <c r="C289" s="197"/>
      <c r="D289" s="197"/>
      <c r="E289" s="197"/>
      <c r="F289" s="197"/>
      <c r="G289" s="197"/>
      <c r="H289" s="197"/>
      <c r="I289" s="197"/>
      <c r="J289" s="197"/>
      <c r="K289" s="197"/>
      <c r="L289" s="197"/>
      <c r="M289" s="197"/>
      <c r="N289" s="197"/>
      <c r="O289" s="197"/>
    </row>
    <row r="290" customFormat="false" ht="12" hidden="false" customHeight="false" outlineLevel="0" collapsed="false">
      <c r="B290" s="197"/>
      <c r="C290" s="197"/>
      <c r="D290" s="197"/>
      <c r="E290" s="197"/>
      <c r="F290" s="197"/>
      <c r="G290" s="197"/>
      <c r="H290" s="197"/>
      <c r="I290" s="197"/>
      <c r="J290" s="197"/>
      <c r="K290" s="197"/>
      <c r="L290" s="197"/>
      <c r="M290" s="197"/>
      <c r="N290" s="197"/>
      <c r="O290" s="197"/>
    </row>
    <row r="291" customFormat="false" ht="12" hidden="false" customHeight="false" outlineLevel="0" collapsed="false">
      <c r="B291" s="197"/>
      <c r="C291" s="197"/>
      <c r="D291" s="197"/>
      <c r="E291" s="197"/>
      <c r="F291" s="197"/>
      <c r="G291" s="197"/>
      <c r="H291" s="197"/>
      <c r="I291" s="197"/>
      <c r="J291" s="197"/>
      <c r="K291" s="197"/>
      <c r="L291" s="197"/>
      <c r="M291" s="197"/>
      <c r="N291" s="197"/>
      <c r="O291" s="197"/>
    </row>
    <row r="292" customFormat="false" ht="12" hidden="false" customHeight="false" outlineLevel="0" collapsed="false">
      <c r="B292" s="197"/>
      <c r="C292" s="197"/>
      <c r="D292" s="197"/>
      <c r="E292" s="197"/>
      <c r="F292" s="197"/>
      <c r="G292" s="197"/>
      <c r="H292" s="197"/>
      <c r="I292" s="197"/>
      <c r="J292" s="197"/>
      <c r="K292" s="197"/>
      <c r="L292" s="197"/>
      <c r="M292" s="197"/>
      <c r="N292" s="197"/>
      <c r="O292" s="197"/>
    </row>
    <row r="293" customFormat="false" ht="12" hidden="false" customHeight="false" outlineLevel="0" collapsed="false">
      <c r="B293" s="197"/>
      <c r="C293" s="197"/>
      <c r="D293" s="197"/>
      <c r="E293" s="197"/>
      <c r="F293" s="197"/>
      <c r="G293" s="197"/>
      <c r="H293" s="197"/>
      <c r="I293" s="197"/>
      <c r="J293" s="197"/>
      <c r="K293" s="197"/>
      <c r="L293" s="197"/>
      <c r="M293" s="197"/>
      <c r="N293" s="197"/>
      <c r="O293" s="197"/>
    </row>
    <row r="294" customFormat="false" ht="12" hidden="false" customHeight="false" outlineLevel="0" collapsed="false">
      <c r="B294" s="197"/>
      <c r="C294" s="197"/>
      <c r="D294" s="197"/>
      <c r="E294" s="197"/>
      <c r="F294" s="197"/>
      <c r="G294" s="197"/>
      <c r="H294" s="197"/>
      <c r="I294" s="197"/>
      <c r="J294" s="197"/>
      <c r="K294" s="197"/>
      <c r="L294" s="197"/>
      <c r="M294" s="197"/>
      <c r="N294" s="197"/>
      <c r="O294" s="197"/>
    </row>
    <row r="295" customFormat="false" ht="12" hidden="false" customHeight="false" outlineLevel="0" collapsed="false">
      <c r="B295" s="197"/>
      <c r="C295" s="197"/>
      <c r="D295" s="197"/>
      <c r="E295" s="197"/>
      <c r="F295" s="197"/>
      <c r="G295" s="197"/>
      <c r="H295" s="197"/>
      <c r="I295" s="197"/>
      <c r="J295" s="197"/>
      <c r="K295" s="197"/>
      <c r="L295" s="197"/>
      <c r="M295" s="197"/>
      <c r="N295" s="197"/>
      <c r="O295" s="197"/>
    </row>
    <row r="296" customFormat="false" ht="12" hidden="false" customHeight="false" outlineLevel="0" collapsed="false">
      <c r="B296" s="197"/>
      <c r="C296" s="197"/>
      <c r="D296" s="197"/>
      <c r="E296" s="197"/>
      <c r="F296" s="197"/>
      <c r="G296" s="197"/>
      <c r="H296" s="197"/>
      <c r="I296" s="197"/>
      <c r="J296" s="197"/>
      <c r="K296" s="197"/>
      <c r="L296" s="197"/>
      <c r="M296" s="197"/>
      <c r="N296" s="197"/>
      <c r="O296" s="197"/>
    </row>
    <row r="297" customFormat="false" ht="12" hidden="false" customHeight="false" outlineLevel="0" collapsed="false">
      <c r="B297" s="197"/>
      <c r="C297" s="197"/>
      <c r="D297" s="197"/>
      <c r="E297" s="197"/>
      <c r="F297" s="197"/>
      <c r="G297" s="197"/>
      <c r="H297" s="197"/>
      <c r="I297" s="197"/>
      <c r="J297" s="197"/>
      <c r="K297" s="197"/>
      <c r="L297" s="197"/>
      <c r="M297" s="197"/>
      <c r="N297" s="197"/>
      <c r="O297" s="197"/>
    </row>
    <row r="298" customFormat="false" ht="12" hidden="false" customHeight="false" outlineLevel="0" collapsed="false">
      <c r="B298" s="197"/>
      <c r="C298" s="197"/>
      <c r="D298" s="197"/>
      <c r="E298" s="197"/>
      <c r="F298" s="197"/>
      <c r="G298" s="197"/>
      <c r="H298" s="197"/>
      <c r="I298" s="197"/>
      <c r="J298" s="197"/>
      <c r="K298" s="197"/>
      <c r="L298" s="197"/>
      <c r="M298" s="197"/>
      <c r="N298" s="197"/>
      <c r="O298" s="197"/>
    </row>
    <row r="299" customFormat="false" ht="12" hidden="false" customHeight="false" outlineLevel="0" collapsed="false">
      <c r="B299" s="197"/>
      <c r="C299" s="197"/>
      <c r="D299" s="197"/>
      <c r="E299" s="197"/>
      <c r="F299" s="197"/>
      <c r="G299" s="197"/>
      <c r="H299" s="197"/>
      <c r="I299" s="197"/>
      <c r="J299" s="197"/>
      <c r="K299" s="197"/>
      <c r="L299" s="197"/>
      <c r="M299" s="197"/>
      <c r="N299" s="197"/>
      <c r="O299" s="197"/>
    </row>
    <row r="300" customFormat="false" ht="12" hidden="false" customHeight="false" outlineLevel="0" collapsed="false">
      <c r="B300" s="197"/>
      <c r="C300" s="197"/>
      <c r="D300" s="197"/>
      <c r="E300" s="197"/>
      <c r="F300" s="197"/>
      <c r="G300" s="197"/>
      <c r="H300" s="197"/>
      <c r="I300" s="197"/>
      <c r="J300" s="197"/>
      <c r="K300" s="197"/>
      <c r="L300" s="197"/>
      <c r="M300" s="197"/>
      <c r="N300" s="197"/>
      <c r="O300" s="197"/>
    </row>
    <row r="301" customFormat="false" ht="12" hidden="false" customHeight="false" outlineLevel="0" collapsed="false">
      <c r="B301" s="197"/>
      <c r="C301" s="197"/>
      <c r="D301" s="197"/>
      <c r="E301" s="197"/>
      <c r="F301" s="197"/>
      <c r="G301" s="197"/>
      <c r="H301" s="197"/>
      <c r="I301" s="197"/>
      <c r="J301" s="197"/>
      <c r="K301" s="197"/>
      <c r="L301" s="197"/>
      <c r="M301" s="197"/>
      <c r="N301" s="197"/>
      <c r="O301" s="197"/>
    </row>
    <row r="302" customFormat="false" ht="12" hidden="false" customHeight="false" outlineLevel="0" collapsed="false">
      <c r="B302" s="197"/>
      <c r="C302" s="197"/>
      <c r="D302" s="197"/>
      <c r="E302" s="197"/>
      <c r="F302" s="197"/>
      <c r="G302" s="197"/>
      <c r="H302" s="197"/>
      <c r="I302" s="197"/>
      <c r="J302" s="197"/>
      <c r="K302" s="197"/>
      <c r="L302" s="197"/>
      <c r="M302" s="197"/>
      <c r="N302" s="197"/>
      <c r="O302" s="197"/>
    </row>
    <row r="303" customFormat="false" ht="12" hidden="false" customHeight="false" outlineLevel="0" collapsed="false">
      <c r="B303" s="197"/>
      <c r="C303" s="197"/>
      <c r="D303" s="197"/>
      <c r="E303" s="197"/>
      <c r="F303" s="197"/>
      <c r="G303" s="197"/>
      <c r="H303" s="197"/>
      <c r="I303" s="197"/>
      <c r="J303" s="197"/>
      <c r="K303" s="197"/>
      <c r="L303" s="197"/>
      <c r="M303" s="197"/>
      <c r="N303" s="197"/>
      <c r="O303" s="197"/>
    </row>
    <row r="304" customFormat="false" ht="12" hidden="false" customHeight="false" outlineLevel="0" collapsed="false">
      <c r="B304" s="197"/>
      <c r="C304" s="197"/>
      <c r="D304" s="197"/>
      <c r="E304" s="197"/>
      <c r="F304" s="197"/>
      <c r="G304" s="197"/>
      <c r="H304" s="197"/>
      <c r="I304" s="197"/>
      <c r="J304" s="197"/>
      <c r="K304" s="197"/>
      <c r="L304" s="197"/>
      <c r="M304" s="197"/>
      <c r="N304" s="197"/>
      <c r="O304" s="197"/>
    </row>
    <row r="305" customFormat="false" ht="12" hidden="false" customHeight="false" outlineLevel="0" collapsed="false">
      <c r="B305" s="197"/>
      <c r="C305" s="197"/>
      <c r="D305" s="197"/>
      <c r="E305" s="197"/>
      <c r="F305" s="197"/>
      <c r="G305" s="197"/>
      <c r="H305" s="197"/>
      <c r="I305" s="197"/>
      <c r="J305" s="197"/>
      <c r="K305" s="197"/>
      <c r="L305" s="197"/>
      <c r="M305" s="197"/>
      <c r="N305" s="197"/>
      <c r="O305" s="197"/>
    </row>
    <row r="306" customFormat="false" ht="12" hidden="false" customHeight="false" outlineLevel="0" collapsed="false">
      <c r="B306" s="197"/>
      <c r="C306" s="197"/>
      <c r="D306" s="197"/>
      <c r="E306" s="197"/>
      <c r="F306" s="197"/>
      <c r="G306" s="197"/>
      <c r="H306" s="197"/>
      <c r="I306" s="197"/>
      <c r="J306" s="197"/>
      <c r="K306" s="197"/>
      <c r="L306" s="197"/>
      <c r="M306" s="197"/>
      <c r="N306" s="197"/>
      <c r="O306" s="197"/>
    </row>
    <row r="307" customFormat="false" ht="12" hidden="false" customHeight="false" outlineLevel="0" collapsed="false">
      <c r="B307" s="197"/>
      <c r="C307" s="197"/>
      <c r="D307" s="197"/>
      <c r="E307" s="197"/>
      <c r="F307" s="197"/>
      <c r="G307" s="197"/>
      <c r="H307" s="197"/>
      <c r="I307" s="197"/>
      <c r="J307" s="197"/>
      <c r="K307" s="197"/>
      <c r="L307" s="197"/>
      <c r="M307" s="197"/>
      <c r="N307" s="197"/>
      <c r="O307" s="197"/>
    </row>
    <row r="308" customFormat="false" ht="12" hidden="false" customHeight="false" outlineLevel="0" collapsed="false">
      <c r="B308" s="197"/>
      <c r="C308" s="197"/>
      <c r="D308" s="197"/>
      <c r="E308" s="197"/>
      <c r="F308" s="197"/>
      <c r="G308" s="197"/>
      <c r="H308" s="197"/>
      <c r="I308" s="197"/>
      <c r="J308" s="197"/>
      <c r="K308" s="197"/>
      <c r="L308" s="197"/>
      <c r="M308" s="197"/>
      <c r="N308" s="197"/>
      <c r="O308" s="197"/>
    </row>
    <row r="309" customFormat="false" ht="12" hidden="false" customHeight="false" outlineLevel="0" collapsed="false">
      <c r="B309" s="197"/>
      <c r="C309" s="197"/>
      <c r="D309" s="197"/>
      <c r="E309" s="197"/>
      <c r="F309" s="197"/>
      <c r="G309" s="197"/>
      <c r="H309" s="197"/>
      <c r="I309" s="197"/>
      <c r="J309" s="197"/>
      <c r="K309" s="197"/>
      <c r="L309" s="197"/>
      <c r="M309" s="197"/>
      <c r="N309" s="197"/>
      <c r="O309" s="197"/>
    </row>
    <row r="310" customFormat="false" ht="12" hidden="false" customHeight="false" outlineLevel="0" collapsed="false">
      <c r="B310" s="197"/>
      <c r="C310" s="197"/>
      <c r="D310" s="197"/>
      <c r="E310" s="197"/>
      <c r="F310" s="197"/>
      <c r="G310" s="197"/>
      <c r="H310" s="197"/>
      <c r="I310" s="197"/>
      <c r="J310" s="197"/>
      <c r="K310" s="197"/>
      <c r="L310" s="197"/>
      <c r="M310" s="197"/>
      <c r="N310" s="197"/>
      <c r="O310" s="197"/>
    </row>
    <row r="311" customFormat="false" ht="12" hidden="false" customHeight="false" outlineLevel="0" collapsed="false">
      <c r="B311" s="197"/>
      <c r="C311" s="197"/>
      <c r="D311" s="197"/>
      <c r="E311" s="197"/>
      <c r="F311" s="197"/>
      <c r="G311" s="197"/>
      <c r="H311" s="197"/>
      <c r="I311" s="197"/>
      <c r="J311" s="197"/>
      <c r="K311" s="197"/>
      <c r="L311" s="197"/>
      <c r="M311" s="197"/>
      <c r="N311" s="197"/>
      <c r="O311" s="197"/>
    </row>
    <row r="312" customFormat="false" ht="12" hidden="false" customHeight="false" outlineLevel="0" collapsed="false">
      <c r="B312" s="197"/>
      <c r="C312" s="197"/>
      <c r="D312" s="197"/>
      <c r="E312" s="197"/>
      <c r="F312" s="197"/>
      <c r="G312" s="197"/>
      <c r="H312" s="197"/>
      <c r="I312" s="197"/>
      <c r="J312" s="197"/>
      <c r="K312" s="197"/>
      <c r="L312" s="197"/>
      <c r="M312" s="197"/>
      <c r="N312" s="197"/>
      <c r="O312" s="197"/>
    </row>
    <row r="313" customFormat="false" ht="12" hidden="false" customHeight="false" outlineLevel="0" collapsed="false">
      <c r="B313" s="197"/>
      <c r="C313" s="197"/>
      <c r="D313" s="197"/>
      <c r="E313" s="197"/>
      <c r="F313" s="197"/>
      <c r="G313" s="197"/>
      <c r="H313" s="197"/>
      <c r="I313" s="197"/>
      <c r="J313" s="197"/>
      <c r="K313" s="197"/>
      <c r="L313" s="197"/>
      <c r="M313" s="197"/>
      <c r="N313" s="197"/>
      <c r="O313" s="197"/>
    </row>
    <row r="314" customFormat="false" ht="12" hidden="false" customHeight="false" outlineLevel="0" collapsed="false">
      <c r="B314" s="197"/>
      <c r="C314" s="197"/>
      <c r="D314" s="197"/>
      <c r="E314" s="197"/>
      <c r="F314" s="197"/>
      <c r="G314" s="197"/>
      <c r="H314" s="197"/>
      <c r="I314" s="197"/>
      <c r="J314" s="197"/>
      <c r="K314" s="197"/>
      <c r="L314" s="197"/>
      <c r="M314" s="197"/>
      <c r="N314" s="197"/>
      <c r="O314" s="197"/>
    </row>
    <row r="315" customFormat="false" ht="12" hidden="false" customHeight="false" outlineLevel="0" collapsed="false">
      <c r="B315" s="197"/>
      <c r="C315" s="197"/>
      <c r="D315" s="197"/>
      <c r="E315" s="197"/>
      <c r="F315" s="197"/>
      <c r="G315" s="197"/>
      <c r="H315" s="197"/>
      <c r="I315" s="197"/>
      <c r="J315" s="197"/>
      <c r="K315" s="197"/>
      <c r="L315" s="197"/>
      <c r="M315" s="197"/>
      <c r="N315" s="197"/>
      <c r="O315" s="197"/>
    </row>
    <row r="316" customFormat="false" ht="12" hidden="false" customHeight="false" outlineLevel="0" collapsed="false">
      <c r="B316" s="197"/>
      <c r="C316" s="197"/>
      <c r="D316" s="197"/>
      <c r="E316" s="197"/>
      <c r="F316" s="197"/>
      <c r="G316" s="197"/>
      <c r="H316" s="197"/>
      <c r="I316" s="197"/>
      <c r="J316" s="197"/>
      <c r="K316" s="197"/>
      <c r="L316" s="197"/>
      <c r="M316" s="197"/>
      <c r="N316" s="197"/>
      <c r="O316" s="197"/>
    </row>
    <row r="317" customFormat="false" ht="12" hidden="false" customHeight="false" outlineLevel="0" collapsed="false">
      <c r="B317" s="197"/>
      <c r="C317" s="197"/>
      <c r="D317" s="197"/>
      <c r="E317" s="197"/>
      <c r="F317" s="197"/>
      <c r="G317" s="197"/>
      <c r="H317" s="197"/>
      <c r="I317" s="197"/>
      <c r="J317" s="197"/>
      <c r="K317" s="197"/>
      <c r="L317" s="197"/>
      <c r="M317" s="197"/>
      <c r="N317" s="197"/>
      <c r="O317" s="197"/>
    </row>
    <row r="318" customFormat="false" ht="12" hidden="false" customHeight="false" outlineLevel="0" collapsed="false">
      <c r="B318" s="197"/>
      <c r="C318" s="197"/>
      <c r="D318" s="197"/>
      <c r="E318" s="197"/>
      <c r="F318" s="197"/>
      <c r="G318" s="197"/>
      <c r="H318" s="197"/>
      <c r="I318" s="197"/>
      <c r="J318" s="197"/>
      <c r="K318" s="197"/>
      <c r="L318" s="197"/>
      <c r="M318" s="197"/>
      <c r="N318" s="197"/>
      <c r="O318" s="197"/>
    </row>
    <row r="319" customFormat="false" ht="12" hidden="false" customHeight="false" outlineLevel="0" collapsed="false">
      <c r="B319" s="197"/>
      <c r="C319" s="197"/>
      <c r="D319" s="197"/>
      <c r="E319" s="197"/>
      <c r="F319" s="197"/>
      <c r="G319" s="197"/>
      <c r="H319" s="197"/>
      <c r="I319" s="197"/>
      <c r="J319" s="197"/>
      <c r="K319" s="197"/>
      <c r="L319" s="197"/>
      <c r="M319" s="197"/>
      <c r="N319" s="197"/>
      <c r="O319" s="197"/>
    </row>
    <row r="320" customFormat="false" ht="12" hidden="false" customHeight="false" outlineLevel="0" collapsed="false">
      <c r="B320" s="197"/>
      <c r="C320" s="197"/>
      <c r="D320" s="197"/>
      <c r="E320" s="197"/>
      <c r="F320" s="197"/>
      <c r="G320" s="197"/>
      <c r="H320" s="197"/>
      <c r="I320" s="197"/>
      <c r="J320" s="197"/>
      <c r="K320" s="197"/>
      <c r="L320" s="197"/>
      <c r="M320" s="197"/>
      <c r="N320" s="197"/>
      <c r="O320" s="197"/>
    </row>
    <row r="321" customFormat="false" ht="12" hidden="false" customHeight="false" outlineLevel="0" collapsed="false">
      <c r="B321" s="197"/>
      <c r="C321" s="197"/>
      <c r="D321" s="197"/>
      <c r="E321" s="197"/>
      <c r="F321" s="197"/>
      <c r="G321" s="197"/>
      <c r="H321" s="197"/>
      <c r="I321" s="197"/>
      <c r="J321" s="197"/>
      <c r="K321" s="197"/>
      <c r="L321" s="197"/>
      <c r="M321" s="197"/>
      <c r="N321" s="197"/>
      <c r="O321" s="197"/>
    </row>
    <row r="322" customFormat="false" ht="12" hidden="false" customHeight="false" outlineLevel="0" collapsed="false">
      <c r="B322" s="197"/>
      <c r="C322" s="197"/>
      <c r="D322" s="197"/>
      <c r="E322" s="197"/>
      <c r="F322" s="197"/>
      <c r="G322" s="197"/>
      <c r="H322" s="197"/>
      <c r="I322" s="197"/>
      <c r="J322" s="197"/>
      <c r="K322" s="197"/>
      <c r="L322" s="197"/>
      <c r="M322" s="197"/>
      <c r="N322" s="197"/>
      <c r="O322" s="197"/>
    </row>
    <row r="323" customFormat="false" ht="12" hidden="false" customHeight="false" outlineLevel="0" collapsed="false">
      <c r="B323" s="197"/>
      <c r="C323" s="197"/>
      <c r="D323" s="197"/>
      <c r="E323" s="197"/>
      <c r="F323" s="197"/>
      <c r="G323" s="197"/>
      <c r="H323" s="197"/>
      <c r="I323" s="197"/>
      <c r="J323" s="197"/>
      <c r="K323" s="197"/>
      <c r="L323" s="197"/>
      <c r="M323" s="197"/>
      <c r="N323" s="197"/>
      <c r="O323" s="197"/>
    </row>
    <row r="324" customFormat="false" ht="12" hidden="false" customHeight="false" outlineLevel="0" collapsed="false">
      <c r="B324" s="197"/>
      <c r="C324" s="197"/>
      <c r="D324" s="197"/>
      <c r="E324" s="197"/>
      <c r="F324" s="197"/>
      <c r="G324" s="197"/>
      <c r="H324" s="197"/>
      <c r="I324" s="197"/>
      <c r="J324" s="197"/>
      <c r="K324" s="197"/>
      <c r="L324" s="197"/>
      <c r="M324" s="197"/>
      <c r="N324" s="197"/>
      <c r="O324" s="197"/>
    </row>
    <row r="325" customFormat="false" ht="12" hidden="false" customHeight="false" outlineLevel="0" collapsed="false">
      <c r="B325" s="197"/>
      <c r="C325" s="197"/>
      <c r="D325" s="197"/>
      <c r="E325" s="197"/>
      <c r="F325" s="197"/>
      <c r="G325" s="197"/>
      <c r="H325" s="197"/>
      <c r="I325" s="197"/>
      <c r="J325" s="197"/>
      <c r="K325" s="197"/>
      <c r="L325" s="197"/>
      <c r="M325" s="197"/>
      <c r="N325" s="197"/>
      <c r="O325" s="197"/>
    </row>
    <row r="326" customFormat="false" ht="12" hidden="false" customHeight="false" outlineLevel="0" collapsed="false">
      <c r="B326" s="197"/>
      <c r="C326" s="197"/>
      <c r="D326" s="197"/>
      <c r="E326" s="197"/>
      <c r="F326" s="197"/>
      <c r="G326" s="197"/>
      <c r="H326" s="197"/>
      <c r="I326" s="197"/>
      <c r="J326" s="197"/>
      <c r="K326" s="197"/>
      <c r="L326" s="197"/>
      <c r="M326" s="197"/>
      <c r="N326" s="197"/>
      <c r="O326" s="197"/>
    </row>
    <row r="327" customFormat="false" ht="12" hidden="false" customHeight="false" outlineLevel="0" collapsed="false">
      <c r="B327" s="197"/>
      <c r="C327" s="197"/>
      <c r="D327" s="197"/>
      <c r="E327" s="197"/>
      <c r="F327" s="197"/>
      <c r="G327" s="197"/>
      <c r="H327" s="197"/>
      <c r="I327" s="197"/>
      <c r="J327" s="197"/>
      <c r="K327" s="197"/>
      <c r="L327" s="197"/>
      <c r="M327" s="197"/>
      <c r="N327" s="197"/>
      <c r="O327" s="197"/>
    </row>
    <row r="328" customFormat="false" ht="12" hidden="false" customHeight="false" outlineLevel="0" collapsed="false">
      <c r="B328" s="197"/>
      <c r="C328" s="197"/>
      <c r="D328" s="197"/>
      <c r="E328" s="197"/>
      <c r="F328" s="197"/>
      <c r="G328" s="197"/>
      <c r="H328" s="197"/>
      <c r="I328" s="197"/>
      <c r="J328" s="197"/>
      <c r="K328" s="197"/>
      <c r="L328" s="197"/>
      <c r="M328" s="197"/>
      <c r="N328" s="197"/>
      <c r="O328" s="197"/>
    </row>
    <row r="329" customFormat="false" ht="12" hidden="false" customHeight="false" outlineLevel="0" collapsed="false">
      <c r="B329" s="197"/>
      <c r="C329" s="197"/>
      <c r="D329" s="197"/>
      <c r="E329" s="197"/>
      <c r="F329" s="197"/>
      <c r="G329" s="197"/>
      <c r="H329" s="197"/>
      <c r="I329" s="197"/>
      <c r="J329" s="197"/>
      <c r="K329" s="197"/>
      <c r="L329" s="197"/>
      <c r="M329" s="197"/>
      <c r="N329" s="197"/>
      <c r="O329" s="197"/>
    </row>
    <row r="330" customFormat="false" ht="12" hidden="false" customHeight="false" outlineLevel="0" collapsed="false">
      <c r="B330" s="197"/>
      <c r="C330" s="197"/>
      <c r="D330" s="197"/>
      <c r="E330" s="197"/>
      <c r="F330" s="197"/>
      <c r="G330" s="197"/>
      <c r="H330" s="197"/>
      <c r="I330" s="197"/>
      <c r="J330" s="197"/>
      <c r="K330" s="197"/>
      <c r="L330" s="197"/>
      <c r="M330" s="197"/>
      <c r="N330" s="197"/>
      <c r="O330" s="197"/>
    </row>
    <row r="331" customFormat="false" ht="12" hidden="false" customHeight="false" outlineLevel="0" collapsed="false">
      <c r="B331" s="197"/>
      <c r="C331" s="197"/>
      <c r="D331" s="197"/>
      <c r="E331" s="197"/>
      <c r="F331" s="197"/>
      <c r="G331" s="197"/>
      <c r="H331" s="197"/>
      <c r="I331" s="197"/>
      <c r="J331" s="197"/>
      <c r="K331" s="197"/>
      <c r="L331" s="197"/>
      <c r="M331" s="197"/>
      <c r="N331" s="197"/>
      <c r="O331" s="197"/>
    </row>
    <row r="332" customFormat="false" ht="12" hidden="false" customHeight="false" outlineLevel="0" collapsed="false">
      <c r="B332" s="197"/>
      <c r="C332" s="197"/>
      <c r="D332" s="197"/>
      <c r="E332" s="197"/>
      <c r="F332" s="197"/>
      <c r="G332" s="197"/>
      <c r="H332" s="197"/>
      <c r="I332" s="197"/>
      <c r="J332" s="197"/>
      <c r="K332" s="197"/>
      <c r="L332" s="197"/>
      <c r="M332" s="197"/>
      <c r="N332" s="197"/>
      <c r="O332" s="197"/>
    </row>
    <row r="333" customFormat="false" ht="12" hidden="false" customHeight="false" outlineLevel="0" collapsed="false">
      <c r="B333" s="197"/>
      <c r="C333" s="197"/>
      <c r="D333" s="197"/>
      <c r="E333" s="197"/>
      <c r="F333" s="197"/>
      <c r="G333" s="197"/>
      <c r="H333" s="197"/>
      <c r="I333" s="197"/>
      <c r="J333" s="197"/>
      <c r="K333" s="197"/>
      <c r="L333" s="197"/>
      <c r="M333" s="197"/>
      <c r="N333" s="197"/>
      <c r="O333" s="197"/>
    </row>
    <row r="334" customFormat="false" ht="12" hidden="false" customHeight="false" outlineLevel="0" collapsed="false">
      <c r="B334" s="197"/>
      <c r="C334" s="197"/>
      <c r="D334" s="197"/>
      <c r="E334" s="197"/>
      <c r="F334" s="197"/>
      <c r="G334" s="197"/>
      <c r="H334" s="197"/>
      <c r="I334" s="197"/>
      <c r="J334" s="197"/>
      <c r="K334" s="197"/>
      <c r="L334" s="197"/>
      <c r="M334" s="197"/>
      <c r="N334" s="197"/>
      <c r="O334" s="197"/>
    </row>
    <row r="335" customFormat="false" ht="12" hidden="false" customHeight="false" outlineLevel="0" collapsed="false">
      <c r="B335" s="197"/>
      <c r="C335" s="197"/>
      <c r="D335" s="197"/>
      <c r="E335" s="197"/>
      <c r="F335" s="197"/>
      <c r="G335" s="197"/>
      <c r="H335" s="197"/>
      <c r="I335" s="197"/>
      <c r="J335" s="197"/>
      <c r="K335" s="197"/>
      <c r="L335" s="197"/>
      <c r="M335" s="197"/>
      <c r="N335" s="197"/>
      <c r="O335" s="197"/>
    </row>
    <row r="336" customFormat="false" ht="12" hidden="false" customHeight="false" outlineLevel="0" collapsed="false">
      <c r="B336" s="197"/>
      <c r="C336" s="197"/>
      <c r="D336" s="197"/>
      <c r="E336" s="197"/>
      <c r="F336" s="197"/>
      <c r="G336" s="197"/>
      <c r="H336" s="197"/>
      <c r="I336" s="197"/>
      <c r="J336" s="197"/>
      <c r="K336" s="197"/>
      <c r="L336" s="197"/>
      <c r="M336" s="197"/>
      <c r="N336" s="197"/>
      <c r="O336" s="197"/>
    </row>
    <row r="337" customFormat="false" ht="12" hidden="false" customHeight="false" outlineLevel="0" collapsed="false">
      <c r="B337" s="197"/>
      <c r="C337" s="197"/>
      <c r="D337" s="197"/>
      <c r="E337" s="197"/>
      <c r="F337" s="197"/>
      <c r="G337" s="197"/>
      <c r="H337" s="197"/>
      <c r="I337" s="197"/>
      <c r="J337" s="197"/>
      <c r="K337" s="197"/>
      <c r="L337" s="197"/>
      <c r="M337" s="197"/>
      <c r="N337" s="197"/>
      <c r="O337" s="197"/>
    </row>
    <row r="338" customFormat="false" ht="12" hidden="false" customHeight="false" outlineLevel="0" collapsed="false">
      <c r="B338" s="197"/>
      <c r="C338" s="197"/>
      <c r="D338" s="197"/>
      <c r="E338" s="197"/>
      <c r="F338" s="197"/>
      <c r="G338" s="197"/>
      <c r="H338" s="197"/>
      <c r="I338" s="197"/>
      <c r="J338" s="197"/>
      <c r="K338" s="197"/>
      <c r="L338" s="197"/>
      <c r="M338" s="197"/>
      <c r="N338" s="197"/>
      <c r="O338" s="197"/>
    </row>
    <row r="339" customFormat="false" ht="12" hidden="false" customHeight="false" outlineLevel="0" collapsed="false">
      <c r="B339" s="197"/>
      <c r="C339" s="197"/>
      <c r="D339" s="197"/>
      <c r="E339" s="197"/>
      <c r="F339" s="197"/>
      <c r="G339" s="197"/>
      <c r="H339" s="197"/>
      <c r="I339" s="197"/>
      <c r="J339" s="197"/>
      <c r="K339" s="197"/>
      <c r="L339" s="197"/>
      <c r="M339" s="197"/>
      <c r="N339" s="197"/>
      <c r="O339" s="197"/>
    </row>
    <row r="340" customFormat="false" ht="12" hidden="false" customHeight="false" outlineLevel="0" collapsed="false">
      <c r="B340" s="197"/>
      <c r="C340" s="197"/>
      <c r="D340" s="197"/>
      <c r="E340" s="197"/>
      <c r="F340" s="197"/>
      <c r="G340" s="197"/>
      <c r="H340" s="197"/>
      <c r="I340" s="197"/>
      <c r="J340" s="197"/>
      <c r="K340" s="197"/>
      <c r="L340" s="197"/>
      <c r="M340" s="197"/>
      <c r="N340" s="197"/>
      <c r="O340" s="197"/>
    </row>
    <row r="341" customFormat="false" ht="12" hidden="false" customHeight="false" outlineLevel="0" collapsed="false">
      <c r="B341" s="197"/>
      <c r="C341" s="197"/>
      <c r="D341" s="197"/>
      <c r="E341" s="197"/>
      <c r="F341" s="197"/>
      <c r="G341" s="197"/>
      <c r="H341" s="197"/>
      <c r="I341" s="197"/>
      <c r="J341" s="197"/>
      <c r="K341" s="197"/>
      <c r="L341" s="197"/>
      <c r="M341" s="197"/>
      <c r="N341" s="197"/>
      <c r="O341" s="197"/>
    </row>
    <row r="342" customFormat="false" ht="12" hidden="false" customHeight="false" outlineLevel="0" collapsed="false">
      <c r="B342" s="197"/>
      <c r="C342" s="197"/>
      <c r="D342" s="197"/>
      <c r="E342" s="197"/>
      <c r="F342" s="197"/>
      <c r="G342" s="197"/>
      <c r="H342" s="197"/>
      <c r="I342" s="197"/>
      <c r="J342" s="197"/>
      <c r="K342" s="197"/>
      <c r="L342" s="197"/>
      <c r="M342" s="197"/>
      <c r="N342" s="197"/>
      <c r="O342" s="197"/>
    </row>
    <row r="343" customFormat="false" ht="12" hidden="false" customHeight="false" outlineLevel="0" collapsed="false">
      <c r="B343" s="197"/>
      <c r="C343" s="197"/>
      <c r="D343" s="197"/>
      <c r="E343" s="197"/>
      <c r="F343" s="197"/>
      <c r="G343" s="197"/>
      <c r="H343" s="197"/>
      <c r="I343" s="197"/>
      <c r="J343" s="197"/>
      <c r="K343" s="197"/>
      <c r="L343" s="197"/>
      <c r="M343" s="197"/>
      <c r="N343" s="197"/>
      <c r="O343" s="197"/>
    </row>
    <row r="344" customFormat="false" ht="12" hidden="false" customHeight="false" outlineLevel="0" collapsed="false">
      <c r="B344" s="197"/>
      <c r="C344" s="197"/>
      <c r="D344" s="197"/>
      <c r="E344" s="197"/>
      <c r="F344" s="197"/>
      <c r="G344" s="197"/>
      <c r="H344" s="197"/>
      <c r="I344" s="197"/>
      <c r="J344" s="197"/>
      <c r="K344" s="197"/>
      <c r="L344" s="197"/>
      <c r="M344" s="197"/>
      <c r="N344" s="197"/>
      <c r="O344" s="197"/>
    </row>
    <row r="345" customFormat="false" ht="12" hidden="false" customHeight="false" outlineLevel="0" collapsed="false">
      <c r="B345" s="197"/>
      <c r="C345" s="197"/>
      <c r="D345" s="197"/>
      <c r="E345" s="197"/>
      <c r="F345" s="197"/>
      <c r="G345" s="197"/>
      <c r="H345" s="197"/>
      <c r="I345" s="197"/>
      <c r="J345" s="197"/>
      <c r="K345" s="197"/>
      <c r="L345" s="197"/>
      <c r="M345" s="197"/>
      <c r="N345" s="197"/>
      <c r="O345" s="197"/>
    </row>
    <row r="346" customFormat="false" ht="12" hidden="false" customHeight="false" outlineLevel="0" collapsed="false">
      <c r="B346" s="197"/>
      <c r="C346" s="197"/>
      <c r="D346" s="197"/>
      <c r="E346" s="197"/>
      <c r="F346" s="197"/>
      <c r="G346" s="197"/>
      <c r="H346" s="197"/>
      <c r="I346" s="197"/>
      <c r="J346" s="197"/>
      <c r="K346" s="197"/>
      <c r="L346" s="197"/>
      <c r="M346" s="197"/>
      <c r="N346" s="197"/>
      <c r="O346" s="197"/>
    </row>
    <row r="347" customFormat="false" ht="12" hidden="false" customHeight="false" outlineLevel="0" collapsed="false">
      <c r="B347" s="197"/>
      <c r="C347" s="197"/>
      <c r="D347" s="197"/>
      <c r="E347" s="197"/>
      <c r="F347" s="197"/>
      <c r="G347" s="197"/>
      <c r="H347" s="197"/>
      <c r="I347" s="197"/>
      <c r="J347" s="197"/>
      <c r="K347" s="197"/>
      <c r="L347" s="197"/>
      <c r="M347" s="197"/>
      <c r="N347" s="197"/>
      <c r="O347" s="197"/>
    </row>
    <row r="348" customFormat="false" ht="12" hidden="false" customHeight="false" outlineLevel="0" collapsed="false">
      <c r="B348" s="197"/>
      <c r="C348" s="197"/>
      <c r="D348" s="197"/>
      <c r="E348" s="197"/>
      <c r="F348" s="197"/>
      <c r="G348" s="197"/>
      <c r="H348" s="197"/>
      <c r="I348" s="197"/>
      <c r="J348" s="197"/>
      <c r="K348" s="197"/>
      <c r="L348" s="197"/>
      <c r="M348" s="197"/>
      <c r="N348" s="197"/>
      <c r="O348" s="197"/>
    </row>
    <row r="349" customFormat="false" ht="12" hidden="false" customHeight="false" outlineLevel="0" collapsed="false">
      <c r="B349" s="197"/>
      <c r="C349" s="197"/>
      <c r="D349" s="197"/>
      <c r="E349" s="197"/>
      <c r="F349" s="197"/>
      <c r="G349" s="197"/>
      <c r="H349" s="197"/>
      <c r="I349" s="197"/>
      <c r="J349" s="197"/>
      <c r="K349" s="197"/>
      <c r="L349" s="197"/>
      <c r="M349" s="197"/>
      <c r="N349" s="197"/>
      <c r="O349" s="197"/>
    </row>
    <row r="350" customFormat="false" ht="12" hidden="false" customHeight="false" outlineLevel="0" collapsed="false">
      <c r="B350" s="197"/>
      <c r="C350" s="197"/>
      <c r="D350" s="197"/>
      <c r="E350" s="197"/>
      <c r="F350" s="197"/>
      <c r="G350" s="197"/>
      <c r="H350" s="197"/>
      <c r="I350" s="197"/>
      <c r="J350" s="197"/>
      <c r="K350" s="197"/>
      <c r="L350" s="197"/>
      <c r="M350" s="197"/>
      <c r="N350" s="197"/>
      <c r="O350" s="197"/>
    </row>
    <row r="351" customFormat="false" ht="12" hidden="false" customHeight="false" outlineLevel="0" collapsed="false">
      <c r="B351" s="197"/>
      <c r="C351" s="197"/>
      <c r="D351" s="197"/>
      <c r="E351" s="197"/>
      <c r="F351" s="197"/>
      <c r="G351" s="197"/>
      <c r="H351" s="197"/>
      <c r="I351" s="197"/>
      <c r="J351" s="197"/>
      <c r="K351" s="197"/>
      <c r="L351" s="197"/>
      <c r="M351" s="197"/>
      <c r="N351" s="197"/>
      <c r="O351" s="197"/>
    </row>
    <row r="352" customFormat="false" ht="12" hidden="false" customHeight="false" outlineLevel="0" collapsed="false">
      <c r="B352" s="197"/>
      <c r="C352" s="197"/>
      <c r="D352" s="197"/>
      <c r="E352" s="197"/>
      <c r="F352" s="197"/>
      <c r="G352" s="197"/>
      <c r="H352" s="197"/>
      <c r="I352" s="197"/>
      <c r="J352" s="197"/>
      <c r="K352" s="197"/>
      <c r="L352" s="197"/>
      <c r="M352" s="197"/>
      <c r="N352" s="197"/>
      <c r="O352" s="197"/>
    </row>
    <row r="353" customFormat="false" ht="12" hidden="false" customHeight="false" outlineLevel="0" collapsed="false">
      <c r="B353" s="197"/>
      <c r="C353" s="197"/>
      <c r="D353" s="197"/>
      <c r="E353" s="197"/>
      <c r="F353" s="197"/>
      <c r="G353" s="197"/>
      <c r="H353" s="197"/>
      <c r="I353" s="197"/>
      <c r="J353" s="197"/>
      <c r="K353" s="197"/>
      <c r="L353" s="197"/>
      <c r="M353" s="197"/>
      <c r="N353" s="197"/>
      <c r="O353" s="197"/>
    </row>
    <row r="354" customFormat="false" ht="12" hidden="false" customHeight="false" outlineLevel="0" collapsed="false">
      <c r="B354" s="197"/>
      <c r="C354" s="197"/>
      <c r="D354" s="197"/>
      <c r="E354" s="197"/>
      <c r="F354" s="197"/>
      <c r="G354" s="197"/>
      <c r="H354" s="197"/>
      <c r="I354" s="197"/>
      <c r="J354" s="197"/>
      <c r="K354" s="197"/>
      <c r="L354" s="197"/>
      <c r="M354" s="197"/>
      <c r="N354" s="197"/>
      <c r="O354" s="197"/>
    </row>
    <row r="355" customFormat="false" ht="12" hidden="false" customHeight="false" outlineLevel="0" collapsed="false">
      <c r="B355" s="197"/>
      <c r="C355" s="197"/>
      <c r="D355" s="197"/>
      <c r="E355" s="197"/>
      <c r="F355" s="197"/>
      <c r="G355" s="197"/>
      <c r="H355" s="197"/>
      <c r="I355" s="197"/>
      <c r="J355" s="197"/>
      <c r="K355" s="197"/>
      <c r="L355" s="197"/>
      <c r="M355" s="197"/>
      <c r="N355" s="197"/>
      <c r="O355" s="197"/>
    </row>
    <row r="356" customFormat="false" ht="12" hidden="false" customHeight="false" outlineLevel="0" collapsed="false">
      <c r="O356" s="197"/>
    </row>
    <row r="357" customFormat="false" ht="12" hidden="false" customHeight="false" outlineLevel="0" collapsed="false">
      <c r="O357" s="197"/>
    </row>
    <row r="358" customFormat="false" ht="12" hidden="false" customHeight="false" outlineLevel="0" collapsed="false">
      <c r="O358" s="197"/>
    </row>
    <row r="359" customFormat="false" ht="12" hidden="false" customHeight="false" outlineLevel="0" collapsed="false">
      <c r="O359" s="197"/>
    </row>
    <row r="360" customFormat="false" ht="12" hidden="false" customHeight="false" outlineLevel="0" collapsed="false">
      <c r="O360" s="197"/>
    </row>
    <row r="361" customFormat="false" ht="12" hidden="false" customHeight="false" outlineLevel="0" collapsed="false">
      <c r="O361" s="197"/>
    </row>
    <row r="362" customFormat="false" ht="12" hidden="false" customHeight="false" outlineLevel="0" collapsed="false">
      <c r="O362" s="197"/>
    </row>
    <row r="363" customFormat="false" ht="12" hidden="false" customHeight="false" outlineLevel="0" collapsed="false">
      <c r="O363" s="197"/>
    </row>
    <row r="364" customFormat="false" ht="12" hidden="false" customHeight="false" outlineLevel="0" collapsed="false">
      <c r="O364" s="197"/>
    </row>
    <row r="365" customFormat="false" ht="12" hidden="false" customHeight="false" outlineLevel="0" collapsed="false">
      <c r="O365" s="197"/>
    </row>
    <row r="366" customFormat="false" ht="12" hidden="false" customHeight="false" outlineLevel="0" collapsed="false">
      <c r="O366" s="197"/>
    </row>
    <row r="367" customFormat="false" ht="12" hidden="false" customHeight="false" outlineLevel="0" collapsed="false">
      <c r="O367" s="197"/>
    </row>
  </sheetData>
  <mergeCells count="18">
    <mergeCell ref="A3:P3"/>
    <mergeCell ref="B6:P6"/>
    <mergeCell ref="A7:A9"/>
    <mergeCell ref="B7:B8"/>
    <mergeCell ref="C7:C8"/>
    <mergeCell ref="D7:D8"/>
    <mergeCell ref="E7:E8"/>
    <mergeCell ref="F7:F8"/>
    <mergeCell ref="G7:G8"/>
    <mergeCell ref="H7:H8"/>
    <mergeCell ref="I7:I8"/>
    <mergeCell ref="J7:J8"/>
    <mergeCell ref="K7:K8"/>
    <mergeCell ref="L7:L8"/>
    <mergeCell ref="M7:M8"/>
    <mergeCell ref="N7:N8"/>
    <mergeCell ref="O7:O8"/>
    <mergeCell ref="P7:P8"/>
  </mergeCells>
  <hyperlinks>
    <hyperlink ref="B1" location="Index!A1" display="Back to index"/>
  </hyperlinks>
  <printOptions headings="false" gridLines="false" gridLinesSet="true" horizontalCentered="false" verticalCentered="false"/>
  <pageMargins left="0.75" right="0.75" top="0.984027777777778" bottom="0.984027777777778" header="0.511811023622047" footer="0.511811023622047"/>
  <pageSetup paperSize="9" scale="100" fitToWidth="1" fitToHeight="2"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CCFF"/>
    <pageSetUpPr fitToPage="true"/>
  </sheetPr>
  <dimension ref="A1:S2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A3" activeCellId="0" sqref="A3"/>
    </sheetView>
  </sheetViews>
  <sheetFormatPr defaultColWidth="11.0546875" defaultRowHeight="12" zeroHeight="false" outlineLevelRow="0" outlineLevelCol="0"/>
  <cols>
    <col collapsed="false" customWidth="true" hidden="false" outlineLevel="0" max="1" min="1" style="0" width="9.66"/>
    <col collapsed="false" customWidth="true" hidden="false" outlineLevel="0" max="2" min="2" style="0" width="8.33"/>
    <col collapsed="false" customWidth="true" hidden="false" outlineLevel="0" max="6" min="3" style="0" width="7.32"/>
    <col collapsed="false" customWidth="true" hidden="false" outlineLevel="0" max="9" min="7" style="0" width="6.66"/>
    <col collapsed="false" customWidth="true" hidden="false" outlineLevel="0" max="10" min="10" style="0" width="7.32"/>
    <col collapsed="false" customWidth="true" hidden="false" outlineLevel="0" max="12" min="11" style="0" width="8.33"/>
    <col collapsed="false" customWidth="true" hidden="false" outlineLevel="0" max="13" min="13" style="20" width="7.66"/>
    <col collapsed="false" customWidth="true" hidden="false" outlineLevel="0" max="14" min="14" style="0" width="7.32"/>
    <col collapsed="false" customWidth="true" hidden="false" outlineLevel="0" max="15" min="15" style="20" width="7.32"/>
    <col collapsed="false" customWidth="true" hidden="false" outlineLevel="0" max="16" min="16" style="20" width="7.66"/>
    <col collapsed="false" customWidth="true" hidden="false" outlineLevel="0" max="18" min="18" style="0" width="7.99"/>
  </cols>
  <sheetData>
    <row r="1" customFormat="false" ht="12" hidden="false" customHeight="false" outlineLevel="0" collapsed="false">
      <c r="B1" s="21" t="s">
        <v>9</v>
      </c>
    </row>
    <row r="2" customFormat="false" ht="13" hidden="false" customHeight="false" outlineLevel="0" collapsed="false"/>
    <row r="3" customFormat="false" ht="19.75" hidden="false" customHeight="true" outlineLevel="0" collapsed="false">
      <c r="A3" s="27" t="s">
        <v>149</v>
      </c>
      <c r="B3" s="27"/>
      <c r="C3" s="27"/>
      <c r="D3" s="27"/>
      <c r="E3" s="27"/>
      <c r="F3" s="27"/>
      <c r="G3" s="27"/>
      <c r="H3" s="27"/>
      <c r="I3" s="27"/>
      <c r="J3" s="27"/>
      <c r="K3" s="27"/>
      <c r="L3" s="27"/>
      <c r="M3" s="27"/>
      <c r="N3" s="27"/>
      <c r="O3" s="27"/>
      <c r="P3" s="27"/>
      <c r="Q3" s="28"/>
    </row>
    <row r="4" customFormat="false" ht="12" hidden="false" customHeight="false" outlineLevel="0" collapsed="false">
      <c r="A4" s="28"/>
      <c r="B4" s="29"/>
      <c r="C4" s="29"/>
      <c r="D4" s="29"/>
      <c r="E4" s="29"/>
      <c r="F4" s="29"/>
      <c r="G4" s="29"/>
      <c r="H4" s="29"/>
      <c r="I4" s="29"/>
      <c r="J4" s="29"/>
      <c r="K4" s="29"/>
      <c r="L4" s="29"/>
      <c r="M4" s="114"/>
      <c r="N4" s="29"/>
      <c r="O4" s="114"/>
      <c r="P4" s="359"/>
      <c r="Q4" s="28"/>
    </row>
    <row r="5" customFormat="false" ht="12" hidden="false" customHeight="false" outlineLevel="0" collapsed="false">
      <c r="A5" s="28"/>
      <c r="B5" s="31" t="s">
        <v>11</v>
      </c>
      <c r="C5" s="553" t="s">
        <v>12</v>
      </c>
      <c r="D5" s="553" t="s">
        <v>13</v>
      </c>
      <c r="E5" s="553" t="s">
        <v>14</v>
      </c>
      <c r="F5" s="553" t="s">
        <v>15</v>
      </c>
      <c r="G5" s="553" t="s">
        <v>16</v>
      </c>
      <c r="H5" s="553" t="s">
        <v>17</v>
      </c>
      <c r="I5" s="553" t="s">
        <v>18</v>
      </c>
      <c r="J5" s="32" t="s">
        <v>19</v>
      </c>
      <c r="K5" s="32" t="s">
        <v>20</v>
      </c>
      <c r="L5" s="553" t="s">
        <v>21</v>
      </c>
      <c r="M5" s="553" t="s">
        <v>22</v>
      </c>
      <c r="N5" s="553" t="s">
        <v>23</v>
      </c>
      <c r="O5" s="554" t="s">
        <v>24</v>
      </c>
      <c r="P5" s="555" t="s">
        <v>25</v>
      </c>
      <c r="Q5" s="28"/>
    </row>
    <row r="6" customFormat="false" ht="28.75" hidden="false" customHeight="true" outlineLevel="0" collapsed="false">
      <c r="A6" s="28"/>
      <c r="B6" s="298" t="s">
        <v>118</v>
      </c>
      <c r="C6" s="298"/>
      <c r="D6" s="298"/>
      <c r="E6" s="298"/>
      <c r="F6" s="298"/>
      <c r="G6" s="298"/>
      <c r="H6" s="298"/>
      <c r="I6" s="298"/>
      <c r="J6" s="298"/>
      <c r="K6" s="298"/>
      <c r="L6" s="298"/>
      <c r="M6" s="298"/>
      <c r="N6" s="298"/>
      <c r="O6" s="298"/>
      <c r="P6" s="298"/>
      <c r="Q6" s="28"/>
    </row>
    <row r="7" customFormat="false" ht="39.75" hidden="false" customHeight="true" outlineLevel="0" collapsed="false">
      <c r="A7" s="556"/>
      <c r="B7" s="487" t="s">
        <v>119</v>
      </c>
      <c r="C7" s="487" t="s">
        <v>120</v>
      </c>
      <c r="D7" s="487" t="s">
        <v>121</v>
      </c>
      <c r="E7" s="557" t="s">
        <v>122</v>
      </c>
      <c r="F7" s="558" t="s">
        <v>123</v>
      </c>
      <c r="G7" s="559" t="s">
        <v>124</v>
      </c>
      <c r="H7" s="487" t="s">
        <v>125</v>
      </c>
      <c r="I7" s="557" t="s">
        <v>129</v>
      </c>
      <c r="J7" s="558" t="s">
        <v>130</v>
      </c>
      <c r="K7" s="559" t="s">
        <v>131</v>
      </c>
      <c r="L7" s="487" t="s">
        <v>132</v>
      </c>
      <c r="M7" s="560" t="s">
        <v>150</v>
      </c>
      <c r="N7" s="560" t="s">
        <v>151</v>
      </c>
      <c r="O7" s="561" t="s">
        <v>152</v>
      </c>
      <c r="P7" s="562" t="s">
        <v>153</v>
      </c>
      <c r="Q7" s="563"/>
      <c r="R7" s="564"/>
    </row>
    <row r="8" customFormat="false" ht="49.75" hidden="false" customHeight="true" outlineLevel="0" collapsed="false">
      <c r="A8" s="556"/>
      <c r="B8" s="487"/>
      <c r="C8" s="487"/>
      <c r="D8" s="487"/>
      <c r="E8" s="557"/>
      <c r="F8" s="558"/>
      <c r="G8" s="559"/>
      <c r="H8" s="487"/>
      <c r="I8" s="557"/>
      <c r="J8" s="558"/>
      <c r="K8" s="559"/>
      <c r="L8" s="487"/>
      <c r="M8" s="560"/>
      <c r="N8" s="560"/>
      <c r="O8" s="561"/>
      <c r="P8" s="562"/>
      <c r="Q8" s="563"/>
      <c r="R8" s="564"/>
    </row>
    <row r="9" customFormat="false" ht="49.75" hidden="false" customHeight="true" outlineLevel="0" collapsed="false">
      <c r="A9" s="556"/>
      <c r="B9" s="490" t="s">
        <v>134</v>
      </c>
      <c r="C9" s="490" t="s">
        <v>135</v>
      </c>
      <c r="D9" s="490" t="s">
        <v>136</v>
      </c>
      <c r="E9" s="46" t="s">
        <v>137</v>
      </c>
      <c r="F9" s="565" t="s">
        <v>154</v>
      </c>
      <c r="G9" s="47" t="s">
        <v>139</v>
      </c>
      <c r="H9" s="490" t="s">
        <v>140</v>
      </c>
      <c r="I9" s="46" t="s">
        <v>144</v>
      </c>
      <c r="J9" s="566" t="s">
        <v>155</v>
      </c>
      <c r="K9" s="47" t="s">
        <v>146</v>
      </c>
      <c r="L9" s="490" t="s">
        <v>147</v>
      </c>
      <c r="M9" s="567" t="s">
        <v>156</v>
      </c>
      <c r="N9" s="567" t="s">
        <v>157</v>
      </c>
      <c r="O9" s="568" t="s">
        <v>158</v>
      </c>
      <c r="P9" s="569" t="s">
        <v>159</v>
      </c>
      <c r="Q9" s="28"/>
    </row>
    <row r="10" customFormat="false" ht="12" hidden="false" customHeight="false" outlineLevel="0" collapsed="false">
      <c r="A10" s="145" t="s">
        <v>160</v>
      </c>
      <c r="B10" s="570" t="n">
        <f aca="false">TableDE2!N10</f>
        <v>6.43898758884511</v>
      </c>
      <c r="C10" s="518" t="n">
        <f aca="false">AVERAGE(TableDE3d!C10:C19)</f>
        <v>0.216014647519709</v>
      </c>
      <c r="D10" s="518" t="n">
        <f aca="false">AVERAGE(TableDE3d!D10:D19)</f>
        <v>0.783985352480291</v>
      </c>
      <c r="E10" s="571" t="n">
        <f aca="false">AVERAGE(TableDE3d!E10:E19)</f>
        <v>0.227798344580619</v>
      </c>
      <c r="F10" s="572" t="n">
        <f aca="false">AVERAGE(TableDE3d!F10:F19)</f>
        <v>0.0354365393217059</v>
      </c>
      <c r="G10" s="573" t="n">
        <f aca="false">AVERAGE(TableDE3d!G10:G19)</f>
        <v>0.0489279792122405</v>
      </c>
      <c r="H10" s="570" t="n">
        <f aca="false">AVERAGE(TableDE3d!H10:H19)</f>
        <v>0.0489279792122405</v>
      </c>
      <c r="I10" s="574" t="n">
        <f aca="false">AVERAGE(TableDE3d!L10:L19)</f>
        <v>0.216659715406693</v>
      </c>
      <c r="J10" s="575" t="n">
        <f aca="false">AVERAGE(TableDE3d!M10:M19)</f>
        <v>0.0337063917329985</v>
      </c>
      <c r="K10" s="576"/>
      <c r="L10" s="521" t="n">
        <f aca="false">AVERAGE(TableDE3d!O10:O19)</f>
        <v>0.132713043358441</v>
      </c>
      <c r="M10" s="521" t="n">
        <f aca="false">AVERAGE(TableDE3d!O10:O19)+AVERAGE(TableDE3d!P10:P19)</f>
        <v>0.132713043358441</v>
      </c>
      <c r="N10" s="577" t="n">
        <f aca="false">PRODUCT(TableDE5a!AB11:AB20)^(1/10)-1</f>
        <v>-0.0120706364204303</v>
      </c>
      <c r="O10" s="578" t="n">
        <f aca="false">PRODUCT(TableDE5a!AC11:AC20)^(1/10)-1</f>
        <v>0</v>
      </c>
      <c r="P10" s="579" t="n">
        <f aca="false">J10+N10+O10</f>
        <v>0.0216357553125683</v>
      </c>
      <c r="Q10" s="580"/>
      <c r="R10" s="580"/>
      <c r="S10" s="502" t="n">
        <f aca="false">C10+D10-1</f>
        <v>0</v>
      </c>
    </row>
    <row r="11" customFormat="false" ht="12" hidden="true" customHeight="false" outlineLevel="0" collapsed="false">
      <c r="A11" s="145" t="e">
        <f aca="false">A10+1</f>
        <v>#VALUE!</v>
      </c>
      <c r="B11" s="581" t="n">
        <f aca="false">TableDE2!N11</f>
        <v>6.38125057397899</v>
      </c>
      <c r="C11" s="582" t="e">
        <f aca="false">#REF!</f>
        <v>#REF!</v>
      </c>
      <c r="D11" s="582" t="e">
        <f aca="false">#REF!</f>
        <v>#REF!</v>
      </c>
      <c r="E11" s="209" t="n">
        <f aca="false">AVERAGE(TableDE3d!E11:E20)</f>
        <v>0.229923777817479</v>
      </c>
      <c r="F11" s="583"/>
      <c r="G11" s="584"/>
      <c r="H11" s="581"/>
      <c r="I11" s="585"/>
      <c r="J11" s="586" t="n">
        <f aca="false">(1-H11)*F11</f>
        <v>0</v>
      </c>
      <c r="K11" s="587"/>
      <c r="L11" s="581" t="e">
        <f aca="false">#REF!</f>
        <v>#REF!</v>
      </c>
      <c r="M11" s="581" t="e">
        <f aca="false">#REF!</f>
        <v>#REF!</v>
      </c>
      <c r="N11" s="581"/>
      <c r="O11" s="209"/>
      <c r="P11" s="588" t="n">
        <f aca="false">J11+N11+O11</f>
        <v>0</v>
      </c>
      <c r="Q11" s="580"/>
      <c r="R11" s="580"/>
      <c r="S11" s="502"/>
    </row>
    <row r="12" customFormat="false" ht="12" hidden="true" customHeight="false" outlineLevel="0" collapsed="false">
      <c r="A12" s="145" t="e">
        <f aca="false">A11+1</f>
        <v>#VALUE!</v>
      </c>
      <c r="B12" s="581" t="n">
        <f aca="false">TableDE2!N12</f>
        <v>6.33311769588577</v>
      </c>
      <c r="C12" s="582" t="e">
        <f aca="false">#REF!</f>
        <v>#REF!</v>
      </c>
      <c r="D12" s="582" t="e">
        <f aca="false">#REF!</f>
        <v>#REF!</v>
      </c>
      <c r="E12" s="209" t="n">
        <f aca="false">AVERAGE(TableDE3d!E12:E21)</f>
        <v>0.230026961618634</v>
      </c>
      <c r="F12" s="583"/>
      <c r="G12" s="584"/>
      <c r="H12" s="581"/>
      <c r="I12" s="585"/>
      <c r="J12" s="586" t="n">
        <f aca="false">(1-H12)*F12</f>
        <v>0</v>
      </c>
      <c r="K12" s="587"/>
      <c r="L12" s="581" t="e">
        <f aca="false">#REF!</f>
        <v>#REF!</v>
      </c>
      <c r="M12" s="581" t="e">
        <f aca="false">#REF!</f>
        <v>#REF!</v>
      </c>
      <c r="N12" s="581"/>
      <c r="O12" s="209"/>
      <c r="P12" s="588" t="n">
        <f aca="false">J12+N12+O12</f>
        <v>0</v>
      </c>
      <c r="Q12" s="580"/>
      <c r="R12" s="580"/>
      <c r="S12" s="502"/>
    </row>
    <row r="13" customFormat="false" ht="12" hidden="true" customHeight="false" outlineLevel="0" collapsed="false">
      <c r="A13" s="145" t="e">
        <f aca="false">A12+1</f>
        <v>#VALUE!</v>
      </c>
      <c r="B13" s="581" t="n">
        <f aca="false">TableDE2!N13</f>
        <v>6.35310092757224</v>
      </c>
      <c r="C13" s="582" t="e">
        <f aca="false">#REF!</f>
        <v>#REF!</v>
      </c>
      <c r="D13" s="582" t="e">
        <f aca="false">#REF!</f>
        <v>#REF!</v>
      </c>
      <c r="E13" s="209" t="n">
        <f aca="false">AVERAGE(TableDE3d!E13:E22)</f>
        <v>0.229761148629845</v>
      </c>
      <c r="F13" s="583"/>
      <c r="G13" s="584"/>
      <c r="H13" s="581"/>
      <c r="I13" s="585"/>
      <c r="J13" s="586" t="n">
        <f aca="false">(1-H13)*F13</f>
        <v>0</v>
      </c>
      <c r="K13" s="587"/>
      <c r="L13" s="581" t="e">
        <f aca="false">#REF!</f>
        <v>#REF!</v>
      </c>
      <c r="M13" s="581" t="e">
        <f aca="false">#REF!</f>
        <v>#REF!</v>
      </c>
      <c r="N13" s="581"/>
      <c r="O13" s="209"/>
      <c r="P13" s="588" t="n">
        <f aca="false">J13+N13+O13</f>
        <v>0</v>
      </c>
      <c r="Q13" s="580"/>
      <c r="R13" s="580"/>
      <c r="S13" s="502"/>
    </row>
    <row r="14" customFormat="false" ht="12" hidden="true" customHeight="false" outlineLevel="0" collapsed="false">
      <c r="A14" s="145" t="e">
        <f aca="false">A13+1</f>
        <v>#VALUE!</v>
      </c>
      <c r="B14" s="581" t="n">
        <f aca="false">TableDE2!N14</f>
        <v>6.36076184829211</v>
      </c>
      <c r="C14" s="582" t="e">
        <f aca="false">#REF!</f>
        <v>#REF!</v>
      </c>
      <c r="D14" s="582" t="e">
        <f aca="false">#REF!</f>
        <v>#REF!</v>
      </c>
      <c r="E14" s="209" t="n">
        <f aca="false">AVERAGE(TableDE3d!E14:E23)</f>
        <v>0.23267192961518</v>
      </c>
      <c r="F14" s="583"/>
      <c r="G14" s="584"/>
      <c r="H14" s="581"/>
      <c r="I14" s="585"/>
      <c r="J14" s="586" t="n">
        <f aca="false">(1-H14)*F14</f>
        <v>0</v>
      </c>
      <c r="K14" s="587"/>
      <c r="L14" s="581" t="e">
        <f aca="false">#REF!</f>
        <v>#REF!</v>
      </c>
      <c r="M14" s="581" t="e">
        <f aca="false">#REF!</f>
        <v>#REF!</v>
      </c>
      <c r="N14" s="581"/>
      <c r="O14" s="209"/>
      <c r="P14" s="588" t="n">
        <f aca="false">J14+N14+O14</f>
        <v>0</v>
      </c>
      <c r="Q14" s="580"/>
      <c r="R14" s="580"/>
      <c r="S14" s="502"/>
    </row>
    <row r="15" customFormat="false" ht="12" hidden="true" customHeight="false" outlineLevel="0" collapsed="false">
      <c r="A15" s="145" t="e">
        <f aca="false">A14+1</f>
        <v>#VALUE!</v>
      </c>
      <c r="B15" s="581" t="n">
        <f aca="false">TableDE2!N15</f>
        <v>6.38752885301199</v>
      </c>
      <c r="C15" s="582" t="e">
        <f aca="false">#REF!</f>
        <v>#REF!</v>
      </c>
      <c r="D15" s="582" t="e">
        <f aca="false">#REF!</f>
        <v>#REF!</v>
      </c>
      <c r="E15" s="209" t="n">
        <f aca="false">AVERAGE(TableDE3d!E15:E24)</f>
        <v>0.235002200877415</v>
      </c>
      <c r="F15" s="583"/>
      <c r="G15" s="584"/>
      <c r="H15" s="581"/>
      <c r="I15" s="585"/>
      <c r="J15" s="586" t="n">
        <f aca="false">(1-H15)*F15</f>
        <v>0</v>
      </c>
      <c r="K15" s="587"/>
      <c r="L15" s="581" t="e">
        <f aca="false">#REF!</f>
        <v>#REF!</v>
      </c>
      <c r="M15" s="581" t="e">
        <f aca="false">#REF!</f>
        <v>#REF!</v>
      </c>
      <c r="N15" s="581"/>
      <c r="O15" s="209"/>
      <c r="P15" s="588" t="n">
        <f aca="false">J15+N15+O15</f>
        <v>0</v>
      </c>
      <c r="Q15" s="580"/>
      <c r="R15" s="580"/>
      <c r="S15" s="502"/>
    </row>
    <row r="16" customFormat="false" ht="12" hidden="true" customHeight="false" outlineLevel="0" collapsed="false">
      <c r="A16" s="145" t="e">
        <f aca="false">A15+1</f>
        <v>#VALUE!</v>
      </c>
      <c r="B16" s="581" t="n">
        <f aca="false">TableDE2!N16</f>
        <v>6.38751919951159</v>
      </c>
      <c r="C16" s="582" t="e">
        <f aca="false">#REF!</f>
        <v>#REF!</v>
      </c>
      <c r="D16" s="582" t="e">
        <f aca="false">#REF!</f>
        <v>#REF!</v>
      </c>
      <c r="E16" s="209" t="n">
        <f aca="false">AVERAGE(TableDE3d!E16:E25)</f>
        <v>0.242032824386452</v>
      </c>
      <c r="F16" s="583"/>
      <c r="G16" s="584"/>
      <c r="H16" s="581"/>
      <c r="I16" s="585"/>
      <c r="J16" s="586" t="n">
        <f aca="false">(1-H16)*F16</f>
        <v>0</v>
      </c>
      <c r="K16" s="587"/>
      <c r="L16" s="581" t="e">
        <f aca="false">#REF!</f>
        <v>#REF!</v>
      </c>
      <c r="M16" s="581" t="e">
        <f aca="false">#REF!</f>
        <v>#REF!</v>
      </c>
      <c r="N16" s="581"/>
      <c r="O16" s="209"/>
      <c r="P16" s="588" t="n">
        <f aca="false">J16+N16+O16</f>
        <v>0</v>
      </c>
      <c r="Q16" s="580"/>
      <c r="R16" s="580"/>
      <c r="S16" s="502"/>
    </row>
    <row r="17" customFormat="false" ht="12" hidden="true" customHeight="false" outlineLevel="0" collapsed="false">
      <c r="A17" s="145" t="e">
        <f aca="false">A16+1</f>
        <v>#VALUE!</v>
      </c>
      <c r="B17" s="581" t="n">
        <f aca="false">TableDE2!N17</f>
        <v>6.40200538679469</v>
      </c>
      <c r="C17" s="582" t="e">
        <f aca="false">#REF!</f>
        <v>#REF!</v>
      </c>
      <c r="D17" s="582" t="e">
        <f aca="false">#REF!</f>
        <v>#REF!</v>
      </c>
      <c r="E17" s="209" t="n">
        <f aca="false">AVERAGE(TableDE3d!E17:E26)</f>
        <v>0.247296539303577</v>
      </c>
      <c r="F17" s="583"/>
      <c r="G17" s="584"/>
      <c r="H17" s="581"/>
      <c r="I17" s="585"/>
      <c r="J17" s="586" t="n">
        <f aca="false">(1-H17)*F17</f>
        <v>0</v>
      </c>
      <c r="K17" s="587"/>
      <c r="L17" s="581" t="e">
        <f aca="false">#REF!</f>
        <v>#REF!</v>
      </c>
      <c r="M17" s="581" t="e">
        <f aca="false">#REF!</f>
        <v>#REF!</v>
      </c>
      <c r="N17" s="581"/>
      <c r="O17" s="209"/>
      <c r="P17" s="588" t="n">
        <f aca="false">J17+N17+O17</f>
        <v>0</v>
      </c>
      <c r="Q17" s="580"/>
      <c r="R17" s="580"/>
      <c r="S17" s="502"/>
    </row>
    <row r="18" customFormat="false" ht="12" hidden="true" customHeight="false" outlineLevel="0" collapsed="false">
      <c r="A18" s="145" t="e">
        <f aca="false">A17+1</f>
        <v>#VALUE!</v>
      </c>
      <c r="B18" s="581" t="n">
        <f aca="false">TableDE2!N18</f>
        <v>6.42600408386639</v>
      </c>
      <c r="C18" s="582" t="e">
        <f aca="false">#REF!</f>
        <v>#REF!</v>
      </c>
      <c r="D18" s="582" t="e">
        <f aca="false">#REF!</f>
        <v>#REF!</v>
      </c>
      <c r="E18" s="209" t="n">
        <f aca="false">AVERAGE(TableDE3d!E18:E27)</f>
        <v>0.251546051210295</v>
      </c>
      <c r="F18" s="583"/>
      <c r="G18" s="584"/>
      <c r="H18" s="581"/>
      <c r="I18" s="585"/>
      <c r="J18" s="586" t="n">
        <f aca="false">(1-H18)*F18</f>
        <v>0</v>
      </c>
      <c r="K18" s="587"/>
      <c r="L18" s="581" t="e">
        <f aca="false">#REF!</f>
        <v>#REF!</v>
      </c>
      <c r="M18" s="581" t="e">
        <f aca="false">#REF!</f>
        <v>#REF!</v>
      </c>
      <c r="N18" s="581"/>
      <c r="O18" s="209"/>
      <c r="P18" s="588" t="n">
        <f aca="false">J18+N18+O18</f>
        <v>0</v>
      </c>
      <c r="Q18" s="580"/>
      <c r="R18" s="580"/>
      <c r="S18" s="502"/>
    </row>
    <row r="19" customFormat="false" ht="12" hidden="true" customHeight="false" outlineLevel="0" collapsed="false">
      <c r="A19" s="145" t="e">
        <f aca="false">A18+1</f>
        <v>#VALUE!</v>
      </c>
      <c r="B19" s="581" t="n">
        <f aca="false">TableDE2!N19</f>
        <v>6.45953819417838</v>
      </c>
      <c r="C19" s="582" t="e">
        <f aca="false">#REF!</f>
        <v>#REF!</v>
      </c>
      <c r="D19" s="582" t="e">
        <f aca="false">#REF!</f>
        <v>#REF!</v>
      </c>
      <c r="E19" s="209" t="n">
        <f aca="false">AVERAGE(TableDE3d!E19:E28)</f>
        <v>0.255891216344386</v>
      </c>
      <c r="F19" s="583"/>
      <c r="G19" s="584"/>
      <c r="H19" s="581"/>
      <c r="I19" s="585"/>
      <c r="J19" s="586" t="n">
        <f aca="false">(1-H19)*F19</f>
        <v>0</v>
      </c>
      <c r="K19" s="587"/>
      <c r="L19" s="581" t="e">
        <f aca="false">#REF!</f>
        <v>#REF!</v>
      </c>
      <c r="M19" s="581" t="e">
        <f aca="false">#REF!</f>
        <v>#REF!</v>
      </c>
      <c r="N19" s="581"/>
      <c r="O19" s="209"/>
      <c r="P19" s="588" t="n">
        <f aca="false">J19+N19+O19</f>
        <v>0</v>
      </c>
      <c r="Q19" s="580"/>
      <c r="R19" s="580"/>
      <c r="S19" s="502"/>
    </row>
    <row r="20" customFormat="false" ht="12" hidden="false" customHeight="false" outlineLevel="0" collapsed="false">
      <c r="A20" s="145" t="s">
        <v>161</v>
      </c>
      <c r="B20" s="570" t="n">
        <f aca="false">TableDE2!N20</f>
        <v>6.44334771885553</v>
      </c>
      <c r="C20" s="518" t="n">
        <f aca="false">AVERAGE(TableDE3d!C20:C29)</f>
        <v>0.242144598626791</v>
      </c>
      <c r="D20" s="518" t="n">
        <f aca="false">AVERAGE(TableDE3d!D20:D29)</f>
        <v>0.75785540137321</v>
      </c>
      <c r="E20" s="571" t="n">
        <f aca="false">AVERAGE(TableDE3d!E20:E29)</f>
        <v>0.261184684628461</v>
      </c>
      <c r="F20" s="572" t="n">
        <f aca="false">AVERAGE(TableDE3d!F20:F29)</f>
        <v>0.0405498867974659</v>
      </c>
      <c r="G20" s="573" t="n">
        <f aca="false">AVERAGE(TableDE3d!G20:G29)</f>
        <v>0.0638052868635764</v>
      </c>
      <c r="H20" s="570" t="n">
        <f aca="false">AVERAGE(TableDE3d!H20:H29)</f>
        <v>0.0638052868635764</v>
      </c>
      <c r="I20" s="574" t="n">
        <f aca="false">AVERAGE(TableDE3d!L20:L29)</f>
        <v>0.244502284632699</v>
      </c>
      <c r="J20" s="575" t="n">
        <f aca="false">AVERAGE(TableDE3d!M20:M29)</f>
        <v>0.0379603172472276</v>
      </c>
      <c r="K20" s="576"/>
      <c r="L20" s="521" t="n">
        <f aca="false">AVERAGE(TableDE3d!O20:O29)</f>
        <v>0.137777206813296</v>
      </c>
      <c r="M20" s="521" t="n">
        <f aca="false">AVERAGE(TableDE3d!O20:O29)+AVERAGE(TableDE3d!P20:P29)</f>
        <v>0.137777206813296</v>
      </c>
      <c r="N20" s="577" t="n">
        <f aca="false">PRODUCT(TableDE5a!AB21:AB30)^(1/10)-1</f>
        <v>0.00784724500884937</v>
      </c>
      <c r="O20" s="578" t="n">
        <f aca="false">PRODUCT(TableDE5a!AC21:AC30)^(1/10)-1</f>
        <v>0</v>
      </c>
      <c r="P20" s="579" t="n">
        <f aca="false">J20+N20+O20</f>
        <v>0.0458075622560769</v>
      </c>
      <c r="Q20" s="580"/>
      <c r="R20" s="580"/>
      <c r="S20" s="502" t="n">
        <f aca="false">C20+D20-1</f>
        <v>0</v>
      </c>
    </row>
    <row r="21" customFormat="false" ht="12" hidden="true" customHeight="false" outlineLevel="0" collapsed="false">
      <c r="A21" s="145" t="e">
        <f aca="false">A20+1</f>
        <v>#VALUE!</v>
      </c>
      <c r="B21" s="581" t="n">
        <f aca="false">TableDE2!N21</f>
        <v>6.41961787173788</v>
      </c>
      <c r="C21" s="582" t="e">
        <f aca="false">#REF!</f>
        <v>#REF!</v>
      </c>
      <c r="D21" s="582" t="e">
        <f aca="false">#REF!</f>
        <v>#REF!</v>
      </c>
      <c r="E21" s="209" t="n">
        <f aca="false">AVERAGE(TableDE3d!E21:E30)</f>
        <v>0.266084487516354</v>
      </c>
      <c r="F21" s="583"/>
      <c r="G21" s="584"/>
      <c r="H21" s="581"/>
      <c r="I21" s="585"/>
      <c r="J21" s="586" t="n">
        <f aca="false">(1-H21)*F21</f>
        <v>0</v>
      </c>
      <c r="K21" s="587"/>
      <c r="L21" s="581" t="e">
        <f aca="false">#REF!</f>
        <v>#REF!</v>
      </c>
      <c r="M21" s="581" t="e">
        <f aca="false">#REF!</f>
        <v>#REF!</v>
      </c>
      <c r="N21" s="581" t="e">
        <f aca="false">#REF!</f>
        <v>#REF!</v>
      </c>
      <c r="O21" s="209" t="e">
        <f aca="false">#REF!</f>
        <v>#REF!</v>
      </c>
      <c r="P21" s="588" t="e">
        <f aca="false">J21+N21+O21</f>
        <v>#REF!</v>
      </c>
      <c r="Q21" s="580"/>
      <c r="R21" s="580"/>
      <c r="S21" s="502"/>
    </row>
    <row r="22" customFormat="false" ht="12" hidden="true" customHeight="false" outlineLevel="0" collapsed="false">
      <c r="A22" s="145" t="e">
        <f aca="false">A21+1</f>
        <v>#VALUE!</v>
      </c>
      <c r="B22" s="581" t="n">
        <f aca="false">TableDE2!N22</f>
        <v>6.43291612672534</v>
      </c>
      <c r="C22" s="582" t="e">
        <f aca="false">#REF!</f>
        <v>#REF!</v>
      </c>
      <c r="D22" s="582" t="e">
        <f aca="false">#REF!</f>
        <v>#REF!</v>
      </c>
      <c r="E22" s="209" t="n">
        <f aca="false">AVERAGE(TableDE3d!E22:E31)</f>
        <v>0.269243436515222</v>
      </c>
      <c r="F22" s="583"/>
      <c r="G22" s="584"/>
      <c r="H22" s="581"/>
      <c r="I22" s="585"/>
      <c r="J22" s="586" t="n">
        <f aca="false">(1-H22)*F22</f>
        <v>0</v>
      </c>
      <c r="K22" s="587"/>
      <c r="L22" s="581" t="e">
        <f aca="false">#REF!</f>
        <v>#REF!</v>
      </c>
      <c r="M22" s="581" t="e">
        <f aca="false">#REF!</f>
        <v>#REF!</v>
      </c>
      <c r="N22" s="581" t="e">
        <f aca="false">#REF!</f>
        <v>#REF!</v>
      </c>
      <c r="O22" s="209" t="e">
        <f aca="false">#REF!</f>
        <v>#REF!</v>
      </c>
      <c r="P22" s="588" t="e">
        <f aca="false">J22+N22+O22</f>
        <v>#REF!</v>
      </c>
      <c r="Q22" s="580"/>
      <c r="R22" s="580"/>
      <c r="S22" s="502"/>
    </row>
    <row r="23" customFormat="false" ht="12" hidden="true" customHeight="false" outlineLevel="0" collapsed="false">
      <c r="A23" s="145" t="e">
        <f aca="false">A22+1</f>
        <v>#VALUE!</v>
      </c>
      <c r="B23" s="581" t="n">
        <f aca="false">TableDE2!N23</f>
        <v>6.38670987080346</v>
      </c>
      <c r="C23" s="582" t="e">
        <f aca="false">#REF!</f>
        <v>#REF!</v>
      </c>
      <c r="D23" s="582" t="e">
        <f aca="false">#REF!</f>
        <v>#REF!</v>
      </c>
      <c r="E23" s="209" t="n">
        <f aca="false">AVERAGE(TableDE3d!E23:E32)</f>
        <v>0.274343529845095</v>
      </c>
      <c r="F23" s="583"/>
      <c r="G23" s="584"/>
      <c r="H23" s="581"/>
      <c r="I23" s="585"/>
      <c r="J23" s="586" t="n">
        <f aca="false">(1-H23)*F23</f>
        <v>0</v>
      </c>
      <c r="K23" s="587"/>
      <c r="L23" s="581" t="e">
        <f aca="false">#REF!</f>
        <v>#REF!</v>
      </c>
      <c r="M23" s="581" t="e">
        <f aca="false">#REF!</f>
        <v>#REF!</v>
      </c>
      <c r="N23" s="581" t="e">
        <f aca="false">#REF!</f>
        <v>#REF!</v>
      </c>
      <c r="O23" s="209" t="e">
        <f aca="false">#REF!</f>
        <v>#REF!</v>
      </c>
      <c r="P23" s="588" t="e">
        <f aca="false">J23+N23+O23</f>
        <v>#REF!</v>
      </c>
      <c r="Q23" s="580"/>
      <c r="R23" s="580"/>
      <c r="S23" s="502"/>
    </row>
    <row r="24" customFormat="false" ht="12" hidden="true" customHeight="false" outlineLevel="0" collapsed="false">
      <c r="A24" s="145" t="e">
        <f aca="false">A23+1</f>
        <v>#VALUE!</v>
      </c>
      <c r="B24" s="581" t="n">
        <f aca="false">TableDE2!N24</f>
        <v>6.33750436083001</v>
      </c>
      <c r="C24" s="582" t="e">
        <f aca="false">#REF!</f>
        <v>#REF!</v>
      </c>
      <c r="D24" s="582" t="e">
        <f aca="false">#REF!</f>
        <v>#REF!</v>
      </c>
      <c r="E24" s="209" t="n">
        <f aca="false">AVERAGE(TableDE3d!E24:E33)</f>
        <v>0.277404348142907</v>
      </c>
      <c r="F24" s="583"/>
      <c r="G24" s="584"/>
      <c r="H24" s="581"/>
      <c r="I24" s="585"/>
      <c r="J24" s="586" t="n">
        <f aca="false">(1-H24)*F24</f>
        <v>0</v>
      </c>
      <c r="K24" s="587"/>
      <c r="L24" s="581" t="e">
        <f aca="false">#REF!</f>
        <v>#REF!</v>
      </c>
      <c r="M24" s="581" t="e">
        <f aca="false">#REF!</f>
        <v>#REF!</v>
      </c>
      <c r="N24" s="581" t="e">
        <f aca="false">#REF!</f>
        <v>#REF!</v>
      </c>
      <c r="O24" s="209" t="e">
        <f aca="false">#REF!</f>
        <v>#REF!</v>
      </c>
      <c r="P24" s="588" t="e">
        <f aca="false">J24+N24+O24</f>
        <v>#REF!</v>
      </c>
      <c r="Q24" s="580"/>
      <c r="R24" s="580"/>
      <c r="S24" s="502"/>
    </row>
    <row r="25" customFormat="false" ht="12" hidden="true" customHeight="false" outlineLevel="0" collapsed="false">
      <c r="A25" s="145" t="e">
        <f aca="false">A24+1</f>
        <v>#VALUE!</v>
      </c>
      <c r="B25" s="581" t="n">
        <f aca="false">TableDE2!N25</f>
        <v>6.30915876959165</v>
      </c>
      <c r="C25" s="582" t="e">
        <f aca="false">#REF!</f>
        <v>#REF!</v>
      </c>
      <c r="D25" s="582" t="e">
        <f aca="false">#REF!</f>
        <v>#REF!</v>
      </c>
      <c r="E25" s="209" t="n">
        <f aca="false">AVERAGE(TableDE3d!E25:E34)</f>
        <v>0.279139700633999</v>
      </c>
      <c r="F25" s="583"/>
      <c r="G25" s="584"/>
      <c r="H25" s="581"/>
      <c r="I25" s="585"/>
      <c r="J25" s="586" t="n">
        <f aca="false">(1-H25)*F25</f>
        <v>0</v>
      </c>
      <c r="K25" s="587"/>
      <c r="L25" s="581" t="e">
        <f aca="false">#REF!</f>
        <v>#REF!</v>
      </c>
      <c r="M25" s="581" t="e">
        <f aca="false">#REF!</f>
        <v>#REF!</v>
      </c>
      <c r="N25" s="581" t="e">
        <f aca="false">#REF!</f>
        <v>#REF!</v>
      </c>
      <c r="O25" s="209" t="e">
        <f aca="false">#REF!</f>
        <v>#REF!</v>
      </c>
      <c r="P25" s="588" t="e">
        <f aca="false">J25+N25+O25</f>
        <v>#REF!</v>
      </c>
      <c r="Q25" s="580"/>
      <c r="R25" s="580"/>
      <c r="S25" s="502"/>
    </row>
    <row r="26" customFormat="false" ht="12" hidden="true" customHeight="false" outlineLevel="0" collapsed="false">
      <c r="A26" s="145" t="e">
        <f aca="false">A25+1</f>
        <v>#VALUE!</v>
      </c>
      <c r="B26" s="581" t="n">
        <f aca="false">TableDE2!N26</f>
        <v>6.25269957833493</v>
      </c>
      <c r="C26" s="582" t="e">
        <f aca="false">#REF!</f>
        <v>#REF!</v>
      </c>
      <c r="D26" s="582" t="e">
        <f aca="false">#REF!</f>
        <v>#REF!</v>
      </c>
      <c r="E26" s="209" t="n">
        <f aca="false">AVERAGE(TableDE3d!E26:E35)</f>
        <v>0.281143931756312</v>
      </c>
      <c r="F26" s="583"/>
      <c r="G26" s="584"/>
      <c r="H26" s="581"/>
      <c r="I26" s="585"/>
      <c r="J26" s="586" t="n">
        <f aca="false">(1-H26)*F26</f>
        <v>0</v>
      </c>
      <c r="K26" s="587"/>
      <c r="L26" s="581" t="e">
        <f aca="false">#REF!</f>
        <v>#REF!</v>
      </c>
      <c r="M26" s="581" t="e">
        <f aca="false">#REF!</f>
        <v>#REF!</v>
      </c>
      <c r="N26" s="581" t="e">
        <f aca="false">#REF!</f>
        <v>#REF!</v>
      </c>
      <c r="O26" s="209" t="e">
        <f aca="false">#REF!</f>
        <v>#REF!</v>
      </c>
      <c r="P26" s="588" t="e">
        <f aca="false">J26+N26+O26</f>
        <v>#REF!</v>
      </c>
      <c r="Q26" s="580"/>
      <c r="R26" s="580"/>
      <c r="S26" s="502"/>
    </row>
    <row r="27" customFormat="false" ht="12" hidden="true" customHeight="false" outlineLevel="0" collapsed="false">
      <c r="A27" s="145" t="e">
        <f aca="false">A26+1</f>
        <v>#VALUE!</v>
      </c>
      <c r="B27" s="581" t="n">
        <f aca="false">TableDE2!N27</f>
        <v>6.1671226720931</v>
      </c>
      <c r="C27" s="582" t="e">
        <f aca="false">#REF!</f>
        <v>#REF!</v>
      </c>
      <c r="D27" s="582" t="e">
        <f aca="false">#REF!</f>
        <v>#REF!</v>
      </c>
      <c r="E27" s="209" t="n">
        <f aca="false">AVERAGE(TableDE3d!E27:E36)</f>
        <v>0.284362288336779</v>
      </c>
      <c r="F27" s="583"/>
      <c r="G27" s="584"/>
      <c r="H27" s="581"/>
      <c r="I27" s="585"/>
      <c r="J27" s="586" t="n">
        <f aca="false">(1-H27)*F27</f>
        <v>0</v>
      </c>
      <c r="K27" s="587"/>
      <c r="L27" s="581" t="e">
        <f aca="false">#REF!</f>
        <v>#REF!</v>
      </c>
      <c r="M27" s="581" t="e">
        <f aca="false">#REF!</f>
        <v>#REF!</v>
      </c>
      <c r="N27" s="581" t="e">
        <f aca="false">#REF!</f>
        <v>#REF!</v>
      </c>
      <c r="O27" s="209" t="e">
        <f aca="false">#REF!</f>
        <v>#REF!</v>
      </c>
      <c r="P27" s="588" t="e">
        <f aca="false">J27+N27+O27</f>
        <v>#REF!</v>
      </c>
      <c r="Q27" s="580"/>
      <c r="R27" s="580"/>
      <c r="S27" s="502"/>
    </row>
    <row r="28" customFormat="false" ht="12" hidden="true" customHeight="false" outlineLevel="0" collapsed="false">
      <c r="A28" s="145" t="e">
        <f aca="false">A27+1</f>
        <v>#VALUE!</v>
      </c>
      <c r="B28" s="581" t="n">
        <f aca="false">TableDE2!N28</f>
        <v>6.0658990756142</v>
      </c>
      <c r="C28" s="582" t="e">
        <f aca="false">#REF!</f>
        <v>#REF!</v>
      </c>
      <c r="D28" s="582" t="e">
        <f aca="false">#REF!</f>
        <v>#REF!</v>
      </c>
      <c r="E28" s="209" t="n">
        <f aca="false">AVERAGE(TableDE3d!E28:E37)</f>
        <v>0.288065655173729</v>
      </c>
      <c r="F28" s="583"/>
      <c r="G28" s="584"/>
      <c r="H28" s="581"/>
      <c r="I28" s="585"/>
      <c r="J28" s="586" t="n">
        <f aca="false">(1-H28)*F28</f>
        <v>0</v>
      </c>
      <c r="K28" s="587"/>
      <c r="L28" s="581" t="e">
        <f aca="false">#REF!</f>
        <v>#REF!</v>
      </c>
      <c r="M28" s="581" t="e">
        <f aca="false">#REF!</f>
        <v>#REF!</v>
      </c>
      <c r="N28" s="581" t="e">
        <f aca="false">#REF!</f>
        <v>#REF!</v>
      </c>
      <c r="O28" s="209" t="e">
        <f aca="false">#REF!</f>
        <v>#REF!</v>
      </c>
      <c r="P28" s="588" t="e">
        <f aca="false">J28+N28+O28</f>
        <v>#REF!</v>
      </c>
      <c r="Q28" s="580"/>
      <c r="R28" s="580"/>
      <c r="S28" s="502"/>
    </row>
    <row r="29" customFormat="false" ht="12" hidden="true" customHeight="false" outlineLevel="0" collapsed="false">
      <c r="A29" s="145" t="e">
        <f aca="false">A28+1</f>
        <v>#VALUE!</v>
      </c>
      <c r="B29" s="581" t="n">
        <f aca="false">TableDE2!N29</f>
        <v>5.97342881818344</v>
      </c>
      <c r="C29" s="582" t="e">
        <f aca="false">#REF!</f>
        <v>#REF!</v>
      </c>
      <c r="D29" s="582" t="e">
        <f aca="false">#REF!</f>
        <v>#REF!</v>
      </c>
      <c r="E29" s="209" t="n">
        <f aca="false">AVERAGE(TableDE3d!E29:E38)</f>
        <v>0.292557136590233</v>
      </c>
      <c r="F29" s="583"/>
      <c r="G29" s="584"/>
      <c r="H29" s="581"/>
      <c r="I29" s="585"/>
      <c r="J29" s="586" t="n">
        <f aca="false">(1-H29)*F29</f>
        <v>0</v>
      </c>
      <c r="K29" s="587"/>
      <c r="L29" s="581" t="e">
        <f aca="false">#REF!</f>
        <v>#REF!</v>
      </c>
      <c r="M29" s="581" t="e">
        <f aca="false">#REF!</f>
        <v>#REF!</v>
      </c>
      <c r="N29" s="581" t="e">
        <f aca="false">#REF!</f>
        <v>#REF!</v>
      </c>
      <c r="O29" s="209" t="e">
        <f aca="false">#REF!</f>
        <v>#REF!</v>
      </c>
      <c r="P29" s="588" t="e">
        <f aca="false">J29+N29+O29</f>
        <v>#REF!</v>
      </c>
      <c r="Q29" s="580"/>
      <c r="R29" s="580"/>
      <c r="S29" s="502"/>
    </row>
    <row r="30" customFormat="false" ht="12" hidden="false" customHeight="false" outlineLevel="0" collapsed="false">
      <c r="A30" s="145" t="s">
        <v>162</v>
      </c>
      <c r="B30" s="570" t="n">
        <f aca="false">TableDE2!N30</f>
        <v>5.92305132537533</v>
      </c>
      <c r="C30" s="518" t="n">
        <f aca="false">AVERAGE(TableDE3d!C30:C39)</f>
        <v>0.273862637748861</v>
      </c>
      <c r="D30" s="518" t="n">
        <f aca="false">AVERAGE(TableDE3d!D30:D39)</f>
        <v>0.726137362251139</v>
      </c>
      <c r="E30" s="571" t="n">
        <f aca="false">AVERAGE(TableDE3d!E30:E39)</f>
        <v>0.295881834868171</v>
      </c>
      <c r="F30" s="572" t="n">
        <f aca="false">AVERAGE(TableDE3d!F30:F39)</f>
        <v>0.0501059965156085</v>
      </c>
      <c r="G30" s="573" t="n">
        <f aca="false">AVERAGE(TableDE3d!G30:G39)</f>
        <v>0.0700890431882675</v>
      </c>
      <c r="H30" s="570" t="n">
        <f aca="false">AVERAGE(TableDE3d!H30:H39)</f>
        <v>0.0700890431882675</v>
      </c>
      <c r="I30" s="574" t="n">
        <f aca="false">AVERAGE(TableDE3d!L30:L39)</f>
        <v>0.275161485304211</v>
      </c>
      <c r="J30" s="575" t="n">
        <f aca="false">AVERAGE(TableDE3d!M30:M39)</f>
        <v>0.0465987961405584</v>
      </c>
      <c r="K30" s="576"/>
      <c r="L30" s="521" t="n">
        <f aca="false">AVERAGE(TableDE3d!O30:O39)</f>
        <v>0.145204603602085</v>
      </c>
      <c r="M30" s="521" t="n">
        <f aca="false">AVERAGE(TableDE3d!O30:O39)+AVERAGE(TableDE3d!P30:P39)</f>
        <v>0.145204603602085</v>
      </c>
      <c r="N30" s="577" t="n">
        <f aca="false">PRODUCT(TableDE5a!AB31:AB40)^(1/10)-1</f>
        <v>0.00125948214883964</v>
      </c>
      <c r="O30" s="578" t="n">
        <f aca="false">PRODUCT(TableDE5a!AC31:AC40)^(1/10)-1</f>
        <v>0</v>
      </c>
      <c r="P30" s="579" t="n">
        <f aca="false">J30+N30+O30</f>
        <v>0.0478582782893981</v>
      </c>
      <c r="Q30" s="580"/>
      <c r="R30" s="580"/>
      <c r="S30" s="502" t="n">
        <f aca="false">C30+D30-1</f>
        <v>0</v>
      </c>
    </row>
    <row r="31" customFormat="false" ht="12" hidden="true" customHeight="false" outlineLevel="0" collapsed="false">
      <c r="A31" s="145" t="e">
        <f aca="false">A30+1</f>
        <v>#VALUE!</v>
      </c>
      <c r="B31" s="581" t="n">
        <f aca="false">TableDE2!N31</f>
        <v>5.91509837933618</v>
      </c>
      <c r="C31" s="582" t="e">
        <f aca="false">#REF!</f>
        <v>#REF!</v>
      </c>
      <c r="D31" s="582" t="e">
        <f aca="false">#REF!</f>
        <v>#REF!</v>
      </c>
      <c r="E31" s="209" t="n">
        <f aca="false">AVERAGE(TableDE3d!E31:E40)</f>
        <v>0.296782843066033</v>
      </c>
      <c r="F31" s="583" t="n">
        <f aca="false">E31/B31</f>
        <v>0.0501737797130839</v>
      </c>
      <c r="G31" s="584" t="n">
        <v>0.08</v>
      </c>
      <c r="H31" s="581" t="n">
        <v>0.08</v>
      </c>
      <c r="I31" s="574" t="n">
        <f aca="false">(1-H31)*E31</f>
        <v>0.27304021562075</v>
      </c>
      <c r="J31" s="586" t="n">
        <f aca="false">(1-H31)*F31</f>
        <v>0.0461598773360372</v>
      </c>
      <c r="K31" s="227"/>
      <c r="L31" s="581" t="e">
        <f aca="false">#REF!</f>
        <v>#REF!</v>
      </c>
      <c r="M31" s="581" t="e">
        <f aca="false">#REF!</f>
        <v>#REF!</v>
      </c>
      <c r="N31" s="581" t="e">
        <f aca="false">#REF!</f>
        <v>#REF!</v>
      </c>
      <c r="O31" s="209" t="e">
        <f aca="false">#REF!</f>
        <v>#REF!</v>
      </c>
      <c r="P31" s="588" t="e">
        <f aca="false">J31+N31+O31</f>
        <v>#REF!</v>
      </c>
      <c r="Q31" s="580"/>
      <c r="R31" s="580"/>
      <c r="S31" s="502"/>
    </row>
    <row r="32" customFormat="false" ht="12" hidden="true" customHeight="false" outlineLevel="0" collapsed="false">
      <c r="A32" s="145" t="e">
        <f aca="false">A31+1</f>
        <v>#VALUE!</v>
      </c>
      <c r="B32" s="581" t="n">
        <f aca="false">TableDE2!N32</f>
        <v>5.90777938930059</v>
      </c>
      <c r="C32" s="582" t="e">
        <f aca="false">#REF!</f>
        <v>#REF!</v>
      </c>
      <c r="D32" s="582" t="e">
        <f aca="false">#REF!</f>
        <v>#REF!</v>
      </c>
      <c r="E32" s="209" t="n">
        <f aca="false">AVERAGE(TableDE3d!E32:E41)</f>
        <v>0.298245888968771</v>
      </c>
      <c r="F32" s="583" t="n">
        <f aca="false">E32/B32</f>
        <v>0.0504835860169247</v>
      </c>
      <c r="G32" s="584" t="n">
        <v>0.08</v>
      </c>
      <c r="H32" s="581" t="n">
        <v>0.08</v>
      </c>
      <c r="I32" s="574" t="n">
        <f aca="false">(1-H32)*E32</f>
        <v>0.274386217851269</v>
      </c>
      <c r="J32" s="586" t="n">
        <f aca="false">(1-H32)*F32</f>
        <v>0.0464448991355707</v>
      </c>
      <c r="K32" s="227"/>
      <c r="L32" s="581" t="e">
        <f aca="false">#REF!</f>
        <v>#REF!</v>
      </c>
      <c r="M32" s="581" t="e">
        <f aca="false">#REF!</f>
        <v>#REF!</v>
      </c>
      <c r="N32" s="581" t="e">
        <f aca="false">#REF!</f>
        <v>#REF!</v>
      </c>
      <c r="O32" s="209" t="e">
        <f aca="false">#REF!</f>
        <v>#REF!</v>
      </c>
      <c r="P32" s="588" t="e">
        <f aca="false">J32+N32+O32</f>
        <v>#REF!</v>
      </c>
      <c r="Q32" s="580"/>
      <c r="R32" s="580"/>
      <c r="S32" s="502"/>
    </row>
    <row r="33" customFormat="false" ht="12" hidden="true" customHeight="false" outlineLevel="0" collapsed="false">
      <c r="A33" s="145" t="e">
        <f aca="false">A32+1</f>
        <v>#VALUE!</v>
      </c>
      <c r="B33" s="581" t="n">
        <f aca="false">TableDE2!N33</f>
        <v>5.93848740294382</v>
      </c>
      <c r="C33" s="582" t="e">
        <f aca="false">#REF!</f>
        <v>#REF!</v>
      </c>
      <c r="D33" s="582" t="e">
        <f aca="false">#REF!</f>
        <v>#REF!</v>
      </c>
      <c r="E33" s="209" t="n">
        <f aca="false">AVERAGE(TableDE3d!E33:E42)</f>
        <v>0.299105086715638</v>
      </c>
      <c r="F33" s="583" t="n">
        <f aca="false">E33/B33</f>
        <v>0.0503672175118812</v>
      </c>
      <c r="G33" s="584" t="n">
        <v>0.08</v>
      </c>
      <c r="H33" s="581" t="n">
        <v>0.08</v>
      </c>
      <c r="I33" s="574" t="n">
        <f aca="false">(1-H33)*E33</f>
        <v>0.275176679778387</v>
      </c>
      <c r="J33" s="586" t="n">
        <f aca="false">(1-H33)*F33</f>
        <v>0.0463378401109307</v>
      </c>
      <c r="K33" s="227"/>
      <c r="L33" s="581" t="e">
        <f aca="false">#REF!</f>
        <v>#REF!</v>
      </c>
      <c r="M33" s="581" t="e">
        <f aca="false">#REF!</f>
        <v>#REF!</v>
      </c>
      <c r="N33" s="581" t="e">
        <f aca="false">#REF!</f>
        <v>#REF!</v>
      </c>
      <c r="O33" s="209" t="e">
        <f aca="false">#REF!</f>
        <v>#REF!</v>
      </c>
      <c r="P33" s="588" t="e">
        <f aca="false">J33+N33+O33</f>
        <v>#REF!</v>
      </c>
      <c r="Q33" s="580"/>
      <c r="R33" s="580"/>
      <c r="S33" s="502"/>
    </row>
    <row r="34" customFormat="false" ht="12" hidden="true" customHeight="false" outlineLevel="0" collapsed="false">
      <c r="A34" s="145" t="e">
        <f aca="false">A33+1</f>
        <v>#VALUE!</v>
      </c>
      <c r="B34" s="581" t="n">
        <f aca="false">TableDE2!N34</f>
        <v>5.95068440097207</v>
      </c>
      <c r="C34" s="582" t="e">
        <f aca="false">#REF!</f>
        <v>#REF!</v>
      </c>
      <c r="D34" s="582" t="e">
        <f aca="false">#REF!</f>
        <v>#REF!</v>
      </c>
      <c r="E34" s="209" t="n">
        <f aca="false">AVERAGE(TableDE3d!E34:E43)</f>
        <v>0.300453378923554</v>
      </c>
      <c r="F34" s="583" t="n">
        <f aca="false">E34/B34</f>
        <v>0.0504905585102907</v>
      </c>
      <c r="G34" s="584" t="n">
        <v>0.08</v>
      </c>
      <c r="H34" s="581" t="n">
        <v>0.08</v>
      </c>
      <c r="I34" s="574" t="n">
        <f aca="false">(1-H34)*E34</f>
        <v>0.27641710860967</v>
      </c>
      <c r="J34" s="586" t="n">
        <f aca="false">(1-H34)*F34</f>
        <v>0.0464513138294674</v>
      </c>
      <c r="K34" s="227"/>
      <c r="L34" s="581" t="e">
        <f aca="false">#REF!</f>
        <v>#REF!</v>
      </c>
      <c r="M34" s="581" t="e">
        <f aca="false">#REF!</f>
        <v>#REF!</v>
      </c>
      <c r="N34" s="581" t="e">
        <f aca="false">#REF!</f>
        <v>#REF!</v>
      </c>
      <c r="O34" s="209" t="e">
        <f aca="false">#REF!</f>
        <v>#REF!</v>
      </c>
      <c r="P34" s="588" t="e">
        <f aca="false">J34+N34+O34</f>
        <v>#REF!</v>
      </c>
      <c r="Q34" s="580"/>
      <c r="R34" s="580"/>
      <c r="S34" s="502"/>
    </row>
    <row r="35" customFormat="false" ht="12" hidden="true" customHeight="false" outlineLevel="0" collapsed="false">
      <c r="A35" s="145" t="e">
        <f aca="false">A34+1</f>
        <v>#VALUE!</v>
      </c>
      <c r="B35" s="581" t="n">
        <f aca="false">TableDE2!N35</f>
        <v>5.94977773564901</v>
      </c>
      <c r="C35" s="582" t="e">
        <f aca="false">#REF!</f>
        <v>#REF!</v>
      </c>
      <c r="D35" s="582" t="e">
        <f aca="false">#REF!</f>
        <v>#REF!</v>
      </c>
      <c r="E35" s="209" t="n">
        <f aca="false">AVERAGE(TableDE3d!E35:E44)</f>
        <v>0.303023515807974</v>
      </c>
      <c r="F35" s="583" t="n">
        <f aca="false">E35/B35</f>
        <v>0.0509302245010536</v>
      </c>
      <c r="G35" s="584" t="n">
        <v>0.08</v>
      </c>
      <c r="H35" s="581" t="n">
        <v>0.08</v>
      </c>
      <c r="I35" s="574" t="n">
        <f aca="false">(1-H35)*E35</f>
        <v>0.278781634543336</v>
      </c>
      <c r="J35" s="586" t="n">
        <f aca="false">(1-H35)*F35</f>
        <v>0.0468558065409693</v>
      </c>
      <c r="K35" s="227"/>
      <c r="L35" s="581" t="e">
        <f aca="false">#REF!</f>
        <v>#REF!</v>
      </c>
      <c r="M35" s="581" t="e">
        <f aca="false">#REF!</f>
        <v>#REF!</v>
      </c>
      <c r="N35" s="581" t="e">
        <f aca="false">#REF!</f>
        <v>#REF!</v>
      </c>
      <c r="O35" s="209" t="e">
        <f aca="false">#REF!</f>
        <v>#REF!</v>
      </c>
      <c r="P35" s="588" t="e">
        <f aca="false">J35+N35+O35</f>
        <v>#REF!</v>
      </c>
      <c r="Q35" s="580"/>
      <c r="R35" s="580"/>
      <c r="S35" s="502"/>
    </row>
    <row r="36" customFormat="false" ht="12" hidden="true" customHeight="false" outlineLevel="0" collapsed="false">
      <c r="A36" s="145" t="e">
        <f aca="false">A35+1</f>
        <v>#VALUE!</v>
      </c>
      <c r="B36" s="581" t="n">
        <f aca="false">TableDE2!N36</f>
        <v>5.95338518597375</v>
      </c>
      <c r="C36" s="582" t="e">
        <f aca="false">#REF!</f>
        <v>#REF!</v>
      </c>
      <c r="D36" s="582" t="e">
        <f aca="false">#REF!</f>
        <v>#REF!</v>
      </c>
      <c r="E36" s="209" t="n">
        <f aca="false">AVERAGE(TableDE3d!E36:E45)</f>
        <v>0.307512349659917</v>
      </c>
      <c r="F36" s="583" t="n">
        <f aca="false">E36/B36</f>
        <v>0.0516533602402243</v>
      </c>
      <c r="G36" s="584" t="n">
        <v>0.08</v>
      </c>
      <c r="H36" s="581" t="n">
        <v>0.08</v>
      </c>
      <c r="I36" s="574" t="n">
        <f aca="false">(1-H36)*E36</f>
        <v>0.282911361687124</v>
      </c>
      <c r="J36" s="586" t="n">
        <f aca="false">(1-H36)*F36</f>
        <v>0.0475210914210063</v>
      </c>
      <c r="K36" s="227"/>
      <c r="L36" s="581" t="e">
        <f aca="false">#REF!</f>
        <v>#REF!</v>
      </c>
      <c r="M36" s="581" t="e">
        <f aca="false">#REF!</f>
        <v>#REF!</v>
      </c>
      <c r="N36" s="581" t="e">
        <f aca="false">#REF!</f>
        <v>#REF!</v>
      </c>
      <c r="O36" s="209" t="e">
        <f aca="false">#REF!</f>
        <v>#REF!</v>
      </c>
      <c r="P36" s="588" t="e">
        <f aca="false">J36+N36+O36</f>
        <v>#REF!</v>
      </c>
      <c r="Q36" s="580"/>
      <c r="R36" s="580"/>
      <c r="S36" s="502"/>
    </row>
    <row r="37" customFormat="false" ht="12" hidden="true" customHeight="false" outlineLevel="0" collapsed="false">
      <c r="A37" s="145" t="e">
        <f aca="false">A36+1</f>
        <v>#VALUE!</v>
      </c>
      <c r="B37" s="581" t="n">
        <f aca="false">TableDE2!N37</f>
        <v>5.98788234781746</v>
      </c>
      <c r="C37" s="582" t="e">
        <f aca="false">#REF!</f>
        <v>#REF!</v>
      </c>
      <c r="D37" s="582" t="e">
        <f aca="false">#REF!</f>
        <v>#REF!</v>
      </c>
      <c r="E37" s="209" t="n">
        <f aca="false">AVERAGE(TableDE3d!E37:E46)</f>
        <v>0.311599812839207</v>
      </c>
      <c r="F37" s="583" t="n">
        <f aca="false">E37/B37</f>
        <v>0.0520383993437652</v>
      </c>
      <c r="G37" s="584" t="n">
        <v>0.08</v>
      </c>
      <c r="H37" s="581" t="n">
        <v>0.08</v>
      </c>
      <c r="I37" s="574" t="n">
        <f aca="false">(1-H37)*E37</f>
        <v>0.286671827812071</v>
      </c>
      <c r="J37" s="586" t="n">
        <f aca="false">(1-H37)*F37</f>
        <v>0.047875327396264</v>
      </c>
      <c r="K37" s="227"/>
      <c r="L37" s="581" t="e">
        <f aca="false">#REF!</f>
        <v>#REF!</v>
      </c>
      <c r="M37" s="581" t="e">
        <f aca="false">#REF!</f>
        <v>#REF!</v>
      </c>
      <c r="N37" s="581" t="e">
        <f aca="false">#REF!</f>
        <v>#REF!</v>
      </c>
      <c r="O37" s="209" t="e">
        <f aca="false">#REF!</f>
        <v>#REF!</v>
      </c>
      <c r="P37" s="588" t="e">
        <f aca="false">J37+N37+O37</f>
        <v>#REF!</v>
      </c>
      <c r="Q37" s="580"/>
      <c r="R37" s="580"/>
      <c r="S37" s="502"/>
    </row>
    <row r="38" customFormat="false" ht="12" hidden="true" customHeight="false" outlineLevel="0" collapsed="false">
      <c r="A38" s="145" t="e">
        <f aca="false">A37+1</f>
        <v>#VALUE!</v>
      </c>
      <c r="B38" s="581" t="n">
        <f aca="false">TableDE2!N38</f>
        <v>6.02324617233785</v>
      </c>
      <c r="C38" s="582" t="e">
        <f aca="false">#REF!</f>
        <v>#REF!</v>
      </c>
      <c r="D38" s="582" t="e">
        <f aca="false">#REF!</f>
        <v>#REF!</v>
      </c>
      <c r="E38" s="209" t="n">
        <f aca="false">AVERAGE(TableDE3d!E38:E47)</f>
        <v>0.313296007216112</v>
      </c>
      <c r="F38" s="583" t="n">
        <f aca="false">E38/B38</f>
        <v>0.0520144782816522</v>
      </c>
      <c r="G38" s="584" t="n">
        <v>0.08</v>
      </c>
      <c r="H38" s="581" t="n">
        <v>0.08</v>
      </c>
      <c r="I38" s="574" t="n">
        <f aca="false">(1-H38)*E38</f>
        <v>0.288232326638823</v>
      </c>
      <c r="J38" s="586" t="n">
        <f aca="false">(1-H38)*F38</f>
        <v>0.0478533200191201</v>
      </c>
      <c r="K38" s="227"/>
      <c r="L38" s="581" t="e">
        <f aca="false">#REF!</f>
        <v>#REF!</v>
      </c>
      <c r="M38" s="581" t="e">
        <f aca="false">#REF!</f>
        <v>#REF!</v>
      </c>
      <c r="N38" s="581" t="e">
        <f aca="false">#REF!</f>
        <v>#REF!</v>
      </c>
      <c r="O38" s="209" t="e">
        <f aca="false">#REF!</f>
        <v>#REF!</v>
      </c>
      <c r="P38" s="588" t="e">
        <f aca="false">J38+N38+O38</f>
        <v>#REF!</v>
      </c>
      <c r="Q38" s="580"/>
      <c r="R38" s="580"/>
      <c r="S38" s="502"/>
    </row>
    <row r="39" customFormat="false" ht="12" hidden="true" customHeight="false" outlineLevel="0" collapsed="false">
      <c r="A39" s="145" t="e">
        <f aca="false">A38+1</f>
        <v>#VALUE!</v>
      </c>
      <c r="B39" s="581" t="n">
        <f aca="false">TableDE2!N39</f>
        <v>6.09303334954454</v>
      </c>
      <c r="C39" s="582" t="e">
        <f aca="false">#REF!</f>
        <v>#REF!</v>
      </c>
      <c r="D39" s="582" t="e">
        <f aca="false">#REF!</f>
        <v>#REF!</v>
      </c>
      <c r="E39" s="209" t="n">
        <f aca="false">AVERAGE(TableDE3d!E39:E48)</f>
        <v>0.312996525766169</v>
      </c>
      <c r="F39" s="583" t="n">
        <f aca="false">E39/B39</f>
        <v>0.0513695737098774</v>
      </c>
      <c r="G39" s="584" t="n">
        <v>0.08</v>
      </c>
      <c r="H39" s="581" t="n">
        <v>0.08</v>
      </c>
      <c r="I39" s="574" t="n">
        <f aca="false">(1-H39)*E39</f>
        <v>0.287956803704876</v>
      </c>
      <c r="J39" s="586" t="n">
        <f aca="false">(1-H39)*F39</f>
        <v>0.0472600078130872</v>
      </c>
      <c r="K39" s="227"/>
      <c r="L39" s="581" t="e">
        <f aca="false">#REF!</f>
        <v>#REF!</v>
      </c>
      <c r="M39" s="581" t="e">
        <f aca="false">#REF!</f>
        <v>#REF!</v>
      </c>
      <c r="N39" s="581" t="e">
        <f aca="false">#REF!</f>
        <v>#REF!</v>
      </c>
      <c r="O39" s="209" t="e">
        <f aca="false">#REF!</f>
        <v>#REF!</v>
      </c>
      <c r="P39" s="588" t="e">
        <f aca="false">J39+N39+O39</f>
        <v>#REF!</v>
      </c>
      <c r="Q39" s="580"/>
      <c r="R39" s="580"/>
      <c r="S39" s="502"/>
    </row>
    <row r="40" customFormat="false" ht="12" hidden="false" customHeight="false" outlineLevel="0" collapsed="false">
      <c r="A40" s="145" t="s">
        <v>163</v>
      </c>
      <c r="B40" s="570" t="n">
        <f aca="false">TableDE2!N40</f>
        <v>6.11238551757944</v>
      </c>
      <c r="C40" s="518" t="n">
        <f aca="false">AVERAGE(TableDE3d!C40:C49)</f>
        <v>0.292260536661145</v>
      </c>
      <c r="D40" s="518" t="n">
        <f aca="false">AVERAGE(TableDE3d!D40:D49)</f>
        <v>0.707739463338855</v>
      </c>
      <c r="E40" s="571" t="n">
        <f aca="false">AVERAGE(TableDE3d!E40:E49)</f>
        <v>0.313383889705683</v>
      </c>
      <c r="F40" s="572" t="n">
        <f aca="false">AVERAGE(TableDE3d!F40:F49)</f>
        <v>0.0513472433445683</v>
      </c>
      <c r="G40" s="587" t="n">
        <f aca="false">AVERAGE(TableDE3d!G40:G49)</f>
        <v>0.0743838166784564</v>
      </c>
      <c r="H40" s="570" t="n">
        <f aca="false">AVERAGE(TableDE3d!H40:H49)</f>
        <v>0.0743838166784564</v>
      </c>
      <c r="I40" s="574" t="n">
        <f aca="false">AVERAGE(TableDE3d!L40:L49)</f>
        <v>0.290076281884325</v>
      </c>
      <c r="J40" s="589" t="n">
        <f aca="false">AVERAGE(TableDE3d!M40:M49)</f>
        <v>0.0475299728554475</v>
      </c>
      <c r="K40" s="576"/>
      <c r="L40" s="521" t="n">
        <f aca="false">AVERAGE(TableDE3d!O40:O49)</f>
        <v>0.160422100006839</v>
      </c>
      <c r="M40" s="521" t="n">
        <f aca="false">AVERAGE(TableDE3d!O40:O49)+AVERAGE(TableDE3d!P40:P49)</f>
        <v>0.160422100006839</v>
      </c>
      <c r="N40" s="577" t="n">
        <f aca="false">PRODUCT(TableDE5a!AB41:AB50)^(1/10)-1</f>
        <v>-0.00436364498396236</v>
      </c>
      <c r="O40" s="578" t="n">
        <f aca="false">PRODUCT(TableDE5a!AC41:AC50)^(1/10)-1</f>
        <v>0</v>
      </c>
      <c r="P40" s="579" t="n">
        <f aca="false">J40+N40+O40</f>
        <v>0.0431663278714851</v>
      </c>
      <c r="Q40" s="580"/>
      <c r="R40" s="580"/>
      <c r="S40" s="502" t="n">
        <f aca="false">C40+D40-1</f>
        <v>0</v>
      </c>
    </row>
    <row r="41" customFormat="false" ht="12" hidden="true" customHeight="false" outlineLevel="0" collapsed="false">
      <c r="A41" s="145" t="e">
        <f aca="false">A40+1</f>
        <v>#VALUE!</v>
      </c>
      <c r="B41" s="570" t="n">
        <f aca="false">TableDE2!N41</f>
        <v>6.10615847709806</v>
      </c>
      <c r="C41" s="582" t="e">
        <f aca="false">#REF!</f>
        <v>#REF!</v>
      </c>
      <c r="D41" s="582" t="e">
        <f aca="false">#REF!</f>
        <v>#REF!</v>
      </c>
      <c r="E41" s="209" t="e">
        <f aca="false">#REF!</f>
        <v>#REF!</v>
      </c>
      <c r="F41" s="583" t="e">
        <f aca="false">E41/B41</f>
        <v>#REF!</v>
      </c>
      <c r="G41" s="587" t="n">
        <v>0.08</v>
      </c>
      <c r="H41" s="570" t="n">
        <v>0.08</v>
      </c>
      <c r="I41" s="574" t="e">
        <f aca="false">(1-H41)*E41</f>
        <v>#REF!</v>
      </c>
      <c r="J41" s="590" t="e">
        <f aca="false">(1-H41)*F41</f>
        <v>#REF!</v>
      </c>
      <c r="K41" s="227"/>
      <c r="L41" s="581" t="e">
        <f aca="false">#REF!</f>
        <v>#REF!</v>
      </c>
      <c r="M41" s="581" t="e">
        <f aca="false">#REF!</f>
        <v>#REF!</v>
      </c>
      <c r="N41" s="591" t="e">
        <f aca="false">#REF!</f>
        <v>#REF!</v>
      </c>
      <c r="O41" s="209" t="e">
        <f aca="false">#REF!</f>
        <v>#REF!</v>
      </c>
      <c r="P41" s="579" t="e">
        <f aca="false">J41+N41+O41</f>
        <v>#REF!</v>
      </c>
      <c r="Q41" s="580"/>
      <c r="R41" s="580"/>
      <c r="S41" s="502"/>
    </row>
    <row r="42" customFormat="false" ht="12" hidden="true" customHeight="false" outlineLevel="0" collapsed="false">
      <c r="A42" s="145" t="e">
        <f aca="false">A41+1</f>
        <v>#VALUE!</v>
      </c>
      <c r="B42" s="570" t="n">
        <f aca="false">TableDE2!N42</f>
        <v>6.06336992322592</v>
      </c>
      <c r="C42" s="582" t="e">
        <f aca="false">#REF!</f>
        <v>#REF!</v>
      </c>
      <c r="D42" s="582" t="e">
        <f aca="false">#REF!</f>
        <v>#REF!</v>
      </c>
      <c r="E42" s="209" t="e">
        <f aca="false">#REF!</f>
        <v>#REF!</v>
      </c>
      <c r="F42" s="583" t="e">
        <f aca="false">E42/B42</f>
        <v>#REF!</v>
      </c>
      <c r="G42" s="587" t="n">
        <v>0.08</v>
      </c>
      <c r="H42" s="570" t="n">
        <v>0.08</v>
      </c>
      <c r="I42" s="574" t="e">
        <f aca="false">(1-H42)*E42</f>
        <v>#REF!</v>
      </c>
      <c r="J42" s="590" t="e">
        <f aca="false">(1-H42)*F42</f>
        <v>#REF!</v>
      </c>
      <c r="K42" s="227"/>
      <c r="L42" s="581" t="e">
        <f aca="false">#REF!</f>
        <v>#REF!</v>
      </c>
      <c r="M42" s="581" t="e">
        <f aca="false">#REF!</f>
        <v>#REF!</v>
      </c>
      <c r="N42" s="591" t="e">
        <f aca="false">#REF!</f>
        <v>#REF!</v>
      </c>
      <c r="O42" s="209" t="e">
        <f aca="false">#REF!</f>
        <v>#REF!</v>
      </c>
      <c r="P42" s="579" t="e">
        <f aca="false">J42+N42+O42</f>
        <v>#REF!</v>
      </c>
      <c r="Q42" s="580"/>
      <c r="R42" s="580"/>
      <c r="S42" s="502"/>
    </row>
    <row r="43" customFormat="false" ht="15" hidden="true" customHeight="true" outlineLevel="0" collapsed="false">
      <c r="A43" s="145" t="e">
        <f aca="false">A42+1</f>
        <v>#VALUE!</v>
      </c>
      <c r="B43" s="570" t="n">
        <f aca="false">TableDE2!N43</f>
        <v>6.0270972733174</v>
      </c>
      <c r="C43" s="582" t="e">
        <f aca="false">#REF!</f>
        <v>#REF!</v>
      </c>
      <c r="D43" s="582" t="e">
        <f aca="false">#REF!</f>
        <v>#REF!</v>
      </c>
      <c r="E43" s="209" t="e">
        <f aca="false">#REF!</f>
        <v>#REF!</v>
      </c>
      <c r="F43" s="583" t="e">
        <f aca="false">E43/B43</f>
        <v>#REF!</v>
      </c>
      <c r="G43" s="587" t="n">
        <v>0.08</v>
      </c>
      <c r="H43" s="570" t="n">
        <v>0.08</v>
      </c>
      <c r="I43" s="574" t="e">
        <f aca="false">(1-H43)*E43</f>
        <v>#REF!</v>
      </c>
      <c r="J43" s="590" t="e">
        <f aca="false">(1-H43)*F43</f>
        <v>#REF!</v>
      </c>
      <c r="K43" s="227"/>
      <c r="L43" s="581" t="e">
        <f aca="false">#REF!</f>
        <v>#REF!</v>
      </c>
      <c r="M43" s="581" t="e">
        <f aca="false">#REF!</f>
        <v>#REF!</v>
      </c>
      <c r="N43" s="591" t="e">
        <f aca="false">#REF!</f>
        <v>#REF!</v>
      </c>
      <c r="O43" s="209" t="e">
        <f aca="false">#REF!</f>
        <v>#REF!</v>
      </c>
      <c r="P43" s="579" t="e">
        <f aca="false">J43+N43+O43</f>
        <v>#REF!</v>
      </c>
      <c r="Q43" s="580"/>
      <c r="R43" s="580"/>
      <c r="S43" s="502"/>
    </row>
    <row r="44" customFormat="false" ht="12" hidden="true" customHeight="false" outlineLevel="0" collapsed="false">
      <c r="A44" s="145" t="e">
        <f aca="false">A43+1</f>
        <v>#VALUE!</v>
      </c>
      <c r="B44" s="570" t="n">
        <f aca="false">TableDE2!N44</f>
        <v>6.04645903833193</v>
      </c>
      <c r="C44" s="582" t="e">
        <f aca="false">#REF!</f>
        <v>#REF!</v>
      </c>
      <c r="D44" s="582" t="e">
        <f aca="false">#REF!</f>
        <v>#REF!</v>
      </c>
      <c r="E44" s="209" t="e">
        <f aca="false">#REF!</f>
        <v>#REF!</v>
      </c>
      <c r="F44" s="583" t="e">
        <f aca="false">E44/B44</f>
        <v>#REF!</v>
      </c>
      <c r="G44" s="587" t="n">
        <v>0.08</v>
      </c>
      <c r="H44" s="570" t="n">
        <v>0.08</v>
      </c>
      <c r="I44" s="574" t="e">
        <f aca="false">(1-H44)*E44</f>
        <v>#REF!</v>
      </c>
      <c r="J44" s="590" t="e">
        <f aca="false">(1-H44)*F44</f>
        <v>#REF!</v>
      </c>
      <c r="K44" s="227"/>
      <c r="L44" s="581" t="e">
        <f aca="false">#REF!</f>
        <v>#REF!</v>
      </c>
      <c r="M44" s="581" t="e">
        <f aca="false">#REF!</f>
        <v>#REF!</v>
      </c>
      <c r="N44" s="591" t="e">
        <f aca="false">#REF!</f>
        <v>#REF!</v>
      </c>
      <c r="O44" s="209" t="e">
        <f aca="false">#REF!</f>
        <v>#REF!</v>
      </c>
      <c r="P44" s="579" t="e">
        <f aca="false">J44+N44+O44</f>
        <v>#REF!</v>
      </c>
      <c r="Q44" s="580"/>
      <c r="R44" s="580"/>
      <c r="S44" s="502"/>
    </row>
    <row r="45" customFormat="false" ht="12" hidden="true" customHeight="false" outlineLevel="0" collapsed="false">
      <c r="A45" s="145" t="e">
        <f aca="false">A44+1</f>
        <v>#VALUE!</v>
      </c>
      <c r="B45" s="570" t="n">
        <f aca="false">TableDE2!N45</f>
        <v>6.04424467366011</v>
      </c>
      <c r="C45" s="582" t="e">
        <f aca="false">#REF!</f>
        <v>#REF!</v>
      </c>
      <c r="D45" s="582" t="e">
        <f aca="false">#REF!</f>
        <v>#REF!</v>
      </c>
      <c r="E45" s="209" t="e">
        <f aca="false">#REF!</f>
        <v>#REF!</v>
      </c>
      <c r="F45" s="583" t="e">
        <f aca="false">E45/B45</f>
        <v>#REF!</v>
      </c>
      <c r="G45" s="587" t="n">
        <v>0.08</v>
      </c>
      <c r="H45" s="570" t="n">
        <v>0.08</v>
      </c>
      <c r="I45" s="574" t="e">
        <f aca="false">(1-H45)*E45</f>
        <v>#REF!</v>
      </c>
      <c r="J45" s="590" t="e">
        <f aca="false">(1-H45)*F45</f>
        <v>#REF!</v>
      </c>
      <c r="K45" s="227"/>
      <c r="L45" s="581" t="e">
        <f aca="false">#REF!</f>
        <v>#REF!</v>
      </c>
      <c r="M45" s="581" t="e">
        <f aca="false">#REF!</f>
        <v>#REF!</v>
      </c>
      <c r="N45" s="591" t="e">
        <f aca="false">#REF!</f>
        <v>#REF!</v>
      </c>
      <c r="O45" s="209" t="e">
        <f aca="false">#REF!</f>
        <v>#REF!</v>
      </c>
      <c r="P45" s="579" t="e">
        <f aca="false">J45+N45+O45</f>
        <v>#REF!</v>
      </c>
      <c r="Q45" s="580"/>
      <c r="R45" s="580"/>
      <c r="S45" s="502"/>
    </row>
    <row r="46" customFormat="false" ht="12" hidden="true" customHeight="false" outlineLevel="0" collapsed="false">
      <c r="A46" s="145" t="e">
        <f aca="false">A45+1</f>
        <v>#VALUE!</v>
      </c>
      <c r="B46" s="570" t="n">
        <f aca="false">TableDE2!N46</f>
        <v>6.02876812662376</v>
      </c>
      <c r="C46" s="582" t="e">
        <f aca="false">#REF!</f>
        <v>#REF!</v>
      </c>
      <c r="D46" s="582" t="e">
        <f aca="false">#REF!</f>
        <v>#REF!</v>
      </c>
      <c r="E46" s="209" t="e">
        <f aca="false">#REF!</f>
        <v>#REF!</v>
      </c>
      <c r="F46" s="583" t="e">
        <f aca="false">E46/B46</f>
        <v>#REF!</v>
      </c>
      <c r="G46" s="587" t="n">
        <v>0.08</v>
      </c>
      <c r="H46" s="570" t="n">
        <v>0.08</v>
      </c>
      <c r="I46" s="574" t="e">
        <f aca="false">(1-H46)*E46</f>
        <v>#REF!</v>
      </c>
      <c r="J46" s="590" t="e">
        <f aca="false">(1-H46)*F46</f>
        <v>#REF!</v>
      </c>
      <c r="K46" s="227"/>
      <c r="L46" s="581" t="e">
        <f aca="false">#REF!</f>
        <v>#REF!</v>
      </c>
      <c r="M46" s="581" t="e">
        <f aca="false">#REF!</f>
        <v>#REF!</v>
      </c>
      <c r="N46" s="591" t="e">
        <f aca="false">#REF!</f>
        <v>#REF!</v>
      </c>
      <c r="O46" s="209" t="e">
        <f aca="false">#REF!</f>
        <v>#REF!</v>
      </c>
      <c r="P46" s="579" t="e">
        <f aca="false">J46+N46+O46</f>
        <v>#REF!</v>
      </c>
      <c r="Q46" s="580"/>
      <c r="R46" s="580"/>
      <c r="S46" s="502"/>
    </row>
    <row r="47" customFormat="false" ht="12" hidden="true" customHeight="false" outlineLevel="0" collapsed="false">
      <c r="A47" s="145" t="e">
        <f aca="false">A46+1</f>
        <v>#VALUE!</v>
      </c>
      <c r="B47" s="570" t="n">
        <f aca="false">TableDE2!N47</f>
        <v>5.96623153997569</v>
      </c>
      <c r="C47" s="582" t="e">
        <f aca="false">#REF!</f>
        <v>#REF!</v>
      </c>
      <c r="D47" s="582" t="e">
        <f aca="false">#REF!</f>
        <v>#REF!</v>
      </c>
      <c r="E47" s="209" t="e">
        <f aca="false">#REF!</f>
        <v>#REF!</v>
      </c>
      <c r="F47" s="583" t="e">
        <f aca="false">E47/B47</f>
        <v>#REF!</v>
      </c>
      <c r="G47" s="587" t="n">
        <v>0.08</v>
      </c>
      <c r="H47" s="570" t="n">
        <v>0.08</v>
      </c>
      <c r="I47" s="574" t="e">
        <f aca="false">(1-H47)*E47</f>
        <v>#REF!</v>
      </c>
      <c r="J47" s="590" t="e">
        <f aca="false">(1-H47)*F47</f>
        <v>#REF!</v>
      </c>
      <c r="K47" s="227"/>
      <c r="L47" s="581" t="e">
        <f aca="false">#REF!</f>
        <v>#REF!</v>
      </c>
      <c r="M47" s="581" t="e">
        <f aca="false">#REF!</f>
        <v>#REF!</v>
      </c>
      <c r="N47" s="591" t="e">
        <f aca="false">#REF!</f>
        <v>#REF!</v>
      </c>
      <c r="O47" s="209" t="e">
        <f aca="false">#REF!</f>
        <v>#REF!</v>
      </c>
      <c r="P47" s="579" t="e">
        <f aca="false">J47+N47+O47</f>
        <v>#REF!</v>
      </c>
      <c r="Q47" s="580"/>
      <c r="R47" s="580"/>
      <c r="S47" s="502"/>
    </row>
    <row r="48" customFormat="false" ht="12" hidden="true" customHeight="false" outlineLevel="0" collapsed="false">
      <c r="A48" s="145" t="e">
        <f aca="false">A47+1</f>
        <v>#VALUE!</v>
      </c>
      <c r="B48" s="570" t="n">
        <f aca="false">TableDE2!N48</f>
        <v>5.87300479744251</v>
      </c>
      <c r="C48" s="582" t="e">
        <f aca="false">#REF!</f>
        <v>#REF!</v>
      </c>
      <c r="D48" s="582" t="e">
        <f aca="false">#REF!</f>
        <v>#REF!</v>
      </c>
      <c r="E48" s="209" t="e">
        <f aca="false">#REF!</f>
        <v>#REF!</v>
      </c>
      <c r="F48" s="583" t="e">
        <f aca="false">E48/B48</f>
        <v>#REF!</v>
      </c>
      <c r="G48" s="587" t="n">
        <v>0.08</v>
      </c>
      <c r="H48" s="570" t="n">
        <v>0.08</v>
      </c>
      <c r="I48" s="574" t="e">
        <f aca="false">(1-H48)*E48</f>
        <v>#REF!</v>
      </c>
      <c r="J48" s="590" t="e">
        <f aca="false">(1-H48)*F48</f>
        <v>#REF!</v>
      </c>
      <c r="K48" s="227"/>
      <c r="L48" s="581" t="e">
        <f aca="false">#REF!</f>
        <v>#REF!</v>
      </c>
      <c r="M48" s="581" t="e">
        <f aca="false">#REF!</f>
        <v>#REF!</v>
      </c>
      <c r="N48" s="591" t="e">
        <f aca="false">#REF!</f>
        <v>#REF!</v>
      </c>
      <c r="O48" s="209" t="e">
        <f aca="false">#REF!</f>
        <v>#REF!</v>
      </c>
      <c r="P48" s="579" t="e">
        <f aca="false">J48+N48+O48</f>
        <v>#REF!</v>
      </c>
      <c r="Q48" s="580"/>
      <c r="R48" s="580"/>
      <c r="S48" s="502"/>
    </row>
    <row r="49" customFormat="false" ht="12" hidden="true" customHeight="false" outlineLevel="0" collapsed="false">
      <c r="A49" s="145" t="e">
        <f aca="false">A48+1</f>
        <v>#VALUE!</v>
      </c>
      <c r="B49" s="570" t="n">
        <f aca="false">TableDE2!N49</f>
        <v>5.72105216095764</v>
      </c>
      <c r="C49" s="582" t="e">
        <f aca="false">#REF!</f>
        <v>#REF!</v>
      </c>
      <c r="D49" s="582" t="e">
        <f aca="false">#REF!</f>
        <v>#REF!</v>
      </c>
      <c r="E49" s="209" t="e">
        <f aca="false">#REF!</f>
        <v>#REF!</v>
      </c>
      <c r="F49" s="583" t="e">
        <f aca="false">E49/B49</f>
        <v>#REF!</v>
      </c>
      <c r="G49" s="587" t="n">
        <v>0.08</v>
      </c>
      <c r="H49" s="570" t="n">
        <v>0.08</v>
      </c>
      <c r="I49" s="574" t="e">
        <f aca="false">(1-H49)*E49</f>
        <v>#REF!</v>
      </c>
      <c r="J49" s="590" t="e">
        <f aca="false">(1-H49)*F49</f>
        <v>#REF!</v>
      </c>
      <c r="K49" s="227"/>
      <c r="L49" s="581" t="e">
        <f aca="false">#REF!</f>
        <v>#REF!</v>
      </c>
      <c r="M49" s="581" t="e">
        <f aca="false">#REF!</f>
        <v>#REF!</v>
      </c>
      <c r="N49" s="591" t="e">
        <f aca="false">#REF!</f>
        <v>#REF!</v>
      </c>
      <c r="O49" s="209" t="e">
        <f aca="false">#REF!</f>
        <v>#REF!</v>
      </c>
      <c r="P49" s="579" t="e">
        <f aca="false">J49+N49+O49</f>
        <v>#REF!</v>
      </c>
      <c r="Q49" s="580"/>
      <c r="R49" s="580"/>
      <c r="S49" s="502"/>
    </row>
    <row r="50" customFormat="false" ht="12" hidden="false" customHeight="false" outlineLevel="0" collapsed="false">
      <c r="A50" s="254" t="s">
        <v>164</v>
      </c>
      <c r="B50" s="570" t="n">
        <f aca="false">TableDE2!N50</f>
        <v>5.55991326040128</v>
      </c>
      <c r="C50" s="518" t="n">
        <f aca="false">AVERAGE(TableDE3d!C50:C59)</f>
        <v>0.291152540006585</v>
      </c>
      <c r="D50" s="518" t="n">
        <f aca="false">AVERAGE(TableDE3d!D50:D59)</f>
        <v>0.708847459993415</v>
      </c>
      <c r="E50" s="571" t="n">
        <f aca="false">AVERAGE(TableDE3d!E50:E59)</f>
        <v>0.322459237342083</v>
      </c>
      <c r="F50" s="572" t="n">
        <f aca="false">AVERAGE(TableDE3d!F50:F59)</f>
        <v>0.0530113804605094</v>
      </c>
      <c r="G50" s="587" t="n">
        <f aca="false">AVERAGE(TableDE3d!G50:G59)</f>
        <v>0.0894293112165991</v>
      </c>
      <c r="H50" s="570" t="n">
        <f aca="false">AVERAGE(TableDE3d!H50:H59)</f>
        <v>0.0894293112165991</v>
      </c>
      <c r="I50" s="574" t="n">
        <f aca="false">AVERAGE(TableDE3d!L50:L59)</f>
        <v>0.293624218790328</v>
      </c>
      <c r="J50" s="589" t="n">
        <f aca="false">AVERAGE(TableDE3d!M50:M59)</f>
        <v>0.0482716903467035</v>
      </c>
      <c r="K50" s="576"/>
      <c r="L50" s="521" t="n">
        <f aca="false">AVERAGE(TableDE3d!O50:O59)</f>
        <v>0.188612426481745</v>
      </c>
      <c r="M50" s="521" t="n">
        <f aca="false">AVERAGE(TableDE3d!O50:O59)+AVERAGE(TableDE3d!P50:P59)</f>
        <v>0.188612426481745</v>
      </c>
      <c r="N50" s="577" t="n">
        <f aca="false">PRODUCT(TableDE5a!AB51:AB60)^(1/10)-1</f>
        <v>-0.0948129288398504</v>
      </c>
      <c r="O50" s="578" t="n">
        <f aca="false">PRODUCT(TableDE5a!AC51:AC60)^(1/10)-1</f>
        <v>0</v>
      </c>
      <c r="P50" s="579" t="n">
        <f aca="false">J50+N50+O50</f>
        <v>-0.0465412384931469</v>
      </c>
      <c r="Q50" s="580"/>
      <c r="R50" s="580"/>
      <c r="S50" s="502" t="n">
        <f aca="false">C50+D50-1</f>
        <v>0</v>
      </c>
    </row>
    <row r="51" customFormat="false" ht="12" hidden="true" customHeight="false" outlineLevel="0" collapsed="false">
      <c r="A51" s="254" t="e">
        <f aca="false">A50+1</f>
        <v>#VALUE!</v>
      </c>
      <c r="B51" s="581" t="n">
        <f aca="false">TableDE2!N51</f>
        <v>5.28553511307606</v>
      </c>
      <c r="C51" s="592"/>
      <c r="D51" s="581"/>
      <c r="E51" s="209"/>
      <c r="F51" s="593"/>
      <c r="G51" s="227"/>
      <c r="H51" s="581"/>
      <c r="I51" s="209"/>
      <c r="J51" s="590" t="n">
        <f aca="false">(1-H51)*F51</f>
        <v>0</v>
      </c>
      <c r="K51" s="227"/>
      <c r="L51" s="581"/>
      <c r="M51" s="581"/>
      <c r="N51" s="581"/>
      <c r="O51" s="209"/>
      <c r="P51" s="579" t="n">
        <f aca="false">J51+N51+O51</f>
        <v>0</v>
      </c>
      <c r="Q51" s="580"/>
      <c r="S51" s="502"/>
    </row>
    <row r="52" customFormat="false" ht="12" hidden="true" customHeight="false" outlineLevel="0" collapsed="false">
      <c r="A52" s="254" t="e">
        <f aca="false">A51+1</f>
        <v>#VALUE!</v>
      </c>
      <c r="B52" s="581" t="n">
        <f aca="false">TableDE2!N52</f>
        <v>4.96625977300296</v>
      </c>
      <c r="C52" s="592"/>
      <c r="D52" s="581"/>
      <c r="E52" s="209"/>
      <c r="F52" s="593"/>
      <c r="G52" s="227"/>
      <c r="H52" s="581"/>
      <c r="I52" s="209"/>
      <c r="J52" s="590" t="n">
        <f aca="false">(1-H52)*F52</f>
        <v>0</v>
      </c>
      <c r="K52" s="227"/>
      <c r="L52" s="581"/>
      <c r="M52" s="581"/>
      <c r="N52" s="581"/>
      <c r="O52" s="209"/>
      <c r="P52" s="579" t="n">
        <f aca="false">J52+N52+O52</f>
        <v>0</v>
      </c>
      <c r="Q52" s="580"/>
      <c r="S52" s="502"/>
    </row>
    <row r="53" customFormat="false" ht="12" hidden="true" customHeight="false" outlineLevel="0" collapsed="false">
      <c r="A53" s="254" t="e">
        <f aca="false">A52+1</f>
        <v>#VALUE!</v>
      </c>
      <c r="B53" s="581" t="n">
        <f aca="false">TableDE2!N53</f>
        <v>4.60505889431791</v>
      </c>
      <c r="C53" s="592"/>
      <c r="D53" s="581"/>
      <c r="E53" s="209"/>
      <c r="F53" s="593"/>
      <c r="G53" s="227"/>
      <c r="H53" s="581"/>
      <c r="I53" s="209"/>
      <c r="J53" s="590" t="n">
        <f aca="false">(1-H53)*F53</f>
        <v>0</v>
      </c>
      <c r="K53" s="227"/>
      <c r="L53" s="581"/>
      <c r="M53" s="581"/>
      <c r="N53" s="581"/>
      <c r="O53" s="209"/>
      <c r="P53" s="579" t="n">
        <f aca="false">J53+N53+O53</f>
        <v>0</v>
      </c>
      <c r="Q53" s="580"/>
      <c r="S53" s="502"/>
    </row>
    <row r="54" customFormat="false" ht="12" hidden="true" customHeight="false" outlineLevel="0" collapsed="false">
      <c r="A54" s="254" t="e">
        <f aca="false">A53+1</f>
        <v>#VALUE!</v>
      </c>
      <c r="B54" s="581" t="n">
        <f aca="false">TableDE2!N54</f>
        <v>4.22223979158165</v>
      </c>
      <c r="C54" s="592"/>
      <c r="D54" s="581"/>
      <c r="E54" s="209"/>
      <c r="F54" s="593"/>
      <c r="G54" s="227"/>
      <c r="H54" s="581"/>
      <c r="I54" s="209"/>
      <c r="J54" s="590" t="n">
        <f aca="false">(1-H54)*F54</f>
        <v>0</v>
      </c>
      <c r="K54" s="227"/>
      <c r="L54" s="581"/>
      <c r="M54" s="581"/>
      <c r="N54" s="581"/>
      <c r="O54" s="209"/>
      <c r="P54" s="579" t="n">
        <f aca="false">J54+N54+O54</f>
        <v>0</v>
      </c>
      <c r="Q54" s="580"/>
      <c r="S54" s="502"/>
    </row>
    <row r="55" customFormat="false" ht="12" hidden="true" customHeight="false" outlineLevel="0" collapsed="false">
      <c r="A55" s="254" t="e">
        <f aca="false">A54+1</f>
        <v>#VALUE!</v>
      </c>
      <c r="B55" s="581" t="n">
        <f aca="false">TableDE2!N55</f>
        <v>3.84698782779227</v>
      </c>
      <c r="C55" s="592"/>
      <c r="D55" s="581"/>
      <c r="E55" s="209"/>
      <c r="F55" s="593"/>
      <c r="G55" s="227"/>
      <c r="H55" s="581"/>
      <c r="I55" s="209"/>
      <c r="J55" s="590" t="n">
        <f aca="false">(1-H55)*F55</f>
        <v>0</v>
      </c>
      <c r="K55" s="227"/>
      <c r="L55" s="581"/>
      <c r="M55" s="581"/>
      <c r="N55" s="581"/>
      <c r="O55" s="209"/>
      <c r="P55" s="579" t="n">
        <f aca="false">J55+N55+O55</f>
        <v>0</v>
      </c>
      <c r="Q55" s="580"/>
      <c r="S55" s="502"/>
    </row>
    <row r="56" customFormat="false" ht="12" hidden="true" customHeight="false" outlineLevel="0" collapsed="false">
      <c r="A56" s="254" t="e">
        <f aca="false">A55+1</f>
        <v>#VALUE!</v>
      </c>
      <c r="B56" s="581" t="n">
        <f aca="false">TableDE2!N56</f>
        <v>3.50687530238205</v>
      </c>
      <c r="C56" s="592"/>
      <c r="D56" s="581"/>
      <c r="E56" s="209"/>
      <c r="F56" s="593"/>
      <c r="G56" s="227"/>
      <c r="H56" s="581"/>
      <c r="I56" s="209"/>
      <c r="J56" s="590" t="n">
        <f aca="false">(1-H56)*F56</f>
        <v>0</v>
      </c>
      <c r="K56" s="227"/>
      <c r="L56" s="581"/>
      <c r="M56" s="581"/>
      <c r="N56" s="581"/>
      <c r="O56" s="209"/>
      <c r="P56" s="579" t="n">
        <f aca="false">J56+N56+O56</f>
        <v>0</v>
      </c>
      <c r="Q56" s="580"/>
      <c r="S56" s="502"/>
    </row>
    <row r="57" customFormat="false" ht="12" hidden="true" customHeight="false" outlineLevel="0" collapsed="false">
      <c r="A57" s="254" t="e">
        <f aca="false">A56+1</f>
        <v>#VALUE!</v>
      </c>
      <c r="B57" s="581" t="n">
        <f aca="false">TableDE2!N57</f>
        <v>3.23580308123542</v>
      </c>
      <c r="C57" s="592"/>
      <c r="D57" s="581"/>
      <c r="E57" s="209"/>
      <c r="F57" s="593"/>
      <c r="G57" s="227"/>
      <c r="H57" s="581"/>
      <c r="I57" s="209"/>
      <c r="J57" s="590" t="n">
        <f aca="false">(1-H57)*F57</f>
        <v>0</v>
      </c>
      <c r="K57" s="227"/>
      <c r="L57" s="581"/>
      <c r="M57" s="581"/>
      <c r="N57" s="581"/>
      <c r="O57" s="209"/>
      <c r="P57" s="579" t="n">
        <f aca="false">J57+N57+O57</f>
        <v>0</v>
      </c>
      <c r="Q57" s="580"/>
      <c r="S57" s="502"/>
    </row>
    <row r="58" customFormat="false" ht="12" hidden="true" customHeight="false" outlineLevel="0" collapsed="false">
      <c r="A58" s="254" t="e">
        <f aca="false">A57+1</f>
        <v>#VALUE!</v>
      </c>
      <c r="B58" s="581" t="n">
        <f aca="false">TableDE2!N58</f>
        <v>3.00481639643387</v>
      </c>
      <c r="C58" s="592"/>
      <c r="D58" s="581"/>
      <c r="E58" s="209"/>
      <c r="F58" s="593"/>
      <c r="G58" s="227"/>
      <c r="H58" s="581"/>
      <c r="I58" s="209"/>
      <c r="J58" s="590" t="n">
        <f aca="false">(1-H58)*F58</f>
        <v>0</v>
      </c>
      <c r="K58" s="227"/>
      <c r="L58" s="581"/>
      <c r="M58" s="581"/>
      <c r="N58" s="581"/>
      <c r="O58" s="209"/>
      <c r="P58" s="579" t="n">
        <f aca="false">J58+N58+O58</f>
        <v>0</v>
      </c>
      <c r="Q58" s="580"/>
      <c r="S58" s="502"/>
    </row>
    <row r="59" customFormat="false" ht="12" hidden="true" customHeight="false" outlineLevel="0" collapsed="false">
      <c r="A59" s="254" t="e">
        <f aca="false">A58+1</f>
        <v>#VALUE!</v>
      </c>
      <c r="B59" s="581" t="n">
        <f aca="false">TableDE2!N59</f>
        <v>2.81099165867436</v>
      </c>
      <c r="C59" s="592"/>
      <c r="D59" s="581"/>
      <c r="E59" s="209"/>
      <c r="F59" s="593"/>
      <c r="G59" s="227"/>
      <c r="H59" s="581"/>
      <c r="I59" s="209"/>
      <c r="J59" s="590" t="n">
        <f aca="false">(1-H59)*F59</f>
        <v>0</v>
      </c>
      <c r="K59" s="227"/>
      <c r="L59" s="581"/>
      <c r="M59" s="581"/>
      <c r="N59" s="581"/>
      <c r="O59" s="209"/>
      <c r="P59" s="579" t="n">
        <f aca="false">J59+N59+O59</f>
        <v>0</v>
      </c>
      <c r="Q59" s="580"/>
      <c r="S59" s="502"/>
    </row>
    <row r="60" customFormat="false" ht="12" hidden="false" customHeight="false" outlineLevel="0" collapsed="false">
      <c r="A60" s="254" t="s">
        <v>165</v>
      </c>
      <c r="B60" s="594" t="n">
        <f aca="false">TableDE2!N60</f>
        <v>2.67399642351853</v>
      </c>
      <c r="C60" s="518" t="n">
        <f aca="false">AVERAGE(TableDE3d!C60:C69)</f>
        <v>0.252753192336416</v>
      </c>
      <c r="D60" s="518" t="n">
        <f aca="false">AVERAGE(TableDE3d!D60:D69)</f>
        <v>0.747246807663584</v>
      </c>
      <c r="E60" s="571" t="n">
        <f aca="false">AVERAGE(TableDE3d!E60:E69)</f>
        <v>0.258329498452253</v>
      </c>
      <c r="F60" s="572" t="n">
        <f aca="false">AVERAGE(TableDE3d!F60:F69)</f>
        <v>0.096126446947822</v>
      </c>
      <c r="G60" s="587" t="n">
        <f aca="false">AVERAGE(TableDE3d!G60:G69)</f>
        <v>0.170258856386919</v>
      </c>
      <c r="H60" s="570" t="n">
        <f aca="false">AVERAGE(TableDE3d!H60:H69)</f>
        <v>0.170258856386919</v>
      </c>
      <c r="I60" s="574" t="n">
        <f aca="false">AVERAGE(TableDE3d!L60:L69)</f>
        <v>0.21437737611391</v>
      </c>
      <c r="J60" s="589" t="n">
        <f aca="false">AVERAGE(TableDE3d!M60:M69)</f>
        <v>0.0797767679399456</v>
      </c>
      <c r="K60" s="576"/>
      <c r="L60" s="521" t="n">
        <f aca="false">AVERAGE(TableDE3d!O60:O69)</f>
        <v>0.0882497371184137</v>
      </c>
      <c r="M60" s="521" t="n">
        <f aca="false">AVERAGE(TableDE3d!O60:O69)+AVERAGE(TableDE3d!P60:P69)</f>
        <v>0.0882497371184137</v>
      </c>
      <c r="N60" s="577" t="n">
        <f aca="false">PRODUCT(TableDE5a!AB61:AB70)^(1/10)-1</f>
        <v>-0.0141131540566504</v>
      </c>
      <c r="O60" s="578" t="n">
        <f aca="false">PRODUCT(TableDE5a!AC61:AC70)^(1/10)-1</f>
        <v>0</v>
      </c>
      <c r="P60" s="579" t="n">
        <f aca="false">J60+N60+O60</f>
        <v>0.0656636138832952</v>
      </c>
      <c r="Q60" s="580"/>
      <c r="S60" s="502" t="n">
        <f aca="false">C60+D60-1</f>
        <v>0</v>
      </c>
    </row>
    <row r="61" customFormat="false" ht="12" hidden="true" customHeight="false" outlineLevel="0" collapsed="false">
      <c r="A61" s="254" t="e">
        <f aca="false">A60+1</f>
        <v>#VALUE!</v>
      </c>
      <c r="B61" s="581" t="n">
        <f aca="false">TableDE2!N61</f>
        <v>2.66082720974587</v>
      </c>
      <c r="C61" s="592"/>
      <c r="D61" s="581"/>
      <c r="E61" s="209"/>
      <c r="F61" s="593"/>
      <c r="G61" s="227"/>
      <c r="H61" s="581"/>
      <c r="I61" s="209"/>
      <c r="J61" s="590" t="n">
        <f aca="false">(1-H61)*F61</f>
        <v>0</v>
      </c>
      <c r="K61" s="227"/>
      <c r="L61" s="581"/>
      <c r="M61" s="581"/>
      <c r="N61" s="581"/>
      <c r="O61" s="209"/>
      <c r="P61" s="588" t="n">
        <f aca="false">J61+N61+O61</f>
        <v>0</v>
      </c>
      <c r="Q61" s="580"/>
      <c r="S61" s="502"/>
    </row>
    <row r="62" customFormat="false" ht="12" hidden="true" customHeight="false" outlineLevel="0" collapsed="false">
      <c r="A62" s="254" t="e">
        <f aca="false">A61+1</f>
        <v>#VALUE!</v>
      </c>
      <c r="B62" s="581" t="n">
        <f aca="false">TableDE2!N62</f>
        <v>2.71196637955201</v>
      </c>
      <c r="C62" s="592"/>
      <c r="D62" s="581"/>
      <c r="E62" s="209"/>
      <c r="F62" s="593"/>
      <c r="G62" s="227"/>
      <c r="H62" s="581"/>
      <c r="I62" s="209"/>
      <c r="J62" s="590" t="n">
        <f aca="false">(1-H62)*F62</f>
        <v>0</v>
      </c>
      <c r="K62" s="227"/>
      <c r="L62" s="581"/>
      <c r="M62" s="581"/>
      <c r="N62" s="581"/>
      <c r="O62" s="209"/>
      <c r="P62" s="588" t="n">
        <f aca="false">J62+N62+O62</f>
        <v>0</v>
      </c>
      <c r="Q62" s="580"/>
      <c r="S62" s="502"/>
    </row>
    <row r="63" customFormat="false" ht="12" hidden="true" customHeight="false" outlineLevel="0" collapsed="false">
      <c r="A63" s="254" t="e">
        <f aca="false">A62+1</f>
        <v>#VALUE!</v>
      </c>
      <c r="B63" s="581" t="n">
        <f aca="false">TableDE2!N63</f>
        <v>2.82397899356778</v>
      </c>
      <c r="C63" s="592"/>
      <c r="D63" s="581"/>
      <c r="E63" s="209"/>
      <c r="F63" s="593"/>
      <c r="G63" s="227"/>
      <c r="H63" s="581"/>
      <c r="I63" s="209"/>
      <c r="J63" s="590" t="n">
        <f aca="false">(1-H63)*F63</f>
        <v>0</v>
      </c>
      <c r="K63" s="227"/>
      <c r="L63" s="581"/>
      <c r="M63" s="581"/>
      <c r="N63" s="581"/>
      <c r="O63" s="209"/>
      <c r="P63" s="588" t="n">
        <f aca="false">J63+N63+O63</f>
        <v>0</v>
      </c>
      <c r="Q63" s="580"/>
      <c r="S63" s="502"/>
    </row>
    <row r="64" customFormat="false" ht="12" hidden="true" customHeight="false" outlineLevel="0" collapsed="false">
      <c r="A64" s="254" t="e">
        <f aca="false">A63+1</f>
        <v>#VALUE!</v>
      </c>
      <c r="B64" s="581" t="n">
        <f aca="false">TableDE2!N64</f>
        <v>2.91490833149877</v>
      </c>
      <c r="C64" s="592"/>
      <c r="D64" s="581"/>
      <c r="E64" s="209"/>
      <c r="F64" s="593"/>
      <c r="G64" s="227"/>
      <c r="H64" s="581"/>
      <c r="I64" s="209"/>
      <c r="J64" s="590" t="n">
        <f aca="false">(1-H64)*F64</f>
        <v>0</v>
      </c>
      <c r="K64" s="227"/>
      <c r="L64" s="581"/>
      <c r="M64" s="581"/>
      <c r="N64" s="581"/>
      <c r="O64" s="209"/>
      <c r="P64" s="588" t="n">
        <f aca="false">J64+N64+O64</f>
        <v>0</v>
      </c>
      <c r="Q64" s="580"/>
      <c r="S64" s="502"/>
    </row>
    <row r="65" customFormat="false" ht="12" hidden="true" customHeight="false" outlineLevel="0" collapsed="false">
      <c r="A65" s="254" t="e">
        <f aca="false">A64+1</f>
        <v>#VALUE!</v>
      </c>
      <c r="B65" s="581" t="n">
        <f aca="false">TableDE2!N65</f>
        <v>2.99847471631637</v>
      </c>
      <c r="C65" s="592"/>
      <c r="D65" s="581"/>
      <c r="E65" s="209"/>
      <c r="F65" s="593"/>
      <c r="G65" s="227"/>
      <c r="H65" s="581"/>
      <c r="I65" s="209"/>
      <c r="J65" s="590" t="n">
        <f aca="false">(1-H65)*F65</f>
        <v>0</v>
      </c>
      <c r="K65" s="227"/>
      <c r="L65" s="581"/>
      <c r="M65" s="581"/>
      <c r="N65" s="581"/>
      <c r="O65" s="209"/>
      <c r="P65" s="588" t="n">
        <f aca="false">J65+N65+O65</f>
        <v>0</v>
      </c>
      <c r="Q65" s="580"/>
      <c r="S65" s="502"/>
    </row>
    <row r="66" customFormat="false" ht="12" hidden="true" customHeight="false" outlineLevel="0" collapsed="false">
      <c r="A66" s="254" t="e">
        <f aca="false">A65+1</f>
        <v>#VALUE!</v>
      </c>
      <c r="B66" s="581" t="n">
        <f aca="false">TableDE2!N66</f>
        <v>3.05886416610758</v>
      </c>
      <c r="C66" s="592"/>
      <c r="D66" s="581"/>
      <c r="E66" s="209"/>
      <c r="F66" s="593"/>
      <c r="G66" s="227"/>
      <c r="H66" s="581"/>
      <c r="I66" s="209"/>
      <c r="J66" s="590" t="n">
        <f aca="false">(1-H66)*F66</f>
        <v>0</v>
      </c>
      <c r="K66" s="227"/>
      <c r="L66" s="581"/>
      <c r="M66" s="581"/>
      <c r="N66" s="581"/>
      <c r="O66" s="209"/>
      <c r="P66" s="588" t="n">
        <f aca="false">J66+N66+O66</f>
        <v>0</v>
      </c>
      <c r="Q66" s="580"/>
      <c r="S66" s="502"/>
    </row>
    <row r="67" customFormat="false" ht="12" hidden="true" customHeight="false" outlineLevel="0" collapsed="false">
      <c r="A67" s="254" t="e">
        <f aca="false">A66+1</f>
        <v>#VALUE!</v>
      </c>
      <c r="B67" s="581" t="n">
        <f aca="false">TableDE2!N67</f>
        <v>3.06888690998451</v>
      </c>
      <c r="C67" s="592"/>
      <c r="D67" s="581"/>
      <c r="E67" s="209"/>
      <c r="F67" s="593"/>
      <c r="G67" s="227"/>
      <c r="H67" s="581"/>
      <c r="I67" s="209"/>
      <c r="J67" s="590" t="n">
        <f aca="false">(1-H67)*F67</f>
        <v>0</v>
      </c>
      <c r="K67" s="227"/>
      <c r="L67" s="581"/>
      <c r="M67" s="581"/>
      <c r="N67" s="581"/>
      <c r="O67" s="209"/>
      <c r="P67" s="588" t="n">
        <f aca="false">J67+N67+O67</f>
        <v>0</v>
      </c>
      <c r="Q67" s="580"/>
      <c r="S67" s="502"/>
    </row>
    <row r="68" customFormat="false" ht="12" hidden="true" customHeight="false" outlineLevel="0" collapsed="false">
      <c r="A68" s="254" t="e">
        <f aca="false">A67+1</f>
        <v>#VALUE!</v>
      </c>
      <c r="B68" s="581" t="n">
        <f aca="false">TableDE2!N68</f>
        <v>3.06119131944939</v>
      </c>
      <c r="C68" s="592"/>
      <c r="D68" s="581"/>
      <c r="E68" s="209"/>
      <c r="F68" s="593"/>
      <c r="G68" s="227"/>
      <c r="H68" s="581"/>
      <c r="I68" s="209"/>
      <c r="J68" s="590" t="n">
        <f aca="false">(1-H68)*F68</f>
        <v>0</v>
      </c>
      <c r="K68" s="227"/>
      <c r="L68" s="581"/>
      <c r="M68" s="581"/>
      <c r="N68" s="581"/>
      <c r="O68" s="209"/>
      <c r="P68" s="588" t="n">
        <f aca="false">J68+N68+O68</f>
        <v>0</v>
      </c>
      <c r="Q68" s="580"/>
      <c r="S68" s="502"/>
    </row>
    <row r="69" customFormat="false" ht="12" hidden="true" customHeight="false" outlineLevel="0" collapsed="false">
      <c r="A69" s="254" t="e">
        <f aca="false">A68+1</f>
        <v>#VALUE!</v>
      </c>
      <c r="B69" s="581" t="n">
        <f aca="false">TableDE2!N69</f>
        <v>3.04603540449079</v>
      </c>
      <c r="C69" s="592"/>
      <c r="D69" s="581"/>
      <c r="E69" s="209"/>
      <c r="F69" s="593"/>
      <c r="G69" s="227"/>
      <c r="H69" s="581"/>
      <c r="I69" s="209"/>
      <c r="J69" s="590" t="n">
        <f aca="false">(1-H69)*F69</f>
        <v>0</v>
      </c>
      <c r="K69" s="227"/>
      <c r="L69" s="581"/>
      <c r="M69" s="581"/>
      <c r="N69" s="581"/>
      <c r="O69" s="209"/>
      <c r="P69" s="588" t="n">
        <f aca="false">J69+N69+O69</f>
        <v>0</v>
      </c>
      <c r="Q69" s="580"/>
      <c r="S69" s="502"/>
    </row>
    <row r="70" customFormat="false" ht="12" hidden="false" customHeight="false" outlineLevel="0" collapsed="false">
      <c r="A70" s="254" t="s">
        <v>166</v>
      </c>
      <c r="B70" s="570" t="n">
        <f aca="false">TableDE2!N70</f>
        <v>3.02305123417686</v>
      </c>
      <c r="C70" s="518" t="n">
        <f aca="false">AVERAGE(TableDE3d!C70:C79)</f>
        <v>0.237887324351935</v>
      </c>
      <c r="D70" s="594" t="n">
        <f aca="false">AVERAGE(TableDE3d!D70:D79)</f>
        <v>0.762112675648065</v>
      </c>
      <c r="E70" s="571" t="n">
        <f aca="false">AVERAGE(TableDE3d!E70:E79)</f>
        <v>0.256475777697335</v>
      </c>
      <c r="F70" s="572" t="n">
        <f aca="false">AVERAGE(TableDE3d!F70:F79)</f>
        <v>0.0862266778599284</v>
      </c>
      <c r="G70" s="587" t="n">
        <f aca="false">AVERAGE(TableDE3d!G70:G79)</f>
        <v>0.205259758278028</v>
      </c>
      <c r="H70" s="570" t="n">
        <f aca="false">AVERAGE(TableDE3d!H70:H79)</f>
        <v>0.205259758278028</v>
      </c>
      <c r="I70" s="595" t="n">
        <f aca="false">AVERAGE(TableDE3d!L70:L79)</f>
        <v>0.203475033706145</v>
      </c>
      <c r="J70" s="589" t="n">
        <f aca="false">AVERAGE(TableDE3d!M70:M79)</f>
        <v>0.0683339246590398</v>
      </c>
      <c r="K70" s="576"/>
      <c r="L70" s="521" t="n">
        <f aca="false">AVERAGE(TableDE3d!O70:O79)</f>
        <v>0.0563895923321339</v>
      </c>
      <c r="M70" s="521" t="n">
        <f aca="false">AVERAGE(TableDE3d!O70:O79)+AVERAGE(TableDE3d!P70:P79)</f>
        <v>0.0563895923321339</v>
      </c>
      <c r="N70" s="577" t="n">
        <f aca="false">PRODUCT(TableDE5a!AB71:AB80)^(1/10)-1</f>
        <v>0.0137026172866122</v>
      </c>
      <c r="O70" s="578" t="n">
        <f aca="false">PRODUCT(TableDE5a!AC71:AC80)^(1/10)-1</f>
        <v>0</v>
      </c>
      <c r="P70" s="579" t="n">
        <f aca="false">J70+N70+O70</f>
        <v>0.082036541945652</v>
      </c>
      <c r="S70" s="502" t="n">
        <f aca="false">C70+D70-1</f>
        <v>0</v>
      </c>
    </row>
    <row r="71" customFormat="false" ht="12" hidden="true" customHeight="false" outlineLevel="0" collapsed="false">
      <c r="A71" s="254" t="e">
        <f aca="false">A70+1</f>
        <v>#VALUE!</v>
      </c>
      <c r="B71" s="581" t="n">
        <f aca="false">TableDE2!N71</f>
        <v>2.98977795569434</v>
      </c>
      <c r="C71" s="592"/>
      <c r="D71" s="581"/>
      <c r="E71" s="209"/>
      <c r="F71" s="593"/>
      <c r="G71" s="227"/>
      <c r="H71" s="581"/>
      <c r="I71" s="209"/>
      <c r="J71" s="590" t="n">
        <f aca="false">(1-H71)*F71</f>
        <v>0</v>
      </c>
      <c r="K71" s="227"/>
      <c r="L71" s="581"/>
      <c r="M71" s="581"/>
      <c r="N71" s="581"/>
      <c r="O71" s="209"/>
      <c r="P71" s="588" t="n">
        <f aca="false">J71+N71+O71</f>
        <v>0</v>
      </c>
      <c r="S71" s="502"/>
    </row>
    <row r="72" customFormat="false" ht="12" hidden="true" customHeight="false" outlineLevel="0" collapsed="false">
      <c r="A72" s="254" t="e">
        <f aca="false">A71+1</f>
        <v>#VALUE!</v>
      </c>
      <c r="B72" s="581" t="n">
        <f aca="false">TableDE2!N72</f>
        <v>2.91634369180899</v>
      </c>
      <c r="C72" s="592"/>
      <c r="D72" s="581"/>
      <c r="E72" s="209"/>
      <c r="F72" s="593"/>
      <c r="G72" s="227"/>
      <c r="H72" s="581"/>
      <c r="I72" s="209"/>
      <c r="J72" s="590" t="n">
        <f aca="false">(1-H72)*F72</f>
        <v>0</v>
      </c>
      <c r="K72" s="227"/>
      <c r="L72" s="581"/>
      <c r="M72" s="581"/>
      <c r="N72" s="581"/>
      <c r="O72" s="209"/>
      <c r="P72" s="588" t="n">
        <f aca="false">J72+N72+O72</f>
        <v>0</v>
      </c>
      <c r="S72" s="502"/>
    </row>
    <row r="73" customFormat="false" ht="12" hidden="true" customHeight="false" outlineLevel="0" collapsed="false">
      <c r="A73" s="254" t="e">
        <f aca="false">A72+1</f>
        <v>#VALUE!</v>
      </c>
      <c r="B73" s="581" t="n">
        <f aca="false">TableDE2!N73</f>
        <v>2.83738156129731</v>
      </c>
      <c r="C73" s="592"/>
      <c r="D73" s="581"/>
      <c r="E73" s="209"/>
      <c r="F73" s="593"/>
      <c r="G73" s="227"/>
      <c r="H73" s="581"/>
      <c r="I73" s="209"/>
      <c r="J73" s="590" t="n">
        <f aca="false">(1-H73)*F73</f>
        <v>0</v>
      </c>
      <c r="K73" s="227"/>
      <c r="L73" s="581"/>
      <c r="M73" s="581"/>
      <c r="N73" s="581"/>
      <c r="O73" s="209"/>
      <c r="P73" s="588" t="n">
        <f aca="false">J73+N73+O73</f>
        <v>0</v>
      </c>
      <c r="S73" s="502"/>
    </row>
    <row r="74" customFormat="false" ht="12" hidden="true" customHeight="false" outlineLevel="0" collapsed="false">
      <c r="A74" s="254" t="e">
        <f aca="false">A73+1</f>
        <v>#VALUE!</v>
      </c>
      <c r="B74" s="581" t="n">
        <f aca="false">TableDE2!N74</f>
        <v>2.78482333716273</v>
      </c>
      <c r="C74" s="592"/>
      <c r="D74" s="581"/>
      <c r="E74" s="209"/>
      <c r="F74" s="593"/>
      <c r="G74" s="227"/>
      <c r="H74" s="581"/>
      <c r="I74" s="209"/>
      <c r="J74" s="590" t="n">
        <f aca="false">(1-H74)*F74</f>
        <v>0</v>
      </c>
      <c r="K74" s="227"/>
      <c r="L74" s="581"/>
      <c r="M74" s="581"/>
      <c r="N74" s="581"/>
      <c r="O74" s="209"/>
      <c r="P74" s="588" t="n">
        <f aca="false">J74+N74+O74</f>
        <v>0</v>
      </c>
      <c r="S74" s="502"/>
    </row>
    <row r="75" customFormat="false" ht="12" hidden="true" customHeight="false" outlineLevel="0" collapsed="false">
      <c r="A75" s="254" t="e">
        <f aca="false">A74+1</f>
        <v>#VALUE!</v>
      </c>
      <c r="B75" s="581" t="n">
        <f aca="false">TableDE2!N75</f>
        <v>2.77615319469236</v>
      </c>
      <c r="C75" s="592"/>
      <c r="D75" s="581"/>
      <c r="E75" s="209"/>
      <c r="F75" s="593"/>
      <c r="G75" s="227"/>
      <c r="H75" s="581"/>
      <c r="I75" s="209"/>
      <c r="J75" s="590" t="n">
        <f aca="false">(1-H75)*F75</f>
        <v>0</v>
      </c>
      <c r="K75" s="227"/>
      <c r="L75" s="581"/>
      <c r="M75" s="581"/>
      <c r="N75" s="581"/>
      <c r="O75" s="209"/>
      <c r="P75" s="588" t="n">
        <f aca="false">J75+N75+O75</f>
        <v>0</v>
      </c>
      <c r="S75" s="502"/>
    </row>
    <row r="76" customFormat="false" ht="12" hidden="true" customHeight="false" outlineLevel="0" collapsed="false">
      <c r="A76" s="254" t="e">
        <f aca="false">A75+1</f>
        <v>#VALUE!</v>
      </c>
      <c r="B76" s="581" t="n">
        <f aca="false">TableDE2!N76</f>
        <v>2.74614226594954</v>
      </c>
      <c r="C76" s="592"/>
      <c r="D76" s="581"/>
      <c r="E76" s="209"/>
      <c r="F76" s="593"/>
      <c r="G76" s="227"/>
      <c r="H76" s="581"/>
      <c r="I76" s="209"/>
      <c r="J76" s="590" t="n">
        <f aca="false">(1-H76)*F76</f>
        <v>0</v>
      </c>
      <c r="K76" s="227"/>
      <c r="L76" s="581"/>
      <c r="M76" s="581"/>
      <c r="N76" s="581"/>
      <c r="O76" s="209"/>
      <c r="P76" s="588" t="n">
        <f aca="false">J76+N76+O76</f>
        <v>0</v>
      </c>
      <c r="S76" s="502"/>
    </row>
    <row r="77" customFormat="false" ht="12" hidden="true" customHeight="false" outlineLevel="0" collapsed="false">
      <c r="A77" s="254" t="e">
        <f aca="false">A76+1</f>
        <v>#VALUE!</v>
      </c>
      <c r="B77" s="581" t="n">
        <f aca="false">TableDE2!N77</f>
        <v>2.70406845038061</v>
      </c>
      <c r="C77" s="592"/>
      <c r="D77" s="581"/>
      <c r="E77" s="209"/>
      <c r="F77" s="593"/>
      <c r="G77" s="227"/>
      <c r="H77" s="581"/>
      <c r="I77" s="209"/>
      <c r="J77" s="590" t="n">
        <f aca="false">(1-H77)*F77</f>
        <v>0</v>
      </c>
      <c r="K77" s="227"/>
      <c r="L77" s="581"/>
      <c r="M77" s="581"/>
      <c r="N77" s="581"/>
      <c r="O77" s="209"/>
      <c r="P77" s="588" t="n">
        <f aca="false">J77+N77+O77</f>
        <v>0</v>
      </c>
      <c r="S77" s="502"/>
    </row>
    <row r="78" customFormat="false" ht="12" hidden="true" customHeight="false" outlineLevel="0" collapsed="false">
      <c r="A78" s="254" t="e">
        <f aca="false">A77+1</f>
        <v>#VALUE!</v>
      </c>
      <c r="B78" s="581" t="n">
        <f aca="false">TableDE2!N78</f>
        <v>2.65146554983842</v>
      </c>
      <c r="C78" s="592"/>
      <c r="D78" s="581"/>
      <c r="E78" s="209"/>
      <c r="F78" s="593"/>
      <c r="G78" s="227"/>
      <c r="H78" s="581"/>
      <c r="I78" s="209"/>
      <c r="J78" s="590" t="n">
        <f aca="false">(1-H78)*F78</f>
        <v>0</v>
      </c>
      <c r="K78" s="227"/>
      <c r="L78" s="581"/>
      <c r="M78" s="581"/>
      <c r="N78" s="581"/>
      <c r="O78" s="209"/>
      <c r="P78" s="588" t="n">
        <f aca="false">J78+N78+O78</f>
        <v>0</v>
      </c>
      <c r="S78" s="502"/>
    </row>
    <row r="79" customFormat="false" ht="12" hidden="true" customHeight="false" outlineLevel="0" collapsed="false">
      <c r="A79" s="254" t="e">
        <f aca="false">A78+1</f>
        <v>#VALUE!</v>
      </c>
      <c r="B79" s="581" t="n">
        <f aca="false">TableDE2!N79</f>
        <v>2.5854866870116</v>
      </c>
      <c r="C79" s="592"/>
      <c r="D79" s="581"/>
      <c r="E79" s="209"/>
      <c r="F79" s="593"/>
      <c r="G79" s="227"/>
      <c r="H79" s="581"/>
      <c r="I79" s="209"/>
      <c r="J79" s="590" t="n">
        <f aca="false">(1-H79)*F79</f>
        <v>0</v>
      </c>
      <c r="K79" s="227"/>
      <c r="L79" s="581"/>
      <c r="M79" s="581"/>
      <c r="N79" s="581"/>
      <c r="O79" s="209"/>
      <c r="P79" s="588" t="n">
        <f aca="false">J79+N79+O79</f>
        <v>0</v>
      </c>
      <c r="S79" s="502"/>
    </row>
    <row r="80" customFormat="false" ht="12" hidden="false" customHeight="false" outlineLevel="0" collapsed="false">
      <c r="A80" s="254" t="s">
        <v>167</v>
      </c>
      <c r="B80" s="570" t="n">
        <f aca="false">TableDE2!N80</f>
        <v>2.48694490731312</v>
      </c>
      <c r="C80" s="518" t="n">
        <f aca="false">(C70+C90)/2</f>
        <v>0.241600062938929</v>
      </c>
      <c r="D80" s="518" t="n">
        <f aca="false">(D70+D90)/2</f>
        <v>0.758399937061071</v>
      </c>
      <c r="E80" s="518" t="n">
        <f aca="false">(E70+E90)/2</f>
        <v>0.246134635230306</v>
      </c>
      <c r="F80" s="596" t="n">
        <f aca="false">(F70+F90)/2</f>
        <v>0.114576557623057</v>
      </c>
      <c r="G80" s="587" t="n">
        <f aca="false">(G70+G90)/2</f>
        <v>0.260683116944112</v>
      </c>
      <c r="H80" s="570" t="n">
        <f aca="false">(H70+H90)/2</f>
        <v>0.260683116944112</v>
      </c>
      <c r="I80" s="595"/>
      <c r="J80" s="589"/>
      <c r="K80" s="576"/>
      <c r="L80" s="521" t="n">
        <f aca="false">AVERAGE(TableDE3d!O80:O89)</f>
        <v>0.122531645471391</v>
      </c>
      <c r="M80" s="521" t="n">
        <f aca="false">AVERAGE(TableDE3d!O80:O89)+AVERAGE(TableDE3d!P80:P89)</f>
        <v>0.0613652278670651</v>
      </c>
      <c r="N80" s="577" t="n">
        <f aca="false">PRODUCT(TableDE5a!AB81:AB90)^(1/10)-1</f>
        <v>-0.0834013509576752</v>
      </c>
      <c r="O80" s="578" t="n">
        <f aca="false">PRODUCT(TableDE5a!AC81:AC90)^(1/10)-1</f>
        <v>-0.0219417058087897</v>
      </c>
      <c r="P80" s="579"/>
      <c r="S80" s="502" t="n">
        <f aca="false">C80+D80-1</f>
        <v>0</v>
      </c>
    </row>
    <row r="81" customFormat="false" ht="12" hidden="true" customHeight="false" outlineLevel="0" collapsed="false">
      <c r="A81" s="145" t="e">
        <f aca="false">A80+1</f>
        <v>#VALUE!</v>
      </c>
      <c r="B81" s="581" t="n">
        <f aca="false">TableDE2!N81</f>
        <v>2.38079253240752</v>
      </c>
      <c r="C81" s="582"/>
      <c r="D81" s="582"/>
      <c r="E81" s="146"/>
      <c r="F81" s="583"/>
      <c r="G81" s="227"/>
      <c r="H81" s="581"/>
      <c r="I81" s="209"/>
      <c r="J81" s="590" t="n">
        <f aca="false">(1-H81)*F81</f>
        <v>0</v>
      </c>
      <c r="K81" s="227"/>
      <c r="L81" s="581"/>
      <c r="M81" s="581"/>
      <c r="N81" s="581"/>
      <c r="O81" s="209"/>
      <c r="P81" s="588" t="n">
        <f aca="false">J81+N81+O81</f>
        <v>0</v>
      </c>
      <c r="S81" s="502"/>
    </row>
    <row r="82" customFormat="false" ht="12" hidden="true" customHeight="false" outlineLevel="0" collapsed="false">
      <c r="A82" s="145" t="e">
        <f aca="false">A81+1</f>
        <v>#VALUE!</v>
      </c>
      <c r="B82" s="581" t="n">
        <f aca="false">TableDE2!N82</f>
        <v>2.29020334868933</v>
      </c>
      <c r="C82" s="582"/>
      <c r="D82" s="582"/>
      <c r="E82" s="146"/>
      <c r="F82" s="583"/>
      <c r="G82" s="227"/>
      <c r="H82" s="581"/>
      <c r="I82" s="209"/>
      <c r="J82" s="590" t="n">
        <f aca="false">(1-H82)*F82</f>
        <v>0</v>
      </c>
      <c r="K82" s="227"/>
      <c r="L82" s="581"/>
      <c r="M82" s="581"/>
      <c r="N82" s="581"/>
      <c r="O82" s="209"/>
      <c r="P82" s="588" t="n">
        <f aca="false">J82+N82+O82</f>
        <v>0</v>
      </c>
      <c r="S82" s="502"/>
    </row>
    <row r="83" customFormat="false" ht="12" hidden="true" customHeight="false" outlineLevel="0" collapsed="false">
      <c r="A83" s="145" t="e">
        <f aca="false">A82+1</f>
        <v>#VALUE!</v>
      </c>
      <c r="B83" s="581" t="n">
        <f aca="false">TableDE2!N83</f>
        <v>2.1898486654095</v>
      </c>
      <c r="C83" s="582"/>
      <c r="D83" s="582"/>
      <c r="E83" s="146"/>
      <c r="F83" s="583"/>
      <c r="G83" s="227"/>
      <c r="H83" s="581"/>
      <c r="I83" s="209"/>
      <c r="J83" s="590" t="n">
        <f aca="false">(1-H83)*F83</f>
        <v>0</v>
      </c>
      <c r="K83" s="227"/>
      <c r="L83" s="581"/>
      <c r="M83" s="581"/>
      <c r="N83" s="581"/>
      <c r="O83" s="209"/>
      <c r="P83" s="588" t="n">
        <f aca="false">J83+N83+O83</f>
        <v>0</v>
      </c>
      <c r="S83" s="502"/>
    </row>
    <row r="84" customFormat="false" ht="12" hidden="true" customHeight="false" outlineLevel="0" collapsed="false">
      <c r="A84" s="145" t="e">
        <f aca="false">A83+1</f>
        <v>#VALUE!</v>
      </c>
      <c r="B84" s="581" t="n">
        <f aca="false">TableDE2!N84</f>
        <v>2.07924217110203</v>
      </c>
      <c r="C84" s="582"/>
      <c r="D84" s="582"/>
      <c r="E84" s="146"/>
      <c r="F84" s="583"/>
      <c r="G84" s="227"/>
      <c r="H84" s="581"/>
      <c r="I84" s="209"/>
      <c r="J84" s="590" t="n">
        <f aca="false">(1-H84)*F84</f>
        <v>0</v>
      </c>
      <c r="K84" s="227"/>
      <c r="L84" s="581"/>
      <c r="M84" s="581"/>
      <c r="N84" s="581"/>
      <c r="O84" s="209"/>
      <c r="P84" s="588" t="n">
        <f aca="false">J84+N84+O84</f>
        <v>0</v>
      </c>
      <c r="S84" s="502"/>
    </row>
    <row r="85" customFormat="false" ht="12" hidden="true" customHeight="false" outlineLevel="0" collapsed="false">
      <c r="A85" s="145" t="e">
        <f aca="false">A84+1</f>
        <v>#VALUE!</v>
      </c>
      <c r="B85" s="581" t="n">
        <f aca="false">TableDE2!N85</f>
        <v>1.95324779122149</v>
      </c>
      <c r="C85" s="582"/>
      <c r="D85" s="582"/>
      <c r="E85" s="146"/>
      <c r="F85" s="583"/>
      <c r="G85" s="227"/>
      <c r="H85" s="581"/>
      <c r="I85" s="209"/>
      <c r="J85" s="590" t="n">
        <f aca="false">(1-H85)*F85</f>
        <v>0</v>
      </c>
      <c r="K85" s="227"/>
      <c r="L85" s="581"/>
      <c r="M85" s="581"/>
      <c r="N85" s="581"/>
      <c r="O85" s="209"/>
      <c r="P85" s="588" t="n">
        <f aca="false">J85+N85+O85</f>
        <v>0</v>
      </c>
      <c r="S85" s="502"/>
    </row>
    <row r="86" customFormat="false" ht="12" hidden="true" customHeight="false" outlineLevel="0" collapsed="false">
      <c r="A86" s="145" t="e">
        <f aca="false">A85+1</f>
        <v>#VALUE!</v>
      </c>
      <c r="B86" s="581" t="n">
        <f aca="false">TableDE2!N86</f>
        <v>1.85296095957468</v>
      </c>
      <c r="C86" s="582"/>
      <c r="D86" s="582"/>
      <c r="E86" s="146"/>
      <c r="F86" s="583"/>
      <c r="G86" s="227"/>
      <c r="H86" s="581"/>
      <c r="I86" s="209"/>
      <c r="J86" s="590" t="n">
        <f aca="false">(1-H86)*F86</f>
        <v>0</v>
      </c>
      <c r="K86" s="227"/>
      <c r="L86" s="581"/>
      <c r="M86" s="581"/>
      <c r="N86" s="581"/>
      <c r="O86" s="209"/>
      <c r="P86" s="588" t="n">
        <f aca="false">J86+N86+O86</f>
        <v>0</v>
      </c>
      <c r="S86" s="502"/>
    </row>
    <row r="87" customFormat="false" ht="12" hidden="true" customHeight="false" outlineLevel="0" collapsed="false">
      <c r="A87" s="145" t="e">
        <f aca="false">A86+1</f>
        <v>#VALUE!</v>
      </c>
      <c r="B87" s="581" t="n">
        <f aca="false">TableDE2!N87</f>
        <v>1.77197567671933</v>
      </c>
      <c r="C87" s="582"/>
      <c r="D87" s="582"/>
      <c r="E87" s="146"/>
      <c r="F87" s="583"/>
      <c r="G87" s="227"/>
      <c r="H87" s="581"/>
      <c r="I87" s="209"/>
      <c r="J87" s="590" t="n">
        <f aca="false">(1-H87)*F87</f>
        <v>0</v>
      </c>
      <c r="K87" s="227"/>
      <c r="L87" s="581"/>
      <c r="M87" s="581"/>
      <c r="N87" s="581"/>
      <c r="O87" s="209"/>
      <c r="P87" s="588" t="n">
        <f aca="false">J87+N87+O87</f>
        <v>0</v>
      </c>
      <c r="S87" s="502"/>
    </row>
    <row r="88" customFormat="false" ht="12" hidden="true" customHeight="false" outlineLevel="0" collapsed="false">
      <c r="A88" s="145" t="e">
        <f aca="false">A87+1</f>
        <v>#VALUE!</v>
      </c>
      <c r="B88" s="581" t="n">
        <f aca="false">TableDE2!N88</f>
        <v>1.71134143259058</v>
      </c>
      <c r="C88" s="582"/>
      <c r="D88" s="582"/>
      <c r="E88" s="146"/>
      <c r="F88" s="583"/>
      <c r="G88" s="227"/>
      <c r="H88" s="581"/>
      <c r="I88" s="209"/>
      <c r="J88" s="590" t="n">
        <f aca="false">(1-H88)*F88</f>
        <v>0</v>
      </c>
      <c r="K88" s="227"/>
      <c r="L88" s="581"/>
      <c r="M88" s="581"/>
      <c r="N88" s="581"/>
      <c r="O88" s="209"/>
      <c r="P88" s="588" t="n">
        <f aca="false">J88+N88+O88</f>
        <v>0</v>
      </c>
      <c r="S88" s="502"/>
    </row>
    <row r="89" customFormat="false" ht="12" hidden="true" customHeight="false" outlineLevel="0" collapsed="false">
      <c r="A89" s="145" t="e">
        <f aca="false">A88+1</f>
        <v>#VALUE!</v>
      </c>
      <c r="B89" s="581" t="n">
        <f aca="false">TableDE2!N89</f>
        <v>1.67369834552049</v>
      </c>
      <c r="C89" s="582"/>
      <c r="D89" s="582"/>
      <c r="E89" s="146"/>
      <c r="F89" s="583"/>
      <c r="G89" s="227"/>
      <c r="H89" s="581"/>
      <c r="I89" s="209"/>
      <c r="J89" s="590" t="n">
        <f aca="false">(1-H89)*F89</f>
        <v>0</v>
      </c>
      <c r="K89" s="227"/>
      <c r="L89" s="581"/>
      <c r="M89" s="581"/>
      <c r="N89" s="581"/>
      <c r="O89" s="209"/>
      <c r="P89" s="588" t="n">
        <f aca="false">J89+N89+O89</f>
        <v>0</v>
      </c>
      <c r="S89" s="502"/>
    </row>
    <row r="90" customFormat="false" ht="12" hidden="false" customHeight="false" outlineLevel="0" collapsed="false">
      <c r="A90" s="145" t="s">
        <v>168</v>
      </c>
      <c r="B90" s="570" t="n">
        <f aca="false">TableDE2!N90</f>
        <v>1.65653502548827</v>
      </c>
      <c r="C90" s="518" t="n">
        <f aca="false">AVERAGE(TableDE3d!C90:C99)</f>
        <v>0.245312801525924</v>
      </c>
      <c r="D90" s="518" t="n">
        <f aca="false">AVERAGE(TableDE3d!D90:D99)</f>
        <v>0.754687198474076</v>
      </c>
      <c r="E90" s="597" t="n">
        <f aca="false">AVERAGE(TableDE3d!E90:E99)</f>
        <v>0.235793492763277</v>
      </c>
      <c r="F90" s="572" t="n">
        <f aca="false">AVERAGE(TableDE3d!F90:F99)</f>
        <v>0.142926437386185</v>
      </c>
      <c r="G90" s="587" t="n">
        <f aca="false">AVERAGE(TableDE13!B9:B18)</f>
        <v>0.316106475610197</v>
      </c>
      <c r="H90" s="570" t="n">
        <f aca="false">G90</f>
        <v>0.316106475610197</v>
      </c>
      <c r="I90" s="595"/>
      <c r="J90" s="589"/>
      <c r="K90" s="576" t="n">
        <f aca="false">AVERAGE(TableDE3d!N90:N99)</f>
        <v>0.0490943542212797</v>
      </c>
      <c r="L90" s="598" t="n">
        <f aca="false">AVERAGE(TableDE3d!O90:O99)</f>
        <v>0.150863965309794</v>
      </c>
      <c r="M90" s="521" t="n">
        <f aca="false">AVERAGE(TableDE3d!O90:O99)+AVERAGE(TableDE3d!P90:P99)</f>
        <v>0.150863965309794</v>
      </c>
      <c r="N90" s="577" t="n">
        <f aca="false">PRODUCT(TableDE5a!AB91:AB100)^(1/10)-1</f>
        <v>-0.0147218359557898</v>
      </c>
      <c r="O90" s="578" t="n">
        <f aca="false">PRODUCT(TableDE5a!AC91:AC100)^(1/10)-1</f>
        <v>0</v>
      </c>
      <c r="P90" s="579"/>
      <c r="Q90" s="158"/>
      <c r="R90" s="580"/>
      <c r="S90" s="502" t="n">
        <f aca="false">C90+D90-1</f>
        <v>0</v>
      </c>
    </row>
    <row r="91" customFormat="false" ht="12" hidden="true" customHeight="false" outlineLevel="0" collapsed="false">
      <c r="A91" s="145" t="e">
        <f aca="false">A90+1</f>
        <v>#VALUE!</v>
      </c>
      <c r="B91" s="581" t="n">
        <f aca="false">TableDE2!N91</f>
        <v>1.64772959878852</v>
      </c>
      <c r="C91" s="582"/>
      <c r="D91" s="582"/>
      <c r="E91" s="146"/>
      <c r="F91" s="583"/>
      <c r="G91" s="227"/>
      <c r="H91" s="581"/>
      <c r="I91" s="209"/>
      <c r="J91" s="590"/>
      <c r="K91" s="227"/>
      <c r="L91" s="581"/>
      <c r="M91" s="581"/>
      <c r="N91" s="581"/>
      <c r="O91" s="209"/>
      <c r="P91" s="588"/>
      <c r="R91" s="580"/>
      <c r="S91" s="502"/>
    </row>
    <row r="92" customFormat="false" ht="12" hidden="true" customHeight="false" outlineLevel="0" collapsed="false">
      <c r="A92" s="145" t="e">
        <f aca="false">A91+1</f>
        <v>#VALUE!</v>
      </c>
      <c r="B92" s="581" t="n">
        <f aca="false">TableDE2!N92</f>
        <v>1.66022385751949</v>
      </c>
      <c r="C92" s="582"/>
      <c r="D92" s="582"/>
      <c r="E92" s="146"/>
      <c r="F92" s="583"/>
      <c r="G92" s="227"/>
      <c r="H92" s="581"/>
      <c r="I92" s="209"/>
      <c r="J92" s="590"/>
      <c r="K92" s="227"/>
      <c r="L92" s="581"/>
      <c r="M92" s="581"/>
      <c r="N92" s="581"/>
      <c r="O92" s="209"/>
      <c r="P92" s="588"/>
      <c r="R92" s="580"/>
      <c r="S92" s="502"/>
    </row>
    <row r="93" customFormat="false" ht="12" hidden="true" customHeight="false" outlineLevel="0" collapsed="false">
      <c r="A93" s="145" t="e">
        <f aca="false">A92+1</f>
        <v>#VALUE!</v>
      </c>
      <c r="B93" s="581" t="n">
        <f aca="false">TableDE2!N93</f>
        <v>1.68339706995211</v>
      </c>
      <c r="C93" s="582"/>
      <c r="D93" s="582"/>
      <c r="E93" s="146"/>
      <c r="F93" s="583"/>
      <c r="G93" s="227"/>
      <c r="H93" s="581"/>
      <c r="I93" s="209"/>
      <c r="J93" s="590"/>
      <c r="K93" s="227"/>
      <c r="L93" s="581"/>
      <c r="M93" s="581"/>
      <c r="N93" s="581"/>
      <c r="O93" s="209"/>
      <c r="P93" s="588"/>
      <c r="R93" s="580"/>
      <c r="S93" s="502"/>
    </row>
    <row r="94" customFormat="false" ht="12" hidden="true" customHeight="false" outlineLevel="0" collapsed="false">
      <c r="A94" s="145" t="e">
        <f aca="false">A93+1</f>
        <v>#VALUE!</v>
      </c>
      <c r="B94" s="581" t="n">
        <f aca="false">TableDE2!N94</f>
        <v>1.71851405616803</v>
      </c>
      <c r="C94" s="582"/>
      <c r="D94" s="582"/>
      <c r="E94" s="146"/>
      <c r="F94" s="583"/>
      <c r="G94" s="227"/>
      <c r="H94" s="581"/>
      <c r="I94" s="209"/>
      <c r="J94" s="590"/>
      <c r="K94" s="227"/>
      <c r="L94" s="581"/>
      <c r="M94" s="581"/>
      <c r="N94" s="581"/>
      <c r="O94" s="209"/>
      <c r="P94" s="588"/>
      <c r="R94" s="580"/>
      <c r="S94" s="502"/>
    </row>
    <row r="95" customFormat="false" ht="12" hidden="true" customHeight="false" outlineLevel="0" collapsed="false">
      <c r="A95" s="145" t="e">
        <f aca="false">A94+1</f>
        <v>#VALUE!</v>
      </c>
      <c r="B95" s="581" t="n">
        <f aca="false">TableDE2!N95</f>
        <v>1.75421817940704</v>
      </c>
      <c r="C95" s="582"/>
      <c r="D95" s="582"/>
      <c r="E95" s="146"/>
      <c r="F95" s="583"/>
      <c r="G95" s="227"/>
      <c r="H95" s="581"/>
      <c r="I95" s="209"/>
      <c r="J95" s="590"/>
      <c r="K95" s="227"/>
      <c r="L95" s="581"/>
      <c r="M95" s="581"/>
      <c r="N95" s="581"/>
      <c r="O95" s="209"/>
      <c r="P95" s="588"/>
      <c r="R95" s="580"/>
      <c r="S95" s="502"/>
    </row>
    <row r="96" customFormat="false" ht="12" hidden="true" customHeight="false" outlineLevel="0" collapsed="false">
      <c r="A96" s="145" t="e">
        <f aca="false">A95+1</f>
        <v>#VALUE!</v>
      </c>
      <c r="B96" s="581" t="n">
        <f aca="false">TableDE2!N96</f>
        <v>1.80204287784341</v>
      </c>
      <c r="C96" s="582"/>
      <c r="D96" s="582"/>
      <c r="E96" s="146"/>
      <c r="F96" s="583"/>
      <c r="G96" s="227"/>
      <c r="H96" s="581"/>
      <c r="I96" s="209"/>
      <c r="J96" s="590"/>
      <c r="K96" s="227"/>
      <c r="L96" s="581"/>
      <c r="M96" s="581"/>
      <c r="N96" s="581"/>
      <c r="O96" s="209"/>
      <c r="P96" s="588"/>
      <c r="R96" s="580"/>
      <c r="S96" s="502"/>
    </row>
    <row r="97" customFormat="false" ht="12" hidden="true" customHeight="false" outlineLevel="0" collapsed="false">
      <c r="A97" s="145" t="e">
        <f aca="false">A96+1</f>
        <v>#VALUE!</v>
      </c>
      <c r="B97" s="581" t="n">
        <f aca="false">TableDE2!N97</f>
        <v>1.86357665877963</v>
      </c>
      <c r="C97" s="582"/>
      <c r="D97" s="582"/>
      <c r="E97" s="146"/>
      <c r="F97" s="583"/>
      <c r="G97" s="227"/>
      <c r="H97" s="581"/>
      <c r="I97" s="209"/>
      <c r="J97" s="590"/>
      <c r="K97" s="227"/>
      <c r="L97" s="581"/>
      <c r="M97" s="581"/>
      <c r="N97" s="581"/>
      <c r="O97" s="209"/>
      <c r="P97" s="588"/>
      <c r="R97" s="580"/>
      <c r="S97" s="502"/>
    </row>
    <row r="98" customFormat="false" ht="12" hidden="true" customHeight="false" outlineLevel="0" collapsed="false">
      <c r="A98" s="145" t="e">
        <f aca="false">A97+1</f>
        <v>#VALUE!</v>
      </c>
      <c r="B98" s="581" t="n">
        <f aca="false">TableDE2!N98</f>
        <v>1.9459591326935</v>
      </c>
      <c r="C98" s="582"/>
      <c r="D98" s="582"/>
      <c r="E98" s="146"/>
      <c r="F98" s="583"/>
      <c r="G98" s="227"/>
      <c r="H98" s="581"/>
      <c r="I98" s="209"/>
      <c r="J98" s="590"/>
      <c r="K98" s="227"/>
      <c r="L98" s="581"/>
      <c r="M98" s="581"/>
      <c r="N98" s="581"/>
      <c r="O98" s="209"/>
      <c r="P98" s="588"/>
      <c r="R98" s="580"/>
      <c r="S98" s="502"/>
    </row>
    <row r="99" customFormat="false" ht="12" hidden="true" customHeight="false" outlineLevel="0" collapsed="false">
      <c r="A99" s="145" t="e">
        <f aca="false">A98+1</f>
        <v>#VALUE!</v>
      </c>
      <c r="B99" s="581" t="n">
        <f aca="false">TableDE2!N99</f>
        <v>2.02498233154839</v>
      </c>
      <c r="C99" s="582"/>
      <c r="D99" s="582"/>
      <c r="E99" s="146"/>
      <c r="F99" s="583"/>
      <c r="G99" s="227"/>
      <c r="H99" s="581"/>
      <c r="I99" s="209"/>
      <c r="J99" s="590"/>
      <c r="K99" s="227"/>
      <c r="L99" s="581"/>
      <c r="M99" s="581"/>
      <c r="N99" s="581"/>
      <c r="O99" s="209"/>
      <c r="P99" s="588"/>
      <c r="R99" s="580"/>
      <c r="S99" s="502"/>
    </row>
    <row r="100" customFormat="false" ht="12" hidden="false" customHeight="false" outlineLevel="0" collapsed="false">
      <c r="A100" s="145" t="s">
        <v>169</v>
      </c>
      <c r="B100" s="570" t="n">
        <f aca="false">TableDE2!N100</f>
        <v>2.09334194173539</v>
      </c>
      <c r="C100" s="518" t="n">
        <f aca="false">AVERAGE(TableDE3d!C100:C109)</f>
        <v>0.249554454721742</v>
      </c>
      <c r="D100" s="518" t="n">
        <f aca="false">AVERAGE(TableDE3d!D100:D109)</f>
        <v>0.750445545278258</v>
      </c>
      <c r="E100" s="597" t="n">
        <f aca="false">AVERAGE(TableDE3d!E100:E109)</f>
        <v>0.242819834724143</v>
      </c>
      <c r="F100" s="572" t="n">
        <f aca="false">AVERAGE(TableDE3d!F100:F109)</f>
        <v>0.117457286083634</v>
      </c>
      <c r="G100" s="587" t="n">
        <f aca="false">AVERAGE(TableDE13!B19:B28)</f>
        <v>0.350831284922336</v>
      </c>
      <c r="H100" s="570" t="n">
        <f aca="false">G100</f>
        <v>0.350831284922336</v>
      </c>
      <c r="I100" s="595"/>
      <c r="J100" s="589"/>
      <c r="K100" s="576" t="n">
        <f aca="false">AVERAGE(TableDE3d!N100:N109)</f>
        <v>0.0796278151917885</v>
      </c>
      <c r="L100" s="598" t="n">
        <f aca="false">AVERAGE(TableDE3d!O100:O109)</f>
        <v>0.159651874998559</v>
      </c>
      <c r="M100" s="521" t="n">
        <f aca="false">AVERAGE(TableDE3d!O100:O109)+AVERAGE(TableDE3d!P100:P109)</f>
        <v>0.159651874998559</v>
      </c>
      <c r="N100" s="577" t="n">
        <f aca="false">PRODUCT(TableDE5a!AB101:AB110)^(1/10)-1</f>
        <v>-0.00694477990556031</v>
      </c>
      <c r="O100" s="578" t="n">
        <f aca="false">PRODUCT(TableDE5a!AC101:AC110)^(1/10)-1</f>
        <v>0</v>
      </c>
      <c r="P100" s="579"/>
      <c r="Q100" s="158"/>
      <c r="R100" s="580"/>
      <c r="S100" s="502" t="n">
        <f aca="false">C100+D100-1</f>
        <v>0</v>
      </c>
    </row>
    <row r="101" customFormat="false" ht="12" hidden="true" customHeight="false" outlineLevel="0" collapsed="false">
      <c r="A101" s="145" t="e">
        <f aca="false">A100+1</f>
        <v>#VALUE!</v>
      </c>
      <c r="B101" s="581" t="n">
        <f aca="false">TableDE2!N101</f>
        <v>2.14607918919273</v>
      </c>
      <c r="C101" s="582"/>
      <c r="D101" s="582"/>
      <c r="E101" s="146"/>
      <c r="F101" s="583"/>
      <c r="G101" s="227"/>
      <c r="H101" s="581"/>
      <c r="I101" s="146"/>
      <c r="J101" s="590" t="n">
        <f aca="false">(1-H101)*F101</f>
        <v>0</v>
      </c>
      <c r="K101" s="227"/>
      <c r="L101" s="581"/>
      <c r="M101" s="581"/>
      <c r="N101" s="581"/>
      <c r="O101" s="209"/>
      <c r="P101" s="588" t="n">
        <f aca="false">J101+N101+O101</f>
        <v>0</v>
      </c>
      <c r="R101" s="580"/>
      <c r="S101" s="502"/>
    </row>
    <row r="102" customFormat="false" ht="12" hidden="true" customHeight="false" outlineLevel="0" collapsed="false">
      <c r="A102" s="145" t="e">
        <f aca="false">A101+1</f>
        <v>#VALUE!</v>
      </c>
      <c r="B102" s="581" t="n">
        <f aca="false">TableDE2!N102</f>
        <v>2.18098358929759</v>
      </c>
      <c r="C102" s="582"/>
      <c r="D102" s="582"/>
      <c r="E102" s="146"/>
      <c r="F102" s="583"/>
      <c r="G102" s="227"/>
      <c r="H102" s="581"/>
      <c r="I102" s="146"/>
      <c r="J102" s="590" t="n">
        <f aca="false">(1-H102)*F102</f>
        <v>0</v>
      </c>
      <c r="K102" s="227"/>
      <c r="L102" s="581"/>
      <c r="M102" s="581"/>
      <c r="N102" s="581"/>
      <c r="O102" s="209"/>
      <c r="P102" s="588" t="n">
        <f aca="false">J102+N102+O102</f>
        <v>0</v>
      </c>
      <c r="R102" s="580"/>
      <c r="S102" s="502"/>
    </row>
    <row r="103" customFormat="false" ht="12" hidden="true" customHeight="false" outlineLevel="0" collapsed="false">
      <c r="A103" s="145" t="e">
        <f aca="false">A102+1</f>
        <v>#VALUE!</v>
      </c>
      <c r="B103" s="581" t="n">
        <f aca="false">TableDE2!N103</f>
        <v>2.2103090736838</v>
      </c>
      <c r="C103" s="582"/>
      <c r="D103" s="582"/>
      <c r="E103" s="146"/>
      <c r="F103" s="583"/>
      <c r="G103" s="227"/>
      <c r="H103" s="581"/>
      <c r="I103" s="146"/>
      <c r="J103" s="590" t="n">
        <f aca="false">(1-H103)*F103</f>
        <v>0</v>
      </c>
      <c r="K103" s="227"/>
      <c r="L103" s="581"/>
      <c r="M103" s="581"/>
      <c r="N103" s="581"/>
      <c r="O103" s="209"/>
      <c r="P103" s="588" t="n">
        <f aca="false">J103+N103+O103</f>
        <v>0</v>
      </c>
      <c r="R103" s="580"/>
      <c r="S103" s="502"/>
    </row>
    <row r="104" customFormat="false" ht="12" hidden="true" customHeight="false" outlineLevel="0" collapsed="false">
      <c r="A104" s="145" t="e">
        <f aca="false">A103+1</f>
        <v>#VALUE!</v>
      </c>
      <c r="B104" s="581" t="n">
        <f aca="false">TableDE2!N104</f>
        <v>2.225569396229</v>
      </c>
      <c r="C104" s="582"/>
      <c r="D104" s="582"/>
      <c r="E104" s="146"/>
      <c r="F104" s="583"/>
      <c r="G104" s="227"/>
      <c r="H104" s="581"/>
      <c r="I104" s="146"/>
      <c r="J104" s="590" t="n">
        <f aca="false">(1-H104)*F104</f>
        <v>0</v>
      </c>
      <c r="K104" s="227"/>
      <c r="L104" s="581"/>
      <c r="M104" s="581"/>
      <c r="N104" s="581"/>
      <c r="O104" s="209"/>
      <c r="P104" s="588" t="n">
        <f aca="false">J104+N104+O104</f>
        <v>0</v>
      </c>
      <c r="R104" s="580"/>
      <c r="S104" s="502"/>
    </row>
    <row r="105" customFormat="false" ht="12" hidden="true" customHeight="false" outlineLevel="0" collapsed="false">
      <c r="A105" s="145" t="e">
        <f aca="false">A104+1</f>
        <v>#VALUE!</v>
      </c>
      <c r="B105" s="581" t="n">
        <f aca="false">TableDE2!N105</f>
        <v>2.239780062241</v>
      </c>
      <c r="C105" s="582"/>
      <c r="D105" s="582"/>
      <c r="E105" s="146"/>
      <c r="F105" s="583"/>
      <c r="G105" s="227"/>
      <c r="H105" s="581"/>
      <c r="I105" s="146"/>
      <c r="J105" s="590" t="n">
        <f aca="false">(1-H105)*F105</f>
        <v>0</v>
      </c>
      <c r="K105" s="227"/>
      <c r="L105" s="581"/>
      <c r="M105" s="581"/>
      <c r="N105" s="581"/>
      <c r="O105" s="209"/>
      <c r="P105" s="588" t="n">
        <f aca="false">J105+N105+O105</f>
        <v>0</v>
      </c>
      <c r="R105" s="580"/>
      <c r="S105" s="502"/>
    </row>
    <row r="106" customFormat="false" ht="12" hidden="true" customHeight="false" outlineLevel="0" collapsed="false">
      <c r="A106" s="145" t="e">
        <f aca="false">A105+1</f>
        <v>#VALUE!</v>
      </c>
      <c r="B106" s="581" t="n">
        <f aca="false">TableDE2!N106</f>
        <v>2.26122235903844</v>
      </c>
      <c r="C106" s="582"/>
      <c r="D106" s="582"/>
      <c r="E106" s="146"/>
      <c r="F106" s="583"/>
      <c r="G106" s="227"/>
      <c r="H106" s="581"/>
      <c r="I106" s="146"/>
      <c r="J106" s="590" t="n">
        <f aca="false">(1-H106)*F106</f>
        <v>0</v>
      </c>
      <c r="K106" s="227"/>
      <c r="L106" s="581"/>
      <c r="M106" s="581"/>
      <c r="N106" s="581"/>
      <c r="O106" s="209"/>
      <c r="P106" s="588" t="n">
        <f aca="false">J106+N106+O106</f>
        <v>0</v>
      </c>
      <c r="R106" s="580"/>
      <c r="S106" s="502"/>
    </row>
    <row r="107" customFormat="false" ht="12" hidden="true" customHeight="false" outlineLevel="0" collapsed="false">
      <c r="A107" s="145" t="e">
        <f aca="false">A106+1</f>
        <v>#VALUE!</v>
      </c>
      <c r="B107" s="581" t="n">
        <f aca="false">TableDE2!N107</f>
        <v>2.27422864269177</v>
      </c>
      <c r="C107" s="582"/>
      <c r="D107" s="582"/>
      <c r="E107" s="146"/>
      <c r="F107" s="583"/>
      <c r="G107" s="227"/>
      <c r="H107" s="581"/>
      <c r="I107" s="146"/>
      <c r="J107" s="590" t="n">
        <f aca="false">(1-H107)*F107</f>
        <v>0</v>
      </c>
      <c r="K107" s="227"/>
      <c r="L107" s="581"/>
      <c r="M107" s="581"/>
      <c r="N107" s="581"/>
      <c r="O107" s="209"/>
      <c r="P107" s="588" t="n">
        <f aca="false">J107+N107+O107</f>
        <v>0</v>
      </c>
      <c r="R107" s="580"/>
      <c r="S107" s="502"/>
    </row>
    <row r="108" customFormat="false" ht="12" hidden="true" customHeight="false" outlineLevel="0" collapsed="false">
      <c r="A108" s="145" t="e">
        <f aca="false">A107+1</f>
        <v>#VALUE!</v>
      </c>
      <c r="B108" s="581" t="n">
        <f aca="false">TableDE2!N108</f>
        <v>2.27447783515715</v>
      </c>
      <c r="C108" s="582"/>
      <c r="D108" s="582"/>
      <c r="E108" s="146"/>
      <c r="F108" s="583"/>
      <c r="G108" s="227"/>
      <c r="H108" s="581"/>
      <c r="I108" s="146"/>
      <c r="J108" s="590" t="n">
        <f aca="false">(1-H108)*F108</f>
        <v>0</v>
      </c>
      <c r="K108" s="227"/>
      <c r="L108" s="581"/>
      <c r="M108" s="581"/>
      <c r="N108" s="581"/>
      <c r="O108" s="209"/>
      <c r="P108" s="588" t="n">
        <f aca="false">J108+N108+O108</f>
        <v>0</v>
      </c>
      <c r="R108" s="580"/>
      <c r="S108" s="502"/>
    </row>
    <row r="109" customFormat="false" ht="12" hidden="true" customHeight="false" outlineLevel="0" collapsed="false">
      <c r="A109" s="145" t="e">
        <f aca="false">A108+1</f>
        <v>#VALUE!</v>
      </c>
      <c r="B109" s="581" t="n">
        <f aca="false">TableDE2!N109</f>
        <v>2.28004133757692</v>
      </c>
      <c r="C109" s="582"/>
      <c r="D109" s="582"/>
      <c r="E109" s="146"/>
      <c r="F109" s="583"/>
      <c r="G109" s="227"/>
      <c r="H109" s="581"/>
      <c r="I109" s="146"/>
      <c r="J109" s="590" t="n">
        <f aca="false">(1-H109)*F109</f>
        <v>0</v>
      </c>
      <c r="K109" s="227"/>
      <c r="L109" s="581"/>
      <c r="M109" s="581"/>
      <c r="N109" s="581"/>
      <c r="O109" s="209"/>
      <c r="P109" s="588" t="n">
        <f aca="false">J109+N109+O109</f>
        <v>0</v>
      </c>
      <c r="R109" s="580"/>
      <c r="S109" s="502"/>
    </row>
    <row r="110" customFormat="false" ht="12" hidden="false" customHeight="false" outlineLevel="0" collapsed="false">
      <c r="A110" s="145" t="s">
        <v>170</v>
      </c>
      <c r="B110" s="570" t="n">
        <f aca="false">TableDE2!N110</f>
        <v>2.29436379035529</v>
      </c>
      <c r="C110" s="518" t="n">
        <f aca="false">AVERAGE(TableDE3d!C110:C119)</f>
        <v>0.205176287093038</v>
      </c>
      <c r="D110" s="518" t="n">
        <f aca="false">AVERAGE(TableDE3d!D110:D119)</f>
        <v>0.794823712906962</v>
      </c>
      <c r="E110" s="597" t="n">
        <f aca="false">AVERAGE(TableDE3d!E110:E119)</f>
        <v>0.209221931004383</v>
      </c>
      <c r="F110" s="572" t="n">
        <f aca="false">AVERAGE(TableDE3d!F110:F119)</f>
        <v>0.0913462334855379</v>
      </c>
      <c r="G110" s="587" t="n">
        <f aca="false">AVERAGE(TableDE13!B29:B38)</f>
        <v>0.408601985743238</v>
      </c>
      <c r="H110" s="570" t="n">
        <f aca="false">AVERAGE(TableDE3d!H110:H119)</f>
        <v>0.268115399204869</v>
      </c>
      <c r="I110" s="574" t="n">
        <f aca="false">AVERAGE(TableDE3d!L110:L119)</f>
        <v>0.153121138443105</v>
      </c>
      <c r="J110" s="589" t="n">
        <f aca="false">AVERAGE(TableDE3d!M110:M119)</f>
        <v>0.0668867758560195</v>
      </c>
      <c r="K110" s="576" t="n">
        <f aca="false">AVERAGE(TableDE3d!N110:N119)</f>
        <v>0.104924599764732</v>
      </c>
      <c r="L110" s="598" t="n">
        <f aca="false">AVERAGE(TableDE3d!O110:O119)</f>
        <v>0.141071943598848</v>
      </c>
      <c r="M110" s="521" t="n">
        <f aca="false">AVERAGE(TableDE3d!O110:O119)+AVERAGE(TableDE3d!P110:P119)</f>
        <v>0.141071943598848</v>
      </c>
      <c r="N110" s="577" t="n">
        <f aca="false">PRODUCT(TableDE5a!AB111:AB120)^(1/10)-1</f>
        <v>-0.0217596062561025</v>
      </c>
      <c r="O110" s="578" t="n">
        <f aca="false">PRODUCT(TableDE5a!AC111:AC120)^(1/10)-1</f>
        <v>0</v>
      </c>
      <c r="P110" s="579" t="n">
        <f aca="false">J110+N110+O110</f>
        <v>0.0451271695999169</v>
      </c>
      <c r="Q110" s="158"/>
      <c r="R110" s="580"/>
      <c r="S110" s="502" t="n">
        <f aca="false">C110+D110-1</f>
        <v>0</v>
      </c>
    </row>
    <row r="111" customFormat="false" ht="12" hidden="true" customHeight="false" outlineLevel="0" collapsed="false">
      <c r="A111" s="145" t="e">
        <f aca="false">A110+1</f>
        <v>#VALUE!</v>
      </c>
      <c r="B111" s="581" t="n">
        <f aca="false">TableDE2!N111</f>
        <v>2.32229988061276</v>
      </c>
      <c r="C111" s="582"/>
      <c r="D111" s="582"/>
      <c r="E111" s="146"/>
      <c r="F111" s="583"/>
      <c r="G111" s="228"/>
      <c r="H111" s="581"/>
      <c r="I111" s="146"/>
      <c r="J111" s="590" t="n">
        <f aca="false">(1-H111)*F111</f>
        <v>0</v>
      </c>
      <c r="K111" s="228"/>
      <c r="L111" s="582"/>
      <c r="M111" s="582"/>
      <c r="N111" s="581"/>
      <c r="O111" s="209"/>
      <c r="P111" s="588" t="n">
        <f aca="false">J111+N111+O111</f>
        <v>0</v>
      </c>
      <c r="R111" s="580"/>
      <c r="S111" s="502"/>
    </row>
    <row r="112" customFormat="false" ht="12" hidden="true" customHeight="false" outlineLevel="0" collapsed="false">
      <c r="A112" s="145" t="e">
        <f aca="false">A111+1</f>
        <v>#VALUE!</v>
      </c>
      <c r="B112" s="581" t="n">
        <f aca="false">TableDE2!N112</f>
        <v>2.36431574073908</v>
      </c>
      <c r="C112" s="582"/>
      <c r="D112" s="582"/>
      <c r="E112" s="146"/>
      <c r="F112" s="583"/>
      <c r="G112" s="228"/>
      <c r="H112" s="581"/>
      <c r="I112" s="146"/>
      <c r="J112" s="590" t="n">
        <f aca="false">(1-H112)*F112</f>
        <v>0</v>
      </c>
      <c r="K112" s="228"/>
      <c r="L112" s="582"/>
      <c r="M112" s="582"/>
      <c r="N112" s="581"/>
      <c r="O112" s="209"/>
      <c r="P112" s="588" t="n">
        <f aca="false">J112+N112+O112</f>
        <v>0</v>
      </c>
      <c r="R112" s="580"/>
      <c r="S112" s="502"/>
    </row>
    <row r="113" customFormat="false" ht="12" hidden="true" customHeight="false" outlineLevel="0" collapsed="false">
      <c r="A113" s="145" t="e">
        <f aca="false">A112+1</f>
        <v>#VALUE!</v>
      </c>
      <c r="B113" s="581" t="n">
        <f aca="false">TableDE2!N113</f>
        <v>2.41527604605424</v>
      </c>
      <c r="C113" s="582"/>
      <c r="D113" s="582"/>
      <c r="E113" s="146"/>
      <c r="F113" s="583"/>
      <c r="G113" s="228"/>
      <c r="H113" s="581"/>
      <c r="I113" s="146"/>
      <c r="J113" s="590" t="n">
        <f aca="false">(1-H113)*F113</f>
        <v>0</v>
      </c>
      <c r="K113" s="228"/>
      <c r="L113" s="582"/>
      <c r="M113" s="582"/>
      <c r="N113" s="581"/>
      <c r="O113" s="209"/>
      <c r="P113" s="588" t="n">
        <f aca="false">J113+N113+O113</f>
        <v>0</v>
      </c>
      <c r="R113" s="580"/>
      <c r="S113" s="502"/>
    </row>
    <row r="114" customFormat="false" ht="12" hidden="true" customHeight="false" outlineLevel="0" collapsed="false">
      <c r="A114" s="145" t="e">
        <f aca="false">A113+1</f>
        <v>#VALUE!</v>
      </c>
      <c r="B114" s="581" t="n">
        <f aca="false">TableDE2!N114</f>
        <v>2.476457380491</v>
      </c>
      <c r="C114" s="582"/>
      <c r="D114" s="582"/>
      <c r="E114" s="146"/>
      <c r="F114" s="583"/>
      <c r="G114" s="228"/>
      <c r="H114" s="581"/>
      <c r="I114" s="146"/>
      <c r="J114" s="590" t="n">
        <f aca="false">(1-H114)*F114</f>
        <v>0</v>
      </c>
      <c r="K114" s="228"/>
      <c r="L114" s="582"/>
      <c r="M114" s="582"/>
      <c r="N114" s="581"/>
      <c r="O114" s="209"/>
      <c r="P114" s="588" t="n">
        <f aca="false">J114+N114+O114</f>
        <v>0</v>
      </c>
      <c r="R114" s="580"/>
      <c r="S114" s="502"/>
    </row>
    <row r="115" customFormat="false" ht="12" hidden="true" customHeight="false" outlineLevel="0" collapsed="false">
      <c r="A115" s="145" t="e">
        <f aca="false">A114+1</f>
        <v>#VALUE!</v>
      </c>
      <c r="B115" s="581" t="n">
        <f aca="false">TableDE2!N115</f>
        <v>2.54000347455915</v>
      </c>
      <c r="C115" s="582"/>
      <c r="D115" s="582"/>
      <c r="E115" s="146"/>
      <c r="F115" s="583"/>
      <c r="G115" s="228"/>
      <c r="H115" s="581"/>
      <c r="I115" s="146"/>
      <c r="J115" s="590" t="n">
        <f aca="false">(1-H115)*F115</f>
        <v>0</v>
      </c>
      <c r="K115" s="228"/>
      <c r="L115" s="582"/>
      <c r="M115" s="582"/>
      <c r="N115" s="581"/>
      <c r="O115" s="209"/>
      <c r="P115" s="588" t="n">
        <f aca="false">J115+N115+O115</f>
        <v>0</v>
      </c>
      <c r="R115" s="580"/>
      <c r="S115" s="502"/>
    </row>
    <row r="116" customFormat="false" ht="12" hidden="true" customHeight="false" outlineLevel="0" collapsed="false">
      <c r="A116" s="145" t="e">
        <f aca="false">A115+1</f>
        <v>#VALUE!</v>
      </c>
      <c r="B116" s="581" t="n">
        <f aca="false">TableDE2!N116</f>
        <v>2.60088088414147</v>
      </c>
      <c r="C116" s="582"/>
      <c r="D116" s="582"/>
      <c r="E116" s="146"/>
      <c r="F116" s="583"/>
      <c r="G116" s="228"/>
      <c r="H116" s="581"/>
      <c r="I116" s="146"/>
      <c r="J116" s="590" t="n">
        <f aca="false">(1-H116)*F116</f>
        <v>0</v>
      </c>
      <c r="K116" s="228"/>
      <c r="L116" s="582"/>
      <c r="M116" s="582"/>
      <c r="N116" s="581"/>
      <c r="O116" s="209"/>
      <c r="P116" s="588" t="n">
        <f aca="false">J116+N116+O116</f>
        <v>0</v>
      </c>
      <c r="R116" s="580"/>
      <c r="S116" s="502"/>
    </row>
    <row r="117" customFormat="false" ht="12" hidden="true" customHeight="false" outlineLevel="0" collapsed="false">
      <c r="A117" s="145" t="e">
        <f aca="false">A116+1</f>
        <v>#VALUE!</v>
      </c>
      <c r="B117" s="581" t="n">
        <f aca="false">TableDE2!N117</f>
        <v>2.66684728162037</v>
      </c>
      <c r="C117" s="582"/>
      <c r="D117" s="582"/>
      <c r="E117" s="146"/>
      <c r="F117" s="583"/>
      <c r="G117" s="228"/>
      <c r="H117" s="581"/>
      <c r="I117" s="146"/>
      <c r="J117" s="590" t="n">
        <f aca="false">(1-H117)*F117</f>
        <v>0</v>
      </c>
      <c r="K117" s="228"/>
      <c r="L117" s="582"/>
      <c r="M117" s="582"/>
      <c r="N117" s="581"/>
      <c r="O117" s="209"/>
      <c r="P117" s="588" t="n">
        <f aca="false">J117+N117+O117</f>
        <v>0</v>
      </c>
      <c r="R117" s="580"/>
      <c r="S117" s="502"/>
    </row>
    <row r="118" customFormat="false" ht="12" hidden="true" customHeight="false" outlineLevel="0" collapsed="false">
      <c r="A118" s="145" t="e">
        <f aca="false">A117+1</f>
        <v>#VALUE!</v>
      </c>
      <c r="B118" s="581" t="n">
        <f aca="false">TableDE2!N118</f>
        <v>2.73464227705992</v>
      </c>
      <c r="C118" s="582"/>
      <c r="D118" s="582"/>
      <c r="E118" s="146"/>
      <c r="F118" s="583"/>
      <c r="G118" s="228"/>
      <c r="H118" s="581"/>
      <c r="I118" s="146"/>
      <c r="J118" s="590" t="n">
        <f aca="false">(1-H118)*F118</f>
        <v>0</v>
      </c>
      <c r="K118" s="228"/>
      <c r="L118" s="582"/>
      <c r="M118" s="582"/>
      <c r="N118" s="581"/>
      <c r="O118" s="209"/>
      <c r="P118" s="588" t="n">
        <f aca="false">J118+N118+O118</f>
        <v>0</v>
      </c>
      <c r="R118" s="580"/>
      <c r="S118" s="502"/>
    </row>
    <row r="119" customFormat="false" ht="12" hidden="true" customHeight="false" outlineLevel="0" collapsed="false">
      <c r="A119" s="145" t="e">
        <f aca="false">A118+1</f>
        <v>#VALUE!</v>
      </c>
      <c r="B119" s="581" t="n">
        <f aca="false">TableDE2!N119</f>
        <v>2.79218797366555</v>
      </c>
      <c r="C119" s="582"/>
      <c r="D119" s="582"/>
      <c r="E119" s="146"/>
      <c r="F119" s="583"/>
      <c r="G119" s="228"/>
      <c r="H119" s="581"/>
      <c r="I119" s="146"/>
      <c r="J119" s="590" t="n">
        <f aca="false">(1-H119)*F119</f>
        <v>0</v>
      </c>
      <c r="K119" s="228"/>
      <c r="L119" s="582"/>
      <c r="M119" s="582"/>
      <c r="N119" s="581"/>
      <c r="O119" s="209"/>
      <c r="P119" s="588" t="n">
        <f aca="false">J119+N119+O119</f>
        <v>0</v>
      </c>
      <c r="R119" s="580"/>
      <c r="S119" s="502"/>
    </row>
    <row r="120" customFormat="false" ht="12" hidden="false" customHeight="false" outlineLevel="0" collapsed="false">
      <c r="A120" s="145" t="s">
        <v>171</v>
      </c>
      <c r="B120" s="570" t="n">
        <f aca="false">TableDE2!N120</f>
        <v>2.84477836630842</v>
      </c>
      <c r="C120" s="518" t="n">
        <f aca="false">AVERAGE(TableDE3d!C120:C129)</f>
        <v>0.211379054741033</v>
      </c>
      <c r="D120" s="518" t="n">
        <f aca="false">AVERAGE(TableDE3d!D120:D129)</f>
        <v>0.788620945258967</v>
      </c>
      <c r="E120" s="597" t="n">
        <f aca="false">AVERAGE(TableDE3d!E120:E129)</f>
        <v>0.228339510582523</v>
      </c>
      <c r="F120" s="572" t="n">
        <f aca="false">AVERAGE(TableDE3d!F120:F129)</f>
        <v>0.0801237575709013</v>
      </c>
      <c r="G120" s="573" t="n">
        <f aca="false">AVERAGE(TableDE13!B39:B48)</f>
        <v>0.428501637414569</v>
      </c>
      <c r="H120" s="570" t="n">
        <f aca="false">AVERAGE(TableDE3d!H120:H129)</f>
        <v>0.264142140203379</v>
      </c>
      <c r="I120" s="574" t="n">
        <f aca="false">AVERAGE(TableDE3d!L120:L129)</f>
        <v>0.168179623000917</v>
      </c>
      <c r="J120" s="589" t="n">
        <f aca="false">AVERAGE(TableDE3d!M120:M129)</f>
        <v>0.0589772563137649</v>
      </c>
      <c r="K120" s="599" t="n">
        <f aca="false">AVERAGE(TableDE3d!N120:N129)</f>
        <v>0.0980890836592589</v>
      </c>
      <c r="L120" s="521" t="n">
        <f aca="false">AVERAGE(TableDE3d!O120:O129)</f>
        <v>0.115794257113439</v>
      </c>
      <c r="M120" s="521" t="n">
        <f aca="false">AVERAGE(TableDE3d!O120:O129)+AVERAGE(TableDE3d!P120:P129)</f>
        <v>0.115794257113439</v>
      </c>
      <c r="N120" s="577" t="n">
        <f aca="false">PRODUCT(TableDE5a!AB121:AB130)^(1/10)-1</f>
        <v>-0.00208311592830757</v>
      </c>
      <c r="O120" s="578" t="n">
        <f aca="false">PRODUCT(TableDE5a!AC121:AC130)^(1/10)-1</f>
        <v>0</v>
      </c>
      <c r="P120" s="579" t="n">
        <f aca="false">J120+N120+O120</f>
        <v>0.0568941403854573</v>
      </c>
      <c r="Q120" s="158"/>
      <c r="R120" s="580"/>
      <c r="S120" s="502" t="n">
        <f aca="false">C120+D120-1</f>
        <v>0</v>
      </c>
    </row>
    <row r="121" customFormat="false" ht="12" hidden="true" customHeight="false" outlineLevel="0" collapsed="false">
      <c r="A121" s="145" t="e">
        <f aca="false">A120+1</f>
        <v>#VALUE!</v>
      </c>
      <c r="B121" s="581" t="n">
        <f aca="false">TableDE2!N121</f>
        <v>2.88515142971853</v>
      </c>
      <c r="C121" s="582"/>
      <c r="D121" s="582"/>
      <c r="E121" s="146"/>
      <c r="F121" s="583"/>
      <c r="G121" s="228"/>
      <c r="H121" s="581"/>
      <c r="I121" s="146"/>
      <c r="J121" s="590" t="n">
        <f aca="false">(1-H121)*F121</f>
        <v>0</v>
      </c>
      <c r="K121" s="228"/>
      <c r="L121" s="582"/>
      <c r="M121" s="582"/>
      <c r="N121" s="581"/>
      <c r="O121" s="209"/>
      <c r="P121" s="588" t="n">
        <f aca="false">J121+N121+O121</f>
        <v>0</v>
      </c>
      <c r="R121" s="580"/>
      <c r="S121" s="502"/>
    </row>
    <row r="122" customFormat="false" ht="12" hidden="true" customHeight="false" outlineLevel="0" collapsed="false">
      <c r="A122" s="145" t="e">
        <f aca="false">A121+1</f>
        <v>#VALUE!</v>
      </c>
      <c r="B122" s="581" t="n">
        <f aca="false">TableDE2!N122</f>
        <v>2.91001965676218</v>
      </c>
      <c r="C122" s="582"/>
      <c r="D122" s="582"/>
      <c r="E122" s="146"/>
      <c r="F122" s="583"/>
      <c r="G122" s="228"/>
      <c r="H122" s="581"/>
      <c r="I122" s="146"/>
      <c r="J122" s="590" t="n">
        <f aca="false">(1-H122)*F122</f>
        <v>0</v>
      </c>
      <c r="K122" s="228"/>
      <c r="L122" s="582"/>
      <c r="M122" s="582"/>
      <c r="N122" s="581"/>
      <c r="O122" s="209"/>
      <c r="P122" s="588" t="n">
        <f aca="false">J122+N122+O122</f>
        <v>0</v>
      </c>
      <c r="R122" s="580"/>
      <c r="S122" s="502"/>
    </row>
    <row r="123" customFormat="false" ht="12" hidden="true" customHeight="false" outlineLevel="0" collapsed="false">
      <c r="A123" s="145" t="e">
        <f aca="false">A122+1</f>
        <v>#VALUE!</v>
      </c>
      <c r="B123" s="581" t="n">
        <f aca="false">TableDE2!N123</f>
        <v>2.92702723147243</v>
      </c>
      <c r="C123" s="582"/>
      <c r="D123" s="582"/>
      <c r="E123" s="146"/>
      <c r="F123" s="583"/>
      <c r="G123" s="228"/>
      <c r="H123" s="581"/>
      <c r="I123" s="146"/>
      <c r="J123" s="590" t="n">
        <f aca="false">(1-H123)*F123</f>
        <v>0</v>
      </c>
      <c r="K123" s="228"/>
      <c r="L123" s="582"/>
      <c r="M123" s="582"/>
      <c r="N123" s="581"/>
      <c r="O123" s="209"/>
      <c r="P123" s="588" t="n">
        <f aca="false">J123+N123+O123</f>
        <v>0</v>
      </c>
      <c r="R123" s="580"/>
      <c r="S123" s="502"/>
    </row>
    <row r="124" customFormat="false" ht="12" hidden="true" customHeight="false" outlineLevel="0" collapsed="false">
      <c r="A124" s="145" t="e">
        <f aca="false">A123+1</f>
        <v>#VALUE!</v>
      </c>
      <c r="B124" s="581" t="n">
        <f aca="false">TableDE2!N124</f>
        <v>2.95105158483691</v>
      </c>
      <c r="C124" s="582"/>
      <c r="D124" s="582"/>
      <c r="E124" s="146"/>
      <c r="F124" s="583"/>
      <c r="G124" s="228"/>
      <c r="H124" s="581"/>
      <c r="I124" s="146"/>
      <c r="J124" s="590" t="n">
        <f aca="false">(1-H124)*F124</f>
        <v>0</v>
      </c>
      <c r="K124" s="228"/>
      <c r="L124" s="582"/>
      <c r="M124" s="582"/>
      <c r="N124" s="581"/>
      <c r="O124" s="209"/>
      <c r="P124" s="588" t="n">
        <f aca="false">J124+N124+O124</f>
        <v>0</v>
      </c>
      <c r="R124" s="580"/>
      <c r="S124" s="502"/>
    </row>
    <row r="125" customFormat="false" ht="12" hidden="true" customHeight="false" outlineLevel="0" collapsed="false">
      <c r="A125" s="145" t="e">
        <f aca="false">A124+1</f>
        <v>#VALUE!</v>
      </c>
      <c r="B125" s="581" t="n">
        <f aca="false">TableDE2!N125</f>
        <v>2.97455102104863</v>
      </c>
      <c r="C125" s="582"/>
      <c r="D125" s="582"/>
      <c r="E125" s="146"/>
      <c r="F125" s="583"/>
      <c r="G125" s="228"/>
      <c r="H125" s="581"/>
      <c r="I125" s="146"/>
      <c r="J125" s="590" t="n">
        <f aca="false">(1-H125)*F125</f>
        <v>0</v>
      </c>
      <c r="K125" s="228"/>
      <c r="L125" s="582"/>
      <c r="M125" s="582"/>
      <c r="N125" s="581"/>
      <c r="O125" s="209"/>
      <c r="P125" s="588" t="n">
        <f aca="false">J125+N125+O125</f>
        <v>0</v>
      </c>
      <c r="R125" s="580"/>
      <c r="S125" s="502"/>
    </row>
    <row r="126" customFormat="false" ht="12" hidden="true" customHeight="false" outlineLevel="0" collapsed="false">
      <c r="A126" s="145" t="e">
        <f aca="false">A125+1</f>
        <v>#VALUE!</v>
      </c>
      <c r="B126" s="581" t="n">
        <f aca="false">TableDE2!N126</f>
        <v>2.99448555207326</v>
      </c>
      <c r="C126" s="582"/>
      <c r="D126" s="582"/>
      <c r="E126" s="146"/>
      <c r="F126" s="583"/>
      <c r="G126" s="228"/>
      <c r="H126" s="581"/>
      <c r="I126" s="146"/>
      <c r="J126" s="590" t="n">
        <f aca="false">(1-H126)*F126</f>
        <v>0</v>
      </c>
      <c r="K126" s="228"/>
      <c r="L126" s="582"/>
      <c r="M126" s="582"/>
      <c r="N126" s="581"/>
      <c r="O126" s="209"/>
      <c r="P126" s="588" t="n">
        <f aca="false">J126+N126+O126</f>
        <v>0</v>
      </c>
      <c r="R126" s="580"/>
      <c r="S126" s="502"/>
    </row>
    <row r="127" customFormat="false" ht="12" hidden="true" customHeight="false" outlineLevel="0" collapsed="false">
      <c r="A127" s="145" t="e">
        <f aca="false">A126+1</f>
        <v>#VALUE!</v>
      </c>
      <c r="B127" s="581" t="n">
        <f aca="false">TableDE2!N127</f>
        <v>3.02059230730775</v>
      </c>
      <c r="C127" s="582"/>
      <c r="D127" s="582"/>
      <c r="E127" s="146"/>
      <c r="F127" s="583"/>
      <c r="G127" s="228"/>
      <c r="H127" s="581"/>
      <c r="I127" s="146"/>
      <c r="J127" s="590" t="n">
        <f aca="false">(1-H127)*F127</f>
        <v>0</v>
      </c>
      <c r="K127" s="228"/>
      <c r="L127" s="582"/>
      <c r="M127" s="582"/>
      <c r="N127" s="581"/>
      <c r="O127" s="209"/>
      <c r="P127" s="588" t="n">
        <f aca="false">J127+N127+O127</f>
        <v>0</v>
      </c>
      <c r="R127" s="580"/>
      <c r="S127" s="502"/>
    </row>
    <row r="128" customFormat="false" ht="12" hidden="true" customHeight="false" outlineLevel="0" collapsed="false">
      <c r="A128" s="145" t="e">
        <f aca="false">A127+1</f>
        <v>#VALUE!</v>
      </c>
      <c r="B128" s="581" t="n">
        <f aca="false">TableDE2!N128</f>
        <v>3.04748977611931</v>
      </c>
      <c r="C128" s="582"/>
      <c r="D128" s="582"/>
      <c r="E128" s="146"/>
      <c r="F128" s="583"/>
      <c r="G128" s="228"/>
      <c r="H128" s="581"/>
      <c r="I128" s="146"/>
      <c r="J128" s="590" t="n">
        <f aca="false">(1-H128)*F128</f>
        <v>0</v>
      </c>
      <c r="K128" s="228"/>
      <c r="L128" s="582"/>
      <c r="M128" s="582"/>
      <c r="N128" s="581"/>
      <c r="O128" s="209"/>
      <c r="P128" s="588" t="n">
        <f aca="false">J128+N128+O128</f>
        <v>0</v>
      </c>
      <c r="R128" s="580"/>
      <c r="S128" s="502"/>
    </row>
    <row r="129" customFormat="false" ht="12" hidden="true" customHeight="false" outlineLevel="0" collapsed="false">
      <c r="A129" s="145" t="e">
        <f aca="false">A128+1</f>
        <v>#VALUE!</v>
      </c>
      <c r="B129" s="581" t="n">
        <f aca="false">TableDE2!N129</f>
        <v>3.08488036714676</v>
      </c>
      <c r="C129" s="582"/>
      <c r="D129" s="582"/>
      <c r="E129" s="146"/>
      <c r="F129" s="583"/>
      <c r="G129" s="228"/>
      <c r="H129" s="581"/>
      <c r="I129" s="146"/>
      <c r="J129" s="590" t="n">
        <f aca="false">(1-H129)*F129</f>
        <v>0</v>
      </c>
      <c r="K129" s="228"/>
      <c r="L129" s="582"/>
      <c r="M129" s="582"/>
      <c r="N129" s="581"/>
      <c r="O129" s="209"/>
      <c r="P129" s="588" t="n">
        <f aca="false">J129+N129+O129</f>
        <v>0</v>
      </c>
      <c r="R129" s="580"/>
      <c r="S129" s="502"/>
    </row>
    <row r="130" customFormat="false" ht="12" hidden="false" customHeight="false" outlineLevel="0" collapsed="false">
      <c r="A130" s="145" t="s">
        <v>172</v>
      </c>
      <c r="B130" s="570" t="n">
        <f aca="false">TableDE2!N130</f>
        <v>3.1344869674577</v>
      </c>
      <c r="C130" s="518" t="n">
        <f aca="false">AVERAGE(TableDE3d!C130:C139)</f>
        <v>0.236101735855855</v>
      </c>
      <c r="D130" s="518" t="n">
        <f aca="false">AVERAGE(TableDE3d!D130:D139)</f>
        <v>0.763898264144146</v>
      </c>
      <c r="E130" s="597" t="n">
        <f aca="false">AVERAGE(TableDE3d!E130:E139)</f>
        <v>0.262989764940323</v>
      </c>
      <c r="F130" s="572" t="n">
        <f aca="false">AVERAGE(TableDE3d!F130:F139)</f>
        <v>0.0839935883453629</v>
      </c>
      <c r="G130" s="573" t="n">
        <f aca="false">AVERAGE(TableDE13!B49:B58)</f>
        <v>0.447983884115336</v>
      </c>
      <c r="H130" s="570" t="n">
        <f aca="false">AVERAGE(TableDE3d!H130:H139)</f>
        <v>0.274323203438705</v>
      </c>
      <c r="I130" s="574" t="n">
        <f aca="false">AVERAGE(TableDE3d!L130:L139)</f>
        <v>0.190939857819773</v>
      </c>
      <c r="J130" s="589" t="n">
        <f aca="false">AVERAGE(TableDE3d!M130:M139)</f>
        <v>0.0610082342158806</v>
      </c>
      <c r="K130" s="599" t="n">
        <f aca="false">AVERAGE(TableDE3d!N130:N139)</f>
        <v>0.0929549185773408</v>
      </c>
      <c r="L130" s="521" t="n">
        <f aca="false">AVERAGE(TableDE3d!O130:O139)</f>
        <v>0.119886496719583</v>
      </c>
      <c r="M130" s="521" t="n">
        <f aca="false">AVERAGE(TableDE3d!O130:O139)+AVERAGE(TableDE3d!P130:P139)</f>
        <v>0.119886496719583</v>
      </c>
      <c r="N130" s="577" t="n">
        <f aca="false">PRODUCT(TableDE5a!AB131:AB140)^(1/10)-1</f>
        <v>-0.00207664217188186</v>
      </c>
      <c r="O130" s="578" t="n">
        <f aca="false">PRODUCT(TableDE5a!AC131:AC140)^(1/10)-1</f>
        <v>0</v>
      </c>
      <c r="P130" s="579" t="n">
        <f aca="false">J130+N130+O130</f>
        <v>0.0589315920439988</v>
      </c>
      <c r="Q130" s="158"/>
      <c r="R130" s="580"/>
      <c r="S130" s="502" t="n">
        <f aca="false">C130+D130-1</f>
        <v>0</v>
      </c>
    </row>
    <row r="131" customFormat="false" ht="12" hidden="true" customHeight="false" outlineLevel="0" collapsed="false">
      <c r="A131" s="145" t="e">
        <f aca="false">A130+1</f>
        <v>#VALUE!</v>
      </c>
      <c r="B131" s="581" t="n">
        <f aca="false">TableDE2!N131</f>
        <v>3.19762343965167</v>
      </c>
      <c r="C131" s="582"/>
      <c r="D131" s="582"/>
      <c r="E131" s="146"/>
      <c r="F131" s="583"/>
      <c r="G131" s="228"/>
      <c r="H131" s="582"/>
      <c r="I131" s="146"/>
      <c r="J131" s="590" t="n">
        <f aca="false">(1-H131)*F131</f>
        <v>0</v>
      </c>
      <c r="K131" s="228"/>
      <c r="L131" s="582"/>
      <c r="M131" s="582"/>
      <c r="N131" s="581"/>
      <c r="O131" s="209"/>
      <c r="P131" s="588" t="n">
        <f aca="false">J131+N131+O131</f>
        <v>0</v>
      </c>
      <c r="R131" s="580"/>
      <c r="S131" s="502"/>
    </row>
    <row r="132" customFormat="false" ht="12" hidden="true" customHeight="false" outlineLevel="0" collapsed="false">
      <c r="A132" s="145" t="e">
        <f aca="false">A131+1</f>
        <v>#VALUE!</v>
      </c>
      <c r="B132" s="581" t="n">
        <f aca="false">TableDE2!N132</f>
        <v>3.2692269455617</v>
      </c>
      <c r="C132" s="582"/>
      <c r="D132" s="582"/>
      <c r="E132" s="146"/>
      <c r="F132" s="583"/>
      <c r="G132" s="228"/>
      <c r="H132" s="582"/>
      <c r="I132" s="146"/>
      <c r="J132" s="590" t="n">
        <f aca="false">(1-H132)*F132</f>
        <v>0</v>
      </c>
      <c r="K132" s="228"/>
      <c r="L132" s="582"/>
      <c r="M132" s="582"/>
      <c r="N132" s="581"/>
      <c r="O132" s="209"/>
      <c r="P132" s="588" t="n">
        <f aca="false">J132+N132+O132</f>
        <v>0</v>
      </c>
      <c r="R132" s="580"/>
      <c r="S132" s="502"/>
    </row>
    <row r="133" customFormat="false" ht="12" hidden="true" customHeight="false" outlineLevel="0" collapsed="false">
      <c r="A133" s="145" t="e">
        <f aca="false">A132+1</f>
        <v>#VALUE!</v>
      </c>
      <c r="B133" s="581" t="n">
        <f aca="false">TableDE2!N133</f>
        <v>3.34249200586192</v>
      </c>
      <c r="C133" s="582"/>
      <c r="D133" s="582"/>
      <c r="E133" s="146"/>
      <c r="F133" s="583"/>
      <c r="G133" s="228"/>
      <c r="H133" s="582"/>
      <c r="I133" s="146"/>
      <c r="J133" s="590" t="n">
        <f aca="false">(1-H133)*F133</f>
        <v>0</v>
      </c>
      <c r="K133" s="228"/>
      <c r="L133" s="582"/>
      <c r="M133" s="582"/>
      <c r="N133" s="581"/>
      <c r="O133" s="209"/>
      <c r="P133" s="588" t="n">
        <f aca="false">J133+N133+O133</f>
        <v>0</v>
      </c>
      <c r="R133" s="580"/>
      <c r="S133" s="502"/>
    </row>
    <row r="134" customFormat="false" ht="12" hidden="true" customHeight="false" outlineLevel="0" collapsed="false">
      <c r="A134" s="145" t="e">
        <f aca="false">A133+1</f>
        <v>#VALUE!</v>
      </c>
      <c r="B134" s="581" t="n">
        <f aca="false">TableDE2!N134</f>
        <v>3.40935291431335</v>
      </c>
      <c r="C134" s="582"/>
      <c r="D134" s="582"/>
      <c r="E134" s="146"/>
      <c r="F134" s="583"/>
      <c r="G134" s="228"/>
      <c r="H134" s="582"/>
      <c r="I134" s="146"/>
      <c r="J134" s="590" t="n">
        <f aca="false">(1-H134)*F134</f>
        <v>0</v>
      </c>
      <c r="K134" s="228"/>
      <c r="L134" s="582"/>
      <c r="M134" s="582"/>
      <c r="N134" s="581"/>
      <c r="O134" s="209"/>
      <c r="P134" s="588" t="n">
        <f aca="false">J134+N134+O134</f>
        <v>0</v>
      </c>
      <c r="R134" s="580"/>
      <c r="S134" s="502"/>
    </row>
    <row r="135" customFormat="false" ht="12" hidden="true" customHeight="false" outlineLevel="0" collapsed="false">
      <c r="A135" s="145" t="e">
        <f aca="false">A134+1</f>
        <v>#VALUE!</v>
      </c>
      <c r="B135" s="581" t="n">
        <f aca="false">TableDE2!N135</f>
        <v>3.47446470247719</v>
      </c>
      <c r="C135" s="582"/>
      <c r="D135" s="582"/>
      <c r="E135" s="146"/>
      <c r="F135" s="583"/>
      <c r="G135" s="228"/>
      <c r="H135" s="582"/>
      <c r="I135" s="146"/>
      <c r="J135" s="590" t="n">
        <f aca="false">(1-H135)*F135</f>
        <v>0</v>
      </c>
      <c r="K135" s="228"/>
      <c r="L135" s="582"/>
      <c r="M135" s="582"/>
      <c r="N135" s="581"/>
      <c r="O135" s="209"/>
      <c r="P135" s="588" t="n">
        <f aca="false">J135+N135+O135</f>
        <v>0</v>
      </c>
      <c r="R135" s="580"/>
      <c r="S135" s="502"/>
    </row>
    <row r="136" customFormat="false" ht="12" hidden="true" customHeight="false" outlineLevel="0" collapsed="false">
      <c r="A136" s="145" t="e">
        <f aca="false">A135+1</f>
        <v>#VALUE!</v>
      </c>
      <c r="B136" s="581" t="n">
        <f aca="false">TableDE2!N136</f>
        <v>3.54788242221573</v>
      </c>
      <c r="C136" s="582"/>
      <c r="D136" s="582"/>
      <c r="E136" s="146"/>
      <c r="F136" s="583"/>
      <c r="G136" s="228"/>
      <c r="H136" s="582"/>
      <c r="I136" s="146"/>
      <c r="J136" s="590" t="n">
        <f aca="false">(1-H136)*F136</f>
        <v>0</v>
      </c>
      <c r="K136" s="228"/>
      <c r="L136" s="582"/>
      <c r="M136" s="582"/>
      <c r="N136" s="581"/>
      <c r="O136" s="209"/>
      <c r="P136" s="588" t="n">
        <f aca="false">J136+N136+O136</f>
        <v>0</v>
      </c>
      <c r="R136" s="580"/>
      <c r="S136" s="502"/>
    </row>
    <row r="137" customFormat="false" ht="12" hidden="true" customHeight="false" outlineLevel="0" collapsed="false">
      <c r="A137" s="145" t="e">
        <f aca="false">A136+1</f>
        <v>#VALUE!</v>
      </c>
      <c r="B137" s="581" t="n">
        <f aca="false">TableDE2!N137</f>
        <v>3.60492222934844</v>
      </c>
      <c r="C137" s="582"/>
      <c r="D137" s="582"/>
      <c r="E137" s="146"/>
      <c r="F137" s="583"/>
      <c r="G137" s="228"/>
      <c r="H137" s="582"/>
      <c r="I137" s="146"/>
      <c r="J137" s="590" t="n">
        <f aca="false">(1-H137)*F137</f>
        <v>0</v>
      </c>
      <c r="K137" s="228"/>
      <c r="L137" s="582"/>
      <c r="M137" s="582"/>
      <c r="N137" s="581"/>
      <c r="O137" s="209"/>
      <c r="P137" s="588" t="n">
        <f aca="false">J137+N137+O137</f>
        <v>0</v>
      </c>
      <c r="R137" s="580"/>
      <c r="S137" s="502"/>
    </row>
    <row r="138" customFormat="false" ht="12" hidden="true" customHeight="false" outlineLevel="0" collapsed="false">
      <c r="A138" s="145" t="e">
        <f aca="false">A137+1</f>
        <v>#VALUE!</v>
      </c>
      <c r="B138" s="581" t="n">
        <f aca="false">TableDE2!N138</f>
        <v>3.65282842598255</v>
      </c>
      <c r="C138" s="582"/>
      <c r="D138" s="582"/>
      <c r="E138" s="146"/>
      <c r="F138" s="583"/>
      <c r="G138" s="228"/>
      <c r="H138" s="582"/>
      <c r="I138" s="146"/>
      <c r="J138" s="590" t="n">
        <f aca="false">(1-H138)*F138</f>
        <v>0</v>
      </c>
      <c r="K138" s="228"/>
      <c r="L138" s="582"/>
      <c r="M138" s="582"/>
      <c r="N138" s="581"/>
      <c r="O138" s="209"/>
      <c r="P138" s="588" t="n">
        <f aca="false">J138+N138+O138</f>
        <v>0</v>
      </c>
      <c r="R138" s="580"/>
      <c r="S138" s="502"/>
    </row>
    <row r="139" customFormat="false" ht="12" hidden="true" customHeight="false" outlineLevel="0" collapsed="false">
      <c r="A139" s="145" t="e">
        <f aca="false">A138+1</f>
        <v>#VALUE!</v>
      </c>
      <c r="B139" s="581" t="n">
        <f aca="false">TableDE2!N139</f>
        <v>3.70179453174346</v>
      </c>
      <c r="C139" s="582"/>
      <c r="D139" s="582"/>
      <c r="E139" s="146"/>
      <c r="F139" s="583"/>
      <c r="G139" s="228"/>
      <c r="H139" s="582"/>
      <c r="I139" s="146"/>
      <c r="J139" s="590" t="n">
        <f aca="false">(1-H139)*F139</f>
        <v>0</v>
      </c>
      <c r="K139" s="228"/>
      <c r="L139" s="582"/>
      <c r="M139" s="582"/>
      <c r="N139" s="581"/>
      <c r="O139" s="209"/>
      <c r="P139" s="588" t="n">
        <f aca="false">J139+N139+O139</f>
        <v>0</v>
      </c>
      <c r="R139" s="580"/>
      <c r="S139" s="502"/>
    </row>
    <row r="140" customFormat="false" ht="12" hidden="false" customHeight="false" outlineLevel="0" collapsed="false">
      <c r="A140" s="145" t="s">
        <v>173</v>
      </c>
      <c r="B140" s="570" t="n">
        <f aca="false">TableDE2!N140</f>
        <v>3.76618931654701</v>
      </c>
      <c r="C140" s="518" t="n">
        <f aca="false">AVERAGE(TableDE3d!C140:C149)</f>
        <v>0.286930924352195</v>
      </c>
      <c r="D140" s="518" t="n">
        <f aca="false">AVERAGE(TableDE3d!D140:D149)</f>
        <v>0.713069075647805</v>
      </c>
      <c r="E140" s="597" t="n">
        <f aca="false">AVERAGE(TableDE3d!E140:E149)</f>
        <v>0.31497041204657</v>
      </c>
      <c r="F140" s="572" t="n">
        <f aca="false">AVERAGE(TableDE3d!F140:F149)</f>
        <v>0.0835651243183598</v>
      </c>
      <c r="G140" s="573" t="n">
        <f aca="false">AVERAGE(TableDE13!B59:B68)</f>
        <v>0.45081574701425</v>
      </c>
      <c r="H140" s="497" t="n">
        <f aca="false">AVERAGE(TableDE3d!H140:H149)</f>
        <v>0.264756434139505</v>
      </c>
      <c r="I140" s="574" t="n">
        <f aca="false">AVERAGE(TableDE3d!L140:L149)</f>
        <v>0.231608145831481</v>
      </c>
      <c r="J140" s="589" t="n">
        <f aca="false">AVERAGE(TableDE3d!M140:M149)</f>
        <v>0.0614433252347506</v>
      </c>
      <c r="K140" s="599" t="n">
        <f aca="false">AVERAGE(TableDE3d!N140:N149)</f>
        <v>0.084998398084519</v>
      </c>
      <c r="L140" s="521" t="n">
        <f aca="false">AVERAGE(TableDE3d!O140:O149)</f>
        <v>0.118442493562183</v>
      </c>
      <c r="M140" s="521" t="n">
        <f aca="false">AVERAGE(TableDE3d!O140:O149)+AVERAGE(TableDE3d!P140:P149)</f>
        <v>0.118442493562183</v>
      </c>
      <c r="N140" s="577" t="n">
        <f aca="false">PRODUCT(TableDE5a!AB141:AB150)^(1/10)-1</f>
        <v>-0.00440863627792254</v>
      </c>
      <c r="O140" s="578" t="n">
        <f aca="false">PRODUCT(TableDE5a!AC141:AC150)^(1/10)-1</f>
        <v>0</v>
      </c>
      <c r="P140" s="579" t="n">
        <f aca="false">J140+N140+O140</f>
        <v>0.0570346889568281</v>
      </c>
      <c r="Q140" s="158"/>
      <c r="R140" s="580"/>
      <c r="S140" s="502" t="n">
        <f aca="false">C140+D140-1</f>
        <v>0</v>
      </c>
    </row>
    <row r="141" customFormat="false" ht="12" hidden="true" customHeight="false" outlineLevel="0" collapsed="false">
      <c r="A141" s="145" t="e">
        <f aca="false">A140+1</f>
        <v>#VALUE!</v>
      </c>
      <c r="B141" s="581" t="n">
        <f aca="false">TableDE2!N141</f>
        <v>3.8214349951338</v>
      </c>
      <c r="C141" s="582"/>
      <c r="D141" s="582"/>
      <c r="E141" s="146"/>
      <c r="F141" s="583"/>
      <c r="G141" s="228"/>
      <c r="H141" s="582"/>
      <c r="I141" s="146"/>
      <c r="J141" s="590" t="n">
        <f aca="false">(1-H141)*F141</f>
        <v>0</v>
      </c>
      <c r="K141" s="228"/>
      <c r="L141" s="582"/>
      <c r="M141" s="582"/>
      <c r="N141" s="581"/>
      <c r="O141" s="578" t="n">
        <f aca="false">PRODUCT(TableDE5a!AC142:AC151)^(1/10)-1</f>
        <v>0</v>
      </c>
      <c r="P141" s="588" t="n">
        <f aca="false">J141+N141+O141</f>
        <v>0</v>
      </c>
      <c r="R141" s="580"/>
      <c r="S141" s="502"/>
    </row>
    <row r="142" customFormat="false" ht="12" hidden="true" customHeight="false" outlineLevel="0" collapsed="false">
      <c r="A142" s="145" t="e">
        <f aca="false">A141+1</f>
        <v>#VALUE!</v>
      </c>
      <c r="B142" s="581" t="n">
        <f aca="false">TableDE2!N142</f>
        <v>3.87455994061424</v>
      </c>
      <c r="C142" s="582"/>
      <c r="D142" s="582"/>
      <c r="E142" s="146"/>
      <c r="F142" s="583"/>
      <c r="G142" s="228"/>
      <c r="H142" s="582"/>
      <c r="I142" s="146"/>
      <c r="J142" s="590" t="n">
        <f aca="false">(1-H142)*F142</f>
        <v>0</v>
      </c>
      <c r="K142" s="228"/>
      <c r="L142" s="582"/>
      <c r="M142" s="582"/>
      <c r="N142" s="581"/>
      <c r="O142" s="578" t="n">
        <f aca="false">PRODUCT(TableDE5a!AC143:AC152)^(1/10)-1</f>
        <v>0</v>
      </c>
      <c r="P142" s="588" t="n">
        <f aca="false">J142+N142+O142</f>
        <v>0</v>
      </c>
      <c r="R142" s="580"/>
      <c r="S142" s="502"/>
    </row>
    <row r="143" customFormat="false" ht="12" hidden="true" customHeight="false" outlineLevel="0" collapsed="false">
      <c r="A143" s="145" t="e">
        <f aca="false">A142+1</f>
        <v>#VALUE!</v>
      </c>
      <c r="B143" s="581" t="n">
        <f aca="false">TableDE2!N143</f>
        <v>3.90171451271412</v>
      </c>
      <c r="C143" s="582"/>
      <c r="D143" s="582"/>
      <c r="E143" s="146"/>
      <c r="F143" s="583"/>
      <c r="G143" s="228"/>
      <c r="H143" s="582"/>
      <c r="I143" s="146"/>
      <c r="J143" s="590" t="n">
        <f aca="false">(1-H143)*F143</f>
        <v>0</v>
      </c>
      <c r="K143" s="228"/>
      <c r="L143" s="582"/>
      <c r="M143" s="582"/>
      <c r="N143" s="581"/>
      <c r="O143" s="578" t="n">
        <f aca="false">PRODUCT(TableDE5a!AC144:AC153)^(1/10)-1</f>
        <v>0</v>
      </c>
      <c r="P143" s="588" t="n">
        <f aca="false">J143+N143+O143</f>
        <v>0</v>
      </c>
      <c r="R143" s="580"/>
      <c r="S143" s="502"/>
    </row>
    <row r="144" customFormat="false" ht="12" hidden="true" customHeight="false" outlineLevel="0" collapsed="false">
      <c r="A144" s="145" t="e">
        <f aca="false">A143+1</f>
        <v>#VALUE!</v>
      </c>
      <c r="B144" s="581" t="n">
        <f aca="false">TableDE2!N144</f>
        <v>3.92624569128033</v>
      </c>
      <c r="C144" s="582"/>
      <c r="D144" s="582"/>
      <c r="E144" s="146"/>
      <c r="F144" s="583"/>
      <c r="G144" s="228"/>
      <c r="H144" s="582"/>
      <c r="I144" s="146"/>
      <c r="J144" s="590" t="n">
        <f aca="false">(1-H144)*F144</f>
        <v>0</v>
      </c>
      <c r="K144" s="228"/>
      <c r="L144" s="582"/>
      <c r="M144" s="582"/>
      <c r="N144" s="581"/>
      <c r="O144" s="578" t="n">
        <f aca="false">PRODUCT(TableDE5a!AC145:AC154)^(1/10)-1</f>
        <v>0</v>
      </c>
      <c r="P144" s="588" t="n">
        <f aca="false">J144+N144+O144</f>
        <v>0</v>
      </c>
      <c r="R144" s="580"/>
      <c r="S144" s="502"/>
    </row>
    <row r="145" customFormat="false" ht="12" hidden="true" customHeight="false" outlineLevel="0" collapsed="false">
      <c r="A145" s="145" t="e">
        <f aca="false">A144+1</f>
        <v>#VALUE!</v>
      </c>
      <c r="B145" s="581" t="n">
        <f aca="false">TableDE2!N145</f>
        <v>3.95530362355404</v>
      </c>
      <c r="C145" s="582"/>
      <c r="D145" s="582"/>
      <c r="E145" s="146"/>
      <c r="F145" s="583"/>
      <c r="G145" s="228"/>
      <c r="H145" s="582"/>
      <c r="I145" s="146"/>
      <c r="J145" s="590" t="n">
        <f aca="false">(1-H145)*F145</f>
        <v>0</v>
      </c>
      <c r="K145" s="228"/>
      <c r="L145" s="582"/>
      <c r="M145" s="582"/>
      <c r="N145" s="581"/>
      <c r="O145" s="578" t="n">
        <f aca="false">PRODUCT(TableDE5a!AC146:AC155)^(1/10)-1</f>
        <v>0</v>
      </c>
      <c r="P145" s="588" t="n">
        <f aca="false">J145+N145+O145</f>
        <v>0</v>
      </c>
      <c r="R145" s="580"/>
      <c r="S145" s="502"/>
    </row>
    <row r="146" customFormat="false" ht="12" hidden="true" customHeight="false" outlineLevel="0" collapsed="false">
      <c r="A146" s="145" t="e">
        <f aca="false">A145+1</f>
        <v>#VALUE!</v>
      </c>
      <c r="B146" s="581" t="n">
        <f aca="false">TableDE2!N146</f>
        <v>3.97502907383411</v>
      </c>
      <c r="C146" s="582"/>
      <c r="D146" s="582"/>
      <c r="E146" s="146"/>
      <c r="F146" s="583"/>
      <c r="G146" s="228"/>
      <c r="H146" s="582"/>
      <c r="I146" s="146"/>
      <c r="J146" s="590" t="n">
        <f aca="false">(1-H146)*F146</f>
        <v>0</v>
      </c>
      <c r="K146" s="228"/>
      <c r="L146" s="582"/>
      <c r="M146" s="582"/>
      <c r="N146" s="581"/>
      <c r="O146" s="578" t="n">
        <f aca="false">PRODUCT(TableDE5a!AC147:AC156)^(1/10)-1</f>
        <v>0</v>
      </c>
      <c r="P146" s="588" t="n">
        <f aca="false">J146+N146+O146</f>
        <v>0</v>
      </c>
      <c r="R146" s="580"/>
      <c r="S146" s="502"/>
    </row>
    <row r="147" customFormat="false" ht="12" hidden="true" customHeight="false" outlineLevel="0" collapsed="false">
      <c r="A147" s="145" t="e">
        <f aca="false">A146+1</f>
        <v>#VALUE!</v>
      </c>
      <c r="B147" s="581" t="n">
        <f aca="false">TableDE2!N147</f>
        <v>4.01445519276842</v>
      </c>
      <c r="C147" s="582"/>
      <c r="D147" s="582"/>
      <c r="E147" s="146"/>
      <c r="F147" s="583"/>
      <c r="G147" s="228"/>
      <c r="H147" s="582"/>
      <c r="I147" s="146"/>
      <c r="J147" s="590" t="n">
        <f aca="false">(1-H147)*F147</f>
        <v>0</v>
      </c>
      <c r="K147" s="228"/>
      <c r="L147" s="582"/>
      <c r="M147" s="582"/>
      <c r="N147" s="581"/>
      <c r="O147" s="578" t="n">
        <f aca="false">PRODUCT(TableDE5a!AC148:AC157)^(1/10)-1</f>
        <v>0</v>
      </c>
      <c r="P147" s="588" t="n">
        <f aca="false">J147+N147+O147</f>
        <v>0</v>
      </c>
      <c r="R147" s="580"/>
      <c r="S147" s="502"/>
    </row>
    <row r="148" customFormat="false" ht="12" hidden="true" customHeight="false" outlineLevel="0" collapsed="false">
      <c r="A148" s="145" t="e">
        <f aca="false">A147+1</f>
        <v>#VALUE!</v>
      </c>
      <c r="B148" s="600" t="n">
        <f aca="false">TableDE2!N148</f>
        <v>4.07044741400113</v>
      </c>
      <c r="C148" s="601"/>
      <c r="D148" s="602"/>
      <c r="E148" s="150"/>
      <c r="F148" s="575"/>
      <c r="G148" s="603"/>
      <c r="H148" s="497"/>
      <c r="I148" s="574"/>
      <c r="J148" s="589" t="n">
        <f aca="false">(1-H148)*F148</f>
        <v>0</v>
      </c>
      <c r="K148" s="599"/>
      <c r="L148" s="497"/>
      <c r="M148" s="497"/>
      <c r="N148" s="265"/>
      <c r="O148" s="578" t="n">
        <f aca="false">PRODUCT(TableDE5a!AC149:AC158)^(1/10)-1</f>
        <v>0</v>
      </c>
      <c r="P148" s="579" t="n">
        <f aca="false">J148+N148+O148</f>
        <v>0</v>
      </c>
      <c r="R148" s="580"/>
      <c r="S148" s="502"/>
    </row>
    <row r="149" customFormat="false" ht="12" hidden="true" customHeight="false" outlineLevel="0" collapsed="false">
      <c r="A149" s="145" t="e">
        <f aca="false">A148+1</f>
        <v>#VALUE!</v>
      </c>
      <c r="B149" s="600" t="n">
        <f aca="false">TableDE2!N149</f>
        <v>4.12841602871081</v>
      </c>
      <c r="C149" s="601"/>
      <c r="D149" s="602"/>
      <c r="E149" s="150"/>
      <c r="F149" s="575"/>
      <c r="G149" s="603"/>
      <c r="H149" s="497"/>
      <c r="I149" s="574"/>
      <c r="J149" s="589" t="n">
        <f aca="false">(1-H149)*F149</f>
        <v>0</v>
      </c>
      <c r="K149" s="599"/>
      <c r="L149" s="497"/>
      <c r="M149" s="497"/>
      <c r="N149" s="265"/>
      <c r="O149" s="578" t="n">
        <f aca="false">PRODUCT(TableDE5a!AC150:AC159)^(1/10)-1</f>
        <v>0</v>
      </c>
      <c r="P149" s="579" t="n">
        <f aca="false">J149+N149+O149</f>
        <v>0</v>
      </c>
      <c r="R149" s="580"/>
      <c r="S149" s="502"/>
    </row>
    <row r="150" customFormat="false" ht="13" hidden="false" customHeight="false" outlineLevel="0" collapsed="false">
      <c r="A150" s="177" t="s">
        <v>174</v>
      </c>
      <c r="B150" s="604" t="n">
        <f aca="false">TableDE2!N150</f>
        <v>4.11664761767039</v>
      </c>
      <c r="C150" s="605" t="n">
        <f aca="false">AVERAGE(TableDE3d!C150:C151)</f>
        <v>0.306628709200897</v>
      </c>
      <c r="D150" s="605" t="n">
        <f aca="false">AVERAGE(TableDE3d!D150:D151)</f>
        <v>0.693371290799103</v>
      </c>
      <c r="E150" s="606" t="n">
        <f aca="false">AVERAGE(TableDE3d!E150:E151)</f>
        <v>0.328216448799429</v>
      </c>
      <c r="F150" s="607" t="n">
        <f aca="false">AVERAGE(TableDE3d!F150:F151)</f>
        <v>0.0797289418265049</v>
      </c>
      <c r="G150" s="608" t="n">
        <f aca="false">AVERAGE(TableDE13!B69:B70)</f>
        <v>0.441260481583717</v>
      </c>
      <c r="H150" s="550" t="n">
        <f aca="false">AVERAGE(TableDE3d!H150:H151)</f>
        <v>0.267650192418362</v>
      </c>
      <c r="I150" s="609" t="n">
        <f aca="false">AVERAGE(TableDE3d!L150:L151)</f>
        <v>0.240405937062639</v>
      </c>
      <c r="J150" s="610" t="n">
        <f aca="false">AVERAGE(TableDE3d!M150:M151)</f>
        <v>0.0583982816658998</v>
      </c>
      <c r="K150" s="611" t="n">
        <f aca="false">AVERAGE(TableDE3d!N150:N151)</f>
        <v>0.0854770023247718</v>
      </c>
      <c r="L150" s="612" t="n">
        <f aca="false">AVERAGE(TableDE3d!O150:O151)</f>
        <v>0.126508578155887</v>
      </c>
      <c r="M150" s="612" t="n">
        <f aca="false">AVERAGE(TableDE3d!O150:O151)+AVERAGE(TableDE3d!P150:P151)</f>
        <v>0.126508578155887</v>
      </c>
      <c r="N150" s="613" t="n">
        <f aca="false">PRODUCT(TableDE5a!AB151:AB151)^(1/1)-1</f>
        <v>-0.00469314569803314</v>
      </c>
      <c r="O150" s="614" t="n">
        <f aca="false">O140</f>
        <v>0</v>
      </c>
      <c r="P150" s="615" t="n">
        <f aca="false">J150+N150+O150</f>
        <v>0.0537051359678667</v>
      </c>
      <c r="Q150" s="158"/>
      <c r="R150" s="580"/>
      <c r="S150" s="502" t="n">
        <f aca="false">C150+D150-1</f>
        <v>0</v>
      </c>
    </row>
    <row r="151" customFormat="false" ht="13" hidden="false" customHeight="false" outlineLevel="0" collapsed="false">
      <c r="B151" s="197"/>
      <c r="C151" s="197"/>
      <c r="D151" s="197"/>
      <c r="E151" s="197"/>
      <c r="F151" s="616"/>
      <c r="G151" s="193"/>
      <c r="H151" s="193"/>
      <c r="I151" s="156"/>
      <c r="J151" s="617"/>
      <c r="K151" s="197"/>
      <c r="L151" s="197"/>
      <c r="M151" s="130"/>
      <c r="N151" s="197"/>
      <c r="O151" s="130"/>
      <c r="P151" s="130"/>
    </row>
    <row r="152" customFormat="false" ht="12" hidden="false" customHeight="false" outlineLevel="0" collapsed="false">
      <c r="B152" s="197"/>
      <c r="C152" s="197"/>
      <c r="D152" s="197"/>
      <c r="E152" s="197"/>
      <c r="F152" s="465"/>
      <c r="G152" s="193"/>
      <c r="H152" s="193"/>
      <c r="I152" s="156"/>
      <c r="J152" s="197"/>
      <c r="K152" s="197"/>
      <c r="L152" s="197"/>
      <c r="M152" s="130"/>
      <c r="N152" s="197"/>
      <c r="O152" s="130"/>
      <c r="P152" s="130"/>
    </row>
    <row r="153" customFormat="false" ht="12" hidden="false" customHeight="false" outlineLevel="0" collapsed="false">
      <c r="B153" s="197"/>
      <c r="C153" s="197"/>
      <c r="D153" s="197"/>
      <c r="E153" s="26"/>
      <c r="F153" s="465"/>
      <c r="G153" s="193"/>
      <c r="H153" s="193"/>
      <c r="I153" s="156"/>
      <c r="J153" s="197"/>
      <c r="K153" s="197"/>
      <c r="L153" s="197"/>
      <c r="M153" s="130"/>
      <c r="N153" s="197"/>
      <c r="O153" s="130"/>
      <c r="P153" s="130"/>
    </row>
    <row r="154" customFormat="false" ht="12" hidden="false" customHeight="false" outlineLevel="0" collapsed="false">
      <c r="B154" s="197"/>
      <c r="C154" s="197"/>
      <c r="D154" s="197"/>
      <c r="E154" s="197"/>
      <c r="F154" s="465"/>
      <c r="G154" s="193"/>
      <c r="H154" s="193"/>
      <c r="I154" s="156"/>
      <c r="J154" s="197"/>
      <c r="K154" s="197"/>
      <c r="L154" s="197"/>
      <c r="M154" s="130"/>
      <c r="N154" s="197"/>
      <c r="O154" s="130"/>
      <c r="P154" s="130"/>
    </row>
    <row r="155" customFormat="false" ht="12" hidden="false" customHeight="false" outlineLevel="0" collapsed="false">
      <c r="B155" s="197"/>
      <c r="C155" s="197"/>
      <c r="D155" s="197"/>
      <c r="E155" s="197"/>
      <c r="F155" s="465"/>
      <c r="G155" s="193"/>
      <c r="H155" s="193"/>
      <c r="I155" s="156"/>
      <c r="J155" s="197"/>
      <c r="K155" s="197"/>
      <c r="L155" s="197"/>
      <c r="M155" s="130"/>
      <c r="N155" s="197"/>
      <c r="O155" s="130"/>
      <c r="P155" s="130"/>
    </row>
    <row r="156" customFormat="false" ht="12" hidden="false" customHeight="false" outlineLevel="0" collapsed="false">
      <c r="B156" s="197"/>
      <c r="C156" s="197"/>
      <c r="D156" s="197"/>
      <c r="E156" s="197"/>
      <c r="F156" s="465"/>
      <c r="G156" s="193"/>
      <c r="H156" s="193"/>
      <c r="I156" s="156"/>
      <c r="J156" s="197"/>
      <c r="K156" s="197"/>
      <c r="L156" s="197"/>
      <c r="M156" s="130"/>
      <c r="N156" s="197"/>
      <c r="O156" s="130"/>
      <c r="P156" s="130"/>
    </row>
    <row r="157" customFormat="false" ht="12" hidden="false" customHeight="false" outlineLevel="0" collapsed="false">
      <c r="B157" s="197"/>
      <c r="C157" s="197"/>
      <c r="D157" s="197"/>
      <c r="E157" s="197"/>
      <c r="F157" s="465"/>
      <c r="G157" s="193"/>
      <c r="H157" s="193"/>
      <c r="I157" s="156"/>
      <c r="J157" s="197"/>
      <c r="K157" s="197"/>
      <c r="L157" s="197"/>
      <c r="M157" s="130"/>
      <c r="N157" s="197"/>
      <c r="O157" s="130"/>
      <c r="P157" s="130"/>
    </row>
    <row r="158" customFormat="false" ht="12" hidden="false" customHeight="false" outlineLevel="0" collapsed="false">
      <c r="B158" s="197"/>
      <c r="C158" s="197"/>
      <c r="D158" s="197"/>
      <c r="E158" s="197"/>
      <c r="F158" s="465"/>
      <c r="G158" s="193"/>
      <c r="H158" s="193"/>
      <c r="I158" s="156"/>
      <c r="J158" s="197"/>
      <c r="K158" s="197"/>
      <c r="L158" s="197"/>
      <c r="M158" s="130"/>
      <c r="N158" s="197"/>
      <c r="O158" s="130"/>
      <c r="P158" s="130"/>
    </row>
    <row r="159" customFormat="false" ht="12" hidden="false" customHeight="false" outlineLevel="0" collapsed="false">
      <c r="B159" s="197"/>
      <c r="C159" s="197"/>
      <c r="D159" s="197"/>
      <c r="E159" s="197"/>
      <c r="F159" s="465"/>
      <c r="G159" s="193"/>
      <c r="H159" s="193"/>
      <c r="I159" s="156"/>
      <c r="J159" s="197"/>
      <c r="K159" s="197"/>
      <c r="L159" s="197"/>
      <c r="M159" s="130"/>
      <c r="N159" s="197"/>
      <c r="O159" s="130"/>
      <c r="P159" s="130"/>
    </row>
    <row r="160" customFormat="false" ht="12" hidden="false" customHeight="false" outlineLevel="0" collapsed="false">
      <c r="B160" s="197"/>
      <c r="C160" s="197"/>
      <c r="D160" s="197"/>
      <c r="E160" s="197"/>
      <c r="F160" s="465"/>
      <c r="G160" s="618"/>
      <c r="H160" s="618"/>
      <c r="I160" s="618"/>
      <c r="J160" s="197"/>
      <c r="K160" s="197"/>
      <c r="L160" s="197"/>
      <c r="M160" s="130"/>
      <c r="N160" s="197"/>
      <c r="O160" s="130"/>
      <c r="P160" s="130"/>
    </row>
    <row r="161" customFormat="false" ht="12" hidden="false" customHeight="false" outlineLevel="0" collapsed="false">
      <c r="B161" s="197"/>
      <c r="C161" s="197"/>
      <c r="D161" s="197"/>
      <c r="E161" s="197"/>
      <c r="F161" s="465"/>
      <c r="G161" s="193"/>
      <c r="H161" s="193"/>
      <c r="I161" s="156"/>
      <c r="J161" s="197"/>
      <c r="K161" s="197"/>
      <c r="L161" s="197"/>
      <c r="M161" s="130"/>
      <c r="N161" s="197"/>
      <c r="O161" s="130"/>
      <c r="P161" s="130"/>
    </row>
    <row r="162" customFormat="false" ht="12" hidden="false" customHeight="false" outlineLevel="0" collapsed="false">
      <c r="B162" s="197"/>
      <c r="C162" s="197"/>
      <c r="D162" s="197"/>
      <c r="E162" s="197"/>
      <c r="F162" s="465"/>
      <c r="G162" s="193"/>
      <c r="H162" s="193"/>
      <c r="I162" s="156"/>
      <c r="J162" s="197"/>
      <c r="K162" s="197"/>
      <c r="L162" s="197"/>
      <c r="M162" s="130"/>
      <c r="N162" s="197"/>
      <c r="O162" s="130"/>
      <c r="P162" s="130"/>
    </row>
    <row r="163" customFormat="false" ht="12" hidden="false" customHeight="false" outlineLevel="0" collapsed="false">
      <c r="B163" s="197"/>
      <c r="C163" s="197"/>
      <c r="D163" s="197"/>
      <c r="E163" s="197"/>
      <c r="F163" s="465"/>
      <c r="G163" s="193"/>
      <c r="H163" s="193"/>
      <c r="I163" s="156"/>
      <c r="J163" s="197"/>
      <c r="K163" s="197"/>
      <c r="L163" s="197"/>
      <c r="M163" s="130"/>
      <c r="N163" s="197"/>
      <c r="O163" s="130"/>
      <c r="P163" s="130"/>
    </row>
    <row r="164" customFormat="false" ht="12" hidden="false" customHeight="false" outlineLevel="0" collapsed="false">
      <c r="B164" s="197"/>
      <c r="C164" s="197"/>
      <c r="D164" s="197"/>
      <c r="E164" s="197"/>
      <c r="F164" s="465"/>
      <c r="G164" s="193"/>
      <c r="H164" s="193"/>
      <c r="I164" s="156"/>
      <c r="J164" s="197"/>
      <c r="K164" s="197"/>
      <c r="L164" s="197"/>
      <c r="M164" s="130"/>
      <c r="N164" s="197"/>
      <c r="O164" s="130"/>
      <c r="P164" s="130"/>
    </row>
    <row r="165" customFormat="false" ht="12" hidden="false" customHeight="false" outlineLevel="0" collapsed="false">
      <c r="B165" s="197"/>
      <c r="C165" s="197"/>
      <c r="D165" s="197"/>
      <c r="E165" s="197"/>
      <c r="F165" s="465"/>
      <c r="G165" s="193"/>
      <c r="H165" s="193"/>
      <c r="I165" s="156"/>
      <c r="J165" s="197"/>
      <c r="K165" s="197"/>
      <c r="L165" s="197"/>
      <c r="M165" s="130"/>
      <c r="N165" s="197"/>
      <c r="O165" s="130"/>
      <c r="P165" s="130"/>
    </row>
    <row r="166" customFormat="false" ht="12" hidden="false" customHeight="false" outlineLevel="0" collapsed="false">
      <c r="B166" s="197"/>
      <c r="C166" s="197"/>
      <c r="D166" s="197"/>
      <c r="E166" s="197"/>
      <c r="F166" s="465"/>
      <c r="G166" s="193"/>
      <c r="H166" s="193"/>
      <c r="I166" s="156"/>
      <c r="J166" s="197"/>
      <c r="K166" s="197"/>
      <c r="L166" s="197"/>
      <c r="M166" s="130"/>
      <c r="N166" s="197"/>
      <c r="O166" s="130"/>
      <c r="P166" s="130"/>
    </row>
    <row r="167" customFormat="false" ht="12" hidden="false" customHeight="false" outlineLevel="0" collapsed="false">
      <c r="B167" s="197"/>
      <c r="C167" s="197"/>
      <c r="D167" s="197"/>
      <c r="E167" s="197"/>
      <c r="F167" s="465"/>
      <c r="G167" s="193"/>
      <c r="H167" s="193"/>
      <c r="I167" s="156"/>
      <c r="J167" s="197"/>
      <c r="K167" s="197"/>
      <c r="L167" s="197"/>
      <c r="M167" s="130"/>
      <c r="N167" s="197"/>
      <c r="O167" s="130"/>
      <c r="P167" s="130"/>
    </row>
    <row r="168" customFormat="false" ht="12" hidden="false" customHeight="false" outlineLevel="0" collapsed="false">
      <c r="B168" s="197"/>
      <c r="C168" s="197"/>
      <c r="D168" s="197"/>
      <c r="E168" s="197"/>
      <c r="F168" s="465"/>
      <c r="G168" s="193"/>
      <c r="H168" s="193"/>
      <c r="I168" s="156"/>
      <c r="J168" s="197"/>
      <c r="K168" s="197"/>
      <c r="L168" s="197"/>
      <c r="M168" s="130"/>
      <c r="N168" s="197"/>
      <c r="O168" s="130"/>
      <c r="P168" s="130"/>
    </row>
    <row r="169" customFormat="false" ht="12" hidden="false" customHeight="false" outlineLevel="0" collapsed="false">
      <c r="B169" s="197"/>
      <c r="C169" s="197"/>
      <c r="D169" s="197"/>
      <c r="E169" s="197"/>
      <c r="F169" s="465"/>
      <c r="G169" s="193"/>
      <c r="H169" s="193"/>
      <c r="I169" s="156"/>
      <c r="J169" s="197"/>
      <c r="K169" s="197"/>
      <c r="L169" s="197"/>
      <c r="M169" s="130"/>
      <c r="N169" s="197"/>
      <c r="O169" s="130"/>
      <c r="P169" s="130"/>
    </row>
    <row r="170" customFormat="false" ht="12" hidden="false" customHeight="false" outlineLevel="0" collapsed="false">
      <c r="B170" s="197"/>
      <c r="C170" s="197"/>
      <c r="D170" s="197"/>
      <c r="E170" s="197"/>
      <c r="F170" s="465"/>
      <c r="G170" s="618"/>
      <c r="H170" s="618"/>
      <c r="I170" s="618"/>
      <c r="J170" s="197"/>
      <c r="K170" s="197"/>
      <c r="L170" s="197"/>
      <c r="M170" s="130"/>
      <c r="N170" s="197"/>
      <c r="O170" s="130"/>
      <c r="P170" s="130"/>
    </row>
    <row r="171" customFormat="false" ht="12" hidden="false" customHeight="false" outlineLevel="0" collapsed="false">
      <c r="B171" s="197"/>
      <c r="C171" s="197"/>
      <c r="D171" s="197"/>
      <c r="E171" s="197"/>
      <c r="F171" s="465"/>
      <c r="G171" s="193"/>
      <c r="H171" s="193"/>
      <c r="I171" s="156"/>
      <c r="J171" s="197"/>
      <c r="K171" s="197"/>
      <c r="L171" s="197"/>
      <c r="M171" s="130"/>
      <c r="N171" s="197"/>
      <c r="O171" s="130"/>
      <c r="P171" s="130"/>
    </row>
    <row r="172" customFormat="false" ht="12" hidden="false" customHeight="false" outlineLevel="0" collapsed="false">
      <c r="B172" s="197"/>
      <c r="C172" s="197"/>
      <c r="D172" s="197"/>
      <c r="E172" s="197"/>
      <c r="F172" s="465"/>
      <c r="G172" s="193"/>
      <c r="H172" s="193"/>
      <c r="I172" s="156"/>
      <c r="J172" s="197"/>
      <c r="K172" s="197"/>
      <c r="L172" s="197"/>
      <c r="M172" s="130"/>
      <c r="N172" s="197"/>
      <c r="O172" s="130"/>
      <c r="P172" s="130"/>
    </row>
    <row r="173" customFormat="false" ht="12" hidden="false" customHeight="false" outlineLevel="0" collapsed="false">
      <c r="B173" s="197"/>
      <c r="C173" s="197"/>
      <c r="D173" s="197"/>
      <c r="E173" s="197"/>
      <c r="F173" s="465"/>
      <c r="G173" s="193"/>
      <c r="H173" s="193"/>
      <c r="I173" s="156"/>
      <c r="J173" s="197"/>
      <c r="K173" s="197"/>
      <c r="L173" s="197"/>
      <c r="M173" s="130"/>
      <c r="N173" s="197"/>
      <c r="O173" s="130"/>
      <c r="P173" s="130"/>
    </row>
    <row r="174" customFormat="false" ht="12" hidden="false" customHeight="false" outlineLevel="0" collapsed="false">
      <c r="B174" s="197"/>
      <c r="C174" s="197"/>
      <c r="D174" s="197"/>
      <c r="E174" s="197"/>
      <c r="F174" s="465"/>
      <c r="G174" s="193"/>
      <c r="H174" s="193"/>
      <c r="I174" s="156"/>
      <c r="J174" s="197"/>
      <c r="K174" s="197"/>
      <c r="L174" s="197"/>
      <c r="M174" s="130"/>
      <c r="N174" s="197"/>
      <c r="O174" s="130"/>
      <c r="P174" s="130"/>
    </row>
    <row r="175" customFormat="false" ht="12" hidden="false" customHeight="false" outlineLevel="0" collapsed="false">
      <c r="B175" s="197"/>
      <c r="C175" s="197"/>
      <c r="D175" s="197"/>
      <c r="E175" s="197"/>
      <c r="F175" s="465"/>
      <c r="G175" s="193"/>
      <c r="H175" s="193"/>
      <c r="I175" s="156"/>
      <c r="J175" s="197"/>
      <c r="K175" s="197"/>
      <c r="L175" s="197"/>
      <c r="M175" s="130"/>
      <c r="N175" s="197"/>
      <c r="O175" s="130"/>
      <c r="P175" s="130"/>
    </row>
    <row r="176" customFormat="false" ht="12" hidden="false" customHeight="false" outlineLevel="0" collapsed="false">
      <c r="B176" s="197"/>
      <c r="C176" s="197"/>
      <c r="D176" s="197"/>
      <c r="E176" s="197"/>
      <c r="F176" s="465"/>
      <c r="G176" s="193"/>
      <c r="H176" s="193"/>
      <c r="I176" s="156"/>
      <c r="J176" s="197"/>
      <c r="K176" s="197"/>
      <c r="L176" s="197"/>
      <c r="M176" s="130"/>
      <c r="N176" s="197"/>
      <c r="O176" s="130"/>
      <c r="P176" s="130"/>
    </row>
    <row r="177" customFormat="false" ht="12" hidden="false" customHeight="false" outlineLevel="0" collapsed="false">
      <c r="B177" s="197"/>
      <c r="C177" s="197"/>
      <c r="D177" s="197"/>
      <c r="E177" s="197"/>
      <c r="F177" s="465"/>
      <c r="G177" s="193"/>
      <c r="H177" s="193"/>
      <c r="I177" s="156"/>
      <c r="J177" s="197"/>
      <c r="K177" s="197"/>
      <c r="L177" s="197"/>
      <c r="M177" s="130"/>
      <c r="N177" s="197"/>
      <c r="O177" s="130"/>
      <c r="P177" s="130"/>
    </row>
    <row r="178" customFormat="false" ht="12" hidden="false" customHeight="false" outlineLevel="0" collapsed="false">
      <c r="B178" s="197"/>
      <c r="C178" s="197"/>
      <c r="D178" s="197"/>
      <c r="E178" s="197"/>
      <c r="F178" s="465"/>
      <c r="G178" s="193"/>
      <c r="H178" s="193"/>
      <c r="I178" s="156"/>
      <c r="J178" s="197"/>
      <c r="K178" s="197"/>
      <c r="L178" s="197"/>
      <c r="M178" s="130"/>
      <c r="N178" s="197"/>
      <c r="O178" s="130"/>
      <c r="P178" s="130"/>
    </row>
    <row r="179" customFormat="false" ht="12" hidden="false" customHeight="false" outlineLevel="0" collapsed="false">
      <c r="B179" s="197"/>
      <c r="C179" s="197"/>
      <c r="D179" s="197"/>
      <c r="E179" s="197"/>
      <c r="F179" s="465"/>
      <c r="G179" s="193"/>
      <c r="H179" s="193"/>
      <c r="I179" s="156"/>
      <c r="J179" s="197"/>
      <c r="K179" s="197"/>
      <c r="L179" s="197"/>
      <c r="M179" s="130"/>
      <c r="N179" s="197"/>
      <c r="O179" s="130"/>
      <c r="P179" s="130"/>
    </row>
    <row r="180" customFormat="false" ht="12" hidden="false" customHeight="false" outlineLevel="0" collapsed="false">
      <c r="B180" s="197"/>
      <c r="C180" s="197"/>
      <c r="D180" s="197"/>
      <c r="E180" s="197"/>
      <c r="F180" s="465"/>
      <c r="G180" s="618"/>
      <c r="H180" s="618"/>
      <c r="I180" s="618"/>
      <c r="J180" s="197"/>
      <c r="K180" s="197"/>
      <c r="L180" s="197"/>
      <c r="M180" s="130"/>
      <c r="N180" s="197"/>
      <c r="O180" s="130"/>
      <c r="P180" s="130"/>
    </row>
    <row r="181" customFormat="false" ht="12" hidden="false" customHeight="false" outlineLevel="0" collapsed="false">
      <c r="B181" s="197"/>
      <c r="C181" s="197"/>
      <c r="D181" s="197"/>
      <c r="E181" s="197"/>
      <c r="F181" s="465"/>
      <c r="G181" s="465"/>
      <c r="H181" s="465"/>
      <c r="I181" s="197"/>
      <c r="J181" s="197"/>
      <c r="K181" s="197"/>
      <c r="L181" s="197"/>
      <c r="M181" s="130"/>
      <c r="N181" s="197"/>
      <c r="O181" s="130"/>
      <c r="P181" s="130"/>
    </row>
    <row r="182" customFormat="false" ht="12" hidden="false" customHeight="false" outlineLevel="0" collapsed="false">
      <c r="B182" s="197"/>
      <c r="C182" s="197"/>
      <c r="D182" s="197"/>
      <c r="E182" s="197"/>
      <c r="F182" s="465"/>
      <c r="G182" s="465"/>
      <c r="H182" s="465"/>
      <c r="I182" s="197"/>
      <c r="J182" s="197"/>
      <c r="K182" s="197"/>
      <c r="L182" s="197"/>
      <c r="M182" s="130"/>
      <c r="N182" s="197"/>
      <c r="O182" s="130"/>
      <c r="P182" s="130"/>
    </row>
    <row r="183" customFormat="false" ht="12" hidden="false" customHeight="false" outlineLevel="0" collapsed="false">
      <c r="B183" s="197"/>
      <c r="C183" s="197"/>
      <c r="D183" s="197"/>
      <c r="E183" s="197"/>
      <c r="F183" s="465"/>
      <c r="G183" s="465"/>
      <c r="H183" s="465"/>
      <c r="I183" s="197"/>
      <c r="J183" s="197"/>
      <c r="K183" s="197"/>
      <c r="L183" s="197"/>
      <c r="M183" s="130"/>
      <c r="N183" s="197"/>
      <c r="O183" s="130"/>
      <c r="P183" s="130"/>
    </row>
    <row r="184" customFormat="false" ht="12" hidden="false" customHeight="false" outlineLevel="0" collapsed="false">
      <c r="B184" s="197"/>
      <c r="C184" s="197"/>
      <c r="D184" s="197"/>
      <c r="E184" s="197"/>
      <c r="F184" s="465"/>
      <c r="G184" s="465"/>
      <c r="H184" s="465"/>
      <c r="I184" s="197"/>
      <c r="J184" s="197"/>
      <c r="K184" s="197"/>
      <c r="L184" s="197"/>
      <c r="M184" s="130"/>
      <c r="N184" s="197"/>
      <c r="O184" s="130"/>
      <c r="P184" s="130"/>
    </row>
    <row r="185" customFormat="false" ht="12" hidden="false" customHeight="false" outlineLevel="0" collapsed="false">
      <c r="B185" s="197"/>
      <c r="C185" s="197"/>
      <c r="D185" s="197"/>
      <c r="E185" s="197"/>
      <c r="F185" s="465"/>
      <c r="G185" s="465"/>
      <c r="H185" s="465"/>
      <c r="I185" s="197"/>
      <c r="J185" s="197"/>
      <c r="K185" s="197"/>
      <c r="L185" s="197"/>
      <c r="M185" s="130"/>
      <c r="N185" s="197"/>
      <c r="O185" s="130"/>
      <c r="P185" s="130"/>
    </row>
    <row r="186" customFormat="false" ht="12" hidden="false" customHeight="false" outlineLevel="0" collapsed="false">
      <c r="B186" s="197"/>
      <c r="C186" s="197"/>
      <c r="D186" s="197"/>
      <c r="E186" s="197"/>
      <c r="F186" s="465"/>
      <c r="G186" s="465"/>
      <c r="H186" s="465"/>
      <c r="I186" s="197"/>
      <c r="J186" s="197"/>
      <c r="K186" s="197"/>
      <c r="L186" s="197"/>
      <c r="M186" s="130"/>
      <c r="N186" s="197"/>
      <c r="O186" s="130"/>
      <c r="P186" s="130"/>
    </row>
    <row r="187" customFormat="false" ht="12" hidden="false" customHeight="false" outlineLevel="0" collapsed="false">
      <c r="B187" s="197"/>
      <c r="C187" s="197"/>
      <c r="D187" s="197"/>
      <c r="E187" s="197"/>
      <c r="F187" s="465"/>
      <c r="G187" s="465"/>
      <c r="H187" s="465"/>
      <c r="I187" s="197"/>
      <c r="J187" s="197"/>
      <c r="K187" s="197"/>
      <c r="L187" s="197"/>
      <c r="M187" s="130"/>
      <c r="N187" s="197"/>
      <c r="O187" s="130"/>
      <c r="P187" s="130"/>
    </row>
    <row r="188" customFormat="false" ht="12" hidden="false" customHeight="false" outlineLevel="0" collapsed="false">
      <c r="B188" s="197"/>
      <c r="C188" s="197"/>
      <c r="D188" s="197"/>
      <c r="E188" s="197"/>
      <c r="F188" s="465"/>
      <c r="G188" s="465"/>
      <c r="H188" s="465"/>
      <c r="I188" s="197"/>
      <c r="J188" s="197"/>
      <c r="K188" s="197"/>
      <c r="L188" s="197"/>
      <c r="M188" s="130"/>
      <c r="N188" s="197"/>
      <c r="O188" s="130"/>
      <c r="P188" s="130"/>
    </row>
    <row r="189" customFormat="false" ht="12" hidden="false" customHeight="false" outlineLevel="0" collapsed="false">
      <c r="B189" s="197"/>
      <c r="C189" s="197"/>
      <c r="D189" s="197"/>
      <c r="E189" s="197"/>
      <c r="F189" s="465"/>
      <c r="G189" s="465"/>
      <c r="H189" s="465"/>
      <c r="I189" s="197"/>
      <c r="J189" s="197"/>
      <c r="K189" s="197"/>
      <c r="L189" s="197"/>
      <c r="M189" s="130"/>
      <c r="N189" s="197"/>
      <c r="O189" s="130"/>
      <c r="P189" s="130"/>
    </row>
    <row r="190" customFormat="false" ht="12" hidden="false" customHeight="false" outlineLevel="0" collapsed="false">
      <c r="B190" s="197"/>
      <c r="C190" s="197"/>
      <c r="D190" s="197"/>
      <c r="E190" s="197"/>
      <c r="F190" s="465"/>
      <c r="G190" s="465"/>
      <c r="H190" s="465"/>
      <c r="I190" s="197"/>
      <c r="J190" s="197"/>
      <c r="K190" s="197"/>
      <c r="L190" s="197"/>
      <c r="M190" s="130"/>
      <c r="N190" s="197"/>
      <c r="O190" s="130"/>
      <c r="P190" s="130"/>
    </row>
    <row r="191" customFormat="false" ht="12" hidden="false" customHeight="false" outlineLevel="0" collapsed="false">
      <c r="B191" s="197"/>
      <c r="C191" s="197"/>
      <c r="D191" s="197"/>
      <c r="E191" s="197"/>
      <c r="F191" s="465"/>
      <c r="G191" s="465"/>
      <c r="H191" s="465"/>
      <c r="I191" s="197"/>
      <c r="J191" s="197"/>
      <c r="K191" s="197"/>
      <c r="L191" s="197"/>
      <c r="M191" s="130"/>
      <c r="N191" s="197"/>
      <c r="O191" s="130"/>
      <c r="P191" s="130"/>
    </row>
    <row r="192" customFormat="false" ht="12" hidden="false" customHeight="false" outlineLevel="0" collapsed="false">
      <c r="B192" s="197"/>
      <c r="C192" s="197"/>
      <c r="D192" s="197"/>
      <c r="E192" s="197"/>
      <c r="F192" s="465"/>
      <c r="G192" s="465"/>
      <c r="H192" s="465"/>
      <c r="I192" s="197"/>
      <c r="J192" s="197"/>
      <c r="K192" s="197"/>
      <c r="L192" s="197"/>
      <c r="M192" s="130"/>
      <c r="N192" s="197"/>
      <c r="O192" s="130"/>
      <c r="P192" s="130"/>
    </row>
    <row r="193" customFormat="false" ht="12" hidden="false" customHeight="false" outlineLevel="0" collapsed="false">
      <c r="B193" s="197"/>
      <c r="C193" s="197"/>
      <c r="D193" s="197"/>
      <c r="E193" s="197"/>
      <c r="F193" s="465"/>
      <c r="G193" s="465"/>
      <c r="H193" s="465"/>
      <c r="I193" s="197"/>
      <c r="J193" s="197"/>
      <c r="K193" s="197"/>
      <c r="L193" s="197"/>
      <c r="M193" s="130"/>
      <c r="N193" s="197"/>
      <c r="O193" s="130"/>
      <c r="P193" s="130"/>
    </row>
    <row r="194" customFormat="false" ht="12" hidden="false" customHeight="false" outlineLevel="0" collapsed="false">
      <c r="B194" s="197"/>
      <c r="C194" s="197"/>
      <c r="D194" s="197"/>
      <c r="E194" s="197"/>
      <c r="F194" s="465"/>
      <c r="G194" s="465"/>
      <c r="H194" s="465"/>
      <c r="I194" s="197"/>
      <c r="J194" s="197"/>
      <c r="K194" s="197"/>
      <c r="L194" s="197"/>
      <c r="M194" s="130"/>
      <c r="N194" s="197"/>
      <c r="O194" s="130"/>
      <c r="P194" s="130"/>
    </row>
    <row r="195" customFormat="false" ht="12" hidden="false" customHeight="false" outlineLevel="0" collapsed="false">
      <c r="B195" s="197"/>
      <c r="C195" s="197"/>
      <c r="D195" s="197"/>
      <c r="E195" s="197"/>
      <c r="F195" s="465"/>
      <c r="G195" s="465"/>
      <c r="H195" s="465"/>
      <c r="I195" s="197"/>
      <c r="J195" s="197"/>
      <c r="K195" s="197"/>
      <c r="L195" s="197"/>
      <c r="M195" s="130"/>
      <c r="N195" s="197"/>
      <c r="O195" s="130"/>
      <c r="P195" s="130"/>
    </row>
    <row r="196" customFormat="false" ht="12" hidden="false" customHeight="false" outlineLevel="0" collapsed="false">
      <c r="B196" s="197"/>
      <c r="C196" s="197"/>
      <c r="D196" s="197"/>
      <c r="E196" s="197"/>
      <c r="F196" s="465"/>
      <c r="G196" s="465"/>
      <c r="H196" s="465"/>
      <c r="I196" s="197"/>
      <c r="J196" s="197"/>
      <c r="K196" s="197"/>
      <c r="L196" s="197"/>
      <c r="M196" s="130"/>
      <c r="N196" s="197"/>
      <c r="O196" s="130"/>
      <c r="P196" s="130"/>
    </row>
    <row r="197" customFormat="false" ht="12" hidden="false" customHeight="false" outlineLevel="0" collapsed="false">
      <c r="B197" s="197"/>
      <c r="C197" s="197"/>
      <c r="D197" s="197"/>
      <c r="E197" s="197"/>
      <c r="F197" s="465"/>
      <c r="G197" s="465"/>
      <c r="H197" s="465"/>
      <c r="I197" s="197"/>
      <c r="J197" s="197"/>
      <c r="K197" s="197"/>
      <c r="L197" s="197"/>
      <c r="M197" s="130"/>
      <c r="N197" s="197"/>
      <c r="O197" s="130"/>
      <c r="P197" s="130"/>
    </row>
    <row r="198" customFormat="false" ht="12" hidden="false" customHeight="false" outlineLevel="0" collapsed="false">
      <c r="B198" s="197"/>
      <c r="C198" s="197"/>
      <c r="D198" s="197"/>
      <c r="E198" s="197"/>
      <c r="F198" s="465"/>
      <c r="G198" s="465"/>
      <c r="H198" s="465"/>
      <c r="I198" s="197"/>
      <c r="J198" s="197"/>
      <c r="K198" s="197"/>
      <c r="L198" s="197"/>
      <c r="M198" s="130"/>
      <c r="N198" s="197"/>
      <c r="O198" s="130"/>
      <c r="P198" s="130"/>
    </row>
    <row r="199" customFormat="false" ht="12" hidden="false" customHeight="false" outlineLevel="0" collapsed="false">
      <c r="B199" s="197"/>
      <c r="C199" s="197"/>
      <c r="D199" s="197"/>
      <c r="E199" s="197"/>
      <c r="F199" s="465"/>
      <c r="G199" s="465"/>
      <c r="H199" s="465"/>
      <c r="I199" s="197"/>
      <c r="J199" s="197"/>
      <c r="K199" s="197"/>
      <c r="L199" s="197"/>
      <c r="M199" s="130"/>
      <c r="N199" s="197"/>
      <c r="O199" s="130"/>
      <c r="P199" s="130"/>
    </row>
    <row r="200" customFormat="false" ht="12" hidden="false" customHeight="false" outlineLevel="0" collapsed="false">
      <c r="B200" s="197"/>
      <c r="C200" s="197"/>
      <c r="D200" s="197"/>
      <c r="E200" s="197"/>
      <c r="F200" s="197"/>
      <c r="G200" s="197"/>
      <c r="H200" s="197"/>
      <c r="I200" s="197"/>
      <c r="J200" s="197"/>
      <c r="K200" s="197"/>
      <c r="L200" s="197"/>
      <c r="M200" s="130"/>
      <c r="N200" s="197"/>
      <c r="O200" s="130"/>
      <c r="P200" s="130"/>
    </row>
    <row r="201" customFormat="false" ht="12" hidden="false" customHeight="false" outlineLevel="0" collapsed="false">
      <c r="B201" s="197"/>
      <c r="C201" s="197"/>
      <c r="D201" s="197"/>
      <c r="E201" s="197"/>
      <c r="F201" s="197"/>
      <c r="G201" s="197"/>
      <c r="H201" s="197"/>
      <c r="I201" s="197"/>
      <c r="J201" s="197"/>
      <c r="K201" s="197"/>
      <c r="L201" s="197"/>
      <c r="M201" s="130"/>
      <c r="N201" s="197"/>
      <c r="O201" s="130"/>
      <c r="P201" s="130"/>
    </row>
    <row r="202" customFormat="false" ht="12" hidden="false" customHeight="false" outlineLevel="0" collapsed="false">
      <c r="B202" s="197"/>
      <c r="C202" s="197"/>
      <c r="D202" s="197"/>
      <c r="E202" s="197"/>
      <c r="F202" s="197"/>
      <c r="G202" s="197"/>
      <c r="H202" s="197"/>
      <c r="I202" s="197"/>
      <c r="J202" s="197"/>
      <c r="K202" s="197"/>
      <c r="L202" s="197"/>
      <c r="M202" s="130"/>
      <c r="N202" s="197"/>
      <c r="O202" s="130"/>
      <c r="P202" s="130"/>
    </row>
    <row r="203" customFormat="false" ht="12" hidden="false" customHeight="false" outlineLevel="0" collapsed="false">
      <c r="B203" s="197"/>
      <c r="C203" s="197"/>
      <c r="D203" s="197"/>
      <c r="E203" s="197"/>
      <c r="F203" s="197"/>
      <c r="G203" s="197"/>
      <c r="H203" s="197"/>
      <c r="I203" s="197"/>
      <c r="J203" s="197"/>
      <c r="K203" s="197"/>
      <c r="L203" s="197"/>
      <c r="M203" s="130"/>
      <c r="N203" s="197"/>
      <c r="O203" s="130"/>
      <c r="P203" s="130"/>
    </row>
    <row r="204" customFormat="false" ht="12" hidden="false" customHeight="false" outlineLevel="0" collapsed="false">
      <c r="B204" s="197"/>
      <c r="C204" s="197"/>
      <c r="D204" s="197"/>
      <c r="E204" s="197"/>
      <c r="F204" s="197"/>
      <c r="G204" s="197"/>
      <c r="H204" s="197"/>
      <c r="I204" s="197"/>
      <c r="J204" s="197"/>
      <c r="K204" s="197"/>
      <c r="L204" s="197"/>
      <c r="M204" s="130"/>
      <c r="N204" s="197"/>
      <c r="O204" s="130"/>
      <c r="P204" s="130"/>
    </row>
    <row r="205" customFormat="false" ht="12" hidden="false" customHeight="false" outlineLevel="0" collapsed="false">
      <c r="B205" s="197"/>
      <c r="C205" s="197"/>
      <c r="D205" s="197"/>
      <c r="E205" s="197"/>
      <c r="F205" s="197"/>
      <c r="G205" s="197"/>
      <c r="H205" s="197"/>
      <c r="I205" s="197"/>
      <c r="J205" s="197"/>
      <c r="K205" s="197"/>
      <c r="L205" s="197"/>
      <c r="M205" s="130"/>
      <c r="N205" s="197"/>
      <c r="O205" s="130"/>
      <c r="P205" s="130"/>
    </row>
    <row r="206" customFormat="false" ht="12" hidden="false" customHeight="false" outlineLevel="0" collapsed="false">
      <c r="B206" s="197"/>
      <c r="C206" s="197"/>
      <c r="D206" s="197"/>
      <c r="E206" s="197"/>
      <c r="F206" s="197"/>
      <c r="G206" s="197"/>
      <c r="H206" s="197"/>
      <c r="I206" s="197"/>
      <c r="J206" s="197"/>
      <c r="K206" s="197"/>
      <c r="L206" s="197"/>
      <c r="M206" s="130"/>
      <c r="N206" s="197"/>
      <c r="O206" s="130"/>
      <c r="P206" s="130"/>
    </row>
    <row r="207" customFormat="false" ht="12" hidden="false" customHeight="false" outlineLevel="0" collapsed="false">
      <c r="B207" s="197"/>
      <c r="C207" s="197"/>
      <c r="D207" s="197"/>
      <c r="E207" s="197"/>
      <c r="F207" s="197"/>
      <c r="G207" s="197"/>
      <c r="H207" s="197"/>
      <c r="I207" s="197"/>
      <c r="J207" s="197"/>
      <c r="K207" s="197"/>
      <c r="L207" s="197"/>
      <c r="M207" s="130"/>
      <c r="N207" s="197"/>
      <c r="O207" s="130"/>
      <c r="P207" s="130"/>
    </row>
    <row r="208" customFormat="false" ht="12" hidden="false" customHeight="false" outlineLevel="0" collapsed="false">
      <c r="B208" s="197"/>
      <c r="C208" s="197"/>
      <c r="D208" s="197"/>
      <c r="E208" s="197"/>
      <c r="F208" s="197"/>
      <c r="G208" s="197"/>
      <c r="H208" s="197"/>
      <c r="I208" s="197"/>
      <c r="J208" s="197"/>
      <c r="K208" s="197"/>
      <c r="L208" s="197"/>
      <c r="M208" s="130"/>
      <c r="N208" s="197"/>
      <c r="O208" s="130"/>
      <c r="P208" s="130"/>
    </row>
    <row r="209" customFormat="false" ht="12" hidden="false" customHeight="false" outlineLevel="0" collapsed="false">
      <c r="B209" s="197"/>
      <c r="C209" s="197"/>
      <c r="D209" s="197"/>
      <c r="E209" s="197"/>
      <c r="F209" s="197"/>
      <c r="G209" s="197"/>
      <c r="H209" s="197"/>
      <c r="I209" s="197"/>
      <c r="J209" s="197"/>
      <c r="K209" s="197"/>
      <c r="L209" s="197"/>
      <c r="M209" s="130"/>
      <c r="N209" s="197"/>
      <c r="O209" s="130"/>
      <c r="P209" s="130"/>
    </row>
    <row r="210" customFormat="false" ht="12" hidden="false" customHeight="false" outlineLevel="0" collapsed="false">
      <c r="B210" s="197"/>
      <c r="C210" s="197"/>
      <c r="D210" s="197"/>
      <c r="E210" s="197"/>
      <c r="F210" s="197"/>
      <c r="G210" s="197"/>
      <c r="H210" s="197"/>
      <c r="I210" s="197"/>
      <c r="J210" s="197"/>
      <c r="K210" s="197"/>
      <c r="L210" s="197"/>
      <c r="M210" s="130"/>
      <c r="N210" s="197"/>
      <c r="O210" s="130"/>
      <c r="P210" s="130"/>
    </row>
    <row r="211" customFormat="false" ht="12" hidden="false" customHeight="false" outlineLevel="0" collapsed="false">
      <c r="B211" s="197"/>
      <c r="C211" s="197"/>
      <c r="D211" s="197"/>
      <c r="E211" s="197"/>
      <c r="F211" s="197"/>
      <c r="G211" s="197"/>
      <c r="H211" s="197"/>
      <c r="I211" s="197"/>
      <c r="J211" s="197"/>
      <c r="K211" s="197"/>
      <c r="L211" s="197"/>
      <c r="M211" s="130"/>
      <c r="N211" s="197"/>
      <c r="O211" s="130"/>
      <c r="P211" s="130"/>
    </row>
    <row r="212" customFormat="false" ht="12" hidden="false" customHeight="false" outlineLevel="0" collapsed="false">
      <c r="B212" s="197"/>
      <c r="C212" s="197"/>
      <c r="D212" s="197"/>
      <c r="E212" s="197"/>
      <c r="F212" s="197"/>
      <c r="G212" s="197"/>
      <c r="H212" s="197"/>
      <c r="I212" s="197"/>
      <c r="J212" s="197"/>
      <c r="K212" s="197"/>
      <c r="L212" s="197"/>
      <c r="M212" s="130"/>
      <c r="N212" s="197"/>
      <c r="O212" s="130"/>
      <c r="P212" s="130"/>
    </row>
    <row r="213" customFormat="false" ht="12" hidden="false" customHeight="false" outlineLevel="0" collapsed="false">
      <c r="B213" s="197"/>
      <c r="C213" s="197"/>
      <c r="D213" s="197"/>
      <c r="E213" s="197"/>
      <c r="F213" s="197"/>
      <c r="G213" s="197"/>
      <c r="H213" s="197"/>
      <c r="I213" s="197"/>
      <c r="J213" s="197"/>
      <c r="K213" s="197"/>
      <c r="L213" s="197"/>
      <c r="M213" s="130"/>
      <c r="N213" s="197"/>
      <c r="O213" s="130"/>
      <c r="P213" s="130"/>
    </row>
    <row r="214" customFormat="false" ht="12" hidden="false" customHeight="false" outlineLevel="0" collapsed="false">
      <c r="B214" s="197"/>
      <c r="C214" s="197"/>
      <c r="D214" s="197"/>
      <c r="E214" s="197"/>
      <c r="F214" s="197"/>
      <c r="G214" s="197"/>
      <c r="H214" s="197"/>
      <c r="I214" s="197"/>
      <c r="J214" s="197"/>
      <c r="K214" s="197"/>
      <c r="L214" s="197"/>
      <c r="M214" s="130"/>
      <c r="N214" s="197"/>
      <c r="O214" s="130"/>
      <c r="P214" s="130"/>
    </row>
    <row r="215" customFormat="false" ht="12" hidden="false" customHeight="false" outlineLevel="0" collapsed="false">
      <c r="B215" s="197"/>
      <c r="C215" s="197"/>
      <c r="D215" s="197"/>
      <c r="E215" s="197"/>
      <c r="F215" s="197"/>
      <c r="G215" s="197"/>
      <c r="H215" s="197"/>
      <c r="I215" s="197"/>
      <c r="J215" s="197"/>
      <c r="K215" s="197"/>
      <c r="L215" s="197"/>
      <c r="M215" s="130"/>
      <c r="N215" s="197"/>
      <c r="O215" s="130"/>
      <c r="P215" s="130"/>
    </row>
    <row r="216" customFormat="false" ht="12" hidden="false" customHeight="false" outlineLevel="0" collapsed="false">
      <c r="B216" s="197"/>
      <c r="C216" s="197"/>
      <c r="D216" s="197"/>
      <c r="E216" s="197"/>
      <c r="F216" s="197"/>
      <c r="G216" s="197"/>
      <c r="H216" s="197"/>
      <c r="I216" s="197"/>
      <c r="J216" s="197"/>
      <c r="K216" s="197"/>
      <c r="L216" s="197"/>
      <c r="M216" s="130"/>
      <c r="N216" s="197"/>
      <c r="O216" s="130"/>
      <c r="P216" s="130"/>
    </row>
    <row r="217" customFormat="false" ht="12" hidden="false" customHeight="false" outlineLevel="0" collapsed="false">
      <c r="B217" s="197"/>
      <c r="C217" s="197"/>
      <c r="D217" s="197"/>
      <c r="E217" s="197"/>
      <c r="F217" s="197"/>
      <c r="G217" s="197"/>
      <c r="H217" s="197"/>
      <c r="I217" s="197"/>
      <c r="J217" s="197"/>
      <c r="K217" s="197"/>
      <c r="L217" s="197"/>
      <c r="M217" s="130"/>
      <c r="N217" s="197"/>
      <c r="O217" s="130"/>
      <c r="P217" s="130"/>
    </row>
    <row r="218" customFormat="false" ht="12" hidden="false" customHeight="false" outlineLevel="0" collapsed="false">
      <c r="B218" s="197"/>
      <c r="C218" s="197"/>
      <c r="D218" s="197"/>
      <c r="E218" s="197"/>
      <c r="F218" s="197"/>
      <c r="G218" s="197"/>
      <c r="H218" s="197"/>
      <c r="I218" s="197"/>
      <c r="J218" s="197"/>
      <c r="K218" s="197"/>
      <c r="L218" s="197"/>
      <c r="M218" s="130"/>
      <c r="N218" s="197"/>
      <c r="O218" s="130"/>
      <c r="P218" s="130"/>
    </row>
    <row r="219" customFormat="false" ht="12" hidden="false" customHeight="false" outlineLevel="0" collapsed="false">
      <c r="B219" s="197"/>
      <c r="C219" s="197"/>
      <c r="D219" s="197"/>
      <c r="E219" s="197"/>
      <c r="F219" s="197"/>
      <c r="G219" s="197"/>
      <c r="H219" s="197"/>
      <c r="I219" s="197"/>
      <c r="J219" s="197"/>
      <c r="K219" s="197"/>
      <c r="L219" s="197"/>
      <c r="M219" s="130"/>
      <c r="N219" s="197"/>
      <c r="O219" s="130"/>
      <c r="P219" s="130"/>
    </row>
    <row r="220" customFormat="false" ht="12" hidden="false" customHeight="false" outlineLevel="0" collapsed="false">
      <c r="B220" s="197"/>
      <c r="C220" s="197"/>
      <c r="D220" s="197"/>
      <c r="E220" s="197"/>
      <c r="F220" s="197"/>
      <c r="G220" s="197"/>
      <c r="H220" s="197"/>
      <c r="I220" s="197"/>
      <c r="J220" s="197"/>
      <c r="K220" s="197"/>
      <c r="L220" s="197"/>
      <c r="M220" s="130"/>
      <c r="N220" s="197"/>
      <c r="O220" s="130"/>
      <c r="P220" s="130"/>
    </row>
    <row r="221" customFormat="false" ht="12" hidden="false" customHeight="false" outlineLevel="0" collapsed="false">
      <c r="B221" s="197"/>
      <c r="C221" s="197"/>
      <c r="D221" s="197"/>
      <c r="E221" s="197"/>
      <c r="F221" s="197"/>
      <c r="G221" s="197"/>
      <c r="H221" s="197"/>
      <c r="I221" s="197"/>
      <c r="J221" s="197"/>
      <c r="K221" s="197"/>
      <c r="L221" s="197"/>
      <c r="M221" s="130"/>
      <c r="N221" s="197"/>
      <c r="O221" s="130"/>
      <c r="P221" s="130"/>
    </row>
    <row r="222" customFormat="false" ht="12" hidden="false" customHeight="false" outlineLevel="0" collapsed="false">
      <c r="B222" s="197"/>
      <c r="C222" s="197"/>
      <c r="D222" s="197"/>
      <c r="E222" s="197"/>
      <c r="F222" s="197"/>
      <c r="G222" s="197"/>
      <c r="H222" s="197"/>
      <c r="I222" s="197"/>
      <c r="J222" s="197"/>
      <c r="K222" s="197"/>
      <c r="L222" s="197"/>
      <c r="M222" s="130"/>
      <c r="N222" s="197"/>
      <c r="O222" s="130"/>
      <c r="P222" s="130"/>
    </row>
    <row r="223" customFormat="false" ht="12" hidden="false" customHeight="false" outlineLevel="0" collapsed="false">
      <c r="B223" s="197"/>
      <c r="C223" s="197"/>
      <c r="D223" s="197"/>
      <c r="E223" s="197"/>
      <c r="F223" s="197"/>
      <c r="G223" s="197"/>
      <c r="H223" s="197"/>
      <c r="I223" s="197"/>
      <c r="J223" s="197"/>
      <c r="K223" s="197"/>
      <c r="L223" s="197"/>
      <c r="M223" s="130"/>
      <c r="N223" s="197"/>
      <c r="O223" s="130"/>
      <c r="P223" s="130"/>
    </row>
    <row r="224" customFormat="false" ht="12" hidden="false" customHeight="false" outlineLevel="0" collapsed="false">
      <c r="B224" s="197"/>
      <c r="C224" s="197"/>
      <c r="D224" s="197"/>
      <c r="E224" s="197"/>
      <c r="F224" s="197"/>
      <c r="G224" s="197"/>
      <c r="H224" s="197"/>
      <c r="I224" s="197"/>
      <c r="J224" s="197"/>
      <c r="K224" s="197"/>
      <c r="L224" s="197"/>
      <c r="M224" s="130"/>
      <c r="N224" s="197"/>
      <c r="O224" s="130"/>
      <c r="P224" s="130"/>
    </row>
    <row r="225" customFormat="false" ht="12" hidden="false" customHeight="false" outlineLevel="0" collapsed="false">
      <c r="B225" s="197"/>
      <c r="C225" s="197"/>
      <c r="D225" s="197"/>
      <c r="E225" s="197"/>
      <c r="F225" s="197"/>
      <c r="G225" s="197"/>
      <c r="H225" s="197"/>
      <c r="I225" s="197"/>
      <c r="J225" s="197"/>
      <c r="K225" s="197"/>
      <c r="L225" s="197"/>
      <c r="M225" s="130"/>
      <c r="N225" s="197"/>
      <c r="O225" s="130"/>
      <c r="P225" s="130"/>
    </row>
    <row r="226" customFormat="false" ht="12" hidden="false" customHeight="false" outlineLevel="0" collapsed="false">
      <c r="B226" s="197"/>
      <c r="C226" s="197"/>
      <c r="D226" s="197"/>
      <c r="E226" s="197"/>
      <c r="F226" s="197"/>
      <c r="G226" s="197"/>
      <c r="H226" s="197"/>
      <c r="I226" s="197"/>
      <c r="J226" s="197"/>
      <c r="K226" s="197"/>
      <c r="L226" s="197"/>
      <c r="M226" s="130"/>
      <c r="N226" s="197"/>
      <c r="O226" s="130"/>
      <c r="P226" s="130"/>
    </row>
    <row r="227" customFormat="false" ht="12" hidden="false" customHeight="false" outlineLevel="0" collapsed="false">
      <c r="B227" s="197"/>
      <c r="C227" s="197"/>
      <c r="D227" s="197"/>
      <c r="E227" s="197"/>
      <c r="F227" s="197"/>
      <c r="G227" s="197"/>
      <c r="H227" s="197"/>
      <c r="I227" s="197"/>
      <c r="J227" s="197"/>
      <c r="K227" s="197"/>
      <c r="L227" s="197"/>
      <c r="M227" s="130"/>
      <c r="N227" s="197"/>
      <c r="O227" s="130"/>
      <c r="P227" s="130"/>
    </row>
    <row r="228" customFormat="false" ht="12" hidden="false" customHeight="false" outlineLevel="0" collapsed="false">
      <c r="B228" s="197"/>
      <c r="C228" s="197"/>
      <c r="D228" s="197"/>
      <c r="E228" s="197"/>
      <c r="F228" s="197"/>
      <c r="G228" s="197"/>
      <c r="H228" s="197"/>
      <c r="I228" s="197"/>
      <c r="J228" s="197"/>
      <c r="K228" s="197"/>
      <c r="L228" s="197"/>
      <c r="M228" s="130"/>
      <c r="N228" s="197"/>
      <c r="O228" s="130"/>
      <c r="P228" s="130"/>
    </row>
    <row r="229" customFormat="false" ht="12" hidden="false" customHeight="false" outlineLevel="0" collapsed="false">
      <c r="B229" s="197"/>
      <c r="C229" s="197"/>
      <c r="D229" s="197"/>
      <c r="E229" s="197"/>
      <c r="F229" s="197"/>
      <c r="G229" s="197"/>
      <c r="H229" s="197"/>
      <c r="I229" s="197"/>
      <c r="J229" s="197"/>
      <c r="K229" s="197"/>
      <c r="L229" s="197"/>
      <c r="M229" s="130"/>
      <c r="N229" s="197"/>
      <c r="O229" s="130"/>
      <c r="P229" s="130"/>
    </row>
    <row r="230" customFormat="false" ht="12" hidden="false" customHeight="false" outlineLevel="0" collapsed="false">
      <c r="B230" s="197"/>
      <c r="C230" s="197"/>
      <c r="D230" s="197"/>
      <c r="E230" s="197"/>
      <c r="F230" s="197"/>
      <c r="G230" s="197"/>
      <c r="H230" s="197"/>
      <c r="I230" s="197"/>
      <c r="J230" s="197"/>
      <c r="K230" s="197"/>
      <c r="L230" s="197"/>
      <c r="M230" s="130"/>
      <c r="N230" s="197"/>
      <c r="O230" s="130"/>
      <c r="P230" s="130"/>
    </row>
    <row r="231" customFormat="false" ht="12" hidden="false" customHeight="false" outlineLevel="0" collapsed="false">
      <c r="B231" s="197"/>
      <c r="C231" s="197"/>
      <c r="D231" s="197"/>
      <c r="E231" s="197"/>
      <c r="F231" s="197"/>
      <c r="G231" s="197"/>
      <c r="H231" s="197"/>
      <c r="I231" s="197"/>
      <c r="J231" s="197"/>
      <c r="K231" s="197"/>
      <c r="L231" s="197"/>
      <c r="M231" s="130"/>
      <c r="N231" s="197"/>
      <c r="O231" s="130"/>
      <c r="P231" s="130"/>
    </row>
    <row r="232" customFormat="false" ht="12" hidden="false" customHeight="false" outlineLevel="0" collapsed="false">
      <c r="B232" s="197"/>
      <c r="C232" s="197"/>
      <c r="D232" s="197"/>
      <c r="E232" s="197"/>
      <c r="F232" s="197"/>
      <c r="G232" s="197"/>
      <c r="H232" s="197"/>
      <c r="I232" s="197"/>
      <c r="J232" s="197"/>
      <c r="K232" s="197"/>
      <c r="L232" s="197"/>
      <c r="M232" s="130"/>
      <c r="N232" s="197"/>
      <c r="O232" s="130"/>
      <c r="P232" s="130"/>
    </row>
    <row r="233" customFormat="false" ht="12" hidden="false" customHeight="false" outlineLevel="0" collapsed="false">
      <c r="B233" s="197"/>
      <c r="C233" s="197"/>
      <c r="D233" s="197"/>
      <c r="E233" s="197"/>
      <c r="F233" s="197"/>
      <c r="G233" s="197"/>
      <c r="H233" s="197"/>
      <c r="I233" s="197"/>
      <c r="J233" s="197"/>
      <c r="K233" s="197"/>
      <c r="L233" s="197"/>
      <c r="M233" s="130"/>
      <c r="N233" s="197"/>
      <c r="O233" s="130"/>
      <c r="P233" s="130"/>
    </row>
    <row r="234" customFormat="false" ht="12" hidden="false" customHeight="false" outlineLevel="0" collapsed="false">
      <c r="B234" s="197"/>
      <c r="C234" s="197"/>
      <c r="D234" s="197"/>
      <c r="E234" s="197"/>
      <c r="F234" s="197"/>
      <c r="G234" s="197"/>
      <c r="H234" s="197"/>
      <c r="I234" s="197"/>
      <c r="J234" s="197"/>
      <c r="K234" s="197"/>
      <c r="L234" s="197"/>
      <c r="M234" s="130"/>
      <c r="N234" s="197"/>
      <c r="O234" s="130"/>
      <c r="P234" s="130"/>
    </row>
    <row r="235" customFormat="false" ht="12" hidden="false" customHeight="false" outlineLevel="0" collapsed="false">
      <c r="B235" s="197"/>
      <c r="C235" s="197"/>
      <c r="D235" s="197"/>
      <c r="E235" s="197"/>
      <c r="F235" s="197"/>
      <c r="G235" s="197"/>
      <c r="H235" s="197"/>
      <c r="I235" s="197"/>
      <c r="J235" s="197"/>
      <c r="K235" s="197"/>
      <c r="L235" s="197"/>
      <c r="M235" s="130"/>
      <c r="N235" s="197"/>
      <c r="O235" s="130"/>
      <c r="P235" s="130"/>
    </row>
    <row r="236" customFormat="false" ht="12" hidden="false" customHeight="false" outlineLevel="0" collapsed="false">
      <c r="B236" s="197"/>
      <c r="C236" s="197"/>
      <c r="D236" s="197"/>
      <c r="E236" s="197"/>
      <c r="F236" s="197"/>
      <c r="G236" s="197"/>
      <c r="H236" s="197"/>
      <c r="I236" s="197"/>
      <c r="J236" s="197"/>
      <c r="K236" s="197"/>
      <c r="L236" s="197"/>
      <c r="M236" s="130"/>
      <c r="N236" s="197"/>
      <c r="O236" s="130"/>
      <c r="P236" s="130"/>
    </row>
    <row r="237" customFormat="false" ht="12" hidden="false" customHeight="false" outlineLevel="0" collapsed="false">
      <c r="B237" s="197"/>
      <c r="C237" s="197"/>
      <c r="D237" s="197"/>
      <c r="E237" s="197"/>
      <c r="F237" s="197"/>
      <c r="G237" s="197"/>
      <c r="H237" s="197"/>
      <c r="I237" s="197"/>
      <c r="J237" s="197"/>
      <c r="K237" s="197"/>
      <c r="L237" s="197"/>
      <c r="M237" s="130"/>
      <c r="N237" s="197"/>
      <c r="O237" s="130"/>
      <c r="P237" s="130"/>
    </row>
    <row r="238" customFormat="false" ht="12" hidden="false" customHeight="false" outlineLevel="0" collapsed="false">
      <c r="B238" s="197"/>
      <c r="C238" s="197"/>
      <c r="D238" s="197"/>
      <c r="E238" s="197"/>
      <c r="F238" s="197"/>
      <c r="G238" s="197"/>
      <c r="H238" s="197"/>
      <c r="I238" s="197"/>
      <c r="J238" s="197"/>
      <c r="K238" s="197"/>
      <c r="L238" s="197"/>
      <c r="M238" s="130"/>
      <c r="N238" s="197"/>
      <c r="O238" s="130"/>
      <c r="P238" s="130"/>
    </row>
    <row r="239" customFormat="false" ht="12" hidden="false" customHeight="false" outlineLevel="0" collapsed="false">
      <c r="B239" s="197"/>
      <c r="C239" s="197"/>
      <c r="D239" s="197"/>
      <c r="E239" s="197"/>
      <c r="F239" s="197"/>
      <c r="G239" s="197"/>
      <c r="H239" s="197"/>
      <c r="I239" s="197"/>
      <c r="J239" s="197"/>
      <c r="K239" s="197"/>
      <c r="L239" s="197"/>
      <c r="M239" s="130"/>
      <c r="N239" s="197"/>
      <c r="O239" s="130"/>
      <c r="P239" s="130"/>
    </row>
    <row r="240" customFormat="false" ht="12" hidden="false" customHeight="false" outlineLevel="0" collapsed="false">
      <c r="B240" s="197"/>
      <c r="C240" s="197"/>
      <c r="D240" s="197"/>
      <c r="E240" s="197"/>
      <c r="F240" s="197"/>
      <c r="G240" s="197"/>
      <c r="H240" s="197"/>
      <c r="I240" s="197"/>
      <c r="J240" s="197"/>
      <c r="K240" s="197"/>
      <c r="L240" s="197"/>
      <c r="M240" s="130"/>
      <c r="N240" s="197"/>
      <c r="O240" s="130"/>
      <c r="P240" s="130"/>
    </row>
    <row r="241" customFormat="false" ht="12" hidden="false" customHeight="false" outlineLevel="0" collapsed="false">
      <c r="B241" s="197"/>
      <c r="C241" s="197"/>
      <c r="D241" s="197"/>
      <c r="E241" s="197"/>
      <c r="F241" s="197"/>
      <c r="G241" s="197"/>
      <c r="H241" s="197"/>
      <c r="I241" s="197"/>
      <c r="J241" s="197"/>
      <c r="K241" s="197"/>
      <c r="L241" s="197"/>
      <c r="M241" s="130"/>
      <c r="N241" s="197"/>
      <c r="O241" s="130"/>
      <c r="P241" s="130"/>
    </row>
    <row r="242" customFormat="false" ht="12" hidden="false" customHeight="false" outlineLevel="0" collapsed="false">
      <c r="B242" s="197"/>
      <c r="C242" s="197"/>
      <c r="D242" s="197"/>
      <c r="E242" s="197"/>
      <c r="F242" s="197"/>
      <c r="G242" s="197"/>
      <c r="H242" s="197"/>
      <c r="I242" s="197"/>
      <c r="J242" s="197"/>
      <c r="K242" s="197"/>
      <c r="L242" s="197"/>
      <c r="M242" s="130"/>
      <c r="N242" s="197"/>
      <c r="O242" s="130"/>
      <c r="P242" s="130"/>
    </row>
    <row r="243" customFormat="false" ht="12" hidden="false" customHeight="false" outlineLevel="0" collapsed="false">
      <c r="B243" s="197"/>
      <c r="C243" s="197"/>
      <c r="D243" s="197"/>
      <c r="E243" s="197"/>
      <c r="F243" s="197"/>
      <c r="G243" s="197"/>
      <c r="H243" s="197"/>
      <c r="I243" s="197"/>
      <c r="J243" s="197"/>
      <c r="K243" s="197"/>
      <c r="L243" s="197"/>
      <c r="M243" s="130"/>
      <c r="N243" s="197"/>
      <c r="O243" s="130"/>
      <c r="P243" s="130"/>
    </row>
    <row r="244" customFormat="false" ht="12" hidden="false" customHeight="false" outlineLevel="0" collapsed="false">
      <c r="B244" s="197"/>
      <c r="C244" s="197"/>
      <c r="D244" s="197"/>
      <c r="E244" s="197"/>
      <c r="F244" s="197"/>
      <c r="G244" s="197"/>
      <c r="H244" s="197"/>
      <c r="I244" s="197"/>
      <c r="J244" s="197"/>
      <c r="K244" s="197"/>
      <c r="L244" s="197"/>
      <c r="M244" s="130"/>
      <c r="N244" s="197"/>
      <c r="O244" s="130"/>
      <c r="P244" s="130"/>
    </row>
    <row r="245" customFormat="false" ht="12" hidden="false" customHeight="false" outlineLevel="0" collapsed="false">
      <c r="B245" s="197"/>
      <c r="C245" s="197"/>
      <c r="D245" s="197"/>
      <c r="E245" s="197"/>
      <c r="F245" s="197"/>
      <c r="G245" s="197"/>
      <c r="H245" s="197"/>
      <c r="I245" s="197"/>
      <c r="J245" s="197"/>
      <c r="K245" s="197"/>
      <c r="L245" s="197"/>
      <c r="M245" s="130"/>
      <c r="N245" s="197"/>
      <c r="O245" s="130"/>
      <c r="P245" s="130"/>
    </row>
  </sheetData>
  <mergeCells count="18">
    <mergeCell ref="A3:P3"/>
    <mergeCell ref="B6:P6"/>
    <mergeCell ref="A7:A9"/>
    <mergeCell ref="B7:B8"/>
    <mergeCell ref="C7:C8"/>
    <mergeCell ref="D7:D8"/>
    <mergeCell ref="E7:E8"/>
    <mergeCell ref="F7:F8"/>
    <mergeCell ref="G7:G8"/>
    <mergeCell ref="H7:H8"/>
    <mergeCell ref="I7:I8"/>
    <mergeCell ref="J7:J8"/>
    <mergeCell ref="K7:K8"/>
    <mergeCell ref="L7:L8"/>
    <mergeCell ref="M7:M8"/>
    <mergeCell ref="N7:N8"/>
    <mergeCell ref="O7:O8"/>
    <mergeCell ref="P7:P8"/>
  </mergeCells>
  <hyperlinks>
    <hyperlink ref="B1" location="Index!A1" display="Back to index"/>
  </hyperlinks>
  <printOptions headings="false" gridLines="false" gridLinesSet="true" horizontalCentered="true" verticalCentered="true"/>
  <pageMargins left="0.790277777777778" right="0" top="0.979861111111111" bottom="0.97986111111111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C0C0"/>
    <pageSetUpPr fitToPage="true"/>
  </sheetPr>
  <dimension ref="A1:O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A3" activeCellId="0" sqref="A3"/>
    </sheetView>
  </sheetViews>
  <sheetFormatPr defaultColWidth="11.9921875" defaultRowHeight="12" zeroHeight="false" outlineLevelRow="0" outlineLevelCol="0"/>
  <cols>
    <col collapsed="false" customWidth="true" hidden="false" outlineLevel="0" max="1" min="1" style="289" width="12.82"/>
    <col collapsed="false" customWidth="true" hidden="false" outlineLevel="0" max="10" min="2" style="289" width="12.32"/>
    <col collapsed="false" customWidth="false" hidden="false" outlineLevel="0" max="257" min="11" style="289" width="11.99"/>
  </cols>
  <sheetData>
    <row r="1" customFormat="false" ht="12" hidden="false" customHeight="false" outlineLevel="0" collapsed="false">
      <c r="B1" s="21" t="s">
        <v>9</v>
      </c>
      <c r="C1" s="291"/>
      <c r="D1" s="291"/>
      <c r="E1" s="291"/>
      <c r="F1" s="291"/>
      <c r="G1" s="291"/>
      <c r="H1" s="291"/>
      <c r="I1" s="291"/>
      <c r="J1" s="291"/>
    </row>
    <row r="2" customFormat="false" ht="13" hidden="false" customHeight="false" outlineLevel="0" collapsed="false"/>
    <row r="3" customFormat="false" ht="19.75" hidden="false" customHeight="true" outlineLevel="0" collapsed="false">
      <c r="A3" s="292" t="s">
        <v>175</v>
      </c>
      <c r="B3" s="292"/>
      <c r="C3" s="292"/>
      <c r="D3" s="292"/>
      <c r="E3" s="292"/>
      <c r="F3" s="292"/>
      <c r="G3" s="292"/>
      <c r="H3" s="292"/>
      <c r="I3" s="292"/>
      <c r="J3" s="292"/>
    </row>
    <row r="4" customFormat="false" ht="12" hidden="false" customHeight="false" outlineLevel="0" collapsed="false">
      <c r="A4" s="293"/>
      <c r="B4" s="294"/>
      <c r="C4" s="294"/>
      <c r="D4" s="294"/>
      <c r="E4" s="294"/>
      <c r="F4" s="294"/>
      <c r="G4" s="294"/>
      <c r="H4" s="294"/>
      <c r="I4" s="294"/>
      <c r="J4" s="295"/>
    </row>
    <row r="5" customFormat="false" ht="12" hidden="false" customHeight="false" outlineLevel="0" collapsed="false">
      <c r="A5" s="293"/>
      <c r="B5" s="296" t="s">
        <v>11</v>
      </c>
      <c r="C5" s="296" t="s">
        <v>12</v>
      </c>
      <c r="D5" s="296" t="s">
        <v>13</v>
      </c>
      <c r="E5" s="296" t="s">
        <v>14</v>
      </c>
      <c r="F5" s="296" t="s">
        <v>15</v>
      </c>
      <c r="G5" s="619" t="s">
        <v>16</v>
      </c>
      <c r="H5" s="296" t="s">
        <v>17</v>
      </c>
      <c r="I5" s="296" t="s">
        <v>18</v>
      </c>
      <c r="J5" s="297" t="s">
        <v>19</v>
      </c>
    </row>
    <row r="6" customFormat="false" ht="28" hidden="false" customHeight="true" outlineLevel="0" collapsed="false">
      <c r="A6" s="293"/>
      <c r="B6" s="620" t="s">
        <v>90</v>
      </c>
      <c r="C6" s="620"/>
      <c r="D6" s="620"/>
      <c r="E6" s="620"/>
      <c r="F6" s="620"/>
      <c r="G6" s="620"/>
      <c r="H6" s="620"/>
      <c r="I6" s="620"/>
      <c r="J6" s="620"/>
      <c r="K6" s="621"/>
      <c r="L6" s="622"/>
      <c r="M6" s="622"/>
      <c r="N6" s="622"/>
    </row>
    <row r="7" customFormat="false" ht="34" hidden="false" customHeight="true" outlineLevel="0" collapsed="false">
      <c r="A7" s="315"/>
      <c r="B7" s="623"/>
      <c r="C7" s="624"/>
      <c r="D7" s="625" t="s">
        <v>176</v>
      </c>
      <c r="E7" s="625"/>
      <c r="F7" s="625"/>
      <c r="G7" s="625"/>
      <c r="H7" s="626" t="s">
        <v>177</v>
      </c>
      <c r="I7" s="626"/>
      <c r="J7" s="626"/>
    </row>
    <row r="8" customFormat="false" ht="49.75" hidden="false" customHeight="true" outlineLevel="0" collapsed="false">
      <c r="A8" s="299"/>
      <c r="B8" s="627" t="s">
        <v>178</v>
      </c>
      <c r="C8" s="627"/>
      <c r="D8" s="628" t="s">
        <v>179</v>
      </c>
      <c r="E8" s="628"/>
      <c r="F8" s="628"/>
      <c r="G8" s="628"/>
      <c r="H8" s="629" t="s">
        <v>179</v>
      </c>
      <c r="I8" s="629"/>
      <c r="J8" s="629"/>
    </row>
    <row r="9" customFormat="false" ht="56" hidden="false" customHeight="true" outlineLevel="0" collapsed="false">
      <c r="A9" s="299"/>
      <c r="B9" s="630" t="s">
        <v>180</v>
      </c>
      <c r="C9" s="631" t="s">
        <v>181</v>
      </c>
      <c r="D9" s="632" t="s">
        <v>182</v>
      </c>
      <c r="E9" s="633" t="s">
        <v>183</v>
      </c>
      <c r="F9" s="633" t="s">
        <v>184</v>
      </c>
      <c r="G9" s="633" t="s">
        <v>185</v>
      </c>
      <c r="H9" s="632" t="s">
        <v>182</v>
      </c>
      <c r="I9" s="633" t="s">
        <v>183</v>
      </c>
      <c r="J9" s="634" t="s">
        <v>185</v>
      </c>
    </row>
    <row r="10" customFormat="false" ht="15" hidden="false" customHeight="true" outlineLevel="0" collapsed="false">
      <c r="A10" s="307" t="s">
        <v>72</v>
      </c>
      <c r="B10" s="635" t="n">
        <f aca="false">TableDE5a!F10</f>
        <v>7.03716354197713</v>
      </c>
      <c r="C10" s="636" t="n">
        <f aca="false">TableDE5a!F150</f>
        <v>4.11719616413334</v>
      </c>
      <c r="D10" s="637" t="n">
        <f aca="false">B10/((1+TableDE3c!B8))^140</f>
        <v>0.230584654060141</v>
      </c>
      <c r="E10" s="636" t="n">
        <f aca="false">TableDE4b!D10*(SUM(TableDE5a!$B10:$B149)/TableDE5a!$B150)</f>
        <v>5.32066813165064</v>
      </c>
      <c r="F10" s="636" t="n">
        <f aca="false">TableDE4b!E10*(SUM(TableDE5a!$B10:$B149)/TableDE5a!$B150)</f>
        <v>-0.115355697552893</v>
      </c>
      <c r="G10" s="636" t="n">
        <f aca="false">C10-D10-E10-F10</f>
        <v>-1.31870092402455</v>
      </c>
      <c r="H10" s="637"/>
      <c r="I10" s="636"/>
      <c r="J10" s="638"/>
      <c r="L10" s="25"/>
    </row>
    <row r="11" customFormat="false" ht="15" hidden="false" customHeight="true" outlineLevel="0" collapsed="false">
      <c r="A11" s="315"/>
      <c r="B11" s="639"/>
      <c r="C11" s="640"/>
      <c r="D11" s="641" t="n">
        <f aca="false">D10/$C10</f>
        <v>0.0560052630158512</v>
      </c>
      <c r="E11" s="642" t="n">
        <f aca="false">E10/$C10</f>
        <v>1.29230377167871</v>
      </c>
      <c r="F11" s="642" t="n">
        <f aca="false">F10/$C10</f>
        <v>-0.0280180231774736</v>
      </c>
      <c r="G11" s="643" t="n">
        <f aca="false">G10/$C10</f>
        <v>-0.320291011517089</v>
      </c>
      <c r="H11" s="641"/>
      <c r="I11" s="642"/>
      <c r="J11" s="644"/>
    </row>
    <row r="12" customFormat="false" ht="4.75" hidden="false" customHeight="true" outlineLevel="0" collapsed="false">
      <c r="A12" s="299"/>
      <c r="B12" s="645"/>
      <c r="C12" s="646"/>
      <c r="D12" s="328"/>
      <c r="E12" s="327"/>
      <c r="F12" s="327"/>
      <c r="G12" s="327"/>
      <c r="H12" s="328"/>
      <c r="I12" s="327"/>
      <c r="J12" s="647"/>
    </row>
    <row r="13" customFormat="false" ht="15" hidden="false" customHeight="true" outlineLevel="0" collapsed="false">
      <c r="A13" s="307" t="s">
        <v>73</v>
      </c>
      <c r="B13" s="635" t="n">
        <f aca="false">TableDE5a!F10</f>
        <v>7.03716354197713</v>
      </c>
      <c r="C13" s="636" t="n">
        <f aca="false">TableDE5a!F50</f>
        <v>6.08069505693412</v>
      </c>
      <c r="D13" s="637" t="n">
        <f aca="false">B13/((1+TableDE3c!B11)^40)</f>
        <v>2.6080824340431</v>
      </c>
      <c r="E13" s="636" t="n">
        <f aca="false">TableDE4b!D13*SUM(TableDE5a!$B10:$B49)/TableDE5a!$B50</f>
        <v>3.75674785375505</v>
      </c>
      <c r="F13" s="636" t="n">
        <f aca="false">TableDE4b!E13*SUM(TableDE5a!$B10:$B49)/TableDE5a!$B50</f>
        <v>0</v>
      </c>
      <c r="G13" s="636" t="n">
        <f aca="false">C13-D13-E13-F13</f>
        <v>-0.284135230864037</v>
      </c>
      <c r="H13" s="637"/>
      <c r="I13" s="636"/>
      <c r="J13" s="638"/>
      <c r="L13" s="25"/>
    </row>
    <row r="14" customFormat="false" ht="15" hidden="false" customHeight="true" outlineLevel="0" collapsed="false">
      <c r="A14" s="315"/>
      <c r="B14" s="639"/>
      <c r="C14" s="640"/>
      <c r="D14" s="641" t="n">
        <f aca="false">D13/$C13</f>
        <v>0.42891189405543</v>
      </c>
      <c r="E14" s="642" t="n">
        <f aca="false">E13/$C13</f>
        <v>0.617815532365999</v>
      </c>
      <c r="F14" s="642" t="n">
        <f aca="false">F13/$C13</f>
        <v>0</v>
      </c>
      <c r="G14" s="643" t="n">
        <f aca="false">G13/$C13</f>
        <v>-0.0467274264214292</v>
      </c>
      <c r="H14" s="641"/>
      <c r="I14" s="642"/>
      <c r="J14" s="644"/>
    </row>
    <row r="15" customFormat="false" ht="4.75" hidden="false" customHeight="true" outlineLevel="0" collapsed="false">
      <c r="A15" s="299"/>
      <c r="B15" s="645"/>
      <c r="C15" s="646"/>
      <c r="D15" s="328"/>
      <c r="E15" s="327"/>
      <c r="F15" s="327"/>
      <c r="G15" s="327"/>
      <c r="H15" s="328"/>
      <c r="I15" s="327"/>
      <c r="J15" s="647"/>
    </row>
    <row r="16" customFormat="false" ht="15" hidden="false" customHeight="true" outlineLevel="0" collapsed="false">
      <c r="A16" s="307" t="s">
        <v>74</v>
      </c>
      <c r="B16" s="635" t="n">
        <f aca="false">TableDE5a!F50</f>
        <v>6.08069505693412</v>
      </c>
      <c r="C16" s="636" t="n">
        <f aca="false">TableDE5a!F150</f>
        <v>4.11719616413334</v>
      </c>
      <c r="D16" s="637" t="n">
        <f aca="false">B16/((1+TableDE3c!B14)^100)</f>
        <v>0.537603776570355</v>
      </c>
      <c r="E16" s="636" t="n">
        <f aca="false">TableDE4b!D16*SUM(TableDE5a!$B50:$B149)/TableDE5a!$B150</f>
        <v>4.98852816822686</v>
      </c>
      <c r="F16" s="636" t="n">
        <f aca="false">TableDE4b!E16*SUM(TableDE5a!$B50:$B149)/TableDE5a!$B150</f>
        <v>-0.115355697552893</v>
      </c>
      <c r="G16" s="636" t="n">
        <f aca="false">C16-D16-E16-F16</f>
        <v>-1.29358008311098</v>
      </c>
      <c r="H16" s="637"/>
      <c r="I16" s="636"/>
      <c r="J16" s="638"/>
      <c r="L16" s="25"/>
    </row>
    <row r="17" customFormat="false" ht="15" hidden="false" customHeight="true" outlineLevel="0" collapsed="false">
      <c r="A17" s="315"/>
      <c r="B17" s="639"/>
      <c r="C17" s="640"/>
      <c r="D17" s="641" t="n">
        <f aca="false">D16/$C16</f>
        <v>0.130575215544416</v>
      </c>
      <c r="E17" s="642" t="n">
        <f aca="false">E16/$C16</f>
        <v>1.21163237537333</v>
      </c>
      <c r="F17" s="642" t="n">
        <f aca="false">F16/$C16</f>
        <v>-0.0280180231774736</v>
      </c>
      <c r="G17" s="643" t="n">
        <f aca="false">G16/$C16</f>
        <v>-0.314189567740275</v>
      </c>
      <c r="H17" s="641"/>
      <c r="I17" s="642"/>
      <c r="J17" s="644"/>
    </row>
    <row r="18" customFormat="false" ht="4.75" hidden="false" customHeight="true" outlineLevel="0" collapsed="false">
      <c r="A18" s="315"/>
      <c r="B18" s="639"/>
      <c r="C18" s="640"/>
      <c r="D18" s="648"/>
      <c r="E18" s="473"/>
      <c r="F18" s="473"/>
      <c r="G18" s="473"/>
      <c r="H18" s="648"/>
      <c r="I18" s="473"/>
      <c r="J18" s="649"/>
    </row>
    <row r="19" customFormat="false" ht="15" hidden="false" customHeight="true" outlineLevel="0" collapsed="false">
      <c r="A19" s="307" t="s">
        <v>75</v>
      </c>
      <c r="B19" s="635" t="n">
        <f aca="false">TableDE5a!F50</f>
        <v>6.08069505693412</v>
      </c>
      <c r="C19" s="636" t="n">
        <f aca="false">TableDE5a!F90</f>
        <v>1.81096491207406</v>
      </c>
      <c r="D19" s="637" t="n">
        <f aca="false">B19/((1+TableDE3c!B17)^40)</f>
        <v>3.81733395170379</v>
      </c>
      <c r="E19" s="636" t="n">
        <f aca="false">TableDE4b!D19*SUM(TableDE5a!$B50:$B89)/TableDE5a!$B90</f>
        <v>3.69108395892455</v>
      </c>
      <c r="F19" s="636" t="n">
        <f aca="false">TableDE4b!E19*SUM(TableDE5a!$B50:$B89)/TableDE5a!$B90</f>
        <v>-0.819099939364928</v>
      </c>
      <c r="G19" s="636" t="n">
        <f aca="false">C19-D19-E19-F19</f>
        <v>-4.87835305918935</v>
      </c>
      <c r="H19" s="637"/>
      <c r="I19" s="636"/>
      <c r="J19" s="638"/>
      <c r="L19" s="25"/>
    </row>
    <row r="20" customFormat="false" ht="15" hidden="false" customHeight="true" outlineLevel="0" collapsed="false">
      <c r="A20" s="315"/>
      <c r="B20" s="639"/>
      <c r="C20" s="640"/>
      <c r="D20" s="641" t="n">
        <f aca="false">D19/$C19</f>
        <v>2.10790055967008</v>
      </c>
      <c r="E20" s="642" t="n">
        <f aca="false">E19/$C19</f>
        <v>2.03818634713205</v>
      </c>
      <c r="F20" s="642" t="n">
        <f aca="false">F19/$C19</f>
        <v>-0.452300281415629</v>
      </c>
      <c r="G20" s="643" t="n">
        <f aca="false">G19/$C19</f>
        <v>-2.6937866253865</v>
      </c>
      <c r="H20" s="641"/>
      <c r="I20" s="642"/>
      <c r="J20" s="644"/>
    </row>
    <row r="21" customFormat="false" ht="4" hidden="false" customHeight="true" outlineLevel="0" collapsed="false">
      <c r="A21" s="315"/>
      <c r="B21" s="639"/>
      <c r="C21" s="640"/>
      <c r="D21" s="648"/>
      <c r="E21" s="473"/>
      <c r="F21" s="473"/>
      <c r="G21" s="473"/>
      <c r="H21" s="648"/>
      <c r="I21" s="473"/>
      <c r="J21" s="649"/>
    </row>
    <row r="22" customFormat="false" ht="15" hidden="false" customHeight="true" outlineLevel="0" collapsed="false">
      <c r="A22" s="307" t="s">
        <v>76</v>
      </c>
      <c r="B22" s="635" t="n">
        <f aca="false">TableDE5a!F90</f>
        <v>1.81096491207406</v>
      </c>
      <c r="C22" s="636" t="n">
        <f aca="false">TableDE5a!F150</f>
        <v>4.11719616413334</v>
      </c>
      <c r="D22" s="637" t="n">
        <f aca="false">B22/((1+TableDE3c!B20)^60)</f>
        <v>0.255042285606916</v>
      </c>
      <c r="E22" s="636" t="n">
        <f aca="false">TableDE4b!D22*SUM(TableDE5a!$B90:$B149)/TableDE5a!$B150</f>
        <v>4.46870446376149</v>
      </c>
      <c r="F22" s="636" t="n">
        <f aca="false">TableDE4b!E22*SUM(TableDE5a!$B90:$B149)/TableDE5a!$B150</f>
        <v>0</v>
      </c>
      <c r="G22" s="636" t="n">
        <f aca="false">C22-D22-E22-F22</f>
        <v>-0.60655058523506</v>
      </c>
      <c r="H22" s="637" t="n">
        <f aca="false">B22/((1+TableDE4b!B22)^60)</f>
        <v>0.255042285606916</v>
      </c>
      <c r="I22" s="636" t="n">
        <f aca="false">TableDE4b!I22*SUM(TableDE5a!B90:B149)/TableDE5a!B150</f>
        <v>3.12608778067016</v>
      </c>
      <c r="J22" s="638" t="n">
        <f aca="false">C22-H22-I22</f>
        <v>0.736066097856266</v>
      </c>
      <c r="L22" s="25"/>
      <c r="O22" s="650" t="n">
        <f aca="false">H22-D22</f>
        <v>0</v>
      </c>
    </row>
    <row r="23" customFormat="false" ht="15" hidden="false" customHeight="true" outlineLevel="0" collapsed="false">
      <c r="A23" s="315"/>
      <c r="B23" s="639"/>
      <c r="C23" s="640"/>
      <c r="D23" s="641" t="n">
        <f aca="false">D22/$C22</f>
        <v>0.0619456240216823</v>
      </c>
      <c r="E23" s="642" t="n">
        <f aca="false">E22/$C22</f>
        <v>1.08537565022777</v>
      </c>
      <c r="F23" s="642" t="n">
        <f aca="false">F22/$C22</f>
        <v>0</v>
      </c>
      <c r="G23" s="643" t="n">
        <f aca="false">G22/$C22</f>
        <v>-0.147321274249447</v>
      </c>
      <c r="H23" s="641" t="n">
        <f aca="false">H22/$C22</f>
        <v>0.0619456240216823</v>
      </c>
      <c r="I23" s="642" t="n">
        <f aca="false">I22/$C22</f>
        <v>0.759275889719039</v>
      </c>
      <c r="J23" s="644" t="n">
        <f aca="false">J22/$C22</f>
        <v>0.178778486259278</v>
      </c>
      <c r="O23" s="650"/>
    </row>
    <row r="24" customFormat="false" ht="4.75" hidden="false" customHeight="true" outlineLevel="0" collapsed="false">
      <c r="A24" s="315"/>
      <c r="B24" s="639"/>
      <c r="C24" s="640"/>
      <c r="D24" s="648"/>
      <c r="E24" s="473"/>
      <c r="F24" s="473"/>
      <c r="G24" s="473"/>
      <c r="H24" s="648"/>
      <c r="I24" s="473"/>
      <c r="J24" s="649"/>
      <c r="O24" s="650"/>
    </row>
    <row r="25" customFormat="false" ht="15" hidden="false" customHeight="false" outlineLevel="0" collapsed="false">
      <c r="A25" s="333" t="s">
        <v>77</v>
      </c>
      <c r="B25" s="635" t="n">
        <f aca="false">TableDE5a!F90</f>
        <v>1.81096491207406</v>
      </c>
      <c r="C25" s="636" t="n">
        <f aca="false">TableDE5a!F120</f>
        <v>2.5296440222246</v>
      </c>
      <c r="D25" s="637" t="n">
        <f aca="false">B25/((1+TableDE3c!B23)^30)</f>
        <v>0.426397612900132</v>
      </c>
      <c r="E25" s="636" t="n">
        <f aca="false">TableDE4b!D25*SUM(TableDE5a!$B90:$B119)/TableDE5a!$B120</f>
        <v>2.73923741370929</v>
      </c>
      <c r="F25" s="636" t="n">
        <f aca="false">TableDE4b!E25*SUM(TableDE5a!$B90:$B119)/TableDE5a!$B120</f>
        <v>0</v>
      </c>
      <c r="G25" s="636" t="n">
        <f aca="false">C25-D25-E25-F25</f>
        <v>-0.63599100438482</v>
      </c>
      <c r="H25" s="637" t="n">
        <f aca="false">B25/((1+TableDE4b!B25)^30)</f>
        <v>0.426397612900132</v>
      </c>
      <c r="I25" s="636" t="n">
        <f aca="false">TableDE4b!I25*SUM(TableDE5a!B90:B119)/TableDE5a!B120</f>
        <v>1.58922290869901</v>
      </c>
      <c r="J25" s="638" t="n">
        <f aca="false">C25-H25-I25</f>
        <v>0.514023500625455</v>
      </c>
      <c r="L25" s="25"/>
      <c r="O25" s="650" t="n">
        <f aca="false">H25-D25</f>
        <v>0</v>
      </c>
    </row>
    <row r="26" customFormat="false" ht="15" hidden="false" customHeight="false" outlineLevel="0" collapsed="false">
      <c r="A26" s="334"/>
      <c r="B26" s="651"/>
      <c r="C26" s="652"/>
      <c r="D26" s="641" t="n">
        <f aca="false">D25/$C25</f>
        <v>0.168560322778204</v>
      </c>
      <c r="E26" s="642" t="n">
        <f aca="false">E25/$C25</f>
        <v>1.08285489564669</v>
      </c>
      <c r="F26" s="642" t="n">
        <f aca="false">F25/$C25</f>
        <v>0</v>
      </c>
      <c r="G26" s="643" t="n">
        <f aca="false">G25/$C25</f>
        <v>-0.251415218424892</v>
      </c>
      <c r="H26" s="641" t="n">
        <f aca="false">H25/$C25</f>
        <v>0.168560322778204</v>
      </c>
      <c r="I26" s="642" t="n">
        <f aca="false">I25/$C25</f>
        <v>0.628239742326049</v>
      </c>
      <c r="J26" s="644" t="n">
        <f aca="false">J25/$C25</f>
        <v>0.203199934895747</v>
      </c>
      <c r="O26" s="650"/>
    </row>
    <row r="27" customFormat="false" ht="4" hidden="false" customHeight="true" outlineLevel="0" collapsed="false">
      <c r="A27" s="334"/>
      <c r="B27" s="651"/>
      <c r="C27" s="652"/>
      <c r="D27" s="653"/>
      <c r="E27" s="652"/>
      <c r="F27" s="652"/>
      <c r="G27" s="652"/>
      <c r="H27" s="654"/>
      <c r="I27" s="652"/>
      <c r="J27" s="655"/>
      <c r="O27" s="650"/>
    </row>
    <row r="28" customFormat="false" ht="15" hidden="false" customHeight="false" outlineLevel="0" collapsed="false">
      <c r="A28" s="333" t="s">
        <v>78</v>
      </c>
      <c r="B28" s="635" t="n">
        <f aca="false">TableDE5a!F120</f>
        <v>2.5296440222246</v>
      </c>
      <c r="C28" s="636" t="n">
        <f aca="false">TableDE5a!F150</f>
        <v>4.11719616413334</v>
      </c>
      <c r="D28" s="637" t="n">
        <f aca="false">B28/((1+TableDE3c!B26)^30)</f>
        <v>1.51306239453818</v>
      </c>
      <c r="E28" s="636" t="n">
        <f aca="false">TableDE4b!D28*SUM(TableDE5a!$B120:$B149)/TableDE5a!$B150</f>
        <v>2.83027744241692</v>
      </c>
      <c r="F28" s="636" t="n">
        <f aca="false">TableDE4b!E28*SUM(TableDE5a!$B120:$B149)/TableDE5a!$B150</f>
        <v>0</v>
      </c>
      <c r="G28" s="636" t="n">
        <f aca="false">C28-D28-E28-F28</f>
        <v>-0.226143672821758</v>
      </c>
      <c r="H28" s="637" t="n">
        <f aca="false">B28/((1+TableDE4b!B28)^30)</f>
        <v>1.51306239453818</v>
      </c>
      <c r="I28" s="636" t="n">
        <f aca="false">TableDE4b!I28*SUM(TableDE5a!B120:B149)/TableDE5a!B150</f>
        <v>2.17552185180226</v>
      </c>
      <c r="J28" s="638" t="n">
        <f aca="false">C28-H28-I28</f>
        <v>0.428611917792903</v>
      </c>
      <c r="L28" s="25"/>
      <c r="O28" s="650" t="n">
        <f aca="false">H28-D28</f>
        <v>0</v>
      </c>
    </row>
    <row r="29" customFormat="false" ht="15" hidden="false" customHeight="false" outlineLevel="0" collapsed="false">
      <c r="A29" s="334"/>
      <c r="B29" s="639"/>
      <c r="C29" s="640"/>
      <c r="D29" s="641" t="n">
        <f aca="false">D28/$C28</f>
        <v>0.367498252261845</v>
      </c>
      <c r="E29" s="642" t="n">
        <f aca="false">E28/$C28</f>
        <v>0.687428368624425</v>
      </c>
      <c r="F29" s="642" t="n">
        <f aca="false">F28/$C28</f>
        <v>0</v>
      </c>
      <c r="G29" s="643" t="n">
        <f aca="false">G28/$C28</f>
        <v>-0.0549266208862703</v>
      </c>
      <c r="H29" s="641" t="n">
        <f aca="false">H28/$C28</f>
        <v>0.367498252261845</v>
      </c>
      <c r="I29" s="642" t="n">
        <f aca="false">I28/$C28</f>
        <v>0.528398882412785</v>
      </c>
      <c r="J29" s="644" t="n">
        <f aca="false">J28/$C28</f>
        <v>0.10410286532537</v>
      </c>
      <c r="O29" s="650"/>
    </row>
    <row r="30" customFormat="false" ht="4" hidden="false" customHeight="true" outlineLevel="0" collapsed="false">
      <c r="A30" s="334"/>
      <c r="B30" s="639"/>
      <c r="C30" s="640"/>
      <c r="D30" s="653"/>
      <c r="E30" s="652"/>
      <c r="F30" s="652"/>
      <c r="G30" s="652"/>
      <c r="H30" s="654"/>
      <c r="I30" s="652"/>
      <c r="J30" s="655"/>
      <c r="O30" s="650"/>
    </row>
    <row r="31" customFormat="false" ht="15" hidden="false" customHeight="false" outlineLevel="0" collapsed="false">
      <c r="A31" s="333" t="s">
        <v>79</v>
      </c>
      <c r="B31" s="635" t="n">
        <f aca="false">TableDE5a!F90</f>
        <v>1.81096491207406</v>
      </c>
      <c r="C31" s="636" t="n">
        <f aca="false">TableDE5a!F110</f>
        <v>2.25028311964994</v>
      </c>
      <c r="D31" s="637" t="n">
        <f aca="false">B31/((1+TableDE3c!B29)^20)</f>
        <v>0.55399523278222</v>
      </c>
      <c r="E31" s="636" t="n">
        <f aca="false">TableDE4b!D31*SUM(TableDE5a!$B90:$B109)/TableDE5a!$B110</f>
        <v>1.96748229637635</v>
      </c>
      <c r="F31" s="636" t="n">
        <f aca="false">TableDE4b!E31*SUM(TableDE5a!$B90:$B109)/TableDE5a!$B110</f>
        <v>0</v>
      </c>
      <c r="G31" s="636" t="n">
        <f aca="false">C31-D31-E31-F31</f>
        <v>-0.271194409508631</v>
      </c>
      <c r="H31" s="637" t="n">
        <f aca="false">B31/((1+TableDE4b!B31)^20)</f>
        <v>0.55399523278222</v>
      </c>
      <c r="I31" s="636" t="n">
        <f aca="false">TableDE4b!I31*SUM(TableDE5a!B90:B109)/TableDE5a!B110</f>
        <v>0.876384405427029</v>
      </c>
      <c r="J31" s="638" t="n">
        <f aca="false">C31-H31-I31</f>
        <v>0.819903481440691</v>
      </c>
      <c r="L31" s="25"/>
      <c r="O31" s="650" t="n">
        <f aca="false">H31-D31</f>
        <v>0</v>
      </c>
    </row>
    <row r="32" customFormat="false" ht="15" hidden="false" customHeight="false" outlineLevel="0" collapsed="false">
      <c r="A32" s="334"/>
      <c r="B32" s="639"/>
      <c r="C32" s="640"/>
      <c r="D32" s="641" t="n">
        <f aca="false">D31/$C31</f>
        <v>0.246189125245894</v>
      </c>
      <c r="E32" s="642" t="n">
        <f aca="false">E31/$C31</f>
        <v>0.874326558820927</v>
      </c>
      <c r="F32" s="642" t="n">
        <f aca="false">F31/$C31</f>
        <v>0</v>
      </c>
      <c r="G32" s="643" t="n">
        <f aca="false">G31/$C31</f>
        <v>-0.12051568406682</v>
      </c>
      <c r="H32" s="641" t="n">
        <f aca="false">H31/$C31</f>
        <v>0.246189125245894</v>
      </c>
      <c r="I32" s="642" t="n">
        <f aca="false">I31/$C31</f>
        <v>0.389455174673026</v>
      </c>
      <c r="J32" s="644" t="n">
        <f aca="false">J31/$C31</f>
        <v>0.36435570008108</v>
      </c>
      <c r="O32" s="650"/>
    </row>
    <row r="33" customFormat="false" ht="4" hidden="false" customHeight="true" outlineLevel="0" collapsed="false">
      <c r="A33" s="334"/>
      <c r="B33" s="639"/>
      <c r="C33" s="640"/>
      <c r="D33" s="653"/>
      <c r="E33" s="652"/>
      <c r="F33" s="652"/>
      <c r="G33" s="652"/>
      <c r="H33" s="654"/>
      <c r="I33" s="652"/>
      <c r="J33" s="655"/>
      <c r="O33" s="650"/>
    </row>
    <row r="34" customFormat="false" ht="15" hidden="false" customHeight="false" outlineLevel="0" collapsed="false">
      <c r="A34" s="333" t="s">
        <v>80</v>
      </c>
      <c r="B34" s="635" t="n">
        <f aca="false">TableDE5a!F110</f>
        <v>2.25028311964994</v>
      </c>
      <c r="C34" s="636" t="n">
        <f aca="false">TableDE5a!F150</f>
        <v>4.11719616413334</v>
      </c>
      <c r="D34" s="637" t="n">
        <f aca="false">B34/((1+TableDE3c!B32)^40)</f>
        <v>1.0359608100162</v>
      </c>
      <c r="E34" s="636" t="n">
        <f aca="false">TableDE4b!D34*SUM(TableDE5a!$B110:$B149)/TableDE5a!$B150</f>
        <v>3.56293641366668</v>
      </c>
      <c r="F34" s="636" t="n">
        <f aca="false">TableDE4b!E34*SUM(TableDE5a!$B110:$B149)/TableDE5a!$B150</f>
        <v>0</v>
      </c>
      <c r="G34" s="636" t="n">
        <f aca="false">C34-D34-E34-F34</f>
        <v>-0.481701059549538</v>
      </c>
      <c r="H34" s="637" t="n">
        <f aca="false">B34/((1+TableDE4b!B34)^40)</f>
        <v>1.0359608100162</v>
      </c>
      <c r="I34" s="636" t="n">
        <f aca="false">TableDE4b!I34*SUM(TableDE5a!B110:B149)/TableDE5a!B150</f>
        <v>2.72262748245089</v>
      </c>
      <c r="J34" s="638" t="n">
        <f aca="false">C34-H34-I34</f>
        <v>0.358607871666253</v>
      </c>
      <c r="L34" s="25"/>
      <c r="O34" s="650" t="n">
        <f aca="false">H34-D34</f>
        <v>0</v>
      </c>
    </row>
    <row r="35" customFormat="false" ht="15" hidden="false" customHeight="false" outlineLevel="0" collapsed="false">
      <c r="A35" s="334"/>
      <c r="B35" s="639"/>
      <c r="C35" s="640"/>
      <c r="D35" s="641" t="n">
        <f aca="false">D34/$C34</f>
        <v>0.251618035361273</v>
      </c>
      <c r="E35" s="642" t="n">
        <f aca="false">E34/$C34</f>
        <v>0.865379319233061</v>
      </c>
      <c r="F35" s="642" t="n">
        <f aca="false">F34/$C34</f>
        <v>0</v>
      </c>
      <c r="G35" s="643" t="n">
        <f aca="false">G34/$C34</f>
        <v>-0.116997354594333</v>
      </c>
      <c r="H35" s="641" t="n">
        <f aca="false">H34/$C34</f>
        <v>0.251618035361273</v>
      </c>
      <c r="I35" s="642" t="n">
        <f aca="false">I34/$C34</f>
        <v>0.661281943806531</v>
      </c>
      <c r="J35" s="644" t="n">
        <f aca="false">J34/$C34</f>
        <v>0.0871000208321963</v>
      </c>
      <c r="O35" s="650"/>
    </row>
    <row r="36" customFormat="false" ht="4" hidden="false" customHeight="true" outlineLevel="0" collapsed="false">
      <c r="A36" s="334"/>
      <c r="B36" s="639"/>
      <c r="C36" s="640"/>
      <c r="D36" s="653"/>
      <c r="E36" s="652"/>
      <c r="F36" s="652"/>
      <c r="G36" s="652"/>
      <c r="H36" s="654"/>
      <c r="I36" s="652"/>
      <c r="J36" s="655"/>
      <c r="O36" s="650"/>
    </row>
    <row r="37" customFormat="false" ht="15" hidden="false" customHeight="false" outlineLevel="0" collapsed="false">
      <c r="A37" s="333" t="s">
        <v>81</v>
      </c>
      <c r="B37" s="635" t="n">
        <f aca="false">TableDE5a!F110</f>
        <v>2.25028311964994</v>
      </c>
      <c r="C37" s="636" t="n">
        <f aca="false">TableDE5a!F130</f>
        <v>2.93337465632571</v>
      </c>
      <c r="D37" s="637" t="n">
        <f aca="false">B37/((1+TableDE3c!B35)^20)</f>
        <v>1.37600369591095</v>
      </c>
      <c r="E37" s="636" t="n">
        <f aca="false">TableDE4b!D37*SUM(TableDE5a!$B110:$B129)/TableDE5a!$B130</f>
        <v>1.95470787874284</v>
      </c>
      <c r="F37" s="636" t="n">
        <f aca="false">TableDE4b!E37*SUM(TableDE5a!$B110:$B129)/TableDE5a!$B130</f>
        <v>0</v>
      </c>
      <c r="G37" s="636" t="n">
        <f aca="false">C37-D37-E37-F37</f>
        <v>-0.397336918328081</v>
      </c>
      <c r="H37" s="637" t="n">
        <f aca="false">B37/((1+TableDE4b!B37)^20)</f>
        <v>1.37600369591095</v>
      </c>
      <c r="I37" s="636" t="n">
        <f aca="false">TableDE4b!I37*SUM(TableDE5a!B110:B129)/TableDE5a!B130</f>
        <v>1.55319414952253</v>
      </c>
      <c r="J37" s="638" t="n">
        <f aca="false">C37-H37-I37</f>
        <v>0.00417681089222932</v>
      </c>
      <c r="L37" s="25"/>
      <c r="O37" s="650" t="n">
        <f aca="false">H37-D37</f>
        <v>0</v>
      </c>
    </row>
    <row r="38" customFormat="false" ht="15" hidden="false" customHeight="false" outlineLevel="0" collapsed="false">
      <c r="A38" s="334"/>
      <c r="B38" s="651"/>
      <c r="C38" s="652"/>
      <c r="D38" s="641" t="n">
        <f aca="false">D37/$C37</f>
        <v>0.469085560872236</v>
      </c>
      <c r="E38" s="642" t="n">
        <f aca="false">E37/$C37</f>
        <v>0.66636829854911</v>
      </c>
      <c r="F38" s="642" t="n">
        <f aca="false">F37/$C37</f>
        <v>0</v>
      </c>
      <c r="G38" s="643" t="n">
        <f aca="false">G37/$C37</f>
        <v>-0.135453859421346</v>
      </c>
      <c r="H38" s="641" t="n">
        <f aca="false">H37/$C37</f>
        <v>0.469085560872236</v>
      </c>
      <c r="I38" s="642" t="n">
        <f aca="false">I37/$C37</f>
        <v>0.529490546382519</v>
      </c>
      <c r="J38" s="644" t="n">
        <f aca="false">J37/$C37</f>
        <v>0.00142389274524554</v>
      </c>
      <c r="O38" s="650"/>
    </row>
    <row r="39" customFormat="false" ht="4" hidden="false" customHeight="true" outlineLevel="0" collapsed="false">
      <c r="A39" s="334"/>
      <c r="B39" s="651"/>
      <c r="C39" s="652"/>
      <c r="D39" s="653"/>
      <c r="E39" s="652"/>
      <c r="F39" s="652"/>
      <c r="G39" s="652"/>
      <c r="H39" s="654"/>
      <c r="I39" s="652"/>
      <c r="J39" s="655"/>
      <c r="O39" s="650"/>
    </row>
    <row r="40" customFormat="false" ht="15" hidden="false" customHeight="false" outlineLevel="0" collapsed="false">
      <c r="A40" s="333" t="s">
        <v>82</v>
      </c>
      <c r="B40" s="635" t="n">
        <f aca="false">TableDE5a!F130</f>
        <v>2.93337465632571</v>
      </c>
      <c r="C40" s="636" t="n">
        <f aca="false">TableDE5a!F150</f>
        <v>4.11719616413334</v>
      </c>
      <c r="D40" s="637" t="n">
        <f aca="false">B40/((1+TableDE3c!B38)^20)</f>
        <v>2.20846876652928</v>
      </c>
      <c r="E40" s="636" t="n">
        <f aca="false">TableDE4b!D40*SUM(TableDE5a!$B130:$B149)/TableDE5a!$B150</f>
        <v>2.09128283931571</v>
      </c>
      <c r="F40" s="636" t="n">
        <f aca="false">TableDE4b!E40*SUM(TableDE5a!$B130:$B149)/TableDE5a!$B150</f>
        <v>0</v>
      </c>
      <c r="G40" s="636" t="n">
        <f aca="false">C40-D40-E40-F40</f>
        <v>-0.182555441711651</v>
      </c>
      <c r="H40" s="637" t="n">
        <f aca="false">B40/((1+TableDE4b!B40)^20)</f>
        <v>2.20846876652928</v>
      </c>
      <c r="I40" s="636" t="n">
        <f aca="false">TableDE4b!I40*SUM(TableDE5a!B130:B149)/TableDE5a!B150</f>
        <v>1.55326414859257</v>
      </c>
      <c r="J40" s="638" t="n">
        <f aca="false">C40-H40-I40</f>
        <v>0.355463249011488</v>
      </c>
      <c r="L40" s="25"/>
      <c r="O40" s="650" t="n">
        <f aca="false">H40-D40</f>
        <v>0</v>
      </c>
    </row>
    <row r="41" customFormat="false" ht="15" hidden="false" customHeight="false" outlineLevel="0" collapsed="false">
      <c r="A41" s="334"/>
      <c r="B41" s="639"/>
      <c r="C41" s="640"/>
      <c r="D41" s="641" t="n">
        <f aca="false">D40/$C40</f>
        <v>0.536401152261871</v>
      </c>
      <c r="E41" s="642" t="n">
        <f aca="false">E40/$C40</f>
        <v>0.507938596060536</v>
      </c>
      <c r="F41" s="642" t="n">
        <f aca="false">F40/$C40</f>
        <v>0</v>
      </c>
      <c r="G41" s="643" t="n">
        <f aca="false">G40/$C40</f>
        <v>-0.0443397483224068</v>
      </c>
      <c r="H41" s="641" t="n">
        <f aca="false">H40/$C40</f>
        <v>0.536401152261871</v>
      </c>
      <c r="I41" s="642" t="n">
        <f aca="false">I40/$C40</f>
        <v>0.37726260461518</v>
      </c>
      <c r="J41" s="644" t="n">
        <f aca="false">J40/$C40</f>
        <v>0.0863362431229486</v>
      </c>
      <c r="O41" s="650"/>
    </row>
    <row r="42" customFormat="false" ht="4.75" hidden="false" customHeight="true" outlineLevel="0" collapsed="false">
      <c r="A42" s="338"/>
      <c r="B42" s="639"/>
      <c r="C42" s="640"/>
      <c r="D42" s="648"/>
      <c r="E42" s="473"/>
      <c r="F42" s="473"/>
      <c r="G42" s="473"/>
      <c r="H42" s="648"/>
      <c r="I42" s="473"/>
      <c r="J42" s="649"/>
      <c r="O42" s="650"/>
    </row>
    <row r="43" customFormat="false" ht="15" hidden="false" customHeight="false" outlineLevel="0" collapsed="false">
      <c r="A43" s="339" t="s">
        <v>83</v>
      </c>
      <c r="B43" s="656" t="n">
        <f aca="false">TableDE5a!F90</f>
        <v>1.81096491207406</v>
      </c>
      <c r="C43" s="657" t="n">
        <f aca="false">TableDE5a!F100</f>
        <v>1.72291064507652</v>
      </c>
      <c r="D43" s="658" t="n">
        <f aca="false">B43/((1+TableDE3c!B41)^10)</f>
        <v>0.832515153729589</v>
      </c>
      <c r="E43" s="657" t="n">
        <f aca="false">TableDE4b!D43*SUM(TableDE5a!$B90:$B99)/TableDE5a!$B100</f>
        <v>1.05494201602494</v>
      </c>
      <c r="F43" s="657" t="n">
        <f aca="false">TableDE4b!E43*SUM(TableDE5a!$B90:$B99)/TableDE5a!$B100</f>
        <v>0</v>
      </c>
      <c r="G43" s="657" t="n">
        <f aca="false">C43-D43-E43-F43</f>
        <v>-0.164546524678008</v>
      </c>
      <c r="H43" s="658" t="n">
        <f aca="false">B43/((1+TableDE4b!B43)^10)</f>
        <v>0.832515153729589</v>
      </c>
      <c r="I43" s="657" t="n">
        <f aca="false">TableDE4b!I43*SUM(TableDE5a!B90:B99)/TableDE5a!B100</f>
        <v>0.352118086357919</v>
      </c>
      <c r="J43" s="659" t="n">
        <f aca="false">C43-H43-I43</f>
        <v>0.538277404989013</v>
      </c>
      <c r="L43" s="25"/>
      <c r="O43" s="650" t="n">
        <f aca="false">H43-D43</f>
        <v>0</v>
      </c>
    </row>
    <row r="44" customFormat="false" ht="15" hidden="false" customHeight="false" outlineLevel="0" collapsed="false">
      <c r="A44" s="345"/>
      <c r="B44" s="639"/>
      <c r="C44" s="640"/>
      <c r="D44" s="641" t="n">
        <f aca="false">D43/$C43</f>
        <v>0.483202745370822</v>
      </c>
      <c r="E44" s="642" t="n">
        <f aca="false">E43/$C43</f>
        <v>0.612302221847429</v>
      </c>
      <c r="F44" s="642" t="n">
        <f aca="false">F43/$C43</f>
        <v>0</v>
      </c>
      <c r="G44" s="643" t="n">
        <f aca="false">G43/$C43</f>
        <v>-0.0955049672182508</v>
      </c>
      <c r="H44" s="641" t="n">
        <f aca="false">H43/$C43</f>
        <v>0.483202745370822</v>
      </c>
      <c r="I44" s="642" t="n">
        <f aca="false">I43/$C43</f>
        <v>0.204373968762773</v>
      </c>
      <c r="J44" s="644" t="n">
        <f aca="false">J43/$C43</f>
        <v>0.312423285866405</v>
      </c>
      <c r="O44" s="650"/>
    </row>
    <row r="45" customFormat="false" ht="4.75" hidden="false" customHeight="true" outlineLevel="0" collapsed="false">
      <c r="A45" s="315"/>
      <c r="B45" s="639"/>
      <c r="C45" s="640"/>
      <c r="D45" s="648"/>
      <c r="E45" s="473"/>
      <c r="F45" s="473"/>
      <c r="G45" s="473"/>
      <c r="H45" s="648"/>
      <c r="I45" s="473"/>
      <c r="J45" s="649"/>
      <c r="O45" s="650"/>
    </row>
    <row r="46" customFormat="false" ht="15" hidden="false" customHeight="false" outlineLevel="0" collapsed="false">
      <c r="A46" s="339" t="s">
        <v>84</v>
      </c>
      <c r="B46" s="656" t="n">
        <f aca="false">TableDE5a!F100</f>
        <v>1.72291064507652</v>
      </c>
      <c r="C46" s="657" t="n">
        <f aca="false">TableDE5a!F110</f>
        <v>2.25028311964994</v>
      </c>
      <c r="D46" s="658" t="n">
        <f aca="false">B46/((1+TableDE3c!B51)^10)</f>
        <v>1.14650679883259</v>
      </c>
      <c r="E46" s="657" t="n">
        <f aca="false">TableDE4b!D53*SUM(TableDE5a!$B100:$B109)/TableDE5a!$B110</f>
        <v>1.26547363608797</v>
      </c>
      <c r="F46" s="657" t="n">
        <f aca="false">TableDE4b!E53*SUM(TableDE5a!$B100:$B109)/TableDE5a!$B110</f>
        <v>0</v>
      </c>
      <c r="G46" s="657" t="n">
        <f aca="false">C46-D46-E46-F46</f>
        <v>-0.161697315270625</v>
      </c>
      <c r="H46" s="658" t="n">
        <f aca="false">B46/((1+TableDE4b!B53)^10)</f>
        <v>1.14650679883259</v>
      </c>
      <c r="I46" s="657" t="n">
        <f aca="false">TableDE4b!I53*SUM(TableDE5a!B100:B109)/TableDE5a!B110:B110</f>
        <v>0.64206826073611</v>
      </c>
      <c r="J46" s="659" t="n">
        <f aca="false">C46-H46-I46</f>
        <v>0.461708060081239</v>
      </c>
      <c r="L46" s="25"/>
      <c r="O46" s="650" t="n">
        <f aca="false">H46-D46</f>
        <v>0</v>
      </c>
    </row>
    <row r="47" customFormat="false" ht="15" hidden="false" customHeight="false" outlineLevel="0" collapsed="false">
      <c r="A47" s="345"/>
      <c r="B47" s="639"/>
      <c r="C47" s="640"/>
      <c r="D47" s="641" t="n">
        <f aca="false">D46/$C46</f>
        <v>0.5094944670833</v>
      </c>
      <c r="E47" s="642" t="n">
        <f aca="false">E46/$C46</f>
        <v>0.562361964606851</v>
      </c>
      <c r="F47" s="642" t="n">
        <f aca="false">F46/$C46</f>
        <v>0</v>
      </c>
      <c r="G47" s="643" t="n">
        <f aca="false">G46/$C46</f>
        <v>-0.0718564316901506</v>
      </c>
      <c r="H47" s="641" t="n">
        <f aca="false">H46/$C46</f>
        <v>0.5094944670833</v>
      </c>
      <c r="I47" s="642" t="n">
        <f aca="false">I46/$C46</f>
        <v>0.285327768372538</v>
      </c>
      <c r="J47" s="644" t="n">
        <f aca="false">J46/$C46</f>
        <v>0.205177764544163</v>
      </c>
      <c r="O47" s="650"/>
    </row>
    <row r="48" customFormat="false" ht="4.75" hidden="false" customHeight="true" outlineLevel="0" collapsed="false">
      <c r="A48" s="315"/>
      <c r="B48" s="639"/>
      <c r="C48" s="640"/>
      <c r="D48" s="648"/>
      <c r="E48" s="473"/>
      <c r="F48" s="473"/>
      <c r="G48" s="473"/>
      <c r="H48" s="648"/>
      <c r="I48" s="473"/>
      <c r="J48" s="649"/>
      <c r="O48" s="650"/>
    </row>
    <row r="49" customFormat="false" ht="15" hidden="false" customHeight="false" outlineLevel="0" collapsed="false">
      <c r="A49" s="339" t="s">
        <v>85</v>
      </c>
      <c r="B49" s="656" t="n">
        <f aca="false">TableDE5a!F110</f>
        <v>2.25028311964994</v>
      </c>
      <c r="C49" s="657" t="n">
        <f aca="false">TableDE5a!F120</f>
        <v>2.5296440222246</v>
      </c>
      <c r="D49" s="658" t="n">
        <f aca="false">B49/((1+TableDE3c!B61)^10)</f>
        <v>1.73199207103176</v>
      </c>
      <c r="E49" s="657" t="n">
        <f aca="false">TableDE4b!D63*SUM(TableDE5a!$B110:$B119)/TableDE5a!$B120</f>
        <v>1.22491074633896</v>
      </c>
      <c r="F49" s="657" t="n">
        <f aca="false">TableDE4b!E63*SUM(TableDE5a!$B110:$B119)/TableDE5a!$B120</f>
        <v>0</v>
      </c>
      <c r="G49" s="657" t="n">
        <f aca="false">C49-D49-E49-F49</f>
        <v>-0.42725879514612</v>
      </c>
      <c r="H49" s="658" t="n">
        <f aca="false">B49/((1+TableDE4b!B63)^10)</f>
        <v>1.73199207103176</v>
      </c>
      <c r="I49" s="657" t="n">
        <f aca="false">TableDE4b!I63*SUM(TableDE5a!B110:B119)/TableDE5a!B120</f>
        <v>0.914689634143046</v>
      </c>
      <c r="J49" s="659" t="n">
        <f aca="false">C49-H49-I49</f>
        <v>-0.117037682950202</v>
      </c>
      <c r="O49" s="650" t="n">
        <f aca="false">H49-D49</f>
        <v>0</v>
      </c>
    </row>
    <row r="50" customFormat="false" ht="15" hidden="false" customHeight="false" outlineLevel="0" collapsed="false">
      <c r="A50" s="345"/>
      <c r="B50" s="651"/>
      <c r="C50" s="652"/>
      <c r="D50" s="641" t="n">
        <f aca="false">D49/$C49</f>
        <v>0.684678182311447</v>
      </c>
      <c r="E50" s="642" t="n">
        <f aca="false">E49/$C49</f>
        <v>0.484222576606554</v>
      </c>
      <c r="F50" s="642" t="n">
        <f aca="false">F49/$C49</f>
        <v>0</v>
      </c>
      <c r="G50" s="643" t="n">
        <f aca="false">G49/$C49</f>
        <v>-0.168900758918001</v>
      </c>
      <c r="H50" s="641" t="n">
        <f aca="false">H49/$C49</f>
        <v>0.684678182311447</v>
      </c>
      <c r="I50" s="642" t="n">
        <f aca="false">I49/$C49</f>
        <v>0.361588281239135</v>
      </c>
      <c r="J50" s="644" t="n">
        <f aca="false">J49/$C49</f>
        <v>-0.0462664635505818</v>
      </c>
      <c r="O50" s="650"/>
    </row>
    <row r="51" customFormat="false" ht="4.75" hidden="false" customHeight="true" outlineLevel="0" collapsed="false">
      <c r="A51" s="315"/>
      <c r="B51" s="639"/>
      <c r="C51" s="640"/>
      <c r="D51" s="648"/>
      <c r="E51" s="473"/>
      <c r="F51" s="473"/>
      <c r="G51" s="473"/>
      <c r="H51" s="648"/>
      <c r="I51" s="473"/>
      <c r="J51" s="649"/>
      <c r="O51" s="650"/>
    </row>
    <row r="52" customFormat="false" ht="15" hidden="false" customHeight="false" outlineLevel="0" collapsed="false">
      <c r="A52" s="339" t="s">
        <v>86</v>
      </c>
      <c r="B52" s="656" t="n">
        <f aca="false">TableDE5a!F120</f>
        <v>2.5296440222246</v>
      </c>
      <c r="C52" s="657" t="n">
        <f aca="false">TableDE5a!F130</f>
        <v>2.93337465632571</v>
      </c>
      <c r="D52" s="658" t="n">
        <f aca="false">B52/((1+TableDE3c!B71)^10)</f>
        <v>2.00970869447835</v>
      </c>
      <c r="E52" s="657" t="n">
        <f aca="false">TableDE4b!D73*SUM(TableDE5a!$B120:$B129)/TableDE5a!$B130</f>
        <v>0.981561556473944</v>
      </c>
      <c r="F52" s="657" t="n">
        <f aca="false">TableDE4b!E73*SUM(TableDE5a!$B120:$B129)/TableDE5a!$B130</f>
        <v>0</v>
      </c>
      <c r="G52" s="657" t="n">
        <f aca="false">C52-D52-E52-F52</f>
        <v>-0.0578955946265817</v>
      </c>
      <c r="H52" s="658" t="n">
        <f aca="false">B52/((1+TableDE4b!B73)^10)</f>
        <v>2.00970869447835</v>
      </c>
      <c r="I52" s="657" t="n">
        <f aca="false">TableDE4b!I73*SUM(TableDE5a!B120:B129)/TableDE5a!B130</f>
        <v>0.826507036894762</v>
      </c>
      <c r="J52" s="659" t="n">
        <f aca="false">C52-H52-I52</f>
        <v>0.0971589249525997</v>
      </c>
      <c r="O52" s="650" t="n">
        <f aca="false">H52-D52</f>
        <v>0</v>
      </c>
    </row>
    <row r="53" customFormat="false" ht="15" hidden="false" customHeight="false" outlineLevel="0" collapsed="false">
      <c r="A53" s="345"/>
      <c r="B53" s="639"/>
      <c r="C53" s="640"/>
      <c r="D53" s="641" t="n">
        <f aca="false">D52/$C52</f>
        <v>0.685118312502117</v>
      </c>
      <c r="E53" s="642" t="n">
        <f aca="false">E52/$C52</f>
        <v>0.334618543989</v>
      </c>
      <c r="F53" s="642" t="n">
        <f aca="false">F52/$C52</f>
        <v>0</v>
      </c>
      <c r="G53" s="643" t="n">
        <f aca="false">G52/$C52</f>
        <v>-0.0197368564911175</v>
      </c>
      <c r="H53" s="641" t="n">
        <f aca="false">H52/$C52</f>
        <v>0.685118312502117</v>
      </c>
      <c r="I53" s="642" t="n">
        <f aca="false">I52/$C52</f>
        <v>0.281759793319422</v>
      </c>
      <c r="J53" s="644" t="n">
        <f aca="false">J52/$C52</f>
        <v>0.033121894178461</v>
      </c>
      <c r="O53" s="650"/>
    </row>
    <row r="54" customFormat="false" ht="4.75" hidden="false" customHeight="true" outlineLevel="0" collapsed="false">
      <c r="A54" s="315"/>
      <c r="B54" s="639"/>
      <c r="C54" s="640"/>
      <c r="D54" s="648"/>
      <c r="E54" s="473"/>
      <c r="F54" s="473"/>
      <c r="G54" s="473"/>
      <c r="H54" s="648"/>
      <c r="I54" s="473"/>
      <c r="J54" s="649"/>
      <c r="O54" s="650"/>
    </row>
    <row r="55" customFormat="false" ht="15" hidden="false" customHeight="false" outlineLevel="0" collapsed="false">
      <c r="A55" s="339" t="s">
        <v>87</v>
      </c>
      <c r="B55" s="656" t="n">
        <f aca="false">TableDE5a!F130</f>
        <v>2.93337465632571</v>
      </c>
      <c r="C55" s="657" t="n">
        <f aca="false">TableDE5a!F140</f>
        <v>3.56473937826538</v>
      </c>
      <c r="D55" s="658" t="n">
        <f aca="false">B55/((1+TableDE3c!B81)^10)</f>
        <v>2.49240799994718</v>
      </c>
      <c r="E55" s="657" t="n">
        <f aca="false">TableDE4b!D83*SUM(TableDE5a!$B130:$B139)/TableDE5a!$B140</f>
        <v>1.09472464821892</v>
      </c>
      <c r="F55" s="657" t="n">
        <f aca="false">TableDE4b!E83*SUM(TableDE5a!$B130:$B139)/TableDE5a!$B140</f>
        <v>0</v>
      </c>
      <c r="G55" s="657" t="n">
        <f aca="false">C55-D55-E55-F55</f>
        <v>-0.0223932699007232</v>
      </c>
      <c r="H55" s="658" t="n">
        <f aca="false">B55/((1+TableDE4b!B83)^10)</f>
        <v>2.49240799994718</v>
      </c>
      <c r="I55" s="657" t="n">
        <f aca="false">TableDE4b!I83*SUM(TableDE5a!B130:B139)/TableDE5a!B140</f>
        <v>0.849683556182324</v>
      </c>
      <c r="J55" s="659" t="n">
        <f aca="false">C55-H55-I55</f>
        <v>0.222647822135875</v>
      </c>
      <c r="O55" s="650" t="n">
        <f aca="false">H55-D55</f>
        <v>0</v>
      </c>
    </row>
    <row r="56" customFormat="false" ht="15" hidden="false" customHeight="false" outlineLevel="0" collapsed="false">
      <c r="A56" s="345"/>
      <c r="B56" s="639"/>
      <c r="C56" s="640"/>
      <c r="D56" s="641" t="n">
        <f aca="false">D55/$C55</f>
        <v>0.699183793110845</v>
      </c>
      <c r="E56" s="642" t="n">
        <f aca="false">E55/$C55</f>
        <v>0.307098088262379</v>
      </c>
      <c r="F56" s="642" t="n">
        <f aca="false">F55/$C55</f>
        <v>0</v>
      </c>
      <c r="G56" s="643" t="n">
        <f aca="false">G55/$C55</f>
        <v>-0.00628188137322394</v>
      </c>
      <c r="H56" s="641" t="n">
        <f aca="false">H55/$C55</f>
        <v>0.699183793110845</v>
      </c>
      <c r="I56" s="642" t="n">
        <f aca="false">I55/$C55</f>
        <v>0.238357833776837</v>
      </c>
      <c r="J56" s="644" t="n">
        <f aca="false">J55/$C55</f>
        <v>0.0624583731123188</v>
      </c>
      <c r="O56" s="650"/>
    </row>
    <row r="57" customFormat="false" ht="4.75" hidden="false" customHeight="true" outlineLevel="0" collapsed="false">
      <c r="A57" s="315"/>
      <c r="B57" s="639"/>
      <c r="C57" s="640"/>
      <c r="D57" s="648"/>
      <c r="E57" s="473"/>
      <c r="F57" s="473"/>
      <c r="G57" s="473"/>
      <c r="H57" s="648"/>
      <c r="I57" s="473"/>
      <c r="J57" s="649"/>
      <c r="O57" s="650"/>
    </row>
    <row r="58" customFormat="false" ht="15" hidden="false" customHeight="false" outlineLevel="0" collapsed="false">
      <c r="A58" s="339" t="s">
        <v>88</v>
      </c>
      <c r="B58" s="656" t="n">
        <f aca="false">TableDE5a!F140</f>
        <v>3.56473937826538</v>
      </c>
      <c r="C58" s="657" t="n">
        <f aca="false">TableDE5a!F150</f>
        <v>4.11719616413334</v>
      </c>
      <c r="D58" s="658" t="n">
        <f aca="false">B58/((1+TableDE3c!B91)^10)</f>
        <v>3.15863838419831</v>
      </c>
      <c r="E58" s="657" t="n">
        <f aca="false">TableDE4b!D93*SUM(TableDE5a!$B140:$B149)/TableDE5a!$B150</f>
        <v>1.12127103001624</v>
      </c>
      <c r="F58" s="657" t="n">
        <f aca="false">TableDE4b!E93*SUM(TableDE5a!$B140:$B149)/TableDE5a!$B150</f>
        <v>0</v>
      </c>
      <c r="G58" s="657" t="n">
        <f aca="false">C58-D58-E58-F58</f>
        <v>-0.162713250081208</v>
      </c>
      <c r="H58" s="658" t="n">
        <f aca="false">B58/((1+TableDE4b!B93)^10)</f>
        <v>3.15863838419831</v>
      </c>
      <c r="I58" s="657" t="n">
        <f aca="false">TableDE4b!I93*SUM(TableDE5a!B140:B149)/TableDE5a!B150</f>
        <v>0.800377945650699</v>
      </c>
      <c r="J58" s="659" t="n">
        <f aca="false">C58-H58-I58</f>
        <v>0.158179834284336</v>
      </c>
      <c r="O58" s="650" t="n">
        <f aca="false">H58-D58</f>
        <v>0</v>
      </c>
    </row>
    <row r="59" customFormat="false" ht="14" hidden="false" customHeight="false" outlineLevel="0" collapsed="false">
      <c r="A59" s="660"/>
      <c r="B59" s="661"/>
      <c r="C59" s="661"/>
      <c r="D59" s="662" t="n">
        <f aca="false">D58/$C58</f>
        <v>0.767181902022196</v>
      </c>
      <c r="E59" s="663" t="n">
        <f aca="false">E58/$C58</f>
        <v>0.272338500600023</v>
      </c>
      <c r="F59" s="663" t="n">
        <f aca="false">F58/$C58</f>
        <v>0</v>
      </c>
      <c r="G59" s="664" t="n">
        <f aca="false">G58/$C58</f>
        <v>-0.0395204026222196</v>
      </c>
      <c r="H59" s="662" t="n">
        <f aca="false">H58/$C58</f>
        <v>0.767181902022196</v>
      </c>
      <c r="I59" s="663" t="n">
        <f aca="false">I58/$C58</f>
        <v>0.194398788336376</v>
      </c>
      <c r="J59" s="665" t="n">
        <f aca="false">J58/$C58</f>
        <v>0.0384193096414273</v>
      </c>
    </row>
    <row r="60" customFormat="false" ht="13" hidden="false" customHeight="false" outlineLevel="0" collapsed="false">
      <c r="B60" s="355"/>
      <c r="C60" s="355"/>
      <c r="D60" s="355"/>
      <c r="E60" s="355"/>
      <c r="F60" s="355"/>
      <c r="G60" s="355"/>
      <c r="H60" s="355"/>
      <c r="I60" s="355"/>
      <c r="J60" s="355"/>
    </row>
    <row r="61" customFormat="false" ht="12" hidden="false" customHeight="false" outlineLevel="0" collapsed="false">
      <c r="B61" s="355"/>
      <c r="C61" s="355"/>
      <c r="D61" s="355"/>
      <c r="E61" s="355"/>
      <c r="F61" s="355"/>
      <c r="G61" s="355"/>
      <c r="H61" s="355"/>
      <c r="I61" s="355"/>
      <c r="J61" s="355"/>
    </row>
    <row r="62" customFormat="false" ht="12" hidden="false" customHeight="false" outlineLevel="0" collapsed="false">
      <c r="B62" s="355"/>
      <c r="C62" s="355"/>
      <c r="D62" s="355"/>
      <c r="E62" s="355"/>
      <c r="F62" s="355"/>
      <c r="G62" s="355"/>
      <c r="H62" s="355"/>
      <c r="I62" s="355"/>
      <c r="J62" s="355"/>
    </row>
    <row r="63" customFormat="false" ht="12" hidden="false" customHeight="false" outlineLevel="0" collapsed="false">
      <c r="B63" s="355"/>
      <c r="C63" s="355"/>
      <c r="D63" s="355"/>
      <c r="E63" s="355"/>
      <c r="F63" s="355"/>
      <c r="G63" s="355"/>
      <c r="H63" s="355"/>
      <c r="I63" s="355"/>
      <c r="J63" s="355"/>
    </row>
    <row r="64" customFormat="false" ht="12" hidden="false" customHeight="false" outlineLevel="0" collapsed="false">
      <c r="B64" s="355"/>
      <c r="C64" s="355"/>
      <c r="D64" s="355"/>
      <c r="E64" s="355"/>
      <c r="F64" s="355"/>
      <c r="G64" s="355"/>
      <c r="H64" s="355"/>
      <c r="I64" s="355"/>
      <c r="J64" s="355"/>
    </row>
    <row r="65" customFormat="false" ht="12" hidden="false" customHeight="false" outlineLevel="0" collapsed="false">
      <c r="B65" s="355"/>
      <c r="C65" s="355"/>
      <c r="D65" s="355"/>
      <c r="E65" s="355"/>
      <c r="F65" s="355"/>
      <c r="G65" s="355"/>
      <c r="H65" s="355"/>
      <c r="I65" s="355"/>
      <c r="J65" s="355"/>
    </row>
    <row r="66" customFormat="false" ht="12" hidden="false" customHeight="false" outlineLevel="0" collapsed="false">
      <c r="B66" s="355"/>
      <c r="C66" s="355"/>
      <c r="D66" s="355"/>
      <c r="E66" s="355"/>
      <c r="F66" s="355"/>
      <c r="G66" s="355"/>
      <c r="H66" s="355"/>
      <c r="I66" s="355"/>
      <c r="J66" s="355"/>
    </row>
    <row r="67" customFormat="false" ht="12" hidden="false" customHeight="false" outlineLevel="0" collapsed="false">
      <c r="B67" s="355"/>
      <c r="C67" s="355"/>
      <c r="D67" s="355"/>
      <c r="E67" s="355"/>
      <c r="F67" s="355"/>
      <c r="G67" s="355"/>
      <c r="H67" s="355"/>
      <c r="I67" s="355"/>
      <c r="J67" s="355"/>
    </row>
    <row r="68" customFormat="false" ht="12" hidden="false" customHeight="false" outlineLevel="0" collapsed="false">
      <c r="B68" s="355"/>
      <c r="C68" s="355"/>
      <c r="D68" s="355"/>
      <c r="E68" s="355"/>
      <c r="F68" s="355"/>
      <c r="G68" s="355"/>
      <c r="H68" s="355"/>
      <c r="I68" s="355"/>
      <c r="J68" s="355"/>
    </row>
    <row r="69" customFormat="false" ht="12" hidden="false" customHeight="false" outlineLevel="0" collapsed="false">
      <c r="B69" s="355"/>
      <c r="C69" s="355"/>
      <c r="D69" s="355"/>
      <c r="E69" s="355"/>
      <c r="F69" s="355"/>
      <c r="G69" s="355"/>
      <c r="H69" s="355"/>
      <c r="I69" s="355"/>
      <c r="J69" s="355"/>
    </row>
    <row r="70" customFormat="false" ht="12" hidden="false" customHeight="false" outlineLevel="0" collapsed="false">
      <c r="B70" s="355"/>
      <c r="C70" s="355"/>
      <c r="D70" s="355"/>
      <c r="E70" s="355"/>
      <c r="F70" s="355"/>
      <c r="G70" s="355"/>
      <c r="H70" s="355"/>
      <c r="I70" s="355"/>
      <c r="J70" s="355"/>
    </row>
    <row r="71" customFormat="false" ht="12" hidden="false" customHeight="false" outlineLevel="0" collapsed="false">
      <c r="B71" s="355"/>
      <c r="C71" s="355"/>
      <c r="D71" s="355"/>
      <c r="E71" s="355"/>
      <c r="F71" s="355"/>
      <c r="G71" s="355"/>
      <c r="H71" s="355"/>
      <c r="I71" s="355"/>
      <c r="J71" s="355"/>
    </row>
    <row r="72" customFormat="false" ht="12" hidden="false" customHeight="false" outlineLevel="0" collapsed="false">
      <c r="B72" s="355"/>
      <c r="C72" s="355"/>
      <c r="D72" s="355"/>
      <c r="E72" s="355"/>
      <c r="F72" s="355"/>
      <c r="G72" s="355"/>
      <c r="H72" s="355"/>
      <c r="I72" s="355"/>
      <c r="J72" s="355"/>
    </row>
    <row r="73" customFormat="false" ht="12" hidden="false" customHeight="false" outlineLevel="0" collapsed="false">
      <c r="B73" s="355"/>
      <c r="C73" s="355"/>
      <c r="D73" s="355"/>
      <c r="E73" s="355"/>
      <c r="F73" s="355"/>
      <c r="G73" s="355"/>
      <c r="H73" s="355"/>
      <c r="I73" s="355"/>
      <c r="J73" s="355"/>
    </row>
    <row r="74" customFormat="false" ht="12" hidden="false" customHeight="false" outlineLevel="0" collapsed="false">
      <c r="B74" s="355"/>
      <c r="C74" s="355"/>
      <c r="D74" s="355"/>
      <c r="E74" s="355"/>
      <c r="F74" s="355"/>
      <c r="G74" s="355"/>
      <c r="H74" s="355"/>
      <c r="I74" s="355"/>
      <c r="J74" s="355"/>
    </row>
    <row r="75" customFormat="false" ht="12" hidden="false" customHeight="false" outlineLevel="0" collapsed="false">
      <c r="B75" s="355"/>
      <c r="C75" s="355"/>
      <c r="D75" s="355"/>
      <c r="E75" s="355"/>
      <c r="F75" s="355"/>
      <c r="G75" s="355"/>
      <c r="H75" s="355"/>
      <c r="I75" s="355"/>
      <c r="J75" s="355"/>
    </row>
    <row r="76" customFormat="false" ht="12" hidden="false" customHeight="false" outlineLevel="0" collapsed="false">
      <c r="B76" s="355"/>
      <c r="C76" s="355"/>
      <c r="D76" s="355"/>
      <c r="E76" s="355"/>
      <c r="F76" s="355"/>
      <c r="G76" s="355"/>
      <c r="H76" s="355"/>
      <c r="I76" s="355"/>
      <c r="J76" s="355"/>
    </row>
    <row r="77" customFormat="false" ht="12" hidden="false" customHeight="false" outlineLevel="0" collapsed="false">
      <c r="B77" s="355"/>
      <c r="C77" s="355"/>
      <c r="D77" s="355"/>
      <c r="E77" s="355"/>
      <c r="F77" s="355"/>
      <c r="G77" s="355"/>
      <c r="H77" s="355"/>
      <c r="I77" s="355"/>
      <c r="J77" s="355"/>
    </row>
    <row r="78" customFormat="false" ht="12" hidden="false" customHeight="false" outlineLevel="0" collapsed="false">
      <c r="B78" s="355"/>
      <c r="C78" s="355"/>
      <c r="D78" s="355"/>
      <c r="E78" s="355"/>
      <c r="F78" s="355"/>
      <c r="G78" s="355"/>
      <c r="H78" s="355"/>
      <c r="I78" s="355"/>
      <c r="J78" s="355"/>
    </row>
    <row r="79" customFormat="false" ht="12" hidden="false" customHeight="false" outlineLevel="0" collapsed="false">
      <c r="B79" s="355"/>
      <c r="C79" s="355"/>
      <c r="D79" s="355"/>
      <c r="E79" s="355"/>
      <c r="F79" s="355"/>
      <c r="G79" s="355"/>
      <c r="H79" s="355"/>
      <c r="I79" s="355"/>
      <c r="J79" s="355"/>
    </row>
    <row r="80" customFormat="false" ht="12" hidden="false" customHeight="false" outlineLevel="0" collapsed="false">
      <c r="B80" s="355"/>
      <c r="C80" s="355"/>
      <c r="D80" s="355"/>
      <c r="E80" s="355"/>
      <c r="F80" s="355"/>
      <c r="G80" s="355"/>
      <c r="H80" s="355"/>
      <c r="I80" s="355"/>
      <c r="J80" s="355"/>
    </row>
    <row r="81" customFormat="false" ht="12" hidden="false" customHeight="false" outlineLevel="0" collapsed="false">
      <c r="B81" s="355"/>
      <c r="C81" s="355"/>
      <c r="D81" s="355"/>
      <c r="E81" s="355"/>
      <c r="F81" s="355"/>
      <c r="G81" s="355"/>
      <c r="H81" s="355"/>
      <c r="I81" s="355"/>
      <c r="J81" s="355"/>
    </row>
    <row r="82" customFormat="false" ht="12" hidden="false" customHeight="false" outlineLevel="0" collapsed="false">
      <c r="B82" s="355"/>
      <c r="C82" s="355"/>
      <c r="D82" s="355"/>
      <c r="E82" s="355"/>
      <c r="F82" s="355"/>
      <c r="G82" s="355"/>
      <c r="H82" s="355"/>
      <c r="I82" s="355"/>
      <c r="J82" s="355"/>
    </row>
    <row r="83" customFormat="false" ht="12" hidden="false" customHeight="false" outlineLevel="0" collapsed="false">
      <c r="B83" s="355"/>
      <c r="C83" s="355"/>
      <c r="D83" s="355"/>
      <c r="E83" s="355"/>
      <c r="F83" s="355"/>
      <c r="G83" s="355"/>
      <c r="H83" s="355"/>
      <c r="I83" s="355"/>
      <c r="J83" s="355"/>
    </row>
    <row r="84" customFormat="false" ht="12" hidden="false" customHeight="false" outlineLevel="0" collapsed="false">
      <c r="B84" s="355"/>
      <c r="C84" s="355"/>
      <c r="D84" s="355"/>
      <c r="E84" s="355"/>
      <c r="F84" s="355"/>
      <c r="G84" s="355"/>
      <c r="H84" s="355"/>
      <c r="I84" s="355"/>
      <c r="J84" s="355"/>
    </row>
    <row r="85" customFormat="false" ht="12" hidden="false" customHeight="false" outlineLevel="0" collapsed="false">
      <c r="B85" s="355"/>
      <c r="C85" s="355"/>
      <c r="D85" s="355"/>
      <c r="E85" s="355"/>
      <c r="F85" s="355"/>
      <c r="G85" s="355"/>
      <c r="H85" s="355"/>
      <c r="I85" s="355"/>
      <c r="J85" s="355"/>
    </row>
    <row r="86" customFormat="false" ht="12" hidden="false" customHeight="false" outlineLevel="0" collapsed="false">
      <c r="B86" s="355"/>
      <c r="C86" s="355"/>
      <c r="D86" s="355"/>
      <c r="E86" s="355"/>
      <c r="F86" s="355"/>
      <c r="G86" s="355"/>
      <c r="H86" s="355"/>
      <c r="I86" s="355"/>
      <c r="J86" s="355"/>
    </row>
    <row r="87" customFormat="false" ht="12" hidden="false" customHeight="false" outlineLevel="0" collapsed="false">
      <c r="B87" s="355"/>
      <c r="C87" s="355"/>
      <c r="D87" s="355"/>
      <c r="E87" s="355"/>
      <c r="F87" s="355"/>
      <c r="G87" s="355"/>
      <c r="H87" s="355"/>
      <c r="I87" s="355"/>
      <c r="J87" s="355"/>
    </row>
    <row r="88" customFormat="false" ht="12" hidden="false" customHeight="false" outlineLevel="0" collapsed="false">
      <c r="B88" s="355"/>
      <c r="C88" s="355"/>
      <c r="D88" s="355"/>
      <c r="E88" s="355"/>
      <c r="F88" s="355"/>
      <c r="G88" s="355"/>
      <c r="H88" s="355"/>
      <c r="I88" s="355"/>
      <c r="J88" s="355"/>
    </row>
    <row r="89" customFormat="false" ht="12" hidden="false" customHeight="false" outlineLevel="0" collapsed="false">
      <c r="B89" s="355"/>
      <c r="C89" s="355"/>
      <c r="D89" s="355"/>
      <c r="E89" s="355"/>
      <c r="F89" s="355"/>
      <c r="G89" s="355"/>
      <c r="H89" s="355"/>
      <c r="I89" s="355"/>
      <c r="J89" s="355"/>
    </row>
    <row r="90" customFormat="false" ht="12" hidden="false" customHeight="false" outlineLevel="0" collapsed="false">
      <c r="B90" s="355"/>
      <c r="C90" s="355"/>
      <c r="D90" s="355"/>
      <c r="E90" s="355"/>
      <c r="F90" s="355"/>
      <c r="G90" s="355"/>
      <c r="H90" s="355"/>
      <c r="I90" s="355"/>
      <c r="J90" s="355"/>
    </row>
    <row r="91" customFormat="false" ht="12" hidden="false" customHeight="false" outlineLevel="0" collapsed="false">
      <c r="B91" s="355"/>
      <c r="C91" s="355"/>
      <c r="D91" s="355"/>
      <c r="E91" s="355"/>
      <c r="F91" s="355"/>
      <c r="G91" s="355"/>
      <c r="H91" s="355"/>
      <c r="I91" s="355"/>
      <c r="J91" s="355"/>
    </row>
    <row r="92" customFormat="false" ht="12" hidden="false" customHeight="false" outlineLevel="0" collapsed="false">
      <c r="B92" s="355"/>
      <c r="C92" s="355"/>
      <c r="D92" s="355"/>
      <c r="E92" s="355"/>
      <c r="F92" s="355"/>
      <c r="G92" s="355"/>
      <c r="H92" s="355"/>
      <c r="I92" s="355"/>
      <c r="J92" s="355"/>
    </row>
    <row r="93" customFormat="false" ht="12" hidden="false" customHeight="false" outlineLevel="0" collapsed="false">
      <c r="B93" s="355"/>
      <c r="C93" s="355"/>
      <c r="D93" s="355"/>
      <c r="E93" s="355"/>
      <c r="F93" s="355"/>
      <c r="G93" s="355"/>
      <c r="H93" s="355"/>
      <c r="I93" s="355"/>
      <c r="J93" s="355"/>
    </row>
    <row r="94" customFormat="false" ht="12" hidden="false" customHeight="false" outlineLevel="0" collapsed="false">
      <c r="B94" s="355"/>
      <c r="C94" s="355"/>
      <c r="D94" s="355"/>
      <c r="E94" s="355"/>
      <c r="F94" s="355"/>
      <c r="G94" s="355"/>
      <c r="H94" s="355"/>
      <c r="I94" s="355"/>
      <c r="J94" s="355"/>
    </row>
    <row r="95" customFormat="false" ht="12" hidden="false" customHeight="false" outlineLevel="0" collapsed="false">
      <c r="B95" s="355"/>
      <c r="C95" s="355"/>
      <c r="D95" s="355"/>
      <c r="E95" s="355"/>
      <c r="F95" s="355"/>
      <c r="G95" s="355"/>
      <c r="H95" s="355"/>
      <c r="I95" s="355"/>
      <c r="J95" s="355"/>
    </row>
    <row r="96" customFormat="false" ht="12" hidden="false" customHeight="false" outlineLevel="0" collapsed="false">
      <c r="B96" s="355"/>
      <c r="C96" s="355"/>
      <c r="D96" s="355"/>
      <c r="E96" s="355"/>
      <c r="F96" s="355"/>
      <c r="G96" s="355"/>
      <c r="H96" s="355"/>
      <c r="I96" s="355"/>
      <c r="J96" s="355"/>
    </row>
    <row r="97" customFormat="false" ht="12" hidden="false" customHeight="false" outlineLevel="0" collapsed="false">
      <c r="B97" s="355"/>
      <c r="C97" s="355"/>
      <c r="D97" s="355"/>
      <c r="E97" s="355"/>
      <c r="F97" s="355"/>
      <c r="G97" s="355"/>
      <c r="H97" s="355"/>
      <c r="I97" s="355"/>
      <c r="J97" s="355"/>
    </row>
    <row r="98" customFormat="false" ht="12" hidden="false" customHeight="false" outlineLevel="0" collapsed="false">
      <c r="B98" s="355"/>
      <c r="C98" s="355"/>
      <c r="D98" s="355"/>
      <c r="E98" s="355"/>
      <c r="F98" s="355"/>
      <c r="G98" s="355"/>
      <c r="H98" s="355"/>
      <c r="I98" s="355"/>
      <c r="J98" s="355"/>
    </row>
    <row r="99" customFormat="false" ht="12" hidden="false" customHeight="false" outlineLevel="0" collapsed="false">
      <c r="B99" s="355"/>
      <c r="C99" s="355"/>
      <c r="D99" s="355"/>
      <c r="E99" s="355"/>
      <c r="F99" s="355"/>
      <c r="G99" s="355"/>
      <c r="H99" s="355"/>
      <c r="I99" s="355"/>
      <c r="J99" s="355"/>
    </row>
    <row r="100" customFormat="false" ht="12" hidden="false" customHeight="false" outlineLevel="0" collapsed="false">
      <c r="B100" s="355"/>
      <c r="C100" s="355"/>
      <c r="D100" s="355"/>
      <c r="E100" s="355"/>
      <c r="F100" s="355"/>
      <c r="G100" s="355"/>
      <c r="H100" s="355"/>
      <c r="I100" s="355"/>
      <c r="J100" s="355"/>
    </row>
    <row r="101" customFormat="false" ht="12" hidden="false" customHeight="false" outlineLevel="0" collapsed="false">
      <c r="B101" s="355"/>
      <c r="C101" s="355"/>
      <c r="D101" s="355"/>
      <c r="E101" s="355"/>
      <c r="F101" s="355"/>
      <c r="G101" s="355"/>
      <c r="H101" s="355"/>
      <c r="I101" s="355"/>
      <c r="J101" s="355"/>
    </row>
    <row r="102" customFormat="false" ht="12" hidden="false" customHeight="false" outlineLevel="0" collapsed="false">
      <c r="B102" s="355"/>
      <c r="C102" s="355"/>
      <c r="D102" s="355"/>
      <c r="E102" s="355"/>
      <c r="F102" s="355"/>
      <c r="G102" s="355"/>
      <c r="H102" s="355"/>
      <c r="I102" s="355"/>
      <c r="J102" s="355"/>
    </row>
    <row r="103" customFormat="false" ht="12" hidden="false" customHeight="false" outlineLevel="0" collapsed="false">
      <c r="B103" s="355"/>
      <c r="C103" s="355"/>
      <c r="D103" s="355"/>
      <c r="E103" s="355"/>
      <c r="F103" s="355"/>
      <c r="G103" s="355"/>
      <c r="H103" s="355"/>
      <c r="I103" s="355"/>
      <c r="J103" s="355"/>
    </row>
    <row r="104" customFormat="false" ht="12" hidden="false" customHeight="false" outlineLevel="0" collapsed="false">
      <c r="B104" s="355"/>
      <c r="C104" s="355"/>
      <c r="D104" s="355"/>
      <c r="E104" s="355"/>
      <c r="F104" s="355"/>
      <c r="G104" s="355"/>
      <c r="H104" s="355"/>
      <c r="I104" s="355"/>
      <c r="J104" s="355"/>
    </row>
    <row r="105" customFormat="false" ht="12" hidden="false" customHeight="false" outlineLevel="0" collapsed="false">
      <c r="B105" s="355"/>
      <c r="C105" s="355"/>
      <c r="D105" s="355"/>
      <c r="E105" s="355"/>
      <c r="F105" s="355"/>
      <c r="G105" s="355"/>
      <c r="H105" s="355"/>
      <c r="I105" s="355"/>
      <c r="J105" s="355"/>
    </row>
    <row r="106" customFormat="false" ht="12" hidden="false" customHeight="false" outlineLevel="0" collapsed="false">
      <c r="B106" s="355"/>
      <c r="C106" s="355"/>
      <c r="D106" s="355"/>
      <c r="E106" s="355"/>
      <c r="F106" s="355"/>
      <c r="G106" s="355"/>
      <c r="H106" s="355"/>
      <c r="I106" s="355"/>
      <c r="J106" s="355"/>
    </row>
    <row r="107" customFormat="false" ht="12" hidden="false" customHeight="false" outlineLevel="0" collapsed="false">
      <c r="B107" s="355"/>
      <c r="C107" s="355"/>
      <c r="D107" s="355"/>
      <c r="E107" s="355"/>
      <c r="F107" s="355"/>
      <c r="G107" s="355"/>
      <c r="H107" s="355"/>
      <c r="I107" s="355"/>
      <c r="J107" s="355"/>
    </row>
    <row r="108" customFormat="false" ht="12" hidden="false" customHeight="false" outlineLevel="0" collapsed="false">
      <c r="B108" s="355"/>
      <c r="C108" s="355"/>
      <c r="D108" s="355"/>
      <c r="E108" s="355"/>
      <c r="F108" s="355"/>
      <c r="G108" s="355"/>
      <c r="H108" s="355"/>
      <c r="I108" s="355"/>
      <c r="J108" s="355"/>
    </row>
    <row r="109" customFormat="false" ht="12" hidden="false" customHeight="false" outlineLevel="0" collapsed="false">
      <c r="B109" s="355"/>
      <c r="C109" s="355"/>
      <c r="D109" s="355"/>
      <c r="E109" s="355"/>
      <c r="F109" s="355"/>
      <c r="G109" s="355"/>
      <c r="H109" s="355"/>
      <c r="I109" s="355"/>
      <c r="J109" s="355"/>
    </row>
    <row r="110" customFormat="false" ht="12" hidden="false" customHeight="false" outlineLevel="0" collapsed="false">
      <c r="B110" s="355"/>
      <c r="C110" s="355"/>
      <c r="D110" s="355"/>
      <c r="E110" s="355"/>
      <c r="F110" s="355"/>
      <c r="G110" s="355"/>
      <c r="H110" s="355"/>
      <c r="I110" s="355"/>
      <c r="J110" s="355"/>
    </row>
    <row r="111" customFormat="false" ht="12" hidden="false" customHeight="false" outlineLevel="0" collapsed="false">
      <c r="B111" s="355"/>
      <c r="C111" s="355"/>
      <c r="D111" s="355"/>
      <c r="E111" s="355"/>
      <c r="F111" s="355"/>
      <c r="G111" s="355"/>
      <c r="H111" s="355"/>
      <c r="I111" s="355"/>
      <c r="J111" s="355"/>
    </row>
    <row r="112" customFormat="false" ht="12" hidden="false" customHeight="false" outlineLevel="0" collapsed="false">
      <c r="B112" s="355"/>
      <c r="C112" s="355"/>
      <c r="D112" s="355"/>
      <c r="E112" s="355"/>
      <c r="F112" s="355"/>
      <c r="G112" s="355"/>
      <c r="H112" s="355"/>
      <c r="I112" s="355"/>
      <c r="J112" s="355"/>
    </row>
    <row r="113" customFormat="false" ht="12" hidden="false" customHeight="false" outlineLevel="0" collapsed="false">
      <c r="B113" s="355"/>
      <c r="C113" s="355"/>
      <c r="D113" s="355"/>
      <c r="E113" s="355"/>
      <c r="F113" s="355"/>
      <c r="G113" s="355"/>
      <c r="H113" s="355"/>
      <c r="I113" s="355"/>
      <c r="J113" s="355"/>
    </row>
    <row r="114" customFormat="false" ht="12" hidden="false" customHeight="false" outlineLevel="0" collapsed="false">
      <c r="B114" s="355"/>
      <c r="C114" s="355"/>
      <c r="D114" s="355"/>
      <c r="E114" s="355"/>
      <c r="F114" s="355"/>
      <c r="G114" s="355"/>
      <c r="H114" s="355"/>
      <c r="I114" s="355"/>
      <c r="J114" s="355"/>
    </row>
    <row r="115" customFormat="false" ht="12" hidden="false" customHeight="false" outlineLevel="0" collapsed="false">
      <c r="B115" s="355"/>
      <c r="C115" s="355"/>
      <c r="D115" s="355"/>
      <c r="E115" s="355"/>
      <c r="F115" s="355"/>
      <c r="G115" s="355"/>
      <c r="H115" s="355"/>
      <c r="I115" s="355"/>
      <c r="J115" s="355"/>
    </row>
    <row r="116" customFormat="false" ht="12" hidden="false" customHeight="false" outlineLevel="0" collapsed="false">
      <c r="B116" s="355"/>
      <c r="C116" s="355"/>
      <c r="D116" s="355"/>
      <c r="E116" s="355"/>
      <c r="F116" s="355"/>
      <c r="G116" s="355"/>
      <c r="H116" s="355"/>
      <c r="I116" s="355"/>
      <c r="J116" s="355"/>
    </row>
    <row r="117" customFormat="false" ht="12" hidden="false" customHeight="false" outlineLevel="0" collapsed="false">
      <c r="B117" s="355"/>
      <c r="C117" s="355"/>
      <c r="D117" s="355"/>
      <c r="E117" s="355"/>
      <c r="F117" s="355"/>
      <c r="G117" s="355"/>
      <c r="H117" s="355"/>
      <c r="I117" s="355"/>
      <c r="J117" s="355"/>
    </row>
    <row r="118" customFormat="false" ht="12" hidden="false" customHeight="false" outlineLevel="0" collapsed="false">
      <c r="B118" s="355"/>
      <c r="C118" s="355"/>
      <c r="D118" s="355"/>
      <c r="E118" s="355"/>
      <c r="F118" s="355"/>
      <c r="G118" s="355"/>
      <c r="H118" s="355"/>
      <c r="I118" s="355"/>
      <c r="J118" s="355"/>
    </row>
    <row r="119" customFormat="false" ht="12" hidden="false" customHeight="false" outlineLevel="0" collapsed="false">
      <c r="B119" s="355"/>
      <c r="C119" s="355"/>
      <c r="D119" s="355"/>
      <c r="E119" s="355"/>
      <c r="F119" s="355"/>
      <c r="G119" s="355"/>
      <c r="H119" s="355"/>
      <c r="I119" s="355"/>
      <c r="J119" s="355"/>
    </row>
    <row r="120" customFormat="false" ht="12" hidden="false" customHeight="false" outlineLevel="0" collapsed="false">
      <c r="B120" s="355"/>
      <c r="C120" s="355"/>
      <c r="D120" s="355"/>
      <c r="E120" s="355"/>
      <c r="F120" s="355"/>
      <c r="G120" s="355"/>
      <c r="H120" s="355"/>
      <c r="I120" s="355"/>
      <c r="J120" s="355"/>
    </row>
    <row r="121" customFormat="false" ht="12" hidden="false" customHeight="false" outlineLevel="0" collapsed="false">
      <c r="B121" s="355"/>
      <c r="C121" s="355"/>
      <c r="D121" s="355"/>
      <c r="E121" s="355"/>
      <c r="F121" s="355"/>
      <c r="G121" s="355"/>
      <c r="H121" s="355"/>
      <c r="I121" s="355"/>
      <c r="J121" s="355"/>
    </row>
    <row r="122" customFormat="false" ht="12" hidden="false" customHeight="false" outlineLevel="0" collapsed="false">
      <c r="B122" s="355"/>
      <c r="C122" s="355"/>
      <c r="D122" s="355"/>
      <c r="E122" s="355"/>
      <c r="F122" s="355"/>
      <c r="G122" s="355"/>
      <c r="H122" s="355"/>
      <c r="I122" s="355"/>
      <c r="J122" s="355"/>
    </row>
    <row r="123" customFormat="false" ht="12" hidden="false" customHeight="false" outlineLevel="0" collapsed="false">
      <c r="B123" s="355"/>
      <c r="C123" s="355"/>
      <c r="D123" s="355"/>
      <c r="E123" s="355"/>
      <c r="F123" s="355"/>
      <c r="G123" s="355"/>
      <c r="H123" s="355"/>
      <c r="I123" s="355"/>
      <c r="J123" s="355"/>
    </row>
    <row r="124" customFormat="false" ht="12" hidden="false" customHeight="false" outlineLevel="0" collapsed="false">
      <c r="B124" s="355"/>
      <c r="C124" s="355"/>
      <c r="D124" s="355"/>
      <c r="E124" s="355"/>
      <c r="F124" s="355"/>
      <c r="G124" s="355"/>
      <c r="H124" s="355"/>
      <c r="I124" s="355"/>
      <c r="J124" s="355"/>
    </row>
    <row r="125" customFormat="false" ht="12" hidden="false" customHeight="false" outlineLevel="0" collapsed="false">
      <c r="B125" s="355"/>
      <c r="C125" s="355"/>
      <c r="D125" s="355"/>
      <c r="E125" s="355"/>
      <c r="F125" s="355"/>
      <c r="G125" s="355"/>
      <c r="H125" s="355"/>
      <c r="I125" s="355"/>
      <c r="J125" s="355"/>
    </row>
    <row r="126" customFormat="false" ht="12" hidden="false" customHeight="false" outlineLevel="0" collapsed="false">
      <c r="B126" s="355"/>
      <c r="C126" s="355"/>
      <c r="D126" s="355"/>
      <c r="E126" s="355"/>
      <c r="F126" s="355"/>
      <c r="G126" s="355"/>
      <c r="H126" s="355"/>
      <c r="I126" s="355"/>
      <c r="J126" s="355"/>
    </row>
    <row r="127" customFormat="false" ht="12" hidden="false" customHeight="false" outlineLevel="0" collapsed="false">
      <c r="B127" s="355"/>
      <c r="C127" s="355"/>
      <c r="D127" s="355"/>
      <c r="E127" s="355"/>
      <c r="F127" s="355"/>
      <c r="G127" s="355"/>
      <c r="H127" s="355"/>
      <c r="I127" s="355"/>
      <c r="J127" s="355"/>
    </row>
    <row r="128" customFormat="false" ht="12" hidden="false" customHeight="false" outlineLevel="0" collapsed="false">
      <c r="B128" s="355"/>
      <c r="C128" s="355"/>
      <c r="D128" s="355"/>
      <c r="E128" s="355"/>
      <c r="F128" s="355"/>
      <c r="G128" s="355"/>
      <c r="H128" s="355"/>
      <c r="I128" s="355"/>
      <c r="J128" s="355"/>
    </row>
    <row r="129" customFormat="false" ht="12" hidden="false" customHeight="false" outlineLevel="0" collapsed="false">
      <c r="B129" s="355"/>
      <c r="C129" s="355"/>
      <c r="D129" s="355"/>
      <c r="E129" s="355"/>
      <c r="F129" s="355"/>
      <c r="G129" s="355"/>
      <c r="H129" s="355"/>
      <c r="I129" s="355"/>
      <c r="J129" s="355"/>
    </row>
    <row r="130" customFormat="false" ht="12" hidden="false" customHeight="false" outlineLevel="0" collapsed="false">
      <c r="B130" s="355"/>
      <c r="C130" s="355"/>
      <c r="D130" s="355"/>
      <c r="E130" s="355"/>
      <c r="F130" s="355"/>
      <c r="G130" s="355"/>
      <c r="H130" s="355"/>
      <c r="I130" s="355"/>
      <c r="J130" s="355"/>
    </row>
    <row r="131" customFormat="false" ht="12" hidden="false" customHeight="false" outlineLevel="0" collapsed="false">
      <c r="B131" s="355"/>
      <c r="C131" s="355"/>
      <c r="D131" s="355"/>
      <c r="E131" s="355"/>
      <c r="F131" s="355"/>
      <c r="G131" s="355"/>
      <c r="H131" s="355"/>
      <c r="I131" s="355"/>
      <c r="J131" s="355"/>
    </row>
    <row r="132" customFormat="false" ht="12" hidden="false" customHeight="false" outlineLevel="0" collapsed="false">
      <c r="B132" s="355"/>
      <c r="C132" s="355"/>
      <c r="D132" s="355"/>
      <c r="E132" s="355"/>
      <c r="F132" s="355"/>
      <c r="G132" s="355"/>
      <c r="H132" s="355"/>
      <c r="I132" s="355"/>
      <c r="J132" s="355"/>
    </row>
    <row r="133" customFormat="false" ht="12" hidden="false" customHeight="false" outlineLevel="0" collapsed="false">
      <c r="B133" s="355"/>
      <c r="C133" s="355"/>
      <c r="D133" s="355"/>
      <c r="E133" s="355"/>
      <c r="F133" s="355"/>
      <c r="G133" s="355"/>
      <c r="H133" s="355"/>
      <c r="I133" s="355"/>
      <c r="J133" s="355"/>
    </row>
    <row r="134" customFormat="false" ht="12" hidden="false" customHeight="false" outlineLevel="0" collapsed="false">
      <c r="B134" s="355"/>
      <c r="C134" s="355"/>
      <c r="D134" s="355"/>
      <c r="E134" s="355"/>
      <c r="F134" s="355"/>
      <c r="G134" s="355"/>
      <c r="H134" s="355"/>
      <c r="I134" s="355"/>
      <c r="J134" s="355"/>
    </row>
    <row r="135" customFormat="false" ht="12" hidden="false" customHeight="false" outlineLevel="0" collapsed="false">
      <c r="B135" s="355"/>
      <c r="C135" s="355"/>
      <c r="D135" s="355"/>
      <c r="E135" s="355"/>
      <c r="F135" s="355"/>
      <c r="G135" s="355"/>
      <c r="H135" s="355"/>
      <c r="I135" s="355"/>
      <c r="J135" s="355"/>
    </row>
    <row r="136" customFormat="false" ht="12" hidden="false" customHeight="false" outlineLevel="0" collapsed="false">
      <c r="B136" s="355"/>
      <c r="C136" s="355"/>
      <c r="D136" s="355"/>
      <c r="E136" s="355"/>
      <c r="F136" s="355"/>
      <c r="G136" s="355"/>
      <c r="H136" s="355"/>
      <c r="I136" s="355"/>
      <c r="J136" s="355"/>
    </row>
    <row r="137" customFormat="false" ht="12" hidden="false" customHeight="false" outlineLevel="0" collapsed="false">
      <c r="B137" s="355"/>
      <c r="C137" s="355"/>
      <c r="D137" s="355"/>
      <c r="E137" s="355"/>
      <c r="F137" s="355"/>
      <c r="G137" s="355"/>
      <c r="H137" s="355"/>
      <c r="I137" s="355"/>
      <c r="J137" s="355"/>
    </row>
    <row r="138" customFormat="false" ht="12" hidden="false" customHeight="false" outlineLevel="0" collapsed="false">
      <c r="B138" s="355"/>
      <c r="C138" s="355"/>
      <c r="D138" s="355"/>
      <c r="E138" s="355"/>
      <c r="F138" s="355"/>
      <c r="G138" s="355"/>
      <c r="H138" s="355"/>
      <c r="I138" s="355"/>
      <c r="J138" s="355"/>
    </row>
    <row r="139" customFormat="false" ht="12" hidden="false" customHeight="false" outlineLevel="0" collapsed="false">
      <c r="B139" s="355"/>
      <c r="C139" s="355"/>
      <c r="D139" s="355"/>
      <c r="E139" s="355"/>
      <c r="F139" s="355"/>
      <c r="G139" s="355"/>
      <c r="H139" s="355"/>
      <c r="I139" s="355"/>
      <c r="J139" s="355"/>
    </row>
    <row r="140" customFormat="false" ht="12" hidden="false" customHeight="false" outlineLevel="0" collapsed="false">
      <c r="B140" s="355"/>
      <c r="C140" s="355"/>
      <c r="D140" s="355"/>
      <c r="E140" s="355"/>
      <c r="F140" s="355"/>
      <c r="G140" s="355"/>
      <c r="H140" s="355"/>
      <c r="I140" s="355"/>
      <c r="J140" s="355"/>
    </row>
    <row r="141" customFormat="false" ht="12" hidden="false" customHeight="false" outlineLevel="0" collapsed="false">
      <c r="B141" s="355"/>
      <c r="C141" s="355"/>
      <c r="D141" s="355"/>
      <c r="E141" s="355"/>
      <c r="F141" s="355"/>
      <c r="G141" s="355"/>
      <c r="H141" s="355"/>
      <c r="I141" s="355"/>
      <c r="J141" s="355"/>
    </row>
    <row r="142" customFormat="false" ht="12" hidden="false" customHeight="false" outlineLevel="0" collapsed="false">
      <c r="B142" s="355"/>
      <c r="C142" s="355"/>
      <c r="D142" s="355"/>
      <c r="E142" s="355"/>
      <c r="F142" s="355"/>
      <c r="G142" s="355"/>
      <c r="H142" s="355"/>
      <c r="I142" s="355"/>
      <c r="J142" s="355"/>
    </row>
    <row r="143" customFormat="false" ht="12" hidden="false" customHeight="false" outlineLevel="0" collapsed="false">
      <c r="B143" s="355"/>
      <c r="C143" s="355"/>
      <c r="D143" s="355"/>
      <c r="E143" s="355"/>
      <c r="F143" s="355"/>
      <c r="G143" s="355"/>
      <c r="H143" s="355"/>
      <c r="I143" s="355"/>
      <c r="J143" s="355"/>
    </row>
    <row r="144" customFormat="false" ht="12" hidden="false" customHeight="false" outlineLevel="0" collapsed="false">
      <c r="B144" s="355"/>
      <c r="C144" s="355"/>
      <c r="D144" s="355"/>
      <c r="E144" s="355"/>
      <c r="F144" s="355"/>
      <c r="G144" s="355"/>
      <c r="H144" s="355"/>
      <c r="I144" s="355"/>
      <c r="J144" s="355"/>
    </row>
    <row r="145" customFormat="false" ht="12" hidden="false" customHeight="false" outlineLevel="0" collapsed="false">
      <c r="B145" s="355"/>
      <c r="C145" s="355"/>
      <c r="D145" s="355"/>
      <c r="E145" s="355"/>
      <c r="F145" s="355"/>
      <c r="G145" s="355"/>
      <c r="H145" s="355"/>
      <c r="I145" s="355"/>
      <c r="J145" s="355"/>
    </row>
    <row r="146" customFormat="false" ht="12" hidden="false" customHeight="false" outlineLevel="0" collapsed="false">
      <c r="B146" s="355"/>
      <c r="C146" s="355"/>
      <c r="D146" s="355"/>
      <c r="E146" s="355"/>
      <c r="F146" s="355"/>
      <c r="G146" s="355"/>
      <c r="H146" s="355"/>
      <c r="I146" s="355"/>
      <c r="J146" s="355"/>
    </row>
    <row r="147" customFormat="false" ht="12" hidden="false" customHeight="false" outlineLevel="0" collapsed="false">
      <c r="B147" s="355"/>
      <c r="C147" s="355"/>
      <c r="D147" s="355"/>
      <c r="E147" s="355"/>
      <c r="F147" s="355"/>
      <c r="G147" s="355"/>
      <c r="H147" s="355"/>
      <c r="I147" s="355"/>
      <c r="J147" s="355"/>
    </row>
    <row r="148" customFormat="false" ht="12" hidden="false" customHeight="false" outlineLevel="0" collapsed="false">
      <c r="B148" s="355"/>
      <c r="C148" s="355"/>
      <c r="D148" s="355"/>
      <c r="E148" s="355"/>
      <c r="F148" s="355"/>
      <c r="G148" s="355"/>
      <c r="H148" s="355"/>
      <c r="I148" s="355"/>
      <c r="J148" s="355"/>
    </row>
    <row r="149" customFormat="false" ht="12" hidden="false" customHeight="false" outlineLevel="0" collapsed="false">
      <c r="B149" s="355"/>
      <c r="C149" s="355"/>
      <c r="D149" s="355"/>
      <c r="E149" s="355"/>
      <c r="F149" s="355"/>
      <c r="G149" s="355"/>
      <c r="H149" s="355"/>
      <c r="I149" s="355"/>
      <c r="J149" s="355"/>
    </row>
    <row r="150" customFormat="false" ht="12" hidden="false" customHeight="false" outlineLevel="0" collapsed="false">
      <c r="B150" s="355"/>
      <c r="C150" s="355"/>
      <c r="D150" s="355"/>
      <c r="E150" s="355"/>
      <c r="F150" s="355"/>
      <c r="G150" s="355"/>
      <c r="H150" s="355"/>
      <c r="I150" s="355"/>
      <c r="J150" s="355"/>
    </row>
    <row r="151" customFormat="false" ht="12" hidden="false" customHeight="false" outlineLevel="0" collapsed="false">
      <c r="B151" s="355"/>
      <c r="C151" s="355"/>
      <c r="D151" s="355"/>
      <c r="E151" s="355"/>
      <c r="F151" s="355"/>
      <c r="G151" s="355"/>
      <c r="H151" s="355"/>
      <c r="I151" s="355"/>
      <c r="J151" s="355"/>
    </row>
    <row r="152" customFormat="false" ht="12" hidden="false" customHeight="false" outlineLevel="0" collapsed="false">
      <c r="B152" s="355"/>
      <c r="C152" s="355"/>
      <c r="D152" s="355"/>
      <c r="E152" s="355"/>
      <c r="F152" s="355"/>
      <c r="G152" s="355"/>
      <c r="H152" s="355"/>
      <c r="I152" s="355"/>
      <c r="J152" s="355"/>
    </row>
    <row r="153" customFormat="false" ht="12" hidden="false" customHeight="false" outlineLevel="0" collapsed="false">
      <c r="B153" s="355"/>
      <c r="C153" s="355"/>
      <c r="D153" s="355"/>
      <c r="E153" s="355"/>
      <c r="F153" s="355"/>
      <c r="G153" s="355"/>
      <c r="H153" s="355"/>
      <c r="I153" s="355"/>
      <c r="J153" s="355"/>
    </row>
    <row r="154" customFormat="false" ht="12" hidden="false" customHeight="false" outlineLevel="0" collapsed="false">
      <c r="B154" s="355"/>
      <c r="C154" s="355"/>
      <c r="D154" s="355"/>
      <c r="E154" s="355"/>
      <c r="F154" s="355"/>
      <c r="G154" s="355"/>
      <c r="H154" s="355"/>
      <c r="I154" s="355"/>
      <c r="J154" s="355"/>
    </row>
    <row r="155" customFormat="false" ht="12" hidden="false" customHeight="false" outlineLevel="0" collapsed="false">
      <c r="B155" s="355"/>
      <c r="C155" s="355"/>
      <c r="D155" s="355"/>
      <c r="E155" s="355"/>
      <c r="F155" s="355"/>
      <c r="G155" s="355"/>
      <c r="H155" s="355"/>
      <c r="I155" s="355"/>
      <c r="J155" s="355"/>
    </row>
    <row r="156" customFormat="false" ht="12" hidden="false" customHeight="false" outlineLevel="0" collapsed="false">
      <c r="B156" s="355"/>
      <c r="C156" s="355"/>
      <c r="D156" s="355"/>
      <c r="E156" s="355"/>
      <c r="F156" s="355"/>
      <c r="G156" s="355"/>
      <c r="H156" s="355"/>
      <c r="I156" s="355"/>
      <c r="J156" s="355"/>
    </row>
    <row r="157" customFormat="false" ht="12" hidden="false" customHeight="false" outlineLevel="0" collapsed="false">
      <c r="B157" s="355"/>
      <c r="C157" s="355"/>
      <c r="D157" s="355"/>
      <c r="E157" s="355"/>
      <c r="F157" s="355"/>
      <c r="G157" s="355"/>
      <c r="H157" s="355"/>
      <c r="I157" s="355"/>
      <c r="J157" s="355"/>
    </row>
    <row r="158" customFormat="false" ht="12" hidden="false" customHeight="false" outlineLevel="0" collapsed="false">
      <c r="B158" s="355"/>
      <c r="C158" s="355"/>
      <c r="D158" s="355"/>
      <c r="E158" s="355"/>
      <c r="F158" s="355"/>
      <c r="G158" s="355"/>
      <c r="H158" s="355"/>
      <c r="I158" s="355"/>
      <c r="J158" s="355"/>
    </row>
    <row r="159" customFormat="false" ht="12" hidden="false" customHeight="false" outlineLevel="0" collapsed="false">
      <c r="B159" s="355"/>
      <c r="C159" s="355"/>
      <c r="D159" s="355"/>
      <c r="E159" s="355"/>
      <c r="F159" s="355"/>
      <c r="G159" s="355"/>
      <c r="H159" s="355"/>
      <c r="I159" s="355"/>
      <c r="J159" s="355"/>
    </row>
    <row r="160" customFormat="false" ht="12" hidden="false" customHeight="false" outlineLevel="0" collapsed="false">
      <c r="B160" s="355"/>
      <c r="C160" s="355"/>
      <c r="D160" s="355"/>
      <c r="E160" s="355"/>
      <c r="F160" s="355"/>
      <c r="G160" s="355"/>
      <c r="H160" s="355"/>
      <c r="I160" s="355"/>
      <c r="J160" s="355"/>
    </row>
    <row r="161" customFormat="false" ht="12" hidden="false" customHeight="false" outlineLevel="0" collapsed="false">
      <c r="B161" s="355"/>
      <c r="C161" s="355"/>
      <c r="D161" s="355"/>
      <c r="E161" s="355"/>
      <c r="F161" s="355"/>
      <c r="G161" s="355"/>
      <c r="H161" s="355"/>
      <c r="I161" s="355"/>
      <c r="J161" s="355"/>
    </row>
    <row r="162" customFormat="false" ht="12" hidden="false" customHeight="false" outlineLevel="0" collapsed="false">
      <c r="B162" s="355"/>
      <c r="C162" s="355"/>
      <c r="D162" s="355"/>
      <c r="E162" s="355"/>
      <c r="F162" s="355"/>
      <c r="G162" s="355"/>
      <c r="H162" s="355"/>
      <c r="I162" s="355"/>
      <c r="J162" s="355"/>
    </row>
    <row r="163" customFormat="false" ht="12" hidden="false" customHeight="false" outlineLevel="0" collapsed="false">
      <c r="B163" s="355"/>
      <c r="C163" s="355"/>
      <c r="D163" s="355"/>
      <c r="E163" s="355"/>
      <c r="F163" s="355"/>
      <c r="G163" s="355"/>
      <c r="H163" s="355"/>
      <c r="I163" s="355"/>
      <c r="J163" s="355"/>
    </row>
    <row r="164" customFormat="false" ht="12" hidden="false" customHeight="false" outlineLevel="0" collapsed="false">
      <c r="B164" s="355"/>
      <c r="C164" s="355"/>
      <c r="D164" s="355"/>
      <c r="E164" s="355"/>
      <c r="F164" s="355"/>
      <c r="G164" s="355"/>
      <c r="H164" s="355"/>
      <c r="I164" s="355"/>
      <c r="J164" s="355"/>
    </row>
    <row r="165" customFormat="false" ht="12" hidden="false" customHeight="false" outlineLevel="0" collapsed="false">
      <c r="B165" s="355"/>
      <c r="C165" s="355"/>
      <c r="D165" s="355"/>
      <c r="E165" s="355"/>
      <c r="F165" s="355"/>
      <c r="G165" s="355"/>
      <c r="H165" s="355"/>
      <c r="I165" s="355"/>
      <c r="J165" s="355"/>
    </row>
    <row r="166" customFormat="false" ht="12" hidden="false" customHeight="false" outlineLevel="0" collapsed="false">
      <c r="B166" s="355"/>
      <c r="C166" s="355"/>
      <c r="D166" s="355"/>
      <c r="E166" s="355"/>
      <c r="F166" s="355"/>
      <c r="G166" s="355"/>
      <c r="H166" s="355"/>
      <c r="I166" s="355"/>
      <c r="J166" s="355"/>
    </row>
    <row r="167" customFormat="false" ht="12" hidden="false" customHeight="false" outlineLevel="0" collapsed="false">
      <c r="B167" s="355"/>
      <c r="C167" s="355"/>
      <c r="D167" s="355"/>
      <c r="E167" s="355"/>
      <c r="F167" s="355"/>
      <c r="G167" s="355"/>
      <c r="H167" s="355"/>
      <c r="I167" s="355"/>
      <c r="J167" s="355"/>
    </row>
    <row r="168" customFormat="false" ht="12" hidden="false" customHeight="false" outlineLevel="0" collapsed="false">
      <c r="B168" s="355"/>
      <c r="C168" s="355"/>
      <c r="D168" s="355"/>
      <c r="E168" s="355"/>
      <c r="F168" s="355"/>
      <c r="G168" s="355"/>
      <c r="H168" s="355"/>
      <c r="I168" s="355"/>
      <c r="J168" s="355"/>
    </row>
    <row r="169" customFormat="false" ht="12" hidden="false" customHeight="false" outlineLevel="0" collapsed="false">
      <c r="B169" s="355"/>
      <c r="C169" s="355"/>
      <c r="D169" s="355"/>
      <c r="E169" s="355"/>
      <c r="F169" s="355"/>
      <c r="G169" s="355"/>
      <c r="H169" s="355"/>
      <c r="I169" s="355"/>
      <c r="J169" s="355"/>
    </row>
    <row r="170" customFormat="false" ht="12" hidden="false" customHeight="false" outlineLevel="0" collapsed="false">
      <c r="B170" s="355"/>
      <c r="C170" s="355"/>
      <c r="D170" s="355"/>
      <c r="E170" s="355"/>
      <c r="F170" s="355"/>
      <c r="G170" s="355"/>
      <c r="H170" s="355"/>
      <c r="I170" s="355"/>
      <c r="J170" s="355"/>
    </row>
    <row r="171" customFormat="false" ht="12" hidden="false" customHeight="false" outlineLevel="0" collapsed="false">
      <c r="B171" s="355"/>
      <c r="C171" s="355"/>
      <c r="D171" s="355"/>
      <c r="E171" s="355"/>
      <c r="F171" s="355"/>
      <c r="G171" s="355"/>
      <c r="H171" s="355"/>
      <c r="I171" s="355"/>
      <c r="J171" s="355"/>
    </row>
    <row r="172" customFormat="false" ht="12" hidden="false" customHeight="false" outlineLevel="0" collapsed="false">
      <c r="B172" s="355"/>
      <c r="C172" s="355"/>
      <c r="D172" s="355"/>
      <c r="E172" s="355"/>
      <c r="F172" s="355"/>
      <c r="G172" s="355"/>
      <c r="H172" s="355"/>
      <c r="I172" s="355"/>
      <c r="J172" s="355"/>
    </row>
    <row r="173" customFormat="false" ht="12" hidden="false" customHeight="false" outlineLevel="0" collapsed="false">
      <c r="B173" s="355"/>
      <c r="C173" s="355"/>
      <c r="D173" s="355"/>
      <c r="E173" s="355"/>
      <c r="F173" s="355"/>
      <c r="G173" s="355"/>
      <c r="H173" s="355"/>
      <c r="I173" s="355"/>
      <c r="J173" s="355"/>
    </row>
    <row r="174" customFormat="false" ht="12" hidden="false" customHeight="false" outlineLevel="0" collapsed="false">
      <c r="B174" s="355"/>
      <c r="C174" s="355"/>
      <c r="D174" s="355"/>
      <c r="E174" s="355"/>
      <c r="F174" s="355"/>
      <c r="G174" s="355"/>
      <c r="H174" s="355"/>
      <c r="I174" s="355"/>
      <c r="J174" s="355"/>
    </row>
    <row r="175" customFormat="false" ht="12" hidden="false" customHeight="false" outlineLevel="0" collapsed="false">
      <c r="B175" s="355"/>
      <c r="C175" s="355"/>
      <c r="D175" s="355"/>
      <c r="E175" s="355"/>
      <c r="F175" s="355"/>
      <c r="G175" s="355"/>
      <c r="H175" s="355"/>
      <c r="I175" s="355"/>
      <c r="J175" s="355"/>
    </row>
    <row r="176" customFormat="false" ht="12" hidden="false" customHeight="false" outlineLevel="0" collapsed="false">
      <c r="B176" s="355"/>
      <c r="C176" s="355"/>
      <c r="D176" s="355"/>
      <c r="E176" s="355"/>
      <c r="F176" s="355"/>
      <c r="G176" s="355"/>
      <c r="H176" s="355"/>
      <c r="I176" s="355"/>
      <c r="J176" s="355"/>
    </row>
    <row r="177" customFormat="false" ht="12" hidden="false" customHeight="false" outlineLevel="0" collapsed="false">
      <c r="B177" s="355"/>
      <c r="C177" s="355"/>
      <c r="D177" s="355"/>
      <c r="E177" s="355"/>
      <c r="F177" s="355"/>
      <c r="G177" s="355"/>
      <c r="H177" s="355"/>
      <c r="I177" s="355"/>
      <c r="J177" s="355"/>
    </row>
    <row r="178" customFormat="false" ht="12" hidden="false" customHeight="false" outlineLevel="0" collapsed="false">
      <c r="B178" s="355"/>
      <c r="C178" s="355"/>
      <c r="D178" s="355"/>
      <c r="E178" s="355"/>
      <c r="F178" s="355"/>
      <c r="G178" s="355"/>
      <c r="H178" s="355"/>
      <c r="I178" s="355"/>
      <c r="J178" s="355"/>
    </row>
    <row r="179" customFormat="false" ht="12" hidden="false" customHeight="false" outlineLevel="0" collapsed="false">
      <c r="B179" s="355"/>
      <c r="C179" s="355"/>
      <c r="D179" s="355"/>
      <c r="E179" s="355"/>
      <c r="F179" s="355"/>
      <c r="G179" s="355"/>
      <c r="H179" s="355"/>
      <c r="I179" s="355"/>
      <c r="J179" s="355"/>
    </row>
    <row r="180" customFormat="false" ht="12" hidden="false" customHeight="false" outlineLevel="0" collapsed="false">
      <c r="B180" s="355"/>
      <c r="C180" s="355"/>
      <c r="D180" s="355"/>
      <c r="E180" s="355"/>
      <c r="F180" s="355"/>
      <c r="G180" s="355"/>
      <c r="H180" s="355"/>
      <c r="I180" s="355"/>
      <c r="J180" s="355"/>
    </row>
    <row r="181" customFormat="false" ht="12" hidden="false" customHeight="false" outlineLevel="0" collapsed="false">
      <c r="B181" s="355"/>
      <c r="C181" s="355"/>
      <c r="D181" s="355"/>
      <c r="E181" s="355"/>
      <c r="F181" s="355"/>
      <c r="G181" s="355"/>
      <c r="H181" s="355"/>
      <c r="I181" s="355"/>
      <c r="J181" s="355"/>
    </row>
    <row r="182" customFormat="false" ht="12" hidden="false" customHeight="false" outlineLevel="0" collapsed="false">
      <c r="B182" s="355"/>
      <c r="C182" s="355"/>
      <c r="D182" s="355"/>
      <c r="E182" s="355"/>
      <c r="F182" s="355"/>
      <c r="G182" s="355"/>
      <c r="H182" s="355"/>
      <c r="I182" s="355"/>
      <c r="J182" s="355"/>
    </row>
    <row r="183" customFormat="false" ht="12" hidden="false" customHeight="false" outlineLevel="0" collapsed="false">
      <c r="B183" s="355"/>
      <c r="C183" s="355"/>
      <c r="D183" s="355"/>
      <c r="E183" s="355"/>
      <c r="F183" s="355"/>
      <c r="G183" s="355"/>
      <c r="H183" s="355"/>
      <c r="I183" s="355"/>
      <c r="J183" s="355"/>
    </row>
    <row r="184" customFormat="false" ht="12" hidden="false" customHeight="false" outlineLevel="0" collapsed="false">
      <c r="B184" s="355"/>
      <c r="C184" s="355"/>
      <c r="D184" s="355"/>
      <c r="E184" s="355"/>
      <c r="F184" s="355"/>
      <c r="G184" s="355"/>
      <c r="H184" s="355"/>
      <c r="I184" s="355"/>
      <c r="J184" s="355"/>
    </row>
    <row r="185" customFormat="false" ht="12" hidden="false" customHeight="false" outlineLevel="0" collapsed="false">
      <c r="B185" s="355"/>
      <c r="C185" s="355"/>
      <c r="D185" s="355"/>
      <c r="E185" s="355"/>
      <c r="F185" s="355"/>
      <c r="G185" s="355"/>
      <c r="H185" s="355"/>
      <c r="I185" s="355"/>
      <c r="J185" s="355"/>
    </row>
    <row r="186" customFormat="false" ht="12" hidden="false" customHeight="false" outlineLevel="0" collapsed="false">
      <c r="B186" s="355"/>
      <c r="C186" s="355"/>
      <c r="D186" s="355"/>
      <c r="E186" s="355"/>
      <c r="F186" s="355"/>
      <c r="G186" s="355"/>
      <c r="H186" s="355"/>
      <c r="I186" s="355"/>
      <c r="J186" s="355"/>
    </row>
    <row r="187" customFormat="false" ht="12" hidden="false" customHeight="false" outlineLevel="0" collapsed="false">
      <c r="B187" s="355"/>
      <c r="C187" s="355"/>
      <c r="D187" s="355"/>
      <c r="E187" s="355"/>
      <c r="F187" s="355"/>
      <c r="G187" s="355"/>
      <c r="H187" s="355"/>
      <c r="I187" s="355"/>
      <c r="J187" s="355"/>
    </row>
    <row r="188" customFormat="false" ht="12" hidden="false" customHeight="false" outlineLevel="0" collapsed="false">
      <c r="B188" s="355"/>
      <c r="C188" s="355"/>
      <c r="D188" s="355"/>
      <c r="E188" s="355"/>
      <c r="F188" s="355"/>
      <c r="G188" s="355"/>
      <c r="H188" s="355"/>
      <c r="I188" s="355"/>
      <c r="J188" s="355"/>
    </row>
    <row r="189" customFormat="false" ht="12" hidden="false" customHeight="false" outlineLevel="0" collapsed="false">
      <c r="B189" s="355"/>
      <c r="C189" s="355"/>
      <c r="D189" s="355"/>
      <c r="E189" s="355"/>
      <c r="F189" s="355"/>
      <c r="G189" s="355"/>
      <c r="H189" s="355"/>
      <c r="I189" s="355"/>
      <c r="J189" s="355"/>
    </row>
    <row r="190" customFormat="false" ht="12" hidden="false" customHeight="false" outlineLevel="0" collapsed="false">
      <c r="B190" s="355"/>
      <c r="C190" s="355"/>
      <c r="D190" s="355"/>
      <c r="E190" s="355"/>
      <c r="F190" s="355"/>
      <c r="G190" s="355"/>
      <c r="H190" s="355"/>
      <c r="I190" s="355"/>
      <c r="J190" s="355"/>
    </row>
    <row r="191" customFormat="false" ht="12" hidden="false" customHeight="false" outlineLevel="0" collapsed="false">
      <c r="B191" s="355"/>
      <c r="C191" s="355"/>
      <c r="D191" s="355"/>
      <c r="E191" s="355"/>
      <c r="F191" s="355"/>
      <c r="G191" s="355"/>
      <c r="H191" s="355"/>
      <c r="I191" s="355"/>
      <c r="J191" s="355"/>
    </row>
    <row r="192" customFormat="false" ht="12" hidden="false" customHeight="false" outlineLevel="0" collapsed="false">
      <c r="B192" s="355"/>
      <c r="C192" s="355"/>
      <c r="D192" s="355"/>
      <c r="E192" s="355"/>
      <c r="F192" s="355"/>
      <c r="G192" s="355"/>
      <c r="H192" s="355"/>
      <c r="I192" s="355"/>
      <c r="J192" s="355"/>
    </row>
    <row r="193" customFormat="false" ht="12" hidden="false" customHeight="false" outlineLevel="0" collapsed="false">
      <c r="B193" s="355"/>
      <c r="C193" s="355"/>
      <c r="D193" s="355"/>
      <c r="E193" s="355"/>
      <c r="F193" s="355"/>
      <c r="G193" s="355"/>
      <c r="H193" s="355"/>
      <c r="I193" s="355"/>
      <c r="J193" s="355"/>
    </row>
    <row r="194" customFormat="false" ht="12" hidden="false" customHeight="false" outlineLevel="0" collapsed="false">
      <c r="B194" s="355"/>
      <c r="C194" s="355"/>
      <c r="D194" s="355"/>
      <c r="E194" s="355"/>
      <c r="F194" s="355"/>
      <c r="G194" s="355"/>
      <c r="H194" s="355"/>
      <c r="I194" s="355"/>
      <c r="J194" s="355"/>
    </row>
    <row r="195" customFormat="false" ht="12" hidden="false" customHeight="false" outlineLevel="0" collapsed="false">
      <c r="B195" s="355"/>
      <c r="C195" s="355"/>
      <c r="D195" s="355"/>
      <c r="E195" s="355"/>
      <c r="F195" s="355"/>
      <c r="G195" s="355"/>
      <c r="H195" s="355"/>
      <c r="I195" s="355"/>
      <c r="J195" s="355"/>
    </row>
    <row r="196" customFormat="false" ht="12" hidden="false" customHeight="false" outlineLevel="0" collapsed="false">
      <c r="B196" s="355"/>
      <c r="C196" s="355"/>
      <c r="D196" s="355"/>
      <c r="E196" s="355"/>
      <c r="F196" s="355"/>
      <c r="G196" s="355"/>
      <c r="H196" s="355"/>
      <c r="I196" s="355"/>
      <c r="J196" s="355"/>
    </row>
    <row r="197" customFormat="false" ht="12" hidden="false" customHeight="false" outlineLevel="0" collapsed="false">
      <c r="B197" s="355"/>
      <c r="C197" s="355"/>
      <c r="D197" s="355"/>
      <c r="E197" s="355"/>
      <c r="F197" s="355"/>
      <c r="G197" s="355"/>
      <c r="H197" s="355"/>
      <c r="I197" s="355"/>
      <c r="J197" s="355"/>
    </row>
    <row r="198" customFormat="false" ht="12" hidden="false" customHeight="false" outlineLevel="0" collapsed="false">
      <c r="B198" s="355"/>
      <c r="C198" s="355"/>
      <c r="D198" s="355"/>
      <c r="E198" s="355"/>
      <c r="F198" s="355"/>
      <c r="G198" s="355"/>
      <c r="H198" s="355"/>
      <c r="I198" s="355"/>
      <c r="J198" s="355"/>
    </row>
    <row r="199" customFormat="false" ht="12" hidden="false" customHeight="false" outlineLevel="0" collapsed="false">
      <c r="B199" s="355"/>
      <c r="C199" s="355"/>
      <c r="D199" s="355"/>
      <c r="E199" s="355"/>
      <c r="F199" s="355"/>
      <c r="G199" s="355"/>
      <c r="H199" s="355"/>
      <c r="I199" s="355"/>
      <c r="J199" s="355"/>
    </row>
    <row r="200" customFormat="false" ht="12" hidden="false" customHeight="false" outlineLevel="0" collapsed="false">
      <c r="B200" s="355"/>
      <c r="C200" s="355"/>
      <c r="D200" s="355"/>
      <c r="E200" s="355"/>
      <c r="F200" s="355"/>
      <c r="G200" s="355"/>
      <c r="H200" s="355"/>
      <c r="I200" s="355"/>
      <c r="J200" s="355"/>
    </row>
    <row r="201" customFormat="false" ht="12" hidden="false" customHeight="false" outlineLevel="0" collapsed="false">
      <c r="B201" s="355"/>
      <c r="C201" s="355"/>
      <c r="D201" s="355"/>
      <c r="E201" s="355"/>
      <c r="F201" s="355"/>
      <c r="G201" s="355"/>
      <c r="H201" s="355"/>
      <c r="I201" s="355"/>
      <c r="J201" s="355"/>
    </row>
    <row r="202" customFormat="false" ht="12" hidden="false" customHeight="false" outlineLevel="0" collapsed="false">
      <c r="B202" s="355"/>
      <c r="C202" s="355"/>
      <c r="D202" s="355"/>
      <c r="E202" s="355"/>
      <c r="F202" s="355"/>
      <c r="G202" s="355"/>
      <c r="H202" s="355"/>
      <c r="I202" s="355"/>
      <c r="J202" s="355"/>
    </row>
    <row r="203" customFormat="false" ht="12" hidden="false" customHeight="false" outlineLevel="0" collapsed="false">
      <c r="B203" s="355"/>
      <c r="C203" s="355"/>
      <c r="D203" s="355"/>
      <c r="E203" s="355"/>
      <c r="F203" s="355"/>
      <c r="G203" s="355"/>
      <c r="H203" s="355"/>
      <c r="I203" s="355"/>
      <c r="J203" s="355"/>
    </row>
    <row r="204" customFormat="false" ht="12" hidden="false" customHeight="false" outlineLevel="0" collapsed="false">
      <c r="B204" s="355"/>
      <c r="C204" s="355"/>
      <c r="D204" s="355"/>
      <c r="E204" s="355"/>
      <c r="F204" s="355"/>
      <c r="G204" s="355"/>
      <c r="H204" s="355"/>
      <c r="I204" s="355"/>
      <c r="J204" s="355"/>
    </row>
    <row r="205" customFormat="false" ht="12" hidden="false" customHeight="false" outlineLevel="0" collapsed="false">
      <c r="B205" s="355"/>
      <c r="C205" s="355"/>
      <c r="D205" s="355"/>
      <c r="E205" s="355"/>
      <c r="F205" s="355"/>
      <c r="G205" s="355"/>
      <c r="H205" s="355"/>
      <c r="I205" s="355"/>
      <c r="J205" s="355"/>
    </row>
  </sheetData>
  <mergeCells count="8">
    <mergeCell ref="A3:J3"/>
    <mergeCell ref="B6:J6"/>
    <mergeCell ref="D7:G7"/>
    <mergeCell ref="H7:J7"/>
    <mergeCell ref="A8:A9"/>
    <mergeCell ref="B8:C8"/>
    <mergeCell ref="D8:G8"/>
    <mergeCell ref="H8:J8"/>
  </mergeCells>
  <hyperlinks>
    <hyperlink ref="B1" location="Index!A1" display="Back to index"/>
  </hyperlinks>
  <printOptions headings="false" gridLines="false" gridLinesSet="true" horizontalCentered="true" verticalCentered="true"/>
  <pageMargins left="0.790277777777778" right="0.790277777777778" top="0.979861111111111" bottom="0.97986111111111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C0C0"/>
    <pageSetUpPr fitToPage="true"/>
  </sheetPr>
  <dimension ref="A1:P2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A3" activeCellId="0" sqref="A3"/>
    </sheetView>
  </sheetViews>
  <sheetFormatPr defaultColWidth="11.9921875" defaultRowHeight="12" zeroHeight="false" outlineLevelRow="0" outlineLevelCol="0"/>
  <cols>
    <col collapsed="false" customWidth="true" hidden="false" outlineLevel="0" max="1" min="1" style="666" width="15.15"/>
    <col collapsed="false" customWidth="true" hidden="false" outlineLevel="0" max="11" min="2" style="666" width="10.82"/>
    <col collapsed="false" customWidth="true" hidden="false" outlineLevel="0" max="13" min="12" style="289" width="21.5"/>
    <col collapsed="false" customWidth="true" hidden="false" outlineLevel="0" max="14" min="14" style="289" width="12.99"/>
    <col collapsed="false" customWidth="false" hidden="false" outlineLevel="0" max="257" min="15" style="289" width="11.99"/>
  </cols>
  <sheetData>
    <row r="1" customFormat="false" ht="12" hidden="false" customHeight="false" outlineLevel="0" collapsed="false">
      <c r="A1" s="667"/>
      <c r="B1" s="21" t="s">
        <v>9</v>
      </c>
      <c r="C1" s="667"/>
      <c r="D1" s="667"/>
      <c r="E1" s="667"/>
      <c r="F1" s="667"/>
      <c r="G1" s="667"/>
      <c r="H1" s="667"/>
      <c r="I1" s="667"/>
      <c r="J1" s="667"/>
      <c r="K1" s="667"/>
    </row>
    <row r="2" customFormat="false" ht="13" hidden="false" customHeight="false" outlineLevel="0" collapsed="false"/>
    <row r="3" customFormat="false" ht="19.75" hidden="false" customHeight="true" outlineLevel="0" collapsed="false">
      <c r="A3" s="292" t="s">
        <v>186</v>
      </c>
      <c r="B3" s="292"/>
      <c r="C3" s="292"/>
      <c r="D3" s="292"/>
      <c r="E3" s="292"/>
      <c r="F3" s="292"/>
      <c r="G3" s="292"/>
      <c r="H3" s="292"/>
      <c r="I3" s="292"/>
      <c r="J3" s="292"/>
      <c r="K3" s="292"/>
    </row>
    <row r="4" customFormat="false" ht="12" hidden="false" customHeight="false" outlineLevel="0" collapsed="false">
      <c r="A4" s="293"/>
      <c r="B4" s="294"/>
      <c r="C4" s="294"/>
      <c r="D4" s="294"/>
      <c r="E4" s="294"/>
      <c r="F4" s="294"/>
      <c r="G4" s="294"/>
      <c r="H4" s="294"/>
      <c r="I4" s="294"/>
      <c r="J4" s="294"/>
      <c r="K4" s="295"/>
    </row>
    <row r="5" customFormat="false" ht="12" hidden="false" customHeight="false" outlineLevel="0" collapsed="false">
      <c r="A5" s="293"/>
      <c r="B5" s="296" t="s">
        <v>11</v>
      </c>
      <c r="C5" s="296" t="s">
        <v>12</v>
      </c>
      <c r="D5" s="296" t="s">
        <v>13</v>
      </c>
      <c r="E5" s="296" t="s">
        <v>14</v>
      </c>
      <c r="F5" s="296" t="s">
        <v>15</v>
      </c>
      <c r="G5" s="668" t="s">
        <v>16</v>
      </c>
      <c r="H5" s="296" t="s">
        <v>17</v>
      </c>
      <c r="I5" s="668" t="s">
        <v>18</v>
      </c>
      <c r="J5" s="668" t="s">
        <v>19</v>
      </c>
      <c r="K5" s="297" t="s">
        <v>20</v>
      </c>
    </row>
    <row r="6" customFormat="false" ht="18" hidden="false" customHeight="true" outlineLevel="0" collapsed="false">
      <c r="A6" s="293"/>
      <c r="B6" s="620" t="s">
        <v>90</v>
      </c>
      <c r="C6" s="620"/>
      <c r="D6" s="620"/>
      <c r="E6" s="620"/>
      <c r="F6" s="620"/>
      <c r="G6" s="620"/>
      <c r="H6" s="620"/>
      <c r="I6" s="620"/>
      <c r="J6" s="620"/>
      <c r="K6" s="620"/>
      <c r="L6" s="622"/>
      <c r="M6" s="622"/>
    </row>
    <row r="7" customFormat="false" ht="34" hidden="false" customHeight="true" outlineLevel="0" collapsed="false">
      <c r="A7" s="315"/>
      <c r="B7" s="669"/>
      <c r="C7" s="670"/>
      <c r="D7" s="625" t="s">
        <v>187</v>
      </c>
      <c r="E7" s="625"/>
      <c r="F7" s="625"/>
      <c r="G7" s="625"/>
      <c r="H7" s="625"/>
      <c r="I7" s="626" t="s">
        <v>188</v>
      </c>
      <c r="J7" s="626"/>
      <c r="K7" s="626"/>
    </row>
    <row r="8" customFormat="false" ht="109" hidden="false" customHeight="true" outlineLevel="0" collapsed="false">
      <c r="A8" s="671"/>
      <c r="B8" s="672" t="s">
        <v>189</v>
      </c>
      <c r="C8" s="467" t="s">
        <v>190</v>
      </c>
      <c r="D8" s="673" t="s">
        <v>191</v>
      </c>
      <c r="E8" s="674" t="s">
        <v>192</v>
      </c>
      <c r="F8" s="467" t="s">
        <v>193</v>
      </c>
      <c r="G8" s="467" t="s">
        <v>194</v>
      </c>
      <c r="H8" s="467" t="s">
        <v>195</v>
      </c>
      <c r="I8" s="675" t="s">
        <v>196</v>
      </c>
      <c r="J8" s="467" t="s">
        <v>197</v>
      </c>
      <c r="K8" s="676" t="s">
        <v>195</v>
      </c>
      <c r="L8" s="677"/>
      <c r="M8" s="677"/>
      <c r="N8" s="290" t="s">
        <v>198</v>
      </c>
    </row>
    <row r="9" customFormat="false" ht="24.75" hidden="false" customHeight="true" outlineLevel="0" collapsed="false">
      <c r="A9" s="671"/>
      <c r="B9" s="630" t="s">
        <v>199</v>
      </c>
      <c r="C9" s="633" t="s">
        <v>200</v>
      </c>
      <c r="D9" s="632" t="s">
        <v>201</v>
      </c>
      <c r="E9" s="678" t="s">
        <v>202</v>
      </c>
      <c r="F9" s="633" t="s">
        <v>203</v>
      </c>
      <c r="G9" s="633"/>
      <c r="H9" s="633" t="s">
        <v>204</v>
      </c>
      <c r="I9" s="632" t="s">
        <v>201</v>
      </c>
      <c r="J9" s="633" t="s">
        <v>203</v>
      </c>
      <c r="K9" s="634" t="s">
        <v>204</v>
      </c>
    </row>
    <row r="10" customFormat="false" ht="15" hidden="false" customHeight="true" outlineLevel="0" collapsed="false">
      <c r="A10" s="307" t="s">
        <v>72</v>
      </c>
      <c r="B10" s="679" t="n">
        <f aca="false">(((1+B13)^40)*((1+B16)^100))^(1/140)-1</f>
        <v>0.0247172608432522</v>
      </c>
      <c r="C10" s="680" t="n">
        <f aca="false">(((1+C13)^40)*((1+C16)^100))^(1/140)-1</f>
        <v>0.0208013538264391</v>
      </c>
      <c r="D10" s="681" t="n">
        <f aca="false">SUMPRODUCT(TableDE5a!$B10:$B149,TableDE5a!G10:G149)/SUM(TableDE5a!$B10:$B149)</f>
        <v>0.128200010358653</v>
      </c>
      <c r="E10" s="312" t="n">
        <f aca="false">SUMPRODUCT(TableDE5a!$B10:$B149,TableDE5a!O10:O149)/SUM(TableDE5a!$B10:$B149)</f>
        <v>-0.00277946326575769</v>
      </c>
      <c r="F10" s="682" t="n">
        <f aca="false">(((1+F13)^40)*((1+F16)^100))^(1/140)-1</f>
        <v>0.0406282875678352</v>
      </c>
      <c r="G10" s="680" t="n">
        <f aca="false">(((1+G13)^40)*((1+G16)^100))^(1/140)-1</f>
        <v>-0.0015834596606924</v>
      </c>
      <c r="H10" s="680" t="n">
        <f aca="false">(((1+H13)^40)*((1+H16)^100))^(1/140)-1</f>
        <v>-0.0174971089144034</v>
      </c>
      <c r="I10" s="681"/>
      <c r="J10" s="680"/>
      <c r="K10" s="683"/>
      <c r="N10" s="684" t="n">
        <f aca="false">C10-((1+F10)*(1+H10)*(1+G10)-1)</f>
        <v>1.40486218214164E-008</v>
      </c>
      <c r="P10" s="685" t="n">
        <f aca="false">TableDE3c!B8-B10</f>
        <v>0</v>
      </c>
    </row>
    <row r="11" customFormat="false" ht="15" hidden="false" customHeight="true" outlineLevel="0" collapsed="false">
      <c r="A11" s="315"/>
      <c r="B11" s="316"/>
      <c r="C11" s="317"/>
      <c r="D11" s="648"/>
      <c r="E11" s="473"/>
      <c r="F11" s="686" t="n">
        <f aca="false">F10/($F10+$G10+$H10)</f>
        <v>1.88550294263282</v>
      </c>
      <c r="G11" s="652" t="n">
        <f aca="false">G10/($F10+$G10+$H10)</f>
        <v>-0.0734861848358961</v>
      </c>
      <c r="H11" s="652" t="n">
        <f aca="false">H10/($F10+$G10+$H10)</f>
        <v>-0.812016757796919</v>
      </c>
      <c r="I11" s="648"/>
      <c r="J11" s="652"/>
      <c r="K11" s="655"/>
      <c r="N11" s="684"/>
      <c r="P11" s="685"/>
    </row>
    <row r="12" customFormat="false" ht="4.75" hidden="false" customHeight="true" outlineLevel="0" collapsed="false">
      <c r="A12" s="299"/>
      <c r="B12" s="324"/>
      <c r="C12" s="325"/>
      <c r="D12" s="328"/>
      <c r="E12" s="327"/>
      <c r="F12" s="687"/>
      <c r="G12" s="327"/>
      <c r="H12" s="327"/>
      <c r="I12" s="328"/>
      <c r="J12" s="327"/>
      <c r="K12" s="647"/>
      <c r="N12" s="684"/>
      <c r="P12" s="685"/>
    </row>
    <row r="13" customFormat="false" ht="15" hidden="false" customHeight="true" outlineLevel="0" collapsed="false">
      <c r="A13" s="307" t="s">
        <v>73</v>
      </c>
      <c r="B13" s="308" t="n">
        <f aca="false">PRODUCT(TableDE5a!Y11:Y50)^(1/40)-1</f>
        <v>0.0251251967298254</v>
      </c>
      <c r="C13" s="309" t="n">
        <f aca="false">PRODUCT(TableDE5a!Z11:Z50)^(1/40)-1</f>
        <v>0.021388109621193</v>
      </c>
      <c r="D13" s="681" t="n">
        <f aca="false">SUMPRODUCT(TableDE5a!$B10:$B49,TableDE5a!G10:G49)/SUM(TableDE5a!$B10:$B49)</f>
        <v>0.148346824970899</v>
      </c>
      <c r="E13" s="312" t="n">
        <f aca="false">SUMPRODUCT(TableDE5a!$B10:$B49,TableDE5a!O10:O49)/SUM(TableDE5a!$B10:$B49)</f>
        <v>0</v>
      </c>
      <c r="F13" s="682" t="n">
        <f aca="false">PRODUCT(TableDE5a!AA11:AA50)^(1/40)-1</f>
        <v>0.0232901624554369</v>
      </c>
      <c r="G13" s="680" t="n">
        <f aca="false">PRODUCT(TableDE5a!AC11:AC50)^(1/40)-1</f>
        <v>0</v>
      </c>
      <c r="H13" s="680" t="n">
        <f aca="false">PRODUCT(TableDE5a!AB11:AB50)^(1/40)-1</f>
        <v>-0.00185876196608781</v>
      </c>
      <c r="I13" s="681"/>
      <c r="J13" s="680"/>
      <c r="K13" s="683"/>
      <c r="L13" s="195"/>
      <c r="M13" s="195"/>
      <c r="N13" s="684" t="n">
        <f aca="false">C13-((1+F13)*(1+H13)*(1+G13)-1)</f>
        <v>0</v>
      </c>
      <c r="P13" s="685" t="n">
        <f aca="false">TableDE3c!B11-B13</f>
        <v>0</v>
      </c>
    </row>
    <row r="14" customFormat="false" ht="15" hidden="false" customHeight="true" outlineLevel="0" collapsed="false">
      <c r="A14" s="315"/>
      <c r="B14" s="316"/>
      <c r="C14" s="317"/>
      <c r="D14" s="648"/>
      <c r="E14" s="473"/>
      <c r="F14" s="686" t="n">
        <f aca="false">F13/($F13+$G13+$H13)</f>
        <v>1.08673077464124</v>
      </c>
      <c r="G14" s="652" t="n">
        <f aca="false">G13/($F13+$G13+$H13)</f>
        <v>0</v>
      </c>
      <c r="H14" s="652" t="n">
        <f aca="false">H13/($F13+$G13+$H13)</f>
        <v>-0.0867307746412358</v>
      </c>
      <c r="I14" s="648"/>
      <c r="J14" s="652"/>
      <c r="K14" s="655"/>
      <c r="N14" s="684"/>
      <c r="P14" s="685"/>
    </row>
    <row r="15" customFormat="false" ht="4.75" hidden="false" customHeight="true" outlineLevel="0" collapsed="false">
      <c r="A15" s="299"/>
      <c r="B15" s="324"/>
      <c r="C15" s="325"/>
      <c r="D15" s="328"/>
      <c r="E15" s="327"/>
      <c r="F15" s="687"/>
      <c r="G15" s="327"/>
      <c r="H15" s="327"/>
      <c r="I15" s="328"/>
      <c r="J15" s="327"/>
      <c r="K15" s="647"/>
      <c r="N15" s="684"/>
      <c r="P15" s="685"/>
    </row>
    <row r="16" customFormat="false" ht="15" hidden="false" customHeight="true" outlineLevel="0" collapsed="false">
      <c r="A16" s="307" t="s">
        <v>74</v>
      </c>
      <c r="B16" s="308" t="n">
        <f aca="false">(((1+B19)^40)*((1+B22)^60))^(1/100)-1</f>
        <v>0.0245541319454916</v>
      </c>
      <c r="C16" s="309" t="n">
        <f aca="false">(((1+C19)^40)*((1+C22)^60))^(1/100)-1</f>
        <v>0.0205667458998262</v>
      </c>
      <c r="D16" s="681" t="n">
        <f aca="false">SUMPRODUCT(TableDE5a!$B50:$B149,TableDE5a!G50:G149)/SUM(TableDE5a!$B50:$B149)</f>
        <v>0.127051180947672</v>
      </c>
      <c r="E16" s="312" t="n">
        <f aca="false">SUMPRODUCT(TableDE5a!$B50:$B149,TableDE5a!O50:O149)/SUM(TableDE5a!$B50:$B149)</f>
        <v>-0.00293795626864167</v>
      </c>
      <c r="F16" s="682" t="n">
        <f aca="false">(((1+F19)^40)*((1+F22)^60))^(1/100)-1</f>
        <v>0.0476455159725357</v>
      </c>
      <c r="G16" s="680" t="n">
        <f aca="false">(((1+G19)^40)*((1+G22)^60))^(1/100)-1</f>
        <v>-0.00221614124603364</v>
      </c>
      <c r="H16" s="312" t="n">
        <f aca="false">(((1+H19)^40)*((1+H22)^60))^(1/100)-1</f>
        <v>-0.0236836276374013</v>
      </c>
      <c r="I16" s="681"/>
      <c r="J16" s="680"/>
      <c r="K16" s="683"/>
      <c r="N16" s="684" t="n">
        <f aca="false">C16-((1+F16)*(1+H16)*(1+G16)-1)</f>
        <v>1.96635503435516E-008</v>
      </c>
      <c r="P16" s="685" t="n">
        <f aca="false">TableDE3c!B14-B16</f>
        <v>0</v>
      </c>
    </row>
    <row r="17" customFormat="false" ht="15" hidden="false" customHeight="true" outlineLevel="0" collapsed="false">
      <c r="A17" s="315"/>
      <c r="B17" s="316"/>
      <c r="C17" s="317"/>
      <c r="D17" s="648"/>
      <c r="E17" s="473"/>
      <c r="F17" s="686" t="n">
        <f aca="false">F16/($F16+$G16+$H16)</f>
        <v>2.19102686043912</v>
      </c>
      <c r="G17" s="652" t="n">
        <f aca="false">G16/($F16+$G16+$H16)</f>
        <v>-0.101911478918303</v>
      </c>
      <c r="H17" s="652" t="n">
        <f aca="false">H16/($F16+$G16+$H16)</f>
        <v>-1.08911538152082</v>
      </c>
      <c r="I17" s="648"/>
      <c r="J17" s="652"/>
      <c r="K17" s="655"/>
      <c r="N17" s="684"/>
      <c r="P17" s="685"/>
    </row>
    <row r="18" customFormat="false" ht="4.75" hidden="false" customHeight="true" outlineLevel="0" collapsed="false">
      <c r="A18" s="315"/>
      <c r="B18" s="316"/>
      <c r="C18" s="317"/>
      <c r="D18" s="648"/>
      <c r="E18" s="473"/>
      <c r="F18" s="688"/>
      <c r="G18" s="473"/>
      <c r="H18" s="473"/>
      <c r="I18" s="648"/>
      <c r="J18" s="473"/>
      <c r="K18" s="649"/>
      <c r="N18" s="684"/>
      <c r="P18" s="685"/>
    </row>
    <row r="19" customFormat="false" ht="15" hidden="false" customHeight="true" outlineLevel="0" collapsed="false">
      <c r="A19" s="307" t="s">
        <v>75</v>
      </c>
      <c r="B19" s="679" t="n">
        <f aca="false">PRODUCT(TableDE5a!Y51:Y90)^(1/40)-1</f>
        <v>0.0117071673703502</v>
      </c>
      <c r="C19" s="680" t="n">
        <f aca="false">PRODUCT(TableDE5a!Z51:Z90)^(1/40)-1</f>
        <v>-0.018469501317933</v>
      </c>
      <c r="D19" s="681" t="n">
        <f aca="false">SUMPRODUCT(TableDE5a!G50:G89,TableDE5a!$B50:$B89)/SUM(TableDE5a!$B50:$B89)</f>
        <v>0.118161444334851</v>
      </c>
      <c r="E19" s="312" t="n">
        <f aca="false">SUMPRODUCT(TableDE5a!O50:O89,TableDE5a!$B50:$B89)/SUM(TableDE5a!$B50:$B89)</f>
        <v>-0.0262215741952802</v>
      </c>
      <c r="F19" s="682" t="n">
        <f aca="false">PRODUCT(TableDE5a!AA51:AA90)^(1/40)-1</f>
        <v>0.0343054046012741</v>
      </c>
      <c r="G19" s="680" t="n">
        <f aca="false">PRODUCT(TableDE5a!AC51:AC90)^(1/40)-1</f>
        <v>-0.00553114786351461</v>
      </c>
      <c r="H19" s="680" t="n">
        <f aca="false">PRODUCT(TableDE5a!AB51:AB90)^(1/40)-1</f>
        <v>-0.0457464181905448</v>
      </c>
      <c r="I19" s="681"/>
      <c r="J19" s="312"/>
      <c r="K19" s="683"/>
      <c r="N19" s="684" t="n">
        <f aca="false">C19-((1+F19)*(1+H19)*(1+G19)-1)</f>
        <v>4.72785688376831E-008</v>
      </c>
      <c r="P19" s="685" t="n">
        <f aca="false">TableDE3c!B17-B19</f>
        <v>0</v>
      </c>
    </row>
    <row r="20" customFormat="false" ht="15" hidden="false" customHeight="true" outlineLevel="0" collapsed="false">
      <c r="A20" s="315"/>
      <c r="B20" s="316"/>
      <c r="C20" s="317"/>
      <c r="D20" s="648"/>
      <c r="E20" s="473"/>
      <c r="F20" s="686" t="n">
        <f aca="false">F19/($F19+$G19+$H19)</f>
        <v>-2.02127493877005</v>
      </c>
      <c r="G20" s="652" t="n">
        <f aca="false">G19/($F19+$G19+$H19)</f>
        <v>0.325895312680217</v>
      </c>
      <c r="H20" s="652" t="n">
        <f aca="false">H19/($F19+$G19+$H19)</f>
        <v>2.69537962608983</v>
      </c>
      <c r="I20" s="648"/>
      <c r="J20" s="652"/>
      <c r="K20" s="655"/>
      <c r="N20" s="684"/>
      <c r="P20" s="685"/>
    </row>
    <row r="21" customFormat="false" ht="4" hidden="false" customHeight="true" outlineLevel="0" collapsed="false">
      <c r="A21" s="315"/>
      <c r="B21" s="316"/>
      <c r="C21" s="317"/>
      <c r="D21" s="648"/>
      <c r="E21" s="473"/>
      <c r="F21" s="688"/>
      <c r="G21" s="473"/>
      <c r="H21" s="473"/>
      <c r="I21" s="648"/>
      <c r="J21" s="473"/>
      <c r="K21" s="649"/>
      <c r="N21" s="684"/>
      <c r="P21" s="685"/>
    </row>
    <row r="22" customFormat="false" ht="15" hidden="false" customHeight="true" outlineLevel="0" collapsed="false">
      <c r="A22" s="307" t="s">
        <v>76</v>
      </c>
      <c r="B22" s="308" t="n">
        <f aca="false">PRODUCT(TableDE5a!Y91:Y150)^(1/60)-1</f>
        <v>0.0332092780246136</v>
      </c>
      <c r="C22" s="312" t="n">
        <f aca="false">PRODUCT(TableDE5a!Z91:Z150)^(1/60)-1</f>
        <v>0.0474496503609321</v>
      </c>
      <c r="D22" s="681" t="n">
        <f aca="false">SUMPRODUCT(TableDE5a!$B90:$B149,TableDE5a!G90:G149)/SUM(TableDE5a!$B90:$B149)</f>
        <v>0.128172899122679</v>
      </c>
      <c r="E22" s="312" t="n">
        <f aca="false">SUMPRODUCT(TableDE5a!$B90:$B149,TableDE5a!O90:O149)/SUM(TableDE5a!$B90:$B149)</f>
        <v>0</v>
      </c>
      <c r="F22" s="689" t="n">
        <f aca="false">PRODUCT(TableDE5a!AA91:AA150)^(1/60)-1</f>
        <v>0.056634373887563</v>
      </c>
      <c r="G22" s="312" t="n">
        <f aca="false">PRODUCT(TableDE5a!AC91:AC150)^(1/60)-1</f>
        <v>0</v>
      </c>
      <c r="H22" s="312" t="n">
        <f aca="false">PRODUCT(TableDE5a!AB91:AB150)^(1/60)-1</f>
        <v>-0.00869243302471656</v>
      </c>
      <c r="I22" s="681" t="n">
        <f aca="false">SUMPRODUCT(TableDE5a!B90:B149,TableDE5a!K90:K149)/SUM(TableDE5a!B90:B149)</f>
        <v>0.0896635114292626</v>
      </c>
      <c r="J22" s="312" t="n">
        <f aca="false">PRODUCT(TableDE5a!AD91:AD150)^(1/60)-1</f>
        <v>0.0334446736630216</v>
      </c>
      <c r="K22" s="683" t="n">
        <f aca="false">PRODUCT(TableDE5a!AE91:AE150)^(1/60)-1</f>
        <v>0.0135517430732599</v>
      </c>
      <c r="L22" s="25"/>
      <c r="N22" s="684" t="n">
        <f aca="false">C22-((1+F22)*(1+H22)*(1+G22)-1)</f>
        <v>0</v>
      </c>
      <c r="O22" s="684" t="n">
        <f aca="false">C22-((1+J22)*(1+K22)-1)</f>
        <v>2.22044604925031E-016</v>
      </c>
      <c r="P22" s="685" t="n">
        <f aca="false">TableDE3c!B20-B22</f>
        <v>0</v>
      </c>
    </row>
    <row r="23" customFormat="false" ht="15" hidden="false" customHeight="true" outlineLevel="0" collapsed="false">
      <c r="A23" s="315"/>
      <c r="B23" s="316"/>
      <c r="C23" s="473"/>
      <c r="D23" s="690"/>
      <c r="E23" s="691"/>
      <c r="F23" s="686" t="n">
        <f aca="false">F22/($F22+$G22+$H22)</f>
        <v>1.18131166298803</v>
      </c>
      <c r="G23" s="652" t="n">
        <f aca="false">G22/($F22+$G22+$H22)</f>
        <v>0</v>
      </c>
      <c r="H23" s="652" t="n">
        <f aca="false">H22/($F22+$G22+$H22)</f>
        <v>-0.181311662988032</v>
      </c>
      <c r="I23" s="648"/>
      <c r="J23" s="652" t="n">
        <f aca="false">J22/($J22+$K22)</f>
        <v>0.711643056761009</v>
      </c>
      <c r="K23" s="655" t="n">
        <f aca="false">K22/($J22+$K22)</f>
        <v>0.288356943238991</v>
      </c>
      <c r="N23" s="684"/>
      <c r="P23" s="685"/>
    </row>
    <row r="24" customFormat="false" ht="4.75" hidden="false" customHeight="true" outlineLevel="0" collapsed="false">
      <c r="A24" s="315"/>
      <c r="B24" s="316"/>
      <c r="C24" s="473"/>
      <c r="D24" s="648"/>
      <c r="E24" s="473"/>
      <c r="F24" s="688"/>
      <c r="G24" s="473"/>
      <c r="H24" s="473"/>
      <c r="I24" s="648"/>
      <c r="J24" s="473"/>
      <c r="K24" s="649"/>
      <c r="N24" s="684"/>
      <c r="P24" s="685"/>
    </row>
    <row r="25" customFormat="false" ht="15" hidden="false" customHeight="false" outlineLevel="0" collapsed="false">
      <c r="A25" s="333" t="s">
        <v>77</v>
      </c>
      <c r="B25" s="308" t="n">
        <f aca="false">PRODUCT(TableDE5a!Y91:Y120)^(1/30)-1</f>
        <v>0.0493890037489992</v>
      </c>
      <c r="C25" s="312" t="n">
        <f aca="false">PRODUCT(TableDE5a!Z91:Z120)^(1/30)-1</f>
        <v>0.0611452185957455</v>
      </c>
      <c r="D25" s="681" t="n">
        <f aca="false">SUMPRODUCT(TableDE5a!$B90:$B119,TableDE5a!G90:G119)/SUM(TableDE5a!$B90:$B119)</f>
        <v>0.149215336201208</v>
      </c>
      <c r="E25" s="312" t="n">
        <f aca="false">SUMPRODUCT(TableDE5a!$B90:$B119,TableDE5a!O90:O119)/SUM(TableDE5a!$B90:$B119)</f>
        <v>0</v>
      </c>
      <c r="F25" s="689" t="n">
        <f aca="false">PRODUCT(TableDE5a!AA91:AA120)^(1/30)-1</f>
        <v>0.0767516320434427</v>
      </c>
      <c r="G25" s="312" t="n">
        <f aca="false">PRODUCT(TableDE5a!AC91:AC120)^(1/30)-1</f>
        <v>0</v>
      </c>
      <c r="H25" s="312" t="n">
        <f aca="false">PRODUCT(TableDE5a!AB91:AB120)^(1/30)-1</f>
        <v>-0.0144939770540021</v>
      </c>
      <c r="I25" s="681" t="n">
        <f aca="false">SUMPRODUCT(TableDE5a!B90:B119,TableDE5a!K90:K119)/SUM(TableDE5a!B90:B119)</f>
        <v>0.0865702364582814</v>
      </c>
      <c r="J25" s="312" t="n">
        <f aca="false">PRODUCT(TableDE5a!AD91:AD120)^(1/30)-1</f>
        <v>0.037860351349742</v>
      </c>
      <c r="K25" s="683" t="n">
        <f aca="false">PRODUCT(TableDE5a!AE91:AE120)^(1/30)-1</f>
        <v>0.0224354531086206</v>
      </c>
      <c r="N25" s="684" t="n">
        <f aca="false">C25-((1+F25)*(1+H25)*(1+G25)-1)</f>
        <v>-2.22044604925031E-016</v>
      </c>
      <c r="O25" s="684" t="n">
        <f aca="false">C25-((1+J25)*(1+K25)-1)</f>
        <v>0</v>
      </c>
      <c r="P25" s="685" t="n">
        <f aca="false">TableDE3c!B23-B25</f>
        <v>0</v>
      </c>
    </row>
    <row r="26" customFormat="false" ht="15" hidden="false" customHeight="false" outlineLevel="0" collapsed="false">
      <c r="A26" s="334"/>
      <c r="B26" s="335"/>
      <c r="C26" s="337"/>
      <c r="D26" s="653"/>
      <c r="E26" s="475"/>
      <c r="F26" s="686" t="n">
        <f aca="false">F25/($F25+$G25+$H25)</f>
        <v>1.23280634415897</v>
      </c>
      <c r="G26" s="652" t="n">
        <f aca="false">G25/($F25+$G25+$H25)</f>
        <v>0</v>
      </c>
      <c r="H26" s="652" t="n">
        <f aca="false">H25/($F25+$G25+$H25)</f>
        <v>-0.23280634415897</v>
      </c>
      <c r="I26" s="654"/>
      <c r="J26" s="652" t="n">
        <f aca="false">J25/($J25+$K25)</f>
        <v>0.627910211827202</v>
      </c>
      <c r="K26" s="655" t="n">
        <f aca="false">K25/($J25+$K25)</f>
        <v>0.372089788172798</v>
      </c>
      <c r="N26" s="684"/>
      <c r="P26" s="685"/>
    </row>
    <row r="27" customFormat="false" ht="4" hidden="false" customHeight="true" outlineLevel="0" collapsed="false">
      <c r="A27" s="334"/>
      <c r="B27" s="335"/>
      <c r="C27" s="337"/>
      <c r="D27" s="653"/>
      <c r="E27" s="475"/>
      <c r="F27" s="686"/>
      <c r="G27" s="652"/>
      <c r="H27" s="652"/>
      <c r="I27" s="654"/>
      <c r="J27" s="652"/>
      <c r="K27" s="655"/>
      <c r="N27" s="684"/>
      <c r="P27" s="685"/>
    </row>
    <row r="28" customFormat="false" ht="15" hidden="false" customHeight="false" outlineLevel="0" collapsed="false">
      <c r="A28" s="333" t="s">
        <v>78</v>
      </c>
      <c r="B28" s="308" t="n">
        <f aca="false">PRODUCT(TableDE5a!Y121:Y150)^(1/30)-1</f>
        <v>0.0172790151053279</v>
      </c>
      <c r="C28" s="309" t="n">
        <f aca="false">PRODUCT(TableDE5a!Z121:Z150)^(1/30)-1</f>
        <v>0.0339308426542606</v>
      </c>
      <c r="D28" s="681" t="n">
        <f aca="false">SUMPRODUCT(TableDE5a!$B120:$B149,TableDE5a!G120:G149)/SUM(TableDE5a!$B120:$B149)</f>
        <v>0.118499127715132</v>
      </c>
      <c r="E28" s="312" t="n">
        <f aca="false">SUMPRODUCT(TableDE5a!$B120:$B149,TableDE5a!O120:O149)/SUM(TableDE5a!$B120:$B149)</f>
        <v>0</v>
      </c>
      <c r="F28" s="689" t="n">
        <f aca="false">PRODUCT(TableDE5a!AA121:AA150)^(1/30)-1</f>
        <v>0.0368929722093208</v>
      </c>
      <c r="G28" s="312" t="n">
        <f aca="false">PRODUCT(TableDE5a!AC121:AC150)^(1/30)-1</f>
        <v>0</v>
      </c>
      <c r="H28" s="312" t="n">
        <f aca="false">PRODUCT(TableDE5a!AB121:AB150)^(1/30)-1</f>
        <v>-0.00285673607059833</v>
      </c>
      <c r="I28" s="681" t="n">
        <f aca="false">SUMPRODUCT(TableDE5a!B120:B149,TableDE5a!K120:K149)/SUM(TableDE5a!B120:B149)</f>
        <v>0.0910855727075398</v>
      </c>
      <c r="J28" s="312" t="n">
        <f aca="false">PRODUCT(TableDE5a!AD121:AD150)^(1/30)-1</f>
        <v>0.0290477829059763</v>
      </c>
      <c r="K28" s="683" t="n">
        <f aca="false">PRODUCT(TableDE5a!AE121:AE150)^(1/30)-1</f>
        <v>0.00474522158193147</v>
      </c>
      <c r="N28" s="684" t="n">
        <f aca="false">C28-((1+F28)*(1+H28)*(1+G28)-1)</f>
        <v>2.22044604925031E-016</v>
      </c>
      <c r="O28" s="684" t="n">
        <f aca="false">C28-((1+J28)*(1+K28)-1)</f>
        <v>2.22044604925031E-016</v>
      </c>
      <c r="P28" s="685" t="n">
        <f aca="false">TableDE3c!B26-B28</f>
        <v>0</v>
      </c>
    </row>
    <row r="29" customFormat="false" ht="15" hidden="false" customHeight="false" outlineLevel="0" collapsed="false">
      <c r="A29" s="334"/>
      <c r="B29" s="335"/>
      <c r="C29" s="336"/>
      <c r="D29" s="653"/>
      <c r="E29" s="475"/>
      <c r="F29" s="686" t="n">
        <f aca="false">F28/($F28+$G28+$H28)</f>
        <v>1.08393219681974</v>
      </c>
      <c r="G29" s="652" t="n">
        <f aca="false">G28/($F28+$G28+$H28)</f>
        <v>0</v>
      </c>
      <c r="H29" s="652" t="n">
        <f aca="false">H28/($F28+$G28+$H28)</f>
        <v>-0.0839321968197381</v>
      </c>
      <c r="I29" s="654"/>
      <c r="J29" s="652" t="n">
        <f aca="false">J28/($J28+$K28)</f>
        <v>0.859579766468251</v>
      </c>
      <c r="K29" s="655" t="n">
        <f aca="false">K28/($J28+$K28)</f>
        <v>0.140420233531749</v>
      </c>
      <c r="N29" s="684"/>
      <c r="P29" s="685"/>
    </row>
    <row r="30" customFormat="false" ht="4" hidden="false" customHeight="true" outlineLevel="0" collapsed="false">
      <c r="A30" s="334"/>
      <c r="B30" s="335"/>
      <c r="C30" s="336"/>
      <c r="D30" s="653"/>
      <c r="E30" s="475"/>
      <c r="F30" s="686"/>
      <c r="G30" s="652"/>
      <c r="H30" s="652"/>
      <c r="I30" s="654"/>
      <c r="J30" s="652"/>
      <c r="K30" s="655"/>
      <c r="N30" s="684"/>
      <c r="P30" s="685"/>
    </row>
    <row r="31" customFormat="false" ht="15" hidden="false" customHeight="false" outlineLevel="0" collapsed="false">
      <c r="A31" s="333" t="s">
        <v>79</v>
      </c>
      <c r="B31" s="308" t="n">
        <f aca="false">PRODUCT(TableDE5a!Y91:Y110)^(1/20)-1</f>
        <v>0.0610117670085468</v>
      </c>
      <c r="C31" s="309" t="n">
        <f aca="false">PRODUCT(TableDE5a!Z91:Z110)^(1/20)-1</f>
        <v>0.0725969476679189</v>
      </c>
      <c r="D31" s="681" t="n">
        <f aca="false">SUMPRODUCT(TableDE5a!$B90:$B109,TableDE5a!G90:G109)/SUM(TableDE5a!$B90:$B109)</f>
        <v>0.157320488065537</v>
      </c>
      <c r="E31" s="312" t="n">
        <f aca="false">SUMPRODUCT(TableDE5a!$B90:$B109,TableDE5a!O90:O109)/SUM(TableDE5a!$B90:$B109)</f>
        <v>0</v>
      </c>
      <c r="F31" s="689" t="n">
        <f aca="false">PRODUCT(TableDE5a!AA91:AA110)^(1/20)-1</f>
        <v>0.0843523585465158</v>
      </c>
      <c r="G31" s="312" t="n">
        <f aca="false">PRODUCT(TableDE5a!AC91:AC110)^(1/20)-1</f>
        <v>0</v>
      </c>
      <c r="H31" s="312" t="n">
        <f aca="false">PRODUCT(TableDE5a!AB91:AB110)^(1/20)-1</f>
        <v>-0.0108409510856362</v>
      </c>
      <c r="I31" s="681" t="n">
        <f aca="false">SUMPRODUCT(TableDE5a!B90:B109,TableDE5a!K90:K109)/SUM(TableDE5a!B90:B109)</f>
        <v>0.0700759659432447</v>
      </c>
      <c r="J31" s="312" t="n">
        <f aca="false">PRODUCT(TableDE5a!AD91:AD110)^(1/20)-1</f>
        <v>0.0338822705843045</v>
      </c>
      <c r="K31" s="683" t="n">
        <f aca="false">PRODUCT(TableDE5a!AE91:AE110)^(1/20)-1</f>
        <v>0.0374459241493081</v>
      </c>
      <c r="N31" s="684" t="n">
        <f aca="false">C31-((1+F31)*(1+H31)*(1+G31)-1)</f>
        <v>0</v>
      </c>
      <c r="O31" s="684" t="n">
        <f aca="false">C31-((1+J31)*(1+K31)-1)</f>
        <v>0</v>
      </c>
      <c r="P31" s="685" t="n">
        <f aca="false">TableDE3c!B29-B31</f>
        <v>0</v>
      </c>
    </row>
    <row r="32" customFormat="false" ht="15" hidden="false" customHeight="false" outlineLevel="0" collapsed="false">
      <c r="A32" s="334"/>
      <c r="B32" s="335"/>
      <c r="C32" s="337"/>
      <c r="D32" s="653"/>
      <c r="E32" s="475"/>
      <c r="F32" s="686" t="n">
        <f aca="false">F31/($F31+$G31+$H31)</f>
        <v>1.14747304479792</v>
      </c>
      <c r="G32" s="652" t="n">
        <f aca="false">G31/($F31+$G31+$H31)</f>
        <v>0</v>
      </c>
      <c r="H32" s="652" t="n">
        <f aca="false">H31/($F31+$G31+$H31)</f>
        <v>-0.147473044797917</v>
      </c>
      <c r="I32" s="654"/>
      <c r="J32" s="652" t="n">
        <f aca="false">J31/($J31+$K31)</f>
        <v>0.475019320352122</v>
      </c>
      <c r="K32" s="655" t="n">
        <f aca="false">K31/($J31+$K31)</f>
        <v>0.524980679647878</v>
      </c>
      <c r="N32" s="684"/>
      <c r="P32" s="685"/>
    </row>
    <row r="33" customFormat="false" ht="4" hidden="false" customHeight="true" outlineLevel="0" collapsed="false">
      <c r="A33" s="334"/>
      <c r="B33" s="335"/>
      <c r="C33" s="337"/>
      <c r="D33" s="653"/>
      <c r="E33" s="475"/>
      <c r="F33" s="686"/>
      <c r="G33" s="652"/>
      <c r="H33" s="652"/>
      <c r="I33" s="654"/>
      <c r="J33" s="652"/>
      <c r="K33" s="655"/>
      <c r="N33" s="684"/>
      <c r="P33" s="685"/>
    </row>
    <row r="34" customFormat="false" ht="15" hidden="false" customHeight="false" outlineLevel="0" collapsed="false">
      <c r="A34" s="333" t="s">
        <v>80</v>
      </c>
      <c r="B34" s="308" t="n">
        <f aca="false">PRODUCT(TableDE5a!Y111:Y150)^(1/40)-1</f>
        <v>0.0195824371209541</v>
      </c>
      <c r="C34" s="312" t="n">
        <f aca="false">PRODUCT(TableDE5a!Z111:Z150)^(1/40)-1</f>
        <v>0.0350979675248244</v>
      </c>
      <c r="D34" s="681" t="n">
        <f aca="false">SUMPRODUCT(TableDE5a!$B110:$B149,TableDE5a!G110:G149)/SUM(TableDE5a!$B110:$B149)</f>
        <v>0.122407437530772</v>
      </c>
      <c r="E34" s="312" t="n">
        <f aca="false">SUMPRODUCT(TableDE5a!$B110:$B149,TableDE5a!O110:O149)/SUM(TableDE5a!$B110:$B149)</f>
        <v>0</v>
      </c>
      <c r="F34" s="689" t="n">
        <f aca="false">PRODUCT(TableDE5a!AA111:AA150)^(1/40)-1</f>
        <v>0.0430422199546972</v>
      </c>
      <c r="G34" s="312" t="n">
        <f aca="false">PRODUCT(TableDE5a!AC111:AC150)^(1/40)-1</f>
        <v>0</v>
      </c>
      <c r="H34" s="312" t="n">
        <f aca="false">PRODUCT(TableDE5a!AB111:AB150)^(1/40)-1</f>
        <v>-0.00761642460668333</v>
      </c>
      <c r="I34" s="681" t="n">
        <f aca="false">SUMPRODUCT(TableDE5a!B110:B149,TableDE5a!K110:K149)/SUM(TableDE5a!B110:B149)</f>
        <v>0.0935379739585909</v>
      </c>
      <c r="J34" s="312" t="n">
        <f aca="false">PRODUCT(TableDE5a!AD111:AD150)^(1/40)-1</f>
        <v>0.0332259446631091</v>
      </c>
      <c r="K34" s="683" t="n">
        <f aca="false">PRODUCT(TableDE5a!AE111:AE150)^(1/40)-1</f>
        <v>0.00181182332033458</v>
      </c>
      <c r="M34" s="25"/>
      <c r="N34" s="684" t="n">
        <f aca="false">C34-((1+F34)*(1+H34)*(1+G34)-1)</f>
        <v>-2.22044604925031E-016</v>
      </c>
      <c r="O34" s="684" t="n">
        <f aca="false">C34-((1+J34)*(1+K34)-1)</f>
        <v>0</v>
      </c>
      <c r="P34" s="685" t="n">
        <f aca="false">TableDE3c!B32-B34</f>
        <v>0</v>
      </c>
    </row>
    <row r="35" customFormat="false" ht="15" hidden="false" customHeight="false" outlineLevel="0" collapsed="false">
      <c r="A35" s="334"/>
      <c r="B35" s="335"/>
      <c r="C35" s="337"/>
      <c r="D35" s="653"/>
      <c r="E35" s="475"/>
      <c r="F35" s="686" t="n">
        <f aca="false">F34/($F34+$G34+$H34)</f>
        <v>1.21499657331223</v>
      </c>
      <c r="G35" s="652" t="n">
        <f aca="false">G34/($F34+$G34+$H34)</f>
        <v>0</v>
      </c>
      <c r="H35" s="652" t="n">
        <f aca="false">H34/($F34+$G34+$H34)</f>
        <v>-0.21499657331223</v>
      </c>
      <c r="I35" s="654"/>
      <c r="J35" s="652" t="n">
        <f aca="false">J34/($J34+$K34)</f>
        <v>0.948289419543199</v>
      </c>
      <c r="K35" s="655" t="n">
        <f aca="false">K34/($J34+$K34)</f>
        <v>0.0517105804568007</v>
      </c>
      <c r="N35" s="684"/>
      <c r="P35" s="685"/>
    </row>
    <row r="36" customFormat="false" ht="4" hidden="false" customHeight="true" outlineLevel="0" collapsed="false">
      <c r="A36" s="334"/>
      <c r="B36" s="335"/>
      <c r="C36" s="337"/>
      <c r="D36" s="653"/>
      <c r="E36" s="475"/>
      <c r="F36" s="686"/>
      <c r="G36" s="652"/>
      <c r="H36" s="652"/>
      <c r="I36" s="654"/>
      <c r="J36" s="652"/>
      <c r="K36" s="655"/>
      <c r="N36" s="684"/>
      <c r="P36" s="685"/>
    </row>
    <row r="37" customFormat="false" ht="15" hidden="false" customHeight="false" outlineLevel="0" collapsed="false">
      <c r="A37" s="333" t="s">
        <v>81</v>
      </c>
      <c r="B37" s="308" t="n">
        <f aca="false">PRODUCT(TableDE5a!Y111:Y130)^(1/20)-1</f>
        <v>0.0248985485714113</v>
      </c>
      <c r="C37" s="312" t="n">
        <f aca="false">PRODUCT(TableDE5a!Z111:Z130)^(1/20)-1</f>
        <v>0.038573881929763</v>
      </c>
      <c r="D37" s="681" t="n">
        <f aca="false">SUMPRODUCT(TableDE5a!$B110:$B129,TableDE5a!G110:G129)/SUM(TableDE5a!$B110:$B129)</f>
        <v>0.127124418378842</v>
      </c>
      <c r="E37" s="312" t="n">
        <f aca="false">SUMPRODUCT(TableDE5a!$B110:$B129,TableDE5a!O110:O129)/SUM(TableDE5a!$B110:$B129)</f>
        <v>0</v>
      </c>
      <c r="F37" s="689" t="n">
        <f aca="false">PRODUCT(TableDE5a!AA111:AA130)^(1/20)-1</f>
        <v>0.0511565854820415</v>
      </c>
      <c r="G37" s="312" t="n">
        <f aca="false">PRODUCT(TableDE5a!AC111:AC130)^(1/20)-1</f>
        <v>0</v>
      </c>
      <c r="H37" s="312" t="n">
        <f aca="false">PRODUCT(TableDE5a!AB111:AB130)^(1/20)-1</f>
        <v>-0.011970341741719</v>
      </c>
      <c r="I37" s="681" t="n">
        <f aca="false">SUMPRODUCT(TableDE5a!B110:B129,TableDE5a!K110:K129)/SUM(TableDE5a!B110:B129)</f>
        <v>0.101011974748094</v>
      </c>
      <c r="J37" s="312" t="n">
        <f aca="false">PRODUCT(TableDE5a!AD111:AD130)^(1/20)-1</f>
        <v>0.0402566480436253</v>
      </c>
      <c r="K37" s="683" t="n">
        <f aca="false">PRODUCT(TableDE5a!AE111:AE130)^(1/20)-1</f>
        <v>-0.00161764514269336</v>
      </c>
      <c r="N37" s="684" t="n">
        <f aca="false">C37-((1+F37)*(1+H37)*(1+G37)-1)</f>
        <v>0</v>
      </c>
      <c r="O37" s="684" t="n">
        <f aca="false">C37-((1+J37)*(1+K37)-1)</f>
        <v>0</v>
      </c>
      <c r="P37" s="685" t="n">
        <f aca="false">TableDE3c!B35-B37</f>
        <v>0</v>
      </c>
    </row>
    <row r="38" customFormat="false" ht="15" hidden="false" customHeight="false" outlineLevel="0" collapsed="false">
      <c r="A38" s="334"/>
      <c r="B38" s="335"/>
      <c r="C38" s="337"/>
      <c r="D38" s="653"/>
      <c r="E38" s="475"/>
      <c r="F38" s="686" t="n">
        <f aca="false">F37/($F37+$G37+$H37)</f>
        <v>1.30547305888881</v>
      </c>
      <c r="G38" s="652" t="n">
        <f aca="false">G37/($F37+$G37+$H37)</f>
        <v>0</v>
      </c>
      <c r="H38" s="652" t="n">
        <f aca="false">H37/($F37+$G37+$H37)</f>
        <v>-0.305473058888814</v>
      </c>
      <c r="I38" s="654"/>
      <c r="J38" s="652" t="n">
        <f aca="false">J37/($J37+$K37)</f>
        <v>1.04186560266167</v>
      </c>
      <c r="K38" s="655" t="n">
        <f aca="false">K37/($J37+$K37)</f>
        <v>-0.0418656026616655</v>
      </c>
      <c r="N38" s="684"/>
      <c r="P38" s="685"/>
    </row>
    <row r="39" customFormat="false" ht="4" hidden="false" customHeight="true" outlineLevel="0" collapsed="false">
      <c r="A39" s="334"/>
      <c r="B39" s="335"/>
      <c r="C39" s="337"/>
      <c r="D39" s="653"/>
      <c r="E39" s="475"/>
      <c r="F39" s="686"/>
      <c r="G39" s="652"/>
      <c r="H39" s="652"/>
      <c r="I39" s="654"/>
      <c r="J39" s="652"/>
      <c r="K39" s="655"/>
      <c r="N39" s="684"/>
      <c r="P39" s="685"/>
    </row>
    <row r="40" customFormat="false" ht="15" hidden="false" customHeight="false" outlineLevel="0" collapsed="false">
      <c r="A40" s="333" t="s">
        <v>82</v>
      </c>
      <c r="B40" s="308" t="n">
        <f aca="false">PRODUCT(TableDE5a!Y131:Y150)^(1/20)-1</f>
        <v>0.0142939001470077</v>
      </c>
      <c r="C40" s="312" t="n">
        <f aca="false">PRODUCT(TableDE5a!Z131:Z150)^(1/20)-1</f>
        <v>0.0316336863615463</v>
      </c>
      <c r="D40" s="681" t="n">
        <f aca="false">SUMPRODUCT(TableDE5a!$B130:$B149,TableDE5a!G130:G149)/SUM(TableDE5a!$B130:$B149)</f>
        <v>0.119292557676223</v>
      </c>
      <c r="E40" s="312" t="n">
        <f aca="false">SUMPRODUCT(TableDE5a!$B130:$B149,TableDE5a!O130:O149)/SUM(TableDE5a!$B130:$B149)</f>
        <v>0</v>
      </c>
      <c r="F40" s="689" t="n">
        <f aca="false">PRODUCT(TableDE5a!AA131:AA150)^(1/20)-1</f>
        <v>0.0349904929807525</v>
      </c>
      <c r="G40" s="312" t="n">
        <f aca="false">PRODUCT(TableDE5a!AC131:AC150)^(1/20)-1</f>
        <v>0</v>
      </c>
      <c r="H40" s="312" t="n">
        <f aca="false">PRODUCT(TableDE5a!AB131:AB150)^(1/20)-1</f>
        <v>-0.00324332121113391</v>
      </c>
      <c r="I40" s="681" t="n">
        <f aca="false">SUMPRODUCT(TableDE5a!B130:B149,TableDE5a!K130:K149)/SUM(TableDE5a!B130:B149)</f>
        <v>0.0886024833891045</v>
      </c>
      <c r="J40" s="312" t="n">
        <f aca="false">PRODUCT(TableDE5a!AD131:AD150)^(1/20)-1</f>
        <v>0.026242759162068</v>
      </c>
      <c r="K40" s="683" t="n">
        <f aca="false">PRODUCT(TableDE5a!AE131:AE150)^(1/20)-1</f>
        <v>0.00525307209366344</v>
      </c>
      <c r="N40" s="684" t="n">
        <f aca="false">C40-((1+F40)*(1+H40)*(1+G40)-1)</f>
        <v>2.22044604925031E-016</v>
      </c>
      <c r="O40" s="684" t="n">
        <f aca="false">C40-((1+J40)*(1+K40)-1)</f>
        <v>-2.22044604925031E-016</v>
      </c>
      <c r="P40" s="685" t="n">
        <f aca="false">TableDE3c!B38-B40</f>
        <v>0</v>
      </c>
    </row>
    <row r="41" customFormat="false" ht="15" hidden="false" customHeight="false" outlineLevel="0" collapsed="false">
      <c r="A41" s="334"/>
      <c r="B41" s="335"/>
      <c r="C41" s="337"/>
      <c r="D41" s="653"/>
      <c r="E41" s="475"/>
      <c r="F41" s="686" t="n">
        <f aca="false">F40/($F40+$G40+$H40)</f>
        <v>1.10216094947512</v>
      </c>
      <c r="G41" s="652" t="n">
        <f aca="false">G40/($F40+$G40+$H40)</f>
        <v>0</v>
      </c>
      <c r="H41" s="652" t="n">
        <f aca="false">H40/($F40+$G40+$H40)</f>
        <v>-0.102160949475118</v>
      </c>
      <c r="I41" s="654"/>
      <c r="J41" s="652" t="n">
        <f aca="false">J40/($J40+$K40)</f>
        <v>0.833213733874463</v>
      </c>
      <c r="K41" s="655" t="n">
        <f aca="false">K40/($J40+$K40)</f>
        <v>0.166786266125537</v>
      </c>
      <c r="N41" s="684"/>
      <c r="P41" s="685"/>
    </row>
    <row r="42" customFormat="false" ht="4.75" hidden="false" customHeight="true" outlineLevel="0" collapsed="false">
      <c r="A42" s="338"/>
      <c r="B42" s="316"/>
      <c r="C42" s="473"/>
      <c r="D42" s="648"/>
      <c r="E42" s="473"/>
      <c r="F42" s="688"/>
      <c r="G42" s="473"/>
      <c r="H42" s="473"/>
      <c r="I42" s="648"/>
      <c r="J42" s="473"/>
      <c r="K42" s="649"/>
      <c r="N42" s="684"/>
      <c r="P42" s="685"/>
    </row>
    <row r="43" customFormat="false" ht="15" hidden="false" customHeight="false" outlineLevel="0" collapsed="false">
      <c r="A43" s="339" t="s">
        <v>83</v>
      </c>
      <c r="B43" s="340" t="n">
        <f aca="false">PRODUCT(TableDE5a!Y91:Y100)^(1/10)-1</f>
        <v>0.0808160588402462</v>
      </c>
      <c r="C43" s="476" t="n">
        <f aca="false">PRODUCT(TableDE5a!Z91:Z100)^(1/10)-1</f>
        <v>0.0754421669163652</v>
      </c>
      <c r="D43" s="692" t="n">
        <f aca="false">SUMPRODUCT(TableDE5a!$B90:$B99,TableDE5a!G90:G99)/SUM(TableDE5a!$B90:$B99)</f>
        <v>0.153712121109767</v>
      </c>
      <c r="E43" s="476" t="n">
        <f aca="false">SUMPRODUCT(TableDE5a!$B90:$B99,TableDE5a!O90:O99)/SUM(TableDE5a!$B90:$B99)</f>
        <v>0</v>
      </c>
      <c r="F43" s="693" t="n">
        <f aca="false">PRODUCT(TableDE5a!AA91:AA100)^(1/10)-1</f>
        <v>0.091511215981956</v>
      </c>
      <c r="G43" s="476" t="n">
        <f aca="false">PRODUCT(TableDE5a!AC91:AC100)^(1/10)-1</f>
        <v>0</v>
      </c>
      <c r="H43" s="476" t="n">
        <f aca="false">PRODUCT(TableDE5a!AB91:AB100)^(1/10)-1</f>
        <v>-0.0147218359557898</v>
      </c>
      <c r="I43" s="692" t="n">
        <f aca="false">SUMPRODUCT(TableDE5a!B90:B99,TableDE5a!K90:K99)/SUM(TableDE5a!B90:B99)</f>
        <v>0.0513059647952329</v>
      </c>
      <c r="J43" s="476" t="n">
        <f aca="false">PRODUCT(TableDE5a!AD91:AD100)^(1/10)-1</f>
        <v>0.0298692432136711</v>
      </c>
      <c r="K43" s="694" t="n">
        <f aca="false">PRODUCT(TableDE5a!AE91:AE100)^(1/10)-1</f>
        <v>0.0442511746058998</v>
      </c>
      <c r="N43" s="684" t="n">
        <f aca="false">C43-((1+F43)*(1+H43)*(1+G43)-1)</f>
        <v>0</v>
      </c>
      <c r="O43" s="684" t="n">
        <f aca="false">C43-((1+J43)*(1+K43)-1)</f>
        <v>0</v>
      </c>
      <c r="P43" s="685" t="n">
        <f aca="false">TableDE3c!B41-B43</f>
        <v>0</v>
      </c>
    </row>
    <row r="44" customFormat="false" ht="15" hidden="false" customHeight="false" outlineLevel="0" collapsed="false">
      <c r="A44" s="339"/>
      <c r="B44" s="340"/>
      <c r="C44" s="476"/>
      <c r="D44" s="692"/>
      <c r="E44" s="476"/>
      <c r="F44" s="686" t="n">
        <f aca="false">F43/($F43+$G43+$H43)</f>
        <v>1.1917170831536</v>
      </c>
      <c r="G44" s="652" t="n">
        <f aca="false">G43/($F43+$G43+$H43)</f>
        <v>0</v>
      </c>
      <c r="H44" s="652" t="n">
        <f aca="false">H43/($F43+$G43+$H43)</f>
        <v>-0.191717083153599</v>
      </c>
      <c r="I44" s="654"/>
      <c r="J44" s="652" t="n">
        <f aca="false">J43/($J43+$K43)</f>
        <v>0.402982661085113</v>
      </c>
      <c r="K44" s="655" t="n">
        <f aca="false">K43/($J43+$K43)</f>
        <v>0.597017338914887</v>
      </c>
      <c r="N44" s="684"/>
      <c r="O44" s="684"/>
      <c r="P44" s="685"/>
    </row>
    <row r="45" customFormat="false" ht="15" hidden="true" customHeight="false" outlineLevel="0" collapsed="false">
      <c r="A45" s="339"/>
      <c r="B45" s="340"/>
      <c r="C45" s="476"/>
      <c r="D45" s="692"/>
      <c r="E45" s="476"/>
      <c r="F45" s="693"/>
      <c r="G45" s="476"/>
      <c r="H45" s="476"/>
      <c r="I45" s="692"/>
      <c r="J45" s="476"/>
      <c r="K45" s="694"/>
      <c r="N45" s="684"/>
      <c r="O45" s="684"/>
      <c r="P45" s="685"/>
    </row>
    <row r="46" customFormat="false" ht="15" hidden="true" customHeight="false" outlineLevel="0" collapsed="false">
      <c r="A46" s="339"/>
      <c r="B46" s="340"/>
      <c r="C46" s="476"/>
      <c r="D46" s="692"/>
      <c r="E46" s="476"/>
      <c r="F46" s="693"/>
      <c r="G46" s="476"/>
      <c r="H46" s="476"/>
      <c r="I46" s="692"/>
      <c r="J46" s="476"/>
      <c r="K46" s="694"/>
      <c r="N46" s="684"/>
      <c r="O46" s="684"/>
      <c r="P46" s="685"/>
    </row>
    <row r="47" customFormat="false" ht="15" hidden="true" customHeight="false" outlineLevel="0" collapsed="false">
      <c r="A47" s="339"/>
      <c r="B47" s="340"/>
      <c r="C47" s="476"/>
      <c r="D47" s="692"/>
      <c r="E47" s="476"/>
      <c r="F47" s="693"/>
      <c r="G47" s="476"/>
      <c r="H47" s="476"/>
      <c r="I47" s="692"/>
      <c r="J47" s="476"/>
      <c r="K47" s="694"/>
      <c r="N47" s="684"/>
      <c r="O47" s="684"/>
      <c r="P47" s="685"/>
    </row>
    <row r="48" customFormat="false" ht="15" hidden="true" customHeight="false" outlineLevel="0" collapsed="false">
      <c r="A48" s="339"/>
      <c r="B48" s="340"/>
      <c r="C48" s="476"/>
      <c r="D48" s="692"/>
      <c r="E48" s="476"/>
      <c r="F48" s="693"/>
      <c r="G48" s="476"/>
      <c r="H48" s="476"/>
      <c r="I48" s="692"/>
      <c r="J48" s="476"/>
      <c r="K48" s="694"/>
      <c r="N48" s="684"/>
      <c r="O48" s="684"/>
      <c r="P48" s="685"/>
    </row>
    <row r="49" customFormat="false" ht="15" hidden="true" customHeight="false" outlineLevel="0" collapsed="false">
      <c r="A49" s="339"/>
      <c r="B49" s="340"/>
      <c r="C49" s="476"/>
      <c r="D49" s="692"/>
      <c r="E49" s="476"/>
      <c r="F49" s="693"/>
      <c r="G49" s="476"/>
      <c r="H49" s="476"/>
      <c r="I49" s="692"/>
      <c r="J49" s="476"/>
      <c r="K49" s="694"/>
      <c r="N49" s="684"/>
      <c r="O49" s="684"/>
      <c r="P49" s="685"/>
    </row>
    <row r="50" customFormat="false" ht="15" hidden="true" customHeight="false" outlineLevel="0" collapsed="false">
      <c r="A50" s="339"/>
      <c r="B50" s="340"/>
      <c r="C50" s="476"/>
      <c r="D50" s="692"/>
      <c r="E50" s="476"/>
      <c r="F50" s="693"/>
      <c r="G50" s="476"/>
      <c r="H50" s="476"/>
      <c r="I50" s="692"/>
      <c r="J50" s="476"/>
      <c r="K50" s="694"/>
      <c r="N50" s="684"/>
      <c r="O50" s="684"/>
      <c r="P50" s="685"/>
    </row>
    <row r="51" customFormat="false" ht="15" hidden="true" customHeight="false" outlineLevel="0" collapsed="false">
      <c r="A51" s="345"/>
      <c r="B51" s="335"/>
      <c r="C51" s="337"/>
      <c r="D51" s="653"/>
      <c r="E51" s="475"/>
      <c r="F51" s="695"/>
      <c r="G51" s="294"/>
      <c r="H51" s="696"/>
      <c r="I51" s="294"/>
      <c r="J51" s="294"/>
      <c r="K51" s="295"/>
      <c r="N51" s="684"/>
      <c r="P51" s="685"/>
    </row>
    <row r="52" customFormat="false" ht="4.75" hidden="false" customHeight="true" outlineLevel="0" collapsed="false">
      <c r="A52" s="315"/>
      <c r="B52" s="316"/>
      <c r="C52" s="473"/>
      <c r="D52" s="648"/>
      <c r="E52" s="473"/>
      <c r="F52" s="688"/>
      <c r="G52" s="473"/>
      <c r="H52" s="473"/>
      <c r="I52" s="648"/>
      <c r="J52" s="473"/>
      <c r="K52" s="649"/>
      <c r="N52" s="684"/>
      <c r="P52" s="685"/>
    </row>
    <row r="53" customFormat="false" ht="15" hidden="false" customHeight="false" outlineLevel="0" collapsed="false">
      <c r="A53" s="339" t="s">
        <v>84</v>
      </c>
      <c r="B53" s="340" t="n">
        <f aca="false">PRODUCT(TableDE5a!Y101:Y110)^(1/10)-1</f>
        <v>0.0415703583628873</v>
      </c>
      <c r="C53" s="476" t="n">
        <f aca="false">PRODUCT(TableDE5a!Z101:Z110)^(1/10)-1</f>
        <v>0.0697592558094344</v>
      </c>
      <c r="D53" s="692" t="n">
        <f aca="false">SUMPRODUCT(TableDE5a!$B100:$B109,TableDE5a!G100:G109)/SUM(TableDE5a!$B100:$B109)</f>
        <v>0.159396213708204</v>
      </c>
      <c r="E53" s="476" t="n">
        <f aca="false">SUMPRODUCT(TableDE5a!$B100:$B109,TableDE5a!O100:O109)/SUM(TableDE5a!$B100:$B109)</f>
        <v>0</v>
      </c>
      <c r="F53" s="693" t="n">
        <f aca="false">PRODUCT(TableDE5a!AA101:AA110)^(1/10)-1</f>
        <v>0.0772404536655071</v>
      </c>
      <c r="G53" s="476" t="n">
        <f aca="false">PRODUCT(TableDE5a!AC101:AC110)^(1/10)-1</f>
        <v>0</v>
      </c>
      <c r="H53" s="476" t="n">
        <f aca="false">PRODUCT(TableDE5a!AB101:AB110)^(1/10)-1</f>
        <v>-0.00694477990556031</v>
      </c>
      <c r="I53" s="692" t="n">
        <f aca="false">SUMPRODUCT(TableDE5a!B100:B109,TableDE5a!K100:K109)/SUM(TableDE5a!B100:B109)</f>
        <v>0.0808734743932928</v>
      </c>
      <c r="J53" s="476" t="n">
        <f aca="false">PRODUCT(TableDE5a!AD101:AD110)^(1/10)-1</f>
        <v>0.037910935268882</v>
      </c>
      <c r="K53" s="694" t="n">
        <f aca="false">PRODUCT(TableDE5a!AE101:AE110)^(1/10)-1</f>
        <v>0.0306850226337596</v>
      </c>
      <c r="N53" s="684" t="n">
        <f aca="false">C53-((1+F53)*(1+H53)*(1+G53)-1)</f>
        <v>0</v>
      </c>
      <c r="O53" s="684" t="n">
        <f aca="false">C53-((1+J53)*(1+K53)-1)</f>
        <v>0</v>
      </c>
      <c r="P53" s="685" t="n">
        <f aca="false">TableDE3c!B51-B53</f>
        <v>0</v>
      </c>
    </row>
    <row r="54" customFormat="false" ht="15" hidden="true" customHeight="false" outlineLevel="0" collapsed="false">
      <c r="A54" s="339"/>
      <c r="B54" s="340"/>
      <c r="C54" s="476"/>
      <c r="D54" s="692"/>
      <c r="E54" s="476"/>
      <c r="F54" s="693"/>
      <c r="G54" s="476"/>
      <c r="H54" s="476"/>
      <c r="I54" s="692"/>
      <c r="J54" s="476"/>
      <c r="K54" s="694"/>
      <c r="N54" s="684"/>
      <c r="O54" s="684"/>
      <c r="P54" s="685"/>
    </row>
    <row r="55" customFormat="false" ht="15" hidden="true" customHeight="false" outlineLevel="0" collapsed="false">
      <c r="A55" s="339"/>
      <c r="B55" s="340"/>
      <c r="C55" s="476"/>
      <c r="D55" s="692"/>
      <c r="E55" s="476"/>
      <c r="F55" s="693"/>
      <c r="G55" s="476"/>
      <c r="H55" s="476"/>
      <c r="I55" s="692"/>
      <c r="J55" s="476"/>
      <c r="K55" s="694"/>
      <c r="N55" s="684"/>
      <c r="O55" s="684"/>
      <c r="P55" s="685"/>
    </row>
    <row r="56" customFormat="false" ht="15" hidden="true" customHeight="false" outlineLevel="0" collapsed="false">
      <c r="A56" s="339"/>
      <c r="B56" s="340"/>
      <c r="C56" s="476"/>
      <c r="D56" s="692"/>
      <c r="E56" s="476"/>
      <c r="F56" s="693"/>
      <c r="G56" s="476"/>
      <c r="H56" s="476"/>
      <c r="I56" s="692"/>
      <c r="J56" s="476"/>
      <c r="K56" s="694"/>
      <c r="N56" s="684"/>
      <c r="O56" s="684"/>
      <c r="P56" s="685"/>
    </row>
    <row r="57" customFormat="false" ht="15" hidden="true" customHeight="false" outlineLevel="0" collapsed="false">
      <c r="A57" s="339"/>
      <c r="B57" s="340"/>
      <c r="C57" s="476"/>
      <c r="D57" s="692"/>
      <c r="E57" s="476"/>
      <c r="F57" s="693"/>
      <c r="G57" s="476"/>
      <c r="H57" s="476"/>
      <c r="I57" s="692"/>
      <c r="J57" s="476"/>
      <c r="K57" s="694"/>
      <c r="N57" s="684"/>
      <c r="O57" s="684"/>
      <c r="P57" s="685"/>
    </row>
    <row r="58" customFormat="false" ht="15" hidden="true" customHeight="false" outlineLevel="0" collapsed="false">
      <c r="A58" s="339"/>
      <c r="B58" s="340"/>
      <c r="C58" s="476"/>
      <c r="D58" s="692"/>
      <c r="E58" s="476"/>
      <c r="F58" s="693"/>
      <c r="G58" s="476"/>
      <c r="H58" s="476"/>
      <c r="I58" s="692"/>
      <c r="J58" s="476"/>
      <c r="K58" s="694"/>
      <c r="N58" s="684"/>
      <c r="O58" s="684"/>
      <c r="P58" s="685"/>
    </row>
    <row r="59" customFormat="false" ht="15" hidden="true" customHeight="false" outlineLevel="0" collapsed="false">
      <c r="A59" s="339"/>
      <c r="B59" s="340"/>
      <c r="C59" s="476"/>
      <c r="D59" s="692"/>
      <c r="E59" s="476"/>
      <c r="F59" s="693"/>
      <c r="G59" s="476"/>
      <c r="H59" s="476"/>
      <c r="I59" s="692"/>
      <c r="J59" s="476"/>
      <c r="K59" s="694"/>
      <c r="N59" s="684"/>
      <c r="O59" s="684"/>
      <c r="P59" s="685"/>
    </row>
    <row r="60" customFormat="false" ht="15" hidden="true" customHeight="false" outlineLevel="0" collapsed="false">
      <c r="A60" s="339"/>
      <c r="B60" s="340"/>
      <c r="C60" s="476"/>
      <c r="D60" s="692"/>
      <c r="E60" s="476"/>
      <c r="F60" s="693"/>
      <c r="G60" s="476"/>
      <c r="H60" s="476"/>
      <c r="I60" s="692"/>
      <c r="J60" s="476"/>
      <c r="K60" s="694"/>
      <c r="N60" s="684"/>
      <c r="O60" s="684"/>
      <c r="P60" s="685"/>
    </row>
    <row r="61" customFormat="false" ht="15" hidden="false" customHeight="false" outlineLevel="0" collapsed="false">
      <c r="A61" s="345"/>
      <c r="B61" s="335"/>
      <c r="C61" s="337"/>
      <c r="D61" s="653"/>
      <c r="E61" s="475"/>
      <c r="F61" s="686" t="n">
        <f aca="false">F53/($F53+$G53+$H53)</f>
        <v>1.09879384511309</v>
      </c>
      <c r="G61" s="652" t="n">
        <f aca="false">G53/($F53+$G53+$H53)</f>
        <v>0</v>
      </c>
      <c r="H61" s="652" t="n">
        <f aca="false">H53/($F53+$G53+$H53)</f>
        <v>-0.0987938451130874</v>
      </c>
      <c r="I61" s="654"/>
      <c r="J61" s="652" t="n">
        <f aca="false">J53/($J53+$K53)</f>
        <v>0.552670105178633</v>
      </c>
      <c r="K61" s="655" t="n">
        <f aca="false">K53/($J53+$K53)</f>
        <v>0.447329894821367</v>
      </c>
      <c r="N61" s="684"/>
      <c r="P61" s="685"/>
    </row>
    <row r="62" customFormat="false" ht="4.75" hidden="false" customHeight="true" outlineLevel="0" collapsed="false">
      <c r="A62" s="315"/>
      <c r="B62" s="346"/>
      <c r="C62" s="473"/>
      <c r="D62" s="648"/>
      <c r="E62" s="473"/>
      <c r="F62" s="688"/>
      <c r="G62" s="473"/>
      <c r="H62" s="473"/>
      <c r="I62" s="648"/>
      <c r="J62" s="473"/>
      <c r="K62" s="649"/>
      <c r="N62" s="684"/>
      <c r="P62" s="685"/>
    </row>
    <row r="63" customFormat="false" ht="15" hidden="false" customHeight="false" outlineLevel="0" collapsed="false">
      <c r="A63" s="339" t="s">
        <v>85</v>
      </c>
      <c r="B63" s="340" t="n">
        <f aca="false">PRODUCT(TableDE5a!Y111:Y120)^(1/10)-1</f>
        <v>0.0265240442255243</v>
      </c>
      <c r="C63" s="476" t="n">
        <f aca="false">PRODUCT(TableDE5a!Z111:Z120)^(1/10)-1</f>
        <v>0.0386072529510715</v>
      </c>
      <c r="D63" s="692" t="n">
        <f aca="false">SUMPRODUCT(TableDE5a!$B110:$B119,TableDE5a!G110:G119)/SUM(TableDE5a!$B110:$B119)</f>
        <v>0.140280466983917</v>
      </c>
      <c r="E63" s="476" t="n">
        <f aca="false">SUMPRODUCT(TableDE5a!$B110:$B119,TableDE5a!O110:O119)/SUM(TableDE5a!$B110:$B119)</f>
        <v>0</v>
      </c>
      <c r="F63" s="693" t="n">
        <f aca="false">PRODUCT(TableDE5a!AA111:AA120)^(1/10)-1</f>
        <v>0.0617096366018373</v>
      </c>
      <c r="G63" s="476" t="n">
        <f aca="false">PRODUCT(TableDE5a!AC111:AC120)^(1/10)-1</f>
        <v>0</v>
      </c>
      <c r="H63" s="476" t="n">
        <f aca="false">PRODUCT(TableDE5a!AB111:AB120)^(1/10)-1</f>
        <v>-0.0217596062561025</v>
      </c>
      <c r="I63" s="692" t="n">
        <f aca="false">SUMPRODUCT(TableDE5a!B110:B119,TableDE5a!K110:K119)/SUM(TableDE5a!B110:B119)</f>
        <v>0.104753011112393</v>
      </c>
      <c r="J63" s="476" t="n">
        <f aca="false">PRODUCT(TableDE5a!AD111:AD120)^(1/10)-1</f>
        <v>0.0458624912976995</v>
      </c>
      <c r="K63" s="694" t="n">
        <f aca="false">PRODUCT(TableDE5a!AE111:AE120)^(1/10)-1</f>
        <v>-0.00693708628715206</v>
      </c>
      <c r="N63" s="684" t="n">
        <f aca="false">C63-((1+F63)*(1+H63)*(1+G63)-1)</f>
        <v>-2.22044604925031E-016</v>
      </c>
      <c r="O63" s="684" t="n">
        <f aca="false">C63-((1+J63)*(1+K63)-1)</f>
        <v>0</v>
      </c>
      <c r="P63" s="685" t="n">
        <f aca="false">TableDE3c!B61-B63</f>
        <v>0</v>
      </c>
    </row>
    <row r="64" customFormat="false" ht="15" hidden="true" customHeight="false" outlineLevel="0" collapsed="false">
      <c r="A64" s="339"/>
      <c r="B64" s="340"/>
      <c r="C64" s="476"/>
      <c r="D64" s="692"/>
      <c r="E64" s="476"/>
      <c r="F64" s="693"/>
      <c r="G64" s="476"/>
      <c r="H64" s="476"/>
      <c r="I64" s="692"/>
      <c r="J64" s="476"/>
      <c r="K64" s="694"/>
      <c r="N64" s="684"/>
      <c r="O64" s="684"/>
      <c r="P64" s="685"/>
    </row>
    <row r="65" customFormat="false" ht="15" hidden="true" customHeight="false" outlineLevel="0" collapsed="false">
      <c r="A65" s="339"/>
      <c r="B65" s="340"/>
      <c r="C65" s="476"/>
      <c r="D65" s="692"/>
      <c r="E65" s="476"/>
      <c r="F65" s="693"/>
      <c r="G65" s="476"/>
      <c r="H65" s="476"/>
      <c r="I65" s="692"/>
      <c r="J65" s="476"/>
      <c r="K65" s="694"/>
      <c r="N65" s="684"/>
      <c r="O65" s="684"/>
      <c r="P65" s="685"/>
    </row>
    <row r="66" customFormat="false" ht="15" hidden="true" customHeight="false" outlineLevel="0" collapsed="false">
      <c r="A66" s="339"/>
      <c r="B66" s="340"/>
      <c r="C66" s="476"/>
      <c r="D66" s="692"/>
      <c r="E66" s="476"/>
      <c r="F66" s="693"/>
      <c r="G66" s="476"/>
      <c r="H66" s="476"/>
      <c r="I66" s="692"/>
      <c r="J66" s="476"/>
      <c r="K66" s="694"/>
      <c r="N66" s="684"/>
      <c r="O66" s="684"/>
      <c r="P66" s="685"/>
    </row>
    <row r="67" customFormat="false" ht="15" hidden="true" customHeight="false" outlineLevel="0" collapsed="false">
      <c r="A67" s="339"/>
      <c r="B67" s="340"/>
      <c r="C67" s="476"/>
      <c r="D67" s="692"/>
      <c r="E67" s="476"/>
      <c r="F67" s="693"/>
      <c r="G67" s="476"/>
      <c r="H67" s="476"/>
      <c r="I67" s="692"/>
      <c r="J67" s="476"/>
      <c r="K67" s="694"/>
      <c r="N67" s="684"/>
      <c r="O67" s="684"/>
      <c r="P67" s="685"/>
    </row>
    <row r="68" customFormat="false" ht="15" hidden="true" customHeight="false" outlineLevel="0" collapsed="false">
      <c r="A68" s="339"/>
      <c r="B68" s="340"/>
      <c r="C68" s="476"/>
      <c r="D68" s="692"/>
      <c r="E68" s="476"/>
      <c r="F68" s="693"/>
      <c r="G68" s="476"/>
      <c r="H68" s="476"/>
      <c r="I68" s="692"/>
      <c r="J68" s="476"/>
      <c r="K68" s="694"/>
      <c r="N68" s="684"/>
      <c r="O68" s="684"/>
      <c r="P68" s="685"/>
    </row>
    <row r="69" customFormat="false" ht="15" hidden="true" customHeight="false" outlineLevel="0" collapsed="false">
      <c r="A69" s="339"/>
      <c r="B69" s="340"/>
      <c r="C69" s="476"/>
      <c r="D69" s="692"/>
      <c r="E69" s="476"/>
      <c r="F69" s="693"/>
      <c r="G69" s="476"/>
      <c r="H69" s="476"/>
      <c r="I69" s="692"/>
      <c r="J69" s="476"/>
      <c r="K69" s="694"/>
      <c r="N69" s="684"/>
      <c r="O69" s="684"/>
      <c r="P69" s="685"/>
    </row>
    <row r="70" customFormat="false" ht="15" hidden="true" customHeight="false" outlineLevel="0" collapsed="false">
      <c r="A70" s="339"/>
      <c r="B70" s="340"/>
      <c r="C70" s="476"/>
      <c r="D70" s="692"/>
      <c r="E70" s="476"/>
      <c r="F70" s="693"/>
      <c r="G70" s="476"/>
      <c r="H70" s="476"/>
      <c r="I70" s="692"/>
      <c r="J70" s="476"/>
      <c r="K70" s="694"/>
      <c r="N70" s="684"/>
      <c r="O70" s="684"/>
      <c r="P70" s="685"/>
    </row>
    <row r="71" customFormat="false" ht="15" hidden="false" customHeight="false" outlineLevel="0" collapsed="false">
      <c r="A71" s="345"/>
      <c r="B71" s="335"/>
      <c r="C71" s="337"/>
      <c r="D71" s="653"/>
      <c r="E71" s="475"/>
      <c r="F71" s="686" t="n">
        <f aca="false">F63/($F63+$G63+$H63)</f>
        <v>1.54467058141861</v>
      </c>
      <c r="G71" s="652" t="n">
        <f aca="false">G63/($F63+$G63+$H63)</f>
        <v>0</v>
      </c>
      <c r="H71" s="652" t="n">
        <f aca="false">H63/($F63+$G63+$H63)</f>
        <v>-0.544670581418612</v>
      </c>
      <c r="I71" s="654"/>
      <c r="J71" s="652" t="n">
        <f aca="false">J63/($J63+$K63)</f>
        <v>1.17821487754006</v>
      </c>
      <c r="K71" s="655" t="n">
        <f aca="false">K63/($J63+$K63)</f>
        <v>-0.178214877540063</v>
      </c>
      <c r="N71" s="684"/>
      <c r="P71" s="685"/>
    </row>
    <row r="72" customFormat="false" ht="4.75" hidden="false" customHeight="true" outlineLevel="0" collapsed="false">
      <c r="A72" s="315"/>
      <c r="B72" s="316"/>
      <c r="C72" s="473"/>
      <c r="D72" s="648"/>
      <c r="E72" s="473"/>
      <c r="F72" s="688"/>
      <c r="G72" s="473"/>
      <c r="H72" s="473"/>
      <c r="I72" s="648"/>
      <c r="J72" s="473"/>
      <c r="K72" s="649"/>
      <c r="N72" s="684"/>
      <c r="P72" s="685"/>
    </row>
    <row r="73" customFormat="false" ht="15" hidden="false" customHeight="false" outlineLevel="0" collapsed="false">
      <c r="A73" s="339" t="s">
        <v>86</v>
      </c>
      <c r="B73" s="340" t="n">
        <f aca="false">PRODUCT(TableDE5a!Y121:Y130)^(1/10)-1</f>
        <v>0.02327562688148</v>
      </c>
      <c r="C73" s="476" t="n">
        <f aca="false">PRODUCT(TableDE5a!Z121:Z130)^(1/10)-1</f>
        <v>0.0385405119806836</v>
      </c>
      <c r="D73" s="692" t="n">
        <f aca="false">SUMPRODUCT(TableDE5a!$B120:$B129,TableDE5a!G120:G129)/SUM(TableDE5a!$B120:$B129)</f>
        <v>0.11630993711933</v>
      </c>
      <c r="E73" s="476" t="n">
        <f aca="false">SUMPRODUCT(TableDE5a!$B120:$B129,TableDE5a!O120:O129)/SUM(TableDE5a!$B120:$B129)</f>
        <v>0</v>
      </c>
      <c r="F73" s="693" t="n">
        <f aca="false">PRODUCT(TableDE5a!AA121:AA130)^(1/10)-1</f>
        <v>0.0407084282843668</v>
      </c>
      <c r="G73" s="476" t="n">
        <f aca="false">PRODUCT(TableDE5a!AC121:AC130)^(1/10)-1</f>
        <v>0</v>
      </c>
      <c r="H73" s="476" t="n">
        <f aca="false">PRODUCT(TableDE5a!AB121:AB130)^(1/10)-1</f>
        <v>-0.00208311592830757</v>
      </c>
      <c r="I73" s="692" t="n">
        <f aca="false">SUMPRODUCT(TableDE5a!B120:B129,TableDE5a!K120:K129)/SUM(TableDE5a!B120:B129)</f>
        <v>0.0979367833386267</v>
      </c>
      <c r="J73" s="476" t="n">
        <f aca="false">PRODUCT(TableDE5a!AD121:AD130)^(1/10)-1</f>
        <v>0.0346808522182049</v>
      </c>
      <c r="K73" s="694" t="n">
        <f aca="false">PRODUCT(TableDE5a!AE121:AE130)^(1/10)-1</f>
        <v>0.00373029012202553</v>
      </c>
      <c r="N73" s="684" t="n">
        <f aca="false">C73-((1+F73)*(1+H73)*(1+G73)-1)</f>
        <v>0</v>
      </c>
      <c r="O73" s="684" t="n">
        <f aca="false">C73-((1+J73)*(1+K73)-1)</f>
        <v>2.22044604925031E-016</v>
      </c>
      <c r="P73" s="685" t="n">
        <f aca="false">TableDE3c!B71-B73</f>
        <v>0</v>
      </c>
    </row>
    <row r="74" customFormat="false" ht="15" hidden="true" customHeight="false" outlineLevel="0" collapsed="false">
      <c r="A74" s="339"/>
      <c r="B74" s="340"/>
      <c r="C74" s="476"/>
      <c r="D74" s="692"/>
      <c r="E74" s="476"/>
      <c r="F74" s="693"/>
      <c r="G74" s="476"/>
      <c r="H74" s="476"/>
      <c r="I74" s="692"/>
      <c r="J74" s="476"/>
      <c r="K74" s="694"/>
      <c r="N74" s="684"/>
      <c r="O74" s="684"/>
      <c r="P74" s="685"/>
    </row>
    <row r="75" customFormat="false" ht="15" hidden="true" customHeight="false" outlineLevel="0" collapsed="false">
      <c r="A75" s="339"/>
      <c r="B75" s="340"/>
      <c r="C75" s="476"/>
      <c r="D75" s="692"/>
      <c r="E75" s="476"/>
      <c r="F75" s="693"/>
      <c r="G75" s="476"/>
      <c r="H75" s="476"/>
      <c r="I75" s="692"/>
      <c r="J75" s="476"/>
      <c r="K75" s="694"/>
      <c r="N75" s="684"/>
      <c r="O75" s="684"/>
      <c r="P75" s="685"/>
    </row>
    <row r="76" customFormat="false" ht="15" hidden="true" customHeight="false" outlineLevel="0" collapsed="false">
      <c r="A76" s="339"/>
      <c r="B76" s="340"/>
      <c r="C76" s="476"/>
      <c r="D76" s="692"/>
      <c r="E76" s="476"/>
      <c r="F76" s="693"/>
      <c r="G76" s="476"/>
      <c r="H76" s="476"/>
      <c r="I76" s="692"/>
      <c r="J76" s="476"/>
      <c r="K76" s="694"/>
      <c r="N76" s="684"/>
      <c r="O76" s="684"/>
      <c r="P76" s="685"/>
    </row>
    <row r="77" customFormat="false" ht="15" hidden="true" customHeight="false" outlineLevel="0" collapsed="false">
      <c r="A77" s="339"/>
      <c r="B77" s="340"/>
      <c r="C77" s="476"/>
      <c r="D77" s="692"/>
      <c r="E77" s="476"/>
      <c r="F77" s="693"/>
      <c r="G77" s="476"/>
      <c r="H77" s="476"/>
      <c r="I77" s="692"/>
      <c r="J77" s="476"/>
      <c r="K77" s="694"/>
      <c r="N77" s="684"/>
      <c r="O77" s="684"/>
      <c r="P77" s="685"/>
    </row>
    <row r="78" customFormat="false" ht="15" hidden="true" customHeight="false" outlineLevel="0" collapsed="false">
      <c r="A78" s="339"/>
      <c r="B78" s="340"/>
      <c r="C78" s="476"/>
      <c r="D78" s="692"/>
      <c r="E78" s="476"/>
      <c r="F78" s="693"/>
      <c r="G78" s="476"/>
      <c r="H78" s="476"/>
      <c r="I78" s="692"/>
      <c r="J78" s="476"/>
      <c r="K78" s="694"/>
      <c r="N78" s="684"/>
      <c r="O78" s="684"/>
      <c r="P78" s="685"/>
    </row>
    <row r="79" customFormat="false" ht="15" hidden="true" customHeight="false" outlineLevel="0" collapsed="false">
      <c r="A79" s="339"/>
      <c r="B79" s="340"/>
      <c r="C79" s="476"/>
      <c r="D79" s="692"/>
      <c r="E79" s="476"/>
      <c r="F79" s="693"/>
      <c r="G79" s="476"/>
      <c r="H79" s="476"/>
      <c r="I79" s="692"/>
      <c r="J79" s="476"/>
      <c r="K79" s="694"/>
      <c r="N79" s="684"/>
      <c r="O79" s="684"/>
      <c r="P79" s="685"/>
    </row>
    <row r="80" customFormat="false" ht="15" hidden="true" customHeight="false" outlineLevel="0" collapsed="false">
      <c r="A80" s="339"/>
      <c r="B80" s="340"/>
      <c r="C80" s="476"/>
      <c r="D80" s="692"/>
      <c r="E80" s="476"/>
      <c r="F80" s="693"/>
      <c r="G80" s="476"/>
      <c r="H80" s="476"/>
      <c r="I80" s="692"/>
      <c r="J80" s="476"/>
      <c r="K80" s="694"/>
      <c r="N80" s="684"/>
      <c r="O80" s="684"/>
      <c r="P80" s="685"/>
    </row>
    <row r="81" customFormat="false" ht="15" hidden="false" customHeight="false" outlineLevel="0" collapsed="false">
      <c r="A81" s="345"/>
      <c r="B81" s="335"/>
      <c r="C81" s="337"/>
      <c r="D81" s="653"/>
      <c r="E81" s="475"/>
      <c r="F81" s="686" t="n">
        <f aca="false">F73/($F73+$G73+$H73)</f>
        <v>1.05393136783218</v>
      </c>
      <c r="G81" s="652" t="n">
        <f aca="false">G73/($F73+$G73+$H73)</f>
        <v>0</v>
      </c>
      <c r="H81" s="652" t="n">
        <f aca="false">H73/($F73+$G73+$H73)</f>
        <v>-0.0539313678321823</v>
      </c>
      <c r="I81" s="654"/>
      <c r="J81" s="652" t="n">
        <f aca="false">J73/($J73+$K73)</f>
        <v>0.902885207396747</v>
      </c>
      <c r="K81" s="655" t="n">
        <f aca="false">K73/($J73+$K73)</f>
        <v>0.0971147926032534</v>
      </c>
      <c r="N81" s="684"/>
      <c r="P81" s="685"/>
    </row>
    <row r="82" customFormat="false" ht="4.75" hidden="false" customHeight="true" outlineLevel="0" collapsed="false">
      <c r="A82" s="315"/>
      <c r="B82" s="316"/>
      <c r="C82" s="473"/>
      <c r="D82" s="648"/>
      <c r="E82" s="473"/>
      <c r="F82" s="688"/>
      <c r="G82" s="473"/>
      <c r="H82" s="473"/>
      <c r="I82" s="648"/>
      <c r="J82" s="473"/>
      <c r="K82" s="649"/>
      <c r="N82" s="684"/>
      <c r="P82" s="685"/>
    </row>
    <row r="83" customFormat="false" ht="15" hidden="false" customHeight="false" outlineLevel="0" collapsed="false">
      <c r="A83" s="339" t="s">
        <v>87</v>
      </c>
      <c r="B83" s="340" t="n">
        <f aca="false">PRODUCT(TableDE5a!Y131:Y140)^(1/10)-1</f>
        <v>0.0164238332375164</v>
      </c>
      <c r="C83" s="476" t="n">
        <f aca="false">PRODUCT(TableDE5a!Z131:Z140)^(1/10)-1</f>
        <v>0.0364321223726778</v>
      </c>
      <c r="D83" s="692" t="n">
        <f aca="false">SUMPRODUCT(TableDE5a!$B130:$B139,TableDE5a!G130:G139)/SUM(TableDE5a!$B130:$B139)</f>
        <v>0.119488500684565</v>
      </c>
      <c r="E83" s="476" t="n">
        <f aca="false">SUMPRODUCT(TableDE5a!$B130:$B139,TableDE5a!O130:O139)/SUM(TableDE5a!$B130:$B139)</f>
        <v>0</v>
      </c>
      <c r="F83" s="693" t="n">
        <f aca="false">PRODUCT(TableDE5a!AA131:AA140)^(1/10)-1</f>
        <v>0.0385888998814199</v>
      </c>
      <c r="G83" s="476" t="n">
        <f aca="false">PRODUCT(TableDE5a!AC131:AC140)^(1/10)-1</f>
        <v>0</v>
      </c>
      <c r="H83" s="476" t="n">
        <f aca="false">PRODUCT(TableDE5a!AB131:AB140)^(1/10)-1</f>
        <v>-0.00207664217188186</v>
      </c>
      <c r="I83" s="692" t="n">
        <f aca="false">SUMPRODUCT(TableDE5a!B130:B139,TableDE5a!K130:K139)/SUM(TableDE5a!B130:B139)</f>
        <v>0.0927424209820589</v>
      </c>
      <c r="J83" s="476" t="n">
        <f aca="false">PRODUCT(TableDE5a!AD131:AD140)^(1/10)-1</f>
        <v>0.0299134155222915</v>
      </c>
      <c r="K83" s="694" t="n">
        <f aca="false">PRODUCT(TableDE5a!AE131:AE140)^(1/10)-1</f>
        <v>0.00632937366592157</v>
      </c>
      <c r="L83" s="25"/>
      <c r="N83" s="684" t="n">
        <f aca="false">C83-((1+F83)*(1+H83)*(1+G83)-1)</f>
        <v>0</v>
      </c>
      <c r="O83" s="684" t="n">
        <f aca="false">C83-((1+J83)*(1+K83)-1)</f>
        <v>2.22044604925031E-016</v>
      </c>
      <c r="P83" s="685" t="n">
        <f aca="false">TableDE3c!B81-B83</f>
        <v>0</v>
      </c>
    </row>
    <row r="84" customFormat="false" ht="15" hidden="true" customHeight="false" outlineLevel="0" collapsed="false">
      <c r="A84" s="339"/>
      <c r="B84" s="340"/>
      <c r="C84" s="476"/>
      <c r="D84" s="692"/>
      <c r="E84" s="476"/>
      <c r="F84" s="693"/>
      <c r="G84" s="476"/>
      <c r="H84" s="476"/>
      <c r="I84" s="692"/>
      <c r="J84" s="476"/>
      <c r="K84" s="694"/>
      <c r="N84" s="684"/>
      <c r="P84" s="685"/>
    </row>
    <row r="85" customFormat="false" ht="15" hidden="true" customHeight="false" outlineLevel="0" collapsed="false">
      <c r="A85" s="339"/>
      <c r="B85" s="340"/>
      <c r="C85" s="476"/>
      <c r="D85" s="692"/>
      <c r="E85" s="476"/>
      <c r="F85" s="693"/>
      <c r="G85" s="476"/>
      <c r="H85" s="476"/>
      <c r="I85" s="692"/>
      <c r="J85" s="476"/>
      <c r="K85" s="694"/>
      <c r="N85" s="684"/>
      <c r="P85" s="685"/>
    </row>
    <row r="86" customFormat="false" ht="15" hidden="true" customHeight="false" outlineLevel="0" collapsed="false">
      <c r="A86" s="339"/>
      <c r="B86" s="340"/>
      <c r="C86" s="476"/>
      <c r="D86" s="692"/>
      <c r="E86" s="476"/>
      <c r="F86" s="693"/>
      <c r="G86" s="476"/>
      <c r="H86" s="476"/>
      <c r="I86" s="692"/>
      <c r="J86" s="476"/>
      <c r="K86" s="694"/>
      <c r="N86" s="684"/>
      <c r="P86" s="685"/>
    </row>
    <row r="87" customFormat="false" ht="15" hidden="true" customHeight="false" outlineLevel="0" collapsed="false">
      <c r="A87" s="339"/>
      <c r="B87" s="340"/>
      <c r="C87" s="476"/>
      <c r="D87" s="692"/>
      <c r="E87" s="476"/>
      <c r="F87" s="693"/>
      <c r="G87" s="476"/>
      <c r="H87" s="476"/>
      <c r="I87" s="692"/>
      <c r="J87" s="476"/>
      <c r="K87" s="694"/>
      <c r="N87" s="684"/>
      <c r="P87" s="685"/>
    </row>
    <row r="88" customFormat="false" ht="15" hidden="true" customHeight="false" outlineLevel="0" collapsed="false">
      <c r="A88" s="339"/>
      <c r="B88" s="340"/>
      <c r="C88" s="476"/>
      <c r="D88" s="692"/>
      <c r="E88" s="476"/>
      <c r="F88" s="693"/>
      <c r="G88" s="476"/>
      <c r="H88" s="476"/>
      <c r="I88" s="692"/>
      <c r="J88" s="476"/>
      <c r="K88" s="694"/>
      <c r="N88" s="684"/>
      <c r="P88" s="685"/>
    </row>
    <row r="89" customFormat="false" ht="15" hidden="true" customHeight="false" outlineLevel="0" collapsed="false">
      <c r="A89" s="339"/>
      <c r="B89" s="340"/>
      <c r="C89" s="476"/>
      <c r="D89" s="692"/>
      <c r="E89" s="476"/>
      <c r="F89" s="693"/>
      <c r="G89" s="476"/>
      <c r="H89" s="476"/>
      <c r="I89" s="692"/>
      <c r="J89" s="476"/>
      <c r="K89" s="694"/>
      <c r="N89" s="684"/>
      <c r="P89" s="685"/>
    </row>
    <row r="90" customFormat="false" ht="15" hidden="true" customHeight="false" outlineLevel="0" collapsed="false">
      <c r="A90" s="339"/>
      <c r="B90" s="340"/>
      <c r="C90" s="476"/>
      <c r="D90" s="692"/>
      <c r="E90" s="476"/>
      <c r="F90" s="693"/>
      <c r="G90" s="476"/>
      <c r="H90" s="476"/>
      <c r="I90" s="692"/>
      <c r="J90" s="476"/>
      <c r="K90" s="694"/>
      <c r="N90" s="684"/>
      <c r="P90" s="685"/>
    </row>
    <row r="91" customFormat="false" ht="15" hidden="false" customHeight="false" outlineLevel="0" collapsed="false">
      <c r="A91" s="345"/>
      <c r="B91" s="335"/>
      <c r="C91" s="337"/>
      <c r="D91" s="653"/>
      <c r="E91" s="475"/>
      <c r="F91" s="686" t="n">
        <f aca="false">F83/($F83+$G83+$H83)</f>
        <v>1.05687520581176</v>
      </c>
      <c r="G91" s="652" t="n">
        <f aca="false">G83/($F83+$G83+$H83)</f>
        <v>0</v>
      </c>
      <c r="H91" s="652" t="n">
        <f aca="false">H83/($F83+$G83+$H83)</f>
        <v>-0.0568752058117563</v>
      </c>
      <c r="I91" s="654"/>
      <c r="J91" s="652" t="n">
        <f aca="false">J83/($J83+$K83)</f>
        <v>0.825361849689538</v>
      </c>
      <c r="K91" s="655" t="n">
        <f aca="false">K83/($J83+$K83)</f>
        <v>0.174638150310463</v>
      </c>
      <c r="N91" s="684"/>
      <c r="P91" s="685"/>
    </row>
    <row r="92" customFormat="false" ht="4.75" hidden="false" customHeight="true" outlineLevel="0" collapsed="false">
      <c r="A92" s="315"/>
      <c r="B92" s="346"/>
      <c r="C92" s="473"/>
      <c r="D92" s="648"/>
      <c r="E92" s="473"/>
      <c r="F92" s="688"/>
      <c r="G92" s="473"/>
      <c r="H92" s="473"/>
      <c r="I92" s="648"/>
      <c r="J92" s="473"/>
      <c r="K92" s="649"/>
      <c r="N92" s="684"/>
      <c r="P92" s="685"/>
    </row>
    <row r="93" customFormat="false" ht="15" hidden="false" customHeight="false" outlineLevel="0" collapsed="false">
      <c r="A93" s="339" t="s">
        <v>88</v>
      </c>
      <c r="B93" s="340" t="n">
        <f aca="false">PRODUCT(TableDE5a!Y141:Y150)^(1/10)-1</f>
        <v>0.0121684303668048</v>
      </c>
      <c r="C93" s="476" t="n">
        <f aca="false">PRODUCT(TableDE5a!Z141:Z150)^(1/10)-1</f>
        <v>0.0268574659761713</v>
      </c>
      <c r="D93" s="692" t="n">
        <f aca="false">SUMPRODUCT(TableDE5a!$B140:$B149,TableDE5a!G140:G149)/SUM(TableDE5a!$B140:$B149)</f>
        <v>0.119123565047315</v>
      </c>
      <c r="E93" s="476" t="n">
        <f aca="false">SUMPRODUCT(TableDE5a!$B140:$B149,TableDE5a!O140:O149)/SUM(TableDE5a!$B140:$B149)</f>
        <v>0</v>
      </c>
      <c r="F93" s="693" t="n">
        <f aca="false">PRODUCT(TableDE5a!AA141:AA150)^(1/10)-1</f>
        <v>0.0314045535079812</v>
      </c>
      <c r="G93" s="476" t="n">
        <f aca="false">PRODUCT(TableDE5a!AC141:AC150)^(1/10)-1</f>
        <v>0</v>
      </c>
      <c r="H93" s="476" t="n">
        <f aca="false">PRODUCT(TableDE5a!AB141:AB150)^(1/10)-1</f>
        <v>-0.00440863627792254</v>
      </c>
      <c r="I93" s="692" t="n">
        <f aca="false">SUMPRODUCT(TableDE5a!B140:B149,TableDE5a!K140:K149)/SUM(TableDE5a!B140:B149)</f>
        <v>0.0850319608005713</v>
      </c>
      <c r="J93" s="476" t="n">
        <f aca="false">PRODUCT(TableDE5a!AD141:AD150)^(1/10)-1</f>
        <v>0.0225851851813061</v>
      </c>
      <c r="K93" s="694" t="n">
        <f aca="false">PRODUCT(TableDE5a!AE141:AE150)^(1/10)-1</f>
        <v>0.00417792166049025</v>
      </c>
      <c r="M93" s="25"/>
      <c r="N93" s="684" t="n">
        <f aca="false">C93-((1+F93)*(1+H93)*(1+G93)-1)</f>
        <v>0</v>
      </c>
      <c r="O93" s="684" t="n">
        <f aca="false">C93-((1+J93)*(1+K93)-1)</f>
        <v>-2.22044604925031E-016</v>
      </c>
      <c r="P93" s="685" t="n">
        <f aca="false">TableDE3c!B91-B93</f>
        <v>0</v>
      </c>
    </row>
    <row r="94" customFormat="false" ht="16" hidden="false" customHeight="false" outlineLevel="0" collapsed="false">
      <c r="A94" s="660"/>
      <c r="B94" s="477"/>
      <c r="C94" s="661"/>
      <c r="D94" s="697"/>
      <c r="E94" s="661"/>
      <c r="F94" s="698" t="n">
        <f aca="false">F93/($F93+$G93+$H93)</f>
        <v>1.16330751944275</v>
      </c>
      <c r="G94" s="699" t="n">
        <f aca="false">G93/($F93+$G93+$H93)</f>
        <v>0</v>
      </c>
      <c r="H94" s="699" t="n">
        <f aca="false">H93/($F93+$G93+$H93)</f>
        <v>-0.163307519442745</v>
      </c>
      <c r="I94" s="700"/>
      <c r="J94" s="699" t="n">
        <f aca="false">J93/(J93+K93)</f>
        <v>0.843892501525065</v>
      </c>
      <c r="K94" s="701" t="n">
        <f aca="false">K93/(J93+K93)</f>
        <v>0.156107498474935</v>
      </c>
      <c r="N94" s="684"/>
    </row>
    <row r="95" customFormat="false" ht="13" hidden="false" customHeight="false" outlineLevel="0" collapsed="false">
      <c r="B95" s="702"/>
      <c r="C95" s="702"/>
      <c r="D95" s="702"/>
      <c r="E95" s="702"/>
      <c r="F95" s="702"/>
      <c r="G95" s="702"/>
      <c r="H95" s="702"/>
      <c r="I95" s="702"/>
      <c r="J95" s="702"/>
      <c r="K95" s="702"/>
    </row>
    <row r="96" customFormat="false" ht="12" hidden="false" customHeight="false" outlineLevel="0" collapsed="false">
      <c r="B96" s="703"/>
      <c r="C96" s="702"/>
      <c r="D96" s="702"/>
      <c r="E96" s="702"/>
      <c r="F96" s="702"/>
      <c r="G96" s="702"/>
      <c r="H96" s="702"/>
      <c r="I96" s="702"/>
      <c r="J96" s="702"/>
      <c r="K96" s="702"/>
    </row>
    <row r="97" customFormat="false" ht="12" hidden="false" customHeight="false" outlineLevel="0" collapsed="false">
      <c r="B97" s="702"/>
      <c r="C97" s="702"/>
      <c r="D97" s="702"/>
      <c r="E97" s="702"/>
      <c r="F97" s="702"/>
      <c r="G97" s="702"/>
      <c r="H97" s="702"/>
      <c r="I97" s="702"/>
      <c r="J97" s="702"/>
      <c r="K97" s="702"/>
    </row>
    <row r="98" customFormat="false" ht="12" hidden="false" customHeight="false" outlineLevel="0" collapsed="false">
      <c r="B98" s="702"/>
      <c r="C98" s="702"/>
      <c r="D98" s="702"/>
      <c r="E98" s="702"/>
      <c r="F98" s="702"/>
      <c r="G98" s="702"/>
      <c r="H98" s="702"/>
      <c r="I98" s="702"/>
      <c r="J98" s="702"/>
      <c r="K98" s="702"/>
    </row>
    <row r="99" customFormat="false" ht="12" hidden="false" customHeight="false" outlineLevel="0" collapsed="false">
      <c r="B99" s="702"/>
      <c r="C99" s="702"/>
      <c r="D99" s="702"/>
      <c r="E99" s="702"/>
      <c r="F99" s="702"/>
      <c r="G99" s="702"/>
      <c r="H99" s="702"/>
      <c r="I99" s="702"/>
      <c r="J99" s="702"/>
      <c r="K99" s="702"/>
    </row>
    <row r="100" customFormat="false" ht="12" hidden="false" customHeight="false" outlineLevel="0" collapsed="false">
      <c r="B100" s="702"/>
      <c r="C100" s="702"/>
      <c r="D100" s="702"/>
      <c r="E100" s="702"/>
      <c r="F100" s="702"/>
      <c r="G100" s="702"/>
      <c r="H100" s="702"/>
      <c r="I100" s="702"/>
      <c r="J100" s="702"/>
      <c r="K100" s="702"/>
    </row>
    <row r="101" customFormat="false" ht="12" hidden="false" customHeight="false" outlineLevel="0" collapsed="false">
      <c r="B101" s="702"/>
      <c r="C101" s="702"/>
      <c r="D101" s="702"/>
      <c r="E101" s="702"/>
      <c r="F101" s="702"/>
      <c r="G101" s="702"/>
      <c r="H101" s="702"/>
      <c r="I101" s="702"/>
      <c r="J101" s="702"/>
      <c r="K101" s="702"/>
    </row>
    <row r="102" customFormat="false" ht="12" hidden="false" customHeight="false" outlineLevel="0" collapsed="false">
      <c r="B102" s="702"/>
      <c r="C102" s="702"/>
      <c r="D102" s="702"/>
      <c r="E102" s="702"/>
      <c r="F102" s="702"/>
      <c r="G102" s="702"/>
      <c r="H102" s="702"/>
      <c r="I102" s="702"/>
      <c r="J102" s="702"/>
      <c r="K102" s="702"/>
    </row>
    <row r="103" customFormat="false" ht="12" hidden="false" customHeight="false" outlineLevel="0" collapsed="false">
      <c r="B103" s="702"/>
      <c r="C103" s="702"/>
      <c r="D103" s="702"/>
      <c r="E103" s="702"/>
      <c r="F103" s="702"/>
      <c r="G103" s="702"/>
      <c r="H103" s="702"/>
      <c r="I103" s="702"/>
      <c r="J103" s="702"/>
      <c r="K103" s="702"/>
    </row>
    <row r="104" customFormat="false" ht="12" hidden="false" customHeight="false" outlineLevel="0" collapsed="false">
      <c r="B104" s="702"/>
      <c r="C104" s="702"/>
      <c r="D104" s="702"/>
      <c r="E104" s="702"/>
      <c r="F104" s="702"/>
      <c r="G104" s="702"/>
      <c r="H104" s="702"/>
      <c r="I104" s="702"/>
      <c r="J104" s="702"/>
      <c r="K104" s="702"/>
    </row>
    <row r="105" customFormat="false" ht="12" hidden="false" customHeight="false" outlineLevel="0" collapsed="false">
      <c r="B105" s="702"/>
      <c r="C105" s="702"/>
      <c r="D105" s="702"/>
      <c r="E105" s="702"/>
      <c r="F105" s="702"/>
      <c r="G105" s="702"/>
      <c r="H105" s="702"/>
      <c r="I105" s="702"/>
      <c r="J105" s="702"/>
      <c r="K105" s="702"/>
    </row>
    <row r="106" customFormat="false" ht="12" hidden="false" customHeight="false" outlineLevel="0" collapsed="false">
      <c r="B106" s="702"/>
      <c r="C106" s="702"/>
      <c r="D106" s="702"/>
      <c r="E106" s="702"/>
      <c r="F106" s="702"/>
      <c r="G106" s="702"/>
      <c r="H106" s="702"/>
      <c r="I106" s="702"/>
      <c r="J106" s="702"/>
      <c r="K106" s="702"/>
    </row>
    <row r="107" customFormat="false" ht="12" hidden="false" customHeight="false" outlineLevel="0" collapsed="false">
      <c r="B107" s="702"/>
      <c r="C107" s="702"/>
      <c r="D107" s="702"/>
      <c r="E107" s="702"/>
      <c r="F107" s="702"/>
      <c r="G107" s="702"/>
      <c r="H107" s="702"/>
      <c r="I107" s="702"/>
      <c r="J107" s="702"/>
      <c r="K107" s="702"/>
    </row>
    <row r="108" customFormat="false" ht="12" hidden="false" customHeight="false" outlineLevel="0" collapsed="false">
      <c r="B108" s="702"/>
      <c r="C108" s="702"/>
      <c r="D108" s="702"/>
      <c r="E108" s="702"/>
      <c r="F108" s="702"/>
      <c r="G108" s="702"/>
      <c r="H108" s="702"/>
      <c r="I108" s="702"/>
      <c r="J108" s="702"/>
      <c r="K108" s="702"/>
    </row>
    <row r="109" customFormat="false" ht="12" hidden="false" customHeight="false" outlineLevel="0" collapsed="false">
      <c r="B109" s="702"/>
      <c r="C109" s="702"/>
      <c r="D109" s="702"/>
      <c r="E109" s="702"/>
      <c r="F109" s="702"/>
      <c r="G109" s="702"/>
      <c r="H109" s="702"/>
      <c r="I109" s="702"/>
      <c r="J109" s="702"/>
      <c r="K109" s="702"/>
    </row>
    <row r="110" customFormat="false" ht="12" hidden="false" customHeight="false" outlineLevel="0" collapsed="false">
      <c r="B110" s="702"/>
      <c r="C110" s="702"/>
      <c r="D110" s="702"/>
      <c r="E110" s="702"/>
      <c r="F110" s="702"/>
      <c r="G110" s="702"/>
      <c r="H110" s="702"/>
      <c r="I110" s="702"/>
      <c r="J110" s="702"/>
      <c r="K110" s="702"/>
    </row>
    <row r="111" customFormat="false" ht="12" hidden="false" customHeight="false" outlineLevel="0" collapsed="false">
      <c r="B111" s="702"/>
      <c r="C111" s="702"/>
      <c r="D111" s="702"/>
      <c r="E111" s="702"/>
      <c r="F111" s="702"/>
      <c r="G111" s="702"/>
      <c r="H111" s="702"/>
      <c r="I111" s="702"/>
      <c r="J111" s="702"/>
      <c r="K111" s="702"/>
    </row>
    <row r="112" customFormat="false" ht="12" hidden="false" customHeight="false" outlineLevel="0" collapsed="false">
      <c r="B112" s="702"/>
      <c r="C112" s="702"/>
      <c r="D112" s="702"/>
      <c r="E112" s="702"/>
      <c r="F112" s="702"/>
      <c r="G112" s="702"/>
      <c r="H112" s="702"/>
      <c r="I112" s="702"/>
      <c r="J112" s="702"/>
      <c r="K112" s="702"/>
    </row>
    <row r="113" customFormat="false" ht="12" hidden="false" customHeight="false" outlineLevel="0" collapsed="false">
      <c r="B113" s="702"/>
      <c r="C113" s="702"/>
      <c r="D113" s="702"/>
      <c r="E113" s="702"/>
      <c r="F113" s="702"/>
      <c r="G113" s="702"/>
      <c r="H113" s="702"/>
      <c r="I113" s="702"/>
      <c r="J113" s="702"/>
      <c r="K113" s="702"/>
    </row>
    <row r="114" customFormat="false" ht="12" hidden="false" customHeight="false" outlineLevel="0" collapsed="false">
      <c r="B114" s="702"/>
      <c r="C114" s="702"/>
      <c r="D114" s="702"/>
      <c r="E114" s="702"/>
      <c r="F114" s="702"/>
      <c r="G114" s="702"/>
      <c r="H114" s="702"/>
      <c r="I114" s="702"/>
      <c r="J114" s="702"/>
      <c r="K114" s="702"/>
    </row>
    <row r="115" customFormat="false" ht="12" hidden="false" customHeight="false" outlineLevel="0" collapsed="false">
      <c r="B115" s="702"/>
      <c r="C115" s="702"/>
      <c r="D115" s="702"/>
      <c r="E115" s="702"/>
      <c r="F115" s="702"/>
      <c r="G115" s="702"/>
      <c r="H115" s="702"/>
      <c r="I115" s="702"/>
      <c r="J115" s="702"/>
      <c r="K115" s="702"/>
    </row>
    <row r="116" customFormat="false" ht="12" hidden="false" customHeight="false" outlineLevel="0" collapsed="false">
      <c r="B116" s="702"/>
      <c r="C116" s="702"/>
      <c r="D116" s="702"/>
      <c r="E116" s="702"/>
      <c r="F116" s="702"/>
      <c r="G116" s="702"/>
      <c r="H116" s="702"/>
      <c r="I116" s="702"/>
      <c r="J116" s="702"/>
      <c r="K116" s="702"/>
    </row>
    <row r="117" customFormat="false" ht="12" hidden="false" customHeight="false" outlineLevel="0" collapsed="false">
      <c r="B117" s="702"/>
      <c r="C117" s="702"/>
      <c r="D117" s="702"/>
      <c r="E117" s="702"/>
      <c r="F117" s="702"/>
      <c r="G117" s="702"/>
      <c r="H117" s="702"/>
      <c r="I117" s="702"/>
      <c r="J117" s="702"/>
      <c r="K117" s="702"/>
    </row>
    <row r="118" customFormat="false" ht="12" hidden="false" customHeight="false" outlineLevel="0" collapsed="false">
      <c r="B118" s="702"/>
      <c r="C118" s="702"/>
      <c r="D118" s="702"/>
      <c r="E118" s="702"/>
      <c r="F118" s="702"/>
      <c r="G118" s="702"/>
      <c r="H118" s="702"/>
      <c r="I118" s="702"/>
      <c r="J118" s="702"/>
      <c r="K118" s="702"/>
    </row>
    <row r="119" customFormat="false" ht="12" hidden="false" customHeight="false" outlineLevel="0" collapsed="false">
      <c r="B119" s="702"/>
      <c r="C119" s="702"/>
      <c r="D119" s="702"/>
      <c r="E119" s="702"/>
      <c r="F119" s="702"/>
      <c r="G119" s="702"/>
      <c r="H119" s="702"/>
      <c r="I119" s="702"/>
      <c r="J119" s="702"/>
      <c r="K119" s="702"/>
    </row>
    <row r="120" customFormat="false" ht="12" hidden="false" customHeight="false" outlineLevel="0" collapsed="false">
      <c r="B120" s="702"/>
      <c r="C120" s="702"/>
      <c r="D120" s="702"/>
      <c r="E120" s="702"/>
      <c r="F120" s="702"/>
      <c r="G120" s="702"/>
      <c r="H120" s="702"/>
      <c r="I120" s="702"/>
      <c r="J120" s="702"/>
      <c r="K120" s="702"/>
    </row>
    <row r="121" customFormat="false" ht="12" hidden="false" customHeight="false" outlineLevel="0" collapsed="false">
      <c r="B121" s="702"/>
      <c r="C121" s="702"/>
      <c r="D121" s="702"/>
      <c r="E121" s="702"/>
      <c r="F121" s="702"/>
      <c r="G121" s="702"/>
      <c r="H121" s="702"/>
      <c r="I121" s="702"/>
      <c r="J121" s="702"/>
      <c r="K121" s="702"/>
    </row>
    <row r="122" customFormat="false" ht="12" hidden="false" customHeight="false" outlineLevel="0" collapsed="false">
      <c r="B122" s="702"/>
      <c r="C122" s="702"/>
      <c r="D122" s="702"/>
      <c r="E122" s="702"/>
      <c r="F122" s="702"/>
      <c r="G122" s="702"/>
      <c r="H122" s="702"/>
      <c r="I122" s="702"/>
      <c r="J122" s="702"/>
      <c r="K122" s="702"/>
    </row>
    <row r="123" customFormat="false" ht="12" hidden="false" customHeight="false" outlineLevel="0" collapsed="false">
      <c r="B123" s="702"/>
      <c r="C123" s="702"/>
      <c r="D123" s="702"/>
      <c r="E123" s="702"/>
      <c r="F123" s="702"/>
      <c r="G123" s="702"/>
      <c r="H123" s="702"/>
      <c r="I123" s="702"/>
      <c r="J123" s="702"/>
      <c r="K123" s="702"/>
    </row>
    <row r="124" customFormat="false" ht="12" hidden="false" customHeight="false" outlineLevel="0" collapsed="false">
      <c r="B124" s="702"/>
      <c r="C124" s="702"/>
      <c r="D124" s="702"/>
      <c r="E124" s="702"/>
      <c r="F124" s="702"/>
      <c r="G124" s="702"/>
      <c r="H124" s="702"/>
      <c r="I124" s="702"/>
      <c r="J124" s="702"/>
      <c r="K124" s="702"/>
    </row>
    <row r="125" customFormat="false" ht="12" hidden="false" customHeight="false" outlineLevel="0" collapsed="false">
      <c r="B125" s="702"/>
      <c r="C125" s="702"/>
      <c r="D125" s="702"/>
      <c r="E125" s="702"/>
      <c r="F125" s="702"/>
      <c r="G125" s="702"/>
      <c r="H125" s="702"/>
      <c r="I125" s="702"/>
      <c r="J125" s="702"/>
      <c r="K125" s="702"/>
    </row>
    <row r="126" customFormat="false" ht="12" hidden="false" customHeight="false" outlineLevel="0" collapsed="false">
      <c r="B126" s="702"/>
      <c r="C126" s="702"/>
      <c r="D126" s="702"/>
      <c r="E126" s="702"/>
      <c r="F126" s="702"/>
      <c r="G126" s="702"/>
      <c r="H126" s="702"/>
      <c r="I126" s="702"/>
      <c r="J126" s="702"/>
      <c r="K126" s="702"/>
    </row>
    <row r="127" customFormat="false" ht="12" hidden="false" customHeight="false" outlineLevel="0" collapsed="false">
      <c r="B127" s="702"/>
      <c r="C127" s="702"/>
      <c r="D127" s="702"/>
      <c r="E127" s="702"/>
      <c r="F127" s="702"/>
      <c r="G127" s="702"/>
      <c r="H127" s="702"/>
      <c r="I127" s="702"/>
      <c r="J127" s="702"/>
      <c r="K127" s="702"/>
    </row>
    <row r="128" customFormat="false" ht="12" hidden="false" customHeight="false" outlineLevel="0" collapsed="false">
      <c r="B128" s="702"/>
      <c r="C128" s="702"/>
      <c r="D128" s="702"/>
      <c r="E128" s="702"/>
      <c r="F128" s="702"/>
      <c r="G128" s="702"/>
      <c r="H128" s="702"/>
      <c r="I128" s="702"/>
      <c r="J128" s="702"/>
      <c r="K128" s="702"/>
    </row>
    <row r="129" customFormat="false" ht="12" hidden="false" customHeight="false" outlineLevel="0" collapsed="false">
      <c r="B129" s="702"/>
      <c r="C129" s="702"/>
      <c r="D129" s="702"/>
      <c r="E129" s="702"/>
      <c r="F129" s="702"/>
      <c r="G129" s="702"/>
      <c r="H129" s="702"/>
      <c r="I129" s="702"/>
      <c r="J129" s="702"/>
      <c r="K129" s="702"/>
    </row>
    <row r="130" customFormat="false" ht="12" hidden="false" customHeight="false" outlineLevel="0" collapsed="false">
      <c r="B130" s="702"/>
      <c r="C130" s="702"/>
      <c r="D130" s="702"/>
      <c r="E130" s="702"/>
      <c r="F130" s="702"/>
      <c r="G130" s="702"/>
      <c r="H130" s="702"/>
      <c r="I130" s="702"/>
      <c r="J130" s="702"/>
      <c r="K130" s="702"/>
    </row>
    <row r="131" customFormat="false" ht="12" hidden="false" customHeight="false" outlineLevel="0" collapsed="false">
      <c r="B131" s="702"/>
      <c r="C131" s="702"/>
      <c r="D131" s="702"/>
      <c r="E131" s="702"/>
      <c r="F131" s="702"/>
      <c r="G131" s="702"/>
      <c r="H131" s="702"/>
      <c r="I131" s="702"/>
      <c r="J131" s="702"/>
      <c r="K131" s="702"/>
    </row>
    <row r="132" customFormat="false" ht="12" hidden="false" customHeight="false" outlineLevel="0" collapsed="false">
      <c r="B132" s="702"/>
      <c r="C132" s="702"/>
      <c r="D132" s="702"/>
      <c r="E132" s="702"/>
      <c r="F132" s="702"/>
      <c r="G132" s="702"/>
      <c r="H132" s="702"/>
      <c r="I132" s="702"/>
      <c r="J132" s="702"/>
      <c r="K132" s="702"/>
    </row>
    <row r="133" customFormat="false" ht="12" hidden="false" customHeight="false" outlineLevel="0" collapsed="false">
      <c r="B133" s="702"/>
      <c r="C133" s="702"/>
      <c r="D133" s="702"/>
      <c r="E133" s="702"/>
      <c r="F133" s="702"/>
      <c r="G133" s="702"/>
      <c r="H133" s="702"/>
      <c r="I133" s="702"/>
      <c r="J133" s="702"/>
      <c r="K133" s="702"/>
    </row>
    <row r="134" customFormat="false" ht="12" hidden="false" customHeight="false" outlineLevel="0" collapsed="false">
      <c r="B134" s="702"/>
      <c r="C134" s="702"/>
      <c r="D134" s="702"/>
      <c r="E134" s="702"/>
      <c r="F134" s="702"/>
      <c r="G134" s="702"/>
      <c r="H134" s="702"/>
      <c r="I134" s="702"/>
      <c r="J134" s="702"/>
      <c r="K134" s="702"/>
    </row>
    <row r="135" customFormat="false" ht="12" hidden="false" customHeight="false" outlineLevel="0" collapsed="false">
      <c r="B135" s="702"/>
      <c r="C135" s="702"/>
      <c r="D135" s="702"/>
      <c r="E135" s="702"/>
      <c r="F135" s="702"/>
      <c r="G135" s="702"/>
      <c r="H135" s="702"/>
      <c r="I135" s="702"/>
      <c r="J135" s="702"/>
      <c r="K135" s="702"/>
    </row>
    <row r="136" customFormat="false" ht="12" hidden="false" customHeight="false" outlineLevel="0" collapsed="false">
      <c r="B136" s="702"/>
      <c r="C136" s="702"/>
      <c r="D136" s="702"/>
      <c r="E136" s="702"/>
      <c r="F136" s="702"/>
      <c r="G136" s="702"/>
      <c r="H136" s="702"/>
      <c r="I136" s="702"/>
      <c r="J136" s="702"/>
      <c r="K136" s="702"/>
    </row>
    <row r="137" customFormat="false" ht="12" hidden="false" customHeight="false" outlineLevel="0" collapsed="false">
      <c r="B137" s="702"/>
      <c r="C137" s="702"/>
      <c r="D137" s="702"/>
      <c r="E137" s="702"/>
      <c r="F137" s="702"/>
      <c r="G137" s="702"/>
      <c r="H137" s="702"/>
      <c r="I137" s="702"/>
      <c r="J137" s="702"/>
      <c r="K137" s="702"/>
    </row>
    <row r="138" customFormat="false" ht="12" hidden="false" customHeight="false" outlineLevel="0" collapsed="false">
      <c r="B138" s="702"/>
      <c r="C138" s="702"/>
      <c r="D138" s="702"/>
      <c r="E138" s="702"/>
      <c r="F138" s="702"/>
      <c r="G138" s="702"/>
      <c r="H138" s="702"/>
      <c r="I138" s="702"/>
      <c r="J138" s="702"/>
      <c r="K138" s="702"/>
    </row>
    <row r="139" customFormat="false" ht="12" hidden="false" customHeight="false" outlineLevel="0" collapsed="false">
      <c r="B139" s="702"/>
      <c r="C139" s="702"/>
      <c r="D139" s="702"/>
      <c r="E139" s="702"/>
      <c r="F139" s="702"/>
      <c r="G139" s="702"/>
      <c r="H139" s="702"/>
      <c r="I139" s="702"/>
      <c r="J139" s="702"/>
      <c r="K139" s="702"/>
    </row>
    <row r="140" customFormat="false" ht="12" hidden="false" customHeight="false" outlineLevel="0" collapsed="false">
      <c r="B140" s="702"/>
      <c r="C140" s="702"/>
      <c r="D140" s="702"/>
      <c r="E140" s="702"/>
      <c r="F140" s="702"/>
      <c r="G140" s="702"/>
      <c r="H140" s="702"/>
      <c r="I140" s="702"/>
      <c r="J140" s="702"/>
      <c r="K140" s="702"/>
    </row>
    <row r="141" customFormat="false" ht="12" hidden="false" customHeight="false" outlineLevel="0" collapsed="false">
      <c r="B141" s="702"/>
      <c r="C141" s="702"/>
      <c r="D141" s="702"/>
      <c r="E141" s="702"/>
      <c r="F141" s="702"/>
      <c r="G141" s="702"/>
      <c r="H141" s="702"/>
      <c r="I141" s="702"/>
      <c r="J141" s="702"/>
      <c r="K141" s="702"/>
    </row>
    <row r="142" customFormat="false" ht="12" hidden="false" customHeight="false" outlineLevel="0" collapsed="false">
      <c r="B142" s="702"/>
      <c r="C142" s="702"/>
      <c r="D142" s="702"/>
      <c r="E142" s="702"/>
      <c r="F142" s="702"/>
      <c r="G142" s="702"/>
      <c r="H142" s="702"/>
      <c r="I142" s="702"/>
      <c r="J142" s="702"/>
      <c r="K142" s="702"/>
    </row>
    <row r="143" customFormat="false" ht="12" hidden="false" customHeight="false" outlineLevel="0" collapsed="false">
      <c r="B143" s="702"/>
      <c r="C143" s="702"/>
      <c r="D143" s="702"/>
      <c r="E143" s="702"/>
      <c r="F143" s="702"/>
      <c r="G143" s="702"/>
      <c r="H143" s="702"/>
      <c r="I143" s="702"/>
      <c r="J143" s="702"/>
      <c r="K143" s="702"/>
    </row>
    <row r="144" customFormat="false" ht="12" hidden="false" customHeight="false" outlineLevel="0" collapsed="false">
      <c r="B144" s="702"/>
      <c r="C144" s="702"/>
      <c r="D144" s="702"/>
      <c r="E144" s="702"/>
      <c r="F144" s="702"/>
      <c r="G144" s="702"/>
      <c r="H144" s="702"/>
      <c r="I144" s="702"/>
      <c r="J144" s="702"/>
      <c r="K144" s="702"/>
    </row>
    <row r="145" customFormat="false" ht="12" hidden="false" customHeight="false" outlineLevel="0" collapsed="false">
      <c r="B145" s="702"/>
      <c r="C145" s="702"/>
      <c r="D145" s="702"/>
      <c r="E145" s="702"/>
      <c r="F145" s="702"/>
      <c r="G145" s="702"/>
      <c r="H145" s="702"/>
      <c r="I145" s="702"/>
      <c r="J145" s="702"/>
      <c r="K145" s="702"/>
    </row>
    <row r="146" customFormat="false" ht="12" hidden="false" customHeight="false" outlineLevel="0" collapsed="false">
      <c r="B146" s="702"/>
      <c r="C146" s="702"/>
      <c r="D146" s="702"/>
      <c r="E146" s="702"/>
      <c r="F146" s="702"/>
      <c r="G146" s="702"/>
      <c r="H146" s="702"/>
      <c r="I146" s="702"/>
      <c r="J146" s="702"/>
      <c r="K146" s="702"/>
    </row>
    <row r="147" customFormat="false" ht="12" hidden="false" customHeight="false" outlineLevel="0" collapsed="false">
      <c r="B147" s="702"/>
      <c r="C147" s="702"/>
      <c r="D147" s="702"/>
      <c r="E147" s="702"/>
      <c r="F147" s="702"/>
      <c r="G147" s="702"/>
      <c r="H147" s="702"/>
      <c r="I147" s="702"/>
      <c r="J147" s="702"/>
      <c r="K147" s="702"/>
    </row>
    <row r="148" customFormat="false" ht="12" hidden="false" customHeight="false" outlineLevel="0" collapsed="false">
      <c r="B148" s="702"/>
      <c r="C148" s="702"/>
      <c r="D148" s="702"/>
      <c r="E148" s="702"/>
      <c r="F148" s="702"/>
      <c r="G148" s="702"/>
      <c r="H148" s="702"/>
      <c r="I148" s="702"/>
      <c r="J148" s="702"/>
      <c r="K148" s="702"/>
    </row>
    <row r="149" customFormat="false" ht="12" hidden="false" customHeight="false" outlineLevel="0" collapsed="false">
      <c r="B149" s="702"/>
      <c r="C149" s="702"/>
      <c r="D149" s="702"/>
      <c r="E149" s="702"/>
      <c r="F149" s="702"/>
      <c r="G149" s="702"/>
      <c r="H149" s="702"/>
      <c r="I149" s="702"/>
      <c r="J149" s="702"/>
      <c r="K149" s="702"/>
    </row>
    <row r="150" customFormat="false" ht="12" hidden="false" customHeight="false" outlineLevel="0" collapsed="false">
      <c r="B150" s="702"/>
      <c r="C150" s="702"/>
      <c r="D150" s="702"/>
      <c r="E150" s="702"/>
      <c r="F150" s="702"/>
      <c r="G150" s="702"/>
      <c r="H150" s="702"/>
      <c r="I150" s="702"/>
      <c r="J150" s="702"/>
      <c r="K150" s="702"/>
    </row>
    <row r="151" customFormat="false" ht="12" hidden="false" customHeight="false" outlineLevel="0" collapsed="false">
      <c r="B151" s="702"/>
      <c r="C151" s="702"/>
      <c r="D151" s="702"/>
      <c r="E151" s="702"/>
      <c r="F151" s="702"/>
      <c r="G151" s="702"/>
      <c r="H151" s="702"/>
      <c r="I151" s="702"/>
      <c r="J151" s="702"/>
      <c r="K151" s="702"/>
    </row>
    <row r="152" customFormat="false" ht="12" hidden="false" customHeight="false" outlineLevel="0" collapsed="false">
      <c r="B152" s="702"/>
      <c r="C152" s="702"/>
      <c r="D152" s="702"/>
      <c r="E152" s="702"/>
      <c r="F152" s="702"/>
      <c r="G152" s="702"/>
      <c r="H152" s="702"/>
      <c r="I152" s="702"/>
      <c r="J152" s="702"/>
      <c r="K152" s="702"/>
    </row>
    <row r="153" customFormat="false" ht="12" hidden="false" customHeight="false" outlineLevel="0" collapsed="false">
      <c r="B153" s="702"/>
      <c r="C153" s="702"/>
      <c r="D153" s="702"/>
      <c r="E153" s="702"/>
      <c r="F153" s="702"/>
      <c r="G153" s="702"/>
      <c r="H153" s="702"/>
      <c r="I153" s="702"/>
      <c r="J153" s="702"/>
      <c r="K153" s="702"/>
    </row>
    <row r="154" customFormat="false" ht="12" hidden="false" customHeight="false" outlineLevel="0" collapsed="false">
      <c r="B154" s="702"/>
      <c r="C154" s="702"/>
      <c r="D154" s="702"/>
      <c r="E154" s="702"/>
      <c r="F154" s="702"/>
      <c r="G154" s="702"/>
      <c r="H154" s="702"/>
      <c r="I154" s="702"/>
      <c r="J154" s="702"/>
      <c r="K154" s="702"/>
    </row>
    <row r="155" customFormat="false" ht="12" hidden="false" customHeight="false" outlineLevel="0" collapsed="false">
      <c r="B155" s="702"/>
      <c r="C155" s="702"/>
      <c r="D155" s="702"/>
      <c r="E155" s="702"/>
      <c r="F155" s="702"/>
      <c r="G155" s="702"/>
      <c r="H155" s="702"/>
      <c r="I155" s="702"/>
      <c r="J155" s="702"/>
      <c r="K155" s="702"/>
    </row>
    <row r="156" customFormat="false" ht="12" hidden="false" customHeight="false" outlineLevel="0" collapsed="false">
      <c r="B156" s="702"/>
      <c r="C156" s="702"/>
      <c r="D156" s="702"/>
      <c r="E156" s="702"/>
      <c r="F156" s="702"/>
      <c r="G156" s="702"/>
      <c r="H156" s="702"/>
      <c r="I156" s="702"/>
      <c r="J156" s="702"/>
      <c r="K156" s="702"/>
    </row>
    <row r="157" customFormat="false" ht="12" hidden="false" customHeight="false" outlineLevel="0" collapsed="false">
      <c r="B157" s="702"/>
      <c r="C157" s="702"/>
      <c r="D157" s="702"/>
      <c r="E157" s="702"/>
      <c r="F157" s="702"/>
      <c r="G157" s="702"/>
      <c r="H157" s="702"/>
      <c r="I157" s="702"/>
      <c r="J157" s="702"/>
      <c r="K157" s="702"/>
    </row>
    <row r="158" customFormat="false" ht="12" hidden="false" customHeight="false" outlineLevel="0" collapsed="false">
      <c r="B158" s="702"/>
      <c r="C158" s="702"/>
      <c r="D158" s="702"/>
      <c r="E158" s="702"/>
      <c r="F158" s="702"/>
      <c r="G158" s="702"/>
      <c r="H158" s="702"/>
      <c r="I158" s="702"/>
      <c r="J158" s="702"/>
      <c r="K158" s="702"/>
    </row>
    <row r="159" customFormat="false" ht="12" hidden="false" customHeight="false" outlineLevel="0" collapsed="false">
      <c r="B159" s="702"/>
      <c r="C159" s="702"/>
      <c r="D159" s="702"/>
      <c r="E159" s="702"/>
      <c r="F159" s="702"/>
      <c r="G159" s="702"/>
      <c r="H159" s="702"/>
      <c r="I159" s="702"/>
      <c r="J159" s="702"/>
      <c r="K159" s="702"/>
    </row>
    <row r="160" customFormat="false" ht="12" hidden="false" customHeight="false" outlineLevel="0" collapsed="false">
      <c r="B160" s="702"/>
      <c r="C160" s="702"/>
      <c r="D160" s="702"/>
      <c r="E160" s="702"/>
      <c r="F160" s="702"/>
      <c r="G160" s="702"/>
      <c r="H160" s="702"/>
      <c r="I160" s="702"/>
      <c r="J160" s="702"/>
      <c r="K160" s="702"/>
    </row>
    <row r="161" customFormat="false" ht="12" hidden="false" customHeight="false" outlineLevel="0" collapsed="false">
      <c r="B161" s="702"/>
      <c r="C161" s="702"/>
      <c r="D161" s="702"/>
      <c r="E161" s="702"/>
      <c r="F161" s="702"/>
      <c r="G161" s="702"/>
      <c r="H161" s="702"/>
      <c r="I161" s="702"/>
      <c r="J161" s="702"/>
      <c r="K161" s="702"/>
    </row>
    <row r="162" customFormat="false" ht="12" hidden="false" customHeight="false" outlineLevel="0" collapsed="false">
      <c r="B162" s="702"/>
      <c r="C162" s="702"/>
      <c r="D162" s="702"/>
      <c r="E162" s="702"/>
      <c r="F162" s="702"/>
      <c r="G162" s="702"/>
      <c r="H162" s="702"/>
      <c r="I162" s="702"/>
      <c r="J162" s="702"/>
      <c r="K162" s="702"/>
    </row>
    <row r="163" customFormat="false" ht="12" hidden="false" customHeight="false" outlineLevel="0" collapsed="false">
      <c r="B163" s="702"/>
      <c r="C163" s="702"/>
      <c r="D163" s="702"/>
      <c r="E163" s="702"/>
      <c r="F163" s="702"/>
      <c r="G163" s="702"/>
      <c r="H163" s="702"/>
      <c r="I163" s="702"/>
      <c r="J163" s="702"/>
      <c r="K163" s="702"/>
    </row>
    <row r="164" customFormat="false" ht="12" hidden="false" customHeight="false" outlineLevel="0" collapsed="false">
      <c r="B164" s="702"/>
      <c r="C164" s="702"/>
      <c r="D164" s="702"/>
      <c r="E164" s="702"/>
      <c r="F164" s="702"/>
      <c r="G164" s="702"/>
      <c r="H164" s="702"/>
      <c r="I164" s="702"/>
      <c r="J164" s="702"/>
      <c r="K164" s="702"/>
    </row>
    <row r="165" customFormat="false" ht="12" hidden="false" customHeight="false" outlineLevel="0" collapsed="false">
      <c r="B165" s="702"/>
      <c r="C165" s="702"/>
      <c r="D165" s="702"/>
      <c r="E165" s="702"/>
      <c r="F165" s="702"/>
      <c r="G165" s="702"/>
      <c r="H165" s="702"/>
      <c r="I165" s="702"/>
      <c r="J165" s="702"/>
      <c r="K165" s="702"/>
    </row>
    <row r="166" customFormat="false" ht="12" hidden="false" customHeight="false" outlineLevel="0" collapsed="false">
      <c r="B166" s="702"/>
      <c r="C166" s="702"/>
      <c r="D166" s="702"/>
      <c r="E166" s="702"/>
      <c r="F166" s="702"/>
      <c r="G166" s="702"/>
      <c r="H166" s="702"/>
      <c r="I166" s="702"/>
      <c r="J166" s="702"/>
      <c r="K166" s="702"/>
    </row>
    <row r="167" customFormat="false" ht="12" hidden="false" customHeight="false" outlineLevel="0" collapsed="false">
      <c r="B167" s="702"/>
      <c r="C167" s="702"/>
      <c r="D167" s="702"/>
      <c r="E167" s="702"/>
      <c r="F167" s="702"/>
      <c r="G167" s="702"/>
      <c r="H167" s="702"/>
      <c r="I167" s="702"/>
      <c r="J167" s="702"/>
      <c r="K167" s="702"/>
    </row>
    <row r="168" customFormat="false" ht="12" hidden="false" customHeight="false" outlineLevel="0" collapsed="false">
      <c r="B168" s="702"/>
      <c r="C168" s="702"/>
      <c r="D168" s="702"/>
      <c r="E168" s="702"/>
      <c r="F168" s="702"/>
      <c r="G168" s="702"/>
      <c r="H168" s="702"/>
      <c r="I168" s="702"/>
      <c r="J168" s="702"/>
      <c r="K168" s="702"/>
    </row>
    <row r="169" customFormat="false" ht="12" hidden="false" customHeight="false" outlineLevel="0" collapsed="false">
      <c r="B169" s="702"/>
      <c r="C169" s="702"/>
      <c r="D169" s="702"/>
      <c r="E169" s="702"/>
      <c r="F169" s="702"/>
      <c r="G169" s="702"/>
      <c r="H169" s="702"/>
      <c r="I169" s="702"/>
      <c r="J169" s="702"/>
      <c r="K169" s="702"/>
    </row>
    <row r="170" customFormat="false" ht="12" hidden="false" customHeight="false" outlineLevel="0" collapsed="false">
      <c r="B170" s="702"/>
      <c r="C170" s="702"/>
      <c r="D170" s="702"/>
      <c r="E170" s="702"/>
      <c r="F170" s="702"/>
      <c r="G170" s="702"/>
      <c r="H170" s="702"/>
      <c r="I170" s="702"/>
      <c r="J170" s="702"/>
      <c r="K170" s="702"/>
    </row>
    <row r="171" customFormat="false" ht="12" hidden="false" customHeight="false" outlineLevel="0" collapsed="false">
      <c r="B171" s="702"/>
      <c r="C171" s="702"/>
      <c r="D171" s="702"/>
      <c r="E171" s="702"/>
      <c r="F171" s="702"/>
      <c r="G171" s="702"/>
      <c r="H171" s="702"/>
      <c r="I171" s="702"/>
      <c r="J171" s="702"/>
      <c r="K171" s="702"/>
    </row>
    <row r="172" customFormat="false" ht="12" hidden="false" customHeight="false" outlineLevel="0" collapsed="false">
      <c r="B172" s="702"/>
      <c r="C172" s="702"/>
      <c r="D172" s="702"/>
      <c r="E172" s="702"/>
      <c r="F172" s="702"/>
      <c r="G172" s="702"/>
      <c r="H172" s="702"/>
      <c r="I172" s="702"/>
      <c r="J172" s="702"/>
      <c r="K172" s="702"/>
    </row>
    <row r="173" customFormat="false" ht="12" hidden="false" customHeight="false" outlineLevel="0" collapsed="false">
      <c r="B173" s="702"/>
      <c r="C173" s="702"/>
      <c r="D173" s="702"/>
      <c r="E173" s="702"/>
      <c r="F173" s="702"/>
      <c r="G173" s="702"/>
      <c r="H173" s="702"/>
      <c r="I173" s="702"/>
      <c r="J173" s="702"/>
      <c r="K173" s="702"/>
    </row>
    <row r="174" customFormat="false" ht="12" hidden="false" customHeight="false" outlineLevel="0" collapsed="false">
      <c r="B174" s="702"/>
      <c r="C174" s="702"/>
      <c r="D174" s="702"/>
      <c r="E174" s="702"/>
      <c r="F174" s="702"/>
      <c r="G174" s="702"/>
      <c r="H174" s="702"/>
      <c r="I174" s="702"/>
      <c r="J174" s="702"/>
      <c r="K174" s="702"/>
    </row>
    <row r="175" customFormat="false" ht="12" hidden="false" customHeight="false" outlineLevel="0" collapsed="false">
      <c r="B175" s="702"/>
      <c r="C175" s="702"/>
      <c r="D175" s="702"/>
      <c r="E175" s="702"/>
      <c r="F175" s="702"/>
      <c r="G175" s="702"/>
      <c r="H175" s="702"/>
      <c r="I175" s="702"/>
      <c r="J175" s="702"/>
      <c r="K175" s="702"/>
    </row>
    <row r="176" customFormat="false" ht="12" hidden="false" customHeight="false" outlineLevel="0" collapsed="false">
      <c r="B176" s="702"/>
      <c r="C176" s="702"/>
      <c r="D176" s="702"/>
      <c r="E176" s="702"/>
      <c r="F176" s="702"/>
      <c r="G176" s="702"/>
      <c r="H176" s="702"/>
      <c r="I176" s="702"/>
      <c r="J176" s="702"/>
      <c r="K176" s="702"/>
    </row>
    <row r="177" customFormat="false" ht="12" hidden="false" customHeight="false" outlineLevel="0" collapsed="false">
      <c r="B177" s="702"/>
      <c r="C177" s="702"/>
      <c r="D177" s="702"/>
      <c r="E177" s="702"/>
      <c r="F177" s="702"/>
      <c r="G177" s="702"/>
      <c r="H177" s="702"/>
      <c r="I177" s="702"/>
      <c r="J177" s="702"/>
      <c r="K177" s="702"/>
    </row>
    <row r="178" customFormat="false" ht="12" hidden="false" customHeight="false" outlineLevel="0" collapsed="false">
      <c r="B178" s="702"/>
      <c r="C178" s="702"/>
      <c r="D178" s="702"/>
      <c r="E178" s="702"/>
      <c r="F178" s="702"/>
      <c r="G178" s="702"/>
      <c r="H178" s="702"/>
      <c r="I178" s="702"/>
      <c r="J178" s="702"/>
      <c r="K178" s="702"/>
    </row>
    <row r="179" customFormat="false" ht="12" hidden="false" customHeight="false" outlineLevel="0" collapsed="false">
      <c r="B179" s="702"/>
      <c r="C179" s="702"/>
      <c r="D179" s="702"/>
      <c r="E179" s="702"/>
      <c r="F179" s="702"/>
      <c r="G179" s="702"/>
      <c r="H179" s="702"/>
      <c r="I179" s="702"/>
      <c r="J179" s="702"/>
      <c r="K179" s="702"/>
    </row>
    <row r="180" customFormat="false" ht="12" hidden="false" customHeight="false" outlineLevel="0" collapsed="false">
      <c r="B180" s="702"/>
      <c r="C180" s="702"/>
      <c r="D180" s="702"/>
      <c r="E180" s="702"/>
      <c r="F180" s="702"/>
      <c r="G180" s="702"/>
      <c r="H180" s="702"/>
      <c r="I180" s="702"/>
      <c r="J180" s="702"/>
      <c r="K180" s="702"/>
    </row>
    <row r="181" customFormat="false" ht="12" hidden="false" customHeight="false" outlineLevel="0" collapsed="false">
      <c r="B181" s="702"/>
      <c r="C181" s="702"/>
      <c r="D181" s="702"/>
      <c r="E181" s="702"/>
      <c r="F181" s="702"/>
      <c r="G181" s="702"/>
      <c r="H181" s="702"/>
      <c r="I181" s="702"/>
      <c r="J181" s="702"/>
      <c r="K181" s="702"/>
    </row>
    <row r="182" customFormat="false" ht="12" hidden="false" customHeight="false" outlineLevel="0" collapsed="false">
      <c r="B182" s="702"/>
      <c r="C182" s="702"/>
      <c r="D182" s="702"/>
      <c r="E182" s="702"/>
      <c r="F182" s="702"/>
      <c r="G182" s="702"/>
      <c r="H182" s="702"/>
      <c r="I182" s="702"/>
      <c r="J182" s="702"/>
      <c r="K182" s="702"/>
    </row>
    <row r="183" customFormat="false" ht="12" hidden="false" customHeight="false" outlineLevel="0" collapsed="false">
      <c r="B183" s="702"/>
      <c r="C183" s="702"/>
      <c r="D183" s="702"/>
      <c r="E183" s="702"/>
      <c r="F183" s="702"/>
      <c r="G183" s="702"/>
      <c r="H183" s="702"/>
      <c r="I183" s="702"/>
      <c r="J183" s="702"/>
      <c r="K183" s="702"/>
    </row>
    <row r="184" customFormat="false" ht="12" hidden="false" customHeight="false" outlineLevel="0" collapsed="false">
      <c r="B184" s="702"/>
      <c r="C184" s="702"/>
      <c r="D184" s="702"/>
      <c r="E184" s="702"/>
      <c r="F184" s="702"/>
      <c r="G184" s="702"/>
      <c r="H184" s="702"/>
      <c r="I184" s="702"/>
      <c r="J184" s="702"/>
      <c r="K184" s="702"/>
    </row>
    <row r="185" customFormat="false" ht="12" hidden="false" customHeight="false" outlineLevel="0" collapsed="false">
      <c r="B185" s="702"/>
      <c r="C185" s="702"/>
      <c r="D185" s="702"/>
      <c r="E185" s="702"/>
      <c r="F185" s="702"/>
      <c r="G185" s="702"/>
      <c r="H185" s="702"/>
      <c r="I185" s="702"/>
      <c r="J185" s="702"/>
      <c r="K185" s="702"/>
    </row>
    <row r="186" customFormat="false" ht="12" hidden="false" customHeight="false" outlineLevel="0" collapsed="false">
      <c r="B186" s="702"/>
      <c r="C186" s="702"/>
      <c r="D186" s="702"/>
      <c r="E186" s="702"/>
      <c r="F186" s="702"/>
      <c r="G186" s="702"/>
      <c r="H186" s="702"/>
      <c r="I186" s="702"/>
      <c r="J186" s="702"/>
      <c r="K186" s="702"/>
    </row>
    <row r="187" customFormat="false" ht="12" hidden="false" customHeight="false" outlineLevel="0" collapsed="false">
      <c r="B187" s="702"/>
      <c r="C187" s="702"/>
      <c r="D187" s="702"/>
      <c r="E187" s="702"/>
      <c r="F187" s="702"/>
      <c r="G187" s="702"/>
      <c r="H187" s="702"/>
      <c r="I187" s="702"/>
      <c r="J187" s="702"/>
      <c r="K187" s="702"/>
    </row>
    <row r="188" customFormat="false" ht="12" hidden="false" customHeight="false" outlineLevel="0" collapsed="false">
      <c r="B188" s="702"/>
      <c r="C188" s="702"/>
      <c r="D188" s="702"/>
      <c r="E188" s="702"/>
      <c r="F188" s="702"/>
      <c r="G188" s="702"/>
      <c r="H188" s="702"/>
      <c r="I188" s="702"/>
      <c r="J188" s="702"/>
      <c r="K188" s="702"/>
    </row>
    <row r="189" customFormat="false" ht="12" hidden="false" customHeight="false" outlineLevel="0" collapsed="false">
      <c r="B189" s="702"/>
      <c r="C189" s="702"/>
      <c r="D189" s="702"/>
      <c r="E189" s="702"/>
      <c r="F189" s="702"/>
      <c r="G189" s="702"/>
      <c r="H189" s="702"/>
      <c r="I189" s="702"/>
      <c r="J189" s="702"/>
      <c r="K189" s="702"/>
    </row>
    <row r="190" customFormat="false" ht="12" hidden="false" customHeight="false" outlineLevel="0" collapsed="false">
      <c r="B190" s="702"/>
      <c r="C190" s="702"/>
      <c r="D190" s="702"/>
      <c r="E190" s="702"/>
      <c r="F190" s="702"/>
      <c r="G190" s="702"/>
      <c r="H190" s="702"/>
      <c r="I190" s="702"/>
      <c r="J190" s="702"/>
      <c r="K190" s="702"/>
    </row>
    <row r="191" customFormat="false" ht="12" hidden="false" customHeight="false" outlineLevel="0" collapsed="false">
      <c r="B191" s="702"/>
      <c r="C191" s="702"/>
      <c r="D191" s="702"/>
      <c r="E191" s="702"/>
      <c r="F191" s="702"/>
      <c r="G191" s="702"/>
      <c r="H191" s="702"/>
      <c r="I191" s="702"/>
      <c r="J191" s="702"/>
      <c r="K191" s="702"/>
    </row>
    <row r="192" customFormat="false" ht="12" hidden="false" customHeight="false" outlineLevel="0" collapsed="false">
      <c r="B192" s="702"/>
      <c r="C192" s="702"/>
      <c r="D192" s="702"/>
      <c r="E192" s="702"/>
      <c r="F192" s="702"/>
      <c r="G192" s="702"/>
      <c r="H192" s="702"/>
      <c r="I192" s="702"/>
      <c r="J192" s="702"/>
      <c r="K192" s="702"/>
    </row>
    <row r="193" customFormat="false" ht="12" hidden="false" customHeight="false" outlineLevel="0" collapsed="false">
      <c r="B193" s="702"/>
      <c r="C193" s="702"/>
      <c r="D193" s="702"/>
      <c r="E193" s="702"/>
      <c r="F193" s="702"/>
      <c r="G193" s="702"/>
      <c r="H193" s="702"/>
      <c r="I193" s="702"/>
      <c r="J193" s="702"/>
      <c r="K193" s="702"/>
    </row>
    <row r="194" customFormat="false" ht="12" hidden="false" customHeight="false" outlineLevel="0" collapsed="false">
      <c r="B194" s="702"/>
      <c r="C194" s="702"/>
      <c r="D194" s="702"/>
      <c r="E194" s="702"/>
      <c r="F194" s="702"/>
      <c r="G194" s="702"/>
      <c r="H194" s="702"/>
      <c r="I194" s="702"/>
      <c r="J194" s="702"/>
      <c r="K194" s="702"/>
    </row>
    <row r="195" customFormat="false" ht="12" hidden="false" customHeight="false" outlineLevel="0" collapsed="false">
      <c r="B195" s="702"/>
      <c r="C195" s="702"/>
      <c r="D195" s="702"/>
      <c r="E195" s="702"/>
      <c r="F195" s="702"/>
      <c r="G195" s="702"/>
      <c r="H195" s="702"/>
      <c r="I195" s="702"/>
      <c r="J195" s="702"/>
      <c r="K195" s="702"/>
    </row>
    <row r="196" customFormat="false" ht="12" hidden="false" customHeight="false" outlineLevel="0" collapsed="false">
      <c r="B196" s="702"/>
      <c r="C196" s="702"/>
      <c r="D196" s="702"/>
      <c r="E196" s="702"/>
      <c r="F196" s="702"/>
      <c r="G196" s="702"/>
      <c r="H196" s="702"/>
      <c r="I196" s="702"/>
      <c r="J196" s="702"/>
      <c r="K196" s="702"/>
    </row>
    <row r="197" customFormat="false" ht="12" hidden="false" customHeight="false" outlineLevel="0" collapsed="false">
      <c r="B197" s="702"/>
      <c r="C197" s="702"/>
      <c r="D197" s="702"/>
      <c r="E197" s="702"/>
      <c r="F197" s="702"/>
      <c r="G197" s="702"/>
      <c r="H197" s="702"/>
      <c r="I197" s="702"/>
      <c r="J197" s="702"/>
      <c r="K197" s="702"/>
    </row>
    <row r="198" customFormat="false" ht="12" hidden="false" customHeight="false" outlineLevel="0" collapsed="false">
      <c r="B198" s="702"/>
      <c r="C198" s="702"/>
      <c r="D198" s="702"/>
      <c r="E198" s="702"/>
      <c r="F198" s="702"/>
      <c r="G198" s="702"/>
      <c r="H198" s="702"/>
      <c r="I198" s="702"/>
      <c r="J198" s="702"/>
      <c r="K198" s="702"/>
    </row>
    <row r="199" customFormat="false" ht="12" hidden="false" customHeight="false" outlineLevel="0" collapsed="false">
      <c r="B199" s="702"/>
      <c r="C199" s="702"/>
      <c r="D199" s="702"/>
      <c r="E199" s="702"/>
      <c r="F199" s="702"/>
      <c r="G199" s="702"/>
      <c r="H199" s="702"/>
      <c r="I199" s="702"/>
      <c r="J199" s="702"/>
      <c r="K199" s="702"/>
    </row>
    <row r="200" customFormat="false" ht="12" hidden="false" customHeight="false" outlineLevel="0" collapsed="false">
      <c r="B200" s="702"/>
      <c r="C200" s="702"/>
      <c r="D200" s="702"/>
      <c r="E200" s="702"/>
      <c r="F200" s="702"/>
      <c r="G200" s="702"/>
      <c r="H200" s="702"/>
      <c r="I200" s="702"/>
      <c r="J200" s="702"/>
      <c r="K200" s="702"/>
    </row>
    <row r="201" customFormat="false" ht="12" hidden="false" customHeight="false" outlineLevel="0" collapsed="false">
      <c r="B201" s="702"/>
      <c r="C201" s="702"/>
      <c r="D201" s="702"/>
      <c r="E201" s="702"/>
      <c r="F201" s="702"/>
      <c r="G201" s="702"/>
      <c r="H201" s="702"/>
      <c r="I201" s="702"/>
      <c r="J201" s="702"/>
      <c r="K201" s="702"/>
    </row>
    <row r="202" customFormat="false" ht="12" hidden="false" customHeight="false" outlineLevel="0" collapsed="false">
      <c r="B202" s="702"/>
      <c r="C202" s="702"/>
      <c r="D202" s="702"/>
      <c r="E202" s="702"/>
      <c r="F202" s="702"/>
      <c r="G202" s="702"/>
      <c r="H202" s="702"/>
      <c r="I202" s="702"/>
      <c r="J202" s="702"/>
      <c r="K202" s="702"/>
    </row>
    <row r="203" customFormat="false" ht="12" hidden="false" customHeight="false" outlineLevel="0" collapsed="false">
      <c r="B203" s="702"/>
      <c r="C203" s="702"/>
      <c r="D203" s="702"/>
      <c r="E203" s="702"/>
      <c r="F203" s="702"/>
      <c r="G203" s="702"/>
      <c r="H203" s="702"/>
      <c r="I203" s="702"/>
      <c r="J203" s="702"/>
      <c r="K203" s="702"/>
    </row>
    <row r="204" customFormat="false" ht="12" hidden="false" customHeight="false" outlineLevel="0" collapsed="false">
      <c r="B204" s="702"/>
      <c r="C204" s="702"/>
      <c r="D204" s="702"/>
      <c r="E204" s="702"/>
      <c r="F204" s="702"/>
      <c r="G204" s="702"/>
      <c r="H204" s="702"/>
      <c r="I204" s="702"/>
      <c r="J204" s="702"/>
      <c r="K204" s="702"/>
    </row>
    <row r="205" customFormat="false" ht="12" hidden="false" customHeight="false" outlineLevel="0" collapsed="false">
      <c r="B205" s="702"/>
      <c r="C205" s="702"/>
      <c r="D205" s="702"/>
      <c r="E205" s="702"/>
      <c r="F205" s="702"/>
      <c r="G205" s="702"/>
      <c r="H205" s="702"/>
      <c r="I205" s="702"/>
      <c r="J205" s="702"/>
      <c r="K205" s="702"/>
    </row>
    <row r="206" customFormat="false" ht="12" hidden="false" customHeight="false" outlineLevel="0" collapsed="false">
      <c r="B206" s="702"/>
      <c r="C206" s="702"/>
      <c r="D206" s="702"/>
      <c r="E206" s="702"/>
      <c r="F206" s="702"/>
      <c r="G206" s="702"/>
      <c r="H206" s="702"/>
      <c r="I206" s="702"/>
      <c r="J206" s="702"/>
      <c r="K206" s="702"/>
    </row>
    <row r="207" customFormat="false" ht="12" hidden="false" customHeight="false" outlineLevel="0" collapsed="false">
      <c r="B207" s="702"/>
      <c r="C207" s="702"/>
      <c r="D207" s="702"/>
      <c r="E207" s="702"/>
      <c r="F207" s="702"/>
      <c r="G207" s="702"/>
      <c r="H207" s="702"/>
      <c r="I207" s="702"/>
      <c r="J207" s="702"/>
      <c r="K207" s="702"/>
    </row>
    <row r="208" customFormat="false" ht="12" hidden="false" customHeight="false" outlineLevel="0" collapsed="false">
      <c r="B208" s="702"/>
      <c r="C208" s="702"/>
      <c r="D208" s="702"/>
      <c r="E208" s="702"/>
      <c r="F208" s="702"/>
      <c r="G208" s="702"/>
      <c r="H208" s="702"/>
      <c r="I208" s="702"/>
      <c r="J208" s="702"/>
      <c r="K208" s="702"/>
    </row>
    <row r="209" customFormat="false" ht="12" hidden="false" customHeight="false" outlineLevel="0" collapsed="false">
      <c r="B209" s="702"/>
      <c r="C209" s="702"/>
      <c r="D209" s="702"/>
      <c r="E209" s="702"/>
      <c r="F209" s="702"/>
      <c r="G209" s="702"/>
      <c r="H209" s="702"/>
      <c r="I209" s="702"/>
      <c r="J209" s="702"/>
      <c r="K209" s="702"/>
    </row>
    <row r="210" customFormat="false" ht="12" hidden="false" customHeight="false" outlineLevel="0" collapsed="false">
      <c r="B210" s="702"/>
      <c r="C210" s="702"/>
      <c r="D210" s="702"/>
      <c r="E210" s="702"/>
      <c r="F210" s="702"/>
      <c r="G210" s="702"/>
      <c r="H210" s="702"/>
      <c r="I210" s="702"/>
      <c r="J210" s="702"/>
      <c r="K210" s="702"/>
    </row>
    <row r="211" customFormat="false" ht="12" hidden="false" customHeight="false" outlineLevel="0" collapsed="false">
      <c r="B211" s="702"/>
      <c r="C211" s="702"/>
      <c r="D211" s="702"/>
      <c r="E211" s="702"/>
      <c r="F211" s="702"/>
      <c r="G211" s="702"/>
      <c r="H211" s="702"/>
      <c r="I211" s="702"/>
      <c r="J211" s="702"/>
      <c r="K211" s="702"/>
    </row>
    <row r="212" customFormat="false" ht="12" hidden="false" customHeight="false" outlineLevel="0" collapsed="false">
      <c r="B212" s="702"/>
      <c r="C212" s="702"/>
      <c r="D212" s="702"/>
      <c r="E212" s="702"/>
      <c r="F212" s="702"/>
      <c r="G212" s="702"/>
      <c r="H212" s="702"/>
      <c r="I212" s="702"/>
      <c r="J212" s="702"/>
      <c r="K212" s="702"/>
    </row>
    <row r="213" customFormat="false" ht="12" hidden="false" customHeight="false" outlineLevel="0" collapsed="false">
      <c r="B213" s="702"/>
      <c r="C213" s="702"/>
      <c r="D213" s="702"/>
      <c r="E213" s="702"/>
      <c r="F213" s="702"/>
      <c r="G213" s="702"/>
      <c r="H213" s="702"/>
      <c r="I213" s="702"/>
      <c r="J213" s="702"/>
      <c r="K213" s="702"/>
    </row>
    <row r="214" customFormat="false" ht="12" hidden="false" customHeight="false" outlineLevel="0" collapsed="false">
      <c r="B214" s="702"/>
      <c r="C214" s="702"/>
      <c r="D214" s="702"/>
      <c r="E214" s="702"/>
      <c r="F214" s="702"/>
      <c r="G214" s="702"/>
      <c r="H214" s="702"/>
      <c r="I214" s="702"/>
      <c r="J214" s="702"/>
      <c r="K214" s="702"/>
    </row>
    <row r="215" customFormat="false" ht="12" hidden="false" customHeight="false" outlineLevel="0" collapsed="false">
      <c r="B215" s="702"/>
      <c r="C215" s="702"/>
      <c r="D215" s="702"/>
      <c r="E215" s="702"/>
      <c r="F215" s="702"/>
      <c r="G215" s="702"/>
      <c r="H215" s="702"/>
      <c r="I215" s="702"/>
      <c r="J215" s="702"/>
      <c r="K215" s="702"/>
    </row>
    <row r="216" customFormat="false" ht="12" hidden="false" customHeight="false" outlineLevel="0" collapsed="false">
      <c r="B216" s="702"/>
      <c r="C216" s="702"/>
      <c r="D216" s="702"/>
      <c r="E216" s="702"/>
      <c r="F216" s="702"/>
      <c r="G216" s="702"/>
      <c r="H216" s="702"/>
      <c r="I216" s="702"/>
      <c r="J216" s="702"/>
      <c r="K216" s="702"/>
    </row>
    <row r="217" customFormat="false" ht="12" hidden="false" customHeight="false" outlineLevel="0" collapsed="false">
      <c r="B217" s="702"/>
      <c r="C217" s="702"/>
      <c r="D217" s="702"/>
      <c r="E217" s="702"/>
      <c r="F217" s="702"/>
      <c r="G217" s="702"/>
      <c r="H217" s="702"/>
      <c r="I217" s="702"/>
      <c r="J217" s="702"/>
      <c r="K217" s="702"/>
    </row>
    <row r="218" customFormat="false" ht="12" hidden="false" customHeight="false" outlineLevel="0" collapsed="false">
      <c r="B218" s="702"/>
      <c r="C218" s="702"/>
      <c r="D218" s="702"/>
      <c r="E218" s="702"/>
      <c r="F218" s="702"/>
      <c r="G218" s="702"/>
      <c r="H218" s="702"/>
      <c r="I218" s="702"/>
      <c r="J218" s="702"/>
      <c r="K218" s="702"/>
    </row>
    <row r="219" customFormat="false" ht="12" hidden="false" customHeight="false" outlineLevel="0" collapsed="false">
      <c r="B219" s="702"/>
      <c r="C219" s="702"/>
      <c r="D219" s="702"/>
      <c r="E219" s="702"/>
      <c r="F219" s="702"/>
      <c r="G219" s="702"/>
      <c r="H219" s="702"/>
      <c r="I219" s="702"/>
      <c r="J219" s="702"/>
      <c r="K219" s="702"/>
    </row>
    <row r="220" customFormat="false" ht="12" hidden="false" customHeight="false" outlineLevel="0" collapsed="false">
      <c r="B220" s="702"/>
      <c r="C220" s="702"/>
      <c r="D220" s="702"/>
      <c r="E220" s="702"/>
      <c r="F220" s="702"/>
      <c r="G220" s="702"/>
      <c r="H220" s="702"/>
      <c r="I220" s="702"/>
      <c r="J220" s="702"/>
      <c r="K220" s="702"/>
    </row>
    <row r="221" customFormat="false" ht="12" hidden="false" customHeight="false" outlineLevel="0" collapsed="false">
      <c r="B221" s="702"/>
      <c r="C221" s="702"/>
      <c r="D221" s="702"/>
      <c r="E221" s="702"/>
      <c r="F221" s="702"/>
      <c r="G221" s="702"/>
      <c r="H221" s="702"/>
      <c r="I221" s="702"/>
      <c r="J221" s="702"/>
      <c r="K221" s="702"/>
    </row>
    <row r="222" customFormat="false" ht="12" hidden="false" customHeight="false" outlineLevel="0" collapsed="false">
      <c r="B222" s="702"/>
      <c r="C222" s="702"/>
      <c r="D222" s="702"/>
      <c r="E222" s="702"/>
      <c r="F222" s="702"/>
      <c r="G222" s="702"/>
      <c r="H222" s="702"/>
      <c r="I222" s="702"/>
      <c r="J222" s="702"/>
      <c r="K222" s="702"/>
    </row>
    <row r="223" customFormat="false" ht="12" hidden="false" customHeight="false" outlineLevel="0" collapsed="false">
      <c r="B223" s="702"/>
      <c r="C223" s="702"/>
      <c r="D223" s="702"/>
      <c r="E223" s="702"/>
      <c r="F223" s="702"/>
      <c r="G223" s="702"/>
      <c r="H223" s="702"/>
      <c r="I223" s="702"/>
      <c r="J223" s="702"/>
      <c r="K223" s="702"/>
    </row>
    <row r="224" customFormat="false" ht="12" hidden="false" customHeight="false" outlineLevel="0" collapsed="false">
      <c r="B224" s="702"/>
      <c r="C224" s="702"/>
      <c r="D224" s="702"/>
      <c r="E224" s="702"/>
      <c r="F224" s="702"/>
      <c r="G224" s="702"/>
      <c r="H224" s="702"/>
      <c r="I224" s="702"/>
      <c r="J224" s="702"/>
      <c r="K224" s="702"/>
    </row>
    <row r="225" customFormat="false" ht="12" hidden="false" customHeight="false" outlineLevel="0" collapsed="false">
      <c r="B225" s="702"/>
      <c r="C225" s="702"/>
      <c r="D225" s="702"/>
      <c r="E225" s="702"/>
      <c r="F225" s="702"/>
      <c r="G225" s="702"/>
      <c r="H225" s="702"/>
      <c r="I225" s="702"/>
      <c r="J225" s="702"/>
      <c r="K225" s="702"/>
    </row>
    <row r="226" customFormat="false" ht="12" hidden="false" customHeight="false" outlineLevel="0" collapsed="false">
      <c r="B226" s="702"/>
      <c r="C226" s="702"/>
      <c r="D226" s="702"/>
      <c r="E226" s="702"/>
      <c r="F226" s="702"/>
      <c r="G226" s="702"/>
      <c r="H226" s="702"/>
      <c r="I226" s="702"/>
      <c r="J226" s="702"/>
      <c r="K226" s="702"/>
    </row>
    <row r="227" customFormat="false" ht="12" hidden="false" customHeight="false" outlineLevel="0" collapsed="false">
      <c r="B227" s="702"/>
      <c r="C227" s="702"/>
      <c r="D227" s="702"/>
      <c r="E227" s="702"/>
      <c r="F227" s="702"/>
      <c r="G227" s="702"/>
      <c r="H227" s="702"/>
      <c r="I227" s="702"/>
      <c r="J227" s="702"/>
      <c r="K227" s="702"/>
    </row>
    <row r="228" customFormat="false" ht="12" hidden="false" customHeight="false" outlineLevel="0" collapsed="false">
      <c r="B228" s="702"/>
      <c r="C228" s="702"/>
      <c r="D228" s="702"/>
      <c r="E228" s="702"/>
      <c r="F228" s="702"/>
      <c r="G228" s="702"/>
      <c r="H228" s="702"/>
      <c r="I228" s="702"/>
      <c r="J228" s="702"/>
      <c r="K228" s="702"/>
    </row>
    <row r="229" customFormat="false" ht="12" hidden="false" customHeight="false" outlineLevel="0" collapsed="false">
      <c r="B229" s="702"/>
      <c r="C229" s="702"/>
      <c r="D229" s="702"/>
      <c r="E229" s="702"/>
      <c r="F229" s="702"/>
      <c r="G229" s="702"/>
      <c r="H229" s="702"/>
      <c r="I229" s="702"/>
      <c r="J229" s="702"/>
      <c r="K229" s="702"/>
    </row>
    <row r="230" customFormat="false" ht="12" hidden="false" customHeight="false" outlineLevel="0" collapsed="false">
      <c r="B230" s="702"/>
      <c r="C230" s="702"/>
      <c r="D230" s="702"/>
      <c r="E230" s="702"/>
      <c r="F230" s="702"/>
      <c r="G230" s="702"/>
      <c r="H230" s="702"/>
      <c r="I230" s="702"/>
      <c r="J230" s="702"/>
      <c r="K230" s="702"/>
    </row>
    <row r="231" customFormat="false" ht="12" hidden="false" customHeight="false" outlineLevel="0" collapsed="false">
      <c r="B231" s="702"/>
      <c r="C231" s="702"/>
      <c r="D231" s="702"/>
      <c r="E231" s="702"/>
      <c r="F231" s="702"/>
      <c r="G231" s="702"/>
      <c r="H231" s="702"/>
      <c r="I231" s="702"/>
      <c r="J231" s="702"/>
      <c r="K231" s="702"/>
    </row>
    <row r="232" customFormat="false" ht="12" hidden="false" customHeight="false" outlineLevel="0" collapsed="false">
      <c r="B232" s="702"/>
      <c r="C232" s="702"/>
      <c r="D232" s="702"/>
      <c r="E232" s="702"/>
      <c r="F232" s="702"/>
      <c r="G232" s="702"/>
      <c r="H232" s="702"/>
      <c r="I232" s="702"/>
      <c r="J232" s="702"/>
      <c r="K232" s="702"/>
    </row>
    <row r="233" customFormat="false" ht="12" hidden="false" customHeight="false" outlineLevel="0" collapsed="false">
      <c r="B233" s="702"/>
      <c r="C233" s="702"/>
      <c r="D233" s="702"/>
      <c r="E233" s="702"/>
      <c r="F233" s="702"/>
      <c r="G233" s="702"/>
      <c r="H233" s="702"/>
      <c r="I233" s="702"/>
      <c r="J233" s="702"/>
      <c r="K233" s="702"/>
    </row>
    <row r="234" customFormat="false" ht="12" hidden="false" customHeight="false" outlineLevel="0" collapsed="false">
      <c r="B234" s="702"/>
      <c r="C234" s="702"/>
      <c r="D234" s="702"/>
      <c r="E234" s="702"/>
      <c r="F234" s="702"/>
      <c r="G234" s="702"/>
      <c r="H234" s="702"/>
      <c r="I234" s="702"/>
      <c r="J234" s="702"/>
      <c r="K234" s="702"/>
    </row>
    <row r="235" customFormat="false" ht="12" hidden="false" customHeight="false" outlineLevel="0" collapsed="false">
      <c r="B235" s="702"/>
      <c r="C235" s="702"/>
      <c r="D235" s="702"/>
      <c r="E235" s="702"/>
      <c r="F235" s="702"/>
      <c r="G235" s="702"/>
      <c r="H235" s="702"/>
      <c r="I235" s="702"/>
      <c r="J235" s="702"/>
      <c r="K235" s="702"/>
    </row>
    <row r="236" customFormat="false" ht="12" hidden="false" customHeight="false" outlineLevel="0" collapsed="false">
      <c r="B236" s="702"/>
      <c r="C236" s="702"/>
      <c r="D236" s="702"/>
      <c r="E236" s="702"/>
      <c r="F236" s="702"/>
      <c r="G236" s="702"/>
      <c r="H236" s="702"/>
      <c r="I236" s="702"/>
      <c r="J236" s="702"/>
      <c r="K236" s="702"/>
    </row>
    <row r="237" customFormat="false" ht="12" hidden="false" customHeight="false" outlineLevel="0" collapsed="false">
      <c r="B237" s="702"/>
      <c r="C237" s="702"/>
      <c r="D237" s="702"/>
      <c r="E237" s="702"/>
      <c r="F237" s="702"/>
      <c r="G237" s="702"/>
      <c r="H237" s="702"/>
      <c r="I237" s="702"/>
      <c r="J237" s="702"/>
      <c r="K237" s="702"/>
    </row>
    <row r="238" customFormat="false" ht="12" hidden="false" customHeight="false" outlineLevel="0" collapsed="false">
      <c r="B238" s="702"/>
      <c r="C238" s="702"/>
      <c r="D238" s="702"/>
      <c r="E238" s="702"/>
      <c r="F238" s="702"/>
      <c r="G238" s="702"/>
      <c r="H238" s="702"/>
      <c r="I238" s="702"/>
      <c r="J238" s="702"/>
      <c r="K238" s="702"/>
    </row>
    <row r="239" customFormat="false" ht="12" hidden="false" customHeight="false" outlineLevel="0" collapsed="false">
      <c r="B239" s="702"/>
      <c r="C239" s="702"/>
      <c r="D239" s="702"/>
      <c r="E239" s="702"/>
      <c r="F239" s="702"/>
      <c r="G239" s="702"/>
      <c r="H239" s="702"/>
      <c r="I239" s="702"/>
      <c r="J239" s="702"/>
      <c r="K239" s="702"/>
    </row>
    <row r="240" customFormat="false" ht="12" hidden="false" customHeight="false" outlineLevel="0" collapsed="false">
      <c r="B240" s="702"/>
      <c r="C240" s="702"/>
      <c r="D240" s="702"/>
      <c r="E240" s="702"/>
      <c r="F240" s="702"/>
      <c r="G240" s="702"/>
      <c r="H240" s="702"/>
      <c r="I240" s="702"/>
      <c r="J240" s="702"/>
      <c r="K240" s="702"/>
    </row>
  </sheetData>
  <mergeCells count="5">
    <mergeCell ref="A3:K3"/>
    <mergeCell ref="B6:K6"/>
    <mergeCell ref="D7:H7"/>
    <mergeCell ref="I7:K7"/>
    <mergeCell ref="A8:A9"/>
  </mergeCells>
  <hyperlinks>
    <hyperlink ref="B1" location="Index!A1" display="Back to index"/>
  </hyperlinks>
  <printOptions headings="false" gridLines="false" gridLinesSet="true" horizontalCentered="true" verticalCentered="true"/>
  <pageMargins left="0.790277777777778" right="0.790277777777778" top="0.979861111111111" bottom="0.97986111111111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C0C0"/>
    <pageSetUpPr fitToPage="true"/>
  </sheetPr>
  <dimension ref="A1:T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A3" activeCellId="0" sqref="A3"/>
    </sheetView>
  </sheetViews>
  <sheetFormatPr defaultColWidth="11.9921875" defaultRowHeight="12" zeroHeight="false" outlineLevelRow="0" outlineLevelCol="0"/>
  <cols>
    <col collapsed="false" customWidth="true" hidden="false" outlineLevel="0" max="1" min="1" style="666" width="14.49"/>
    <col collapsed="false" customWidth="true" hidden="false" outlineLevel="0" max="5" min="2" style="666" width="9.66"/>
    <col collapsed="false" customWidth="true" hidden="false" outlineLevel="0" max="7" min="6" style="704" width="9.66"/>
    <col collapsed="false" customWidth="true" hidden="false" outlineLevel="0" max="8" min="8" style="704" width="9.82"/>
    <col collapsed="false" customWidth="true" hidden="false" outlineLevel="0" max="9" min="9" style="704" width="9.66"/>
    <col collapsed="false" customWidth="true" hidden="false" outlineLevel="0" max="10" min="10" style="666" width="9.66"/>
    <col collapsed="false" customWidth="true" hidden="false" outlineLevel="0" max="11" min="11" style="666" width="9.82"/>
    <col collapsed="false" customWidth="true" hidden="false" outlineLevel="0" max="14" min="12" style="666" width="9.66"/>
    <col collapsed="false" customWidth="true" hidden="false" outlineLevel="0" max="17" min="15" style="666" width="8.82"/>
    <col collapsed="false" customWidth="true" hidden="false" outlineLevel="0" max="18" min="18" style="289" width="21.5"/>
    <col collapsed="false" customWidth="true" hidden="false" outlineLevel="0" max="19" min="19" style="289" width="12.99"/>
    <col collapsed="false" customWidth="false" hidden="false" outlineLevel="0" max="257" min="20" style="289" width="11.99"/>
  </cols>
  <sheetData>
    <row r="1" customFormat="false" ht="12" hidden="false" customHeight="false" outlineLevel="0" collapsed="false">
      <c r="A1" s="667"/>
      <c r="B1" s="21" t="s">
        <v>9</v>
      </c>
      <c r="C1" s="667"/>
      <c r="D1" s="667"/>
      <c r="E1" s="667"/>
      <c r="F1" s="705"/>
      <c r="G1" s="705"/>
      <c r="H1" s="705"/>
      <c r="I1" s="705"/>
      <c r="J1" s="667"/>
      <c r="K1" s="667"/>
      <c r="L1" s="667"/>
      <c r="M1" s="667"/>
      <c r="N1" s="667"/>
      <c r="P1" s="667"/>
    </row>
    <row r="2" customFormat="false" ht="13" hidden="false" customHeight="false" outlineLevel="0" collapsed="false"/>
    <row r="3" customFormat="false" ht="19.75" hidden="false" customHeight="true" outlineLevel="0" collapsed="false">
      <c r="A3" s="292" t="s">
        <v>205</v>
      </c>
      <c r="B3" s="292"/>
      <c r="C3" s="292"/>
      <c r="D3" s="292"/>
      <c r="E3" s="292"/>
      <c r="F3" s="292"/>
      <c r="G3" s="292"/>
      <c r="H3" s="292"/>
      <c r="I3" s="292"/>
      <c r="J3" s="292"/>
      <c r="K3" s="292"/>
      <c r="L3" s="292"/>
      <c r="M3" s="292"/>
      <c r="N3" s="292"/>
      <c r="O3" s="706"/>
      <c r="P3" s="707"/>
      <c r="Q3" s="707"/>
    </row>
    <row r="4" customFormat="false" ht="12" hidden="false" customHeight="false" outlineLevel="0" collapsed="false">
      <c r="A4" s="293"/>
      <c r="B4" s="294"/>
      <c r="C4" s="294"/>
      <c r="D4" s="294"/>
      <c r="E4" s="294"/>
      <c r="F4" s="708"/>
      <c r="G4" s="708"/>
      <c r="H4" s="708"/>
      <c r="I4" s="708"/>
      <c r="J4" s="294"/>
      <c r="K4" s="294"/>
      <c r="L4" s="294"/>
      <c r="M4" s="294"/>
      <c r="N4" s="295"/>
      <c r="O4" s="293"/>
      <c r="P4" s="294"/>
      <c r="Q4" s="294"/>
    </row>
    <row r="5" customFormat="false" ht="12" hidden="false" customHeight="false" outlineLevel="0" collapsed="false">
      <c r="A5" s="293"/>
      <c r="B5" s="296" t="s">
        <v>11</v>
      </c>
      <c r="C5" s="296" t="s">
        <v>12</v>
      </c>
      <c r="D5" s="296" t="s">
        <v>13</v>
      </c>
      <c r="E5" s="296" t="s">
        <v>14</v>
      </c>
      <c r="F5" s="296" t="s">
        <v>15</v>
      </c>
      <c r="G5" s="296" t="s">
        <v>16</v>
      </c>
      <c r="H5" s="296" t="s">
        <v>17</v>
      </c>
      <c r="I5" s="296" t="s">
        <v>18</v>
      </c>
      <c r="J5" s="709" t="s">
        <v>19</v>
      </c>
      <c r="K5" s="668" t="s">
        <v>20</v>
      </c>
      <c r="L5" s="709" t="s">
        <v>21</v>
      </c>
      <c r="M5" s="709" t="s">
        <v>22</v>
      </c>
      <c r="N5" s="297" t="s">
        <v>23</v>
      </c>
      <c r="O5" s="293"/>
      <c r="P5" s="294"/>
      <c r="Q5" s="294"/>
    </row>
    <row r="6" customFormat="false" ht="18" hidden="false" customHeight="true" outlineLevel="0" collapsed="false">
      <c r="A6" s="293"/>
      <c r="B6" s="620" t="s">
        <v>90</v>
      </c>
      <c r="C6" s="620"/>
      <c r="D6" s="620"/>
      <c r="E6" s="620"/>
      <c r="F6" s="620"/>
      <c r="G6" s="620"/>
      <c r="H6" s="620"/>
      <c r="I6" s="620"/>
      <c r="J6" s="620"/>
      <c r="K6" s="620"/>
      <c r="L6" s="620"/>
      <c r="M6" s="620"/>
      <c r="N6" s="620"/>
      <c r="O6" s="293"/>
      <c r="P6" s="294"/>
      <c r="Q6" s="294"/>
      <c r="R6" s="622"/>
    </row>
    <row r="7" customFormat="false" ht="34" hidden="false" customHeight="true" outlineLevel="0" collapsed="false">
      <c r="A7" s="315"/>
      <c r="B7" s="672" t="s">
        <v>189</v>
      </c>
      <c r="C7" s="710" t="s">
        <v>206</v>
      </c>
      <c r="D7" s="711" t="s">
        <v>207</v>
      </c>
      <c r="E7" s="711"/>
      <c r="F7" s="625" t="s">
        <v>208</v>
      </c>
      <c r="G7" s="625"/>
      <c r="H7" s="625"/>
      <c r="I7" s="625"/>
      <c r="J7" s="626" t="s">
        <v>209</v>
      </c>
      <c r="K7" s="626"/>
      <c r="L7" s="626"/>
      <c r="M7" s="626"/>
      <c r="N7" s="626"/>
    </row>
    <row r="8" customFormat="false" ht="117" hidden="false" customHeight="true" outlineLevel="0" collapsed="false">
      <c r="A8" s="712"/>
      <c r="B8" s="672"/>
      <c r="C8" s="710"/>
      <c r="D8" s="711"/>
      <c r="E8" s="711"/>
      <c r="F8" s="327" t="s">
        <v>182</v>
      </c>
      <c r="G8" s="713" t="s">
        <v>183</v>
      </c>
      <c r="H8" s="713" t="s">
        <v>184</v>
      </c>
      <c r="I8" s="325" t="s">
        <v>185</v>
      </c>
      <c r="J8" s="714" t="s">
        <v>210</v>
      </c>
      <c r="K8" s="715" t="s">
        <v>192</v>
      </c>
      <c r="L8" s="467" t="s">
        <v>193</v>
      </c>
      <c r="M8" s="467" t="s">
        <v>211</v>
      </c>
      <c r="N8" s="676" t="s">
        <v>195</v>
      </c>
      <c r="R8" s="290" t="s">
        <v>198</v>
      </c>
      <c r="S8" s="290"/>
    </row>
    <row r="9" customFormat="false" ht="24.75" hidden="false" customHeight="true" outlineLevel="0" collapsed="false">
      <c r="A9" s="712"/>
      <c r="B9" s="630" t="s">
        <v>199</v>
      </c>
      <c r="C9" s="633" t="s">
        <v>200</v>
      </c>
      <c r="D9" s="630" t="s">
        <v>180</v>
      </c>
      <c r="E9" s="631" t="s">
        <v>181</v>
      </c>
      <c r="F9" s="296"/>
      <c r="G9" s="296"/>
      <c r="H9" s="296"/>
      <c r="I9" s="716"/>
      <c r="J9" s="633" t="s">
        <v>201</v>
      </c>
      <c r="K9" s="678" t="s">
        <v>202</v>
      </c>
      <c r="L9" s="633" t="s">
        <v>203</v>
      </c>
      <c r="M9" s="633"/>
      <c r="N9" s="634" t="s">
        <v>204</v>
      </c>
    </row>
    <row r="10" customFormat="false" ht="15" hidden="false" customHeight="true" outlineLevel="0" collapsed="false">
      <c r="A10" s="307" t="s">
        <v>72</v>
      </c>
      <c r="B10" s="679" t="n">
        <f aca="false">(((1+B13)^40)*((1+B16)^100))^(1/140)-1</f>
        <v>0.0247172608432522</v>
      </c>
      <c r="C10" s="680" t="n">
        <f aca="false">(((1+C13)^40)*((1+C16)^100))^(1/140)-1</f>
        <v>0.0204527811700572</v>
      </c>
      <c r="D10" s="635" t="n">
        <f aca="false">TableDE5b!D10</f>
        <v>7.45111835973905</v>
      </c>
      <c r="E10" s="717" t="n">
        <f aca="false">TableDE5b!D150</f>
        <v>4.15587169044668</v>
      </c>
      <c r="F10" s="718" t="n">
        <f aca="false">D10/((1+B10)^140)</f>
        <v>0.244148589000801</v>
      </c>
      <c r="G10" s="636" t="n">
        <f aca="false">TableDE4c!J10*(SUM(TableDE5b!$B10:$B149)/TableDE5b!$B150)</f>
        <v>4.61789510516871</v>
      </c>
      <c r="H10" s="636" t="n">
        <f aca="false">TableDE4c!K10*(SUM(TableDE5b!$B10:$B149)/TableDE5b!$B150)</f>
        <v>-0.169130358013636</v>
      </c>
      <c r="I10" s="719" t="n">
        <f aca="false">E10-F10-G10-H10</f>
        <v>-0.537041645709198</v>
      </c>
      <c r="J10" s="312" t="n">
        <f aca="false">SUMPRODUCT(TableDE5b!B10:B149,TableDE5b!F10:F149)/SUM(TableDE5b!B10:B149)</f>
        <v>0.111266890862095</v>
      </c>
      <c r="K10" s="312" t="n">
        <f aca="false">SUMPRODUCT(TableDE5b!B10:B149,TableDE5b!O10:O149)/SUM(TableDE5b!B10:B149)</f>
        <v>-0.00407514866795201</v>
      </c>
      <c r="L10" s="682" t="n">
        <f aca="false">(((1+L13)^40)*((1+L16)^100))^(1/140)-1</f>
        <v>0.0295613874611507</v>
      </c>
      <c r="M10" s="680" t="n">
        <f aca="false">(((1+M13)^40)*((1+M16)^100))^(1/140)-1</f>
        <v>-0.00310658060205693</v>
      </c>
      <c r="N10" s="720" t="n">
        <f aca="false">(((1+N13)^40)*((1+N16)^100))^(1/140)-1</f>
        <v>-0.00575838277223895</v>
      </c>
      <c r="R10" s="195" t="n">
        <f aca="false">(1+L10)*(1+N10)*(1+M10)-1-C10</f>
        <v>0</v>
      </c>
      <c r="S10" s="684" t="n">
        <f aca="false">I10-TableDE4a!G10-TableDE4e!L9</f>
        <v>0</v>
      </c>
    </row>
    <row r="11" customFormat="false" ht="15" hidden="false" customHeight="true" outlineLevel="0" collapsed="false">
      <c r="A11" s="315"/>
      <c r="B11" s="316"/>
      <c r="C11" s="473"/>
      <c r="D11" s="639"/>
      <c r="E11" s="721"/>
      <c r="F11" s="722" t="n">
        <f aca="false">F10/$E10</f>
        <v>0.0587478649935316</v>
      </c>
      <c r="G11" s="722" t="n">
        <f aca="false">G10/$E10</f>
        <v>1.11117364758496</v>
      </c>
      <c r="H11" s="722" t="n">
        <f aca="false">H10/$E10</f>
        <v>-0.0406967227603358</v>
      </c>
      <c r="I11" s="723" t="n">
        <f aca="false">I10/$E10</f>
        <v>-0.129224789818156</v>
      </c>
      <c r="J11" s="473"/>
      <c r="K11" s="473"/>
      <c r="L11" s="686" t="n">
        <f aca="false">L10/($L10+$M10+$N10)</f>
        <v>1.4283330945043</v>
      </c>
      <c r="M11" s="652" t="n">
        <f aca="false">M10/($L10+$M10+$N10)</f>
        <v>-0.150102287671524</v>
      </c>
      <c r="N11" s="655" t="n">
        <f aca="false">N10/($L10+$M10+$N10)</f>
        <v>-0.278230806832778</v>
      </c>
      <c r="S11" s="684"/>
    </row>
    <row r="12" customFormat="false" ht="4.75" hidden="false" customHeight="true" outlineLevel="0" collapsed="false">
      <c r="A12" s="299"/>
      <c r="B12" s="324"/>
      <c r="C12" s="327"/>
      <c r="D12" s="645"/>
      <c r="E12" s="724"/>
      <c r="F12" s="326"/>
      <c r="G12" s="327"/>
      <c r="H12" s="327"/>
      <c r="I12" s="325"/>
      <c r="J12" s="327"/>
      <c r="K12" s="327"/>
      <c r="L12" s="687"/>
      <c r="M12" s="327"/>
      <c r="N12" s="647"/>
      <c r="S12" s="684"/>
    </row>
    <row r="13" customFormat="false" ht="15" hidden="false" customHeight="true" outlineLevel="0" collapsed="false">
      <c r="A13" s="307" t="s">
        <v>73</v>
      </c>
      <c r="B13" s="308" t="n">
        <f aca="false">PRODUCT(TableDE5b!X11:X50)^(1/40)-1</f>
        <v>0.0251251967298254</v>
      </c>
      <c r="C13" s="312" t="n">
        <f aca="false">((E13/D13)*(1+B13)^40)^(1/40)-1</f>
        <v>0.0211022616438956</v>
      </c>
      <c r="D13" s="635" t="n">
        <f aca="false">TableDE5b!D10</f>
        <v>7.45111835973905</v>
      </c>
      <c r="E13" s="717" t="n">
        <f aca="false">TableDE5b!D50</f>
        <v>6.36670396454508</v>
      </c>
      <c r="F13" s="718" t="n">
        <f aca="false">D13/((1+B13)^40)</f>
        <v>2.76150053812045</v>
      </c>
      <c r="G13" s="636" t="n">
        <f aca="false">J13*SUM(TableDE5b!$B10:$B49)/TableDE5b!$B50</f>
        <v>3.79932112428795</v>
      </c>
      <c r="H13" s="636" t="n">
        <f aca="false">K13*SUM(TableDE5b!$B10:$B49)/TableDE5b!$B50</f>
        <v>0</v>
      </c>
      <c r="I13" s="719" t="n">
        <f aca="false">E13-F13-G13-H13</f>
        <v>-0.194117697863324</v>
      </c>
      <c r="J13" s="312" t="n">
        <f aca="false">SUMPRODUCT(TableDE5b!B10:B49,TableDE5b!F10:F49)/SUM(TableDE5b!B10:B49)</f>
        <v>0.150027962422237</v>
      </c>
      <c r="K13" s="312" t="n">
        <f aca="false">SUMPRODUCT(TableDE5b!B10:B49,TableDE5b!O10:O49)/SUM(TableDE5b!B10:B49)</f>
        <v>0</v>
      </c>
      <c r="L13" s="682" t="n">
        <f aca="false">PRODUCT(TableDE5b!Z11:Z50)^(1/40)-1</f>
        <v>0.0225171851818791</v>
      </c>
      <c r="M13" s="680" t="n">
        <f aca="false">PRODUCT(TableDE5b!AA11:AA50)^(1/40)-1</f>
        <v>0</v>
      </c>
      <c r="N13" s="720" t="n">
        <f aca="false">PRODUCT(TableDE5b!AB11:AB50)^(1/40)-1</f>
        <v>-0.00138376504423399</v>
      </c>
      <c r="R13" s="195" t="n">
        <f aca="false">(1+L13)*(1+N13)*(1+M13)-1-C13</f>
        <v>2.22044604925031E-016</v>
      </c>
      <c r="S13" s="684" t="n">
        <f aca="false">I13-TableDE4a!G13-TableDE4e!L12</f>
        <v>0</v>
      </c>
    </row>
    <row r="14" customFormat="false" ht="15" hidden="false" customHeight="true" outlineLevel="0" collapsed="false">
      <c r="A14" s="315"/>
      <c r="B14" s="316"/>
      <c r="C14" s="473"/>
      <c r="D14" s="639"/>
      <c r="E14" s="721"/>
      <c r="F14" s="722" t="n">
        <f aca="false">F13/$E13</f>
        <v>0.433740999031635</v>
      </c>
      <c r="G14" s="722" t="n">
        <f aca="false">G13/$E13</f>
        <v>0.596748513115361</v>
      </c>
      <c r="H14" s="722" t="n">
        <f aca="false">H13/$E13</f>
        <v>0</v>
      </c>
      <c r="I14" s="723" t="n">
        <f aca="false">I13/$E13</f>
        <v>-0.0304895121469959</v>
      </c>
      <c r="J14" s="473"/>
      <c r="K14" s="473"/>
      <c r="L14" s="686" t="n">
        <f aca="false">L13/($L13+$M13+$N13)</f>
        <v>1.06547757226333</v>
      </c>
      <c r="M14" s="652" t="n">
        <f aca="false">M13/($L13+$M13+$N13)</f>
        <v>0</v>
      </c>
      <c r="N14" s="655" t="n">
        <f aca="false">N13/($L13+$M13+$N13)</f>
        <v>-0.0654775722633308</v>
      </c>
      <c r="S14" s="684"/>
    </row>
    <row r="15" customFormat="false" ht="4.75" hidden="false" customHeight="true" outlineLevel="0" collapsed="false">
      <c r="A15" s="299"/>
      <c r="B15" s="324"/>
      <c r="C15" s="327"/>
      <c r="D15" s="645"/>
      <c r="E15" s="724"/>
      <c r="F15" s="326"/>
      <c r="G15" s="327"/>
      <c r="H15" s="327"/>
      <c r="I15" s="325"/>
      <c r="J15" s="327"/>
      <c r="K15" s="327"/>
      <c r="L15" s="687"/>
      <c r="M15" s="327"/>
      <c r="N15" s="647"/>
      <c r="S15" s="684"/>
    </row>
    <row r="16" customFormat="false" ht="15" hidden="false" customHeight="true" outlineLevel="0" collapsed="false">
      <c r="A16" s="307" t="s">
        <v>74</v>
      </c>
      <c r="B16" s="308" t="n">
        <f aca="false">(((1+B19)^40)*((1+B22)^60))^(1/100)-1</f>
        <v>0.0245541319454916</v>
      </c>
      <c r="C16" s="312" t="n">
        <f aca="false">((E16/D16)*(1+B16)^100)^(1/100)-1</f>
        <v>0.0201931046653081</v>
      </c>
      <c r="D16" s="635" t="n">
        <f aca="false">E13</f>
        <v>6.36670396454508</v>
      </c>
      <c r="E16" s="717" t="n">
        <f aca="false">TableDE5b!D150</f>
        <v>4.15587169044668</v>
      </c>
      <c r="F16" s="718" t="n">
        <f aca="false">D16/((1+B16)^100)</f>
        <v>0.562890272180602</v>
      </c>
      <c r="G16" s="636" t="n">
        <f aca="false">J16*SUM(TableDE5b!$B50:$B149)/TableDE5b!$B150</f>
        <v>4.28199117219784</v>
      </c>
      <c r="H16" s="636" t="n">
        <f aca="false">K16*SUM(TableDE5b!$B50:$B149)/TableDE5b!$B150</f>
        <v>-0.169130358013636</v>
      </c>
      <c r="I16" s="719" t="n">
        <f aca="false">E16-F16-G16-H16</f>
        <v>-0.519879395918125</v>
      </c>
      <c r="J16" s="312" t="n">
        <f aca="false">SUMPRODUCT(TableDE5b!B50:B149,TableDE5b!F50:F149)/SUM(TableDE5b!B50:B149)</f>
        <v>0.109056622893365</v>
      </c>
      <c r="K16" s="312" t="n">
        <f aca="false">SUMPRODUCT(TableDE5b!B50:B149,TableDE5b!O50:O149)/SUM(TableDE5b!B50:B149)</f>
        <v>-0.00430752538526269</v>
      </c>
      <c r="L16" s="682" t="n">
        <f aca="false">(((1+L19)^40)*((1+L22)^60))^(1/100)-1</f>
        <v>0.0323926375623538</v>
      </c>
      <c r="M16" s="680" t="n">
        <f aca="false">(((1+M19)^40)*((1+M22)^60))^(1/100)-1</f>
        <v>-0.0043465089257968</v>
      </c>
      <c r="N16" s="683" t="n">
        <f aca="false">(((1+N19)^40)*((1+N22)^60))^(1/100)-1</f>
        <v>-0.00750285929038952</v>
      </c>
      <c r="R16" s="195" t="n">
        <f aca="false">(1+L16)*(1+N16)*(1+M16)-1-C16</f>
        <v>-2.22044604925031E-016</v>
      </c>
      <c r="S16" s="684" t="n">
        <f aca="false">I16-TableDE4a!G16-TableDE4e!L15</f>
        <v>0</v>
      </c>
    </row>
    <row r="17" customFormat="false" ht="15" hidden="false" customHeight="true" outlineLevel="0" collapsed="false">
      <c r="A17" s="315"/>
      <c r="B17" s="316"/>
      <c r="C17" s="473"/>
      <c r="D17" s="639"/>
      <c r="E17" s="721"/>
      <c r="F17" s="722" t="n">
        <f aca="false">F16/$E16</f>
        <v>0.13544457435357</v>
      </c>
      <c r="G17" s="722" t="n">
        <f aca="false">G16/$E16</f>
        <v>1.03034729922993</v>
      </c>
      <c r="H17" s="722" t="n">
        <f aca="false">H16/$E16</f>
        <v>-0.0406967227603358</v>
      </c>
      <c r="I17" s="723" t="n">
        <f aca="false">I16/$E16</f>
        <v>-0.125095150823159</v>
      </c>
      <c r="J17" s="473"/>
      <c r="K17" s="473"/>
      <c r="L17" s="686" t="n">
        <f aca="false">L16/($L16+$M16+$N16)</f>
        <v>1.57680050903859</v>
      </c>
      <c r="M17" s="652" t="n">
        <f aca="false">M16/($L16+$M16+$N16)</f>
        <v>-0.211578247481221</v>
      </c>
      <c r="N17" s="655" t="n">
        <f aca="false">N16/($L16+$M16+$N16)</f>
        <v>-0.365222261557372</v>
      </c>
      <c r="S17" s="684"/>
    </row>
    <row r="18" customFormat="false" ht="4.75" hidden="false" customHeight="true" outlineLevel="0" collapsed="false">
      <c r="A18" s="315"/>
      <c r="B18" s="316"/>
      <c r="C18" s="473"/>
      <c r="D18" s="635"/>
      <c r="E18" s="717"/>
      <c r="F18" s="725"/>
      <c r="G18" s="726"/>
      <c r="H18" s="726"/>
      <c r="I18" s="727"/>
      <c r="J18" s="473"/>
      <c r="K18" s="473"/>
      <c r="L18" s="688"/>
      <c r="M18" s="473"/>
      <c r="N18" s="649"/>
      <c r="S18" s="684"/>
    </row>
    <row r="19" customFormat="false" ht="15" hidden="false" customHeight="true" outlineLevel="0" collapsed="false">
      <c r="A19" s="307" t="s">
        <v>75</v>
      </c>
      <c r="B19" s="679" t="n">
        <f aca="false">PRODUCT(TableDE5b!X51:X90)^(1/40)-1</f>
        <v>0.0117071673703502</v>
      </c>
      <c r="C19" s="312" t="n">
        <f aca="false">((E19/D19)*(1+B19)^40)^(1/40)-1</f>
        <v>-0.0144628964392917</v>
      </c>
      <c r="D19" s="635" t="n">
        <f aca="false">D16</f>
        <v>6.36670396454508</v>
      </c>
      <c r="E19" s="717" t="n">
        <f aca="false">TableDE5b!D90</f>
        <v>2.23172540923371</v>
      </c>
      <c r="F19" s="718" t="n">
        <f aca="false">D19/((1+B19)^40)</f>
        <v>3.99688439836992</v>
      </c>
      <c r="G19" s="636" t="n">
        <f aca="false">J19*SUM(TableDE5b!$B50:$B89)/TableDE5b!$B90</f>
        <v>1.08734310843785</v>
      </c>
      <c r="H19" s="636" t="n">
        <f aca="false">K19*SUM(TableDE5b!$B50:$B89)/TableDE5b!$B90</f>
        <v>-1.20093475166423</v>
      </c>
      <c r="I19" s="719" t="n">
        <f aca="false">E19-F19-G19-H19</f>
        <v>-1.65156734590982</v>
      </c>
      <c r="J19" s="312" t="n">
        <f aca="false">SUMPRODUCT(TableDE5b!F50:F89,TableDE5b!B50:B89)/SUM(TableDE5b!B50:B89)</f>
        <v>0.0348087536372371</v>
      </c>
      <c r="K19" s="312" t="n">
        <f aca="false">SUMPRODUCT(TableDE5b!O50:O89,TableDE5b!B50:B89)/SUM(TableDE5b!B50:B89)</f>
        <v>-0.0384451251685716</v>
      </c>
      <c r="L19" s="682" t="n">
        <f aca="false">PRODUCT(TableDE5b!Z51:Z90)^(1/40)-1</f>
        <v>0.0114207087670029</v>
      </c>
      <c r="M19" s="680" t="n">
        <f aca="false">PRODUCT(TableDE5b!AA51:AA90)^(1/40)-1</f>
        <v>-0.0108308752271402</v>
      </c>
      <c r="N19" s="720" t="n">
        <f aca="false">PRODUCT(TableDE5b!AB51:AB90)^(1/40)-1</f>
        <v>-0.0149220779708321</v>
      </c>
      <c r="R19" s="195" t="n">
        <f aca="false">(1+L19)*(1+N19)*(1+M19)-1-C19</f>
        <v>1.11022302462516E-016</v>
      </c>
      <c r="S19" s="684" t="n">
        <f aca="false">I19-TableDE4a!G19-TableDE4e!L18</f>
        <v>0</v>
      </c>
    </row>
    <row r="20" customFormat="false" ht="15" hidden="false" customHeight="true" outlineLevel="0" collapsed="false">
      <c r="A20" s="315"/>
      <c r="B20" s="316"/>
      <c r="C20" s="473"/>
      <c r="D20" s="639"/>
      <c r="E20" s="721"/>
      <c r="F20" s="722" t="n">
        <f aca="false">F19/$E19</f>
        <v>1.79093914593296</v>
      </c>
      <c r="G20" s="722" t="n">
        <f aca="false">G19/$E19</f>
        <v>0.487220830994258</v>
      </c>
      <c r="H20" s="722" t="n">
        <f aca="false">H19/$E19</f>
        <v>-0.538119406041349</v>
      </c>
      <c r="I20" s="723" t="n">
        <f aca="false">I19/$E19</f>
        <v>-0.740040570885872</v>
      </c>
      <c r="J20" s="473"/>
      <c r="K20" s="473"/>
      <c r="L20" s="686" t="n">
        <f aca="false">L19/($L19+$M19+$N19)</f>
        <v>-0.796854171864715</v>
      </c>
      <c r="M20" s="652" t="n">
        <f aca="false">M19/($L19+$M19+$N19)</f>
        <v>0.755699868175328</v>
      </c>
      <c r="N20" s="655" t="n">
        <f aca="false">N19/($L19+$M19+$N19)</f>
        <v>1.04115430368939</v>
      </c>
      <c r="S20" s="684"/>
    </row>
    <row r="21" customFormat="false" ht="4" hidden="false" customHeight="true" outlineLevel="0" collapsed="false">
      <c r="A21" s="315"/>
      <c r="B21" s="316"/>
      <c r="C21" s="473"/>
      <c r="D21" s="635"/>
      <c r="E21" s="717"/>
      <c r="F21" s="725"/>
      <c r="G21" s="726"/>
      <c r="H21" s="726"/>
      <c r="I21" s="727"/>
      <c r="J21" s="473"/>
      <c r="K21" s="473"/>
      <c r="L21" s="688"/>
      <c r="M21" s="473"/>
      <c r="N21" s="649"/>
      <c r="S21" s="684"/>
    </row>
    <row r="22" customFormat="false" ht="15" hidden="false" customHeight="true" outlineLevel="0" collapsed="false">
      <c r="A22" s="307" t="s">
        <v>76</v>
      </c>
      <c r="B22" s="308" t="n">
        <f aca="false">PRODUCT(TableDE5b!X91:X150)^(1/60)-1</f>
        <v>0.0332092780246136</v>
      </c>
      <c r="C22" s="312" t="n">
        <f aca="false">((E22/D22)*(1+B22)^60)^(1/60)-1</f>
        <v>0.0439715260691524</v>
      </c>
      <c r="D22" s="635" t="n">
        <f aca="false">E19</f>
        <v>2.23172540923371</v>
      </c>
      <c r="E22" s="717" t="n">
        <f aca="false">E16</f>
        <v>4.15587169044668</v>
      </c>
      <c r="F22" s="718" t="n">
        <f aca="false">D22/((1+B22)^60)</f>
        <v>0.314298938330131</v>
      </c>
      <c r="G22" s="636" t="n">
        <f aca="false">J22*SUM(TableDE5b!$B90:$B149)/TableDE5b!$B150</f>
        <v>4.12885818228402</v>
      </c>
      <c r="H22" s="636" t="n">
        <f aca="false">K22*SUM(TableDE5b!$B90:$B149)/TableDE5b!$B150</f>
        <v>0</v>
      </c>
      <c r="I22" s="719" t="n">
        <f aca="false">E22-F22-G22-H22</f>
        <v>-0.287285430167472</v>
      </c>
      <c r="J22" s="312" t="n">
        <f aca="false">SUMPRODUCT(TableDE5b!B90:B149,TableDE5b!F90:F149)/SUM(TableDE5b!B90:B149)</f>
        <v>0.11842531265634</v>
      </c>
      <c r="K22" s="312" t="n">
        <f aca="false">SUMPRODUCT(TableDE5b!B90:B149,TableDE5b!O90:O149)/SUM(TableDE5b!B90:B149)</f>
        <v>0</v>
      </c>
      <c r="L22" s="689" t="n">
        <f aca="false">PRODUCT(TableDE5b!Z91:Z150)^(1/60)-1</f>
        <v>0.0466149570003886</v>
      </c>
      <c r="M22" s="312" t="n">
        <f aca="false">PRODUCT(TableDE5b!AA91:AA150)^(1/60)-1</f>
        <v>0</v>
      </c>
      <c r="N22" s="720" t="n">
        <f aca="false">PRODUCT(TableDE5b!AB91:AB150)^(1/60)-1</f>
        <v>-0.00252569573323547</v>
      </c>
      <c r="R22" s="195" t="n">
        <f aca="false">(1+L22)*(1+N22)*(1+M22)-1-C22</f>
        <v>0</v>
      </c>
      <c r="S22" s="684" t="n">
        <f aca="false">I22-TableDE4a!G22-TableDE4e!L21</f>
        <v>0</v>
      </c>
      <c r="T22" s="684"/>
    </row>
    <row r="23" customFormat="false" ht="15" hidden="false" customHeight="true" outlineLevel="0" collapsed="false">
      <c r="A23" s="315"/>
      <c r="B23" s="316"/>
      <c r="C23" s="473"/>
      <c r="D23" s="639"/>
      <c r="E23" s="721"/>
      <c r="F23" s="722" t="n">
        <f aca="false">F22/$E22</f>
        <v>0.075627680963449</v>
      </c>
      <c r="G23" s="722" t="n">
        <f aca="false">G22/$E22</f>
        <v>0.993499917664745</v>
      </c>
      <c r="H23" s="722" t="n">
        <f aca="false">H22/$E22</f>
        <v>0</v>
      </c>
      <c r="I23" s="723" t="n">
        <f aca="false">I22/$E22</f>
        <v>-0.069127598628194</v>
      </c>
      <c r="J23" s="691"/>
      <c r="K23" s="691"/>
      <c r="L23" s="686" t="n">
        <f aca="false">L22/($L22+$M22+$N22)</f>
        <v>1.0572859617205</v>
      </c>
      <c r="M23" s="652" t="n">
        <f aca="false">M22/($L22+$M22+$N22)</f>
        <v>0</v>
      </c>
      <c r="N23" s="655" t="n">
        <f aca="false">N22/($L22+$M22+$N22)</f>
        <v>-0.0572859617205047</v>
      </c>
      <c r="S23" s="684"/>
    </row>
    <row r="24" customFormat="false" ht="4.75" hidden="false" customHeight="true" outlineLevel="0" collapsed="false">
      <c r="A24" s="315"/>
      <c r="B24" s="316"/>
      <c r="C24" s="473"/>
      <c r="D24" s="635"/>
      <c r="E24" s="717"/>
      <c r="F24" s="725"/>
      <c r="G24" s="726"/>
      <c r="H24" s="726"/>
      <c r="I24" s="727"/>
      <c r="J24" s="473"/>
      <c r="K24" s="473"/>
      <c r="L24" s="688"/>
      <c r="M24" s="473"/>
      <c r="N24" s="649"/>
      <c r="S24" s="684"/>
    </row>
    <row r="25" customFormat="false" ht="15" hidden="false" customHeight="false" outlineLevel="0" collapsed="false">
      <c r="A25" s="333" t="s">
        <v>77</v>
      </c>
      <c r="B25" s="308" t="n">
        <f aca="false">PRODUCT(TableDE5b!X91:X120)^(1/30)-1</f>
        <v>0.0493890037489992</v>
      </c>
      <c r="C25" s="312" t="n">
        <f aca="false">((E25/D25)*(1+B25)^30)^(1/30)-1</f>
        <v>0.0631187802896447</v>
      </c>
      <c r="D25" s="635" t="n">
        <f aca="false">D22</f>
        <v>2.23172540923371</v>
      </c>
      <c r="E25" s="717" t="n">
        <f aca="false">TableDE5b!D120</f>
        <v>3.29609098585393</v>
      </c>
      <c r="F25" s="718" t="n">
        <f aca="false">D25/((1+B25)^30)</f>
        <v>0.525467048423359</v>
      </c>
      <c r="G25" s="636" t="n">
        <f aca="false">J25*SUM(TableDE5b!$B90:$B119)/TableDE5b!$B120</f>
        <v>3.23016108856999</v>
      </c>
      <c r="H25" s="636" t="n">
        <f aca="false">K25*SUM(TableDE5b!$B90:$B119)/TableDE5b!$B120</f>
        <v>0</v>
      </c>
      <c r="I25" s="719" t="n">
        <f aca="false">E25-F25-G25-H25</f>
        <v>-0.459537151139418</v>
      </c>
      <c r="J25" s="312" t="n">
        <f aca="false">SUMPRODUCT(TableDE5b!B90:B119,TableDE5b!F90:F119)/SUM(TableDE5b!B90:B119)</f>
        <v>0.175957575054567</v>
      </c>
      <c r="K25" s="312" t="n">
        <f aca="false">SUMPRODUCT(TableDE5b!B90:B119,TableDE5b!O90:O119)/SUM(TableDE5b!B90:B119)</f>
        <v>0</v>
      </c>
      <c r="L25" s="689" t="n">
        <f aca="false">PRODUCT(TableDE5b!Z91:Z120)^(1/30)-1</f>
        <v>0.0683571629403947</v>
      </c>
      <c r="M25" s="312" t="n">
        <f aca="false">PRODUCT(TableDE5b!AA91:AA120)^(1/30)-1</f>
        <v>0</v>
      </c>
      <c r="N25" s="720" t="n">
        <f aca="false">PRODUCT(TableDE5b!AB91:AB120)^(1/30)-1</f>
        <v>-0.00490321292584639</v>
      </c>
      <c r="R25" s="195" t="n">
        <f aca="false">(1+L25)*(1+N25)*(1+M25)-1-C25</f>
        <v>0</v>
      </c>
      <c r="S25" s="684" t="n">
        <f aca="false">I25-TableDE4a!G25-TableDE4e!L24</f>
        <v>0</v>
      </c>
      <c r="T25" s="684"/>
    </row>
    <row r="26" customFormat="false" ht="15" hidden="false" customHeight="false" outlineLevel="0" collapsed="false">
      <c r="A26" s="334"/>
      <c r="B26" s="335"/>
      <c r="C26" s="337"/>
      <c r="D26" s="639"/>
      <c r="E26" s="721"/>
      <c r="F26" s="722" t="n">
        <f aca="false">F25/$E25</f>
        <v>0.159421281353744</v>
      </c>
      <c r="G26" s="722" t="n">
        <f aca="false">G25/$E25</f>
        <v>0.979997549349549</v>
      </c>
      <c r="H26" s="722" t="n">
        <f aca="false">H25/$E25</f>
        <v>0</v>
      </c>
      <c r="I26" s="723" t="n">
        <f aca="false">I25/$E25</f>
        <v>-0.139418830703293</v>
      </c>
      <c r="J26" s="475"/>
      <c r="K26" s="475"/>
      <c r="L26" s="686" t="n">
        <f aca="false">L25/($L25+$M25+$N25)</f>
        <v>1.07727198897346</v>
      </c>
      <c r="M26" s="652" t="n">
        <f aca="false">M25/($L25+$M25+$N25)</f>
        <v>0</v>
      </c>
      <c r="N26" s="655" t="n">
        <f aca="false">N25/($L25+$M25+$N25)</f>
        <v>-0.0772719889734557</v>
      </c>
      <c r="S26" s="684"/>
    </row>
    <row r="27" customFormat="false" ht="4" hidden="false" customHeight="true" outlineLevel="0" collapsed="false">
      <c r="A27" s="334"/>
      <c r="B27" s="335"/>
      <c r="C27" s="337"/>
      <c r="D27" s="639"/>
      <c r="E27" s="721"/>
      <c r="F27" s="337"/>
      <c r="G27" s="652"/>
      <c r="H27" s="652"/>
      <c r="I27" s="727"/>
      <c r="J27" s="475"/>
      <c r="K27" s="475"/>
      <c r="L27" s="686"/>
      <c r="M27" s="652"/>
      <c r="N27" s="655"/>
      <c r="S27" s="684"/>
    </row>
    <row r="28" customFormat="false" ht="15" hidden="false" customHeight="false" outlineLevel="0" collapsed="false">
      <c r="A28" s="333" t="s">
        <v>78</v>
      </c>
      <c r="B28" s="308" t="n">
        <f aca="false">PRODUCT(TableDE5b!X121:X150)^(1/30)-1</f>
        <v>0.0172790151053279</v>
      </c>
      <c r="C28" s="312" t="n">
        <f aca="false">((E28/D28)*(1+B28)^30)^(1/30)-1</f>
        <v>0.025169122632017</v>
      </c>
      <c r="D28" s="635" t="n">
        <f aca="false">E25</f>
        <v>3.29609098585393</v>
      </c>
      <c r="E28" s="717" t="n">
        <f aca="false">E22</f>
        <v>4.15587169044668</v>
      </c>
      <c r="F28" s="718" t="n">
        <f aca="false">D28/((1+B28)^30)</f>
        <v>1.97149926070865</v>
      </c>
      <c r="G28" s="636" t="n">
        <f aca="false">J28*SUM(TableDE5b!$B120:$B149)/TableDE5b!$B150</f>
        <v>2.1967937382451</v>
      </c>
      <c r="H28" s="636" t="n">
        <f aca="false">K28*SUM(TableDE5b!$B120:$B149)/TableDE5b!$B150</f>
        <v>0</v>
      </c>
      <c r="I28" s="719" t="n">
        <f aca="false">E28-F28-G28-H28</f>
        <v>-0.0124213085070717</v>
      </c>
      <c r="J28" s="312" t="n">
        <f aca="false">SUMPRODUCT(TableDE5b!B120:B149,TableDE5b!F120:F149)/SUM(TableDE5b!B120:B149)</f>
        <v>0.0919761921042656</v>
      </c>
      <c r="K28" s="312" t="n">
        <f aca="false">SUMPRODUCT(TableDE5b!B120:B149,TableDE5b!O120:O149)/SUM(TableDE5b!B120:B149)</f>
        <v>0</v>
      </c>
      <c r="L28" s="689" t="n">
        <f aca="false">PRODUCT(TableDE5b!Z121:Z150)^(1/30)-1</f>
        <v>0.0253152281041427</v>
      </c>
      <c r="M28" s="312" t="n">
        <f aca="false">PRODUCT(TableDE5b!AA121:AA150)^(1/30)-1</f>
        <v>0</v>
      </c>
      <c r="N28" s="720" t="n">
        <f aca="false">PRODUCT(TableDE5b!AB121:AB150)^(1/30)-1</f>
        <v>-0.000142498100214494</v>
      </c>
      <c r="R28" s="195" t="n">
        <f aca="false">(1+L28)*(1+N28)*(1+M28)-1-C28</f>
        <v>-2.22044604925031E-016</v>
      </c>
      <c r="S28" s="684" t="n">
        <f aca="false">I28-TableDE4a!G28-TableDE4e!L27</f>
        <v>0</v>
      </c>
      <c r="T28" s="684"/>
    </row>
    <row r="29" customFormat="false" ht="15" hidden="false" customHeight="false" outlineLevel="0" collapsed="false">
      <c r="A29" s="334"/>
      <c r="B29" s="335"/>
      <c r="C29" s="337"/>
      <c r="D29" s="639"/>
      <c r="E29" s="721"/>
      <c r="F29" s="722" t="n">
        <f aca="false">F28/$E28</f>
        <v>0.474388866538069</v>
      </c>
      <c r="G29" s="722" t="n">
        <f aca="false">G28/$E28</f>
        <v>0.528599991018729</v>
      </c>
      <c r="H29" s="722" t="n">
        <f aca="false">H28/$E28</f>
        <v>0</v>
      </c>
      <c r="I29" s="723" t="n">
        <f aca="false">I28/$E28</f>
        <v>-0.00298885755679734</v>
      </c>
      <c r="J29" s="475"/>
      <c r="K29" s="475"/>
      <c r="L29" s="686" t="n">
        <f aca="false">L28/($L28+$M28+$N28)</f>
        <v>1.00566081232319</v>
      </c>
      <c r="M29" s="652" t="n">
        <f aca="false">M28/($L28+$M28+$N28)</f>
        <v>0</v>
      </c>
      <c r="N29" s="655" t="n">
        <f aca="false">N28/($L28+$M28+$N28)</f>
        <v>-0.00566081232318694</v>
      </c>
      <c r="S29" s="684"/>
    </row>
    <row r="30" customFormat="false" ht="4" hidden="false" customHeight="true" outlineLevel="0" collapsed="false">
      <c r="A30" s="334"/>
      <c r="B30" s="335"/>
      <c r="C30" s="337"/>
      <c r="D30" s="639"/>
      <c r="E30" s="721"/>
      <c r="F30" s="337"/>
      <c r="G30" s="652"/>
      <c r="H30" s="652"/>
      <c r="I30" s="727"/>
      <c r="J30" s="475"/>
      <c r="K30" s="475"/>
      <c r="L30" s="686"/>
      <c r="M30" s="652"/>
      <c r="N30" s="655"/>
      <c r="S30" s="684"/>
    </row>
    <row r="31" customFormat="false" ht="15" hidden="false" customHeight="false" outlineLevel="0" collapsed="false">
      <c r="A31" s="333" t="s">
        <v>79</v>
      </c>
      <c r="B31" s="308" t="n">
        <f aca="false">PRODUCT(TableDE5b!X91:X110)^(1/20)-1</f>
        <v>0.0610117670085468</v>
      </c>
      <c r="C31" s="312" t="n">
        <f aca="false">((E31/D31)*(1+B31)^20)^(1/20)-1</f>
        <v>0.0791640997605148</v>
      </c>
      <c r="D31" s="635" t="n">
        <f aca="false">E19</f>
        <v>2.23172540923371</v>
      </c>
      <c r="E31" s="717" t="n">
        <f aca="false">TableDE5b!D110</f>
        <v>3.13318859457725</v>
      </c>
      <c r="F31" s="718" t="n">
        <f aca="false">D31/((1+B31)^20)</f>
        <v>0.68271076338991</v>
      </c>
      <c r="G31" s="636" t="n">
        <f aca="false">J31*SUM(TableDE5b!$B90:$B109)/TableDE5b!$B110</f>
        <v>2.535052826553</v>
      </c>
      <c r="H31" s="636" t="n">
        <f aca="false">K31*SUM(TableDE5b!$B90:$B109)/TableDE5b!$B110</f>
        <v>0</v>
      </c>
      <c r="I31" s="719" t="n">
        <f aca="false">E31-F31-G31-H31</f>
        <v>-0.0845749953656618</v>
      </c>
      <c r="J31" s="312" t="n">
        <f aca="false">SUMPRODUCT(TableDE5b!B90:B109,TableDE5b!F90:F109)/SUM(TableDE5b!B90:B109)</f>
        <v>0.202703601795942</v>
      </c>
      <c r="K31" s="312" t="n">
        <f aca="false">SUMPRODUCT(TableDE5b!B90:B109,TableDE5b!O90:O109)/SUM(TableDE5b!B90:B109)</f>
        <v>0</v>
      </c>
      <c r="L31" s="689" t="n">
        <f aca="false">PRODUCT(TableDE5b!Z91:Z110)^(1/20)-1</f>
        <v>0.0789554963100516</v>
      </c>
      <c r="M31" s="312" t="n">
        <f aca="false">PRODUCT(TableDE5b!AA91:AA110)^(1/20)-1</f>
        <v>0</v>
      </c>
      <c r="N31" s="720" t="n">
        <f aca="false">PRODUCT(TableDE5b!AB91:AB110)^(1/20)-1</f>
        <v>0.000193338326906378</v>
      </c>
      <c r="R31" s="195" t="n">
        <f aca="false">(1+L31)*(1+N31)*(1+M31)-1-C31</f>
        <v>0</v>
      </c>
      <c r="S31" s="684" t="n">
        <f aca="false">I31-TableDE4a!G31-TableDE4e!L30</f>
        <v>0</v>
      </c>
      <c r="T31" s="684"/>
    </row>
    <row r="32" customFormat="false" ht="15" hidden="false" customHeight="false" outlineLevel="0" collapsed="false">
      <c r="A32" s="334"/>
      <c r="B32" s="335"/>
      <c r="C32" s="337"/>
      <c r="D32" s="639"/>
      <c r="E32" s="721"/>
      <c r="F32" s="722" t="n">
        <f aca="false">F31/$E31</f>
        <v>0.21789647918785</v>
      </c>
      <c r="G32" s="722" t="n">
        <f aca="false">G31/$E31</f>
        <v>0.80909678751561</v>
      </c>
      <c r="H32" s="722" t="n">
        <f aca="false">H31/$E31</f>
        <v>0</v>
      </c>
      <c r="I32" s="723" t="n">
        <f aca="false">I31/$E31</f>
        <v>-0.0269932667034597</v>
      </c>
      <c r="J32" s="475"/>
      <c r="K32" s="475"/>
      <c r="L32" s="686" t="n">
        <f aca="false">L31/($L31+$M31+$N31)</f>
        <v>0.997557281445858</v>
      </c>
      <c r="M32" s="652" t="n">
        <f aca="false">M31/($L31+$M31+$N31)</f>
        <v>0</v>
      </c>
      <c r="N32" s="655" t="n">
        <f aca="false">N31/($L31+$M31+$N31)</f>
        <v>0.00244271855414154</v>
      </c>
      <c r="S32" s="684"/>
    </row>
    <row r="33" customFormat="false" ht="4" hidden="false" customHeight="true" outlineLevel="0" collapsed="false">
      <c r="A33" s="334"/>
      <c r="B33" s="335"/>
      <c r="C33" s="337"/>
      <c r="D33" s="639"/>
      <c r="E33" s="721"/>
      <c r="F33" s="337"/>
      <c r="G33" s="652"/>
      <c r="H33" s="652"/>
      <c r="I33" s="727"/>
      <c r="J33" s="475"/>
      <c r="K33" s="475"/>
      <c r="L33" s="686"/>
      <c r="M33" s="652"/>
      <c r="N33" s="655"/>
      <c r="S33" s="684"/>
    </row>
    <row r="34" customFormat="false" ht="15" hidden="false" customHeight="false" outlineLevel="0" collapsed="false">
      <c r="A34" s="333" t="s">
        <v>80</v>
      </c>
      <c r="B34" s="308" t="n">
        <f aca="false">PRODUCT(TableDE5b!X111:X150)^(1/40)-1</f>
        <v>0.0195824371209541</v>
      </c>
      <c r="C34" s="312" t="n">
        <f aca="false">((E34/D34)*(1+B34)^40)^(1/40)-1</f>
        <v>0.026807981265808</v>
      </c>
      <c r="D34" s="635" t="n">
        <f aca="false">E31</f>
        <v>3.13318859457725</v>
      </c>
      <c r="E34" s="717" t="n">
        <f aca="false">E22</f>
        <v>4.15587169044668</v>
      </c>
      <c r="F34" s="718" t="n">
        <f aca="false">D34/((1+B34)^40)</f>
        <v>1.44242320711924</v>
      </c>
      <c r="G34" s="636" t="n">
        <f aca="false">J34*SUM(TableDE5b!$B110:$B149)/TableDE5b!$B150</f>
        <v>2.96179819916588</v>
      </c>
      <c r="H34" s="636" t="n">
        <f aca="false">K34*SUM(TableDE5b!$B110:$B149)/TableDE5b!$B150</f>
        <v>0</v>
      </c>
      <c r="I34" s="719" t="n">
        <f aca="false">E34-F34-G34-H34</f>
        <v>-0.24834971583844</v>
      </c>
      <c r="J34" s="312" t="n">
        <f aca="false">SUMPRODUCT(TableDE5b!B110:B149,TableDE5b!F110:F149)/SUM(TableDE5b!B110:B149)</f>
        <v>0.101754869004257</v>
      </c>
      <c r="K34" s="312" t="n">
        <f aca="false">SUMPRODUCT(TableDE5b!B110:B149,TableDE5b!O110:O149)/SUM(TableDE5b!B110:B149)</f>
        <v>0</v>
      </c>
      <c r="L34" s="689" t="n">
        <f aca="false">PRODUCT(TableDE5b!Z111:Z150)^(1/40)-1</f>
        <v>0.0308100389938535</v>
      </c>
      <c r="M34" s="312" t="n">
        <f aca="false">PRODUCT(TableDE5b!AA111:AA150)^(1/40)-1</f>
        <v>0</v>
      </c>
      <c r="N34" s="720" t="n">
        <f aca="false">PRODUCT(TableDE5b!AB111:AB150)^(1/40)-1</f>
        <v>-0.00388243961220225</v>
      </c>
      <c r="R34" s="195" t="n">
        <f aca="false">(1+L34)*(1+N34)*(1+M34)-1-C34</f>
        <v>0</v>
      </c>
      <c r="S34" s="684" t="n">
        <f aca="false">I34-TableDE4a!G34-TableDE4e!L33</f>
        <v>0</v>
      </c>
      <c r="T34" s="684"/>
    </row>
    <row r="35" customFormat="false" ht="15" hidden="false" customHeight="false" outlineLevel="0" collapsed="false">
      <c r="A35" s="334"/>
      <c r="B35" s="335"/>
      <c r="C35" s="337"/>
      <c r="D35" s="639"/>
      <c r="E35" s="721"/>
      <c r="F35" s="722" t="n">
        <f aca="false">F34/$E34</f>
        <v>0.347080784624563</v>
      </c>
      <c r="G35" s="722" t="n">
        <f aca="false">G34/$E34</f>
        <v>0.712677969816613</v>
      </c>
      <c r="H35" s="722" t="n">
        <f aca="false">H34/$E34</f>
        <v>0</v>
      </c>
      <c r="I35" s="723" t="n">
        <f aca="false">I34/$E34</f>
        <v>-0.0597587544411764</v>
      </c>
      <c r="J35" s="475"/>
      <c r="K35" s="475"/>
      <c r="L35" s="686" t="n">
        <f aca="false">L34/($L34+$M34+$N34)</f>
        <v>1.14418068083885</v>
      </c>
      <c r="M35" s="652" t="n">
        <f aca="false">M34/($L34+$M34+$N34)</f>
        <v>0</v>
      </c>
      <c r="N35" s="655" t="n">
        <f aca="false">N34/($L34+$M34+$N34)</f>
        <v>-0.144180680838849</v>
      </c>
      <c r="S35" s="684"/>
    </row>
    <row r="36" customFormat="false" ht="4" hidden="false" customHeight="true" outlineLevel="0" collapsed="false">
      <c r="A36" s="334"/>
      <c r="B36" s="335"/>
      <c r="C36" s="337"/>
      <c r="D36" s="639"/>
      <c r="E36" s="721"/>
      <c r="F36" s="337"/>
      <c r="G36" s="652"/>
      <c r="H36" s="652"/>
      <c r="I36" s="727"/>
      <c r="J36" s="475"/>
      <c r="K36" s="475"/>
      <c r="L36" s="686"/>
      <c r="M36" s="652"/>
      <c r="N36" s="655"/>
      <c r="S36" s="684"/>
    </row>
    <row r="37" customFormat="false" ht="15" hidden="false" customHeight="false" outlineLevel="0" collapsed="false">
      <c r="A37" s="333" t="s">
        <v>81</v>
      </c>
      <c r="B37" s="308" t="n">
        <f aca="false">PRODUCT(TableDE5b!X111:X130)^(1/20)-1</f>
        <v>0.0248985485714113</v>
      </c>
      <c r="C37" s="312" t="n">
        <f aca="false">((E37/D37)*(1+B37)^20)^(1/20)-1</f>
        <v>0.0316482290937312</v>
      </c>
      <c r="D37" s="635" t="n">
        <f aca="false">D34</f>
        <v>3.13318859457725</v>
      </c>
      <c r="E37" s="717" t="n">
        <f aca="false">TableDE5b!D130</f>
        <v>3.57274249221261</v>
      </c>
      <c r="F37" s="718" t="n">
        <f aca="false">D37/((1+B37)^20)</f>
        <v>1.91588296089383</v>
      </c>
      <c r="G37" s="636" t="n">
        <f aca="false">J37*SUM(TableDE5b!$B110:$B129)/TableDE5b!$B130</f>
        <v>1.88077594124846</v>
      </c>
      <c r="H37" s="636" t="n">
        <f aca="false">K37*SUM(TableDE5b!$B110:$B129)/TableDE5b!$B130</f>
        <v>0</v>
      </c>
      <c r="I37" s="719" t="n">
        <f aca="false">E37-F37-G37-H37</f>
        <v>-0.223916409929669</v>
      </c>
      <c r="J37" s="312" t="n">
        <f aca="false">SUMPRODUCT(TableDE5b!B110:B129,TableDE5b!F110:F129)/SUM(TableDE5b!B110:B129)</f>
        <v>0.122316255145961</v>
      </c>
      <c r="K37" s="312" t="n">
        <f aca="false">SUMPRODUCT(TableDE5b!B110:B129,TableDE5b!O110:O129)/SUM(TableDE5b!B110:B129)</f>
        <v>0</v>
      </c>
      <c r="L37" s="689" t="n">
        <f aca="false">PRODUCT(TableDE5b!Z111:Z130)^(1/20)-1</f>
        <v>0.0380200500186354</v>
      </c>
      <c r="M37" s="312" t="n">
        <f aca="false">PRODUCT(TableDE5b!AA111:AA130)^(1/20)-1</f>
        <v>0</v>
      </c>
      <c r="N37" s="720" t="n">
        <f aca="false">PRODUCT(TableDE5b!AB111:AB130)^(1/20)-1</f>
        <v>-0.00613843723422258</v>
      </c>
      <c r="R37" s="195" t="n">
        <f aca="false">(1+L37)*(1+N37)*(1+M37)-1-C37</f>
        <v>2.22044604925031E-016</v>
      </c>
      <c r="S37" s="684" t="n">
        <f aca="false">I37-TableDE4a!G37-TableDE4e!L36</f>
        <v>0</v>
      </c>
      <c r="T37" s="684"/>
    </row>
    <row r="38" customFormat="false" ht="15" hidden="false" customHeight="false" outlineLevel="0" collapsed="false">
      <c r="A38" s="334"/>
      <c r="B38" s="335"/>
      <c r="C38" s="337"/>
      <c r="D38" s="639"/>
      <c r="E38" s="721"/>
      <c r="F38" s="722" t="n">
        <f aca="false">F37/$E37</f>
        <v>0.536249943865199</v>
      </c>
      <c r="G38" s="722" t="n">
        <f aca="false">G37/$E37</f>
        <v>0.526423593457385</v>
      </c>
      <c r="H38" s="722" t="n">
        <f aca="false">H37/$E37</f>
        <v>0</v>
      </c>
      <c r="I38" s="723" t="n">
        <f aca="false">I37/$E37</f>
        <v>-0.062673537322584</v>
      </c>
      <c r="J38" s="475"/>
      <c r="K38" s="475"/>
      <c r="L38" s="686" t="n">
        <f aca="false">L37/($L37+$M37+$N37)</f>
        <v>1.19253847902022</v>
      </c>
      <c r="M38" s="652" t="n">
        <f aca="false">M37/($L37+$M37+$N37)</f>
        <v>0</v>
      </c>
      <c r="N38" s="655" t="n">
        <f aca="false">N37/($L37+$M37+$N37)</f>
        <v>-0.192538479020224</v>
      </c>
      <c r="S38" s="684"/>
    </row>
    <row r="39" customFormat="false" ht="4" hidden="false" customHeight="true" outlineLevel="0" collapsed="false">
      <c r="A39" s="334"/>
      <c r="B39" s="335"/>
      <c r="C39" s="337"/>
      <c r="D39" s="639"/>
      <c r="E39" s="721"/>
      <c r="F39" s="337"/>
      <c r="G39" s="652"/>
      <c r="H39" s="652"/>
      <c r="I39" s="727"/>
      <c r="J39" s="475"/>
      <c r="K39" s="475"/>
      <c r="L39" s="686"/>
      <c r="M39" s="652"/>
      <c r="N39" s="655"/>
      <c r="S39" s="684"/>
    </row>
    <row r="40" customFormat="false" ht="15" hidden="false" customHeight="false" outlineLevel="0" collapsed="false">
      <c r="A40" s="333" t="s">
        <v>82</v>
      </c>
      <c r="B40" s="308" t="n">
        <f aca="false">PRODUCT(TableDE5b!X131:X150)^(1/20)-1</f>
        <v>0.0142939001470077</v>
      </c>
      <c r="C40" s="312" t="n">
        <f aca="false">((E40/D40)*(1+B40)^20)^(1/20)-1</f>
        <v>0.0219904427281008</v>
      </c>
      <c r="D40" s="635" t="n">
        <f aca="false">TableDE5b!D130</f>
        <v>3.57274249221261</v>
      </c>
      <c r="E40" s="717" t="n">
        <f aca="false">E28</f>
        <v>4.15587169044668</v>
      </c>
      <c r="F40" s="718" t="n">
        <f aca="false">D40/((1+B40)^20)</f>
        <v>2.68983376804202</v>
      </c>
      <c r="G40" s="636" t="n">
        <f aca="false">J40*SUM(TableDE5b!$B130:$B149)/TableDE5b!$B150</f>
        <v>1.54580624119018</v>
      </c>
      <c r="H40" s="636" t="n">
        <f aca="false">K40*SUM(TableDE5b!$B130:$B149)/TableDE5b!$B150</f>
        <v>0</v>
      </c>
      <c r="I40" s="719" t="n">
        <f aca="false">E40-F40-G40-H40</f>
        <v>-0.0797683187855158</v>
      </c>
      <c r="J40" s="312" t="n">
        <f aca="false">SUMPRODUCT(TableDE5b!B130:B149,TableDE5b!F130:F149)/SUM(TableDE5b!B130:B149)</f>
        <v>0.0881770637221812</v>
      </c>
      <c r="K40" s="312" t="n">
        <f aca="false">SUMPRODUCT(TableDE5b!B130:B149,TableDE5b!O130:O149)/SUM(TableDE5b!B130:B149)</f>
        <v>0</v>
      </c>
      <c r="L40" s="689" t="n">
        <f aca="false">PRODUCT(TableDE5b!Z131:Z150)^(1/20)-1</f>
        <v>0.0236501081760738</v>
      </c>
      <c r="M40" s="312" t="n">
        <f aca="false">PRODUCT(TableDE5b!AA131:AA150)^(1/20)-1</f>
        <v>0</v>
      </c>
      <c r="N40" s="720" t="n">
        <f aca="false">PRODUCT(TableDE5b!AB131:AB150)^(1/20)-1</f>
        <v>-0.00162132103022006</v>
      </c>
      <c r="R40" s="195" t="n">
        <f aca="false">(1+L40)*(1+N40)*(1+M40)-1-C40</f>
        <v>2.22044604925031E-016</v>
      </c>
      <c r="S40" s="684" t="n">
        <f aca="false">I40-TableDE4a!G40-TableDE4e!L39</f>
        <v>-6.66133814775094E-016</v>
      </c>
      <c r="T40" s="684"/>
    </row>
    <row r="41" customFormat="false" ht="15" hidden="false" customHeight="false" outlineLevel="0" collapsed="false">
      <c r="A41" s="334"/>
      <c r="B41" s="335"/>
      <c r="C41" s="337"/>
      <c r="D41" s="639"/>
      <c r="E41" s="721"/>
      <c r="F41" s="722" t="n">
        <f aca="false">F40/$E40</f>
        <v>0.647236962157729</v>
      </c>
      <c r="G41" s="722" t="n">
        <f aca="false">G40/$E40</f>
        <v>0.3719571623791</v>
      </c>
      <c r="H41" s="722" t="n">
        <f aca="false">H40/$E40</f>
        <v>0</v>
      </c>
      <c r="I41" s="723" t="n">
        <f aca="false">I40/$E40</f>
        <v>-0.0191941245368291</v>
      </c>
      <c r="J41" s="475"/>
      <c r="K41" s="475"/>
      <c r="L41" s="686" t="n">
        <f aca="false">L40/($L40+$M40+$N40)</f>
        <v>1.0736001042402</v>
      </c>
      <c r="M41" s="652" t="n">
        <f aca="false">M40/($L40+$M40+$N40)</f>
        <v>0</v>
      </c>
      <c r="N41" s="655" t="n">
        <f aca="false">N40/($L40+$M40+$N40)</f>
        <v>-0.0736001042402019</v>
      </c>
      <c r="S41" s="684"/>
    </row>
    <row r="42" customFormat="false" ht="4.75" hidden="false" customHeight="true" outlineLevel="0" collapsed="false">
      <c r="A42" s="338"/>
      <c r="B42" s="316"/>
      <c r="C42" s="473"/>
      <c r="D42" s="639"/>
      <c r="E42" s="721"/>
      <c r="F42" s="337"/>
      <c r="G42" s="726"/>
      <c r="H42" s="726"/>
      <c r="I42" s="727"/>
      <c r="J42" s="473"/>
      <c r="K42" s="473"/>
      <c r="L42" s="688"/>
      <c r="M42" s="473"/>
      <c r="N42" s="649"/>
      <c r="S42" s="684"/>
    </row>
    <row r="43" customFormat="false" ht="15" hidden="false" customHeight="false" outlineLevel="0" collapsed="false">
      <c r="A43" s="339" t="s">
        <v>83</v>
      </c>
      <c r="B43" s="340" t="n">
        <f aca="false">PRODUCT(TableDE5b!X91:X100)^(1/10)-1</f>
        <v>0.0808160588402462</v>
      </c>
      <c r="C43" s="476" t="n">
        <f aca="false">((E43/D43)*(1+B43)^10)^(1/10)-1</f>
        <v>0.0941597674514976</v>
      </c>
      <c r="D43" s="656" t="n">
        <f aca="false">D22</f>
        <v>2.23172540923371</v>
      </c>
      <c r="E43" s="728" t="n">
        <f aca="false">TableDE5b!D100</f>
        <v>2.52307572864579</v>
      </c>
      <c r="F43" s="729" t="n">
        <f aca="false">D43/((1+B43)^10)</f>
        <v>1.02594214264624</v>
      </c>
      <c r="G43" s="657" t="n">
        <f aca="false">J43*SUM(TableDE5b!$B90:$B99)/TableDE5b!$B100</f>
        <v>1.43264311170547</v>
      </c>
      <c r="H43" s="657" t="n">
        <f aca="false">K43*SUM(TableDE5b!$B90:$B99)/TableDE5b!$B100</f>
        <v>0</v>
      </c>
      <c r="I43" s="730" t="n">
        <f aca="false">E43-F43-G43-H43</f>
        <v>0.0644904742940822</v>
      </c>
      <c r="J43" s="476" t="n">
        <f aca="false">SUMPRODUCT(TableDE5b!B90:B99,TableDE5b!F90:F99)/SUM(TableDE5b!B90:B99)</f>
        <v>0.208745701800105</v>
      </c>
      <c r="K43" s="476" t="n">
        <f aca="false">SUMPRODUCT(TableDE5b!B90:B99,TableDE5b!O90:O99)/SUM(TableDE5b!B90:B99)</f>
        <v>0</v>
      </c>
      <c r="L43" s="693" t="n">
        <f aca="false">PRODUCT(TableDE5b!Z91:Z100)^(1/10)-1</f>
        <v>0.0897853818039773</v>
      </c>
      <c r="M43" s="476" t="n">
        <f aca="false">PRODUCT(TableDE5b!AA91:AA100)^(1/10)-1</f>
        <v>0</v>
      </c>
      <c r="N43" s="731" t="n">
        <f aca="false">PRODUCT(TableDE5b!AB91:AB100)^(1/10)-1</f>
        <v>0.00401398818570953</v>
      </c>
      <c r="R43" s="195" t="n">
        <f aca="false">(1+L43)*(1+N43)*(1+M43)-1-C43</f>
        <v>0</v>
      </c>
      <c r="S43" s="684" t="n">
        <f aca="false">I43-TableDE4a!G43-TableDE4e!L42</f>
        <v>0</v>
      </c>
      <c r="T43" s="684"/>
    </row>
    <row r="44" customFormat="false" ht="15" hidden="false" customHeight="false" outlineLevel="0" collapsed="false">
      <c r="A44" s="339"/>
      <c r="B44" s="340"/>
      <c r="C44" s="476"/>
      <c r="D44" s="656"/>
      <c r="E44" s="728"/>
      <c r="F44" s="722" t="n">
        <f aca="false">F43/$E43</f>
        <v>0.406623602691821</v>
      </c>
      <c r="G44" s="722" t="n">
        <f aca="false">G43/$E43</f>
        <v>0.567816136249865</v>
      </c>
      <c r="H44" s="722" t="n">
        <f aca="false">H43/$E43</f>
        <v>0</v>
      </c>
      <c r="I44" s="723" t="n">
        <f aca="false">I43/$E43</f>
        <v>0.0255602610583139</v>
      </c>
      <c r="J44" s="476"/>
      <c r="K44" s="476"/>
      <c r="L44" s="686" t="n">
        <f aca="false">L43/($L43+$M43+$N43)</f>
        <v>0.957206661556993</v>
      </c>
      <c r="M44" s="652" t="n">
        <f aca="false">M43/($L43+$M43+$N43)</f>
        <v>0</v>
      </c>
      <c r="N44" s="655" t="n">
        <f aca="false">N43/($L43+$M43+$N43)</f>
        <v>0.0427933384430073</v>
      </c>
      <c r="S44" s="684"/>
      <c r="T44" s="684"/>
    </row>
    <row r="45" customFormat="false" ht="4" hidden="false" customHeight="true" outlineLevel="0" collapsed="false">
      <c r="A45" s="315"/>
      <c r="B45" s="316"/>
      <c r="C45" s="473"/>
      <c r="D45" s="639"/>
      <c r="E45" s="721"/>
      <c r="F45" s="337"/>
      <c r="G45" s="709"/>
      <c r="H45" s="709"/>
      <c r="I45" s="727"/>
      <c r="J45" s="473"/>
      <c r="K45" s="473"/>
      <c r="L45" s="688"/>
      <c r="M45" s="473"/>
      <c r="N45" s="649"/>
      <c r="S45" s="684"/>
    </row>
    <row r="46" customFormat="false" ht="15" hidden="false" customHeight="false" outlineLevel="0" collapsed="false">
      <c r="A46" s="339" t="s">
        <v>84</v>
      </c>
      <c r="B46" s="340" t="n">
        <f aca="false">PRODUCT(TableDE5b!X101:X110)^(1/10)-1</f>
        <v>0.0415703583628873</v>
      </c>
      <c r="C46" s="476" t="n">
        <f aca="false">((E46/D46)*(1+B46)^10)^(1/10)-1</f>
        <v>0.064373950546986</v>
      </c>
      <c r="D46" s="656" t="n">
        <f aca="false">E43</f>
        <v>2.52307572864579</v>
      </c>
      <c r="E46" s="728" t="n">
        <f aca="false">D37</f>
        <v>3.13318859457725</v>
      </c>
      <c r="F46" s="729" t="n">
        <f aca="false">D46/((1+B46)^10)</f>
        <v>1.67897475422088</v>
      </c>
      <c r="G46" s="657" t="n">
        <f aca="false">J46*SUM(TableDE5b!$B100:$B109)/TableDE5b!$B110</f>
        <v>1.58170386875023</v>
      </c>
      <c r="H46" s="657" t="n">
        <f aca="false">K46*SUM(TableDE5b!$B100:$B109)/TableDE5b!$B110</f>
        <v>0</v>
      </c>
      <c r="I46" s="730" t="n">
        <f aca="false">E46-F46-G46-H46</f>
        <v>-0.127490028393868</v>
      </c>
      <c r="J46" s="476" t="n">
        <f aca="false">SUMPRODUCT(TableDE5b!B100:B109,TableDE5b!F100:F109)/SUM(TableDE5b!B100:B109)</f>
        <v>0.199227862751681</v>
      </c>
      <c r="K46" s="476" t="n">
        <f aca="false">SUMPRODUCT(TableDE5b!B100:B109,TableDE5b!O100:O109)/SUM(TableDE5b!B100:B109)</f>
        <v>0</v>
      </c>
      <c r="L46" s="693" t="n">
        <f aca="false">PRODUCT(TableDE5b!Z101:Z110)^(1/10)-1</f>
        <v>0.0682332342269092</v>
      </c>
      <c r="M46" s="476" t="n">
        <f aca="false">PRODUCT(TableDE5b!AA101:AA110)^(1/10)-1</f>
        <v>0</v>
      </c>
      <c r="N46" s="731" t="n">
        <f aca="false">PRODUCT(TableDE5b!AB101:AB110)^(1/10)-1</f>
        <v>-0.00361277252595127</v>
      </c>
      <c r="R46" s="195" t="n">
        <f aca="false">(1+L46)*(1+N46)*(1+M46)-1-C46</f>
        <v>0</v>
      </c>
      <c r="S46" s="684" t="n">
        <f aca="false">I46-TableDE4a!G46-TableDE4e!L45</f>
        <v>4.9960036108132E-016</v>
      </c>
      <c r="T46" s="684"/>
    </row>
    <row r="47" customFormat="false" ht="15" hidden="false" customHeight="false" outlineLevel="0" collapsed="false">
      <c r="A47" s="339"/>
      <c r="B47" s="340"/>
      <c r="C47" s="476"/>
      <c r="D47" s="656"/>
      <c r="E47" s="728"/>
      <c r="F47" s="722" t="n">
        <f aca="false">F46/$E46</f>
        <v>0.535867760123589</v>
      </c>
      <c r="G47" s="722" t="n">
        <f aca="false">G46/$E46</f>
        <v>0.504822426421365</v>
      </c>
      <c r="H47" s="722" t="n">
        <f aca="false">H46/$E46</f>
        <v>0</v>
      </c>
      <c r="I47" s="723" t="n">
        <f aca="false">I46/$E46</f>
        <v>-0.0406901865449532</v>
      </c>
      <c r="J47" s="476"/>
      <c r="K47" s="476"/>
      <c r="L47" s="686" t="n">
        <f aca="false">L46/($L46+$M46+$N46)</f>
        <v>1.05590756288109</v>
      </c>
      <c r="M47" s="652" t="n">
        <f aca="false">M46/($L46+$M46+$N46)</f>
        <v>0</v>
      </c>
      <c r="N47" s="655" t="n">
        <f aca="false">N46/($L46+$M46+$N46)</f>
        <v>-0.0559075628810884</v>
      </c>
      <c r="S47" s="684"/>
      <c r="T47" s="684"/>
    </row>
    <row r="48" customFormat="false" ht="4.75" hidden="false" customHeight="true" outlineLevel="0" collapsed="false">
      <c r="A48" s="315"/>
      <c r="B48" s="346"/>
      <c r="C48" s="473"/>
      <c r="D48" s="656"/>
      <c r="E48" s="728"/>
      <c r="F48" s="337"/>
      <c r="G48" s="657"/>
      <c r="H48" s="657"/>
      <c r="I48" s="727"/>
      <c r="J48" s="473"/>
      <c r="K48" s="473"/>
      <c r="L48" s="688"/>
      <c r="M48" s="473"/>
      <c r="N48" s="649"/>
      <c r="S48" s="684"/>
    </row>
    <row r="49" customFormat="false" ht="15" hidden="false" customHeight="false" outlineLevel="0" collapsed="false">
      <c r="A49" s="339" t="s">
        <v>85</v>
      </c>
      <c r="B49" s="340" t="n">
        <f aca="false">PRODUCT(TableDE5b!X111:X120)^(1/10)-1</f>
        <v>0.0265240442255243</v>
      </c>
      <c r="C49" s="476" t="n">
        <f aca="false">((E49/D49)*(1+B49)^10)^(1/10)-1</f>
        <v>0.0317402934266222</v>
      </c>
      <c r="D49" s="656" t="n">
        <f aca="false">D37</f>
        <v>3.13318859457725</v>
      </c>
      <c r="E49" s="728" t="n">
        <f aca="false">E25</f>
        <v>3.29609098585393</v>
      </c>
      <c r="F49" s="729" t="n">
        <f aca="false">D49/((1+B49)^10)</f>
        <v>2.41154446543558</v>
      </c>
      <c r="G49" s="657" t="n">
        <f aca="false">J49*SUM(TableDE5b!$B110:$B119)/TableDE5b!$B120</f>
        <v>1.27898820863501</v>
      </c>
      <c r="H49" s="657" t="n">
        <f aca="false">K49*SUM(TableDE5b!$B110:$B119)/TableDE5b!$B120</f>
        <v>0</v>
      </c>
      <c r="I49" s="730" t="n">
        <f aca="false">E49-F49-G49-H49</f>
        <v>-0.394441688216665</v>
      </c>
      <c r="J49" s="476" t="n">
        <f aca="false">SUMPRODUCT(TableDE5b!B110:B119,TableDE5b!F110:F119)/SUM(TableDE5b!B110:B119)</f>
        <v>0.14647358079802</v>
      </c>
      <c r="K49" s="476" t="n">
        <f aca="false">SUMPRODUCT(TableDE5b!B110:B119,TableDE5b!O110:O119)/SUM(TableDE5b!B110:B119)</f>
        <v>0</v>
      </c>
      <c r="L49" s="693" t="n">
        <f aca="false">PRODUCT(TableDE5b!Z111:Z120)^(1/10)-1</f>
        <v>0.047471788624369</v>
      </c>
      <c r="M49" s="476" t="n">
        <f aca="false">PRODUCT(TableDE5b!AA111:AA120)^(1/10)-1</f>
        <v>0</v>
      </c>
      <c r="N49" s="731" t="n">
        <f aca="false">PRODUCT(TableDE5b!AB111:AB120)^(1/10)-1</f>
        <v>-0.0150185383211193</v>
      </c>
      <c r="R49" s="195" t="n">
        <f aca="false">(1+L49)*(1+N49)*(1+M49)-1-C49</f>
        <v>2.22044604925031E-016</v>
      </c>
      <c r="S49" s="684" t="n">
        <f aca="false">I49-TableDE4a!G49-TableDE4e!L48</f>
        <v>0</v>
      </c>
      <c r="T49" s="684"/>
    </row>
    <row r="50" customFormat="false" ht="15" hidden="false" customHeight="false" outlineLevel="0" collapsed="false">
      <c r="A50" s="339"/>
      <c r="B50" s="340"/>
      <c r="C50" s="476"/>
      <c r="D50" s="656"/>
      <c r="E50" s="728"/>
      <c r="F50" s="722" t="n">
        <f aca="false">F49/$E49</f>
        <v>0.731637711393702</v>
      </c>
      <c r="G50" s="722" t="n">
        <f aca="false">G49/$E49</f>
        <v>0.388031827435632</v>
      </c>
      <c r="H50" s="722" t="n">
        <f aca="false">H49/$E49</f>
        <v>0</v>
      </c>
      <c r="I50" s="723" t="n">
        <f aca="false">I49/$E49</f>
        <v>-0.119669538829334</v>
      </c>
      <c r="J50" s="476"/>
      <c r="K50" s="476"/>
      <c r="L50" s="686" t="n">
        <f aca="false">L49/($L49+$M49+$N49)</f>
        <v>1.46277455049288</v>
      </c>
      <c r="M50" s="652" t="n">
        <f aca="false">M49/($L49+$M49+$N49)</f>
        <v>0</v>
      </c>
      <c r="N50" s="655" t="n">
        <f aca="false">N49/($L49+$M49+$N49)</f>
        <v>-0.462774550492882</v>
      </c>
      <c r="S50" s="684"/>
      <c r="T50" s="684"/>
    </row>
    <row r="51" customFormat="false" ht="4.75" hidden="false" customHeight="true" outlineLevel="0" collapsed="false">
      <c r="A51" s="315"/>
      <c r="B51" s="316"/>
      <c r="C51" s="473"/>
      <c r="D51" s="639"/>
      <c r="E51" s="721"/>
      <c r="F51" s="337"/>
      <c r="G51" s="657"/>
      <c r="H51" s="657"/>
      <c r="I51" s="727"/>
      <c r="J51" s="473"/>
      <c r="K51" s="473"/>
      <c r="L51" s="688"/>
      <c r="M51" s="473"/>
      <c r="N51" s="649"/>
      <c r="S51" s="684"/>
    </row>
    <row r="52" customFormat="false" ht="15" hidden="false" customHeight="false" outlineLevel="0" collapsed="false">
      <c r="A52" s="339" t="s">
        <v>86</v>
      </c>
      <c r="B52" s="340" t="n">
        <f aca="false">PRODUCT(TableDE5b!X121:X130)^(1/10)-1</f>
        <v>0.02327562688148</v>
      </c>
      <c r="C52" s="476" t="n">
        <f aca="false">((E52/D52)*(1+B52)^10)^(1/10)-1</f>
        <v>0.0315561729759324</v>
      </c>
      <c r="D52" s="656" t="n">
        <f aca="false">E25</f>
        <v>3.29609098585393</v>
      </c>
      <c r="E52" s="728" t="n">
        <f aca="false">D40</f>
        <v>3.57274249221261</v>
      </c>
      <c r="F52" s="729" t="n">
        <f aca="false">D52/((1+B52)^10)</f>
        <v>2.61862248358446</v>
      </c>
      <c r="G52" s="657" t="n">
        <f aca="false">J52*SUM(TableDE5b!$B120:$B129)/TableDE5b!$B130</f>
        <v>0.864667073579149</v>
      </c>
      <c r="H52" s="657" t="n">
        <f aca="false">K52*SUM(TableDE5b!$B120:$B129)/TableDE5b!$B130</f>
        <v>0</v>
      </c>
      <c r="I52" s="730" t="n">
        <f aca="false">E52-F52-G52-H52</f>
        <v>0.089452935049009</v>
      </c>
      <c r="J52" s="476" t="n">
        <f aca="false">SUMPRODUCT(TableDE5b!B120:B129,TableDE5b!F120:F129)/SUM(TableDE5b!B120:B129)</f>
        <v>0.102458549129023</v>
      </c>
      <c r="K52" s="476" t="n">
        <f aca="false">SUMPRODUCT(TableDE5b!B120:B129,TableDE5b!O120:O129)/SUM(TableDE5b!B120:B129)</f>
        <v>0</v>
      </c>
      <c r="L52" s="693" t="n">
        <f aca="false">PRODUCT(TableDE5b!Z121:Z130)^(1/10)-1</f>
        <v>0.0286535980656226</v>
      </c>
      <c r="M52" s="476" t="n">
        <f aca="false">PRODUCT(TableDE5b!AA121:AA130)^(1/10)-1</f>
        <v>0</v>
      </c>
      <c r="N52" s="731" t="n">
        <f aca="false">PRODUCT(TableDE5b!AB121:AB130)^(1/10)-1</f>
        <v>0.00282172241050649</v>
      </c>
      <c r="R52" s="195" t="n">
        <f aca="false">(1+L52)*(1+N52)*(1+M52)-1-C52</f>
        <v>2.22044604925031E-016</v>
      </c>
      <c r="S52" s="684" t="n">
        <f aca="false">I52-TableDE4a!G52-TableDE4e!L51</f>
        <v>0</v>
      </c>
      <c r="T52" s="684"/>
    </row>
    <row r="53" customFormat="false" ht="15" hidden="false" customHeight="false" outlineLevel="0" collapsed="false">
      <c r="A53" s="339"/>
      <c r="B53" s="340"/>
      <c r="C53" s="476"/>
      <c r="D53" s="656"/>
      <c r="E53" s="728"/>
      <c r="F53" s="722" t="n">
        <f aca="false">F52/$E52</f>
        <v>0.732944646666302</v>
      </c>
      <c r="G53" s="722" t="n">
        <f aca="false">G52/$E52</f>
        <v>0.242017742802297</v>
      </c>
      <c r="H53" s="722" t="n">
        <f aca="false">H52/$E52</f>
        <v>0</v>
      </c>
      <c r="I53" s="723" t="n">
        <f aca="false">I52/$E52</f>
        <v>0.0250376105314017</v>
      </c>
      <c r="J53" s="476"/>
      <c r="K53" s="476"/>
      <c r="L53" s="732" t="n">
        <f aca="false">L52/($L52+$M52+$N52)</f>
        <v>0.910351273066577</v>
      </c>
      <c r="M53" s="733" t="n">
        <f aca="false">M52/($L52+$M52+$N52)</f>
        <v>0</v>
      </c>
      <c r="N53" s="734" t="n">
        <f aca="false">N52/($L52+$M52+$N52)</f>
        <v>0.0896487269334234</v>
      </c>
      <c r="S53" s="684"/>
      <c r="T53" s="684"/>
    </row>
    <row r="54" customFormat="false" ht="4.75" hidden="false" customHeight="true" outlineLevel="0" collapsed="false">
      <c r="A54" s="315"/>
      <c r="B54" s="316"/>
      <c r="C54" s="473"/>
      <c r="D54" s="656"/>
      <c r="E54" s="728"/>
      <c r="F54" s="725"/>
      <c r="G54" s="657"/>
      <c r="H54" s="657"/>
      <c r="I54" s="727"/>
      <c r="J54" s="473"/>
      <c r="K54" s="473"/>
      <c r="L54" s="688"/>
      <c r="M54" s="473"/>
      <c r="N54" s="649"/>
      <c r="S54" s="684"/>
    </row>
    <row r="55" customFormat="false" ht="15" hidden="false" customHeight="false" outlineLevel="0" collapsed="false">
      <c r="A55" s="339" t="s">
        <v>87</v>
      </c>
      <c r="B55" s="340" t="n">
        <f aca="false">PRODUCT(TableDE5b!X131:X140)^(1/10)-1</f>
        <v>0.0164238332375164</v>
      </c>
      <c r="C55" s="476" t="n">
        <f aca="false">((E55/D55)*(1+B55)^10)^(1/10)-1</f>
        <v>0.0225697725255318</v>
      </c>
      <c r="D55" s="656" t="n">
        <f aca="false">E52</f>
        <v>3.57274249221261</v>
      </c>
      <c r="E55" s="728" t="n">
        <f aca="false">TableDE5b!D140</f>
        <v>3.79474697453799</v>
      </c>
      <c r="F55" s="729" t="n">
        <f aca="false">D55/((1+B55)^10)</f>
        <v>3.03566131593155</v>
      </c>
      <c r="G55" s="657" t="n">
        <f aca="false">J55*SUM(TableDE5b!$B130:$B139)/TableDE5b!$B140</f>
        <v>0.790380419763874</v>
      </c>
      <c r="H55" s="657" t="n">
        <f aca="false">K55*SUM(TableDE5b!$B130:$B139)/TableDE5b!$B140</f>
        <v>0</v>
      </c>
      <c r="I55" s="730" t="n">
        <f aca="false">E55-F55-G55-H55</f>
        <v>-0.0312947611574316</v>
      </c>
      <c r="J55" s="476" t="n">
        <f aca="false">SUMPRODUCT(TableDE5b!B130:B139,TableDE5b!F130:F139)/SUM(TableDE5b!B130:B139)</f>
        <v>0.0862695212733864</v>
      </c>
      <c r="K55" s="476" t="n">
        <f aca="false">SUMPRODUCT(TableDE5b!B130:B139,TableDE5b!O130:O139)/SUM(TableDE5b!B130:B139)</f>
        <v>0</v>
      </c>
      <c r="L55" s="693" t="n">
        <f aca="false">PRODUCT(TableDE5b!Z131:Z140)^(1/10)-1</f>
        <v>0.0244709809699137</v>
      </c>
      <c r="M55" s="476" t="n">
        <f aca="false">PRODUCT(TableDE5b!AA131:AA140)^(1/10)-1</f>
        <v>0</v>
      </c>
      <c r="N55" s="731" t="n">
        <f aca="false">PRODUCT(TableDE5b!AB131:AB140)^(1/10)-1</f>
        <v>-0.00185579531260316</v>
      </c>
      <c r="R55" s="195" t="n">
        <f aca="false">(1+L55)*(1+N55)*(1+M55)-1-C55</f>
        <v>0</v>
      </c>
      <c r="S55" s="684" t="n">
        <f aca="false">I55-TableDE4a!G55-TableDE4e!L54</f>
        <v>-2.22044604925031E-016</v>
      </c>
      <c r="T55" s="684"/>
    </row>
    <row r="56" customFormat="false" ht="15" hidden="false" customHeight="false" outlineLevel="0" collapsed="false">
      <c r="A56" s="339"/>
      <c r="B56" s="340"/>
      <c r="C56" s="476"/>
      <c r="D56" s="656"/>
      <c r="E56" s="728"/>
      <c r="F56" s="722" t="n">
        <f aca="false">F55/$E55</f>
        <v>0.799964091492856</v>
      </c>
      <c r="G56" s="722" t="n">
        <f aca="false">G55/$E55</f>
        <v>0.208282772228866</v>
      </c>
      <c r="H56" s="722" t="n">
        <f aca="false">H55/$E55</f>
        <v>0</v>
      </c>
      <c r="I56" s="723" t="n">
        <f aca="false">I55/$E55</f>
        <v>-0.00824686372172197</v>
      </c>
      <c r="J56" s="476"/>
      <c r="K56" s="476"/>
      <c r="L56" s="732" t="n">
        <f aca="false">L55/($L55+$M55+$N55)</f>
        <v>1.08205969832502</v>
      </c>
      <c r="M56" s="733" t="n">
        <f aca="false">M55/($L55+$M55+$N55)</f>
        <v>0</v>
      </c>
      <c r="N56" s="734" t="n">
        <f aca="false">N55/($L55+$M55+$N55)</f>
        <v>-0.0820596983250171</v>
      </c>
      <c r="S56" s="684"/>
    </row>
    <row r="57" customFormat="false" ht="4.75" hidden="false" customHeight="true" outlineLevel="0" collapsed="false">
      <c r="A57" s="315"/>
      <c r="B57" s="346"/>
      <c r="C57" s="473"/>
      <c r="D57" s="656"/>
      <c r="E57" s="728"/>
      <c r="F57" s="337"/>
      <c r="G57" s="657"/>
      <c r="H57" s="657"/>
      <c r="I57" s="727"/>
      <c r="J57" s="473"/>
      <c r="K57" s="473"/>
      <c r="L57" s="688"/>
      <c r="M57" s="473"/>
      <c r="N57" s="649"/>
      <c r="S57" s="684"/>
    </row>
    <row r="58" customFormat="false" ht="15" hidden="false" customHeight="false" outlineLevel="0" collapsed="false">
      <c r="A58" s="339" t="s">
        <v>88</v>
      </c>
      <c r="B58" s="340" t="n">
        <f aca="false">PRODUCT(TableDE5b!X141:X150)^(1/10)-1</f>
        <v>0.0121684303668048</v>
      </c>
      <c r="C58" s="476" t="n">
        <f aca="false">((E58/D58)*(1+B58)^10)^(1/10)-1</f>
        <v>0.0214114411459401</v>
      </c>
      <c r="D58" s="656" t="n">
        <f aca="false">E55</f>
        <v>3.79474697453799</v>
      </c>
      <c r="E58" s="728" t="n">
        <f aca="false">E40</f>
        <v>4.15587169044668</v>
      </c>
      <c r="F58" s="729" t="n">
        <f aca="false">D58/((1+B58)^10)</f>
        <v>3.36244313544421</v>
      </c>
      <c r="G58" s="657" t="n">
        <f aca="false">J58*SUM(TableDE5b!$B140:$B149)/TableDE5b!$B150</f>
        <v>0.84546726347794</v>
      </c>
      <c r="H58" s="657" t="n">
        <f aca="false">K58*SUM(TableDE5b!$B140:$B149)/TableDE5b!$B150</f>
        <v>0</v>
      </c>
      <c r="I58" s="730" t="n">
        <f aca="false">E58-F58-G58-H58</f>
        <v>-0.0520387084754708</v>
      </c>
      <c r="J58" s="476" t="n">
        <f aca="false">SUMPRODUCT(TableDE5b!B140:B149,TableDE5b!F140:F149)/SUM(TableDE5b!B140:B149)</f>
        <v>0.0898222391020223</v>
      </c>
      <c r="K58" s="476" t="n">
        <f aca="false">SUMPRODUCT(TableDE5b!B140:B149,TableDE5b!O140:O149)/SUM(TableDE5b!B140:B149)</f>
        <v>0</v>
      </c>
      <c r="L58" s="693" t="n">
        <f aca="false">PRODUCT(TableDE5b!Z141:Z150)^(1/10)-1</f>
        <v>0.0228298931189155</v>
      </c>
      <c r="M58" s="476" t="n">
        <f aca="false">PRODUCT(TableDE5b!AA141:AA150)^(1/10)-1</f>
        <v>0</v>
      </c>
      <c r="N58" s="731" t="n">
        <f aca="false">PRODUCT(TableDE5b!AB141:AB150)^(1/10)-1</f>
        <v>-0.00138679166742994</v>
      </c>
      <c r="R58" s="195" t="n">
        <f aca="false">(1+L58)*(1+N58)*(1+M58)-1-C58</f>
        <v>-2.22044604925031E-016</v>
      </c>
      <c r="S58" s="684" t="n">
        <f aca="false">I58-TableDE4a!G58-TableDE4e!L57</f>
        <v>-5.55111512312578E-016</v>
      </c>
      <c r="T58" s="684"/>
    </row>
    <row r="59" customFormat="false" ht="16" hidden="false" customHeight="false" outlineLevel="0" collapsed="false">
      <c r="A59" s="660"/>
      <c r="B59" s="735"/>
      <c r="C59" s="736"/>
      <c r="D59" s="737"/>
      <c r="E59" s="738"/>
      <c r="F59" s="739" t="n">
        <f aca="false">F58/$E58</f>
        <v>0.809082518878924</v>
      </c>
      <c r="G59" s="740" t="n">
        <f aca="false">G58/$E58</f>
        <v>0.203439212385084</v>
      </c>
      <c r="H59" s="740" t="n">
        <f aca="false">H58/$E58</f>
        <v>0</v>
      </c>
      <c r="I59" s="741" t="n">
        <f aca="false">I58/$E58</f>
        <v>-0.0125217312640077</v>
      </c>
      <c r="J59" s="736"/>
      <c r="K59" s="736"/>
      <c r="L59" s="698" t="n">
        <f aca="false">L58/($L58+$M58+$N58)</f>
        <v>1.06467309174317</v>
      </c>
      <c r="M59" s="699" t="n">
        <f aca="false">M58/($L58+$M58+$N58)</f>
        <v>0</v>
      </c>
      <c r="N59" s="701" t="n">
        <f aca="false">N58/($L58+$M58+$N58)</f>
        <v>-0.0646730917431661</v>
      </c>
      <c r="S59" s="684"/>
    </row>
    <row r="60" customFormat="false" ht="13" hidden="false" customHeight="false" outlineLevel="0" collapsed="false">
      <c r="B60" s="702"/>
      <c r="C60" s="702"/>
      <c r="D60" s="702"/>
      <c r="E60" s="702"/>
      <c r="F60" s="742"/>
      <c r="G60" s="742"/>
      <c r="H60" s="742"/>
      <c r="I60" s="742"/>
      <c r="J60" s="702"/>
      <c r="K60" s="702"/>
      <c r="L60" s="702"/>
      <c r="M60" s="702"/>
      <c r="N60" s="702"/>
      <c r="O60" s="702"/>
      <c r="P60" s="702"/>
    </row>
    <row r="61" customFormat="false" ht="12" hidden="false" customHeight="false" outlineLevel="0" collapsed="false">
      <c r="B61" s="703"/>
      <c r="C61" s="702"/>
      <c r="D61" s="702"/>
      <c r="E61" s="702"/>
      <c r="F61" s="742"/>
      <c r="G61" s="742"/>
      <c r="H61" s="742"/>
      <c r="I61" s="742"/>
      <c r="J61" s="702"/>
      <c r="K61" s="702"/>
      <c r="L61" s="702"/>
      <c r="M61" s="702"/>
      <c r="N61" s="702"/>
      <c r="O61" s="702"/>
      <c r="P61" s="702"/>
    </row>
    <row r="62" customFormat="false" ht="12" hidden="false" customHeight="false" outlineLevel="0" collapsed="false">
      <c r="B62" s="702"/>
      <c r="C62" s="702"/>
      <c r="D62" s="702"/>
      <c r="E62" s="702"/>
      <c r="F62" s="742"/>
      <c r="G62" s="742"/>
      <c r="H62" s="742"/>
      <c r="I62" s="742"/>
      <c r="J62" s="702"/>
      <c r="K62" s="702"/>
      <c r="L62" s="702"/>
      <c r="M62" s="702"/>
      <c r="N62" s="702"/>
      <c r="O62" s="702"/>
      <c r="P62" s="702"/>
    </row>
    <row r="63" customFormat="false" ht="12" hidden="false" customHeight="false" outlineLevel="0" collapsed="false">
      <c r="B63" s="702"/>
      <c r="C63" s="702"/>
      <c r="D63" s="702"/>
      <c r="E63" s="702"/>
      <c r="F63" s="742"/>
      <c r="G63" s="742"/>
      <c r="H63" s="742"/>
      <c r="I63" s="742"/>
      <c r="J63" s="702"/>
      <c r="K63" s="702"/>
      <c r="L63" s="702"/>
      <c r="M63" s="702"/>
      <c r="N63" s="702"/>
      <c r="O63" s="702"/>
      <c r="P63" s="702"/>
    </row>
    <row r="64" customFormat="false" ht="12" hidden="false" customHeight="false" outlineLevel="0" collapsed="false">
      <c r="B64" s="702"/>
      <c r="C64" s="702"/>
      <c r="D64" s="702"/>
      <c r="E64" s="702"/>
      <c r="F64" s="742"/>
      <c r="G64" s="742"/>
      <c r="H64" s="742"/>
      <c r="I64" s="742"/>
      <c r="J64" s="702"/>
      <c r="K64" s="702"/>
      <c r="L64" s="702"/>
      <c r="M64" s="702"/>
      <c r="N64" s="702"/>
      <c r="O64" s="702"/>
      <c r="P64" s="702"/>
    </row>
    <row r="65" customFormat="false" ht="12" hidden="false" customHeight="false" outlineLevel="0" collapsed="false">
      <c r="B65" s="702"/>
      <c r="C65" s="702"/>
      <c r="D65" s="702"/>
      <c r="E65" s="702"/>
      <c r="F65" s="742"/>
      <c r="G65" s="742"/>
      <c r="H65" s="742"/>
      <c r="I65" s="742"/>
      <c r="J65" s="702"/>
      <c r="K65" s="702"/>
      <c r="L65" s="702"/>
      <c r="M65" s="702"/>
      <c r="N65" s="702"/>
      <c r="O65" s="702"/>
      <c r="P65" s="702"/>
    </row>
    <row r="66" customFormat="false" ht="12" hidden="false" customHeight="false" outlineLevel="0" collapsed="false">
      <c r="B66" s="702"/>
      <c r="C66" s="702"/>
      <c r="D66" s="702"/>
      <c r="E66" s="702"/>
      <c r="F66" s="742"/>
      <c r="G66" s="742"/>
      <c r="H66" s="742"/>
      <c r="I66" s="742"/>
      <c r="J66" s="702"/>
      <c r="K66" s="702"/>
      <c r="L66" s="702"/>
      <c r="M66" s="702"/>
      <c r="N66" s="702"/>
      <c r="O66" s="702"/>
      <c r="P66" s="702"/>
    </row>
    <row r="67" customFormat="false" ht="12" hidden="false" customHeight="false" outlineLevel="0" collapsed="false">
      <c r="B67" s="702"/>
      <c r="C67" s="702"/>
      <c r="D67" s="702"/>
      <c r="E67" s="702"/>
      <c r="F67" s="742"/>
      <c r="G67" s="742"/>
      <c r="H67" s="742"/>
      <c r="I67" s="742"/>
      <c r="J67" s="702"/>
      <c r="K67" s="702"/>
      <c r="L67" s="702"/>
      <c r="M67" s="702"/>
      <c r="N67" s="702"/>
      <c r="O67" s="702"/>
      <c r="P67" s="702"/>
    </row>
    <row r="68" customFormat="false" ht="12" hidden="false" customHeight="false" outlineLevel="0" collapsed="false">
      <c r="B68" s="702"/>
      <c r="C68" s="702"/>
      <c r="D68" s="702"/>
      <c r="E68" s="702"/>
      <c r="F68" s="742"/>
      <c r="G68" s="742"/>
      <c r="H68" s="742"/>
      <c r="I68" s="742"/>
      <c r="J68" s="702"/>
      <c r="K68" s="702"/>
      <c r="L68" s="702"/>
      <c r="M68" s="702"/>
      <c r="N68" s="702"/>
      <c r="O68" s="702"/>
      <c r="P68" s="702"/>
    </row>
    <row r="69" customFormat="false" ht="12" hidden="false" customHeight="false" outlineLevel="0" collapsed="false">
      <c r="B69" s="702"/>
      <c r="C69" s="702"/>
      <c r="D69" s="702"/>
      <c r="E69" s="702"/>
      <c r="F69" s="742"/>
      <c r="G69" s="742"/>
      <c r="H69" s="742"/>
      <c r="I69" s="742"/>
      <c r="J69" s="702"/>
      <c r="K69" s="702"/>
      <c r="L69" s="702"/>
      <c r="M69" s="702"/>
      <c r="N69" s="702"/>
      <c r="O69" s="702"/>
      <c r="P69" s="702"/>
    </row>
    <row r="70" customFormat="false" ht="12" hidden="false" customHeight="false" outlineLevel="0" collapsed="false">
      <c r="B70" s="702"/>
      <c r="C70" s="702"/>
      <c r="D70" s="702"/>
      <c r="E70" s="702"/>
      <c r="F70" s="742"/>
      <c r="G70" s="742"/>
      <c r="H70" s="742"/>
      <c r="I70" s="742"/>
      <c r="J70" s="702"/>
      <c r="K70" s="702"/>
      <c r="L70" s="702"/>
      <c r="M70" s="702"/>
      <c r="N70" s="702"/>
      <c r="O70" s="702"/>
      <c r="P70" s="702"/>
    </row>
    <row r="71" customFormat="false" ht="12" hidden="false" customHeight="false" outlineLevel="0" collapsed="false">
      <c r="B71" s="702"/>
      <c r="C71" s="702"/>
      <c r="D71" s="702"/>
      <c r="E71" s="702"/>
      <c r="F71" s="742"/>
      <c r="G71" s="742"/>
      <c r="H71" s="742"/>
      <c r="I71" s="742"/>
      <c r="J71" s="702"/>
      <c r="K71" s="702"/>
      <c r="L71" s="702"/>
      <c r="M71" s="702"/>
      <c r="N71" s="702"/>
      <c r="O71" s="702"/>
      <c r="P71" s="702"/>
    </row>
    <row r="72" customFormat="false" ht="12" hidden="false" customHeight="false" outlineLevel="0" collapsed="false">
      <c r="B72" s="702"/>
      <c r="C72" s="702"/>
      <c r="D72" s="702"/>
      <c r="E72" s="702"/>
      <c r="F72" s="742"/>
      <c r="G72" s="742"/>
      <c r="H72" s="742"/>
      <c r="I72" s="742"/>
      <c r="J72" s="702"/>
      <c r="K72" s="702"/>
      <c r="L72" s="702"/>
      <c r="M72" s="702"/>
      <c r="N72" s="702"/>
      <c r="O72" s="702"/>
      <c r="P72" s="702"/>
    </row>
    <row r="73" customFormat="false" ht="12" hidden="false" customHeight="false" outlineLevel="0" collapsed="false">
      <c r="B73" s="702"/>
      <c r="C73" s="702"/>
      <c r="D73" s="702"/>
      <c r="E73" s="702"/>
      <c r="F73" s="742"/>
      <c r="G73" s="742"/>
      <c r="H73" s="742"/>
      <c r="I73" s="742"/>
      <c r="J73" s="702"/>
      <c r="K73" s="702"/>
      <c r="L73" s="702"/>
      <c r="M73" s="702"/>
      <c r="N73" s="702"/>
      <c r="O73" s="702"/>
      <c r="P73" s="702"/>
    </row>
    <row r="74" customFormat="false" ht="12" hidden="false" customHeight="false" outlineLevel="0" collapsed="false">
      <c r="B74" s="702"/>
      <c r="C74" s="702"/>
      <c r="D74" s="702"/>
      <c r="E74" s="702"/>
      <c r="F74" s="742"/>
      <c r="G74" s="742"/>
      <c r="H74" s="742"/>
      <c r="I74" s="742"/>
      <c r="J74" s="702"/>
      <c r="K74" s="702"/>
      <c r="L74" s="702"/>
      <c r="M74" s="702"/>
      <c r="N74" s="702"/>
      <c r="O74" s="702"/>
      <c r="P74" s="702"/>
    </row>
    <row r="75" customFormat="false" ht="12" hidden="false" customHeight="false" outlineLevel="0" collapsed="false">
      <c r="B75" s="702"/>
      <c r="C75" s="702"/>
      <c r="D75" s="702"/>
      <c r="E75" s="702"/>
      <c r="F75" s="742"/>
      <c r="G75" s="742"/>
      <c r="H75" s="742"/>
      <c r="I75" s="742"/>
      <c r="J75" s="702"/>
      <c r="K75" s="702"/>
      <c r="L75" s="702"/>
      <c r="M75" s="702"/>
      <c r="N75" s="702"/>
      <c r="O75" s="702"/>
      <c r="P75" s="702"/>
    </row>
    <row r="76" customFormat="false" ht="12" hidden="false" customHeight="false" outlineLevel="0" collapsed="false">
      <c r="B76" s="702"/>
      <c r="C76" s="702"/>
      <c r="D76" s="702"/>
      <c r="E76" s="702"/>
      <c r="F76" s="742"/>
      <c r="G76" s="742"/>
      <c r="H76" s="742"/>
      <c r="I76" s="742"/>
      <c r="J76" s="702"/>
      <c r="K76" s="702"/>
      <c r="L76" s="702"/>
      <c r="M76" s="702"/>
      <c r="N76" s="702"/>
      <c r="O76" s="702"/>
      <c r="P76" s="702"/>
    </row>
    <row r="77" customFormat="false" ht="12" hidden="false" customHeight="false" outlineLevel="0" collapsed="false">
      <c r="B77" s="702"/>
      <c r="C77" s="702"/>
      <c r="D77" s="702"/>
      <c r="E77" s="702"/>
      <c r="F77" s="742"/>
      <c r="G77" s="742"/>
      <c r="H77" s="742"/>
      <c r="I77" s="742"/>
      <c r="J77" s="702"/>
      <c r="K77" s="702"/>
      <c r="L77" s="702"/>
      <c r="M77" s="702"/>
      <c r="N77" s="702"/>
      <c r="O77" s="702"/>
      <c r="P77" s="702"/>
    </row>
    <row r="78" customFormat="false" ht="12" hidden="false" customHeight="false" outlineLevel="0" collapsed="false">
      <c r="B78" s="702"/>
      <c r="C78" s="702"/>
      <c r="D78" s="702"/>
      <c r="E78" s="702"/>
      <c r="F78" s="742"/>
      <c r="G78" s="742"/>
      <c r="H78" s="742"/>
      <c r="I78" s="742"/>
      <c r="J78" s="702"/>
      <c r="K78" s="702"/>
      <c r="L78" s="702"/>
      <c r="M78" s="702"/>
      <c r="N78" s="702"/>
      <c r="O78" s="702"/>
      <c r="P78" s="702"/>
    </row>
    <row r="79" customFormat="false" ht="12" hidden="false" customHeight="false" outlineLevel="0" collapsed="false">
      <c r="B79" s="702"/>
      <c r="C79" s="702"/>
      <c r="D79" s="702"/>
      <c r="E79" s="702"/>
      <c r="F79" s="742"/>
      <c r="G79" s="742"/>
      <c r="H79" s="742"/>
      <c r="I79" s="742"/>
      <c r="J79" s="702"/>
      <c r="K79" s="702"/>
      <c r="L79" s="702"/>
      <c r="M79" s="702"/>
      <c r="N79" s="702"/>
      <c r="O79" s="702"/>
      <c r="P79" s="702"/>
    </row>
    <row r="80" customFormat="false" ht="12" hidden="false" customHeight="false" outlineLevel="0" collapsed="false">
      <c r="B80" s="702"/>
      <c r="C80" s="702"/>
      <c r="D80" s="702"/>
      <c r="E80" s="702"/>
      <c r="F80" s="742"/>
      <c r="G80" s="742"/>
      <c r="H80" s="742"/>
      <c r="I80" s="742"/>
      <c r="J80" s="702"/>
      <c r="K80" s="702"/>
      <c r="L80" s="702"/>
      <c r="M80" s="702"/>
      <c r="N80" s="702"/>
      <c r="O80" s="702"/>
      <c r="P80" s="702"/>
    </row>
    <row r="81" customFormat="false" ht="12" hidden="false" customHeight="false" outlineLevel="0" collapsed="false">
      <c r="B81" s="702"/>
      <c r="C81" s="702"/>
      <c r="D81" s="702"/>
      <c r="E81" s="702"/>
      <c r="F81" s="742"/>
      <c r="G81" s="742"/>
      <c r="H81" s="742"/>
      <c r="I81" s="742"/>
      <c r="J81" s="702"/>
      <c r="K81" s="702"/>
      <c r="L81" s="702"/>
      <c r="M81" s="702"/>
      <c r="N81" s="702"/>
      <c r="O81" s="702"/>
      <c r="P81" s="702"/>
    </row>
    <row r="82" customFormat="false" ht="12" hidden="false" customHeight="false" outlineLevel="0" collapsed="false">
      <c r="B82" s="702"/>
      <c r="C82" s="702"/>
      <c r="D82" s="702"/>
      <c r="E82" s="702"/>
      <c r="F82" s="742"/>
      <c r="G82" s="742"/>
      <c r="H82" s="742"/>
      <c r="I82" s="742"/>
      <c r="J82" s="702"/>
      <c r="K82" s="702"/>
      <c r="L82" s="702"/>
      <c r="M82" s="702"/>
      <c r="N82" s="702"/>
      <c r="O82" s="702"/>
      <c r="P82" s="702"/>
    </row>
    <row r="83" customFormat="false" ht="12" hidden="false" customHeight="false" outlineLevel="0" collapsed="false">
      <c r="B83" s="702"/>
      <c r="C83" s="702"/>
      <c r="D83" s="702"/>
      <c r="E83" s="702"/>
      <c r="F83" s="742"/>
      <c r="G83" s="742"/>
      <c r="H83" s="742"/>
      <c r="I83" s="742"/>
      <c r="J83" s="702"/>
      <c r="K83" s="702"/>
      <c r="L83" s="702"/>
      <c r="M83" s="702"/>
      <c r="N83" s="702"/>
      <c r="O83" s="702"/>
      <c r="P83" s="702"/>
    </row>
    <row r="84" customFormat="false" ht="12" hidden="false" customHeight="false" outlineLevel="0" collapsed="false">
      <c r="B84" s="702"/>
      <c r="C84" s="702"/>
      <c r="D84" s="702"/>
      <c r="E84" s="702"/>
      <c r="F84" s="742"/>
      <c r="G84" s="742"/>
      <c r="H84" s="742"/>
      <c r="I84" s="742"/>
      <c r="J84" s="702"/>
      <c r="K84" s="702"/>
      <c r="L84" s="702"/>
      <c r="M84" s="702"/>
      <c r="N84" s="702"/>
      <c r="O84" s="702"/>
      <c r="P84" s="702"/>
    </row>
    <row r="85" customFormat="false" ht="12" hidden="false" customHeight="false" outlineLevel="0" collapsed="false">
      <c r="B85" s="702"/>
      <c r="C85" s="702"/>
      <c r="D85" s="702"/>
      <c r="E85" s="702"/>
      <c r="F85" s="742"/>
      <c r="G85" s="742"/>
      <c r="H85" s="742"/>
      <c r="I85" s="742"/>
      <c r="J85" s="702"/>
      <c r="K85" s="702"/>
      <c r="L85" s="702"/>
      <c r="M85" s="702"/>
      <c r="N85" s="702"/>
      <c r="O85" s="702"/>
      <c r="P85" s="702"/>
    </row>
    <row r="86" customFormat="false" ht="12" hidden="false" customHeight="false" outlineLevel="0" collapsed="false">
      <c r="B86" s="702"/>
      <c r="C86" s="702"/>
      <c r="D86" s="702"/>
      <c r="E86" s="702"/>
      <c r="F86" s="742"/>
      <c r="G86" s="742"/>
      <c r="H86" s="742"/>
      <c r="I86" s="742"/>
      <c r="J86" s="702"/>
      <c r="K86" s="702"/>
      <c r="L86" s="702"/>
      <c r="M86" s="702"/>
      <c r="N86" s="702"/>
      <c r="O86" s="702"/>
      <c r="P86" s="702"/>
    </row>
    <row r="87" customFormat="false" ht="12" hidden="false" customHeight="false" outlineLevel="0" collapsed="false">
      <c r="B87" s="702"/>
      <c r="C87" s="702"/>
      <c r="D87" s="702"/>
      <c r="E87" s="702"/>
      <c r="F87" s="742"/>
      <c r="G87" s="742"/>
      <c r="H87" s="742"/>
      <c r="I87" s="742"/>
      <c r="J87" s="702"/>
      <c r="K87" s="702"/>
      <c r="L87" s="702"/>
      <c r="M87" s="702"/>
      <c r="N87" s="702"/>
      <c r="O87" s="702"/>
      <c r="P87" s="702"/>
    </row>
    <row r="88" customFormat="false" ht="12" hidden="false" customHeight="false" outlineLevel="0" collapsed="false">
      <c r="B88" s="702"/>
      <c r="C88" s="702"/>
      <c r="D88" s="702"/>
      <c r="E88" s="702"/>
      <c r="F88" s="742"/>
      <c r="G88" s="742"/>
      <c r="H88" s="742"/>
      <c r="I88" s="742"/>
      <c r="J88" s="702"/>
      <c r="K88" s="702"/>
      <c r="L88" s="702"/>
      <c r="M88" s="702"/>
      <c r="N88" s="702"/>
      <c r="O88" s="702"/>
      <c r="P88" s="702"/>
    </row>
    <row r="89" customFormat="false" ht="12" hidden="false" customHeight="false" outlineLevel="0" collapsed="false">
      <c r="B89" s="702"/>
      <c r="C89" s="702"/>
      <c r="D89" s="702"/>
      <c r="E89" s="702"/>
      <c r="F89" s="742"/>
      <c r="G89" s="742"/>
      <c r="H89" s="742"/>
      <c r="I89" s="742"/>
      <c r="J89" s="702"/>
      <c r="K89" s="702"/>
      <c r="L89" s="702"/>
      <c r="M89" s="702"/>
      <c r="N89" s="702"/>
      <c r="O89" s="702"/>
      <c r="P89" s="702"/>
    </row>
    <row r="90" customFormat="false" ht="12" hidden="false" customHeight="false" outlineLevel="0" collapsed="false">
      <c r="B90" s="702"/>
      <c r="C90" s="702"/>
      <c r="D90" s="702"/>
      <c r="E90" s="702"/>
      <c r="F90" s="742"/>
      <c r="G90" s="742"/>
      <c r="H90" s="742"/>
      <c r="I90" s="742"/>
      <c r="J90" s="702"/>
      <c r="K90" s="702"/>
      <c r="L90" s="702"/>
      <c r="M90" s="702"/>
      <c r="N90" s="702"/>
      <c r="O90" s="702"/>
      <c r="P90" s="702"/>
    </row>
    <row r="91" customFormat="false" ht="12" hidden="false" customHeight="false" outlineLevel="0" collapsed="false">
      <c r="B91" s="702"/>
      <c r="C91" s="702"/>
      <c r="D91" s="702"/>
      <c r="E91" s="702"/>
      <c r="F91" s="742"/>
      <c r="G91" s="742"/>
      <c r="H91" s="742"/>
      <c r="I91" s="742"/>
      <c r="J91" s="702"/>
      <c r="K91" s="702"/>
      <c r="L91" s="702"/>
      <c r="M91" s="702"/>
      <c r="N91" s="702"/>
      <c r="O91" s="702"/>
      <c r="P91" s="702"/>
    </row>
    <row r="92" customFormat="false" ht="12" hidden="false" customHeight="false" outlineLevel="0" collapsed="false">
      <c r="B92" s="702"/>
      <c r="C92" s="702"/>
      <c r="D92" s="702"/>
      <c r="E92" s="702"/>
      <c r="F92" s="742"/>
      <c r="G92" s="742"/>
      <c r="H92" s="742"/>
      <c r="I92" s="742"/>
      <c r="J92" s="702"/>
      <c r="K92" s="702"/>
      <c r="L92" s="702"/>
      <c r="M92" s="702"/>
      <c r="N92" s="702"/>
      <c r="O92" s="702"/>
      <c r="P92" s="702"/>
    </row>
    <row r="93" customFormat="false" ht="12" hidden="false" customHeight="false" outlineLevel="0" collapsed="false">
      <c r="B93" s="702"/>
      <c r="C93" s="702"/>
      <c r="D93" s="702"/>
      <c r="E93" s="702"/>
      <c r="F93" s="742"/>
      <c r="G93" s="742"/>
      <c r="H93" s="742"/>
      <c r="I93" s="742"/>
      <c r="J93" s="702"/>
      <c r="K93" s="702"/>
      <c r="L93" s="702"/>
      <c r="M93" s="702"/>
      <c r="N93" s="702"/>
      <c r="O93" s="702"/>
      <c r="P93" s="702"/>
    </row>
    <row r="94" customFormat="false" ht="12" hidden="false" customHeight="false" outlineLevel="0" collapsed="false">
      <c r="B94" s="702"/>
      <c r="C94" s="702"/>
      <c r="D94" s="702"/>
      <c r="E94" s="702"/>
      <c r="F94" s="742"/>
      <c r="G94" s="742"/>
      <c r="H94" s="742"/>
      <c r="I94" s="742"/>
      <c r="J94" s="702"/>
      <c r="K94" s="702"/>
      <c r="L94" s="702"/>
      <c r="M94" s="702"/>
      <c r="N94" s="702"/>
      <c r="O94" s="702"/>
      <c r="P94" s="702"/>
    </row>
    <row r="95" customFormat="false" ht="12" hidden="false" customHeight="false" outlineLevel="0" collapsed="false">
      <c r="B95" s="702"/>
      <c r="C95" s="702"/>
      <c r="D95" s="702"/>
      <c r="E95" s="702"/>
      <c r="F95" s="742"/>
      <c r="G95" s="742"/>
      <c r="H95" s="742"/>
      <c r="I95" s="742"/>
      <c r="J95" s="702"/>
      <c r="K95" s="702"/>
      <c r="L95" s="702"/>
      <c r="M95" s="702"/>
      <c r="N95" s="702"/>
      <c r="O95" s="702"/>
      <c r="P95" s="702"/>
    </row>
    <row r="96" customFormat="false" ht="12" hidden="false" customHeight="false" outlineLevel="0" collapsed="false">
      <c r="B96" s="702"/>
      <c r="C96" s="702"/>
      <c r="D96" s="702"/>
      <c r="E96" s="702"/>
      <c r="F96" s="742"/>
      <c r="G96" s="742"/>
      <c r="H96" s="742"/>
      <c r="I96" s="742"/>
      <c r="J96" s="702"/>
      <c r="K96" s="702"/>
      <c r="L96" s="702"/>
      <c r="M96" s="702"/>
      <c r="N96" s="702"/>
      <c r="O96" s="702"/>
      <c r="P96" s="702"/>
    </row>
    <row r="97" customFormat="false" ht="12" hidden="false" customHeight="false" outlineLevel="0" collapsed="false">
      <c r="B97" s="702"/>
      <c r="C97" s="702"/>
      <c r="D97" s="702"/>
      <c r="E97" s="702"/>
      <c r="F97" s="742"/>
      <c r="G97" s="742"/>
      <c r="H97" s="742"/>
      <c r="I97" s="742"/>
      <c r="J97" s="702"/>
      <c r="K97" s="702"/>
      <c r="L97" s="702"/>
      <c r="M97" s="702"/>
      <c r="N97" s="702"/>
      <c r="O97" s="702"/>
      <c r="P97" s="702"/>
    </row>
    <row r="98" customFormat="false" ht="12" hidden="false" customHeight="false" outlineLevel="0" collapsed="false">
      <c r="B98" s="702"/>
      <c r="C98" s="702"/>
      <c r="D98" s="702"/>
      <c r="E98" s="702"/>
      <c r="F98" s="742"/>
      <c r="G98" s="742"/>
      <c r="H98" s="742"/>
      <c r="I98" s="742"/>
      <c r="J98" s="702"/>
      <c r="K98" s="702"/>
      <c r="L98" s="702"/>
      <c r="M98" s="702"/>
      <c r="N98" s="702"/>
      <c r="O98" s="702"/>
      <c r="P98" s="702"/>
    </row>
    <row r="99" customFormat="false" ht="12" hidden="false" customHeight="false" outlineLevel="0" collapsed="false">
      <c r="B99" s="702"/>
      <c r="C99" s="702"/>
      <c r="D99" s="702"/>
      <c r="E99" s="702"/>
      <c r="F99" s="742"/>
      <c r="G99" s="742"/>
      <c r="H99" s="742"/>
      <c r="I99" s="742"/>
      <c r="J99" s="702"/>
      <c r="K99" s="702"/>
      <c r="L99" s="702"/>
      <c r="M99" s="702"/>
      <c r="N99" s="702"/>
      <c r="O99" s="702"/>
      <c r="P99" s="702"/>
    </row>
    <row r="100" customFormat="false" ht="12" hidden="false" customHeight="false" outlineLevel="0" collapsed="false">
      <c r="B100" s="702"/>
      <c r="C100" s="702"/>
      <c r="D100" s="702"/>
      <c r="E100" s="702"/>
      <c r="F100" s="742"/>
      <c r="G100" s="742"/>
      <c r="H100" s="742"/>
      <c r="I100" s="742"/>
      <c r="J100" s="702"/>
      <c r="K100" s="702"/>
      <c r="L100" s="702"/>
      <c r="M100" s="702"/>
      <c r="N100" s="702"/>
      <c r="O100" s="702"/>
      <c r="P100" s="702"/>
    </row>
    <row r="101" customFormat="false" ht="12" hidden="false" customHeight="false" outlineLevel="0" collapsed="false">
      <c r="B101" s="702"/>
      <c r="C101" s="702"/>
      <c r="D101" s="702"/>
      <c r="E101" s="702"/>
      <c r="F101" s="742"/>
      <c r="G101" s="742"/>
      <c r="H101" s="742"/>
      <c r="I101" s="742"/>
      <c r="J101" s="702"/>
      <c r="K101" s="702"/>
      <c r="L101" s="702"/>
      <c r="M101" s="702"/>
      <c r="N101" s="702"/>
      <c r="O101" s="702"/>
      <c r="P101" s="702"/>
    </row>
    <row r="102" customFormat="false" ht="12" hidden="false" customHeight="false" outlineLevel="0" collapsed="false">
      <c r="B102" s="702"/>
      <c r="C102" s="702"/>
      <c r="D102" s="702"/>
      <c r="E102" s="702"/>
      <c r="F102" s="742"/>
      <c r="G102" s="742"/>
      <c r="H102" s="742"/>
      <c r="I102" s="742"/>
      <c r="J102" s="702"/>
      <c r="K102" s="702"/>
      <c r="L102" s="702"/>
      <c r="M102" s="702"/>
      <c r="N102" s="702"/>
      <c r="O102" s="702"/>
      <c r="P102" s="702"/>
    </row>
    <row r="103" customFormat="false" ht="12" hidden="false" customHeight="false" outlineLevel="0" collapsed="false">
      <c r="B103" s="702"/>
      <c r="C103" s="702"/>
      <c r="D103" s="702"/>
      <c r="E103" s="702"/>
      <c r="F103" s="742"/>
      <c r="G103" s="742"/>
      <c r="H103" s="742"/>
      <c r="I103" s="742"/>
      <c r="J103" s="702"/>
      <c r="K103" s="702"/>
      <c r="L103" s="702"/>
      <c r="M103" s="702"/>
      <c r="N103" s="702"/>
      <c r="O103" s="702"/>
      <c r="P103" s="702"/>
    </row>
    <row r="104" customFormat="false" ht="12" hidden="false" customHeight="false" outlineLevel="0" collapsed="false">
      <c r="B104" s="702"/>
      <c r="C104" s="702"/>
      <c r="D104" s="702"/>
      <c r="E104" s="702"/>
      <c r="F104" s="742"/>
      <c r="G104" s="742"/>
      <c r="H104" s="742"/>
      <c r="I104" s="742"/>
      <c r="J104" s="702"/>
      <c r="K104" s="702"/>
      <c r="L104" s="702"/>
      <c r="M104" s="702"/>
      <c r="N104" s="702"/>
      <c r="O104" s="702"/>
      <c r="P104" s="702"/>
    </row>
    <row r="105" customFormat="false" ht="12" hidden="false" customHeight="false" outlineLevel="0" collapsed="false">
      <c r="B105" s="702"/>
      <c r="C105" s="702"/>
      <c r="D105" s="702"/>
      <c r="E105" s="702"/>
      <c r="F105" s="742"/>
      <c r="G105" s="742"/>
      <c r="H105" s="742"/>
      <c r="I105" s="742"/>
      <c r="J105" s="702"/>
      <c r="K105" s="702"/>
      <c r="L105" s="702"/>
      <c r="M105" s="702"/>
      <c r="N105" s="702"/>
      <c r="O105" s="702"/>
      <c r="P105" s="702"/>
    </row>
    <row r="106" customFormat="false" ht="12" hidden="false" customHeight="false" outlineLevel="0" collapsed="false">
      <c r="B106" s="702"/>
      <c r="C106" s="702"/>
      <c r="D106" s="702"/>
      <c r="E106" s="702"/>
      <c r="F106" s="742"/>
      <c r="G106" s="742"/>
      <c r="H106" s="742"/>
      <c r="I106" s="742"/>
      <c r="J106" s="702"/>
      <c r="K106" s="702"/>
      <c r="L106" s="702"/>
      <c r="M106" s="702"/>
      <c r="N106" s="702"/>
      <c r="O106" s="702"/>
      <c r="P106" s="702"/>
    </row>
    <row r="107" customFormat="false" ht="12" hidden="false" customHeight="false" outlineLevel="0" collapsed="false">
      <c r="B107" s="702"/>
      <c r="C107" s="702"/>
      <c r="D107" s="702"/>
      <c r="E107" s="702"/>
      <c r="F107" s="742"/>
      <c r="G107" s="742"/>
      <c r="H107" s="742"/>
      <c r="I107" s="742"/>
      <c r="J107" s="702"/>
      <c r="K107" s="702"/>
      <c r="L107" s="702"/>
      <c r="M107" s="702"/>
      <c r="N107" s="702"/>
      <c r="O107" s="702"/>
      <c r="P107" s="702"/>
    </row>
    <row r="108" customFormat="false" ht="12" hidden="false" customHeight="false" outlineLevel="0" collapsed="false">
      <c r="B108" s="702"/>
      <c r="C108" s="702"/>
      <c r="D108" s="702"/>
      <c r="E108" s="702"/>
      <c r="F108" s="742"/>
      <c r="G108" s="742"/>
      <c r="H108" s="742"/>
      <c r="I108" s="742"/>
      <c r="J108" s="702"/>
      <c r="K108" s="702"/>
      <c r="L108" s="702"/>
      <c r="M108" s="702"/>
      <c r="N108" s="702"/>
      <c r="O108" s="702"/>
      <c r="P108" s="702"/>
    </row>
    <row r="109" customFormat="false" ht="12" hidden="false" customHeight="false" outlineLevel="0" collapsed="false">
      <c r="B109" s="702"/>
      <c r="C109" s="702"/>
      <c r="D109" s="702"/>
      <c r="E109" s="702"/>
      <c r="F109" s="742"/>
      <c r="G109" s="742"/>
      <c r="H109" s="742"/>
      <c r="I109" s="742"/>
      <c r="J109" s="702"/>
      <c r="K109" s="702"/>
      <c r="L109" s="702"/>
      <c r="M109" s="702"/>
      <c r="N109" s="702"/>
      <c r="O109" s="702"/>
      <c r="P109" s="702"/>
    </row>
    <row r="110" customFormat="false" ht="12" hidden="false" customHeight="false" outlineLevel="0" collapsed="false">
      <c r="B110" s="702"/>
      <c r="C110" s="702"/>
      <c r="D110" s="702"/>
      <c r="E110" s="702"/>
      <c r="F110" s="742"/>
      <c r="G110" s="742"/>
      <c r="H110" s="742"/>
      <c r="I110" s="742"/>
      <c r="J110" s="702"/>
      <c r="K110" s="702"/>
      <c r="L110" s="702"/>
      <c r="M110" s="702"/>
      <c r="N110" s="702"/>
      <c r="O110" s="702"/>
      <c r="P110" s="702"/>
    </row>
    <row r="111" customFormat="false" ht="12" hidden="false" customHeight="false" outlineLevel="0" collapsed="false">
      <c r="B111" s="702"/>
      <c r="C111" s="702"/>
      <c r="D111" s="702"/>
      <c r="E111" s="702"/>
      <c r="F111" s="742"/>
      <c r="G111" s="742"/>
      <c r="H111" s="742"/>
      <c r="I111" s="742"/>
      <c r="J111" s="702"/>
      <c r="K111" s="702"/>
      <c r="L111" s="702"/>
      <c r="M111" s="702"/>
      <c r="N111" s="702"/>
      <c r="O111" s="702"/>
      <c r="P111" s="702"/>
    </row>
    <row r="112" customFormat="false" ht="12" hidden="false" customHeight="false" outlineLevel="0" collapsed="false">
      <c r="B112" s="702"/>
      <c r="C112" s="702"/>
      <c r="D112" s="702"/>
      <c r="E112" s="702"/>
      <c r="F112" s="742"/>
      <c r="G112" s="742"/>
      <c r="H112" s="742"/>
      <c r="I112" s="742"/>
      <c r="J112" s="702"/>
      <c r="K112" s="702"/>
      <c r="L112" s="702"/>
      <c r="M112" s="702"/>
      <c r="N112" s="702"/>
      <c r="O112" s="702"/>
      <c r="P112" s="702"/>
    </row>
    <row r="113" customFormat="false" ht="12" hidden="false" customHeight="false" outlineLevel="0" collapsed="false">
      <c r="B113" s="702"/>
      <c r="C113" s="702"/>
      <c r="D113" s="702"/>
      <c r="E113" s="702"/>
      <c r="F113" s="742"/>
      <c r="G113" s="742"/>
      <c r="H113" s="742"/>
      <c r="I113" s="742"/>
      <c r="J113" s="702"/>
      <c r="K113" s="702"/>
      <c r="L113" s="702"/>
      <c r="M113" s="702"/>
      <c r="N113" s="702"/>
      <c r="O113" s="702"/>
      <c r="P113" s="702"/>
    </row>
    <row r="114" customFormat="false" ht="12" hidden="false" customHeight="false" outlineLevel="0" collapsed="false">
      <c r="B114" s="702"/>
      <c r="C114" s="702"/>
      <c r="D114" s="702"/>
      <c r="E114" s="702"/>
      <c r="F114" s="742"/>
      <c r="G114" s="742"/>
      <c r="H114" s="742"/>
      <c r="I114" s="742"/>
      <c r="J114" s="702"/>
      <c r="K114" s="702"/>
      <c r="L114" s="702"/>
      <c r="M114" s="702"/>
      <c r="N114" s="702"/>
      <c r="O114" s="702"/>
      <c r="P114" s="702"/>
    </row>
    <row r="115" customFormat="false" ht="12" hidden="false" customHeight="false" outlineLevel="0" collapsed="false">
      <c r="B115" s="702"/>
      <c r="C115" s="702"/>
      <c r="D115" s="702"/>
      <c r="E115" s="702"/>
      <c r="F115" s="742"/>
      <c r="G115" s="742"/>
      <c r="H115" s="742"/>
      <c r="I115" s="742"/>
      <c r="J115" s="702"/>
      <c r="K115" s="702"/>
      <c r="L115" s="702"/>
      <c r="M115" s="702"/>
      <c r="N115" s="702"/>
      <c r="O115" s="702"/>
      <c r="P115" s="702"/>
    </row>
    <row r="116" customFormat="false" ht="12" hidden="false" customHeight="false" outlineLevel="0" collapsed="false">
      <c r="B116" s="702"/>
      <c r="C116" s="702"/>
      <c r="D116" s="702"/>
      <c r="E116" s="702"/>
      <c r="F116" s="742"/>
      <c r="G116" s="742"/>
      <c r="H116" s="742"/>
      <c r="I116" s="742"/>
      <c r="J116" s="702"/>
      <c r="K116" s="702"/>
      <c r="L116" s="702"/>
      <c r="M116" s="702"/>
      <c r="N116" s="702"/>
      <c r="O116" s="702"/>
      <c r="P116" s="702"/>
    </row>
    <row r="117" customFormat="false" ht="12" hidden="false" customHeight="false" outlineLevel="0" collapsed="false">
      <c r="B117" s="702"/>
      <c r="C117" s="702"/>
      <c r="D117" s="702"/>
      <c r="E117" s="702"/>
      <c r="F117" s="742"/>
      <c r="G117" s="742"/>
      <c r="H117" s="742"/>
      <c r="I117" s="742"/>
      <c r="J117" s="702"/>
      <c r="K117" s="702"/>
      <c r="L117" s="702"/>
      <c r="M117" s="702"/>
      <c r="N117" s="702"/>
      <c r="O117" s="702"/>
      <c r="P117" s="702"/>
    </row>
    <row r="118" customFormat="false" ht="12" hidden="false" customHeight="false" outlineLevel="0" collapsed="false">
      <c r="B118" s="702"/>
      <c r="C118" s="702"/>
      <c r="D118" s="702"/>
      <c r="E118" s="702"/>
      <c r="F118" s="742"/>
      <c r="G118" s="742"/>
      <c r="H118" s="742"/>
      <c r="I118" s="742"/>
      <c r="J118" s="702"/>
      <c r="K118" s="702"/>
      <c r="L118" s="702"/>
      <c r="M118" s="702"/>
      <c r="N118" s="702"/>
      <c r="O118" s="702"/>
      <c r="P118" s="702"/>
    </row>
    <row r="119" customFormat="false" ht="12" hidden="false" customHeight="false" outlineLevel="0" collapsed="false">
      <c r="B119" s="702"/>
      <c r="C119" s="702"/>
      <c r="D119" s="702"/>
      <c r="E119" s="702"/>
      <c r="F119" s="742"/>
      <c r="G119" s="742"/>
      <c r="H119" s="742"/>
      <c r="I119" s="742"/>
      <c r="J119" s="702"/>
      <c r="K119" s="702"/>
      <c r="L119" s="702"/>
      <c r="M119" s="702"/>
      <c r="N119" s="702"/>
      <c r="O119" s="702"/>
      <c r="P119" s="702"/>
    </row>
    <row r="120" customFormat="false" ht="12" hidden="false" customHeight="false" outlineLevel="0" collapsed="false">
      <c r="B120" s="702"/>
      <c r="C120" s="702"/>
      <c r="D120" s="702"/>
      <c r="E120" s="702"/>
      <c r="F120" s="742"/>
      <c r="G120" s="742"/>
      <c r="H120" s="742"/>
      <c r="I120" s="742"/>
      <c r="J120" s="702"/>
      <c r="K120" s="702"/>
      <c r="L120" s="702"/>
      <c r="M120" s="702"/>
      <c r="N120" s="702"/>
      <c r="O120" s="702"/>
      <c r="P120" s="702"/>
    </row>
    <row r="121" customFormat="false" ht="12" hidden="false" customHeight="false" outlineLevel="0" collapsed="false">
      <c r="B121" s="702"/>
      <c r="C121" s="702"/>
      <c r="D121" s="702"/>
      <c r="E121" s="702"/>
      <c r="F121" s="742"/>
      <c r="G121" s="742"/>
      <c r="H121" s="742"/>
      <c r="I121" s="742"/>
      <c r="J121" s="702"/>
      <c r="K121" s="702"/>
      <c r="L121" s="702"/>
      <c r="M121" s="702"/>
      <c r="N121" s="702"/>
      <c r="O121" s="702"/>
      <c r="P121" s="702"/>
    </row>
    <row r="122" customFormat="false" ht="12" hidden="false" customHeight="false" outlineLevel="0" collapsed="false">
      <c r="B122" s="702"/>
      <c r="C122" s="702"/>
      <c r="D122" s="702"/>
      <c r="E122" s="702"/>
      <c r="F122" s="742"/>
      <c r="G122" s="742"/>
      <c r="H122" s="742"/>
      <c r="I122" s="742"/>
      <c r="J122" s="702"/>
      <c r="K122" s="702"/>
      <c r="L122" s="702"/>
      <c r="M122" s="702"/>
      <c r="N122" s="702"/>
      <c r="O122" s="702"/>
      <c r="P122" s="702"/>
    </row>
    <row r="123" customFormat="false" ht="12" hidden="false" customHeight="false" outlineLevel="0" collapsed="false">
      <c r="B123" s="702"/>
      <c r="C123" s="702"/>
      <c r="D123" s="702"/>
      <c r="E123" s="702"/>
      <c r="F123" s="742"/>
      <c r="G123" s="742"/>
      <c r="H123" s="742"/>
      <c r="I123" s="742"/>
      <c r="J123" s="702"/>
      <c r="K123" s="702"/>
      <c r="L123" s="702"/>
      <c r="M123" s="702"/>
      <c r="N123" s="702"/>
      <c r="O123" s="702"/>
      <c r="P123" s="702"/>
    </row>
    <row r="124" customFormat="false" ht="12" hidden="false" customHeight="false" outlineLevel="0" collapsed="false">
      <c r="B124" s="702"/>
      <c r="C124" s="702"/>
      <c r="D124" s="702"/>
      <c r="E124" s="702"/>
      <c r="F124" s="742"/>
      <c r="G124" s="742"/>
      <c r="H124" s="742"/>
      <c r="I124" s="742"/>
      <c r="J124" s="702"/>
      <c r="K124" s="702"/>
      <c r="L124" s="702"/>
      <c r="M124" s="702"/>
      <c r="N124" s="702"/>
      <c r="O124" s="702"/>
      <c r="P124" s="702"/>
    </row>
    <row r="125" customFormat="false" ht="12" hidden="false" customHeight="false" outlineLevel="0" collapsed="false">
      <c r="B125" s="702"/>
      <c r="C125" s="702"/>
      <c r="D125" s="702"/>
      <c r="E125" s="702"/>
      <c r="F125" s="742"/>
      <c r="G125" s="742"/>
      <c r="H125" s="742"/>
      <c r="I125" s="742"/>
      <c r="J125" s="702"/>
      <c r="K125" s="702"/>
      <c r="L125" s="702"/>
      <c r="M125" s="702"/>
      <c r="N125" s="702"/>
      <c r="O125" s="702"/>
      <c r="P125" s="702"/>
    </row>
    <row r="126" customFormat="false" ht="12" hidden="false" customHeight="false" outlineLevel="0" collapsed="false">
      <c r="B126" s="702"/>
      <c r="C126" s="702"/>
      <c r="D126" s="702"/>
      <c r="E126" s="702"/>
      <c r="F126" s="742"/>
      <c r="G126" s="742"/>
      <c r="H126" s="742"/>
      <c r="I126" s="742"/>
      <c r="J126" s="702"/>
      <c r="K126" s="702"/>
      <c r="L126" s="702"/>
      <c r="M126" s="702"/>
      <c r="N126" s="702"/>
      <c r="O126" s="702"/>
      <c r="P126" s="702"/>
    </row>
    <row r="127" customFormat="false" ht="12" hidden="false" customHeight="false" outlineLevel="0" collapsed="false">
      <c r="B127" s="702"/>
      <c r="C127" s="702"/>
      <c r="D127" s="702"/>
      <c r="E127" s="702"/>
      <c r="F127" s="742"/>
      <c r="G127" s="742"/>
      <c r="H127" s="742"/>
      <c r="I127" s="742"/>
      <c r="J127" s="702"/>
      <c r="K127" s="702"/>
      <c r="L127" s="702"/>
      <c r="M127" s="702"/>
      <c r="N127" s="702"/>
      <c r="O127" s="702"/>
      <c r="P127" s="702"/>
    </row>
    <row r="128" customFormat="false" ht="12" hidden="false" customHeight="false" outlineLevel="0" collapsed="false">
      <c r="B128" s="702"/>
      <c r="C128" s="702"/>
      <c r="D128" s="702"/>
      <c r="E128" s="702"/>
      <c r="F128" s="742"/>
      <c r="G128" s="742"/>
      <c r="H128" s="742"/>
      <c r="I128" s="742"/>
      <c r="J128" s="702"/>
      <c r="K128" s="702"/>
      <c r="L128" s="702"/>
      <c r="M128" s="702"/>
      <c r="N128" s="702"/>
      <c r="O128" s="702"/>
      <c r="P128" s="702"/>
    </row>
    <row r="129" customFormat="false" ht="12" hidden="false" customHeight="false" outlineLevel="0" collapsed="false">
      <c r="B129" s="702"/>
      <c r="C129" s="702"/>
      <c r="D129" s="702"/>
      <c r="E129" s="702"/>
      <c r="F129" s="742"/>
      <c r="G129" s="742"/>
      <c r="H129" s="742"/>
      <c r="I129" s="742"/>
      <c r="J129" s="702"/>
      <c r="K129" s="702"/>
      <c r="L129" s="702"/>
      <c r="M129" s="702"/>
      <c r="N129" s="702"/>
      <c r="O129" s="702"/>
      <c r="P129" s="702"/>
    </row>
    <row r="130" customFormat="false" ht="12" hidden="false" customHeight="false" outlineLevel="0" collapsed="false">
      <c r="B130" s="702"/>
      <c r="C130" s="702"/>
      <c r="D130" s="702"/>
      <c r="E130" s="702"/>
      <c r="F130" s="742"/>
      <c r="G130" s="742"/>
      <c r="H130" s="742"/>
      <c r="I130" s="742"/>
      <c r="J130" s="702"/>
      <c r="K130" s="702"/>
      <c r="L130" s="702"/>
      <c r="M130" s="702"/>
      <c r="N130" s="702"/>
      <c r="O130" s="702"/>
      <c r="P130" s="702"/>
    </row>
    <row r="131" customFormat="false" ht="12" hidden="false" customHeight="false" outlineLevel="0" collapsed="false">
      <c r="B131" s="702"/>
      <c r="C131" s="702"/>
      <c r="D131" s="702"/>
      <c r="E131" s="702"/>
      <c r="F131" s="742"/>
      <c r="G131" s="742"/>
      <c r="H131" s="742"/>
      <c r="I131" s="742"/>
      <c r="J131" s="702"/>
      <c r="K131" s="702"/>
      <c r="L131" s="702"/>
      <c r="M131" s="702"/>
      <c r="N131" s="702"/>
      <c r="O131" s="702"/>
      <c r="P131" s="702"/>
    </row>
    <row r="132" customFormat="false" ht="12" hidden="false" customHeight="false" outlineLevel="0" collapsed="false">
      <c r="B132" s="702"/>
      <c r="C132" s="702"/>
      <c r="D132" s="702"/>
      <c r="E132" s="702"/>
      <c r="F132" s="742"/>
      <c r="G132" s="742"/>
      <c r="H132" s="742"/>
      <c r="I132" s="742"/>
      <c r="J132" s="702"/>
      <c r="K132" s="702"/>
      <c r="L132" s="702"/>
      <c r="M132" s="702"/>
      <c r="N132" s="702"/>
      <c r="O132" s="702"/>
      <c r="P132" s="702"/>
    </row>
    <row r="133" customFormat="false" ht="12" hidden="false" customHeight="false" outlineLevel="0" collapsed="false">
      <c r="B133" s="702"/>
      <c r="C133" s="702"/>
      <c r="D133" s="702"/>
      <c r="E133" s="702"/>
      <c r="F133" s="742"/>
      <c r="G133" s="742"/>
      <c r="H133" s="742"/>
      <c r="I133" s="742"/>
      <c r="J133" s="702"/>
      <c r="K133" s="702"/>
      <c r="L133" s="702"/>
      <c r="M133" s="702"/>
      <c r="N133" s="702"/>
      <c r="O133" s="702"/>
      <c r="P133" s="702"/>
    </row>
    <row r="134" customFormat="false" ht="12" hidden="false" customHeight="false" outlineLevel="0" collapsed="false">
      <c r="B134" s="702"/>
      <c r="C134" s="702"/>
      <c r="D134" s="702"/>
      <c r="E134" s="702"/>
      <c r="F134" s="742"/>
      <c r="G134" s="742"/>
      <c r="H134" s="742"/>
      <c r="I134" s="742"/>
      <c r="J134" s="702"/>
      <c r="K134" s="702"/>
      <c r="L134" s="702"/>
      <c r="M134" s="702"/>
      <c r="N134" s="702"/>
      <c r="O134" s="702"/>
      <c r="P134" s="702"/>
    </row>
    <row r="135" customFormat="false" ht="12" hidden="false" customHeight="false" outlineLevel="0" collapsed="false">
      <c r="B135" s="702"/>
      <c r="C135" s="702"/>
      <c r="D135" s="702"/>
      <c r="E135" s="702"/>
      <c r="F135" s="742"/>
      <c r="G135" s="742"/>
      <c r="H135" s="742"/>
      <c r="I135" s="742"/>
      <c r="J135" s="702"/>
      <c r="K135" s="702"/>
      <c r="L135" s="702"/>
      <c r="M135" s="702"/>
      <c r="N135" s="702"/>
      <c r="O135" s="702"/>
      <c r="P135" s="702"/>
    </row>
    <row r="136" customFormat="false" ht="12" hidden="false" customHeight="false" outlineLevel="0" collapsed="false">
      <c r="B136" s="702"/>
      <c r="C136" s="702"/>
      <c r="D136" s="702"/>
      <c r="E136" s="702"/>
      <c r="F136" s="742"/>
      <c r="G136" s="742"/>
      <c r="H136" s="742"/>
      <c r="I136" s="742"/>
      <c r="J136" s="702"/>
      <c r="K136" s="702"/>
      <c r="L136" s="702"/>
      <c r="M136" s="702"/>
      <c r="N136" s="702"/>
      <c r="O136" s="702"/>
      <c r="P136" s="702"/>
    </row>
    <row r="137" customFormat="false" ht="12" hidden="false" customHeight="false" outlineLevel="0" collapsed="false">
      <c r="B137" s="702"/>
      <c r="C137" s="702"/>
      <c r="D137" s="702"/>
      <c r="E137" s="702"/>
      <c r="F137" s="742"/>
      <c r="G137" s="742"/>
      <c r="H137" s="742"/>
      <c r="I137" s="742"/>
      <c r="J137" s="702"/>
      <c r="K137" s="702"/>
      <c r="L137" s="702"/>
      <c r="M137" s="702"/>
      <c r="N137" s="702"/>
      <c r="O137" s="702"/>
      <c r="P137" s="702"/>
    </row>
    <row r="138" customFormat="false" ht="12" hidden="false" customHeight="false" outlineLevel="0" collapsed="false">
      <c r="B138" s="702"/>
      <c r="C138" s="702"/>
      <c r="D138" s="702"/>
      <c r="E138" s="702"/>
      <c r="F138" s="742"/>
      <c r="G138" s="742"/>
      <c r="H138" s="742"/>
      <c r="I138" s="742"/>
      <c r="J138" s="702"/>
      <c r="K138" s="702"/>
      <c r="L138" s="702"/>
      <c r="M138" s="702"/>
      <c r="N138" s="702"/>
      <c r="O138" s="702"/>
      <c r="P138" s="702"/>
    </row>
    <row r="139" customFormat="false" ht="12" hidden="false" customHeight="false" outlineLevel="0" collapsed="false">
      <c r="B139" s="702"/>
      <c r="C139" s="702"/>
      <c r="D139" s="702"/>
      <c r="E139" s="702"/>
      <c r="F139" s="742"/>
      <c r="G139" s="742"/>
      <c r="H139" s="742"/>
      <c r="I139" s="742"/>
      <c r="J139" s="702"/>
      <c r="K139" s="702"/>
      <c r="L139" s="702"/>
      <c r="M139" s="702"/>
      <c r="N139" s="702"/>
      <c r="O139" s="702"/>
      <c r="P139" s="702"/>
    </row>
    <row r="140" customFormat="false" ht="12" hidden="false" customHeight="false" outlineLevel="0" collapsed="false">
      <c r="B140" s="702"/>
      <c r="C140" s="702"/>
      <c r="D140" s="702"/>
      <c r="E140" s="702"/>
      <c r="F140" s="742"/>
      <c r="G140" s="742"/>
      <c r="H140" s="742"/>
      <c r="I140" s="742"/>
      <c r="J140" s="702"/>
      <c r="K140" s="702"/>
      <c r="L140" s="702"/>
      <c r="M140" s="702"/>
      <c r="N140" s="702"/>
      <c r="O140" s="702"/>
      <c r="P140" s="702"/>
    </row>
    <row r="141" customFormat="false" ht="12" hidden="false" customHeight="false" outlineLevel="0" collapsed="false">
      <c r="B141" s="702"/>
      <c r="C141" s="702"/>
      <c r="D141" s="702"/>
      <c r="E141" s="702"/>
      <c r="F141" s="742"/>
      <c r="G141" s="742"/>
      <c r="H141" s="742"/>
      <c r="I141" s="742"/>
      <c r="J141" s="702"/>
      <c r="K141" s="702"/>
      <c r="L141" s="702"/>
      <c r="M141" s="702"/>
      <c r="N141" s="702"/>
      <c r="O141" s="702"/>
      <c r="P141" s="702"/>
    </row>
    <row r="142" customFormat="false" ht="12" hidden="false" customHeight="false" outlineLevel="0" collapsed="false">
      <c r="B142" s="702"/>
      <c r="C142" s="702"/>
      <c r="D142" s="702"/>
      <c r="E142" s="702"/>
      <c r="F142" s="742"/>
      <c r="G142" s="742"/>
      <c r="H142" s="742"/>
      <c r="I142" s="742"/>
      <c r="J142" s="702"/>
      <c r="K142" s="702"/>
      <c r="L142" s="702"/>
      <c r="M142" s="702"/>
      <c r="N142" s="702"/>
      <c r="O142" s="702"/>
      <c r="P142" s="702"/>
    </row>
    <row r="143" customFormat="false" ht="12" hidden="false" customHeight="false" outlineLevel="0" collapsed="false">
      <c r="B143" s="702"/>
      <c r="C143" s="702"/>
      <c r="D143" s="702"/>
      <c r="E143" s="702"/>
      <c r="F143" s="742"/>
      <c r="G143" s="742"/>
      <c r="H143" s="742"/>
      <c r="I143" s="742"/>
      <c r="J143" s="702"/>
      <c r="K143" s="702"/>
      <c r="L143" s="702"/>
      <c r="M143" s="702"/>
      <c r="N143" s="702"/>
      <c r="O143" s="702"/>
      <c r="P143" s="702"/>
    </row>
    <row r="144" customFormat="false" ht="12" hidden="false" customHeight="false" outlineLevel="0" collapsed="false">
      <c r="B144" s="702"/>
      <c r="C144" s="702"/>
      <c r="D144" s="702"/>
      <c r="E144" s="702"/>
      <c r="F144" s="742"/>
      <c r="G144" s="742"/>
      <c r="H144" s="742"/>
      <c r="I144" s="742"/>
      <c r="J144" s="702"/>
      <c r="K144" s="702"/>
      <c r="L144" s="702"/>
      <c r="M144" s="702"/>
      <c r="N144" s="702"/>
      <c r="O144" s="702"/>
      <c r="P144" s="702"/>
    </row>
    <row r="145" customFormat="false" ht="12" hidden="false" customHeight="false" outlineLevel="0" collapsed="false">
      <c r="B145" s="702"/>
      <c r="C145" s="702"/>
      <c r="D145" s="702"/>
      <c r="E145" s="702"/>
      <c r="F145" s="742"/>
      <c r="G145" s="742"/>
      <c r="H145" s="742"/>
      <c r="I145" s="742"/>
      <c r="J145" s="702"/>
      <c r="K145" s="702"/>
      <c r="L145" s="702"/>
      <c r="M145" s="702"/>
      <c r="N145" s="702"/>
      <c r="O145" s="702"/>
      <c r="P145" s="702"/>
    </row>
    <row r="146" customFormat="false" ht="12" hidden="false" customHeight="false" outlineLevel="0" collapsed="false">
      <c r="B146" s="702"/>
      <c r="C146" s="702"/>
      <c r="D146" s="702"/>
      <c r="E146" s="702"/>
      <c r="F146" s="742"/>
      <c r="G146" s="742"/>
      <c r="H146" s="742"/>
      <c r="I146" s="742"/>
      <c r="J146" s="702"/>
      <c r="K146" s="702"/>
      <c r="L146" s="702"/>
      <c r="M146" s="702"/>
      <c r="N146" s="702"/>
      <c r="O146" s="702"/>
      <c r="P146" s="702"/>
    </row>
    <row r="147" customFormat="false" ht="12" hidden="false" customHeight="false" outlineLevel="0" collapsed="false">
      <c r="B147" s="702"/>
      <c r="C147" s="702"/>
      <c r="D147" s="702"/>
      <c r="E147" s="702"/>
      <c r="F147" s="742"/>
      <c r="G147" s="742"/>
      <c r="H147" s="742"/>
      <c r="I147" s="742"/>
      <c r="J147" s="702"/>
      <c r="K147" s="702"/>
      <c r="L147" s="702"/>
      <c r="M147" s="702"/>
      <c r="N147" s="702"/>
      <c r="O147" s="702"/>
      <c r="P147" s="702"/>
    </row>
    <row r="148" customFormat="false" ht="12" hidden="false" customHeight="false" outlineLevel="0" collapsed="false">
      <c r="B148" s="702"/>
      <c r="C148" s="702"/>
      <c r="D148" s="702"/>
      <c r="E148" s="702"/>
      <c r="F148" s="742"/>
      <c r="G148" s="742"/>
      <c r="H148" s="742"/>
      <c r="I148" s="742"/>
      <c r="J148" s="702"/>
      <c r="K148" s="702"/>
      <c r="L148" s="702"/>
      <c r="M148" s="702"/>
      <c r="N148" s="702"/>
      <c r="O148" s="702"/>
      <c r="P148" s="702"/>
    </row>
    <row r="149" customFormat="false" ht="12" hidden="false" customHeight="false" outlineLevel="0" collapsed="false">
      <c r="B149" s="702"/>
      <c r="C149" s="702"/>
      <c r="D149" s="702"/>
      <c r="E149" s="702"/>
      <c r="F149" s="742"/>
      <c r="G149" s="742"/>
      <c r="H149" s="742"/>
      <c r="I149" s="742"/>
      <c r="J149" s="702"/>
      <c r="K149" s="702"/>
      <c r="L149" s="702"/>
      <c r="M149" s="702"/>
      <c r="N149" s="702"/>
      <c r="O149" s="702"/>
      <c r="P149" s="702"/>
    </row>
    <row r="150" customFormat="false" ht="12" hidden="false" customHeight="false" outlineLevel="0" collapsed="false">
      <c r="B150" s="702"/>
      <c r="C150" s="702"/>
      <c r="D150" s="702"/>
      <c r="E150" s="702"/>
      <c r="F150" s="742"/>
      <c r="G150" s="742"/>
      <c r="H150" s="742"/>
      <c r="I150" s="742"/>
      <c r="J150" s="702"/>
      <c r="K150" s="702"/>
      <c r="L150" s="702"/>
      <c r="M150" s="702"/>
      <c r="N150" s="702"/>
      <c r="O150" s="702"/>
      <c r="P150" s="702"/>
    </row>
    <row r="151" customFormat="false" ht="12" hidden="false" customHeight="false" outlineLevel="0" collapsed="false">
      <c r="B151" s="702"/>
      <c r="C151" s="702"/>
      <c r="D151" s="702"/>
      <c r="E151" s="702"/>
      <c r="F151" s="742"/>
      <c r="G151" s="742"/>
      <c r="H151" s="742"/>
      <c r="I151" s="742"/>
      <c r="J151" s="702"/>
      <c r="K151" s="702"/>
      <c r="L151" s="702"/>
      <c r="M151" s="702"/>
      <c r="N151" s="702"/>
      <c r="O151" s="702"/>
      <c r="P151" s="702"/>
    </row>
    <row r="152" customFormat="false" ht="12" hidden="false" customHeight="false" outlineLevel="0" collapsed="false">
      <c r="B152" s="702"/>
      <c r="C152" s="702"/>
      <c r="D152" s="702"/>
      <c r="E152" s="702"/>
      <c r="F152" s="742"/>
      <c r="G152" s="742"/>
      <c r="H152" s="742"/>
      <c r="I152" s="742"/>
      <c r="J152" s="702"/>
      <c r="K152" s="702"/>
      <c r="L152" s="702"/>
      <c r="M152" s="702"/>
      <c r="N152" s="702"/>
      <c r="O152" s="702"/>
      <c r="P152" s="702"/>
    </row>
    <row r="153" customFormat="false" ht="12" hidden="false" customHeight="false" outlineLevel="0" collapsed="false">
      <c r="B153" s="702"/>
      <c r="C153" s="702"/>
      <c r="D153" s="702"/>
      <c r="E153" s="702"/>
      <c r="F153" s="742"/>
      <c r="G153" s="742"/>
      <c r="H153" s="742"/>
      <c r="I153" s="742"/>
      <c r="J153" s="702"/>
      <c r="K153" s="702"/>
      <c r="L153" s="702"/>
      <c r="M153" s="702"/>
      <c r="N153" s="702"/>
      <c r="O153" s="702"/>
      <c r="P153" s="702"/>
    </row>
    <row r="154" customFormat="false" ht="12" hidden="false" customHeight="false" outlineLevel="0" collapsed="false">
      <c r="B154" s="702"/>
      <c r="C154" s="702"/>
      <c r="D154" s="702"/>
      <c r="E154" s="702"/>
      <c r="F154" s="742"/>
      <c r="G154" s="742"/>
      <c r="H154" s="742"/>
      <c r="I154" s="742"/>
      <c r="J154" s="702"/>
      <c r="K154" s="702"/>
      <c r="L154" s="702"/>
      <c r="M154" s="702"/>
      <c r="N154" s="702"/>
      <c r="O154" s="702"/>
      <c r="P154" s="702"/>
    </row>
    <row r="155" customFormat="false" ht="12" hidden="false" customHeight="false" outlineLevel="0" collapsed="false">
      <c r="B155" s="702"/>
      <c r="C155" s="702"/>
      <c r="D155" s="702"/>
      <c r="E155" s="702"/>
      <c r="F155" s="742"/>
      <c r="G155" s="742"/>
      <c r="H155" s="742"/>
      <c r="I155" s="742"/>
      <c r="J155" s="702"/>
      <c r="K155" s="702"/>
      <c r="L155" s="702"/>
      <c r="M155" s="702"/>
      <c r="N155" s="702"/>
      <c r="O155" s="702"/>
      <c r="P155" s="702"/>
    </row>
    <row r="156" customFormat="false" ht="12" hidden="false" customHeight="false" outlineLevel="0" collapsed="false">
      <c r="B156" s="702"/>
      <c r="C156" s="702"/>
      <c r="D156" s="702"/>
      <c r="E156" s="702"/>
      <c r="F156" s="742"/>
      <c r="G156" s="742"/>
      <c r="H156" s="742"/>
      <c r="I156" s="742"/>
      <c r="J156" s="702"/>
      <c r="K156" s="702"/>
      <c r="L156" s="702"/>
      <c r="M156" s="702"/>
      <c r="N156" s="702"/>
      <c r="O156" s="702"/>
      <c r="P156" s="702"/>
    </row>
    <row r="157" customFormat="false" ht="12" hidden="false" customHeight="false" outlineLevel="0" collapsed="false">
      <c r="B157" s="702"/>
      <c r="C157" s="702"/>
      <c r="D157" s="702"/>
      <c r="E157" s="702"/>
      <c r="F157" s="742"/>
      <c r="G157" s="742"/>
      <c r="H157" s="742"/>
      <c r="I157" s="742"/>
      <c r="J157" s="702"/>
      <c r="K157" s="702"/>
      <c r="L157" s="702"/>
      <c r="M157" s="702"/>
      <c r="N157" s="702"/>
      <c r="O157" s="702"/>
      <c r="P157" s="702"/>
    </row>
    <row r="158" customFormat="false" ht="12" hidden="false" customHeight="false" outlineLevel="0" collapsed="false">
      <c r="B158" s="702"/>
      <c r="C158" s="702"/>
      <c r="D158" s="702"/>
      <c r="E158" s="702"/>
      <c r="F158" s="742"/>
      <c r="G158" s="742"/>
      <c r="H158" s="742"/>
      <c r="I158" s="742"/>
      <c r="J158" s="702"/>
      <c r="K158" s="702"/>
      <c r="L158" s="702"/>
      <c r="M158" s="702"/>
      <c r="N158" s="702"/>
      <c r="O158" s="702"/>
      <c r="P158" s="702"/>
    </row>
    <row r="159" customFormat="false" ht="12" hidden="false" customHeight="false" outlineLevel="0" collapsed="false">
      <c r="B159" s="702"/>
      <c r="C159" s="702"/>
      <c r="D159" s="702"/>
      <c r="E159" s="702"/>
      <c r="F159" s="742"/>
      <c r="G159" s="742"/>
      <c r="H159" s="742"/>
      <c r="I159" s="742"/>
      <c r="J159" s="702"/>
      <c r="K159" s="702"/>
      <c r="L159" s="702"/>
      <c r="M159" s="702"/>
      <c r="N159" s="702"/>
      <c r="O159" s="702"/>
      <c r="P159" s="702"/>
    </row>
    <row r="160" customFormat="false" ht="12" hidden="false" customHeight="false" outlineLevel="0" collapsed="false">
      <c r="B160" s="702"/>
      <c r="C160" s="702"/>
      <c r="D160" s="702"/>
      <c r="E160" s="702"/>
      <c r="F160" s="742"/>
      <c r="G160" s="742"/>
      <c r="H160" s="742"/>
      <c r="I160" s="742"/>
      <c r="J160" s="702"/>
      <c r="K160" s="702"/>
      <c r="L160" s="702"/>
      <c r="M160" s="702"/>
      <c r="N160" s="702"/>
      <c r="O160" s="702"/>
      <c r="P160" s="702"/>
    </row>
    <row r="161" customFormat="false" ht="12" hidden="false" customHeight="false" outlineLevel="0" collapsed="false">
      <c r="B161" s="702"/>
      <c r="C161" s="702"/>
      <c r="D161" s="702"/>
      <c r="E161" s="702"/>
      <c r="F161" s="742"/>
      <c r="G161" s="742"/>
      <c r="H161" s="742"/>
      <c r="I161" s="742"/>
      <c r="J161" s="702"/>
      <c r="K161" s="702"/>
      <c r="L161" s="702"/>
      <c r="M161" s="702"/>
      <c r="N161" s="702"/>
      <c r="O161" s="702"/>
      <c r="P161" s="702"/>
    </row>
    <row r="162" customFormat="false" ht="12" hidden="false" customHeight="false" outlineLevel="0" collapsed="false">
      <c r="B162" s="702"/>
      <c r="C162" s="702"/>
      <c r="D162" s="702"/>
      <c r="E162" s="702"/>
      <c r="F162" s="742"/>
      <c r="G162" s="742"/>
      <c r="H162" s="742"/>
      <c r="I162" s="742"/>
      <c r="J162" s="702"/>
      <c r="K162" s="702"/>
      <c r="L162" s="702"/>
      <c r="M162" s="702"/>
      <c r="N162" s="702"/>
      <c r="O162" s="702"/>
      <c r="P162" s="702"/>
    </row>
    <row r="163" customFormat="false" ht="12" hidden="false" customHeight="false" outlineLevel="0" collapsed="false">
      <c r="B163" s="702"/>
      <c r="C163" s="702"/>
      <c r="D163" s="702"/>
      <c r="E163" s="702"/>
      <c r="F163" s="742"/>
      <c r="G163" s="742"/>
      <c r="H163" s="742"/>
      <c r="I163" s="742"/>
      <c r="J163" s="702"/>
      <c r="K163" s="702"/>
      <c r="L163" s="702"/>
      <c r="M163" s="702"/>
      <c r="N163" s="702"/>
      <c r="O163" s="702"/>
      <c r="P163" s="702"/>
    </row>
    <row r="164" customFormat="false" ht="12" hidden="false" customHeight="false" outlineLevel="0" collapsed="false">
      <c r="B164" s="702"/>
      <c r="C164" s="702"/>
      <c r="D164" s="702"/>
      <c r="E164" s="702"/>
      <c r="F164" s="742"/>
      <c r="G164" s="742"/>
      <c r="H164" s="742"/>
      <c r="I164" s="742"/>
      <c r="J164" s="702"/>
      <c r="K164" s="702"/>
      <c r="L164" s="702"/>
      <c r="M164" s="702"/>
      <c r="N164" s="702"/>
      <c r="O164" s="702"/>
      <c r="P164" s="702"/>
    </row>
    <row r="165" customFormat="false" ht="12" hidden="false" customHeight="false" outlineLevel="0" collapsed="false">
      <c r="B165" s="702"/>
      <c r="C165" s="702"/>
      <c r="D165" s="702"/>
      <c r="E165" s="702"/>
      <c r="F165" s="742"/>
      <c r="G165" s="742"/>
      <c r="H165" s="742"/>
      <c r="I165" s="742"/>
      <c r="J165" s="702"/>
      <c r="K165" s="702"/>
      <c r="L165" s="702"/>
      <c r="M165" s="702"/>
      <c r="N165" s="702"/>
      <c r="O165" s="702"/>
      <c r="P165" s="702"/>
    </row>
    <row r="166" customFormat="false" ht="12" hidden="false" customHeight="false" outlineLevel="0" collapsed="false">
      <c r="B166" s="702"/>
      <c r="C166" s="702"/>
      <c r="D166" s="702"/>
      <c r="E166" s="702"/>
      <c r="F166" s="742"/>
      <c r="G166" s="742"/>
      <c r="H166" s="742"/>
      <c r="I166" s="742"/>
      <c r="J166" s="702"/>
      <c r="K166" s="702"/>
      <c r="L166" s="702"/>
      <c r="M166" s="702"/>
      <c r="N166" s="702"/>
      <c r="O166" s="702"/>
      <c r="P166" s="702"/>
    </row>
    <row r="167" customFormat="false" ht="12" hidden="false" customHeight="false" outlineLevel="0" collapsed="false">
      <c r="B167" s="702"/>
      <c r="C167" s="702"/>
      <c r="D167" s="702"/>
      <c r="E167" s="702"/>
      <c r="F167" s="742"/>
      <c r="G167" s="742"/>
      <c r="H167" s="742"/>
      <c r="I167" s="742"/>
      <c r="J167" s="702"/>
      <c r="K167" s="702"/>
      <c r="L167" s="702"/>
      <c r="M167" s="702"/>
      <c r="N167" s="702"/>
      <c r="O167" s="702"/>
      <c r="P167" s="702"/>
    </row>
    <row r="168" customFormat="false" ht="12" hidden="false" customHeight="false" outlineLevel="0" collapsed="false">
      <c r="B168" s="702"/>
      <c r="C168" s="702"/>
      <c r="D168" s="702"/>
      <c r="E168" s="702"/>
      <c r="F168" s="742"/>
      <c r="G168" s="742"/>
      <c r="H168" s="742"/>
      <c r="I168" s="742"/>
      <c r="J168" s="702"/>
      <c r="K168" s="702"/>
      <c r="L168" s="702"/>
      <c r="M168" s="702"/>
      <c r="N168" s="702"/>
      <c r="O168" s="702"/>
      <c r="P168" s="702"/>
    </row>
    <row r="169" customFormat="false" ht="12" hidden="false" customHeight="false" outlineLevel="0" collapsed="false">
      <c r="B169" s="702"/>
      <c r="C169" s="702"/>
      <c r="D169" s="702"/>
      <c r="E169" s="702"/>
      <c r="F169" s="742"/>
      <c r="G169" s="742"/>
      <c r="H169" s="742"/>
      <c r="I169" s="742"/>
      <c r="J169" s="702"/>
      <c r="K169" s="702"/>
      <c r="L169" s="702"/>
      <c r="M169" s="702"/>
      <c r="N169" s="702"/>
      <c r="O169" s="702"/>
      <c r="P169" s="702"/>
    </row>
    <row r="170" customFormat="false" ht="12" hidden="false" customHeight="false" outlineLevel="0" collapsed="false">
      <c r="B170" s="702"/>
      <c r="C170" s="702"/>
      <c r="D170" s="702"/>
      <c r="E170" s="702"/>
      <c r="F170" s="742"/>
      <c r="G170" s="742"/>
      <c r="H170" s="742"/>
      <c r="I170" s="742"/>
      <c r="J170" s="702"/>
      <c r="K170" s="702"/>
      <c r="L170" s="702"/>
      <c r="M170" s="702"/>
      <c r="N170" s="702"/>
      <c r="O170" s="702"/>
      <c r="P170" s="702"/>
    </row>
    <row r="171" customFormat="false" ht="12" hidden="false" customHeight="false" outlineLevel="0" collapsed="false">
      <c r="B171" s="702"/>
      <c r="C171" s="702"/>
      <c r="D171" s="702"/>
      <c r="E171" s="702"/>
      <c r="F171" s="742"/>
      <c r="G171" s="742"/>
      <c r="H171" s="742"/>
      <c r="I171" s="742"/>
      <c r="J171" s="702"/>
      <c r="K171" s="702"/>
      <c r="L171" s="702"/>
      <c r="M171" s="702"/>
      <c r="N171" s="702"/>
      <c r="O171" s="702"/>
      <c r="P171" s="702"/>
    </row>
    <row r="172" customFormat="false" ht="12" hidden="false" customHeight="false" outlineLevel="0" collapsed="false">
      <c r="B172" s="702"/>
      <c r="C172" s="702"/>
      <c r="D172" s="702"/>
      <c r="E172" s="702"/>
      <c r="F172" s="742"/>
      <c r="G172" s="742"/>
      <c r="H172" s="742"/>
      <c r="I172" s="742"/>
      <c r="J172" s="702"/>
      <c r="K172" s="702"/>
      <c r="L172" s="702"/>
      <c r="M172" s="702"/>
      <c r="N172" s="702"/>
      <c r="O172" s="702"/>
      <c r="P172" s="702"/>
    </row>
    <row r="173" customFormat="false" ht="12" hidden="false" customHeight="false" outlineLevel="0" collapsed="false">
      <c r="B173" s="702"/>
      <c r="C173" s="702"/>
      <c r="D173" s="702"/>
      <c r="E173" s="702"/>
      <c r="F173" s="742"/>
      <c r="G173" s="742"/>
      <c r="H173" s="742"/>
      <c r="I173" s="742"/>
      <c r="J173" s="702"/>
      <c r="K173" s="702"/>
      <c r="L173" s="702"/>
      <c r="M173" s="702"/>
      <c r="N173" s="702"/>
      <c r="O173" s="702"/>
      <c r="P173" s="702"/>
    </row>
    <row r="174" customFormat="false" ht="12" hidden="false" customHeight="false" outlineLevel="0" collapsed="false">
      <c r="B174" s="702"/>
      <c r="C174" s="702"/>
      <c r="D174" s="702"/>
      <c r="E174" s="702"/>
      <c r="F174" s="742"/>
      <c r="G174" s="742"/>
      <c r="H174" s="742"/>
      <c r="I174" s="742"/>
      <c r="J174" s="702"/>
      <c r="K174" s="702"/>
      <c r="L174" s="702"/>
      <c r="M174" s="702"/>
      <c r="N174" s="702"/>
      <c r="O174" s="702"/>
      <c r="P174" s="702"/>
    </row>
    <row r="175" customFormat="false" ht="12" hidden="false" customHeight="false" outlineLevel="0" collapsed="false">
      <c r="B175" s="702"/>
      <c r="C175" s="702"/>
      <c r="D175" s="702"/>
      <c r="E175" s="702"/>
      <c r="F175" s="742"/>
      <c r="G175" s="742"/>
      <c r="H175" s="742"/>
      <c r="I175" s="742"/>
      <c r="J175" s="702"/>
      <c r="K175" s="702"/>
      <c r="L175" s="702"/>
      <c r="M175" s="702"/>
      <c r="N175" s="702"/>
      <c r="O175" s="702"/>
      <c r="P175" s="702"/>
    </row>
    <row r="176" customFormat="false" ht="12" hidden="false" customHeight="false" outlineLevel="0" collapsed="false">
      <c r="B176" s="702"/>
      <c r="C176" s="702"/>
      <c r="D176" s="702"/>
      <c r="E176" s="702"/>
      <c r="F176" s="742"/>
      <c r="G176" s="742"/>
      <c r="H176" s="742"/>
      <c r="I176" s="742"/>
      <c r="J176" s="702"/>
      <c r="K176" s="702"/>
      <c r="L176" s="702"/>
      <c r="M176" s="702"/>
      <c r="N176" s="702"/>
      <c r="O176" s="702"/>
      <c r="P176" s="702"/>
    </row>
    <row r="177" customFormat="false" ht="12" hidden="false" customHeight="false" outlineLevel="0" collapsed="false">
      <c r="B177" s="702"/>
      <c r="C177" s="702"/>
      <c r="D177" s="702"/>
      <c r="E177" s="702"/>
      <c r="F177" s="742"/>
      <c r="G177" s="742"/>
      <c r="H177" s="742"/>
      <c r="I177" s="742"/>
      <c r="J177" s="702"/>
      <c r="K177" s="702"/>
      <c r="L177" s="702"/>
      <c r="M177" s="702"/>
      <c r="N177" s="702"/>
      <c r="O177" s="702"/>
      <c r="P177" s="702"/>
    </row>
    <row r="178" customFormat="false" ht="12" hidden="false" customHeight="false" outlineLevel="0" collapsed="false">
      <c r="B178" s="702"/>
      <c r="C178" s="702"/>
      <c r="D178" s="702"/>
      <c r="E178" s="702"/>
      <c r="F178" s="742"/>
      <c r="G178" s="742"/>
      <c r="H178" s="742"/>
      <c r="I178" s="742"/>
      <c r="J178" s="702"/>
      <c r="K178" s="702"/>
      <c r="L178" s="702"/>
      <c r="M178" s="702"/>
      <c r="N178" s="702"/>
      <c r="O178" s="702"/>
      <c r="P178" s="702"/>
    </row>
    <row r="179" customFormat="false" ht="12" hidden="false" customHeight="false" outlineLevel="0" collapsed="false">
      <c r="B179" s="702"/>
      <c r="C179" s="702"/>
      <c r="D179" s="702"/>
      <c r="E179" s="702"/>
      <c r="F179" s="742"/>
      <c r="G179" s="742"/>
      <c r="H179" s="742"/>
      <c r="I179" s="742"/>
      <c r="J179" s="702"/>
      <c r="K179" s="702"/>
      <c r="L179" s="702"/>
      <c r="M179" s="702"/>
      <c r="N179" s="702"/>
      <c r="O179" s="702"/>
      <c r="P179" s="702"/>
    </row>
    <row r="180" customFormat="false" ht="12" hidden="false" customHeight="false" outlineLevel="0" collapsed="false">
      <c r="B180" s="702"/>
      <c r="C180" s="702"/>
      <c r="D180" s="702"/>
      <c r="E180" s="702"/>
      <c r="F180" s="742"/>
      <c r="G180" s="742"/>
      <c r="H180" s="742"/>
      <c r="I180" s="742"/>
      <c r="J180" s="702"/>
      <c r="K180" s="702"/>
      <c r="L180" s="702"/>
      <c r="M180" s="702"/>
      <c r="N180" s="702"/>
      <c r="O180" s="702"/>
      <c r="P180" s="702"/>
    </row>
    <row r="181" customFormat="false" ht="12" hidden="false" customHeight="false" outlineLevel="0" collapsed="false">
      <c r="B181" s="702"/>
      <c r="C181" s="702"/>
      <c r="D181" s="702"/>
      <c r="E181" s="702"/>
      <c r="F181" s="742"/>
      <c r="G181" s="742"/>
      <c r="H181" s="742"/>
      <c r="I181" s="742"/>
      <c r="J181" s="702"/>
      <c r="K181" s="702"/>
      <c r="L181" s="702"/>
      <c r="M181" s="702"/>
      <c r="N181" s="702"/>
      <c r="O181" s="702"/>
      <c r="P181" s="702"/>
    </row>
    <row r="182" customFormat="false" ht="12" hidden="false" customHeight="false" outlineLevel="0" collapsed="false">
      <c r="B182" s="702"/>
      <c r="C182" s="702"/>
      <c r="D182" s="702"/>
      <c r="E182" s="702"/>
      <c r="F182" s="742"/>
      <c r="G182" s="742"/>
      <c r="H182" s="742"/>
      <c r="I182" s="742"/>
      <c r="J182" s="702"/>
      <c r="K182" s="702"/>
      <c r="L182" s="702"/>
      <c r="M182" s="702"/>
      <c r="N182" s="702"/>
      <c r="O182" s="702"/>
      <c r="P182" s="702"/>
    </row>
    <row r="183" customFormat="false" ht="12" hidden="false" customHeight="false" outlineLevel="0" collapsed="false">
      <c r="B183" s="702"/>
      <c r="C183" s="702"/>
      <c r="D183" s="702"/>
      <c r="E183" s="702"/>
      <c r="F183" s="742"/>
      <c r="G183" s="742"/>
      <c r="H183" s="742"/>
      <c r="I183" s="742"/>
      <c r="J183" s="702"/>
      <c r="K183" s="702"/>
      <c r="L183" s="702"/>
      <c r="M183" s="702"/>
      <c r="N183" s="702"/>
      <c r="O183" s="702"/>
      <c r="P183" s="702"/>
    </row>
    <row r="184" customFormat="false" ht="12" hidden="false" customHeight="false" outlineLevel="0" collapsed="false">
      <c r="B184" s="702"/>
      <c r="C184" s="702"/>
      <c r="D184" s="702"/>
      <c r="E184" s="702"/>
      <c r="F184" s="742"/>
      <c r="G184" s="742"/>
      <c r="H184" s="742"/>
      <c r="I184" s="742"/>
      <c r="J184" s="702"/>
      <c r="K184" s="702"/>
      <c r="L184" s="702"/>
      <c r="M184" s="702"/>
      <c r="N184" s="702"/>
      <c r="O184" s="702"/>
      <c r="P184" s="702"/>
    </row>
    <row r="185" customFormat="false" ht="12" hidden="false" customHeight="false" outlineLevel="0" collapsed="false">
      <c r="B185" s="702"/>
      <c r="C185" s="702"/>
      <c r="D185" s="702"/>
      <c r="E185" s="702"/>
      <c r="F185" s="742"/>
      <c r="G185" s="742"/>
      <c r="H185" s="742"/>
      <c r="I185" s="742"/>
      <c r="J185" s="702"/>
      <c r="K185" s="702"/>
      <c r="L185" s="702"/>
      <c r="M185" s="702"/>
      <c r="N185" s="702"/>
      <c r="O185" s="702"/>
      <c r="P185" s="702"/>
    </row>
    <row r="186" customFormat="false" ht="12" hidden="false" customHeight="false" outlineLevel="0" collapsed="false">
      <c r="B186" s="702"/>
      <c r="C186" s="702"/>
      <c r="D186" s="702"/>
      <c r="E186" s="702"/>
      <c r="F186" s="742"/>
      <c r="G186" s="742"/>
      <c r="H186" s="742"/>
      <c r="I186" s="742"/>
      <c r="J186" s="702"/>
      <c r="K186" s="702"/>
      <c r="L186" s="702"/>
      <c r="M186" s="702"/>
      <c r="N186" s="702"/>
      <c r="O186" s="702"/>
      <c r="P186" s="702"/>
    </row>
    <row r="187" customFormat="false" ht="12" hidden="false" customHeight="false" outlineLevel="0" collapsed="false">
      <c r="B187" s="702"/>
      <c r="C187" s="702"/>
      <c r="D187" s="702"/>
      <c r="E187" s="702"/>
      <c r="F187" s="742"/>
      <c r="G187" s="742"/>
      <c r="H187" s="742"/>
      <c r="I187" s="742"/>
      <c r="J187" s="702"/>
      <c r="K187" s="702"/>
      <c r="L187" s="702"/>
      <c r="M187" s="702"/>
      <c r="N187" s="702"/>
      <c r="O187" s="702"/>
      <c r="P187" s="702"/>
    </row>
    <row r="188" customFormat="false" ht="12" hidden="false" customHeight="false" outlineLevel="0" collapsed="false">
      <c r="B188" s="702"/>
      <c r="C188" s="702"/>
      <c r="D188" s="702"/>
      <c r="E188" s="702"/>
      <c r="F188" s="742"/>
      <c r="G188" s="742"/>
      <c r="H188" s="742"/>
      <c r="I188" s="742"/>
      <c r="J188" s="702"/>
      <c r="K188" s="702"/>
      <c r="L188" s="702"/>
      <c r="M188" s="702"/>
      <c r="N188" s="702"/>
      <c r="O188" s="702"/>
      <c r="P188" s="702"/>
    </row>
    <row r="189" customFormat="false" ht="12" hidden="false" customHeight="false" outlineLevel="0" collapsed="false">
      <c r="B189" s="702"/>
      <c r="C189" s="702"/>
      <c r="D189" s="702"/>
      <c r="E189" s="702"/>
      <c r="F189" s="742"/>
      <c r="G189" s="742"/>
      <c r="H189" s="742"/>
      <c r="I189" s="742"/>
      <c r="J189" s="702"/>
      <c r="K189" s="702"/>
      <c r="L189" s="702"/>
      <c r="M189" s="702"/>
      <c r="N189" s="702"/>
      <c r="O189" s="702"/>
      <c r="P189" s="702"/>
    </row>
    <row r="190" customFormat="false" ht="12" hidden="false" customHeight="false" outlineLevel="0" collapsed="false">
      <c r="B190" s="702"/>
      <c r="C190" s="702"/>
      <c r="D190" s="702"/>
      <c r="E190" s="702"/>
      <c r="F190" s="742"/>
      <c r="G190" s="742"/>
      <c r="H190" s="742"/>
      <c r="I190" s="742"/>
      <c r="J190" s="702"/>
      <c r="K190" s="702"/>
      <c r="L190" s="702"/>
      <c r="M190" s="702"/>
      <c r="N190" s="702"/>
      <c r="O190" s="702"/>
      <c r="P190" s="702"/>
    </row>
    <row r="191" customFormat="false" ht="12" hidden="false" customHeight="false" outlineLevel="0" collapsed="false">
      <c r="B191" s="702"/>
      <c r="C191" s="702"/>
      <c r="D191" s="702"/>
      <c r="E191" s="702"/>
      <c r="F191" s="742"/>
      <c r="G191" s="742"/>
      <c r="H191" s="742"/>
      <c r="I191" s="742"/>
      <c r="J191" s="702"/>
      <c r="K191" s="702"/>
      <c r="L191" s="702"/>
      <c r="M191" s="702"/>
      <c r="N191" s="702"/>
      <c r="O191" s="702"/>
      <c r="P191" s="702"/>
    </row>
    <row r="192" customFormat="false" ht="12" hidden="false" customHeight="false" outlineLevel="0" collapsed="false">
      <c r="B192" s="702"/>
      <c r="C192" s="702"/>
      <c r="D192" s="702"/>
      <c r="E192" s="702"/>
      <c r="F192" s="742"/>
      <c r="G192" s="742"/>
      <c r="H192" s="742"/>
      <c r="I192" s="742"/>
      <c r="J192" s="702"/>
      <c r="K192" s="702"/>
      <c r="L192" s="702"/>
      <c r="M192" s="702"/>
      <c r="N192" s="702"/>
      <c r="O192" s="702"/>
      <c r="P192" s="702"/>
    </row>
    <row r="193" customFormat="false" ht="12" hidden="false" customHeight="false" outlineLevel="0" collapsed="false">
      <c r="B193" s="702"/>
      <c r="C193" s="702"/>
      <c r="D193" s="702"/>
      <c r="E193" s="702"/>
      <c r="F193" s="742"/>
      <c r="G193" s="742"/>
      <c r="H193" s="742"/>
      <c r="I193" s="742"/>
      <c r="J193" s="702"/>
      <c r="K193" s="702"/>
      <c r="L193" s="702"/>
      <c r="M193" s="702"/>
      <c r="N193" s="702"/>
      <c r="O193" s="702"/>
      <c r="P193" s="702"/>
    </row>
    <row r="194" customFormat="false" ht="12" hidden="false" customHeight="false" outlineLevel="0" collapsed="false">
      <c r="B194" s="702"/>
      <c r="C194" s="702"/>
      <c r="D194" s="702"/>
      <c r="E194" s="702"/>
      <c r="F194" s="742"/>
      <c r="G194" s="742"/>
      <c r="H194" s="742"/>
      <c r="I194" s="742"/>
      <c r="J194" s="702"/>
      <c r="K194" s="702"/>
      <c r="L194" s="702"/>
      <c r="M194" s="702"/>
      <c r="N194" s="702"/>
      <c r="O194" s="702"/>
      <c r="P194" s="702"/>
    </row>
    <row r="195" customFormat="false" ht="12" hidden="false" customHeight="false" outlineLevel="0" collapsed="false">
      <c r="B195" s="702"/>
      <c r="C195" s="702"/>
      <c r="D195" s="702"/>
      <c r="E195" s="702"/>
      <c r="F195" s="742"/>
      <c r="G195" s="742"/>
      <c r="H195" s="742"/>
      <c r="I195" s="742"/>
      <c r="J195" s="702"/>
      <c r="K195" s="702"/>
      <c r="L195" s="702"/>
      <c r="M195" s="702"/>
      <c r="N195" s="702"/>
      <c r="O195" s="702"/>
      <c r="P195" s="702"/>
    </row>
    <row r="196" customFormat="false" ht="12" hidden="false" customHeight="false" outlineLevel="0" collapsed="false">
      <c r="B196" s="702"/>
      <c r="C196" s="702"/>
      <c r="D196" s="702"/>
      <c r="E196" s="702"/>
      <c r="F196" s="742"/>
      <c r="G196" s="742"/>
      <c r="H196" s="742"/>
      <c r="I196" s="742"/>
      <c r="J196" s="702"/>
      <c r="K196" s="702"/>
      <c r="L196" s="702"/>
      <c r="M196" s="702"/>
      <c r="N196" s="702"/>
      <c r="O196" s="702"/>
      <c r="P196" s="702"/>
    </row>
    <row r="197" customFormat="false" ht="12" hidden="false" customHeight="false" outlineLevel="0" collapsed="false">
      <c r="B197" s="702"/>
      <c r="C197" s="702"/>
      <c r="D197" s="702"/>
      <c r="E197" s="702"/>
      <c r="F197" s="742"/>
      <c r="G197" s="742"/>
      <c r="H197" s="742"/>
      <c r="I197" s="742"/>
      <c r="J197" s="702"/>
      <c r="K197" s="702"/>
      <c r="L197" s="702"/>
      <c r="M197" s="702"/>
      <c r="N197" s="702"/>
      <c r="O197" s="702"/>
      <c r="P197" s="702"/>
    </row>
    <row r="198" customFormat="false" ht="12" hidden="false" customHeight="false" outlineLevel="0" collapsed="false">
      <c r="B198" s="702"/>
      <c r="C198" s="702"/>
      <c r="D198" s="702"/>
      <c r="E198" s="702"/>
      <c r="F198" s="742"/>
      <c r="G198" s="742"/>
      <c r="H198" s="742"/>
      <c r="I198" s="742"/>
      <c r="J198" s="702"/>
      <c r="K198" s="702"/>
      <c r="L198" s="702"/>
      <c r="M198" s="702"/>
      <c r="N198" s="702"/>
      <c r="O198" s="702"/>
      <c r="P198" s="702"/>
    </row>
    <row r="199" customFormat="false" ht="12" hidden="false" customHeight="false" outlineLevel="0" collapsed="false">
      <c r="B199" s="702"/>
      <c r="C199" s="702"/>
      <c r="D199" s="702"/>
      <c r="E199" s="702"/>
      <c r="F199" s="742"/>
      <c r="G199" s="742"/>
      <c r="H199" s="742"/>
      <c r="I199" s="742"/>
      <c r="J199" s="702"/>
      <c r="K199" s="702"/>
      <c r="L199" s="702"/>
      <c r="M199" s="702"/>
      <c r="N199" s="702"/>
      <c r="O199" s="702"/>
      <c r="P199" s="702"/>
    </row>
    <row r="200" customFormat="false" ht="12" hidden="false" customHeight="false" outlineLevel="0" collapsed="false">
      <c r="B200" s="702"/>
      <c r="C200" s="702"/>
      <c r="D200" s="702"/>
      <c r="E200" s="702"/>
      <c r="F200" s="742"/>
      <c r="G200" s="742"/>
      <c r="H200" s="742"/>
      <c r="I200" s="742"/>
      <c r="J200" s="702"/>
      <c r="K200" s="702"/>
      <c r="L200" s="702"/>
      <c r="M200" s="702"/>
      <c r="N200" s="702"/>
      <c r="O200" s="702"/>
      <c r="P200" s="702"/>
    </row>
    <row r="201" customFormat="false" ht="12" hidden="false" customHeight="false" outlineLevel="0" collapsed="false">
      <c r="B201" s="702"/>
      <c r="C201" s="702"/>
      <c r="D201" s="702"/>
      <c r="E201" s="702"/>
      <c r="F201" s="742"/>
      <c r="G201" s="742"/>
      <c r="H201" s="742"/>
      <c r="I201" s="742"/>
      <c r="J201" s="702"/>
      <c r="K201" s="702"/>
      <c r="L201" s="702"/>
      <c r="M201" s="702"/>
      <c r="N201" s="702"/>
      <c r="O201" s="702"/>
      <c r="P201" s="702"/>
    </row>
    <row r="202" customFormat="false" ht="12" hidden="false" customHeight="false" outlineLevel="0" collapsed="false">
      <c r="B202" s="702"/>
      <c r="C202" s="702"/>
      <c r="D202" s="702"/>
      <c r="E202" s="702"/>
      <c r="F202" s="742"/>
      <c r="G202" s="742"/>
      <c r="H202" s="742"/>
      <c r="I202" s="742"/>
      <c r="J202" s="702"/>
      <c r="K202" s="702"/>
      <c r="L202" s="702"/>
      <c r="M202" s="702"/>
      <c r="N202" s="702"/>
      <c r="O202" s="702"/>
      <c r="P202" s="702"/>
    </row>
    <row r="203" customFormat="false" ht="12" hidden="false" customHeight="false" outlineLevel="0" collapsed="false">
      <c r="B203" s="702"/>
      <c r="C203" s="702"/>
      <c r="D203" s="702"/>
      <c r="E203" s="702"/>
      <c r="F203" s="742"/>
      <c r="G203" s="742"/>
      <c r="H203" s="742"/>
      <c r="I203" s="742"/>
      <c r="J203" s="702"/>
      <c r="K203" s="702"/>
      <c r="L203" s="702"/>
      <c r="M203" s="702"/>
      <c r="N203" s="702"/>
      <c r="O203" s="702"/>
      <c r="P203" s="702"/>
    </row>
    <row r="204" customFormat="false" ht="12" hidden="false" customHeight="false" outlineLevel="0" collapsed="false">
      <c r="B204" s="702"/>
      <c r="C204" s="702"/>
      <c r="D204" s="702"/>
      <c r="E204" s="702"/>
      <c r="F204" s="742"/>
      <c r="G204" s="742"/>
      <c r="H204" s="742"/>
      <c r="I204" s="742"/>
      <c r="J204" s="702"/>
      <c r="K204" s="702"/>
      <c r="L204" s="702"/>
      <c r="M204" s="702"/>
      <c r="N204" s="702"/>
      <c r="O204" s="702"/>
      <c r="P204" s="702"/>
    </row>
    <row r="205" customFormat="false" ht="12" hidden="false" customHeight="false" outlineLevel="0" collapsed="false">
      <c r="B205" s="702"/>
      <c r="C205" s="702"/>
      <c r="D205" s="702"/>
      <c r="E205" s="702"/>
      <c r="F205" s="742"/>
      <c r="G205" s="742"/>
      <c r="H205" s="742"/>
      <c r="I205" s="742"/>
      <c r="J205" s="702"/>
      <c r="K205" s="702"/>
      <c r="L205" s="702"/>
      <c r="M205" s="702"/>
      <c r="N205" s="702"/>
      <c r="O205" s="702"/>
      <c r="P205" s="702"/>
    </row>
  </sheetData>
  <mergeCells count="8">
    <mergeCell ref="A3:N3"/>
    <mergeCell ref="B6:N6"/>
    <mergeCell ref="B7:B8"/>
    <mergeCell ref="C7:C8"/>
    <mergeCell ref="D7:E8"/>
    <mergeCell ref="F7:I7"/>
    <mergeCell ref="J7:N7"/>
    <mergeCell ref="A8:A9"/>
  </mergeCells>
  <hyperlinks>
    <hyperlink ref="B1" location="Index!A1" display="Back to index"/>
  </hyperlinks>
  <printOptions headings="false" gridLines="false" gridLinesSet="true" horizontalCentered="true" verticalCentered="true"/>
  <pageMargins left="0.790277777777778" right="0.790277777777778" top="0.979861111111111" bottom="0.97986111111111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C0C0"/>
    <pageSetUpPr fitToPage="true"/>
  </sheetPr>
  <dimension ref="A1:U2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3" activeCellId="0" sqref="A3"/>
    </sheetView>
  </sheetViews>
  <sheetFormatPr defaultColWidth="11.9921875" defaultRowHeight="12" zeroHeight="false" outlineLevelRow="0" outlineLevelCol="0"/>
  <cols>
    <col collapsed="false" customWidth="true" hidden="false" outlineLevel="0" max="1" min="1" style="666" width="15.15"/>
    <col collapsed="false" customWidth="true" hidden="false" outlineLevel="0" max="2" min="2" style="666" width="12.66"/>
    <col collapsed="false" customWidth="false" hidden="false" outlineLevel="0" max="8" min="3" style="666" width="11.99"/>
    <col collapsed="false" customWidth="false" hidden="false" outlineLevel="0" max="12" min="9" style="704" width="11.99"/>
    <col collapsed="false" customWidth="true" hidden="false" outlineLevel="0" max="13" min="13" style="666" width="13.99"/>
    <col collapsed="false" customWidth="true" hidden="false" outlineLevel="0" max="19" min="14" style="666" width="8.82"/>
    <col collapsed="false" customWidth="true" hidden="false" outlineLevel="0" max="20" min="20" style="289" width="12.99"/>
    <col collapsed="false" customWidth="false" hidden="false" outlineLevel="0" max="257" min="21" style="289" width="11.99"/>
  </cols>
  <sheetData>
    <row r="1" customFormat="false" ht="12" hidden="false" customHeight="false" outlineLevel="0" collapsed="false">
      <c r="A1" s="667"/>
      <c r="B1" s="21" t="s">
        <v>9</v>
      </c>
      <c r="C1" s="667"/>
      <c r="D1" s="667"/>
      <c r="E1" s="667"/>
      <c r="F1" s="667"/>
      <c r="G1" s="667"/>
      <c r="H1" s="667"/>
      <c r="I1" s="705"/>
      <c r="J1" s="705"/>
      <c r="K1" s="705"/>
      <c r="L1" s="705"/>
      <c r="N1" s="667"/>
      <c r="O1" s="667"/>
      <c r="P1" s="667"/>
      <c r="Q1" s="667"/>
      <c r="R1" s="667"/>
    </row>
    <row r="2" customFormat="false" ht="13" hidden="false" customHeight="false" outlineLevel="0" collapsed="false"/>
    <row r="3" customFormat="false" ht="19.75" hidden="false" customHeight="true" outlineLevel="0" collapsed="false">
      <c r="A3" s="292" t="s">
        <v>212</v>
      </c>
      <c r="B3" s="292"/>
      <c r="C3" s="292"/>
      <c r="D3" s="292"/>
      <c r="E3" s="292"/>
      <c r="F3" s="292"/>
      <c r="G3" s="292"/>
      <c r="H3" s="292"/>
      <c r="I3" s="292"/>
      <c r="J3" s="292"/>
      <c r="K3" s="292"/>
      <c r="L3" s="292"/>
      <c r="M3" s="292"/>
      <c r="N3" s="707"/>
      <c r="O3" s="707"/>
      <c r="P3" s="707"/>
      <c r="Q3" s="707"/>
      <c r="R3" s="707"/>
      <c r="S3" s="707"/>
    </row>
    <row r="4" customFormat="false" ht="12" hidden="false" customHeight="false" outlineLevel="0" collapsed="false">
      <c r="A4" s="293"/>
      <c r="B4" s="294"/>
      <c r="C4" s="294"/>
      <c r="D4" s="294"/>
      <c r="E4" s="294"/>
      <c r="F4" s="294"/>
      <c r="G4" s="294"/>
      <c r="H4" s="294"/>
      <c r="I4" s="708"/>
      <c r="J4" s="708"/>
      <c r="K4" s="708"/>
      <c r="L4" s="708"/>
      <c r="M4" s="295"/>
      <c r="N4" s="294"/>
      <c r="O4" s="294"/>
      <c r="P4" s="294"/>
      <c r="Q4" s="294"/>
      <c r="R4" s="294"/>
      <c r="S4" s="294"/>
    </row>
    <row r="5" customFormat="false" ht="12" hidden="false" customHeight="false" outlineLevel="0" collapsed="false">
      <c r="A5" s="293"/>
      <c r="B5" s="668" t="s">
        <v>11</v>
      </c>
      <c r="C5" s="668" t="s">
        <v>12</v>
      </c>
      <c r="D5" s="708" t="s">
        <v>13</v>
      </c>
      <c r="E5" s="708" t="s">
        <v>14</v>
      </c>
      <c r="F5" s="668" t="s">
        <v>15</v>
      </c>
      <c r="G5" s="668" t="s">
        <v>16</v>
      </c>
      <c r="H5" s="668" t="s">
        <v>17</v>
      </c>
      <c r="I5" s="668" t="s">
        <v>18</v>
      </c>
      <c r="J5" s="668" t="s">
        <v>19</v>
      </c>
      <c r="K5" s="668" t="s">
        <v>20</v>
      </c>
      <c r="L5" s="668" t="s">
        <v>21</v>
      </c>
      <c r="M5" s="743" t="s">
        <v>22</v>
      </c>
      <c r="N5" s="294"/>
      <c r="O5" s="684"/>
      <c r="P5" s="684"/>
      <c r="Q5" s="684"/>
      <c r="R5" s="684"/>
      <c r="S5" s="294"/>
    </row>
    <row r="6" customFormat="false" ht="18" hidden="false" customHeight="true" outlineLevel="0" collapsed="false">
      <c r="A6" s="293"/>
      <c r="B6" s="744"/>
      <c r="C6" s="744"/>
      <c r="D6" s="744"/>
      <c r="E6" s="744"/>
      <c r="F6" s="744"/>
      <c r="G6" s="744"/>
      <c r="H6" s="744"/>
      <c r="I6" s="744"/>
      <c r="J6" s="744"/>
      <c r="K6" s="744"/>
      <c r="L6" s="744"/>
      <c r="M6" s="744"/>
      <c r="N6" s="294"/>
      <c r="O6" s="294"/>
      <c r="P6" s="294"/>
      <c r="Q6" s="294"/>
      <c r="R6" s="294"/>
      <c r="S6" s="294"/>
    </row>
    <row r="7" customFormat="false" ht="49" hidden="false" customHeight="true" outlineLevel="0" collapsed="false">
      <c r="A7" s="315"/>
      <c r="B7" s="745" t="s">
        <v>213</v>
      </c>
      <c r="C7" s="327" t="s">
        <v>214</v>
      </c>
      <c r="D7" s="327" t="s">
        <v>215</v>
      </c>
      <c r="E7" s="326" t="s">
        <v>216</v>
      </c>
      <c r="F7" s="746" t="s">
        <v>217</v>
      </c>
      <c r="G7" s="747" t="s">
        <v>218</v>
      </c>
      <c r="H7" s="747"/>
      <c r="I7" s="748" t="s">
        <v>179</v>
      </c>
      <c r="J7" s="748"/>
      <c r="K7" s="748"/>
      <c r="L7" s="748"/>
      <c r="M7" s="748"/>
    </row>
    <row r="8" customFormat="false" ht="49" hidden="false" customHeight="true" outlineLevel="0" collapsed="false">
      <c r="A8" s="712"/>
      <c r="B8" s="745"/>
      <c r="C8" s="327"/>
      <c r="D8" s="327"/>
      <c r="E8" s="326"/>
      <c r="F8" s="746"/>
      <c r="G8" s="324" t="s">
        <v>180</v>
      </c>
      <c r="H8" s="325" t="s">
        <v>181</v>
      </c>
      <c r="I8" s="327" t="s">
        <v>182</v>
      </c>
      <c r="J8" s="327" t="s">
        <v>183</v>
      </c>
      <c r="K8" s="326" t="s">
        <v>219</v>
      </c>
      <c r="L8" s="327" t="s">
        <v>185</v>
      </c>
      <c r="M8" s="647" t="s">
        <v>220</v>
      </c>
      <c r="N8" s="749"/>
      <c r="O8" s="749"/>
      <c r="P8" s="749"/>
      <c r="Q8" s="749"/>
      <c r="R8" s="749"/>
      <c r="T8" s="290"/>
    </row>
    <row r="9" customFormat="false" ht="15" hidden="false" customHeight="true" outlineLevel="0" collapsed="false">
      <c r="A9" s="750" t="s">
        <v>72</v>
      </c>
      <c r="B9" s="751" t="n">
        <f aca="false">SUMPRODUCT(TableDE5c!$B10:$B149,TableDE5c!E10:E149)/SUM(TableDE5c!$B10:$B149)</f>
        <v>-0.0169331194965574</v>
      </c>
      <c r="C9" s="752" t="n">
        <f aca="false">SUMPRODUCT(TableDE5c!$B10:$B149,TableDE5c!F10:F149)/SUM(TableDE5c!$B10:$B149)</f>
        <v>0.0118491282608484</v>
      </c>
      <c r="D9" s="752" t="n">
        <f aca="false">B9-C9</f>
        <v>-0.0287822477574058</v>
      </c>
      <c r="E9" s="752" t="n">
        <f aca="false">D9-F9</f>
        <v>-0.0133801689607308</v>
      </c>
      <c r="F9" s="753" t="n">
        <f aca="false">-SUMPRODUCT(TableDE5c!$B10:$B149,TableDE11a!G10:G149)/SUM(TableDE5c!$B10:$B149)</f>
        <v>-0.0154020787966749</v>
      </c>
      <c r="G9" s="754" t="n">
        <f aca="false">TableDE5c!D10</f>
        <v>0.413954817761924</v>
      </c>
      <c r="H9" s="755" t="n">
        <f aca="false">TableDE5c!D150</f>
        <v>0.0386755263133369</v>
      </c>
      <c r="I9" s="756" t="n">
        <f aca="false">G9/((1+TableDE3c!B8))^140</f>
        <v>0.01356393494066</v>
      </c>
      <c r="J9" s="754" t="n">
        <f aca="false">B9*(SUM(TableDE5c!B10:B149)/TableDE5c!B150)</f>
        <v>-0.702773026481928</v>
      </c>
      <c r="K9" s="754" t="n">
        <f aca="false">F9*(SUM(TableDE5c!B10:B149)/TableDE5c!B150)</f>
        <v>-0.639230446123824</v>
      </c>
      <c r="L9" s="757" t="n">
        <f aca="false">H9-I9-J9-M9</f>
        <v>0.781659278315348</v>
      </c>
      <c r="M9" s="758" t="n">
        <f aca="false">TableDE5c!N154*SUM(TableDE5c!B10:B149)/TableDE5c!B150</f>
        <v>-0.0537746604607431</v>
      </c>
      <c r="O9" s="25"/>
      <c r="P9" s="25"/>
      <c r="Q9" s="25"/>
      <c r="R9" s="25"/>
      <c r="T9" s="684"/>
    </row>
    <row r="10" customFormat="false" ht="15" hidden="false" customHeight="true" outlineLevel="0" collapsed="false">
      <c r="A10" s="315"/>
      <c r="B10" s="648"/>
      <c r="C10" s="473"/>
      <c r="D10" s="473"/>
      <c r="E10" s="473"/>
      <c r="F10" s="317"/>
      <c r="G10" s="640"/>
      <c r="H10" s="721"/>
      <c r="I10" s="641"/>
      <c r="J10" s="722"/>
      <c r="K10" s="722"/>
      <c r="L10" s="759"/>
      <c r="M10" s="760"/>
      <c r="T10" s="684"/>
    </row>
    <row r="11" customFormat="false" ht="4.75" hidden="false" customHeight="true" outlineLevel="0" collapsed="false">
      <c r="A11" s="299"/>
      <c r="B11" s="328"/>
      <c r="C11" s="327"/>
      <c r="D11" s="327"/>
      <c r="E11" s="327"/>
      <c r="F11" s="325"/>
      <c r="G11" s="646"/>
      <c r="H11" s="724"/>
      <c r="I11" s="328"/>
      <c r="J11" s="327"/>
      <c r="K11" s="327"/>
      <c r="L11" s="327"/>
      <c r="M11" s="647"/>
      <c r="T11" s="684"/>
    </row>
    <row r="12" customFormat="false" ht="15" hidden="false" customHeight="true" outlineLevel="0" collapsed="false">
      <c r="A12" s="307" t="s">
        <v>73</v>
      </c>
      <c r="B12" s="681" t="n">
        <f aca="false">SUMPRODUCT(TableDE5c!$B10:$B49,TableDE5c!E10:E49)/SUM(TableDE5c!$B10:$B49)</f>
        <v>0.00168113745133831</v>
      </c>
      <c r="C12" s="312" t="n">
        <f aca="false">SUMPRODUCT(TableDE5c!$B10:$B49,TableDE5c!F10:F49)/SUM(TableDE5c!$B10:$B49)</f>
        <v>0.0261109657990412</v>
      </c>
      <c r="D12" s="312" t="n">
        <f aca="false">B12-C12</f>
        <v>-0.0244298283477029</v>
      </c>
      <c r="E12" s="312" t="n">
        <f aca="false">D12-F12</f>
        <v>-0.00751752060256806</v>
      </c>
      <c r="F12" s="309" t="n">
        <f aca="false">-SUMPRODUCT(TableDE5c!$B10:$B49,TableDE11a!G10:G49)/SUM(TableDE5c!$B10:$B49)</f>
        <v>-0.0169123077451348</v>
      </c>
      <c r="G12" s="636" t="n">
        <f aca="false">TableDE5c!D10</f>
        <v>0.413954817761924</v>
      </c>
      <c r="H12" s="717" t="n">
        <f aca="false">TableDE5c!D50</f>
        <v>0.286008907610961</v>
      </c>
      <c r="I12" s="637" t="n">
        <f aca="false">G12/((1+TableDE3c!B11)^40)</f>
        <v>0.153418104077351</v>
      </c>
      <c r="J12" s="636" t="n">
        <f aca="false">B12*SUM(TableDE5c!B10:B49)/TableDE5c!B50</f>
        <v>0.0425732705328973</v>
      </c>
      <c r="K12" s="636" t="n">
        <f aca="false">F12*SUM(TableDE5c!B10:B49)/TableDE5c!B50</f>
        <v>-0.428288747238398</v>
      </c>
      <c r="L12" s="761" t="n">
        <f aca="false">H12-I12-J12-M12</f>
        <v>0.0900175330007127</v>
      </c>
      <c r="M12" s="762" t="n">
        <v>0</v>
      </c>
      <c r="O12" s="25"/>
      <c r="P12" s="25"/>
      <c r="Q12" s="25"/>
      <c r="R12" s="25"/>
      <c r="T12" s="684"/>
    </row>
    <row r="13" customFormat="false" ht="15" hidden="false" customHeight="true" outlineLevel="0" collapsed="false">
      <c r="A13" s="315"/>
      <c r="B13" s="648"/>
      <c r="C13" s="473"/>
      <c r="D13" s="473"/>
      <c r="E13" s="473"/>
      <c r="F13" s="317"/>
      <c r="G13" s="640"/>
      <c r="H13" s="721"/>
      <c r="I13" s="641"/>
      <c r="J13" s="722"/>
      <c r="K13" s="722"/>
      <c r="L13" s="759"/>
      <c r="M13" s="760"/>
      <c r="T13" s="684"/>
    </row>
    <row r="14" customFormat="false" ht="4.75" hidden="false" customHeight="true" outlineLevel="0" collapsed="false">
      <c r="A14" s="299"/>
      <c r="B14" s="328"/>
      <c r="C14" s="327"/>
      <c r="D14" s="327"/>
      <c r="E14" s="327"/>
      <c r="F14" s="325"/>
      <c r="G14" s="646"/>
      <c r="H14" s="724"/>
      <c r="I14" s="328"/>
      <c r="J14" s="327"/>
      <c r="K14" s="327"/>
      <c r="L14" s="327"/>
      <c r="M14" s="647"/>
      <c r="T14" s="684"/>
    </row>
    <row r="15" customFormat="false" ht="15" hidden="false" customHeight="true" outlineLevel="0" collapsed="false">
      <c r="A15" s="307" t="s">
        <v>74</v>
      </c>
      <c r="B15" s="681" t="n">
        <f aca="false">SUMPRODUCT(TableDE5c!$B50:$B149,TableDE5c!E50:E149)/SUM(TableDE5c!$B50:$B149)</f>
        <v>-0.0179945580543077</v>
      </c>
      <c r="C15" s="312" t="n">
        <f aca="false">SUMPRODUCT(TableDE5c!$B50:$B149,TableDE5c!F50:F149)/SUM(TableDE5c!$B50:$B149)</f>
        <v>0.0110358771969041</v>
      </c>
      <c r="D15" s="312" t="n">
        <f aca="false">B15-C15</f>
        <v>-0.0290304352512118</v>
      </c>
      <c r="E15" s="312" t="n">
        <f aca="false">D15-F15</f>
        <v>-0.013714474060059</v>
      </c>
      <c r="F15" s="309" t="n">
        <f aca="false">-SUMPRODUCT(TableDE5c!$B50:$B149,TableDE11a!G50:G149)/SUM(TableDE5c!$B50:$B149)</f>
        <v>-0.0153159611911528</v>
      </c>
      <c r="G15" s="636" t="n">
        <f aca="false">H12</f>
        <v>0.286008907610961</v>
      </c>
      <c r="H15" s="717" t="n">
        <f aca="false">TableDE5c!D150</f>
        <v>0.0386755263133369</v>
      </c>
      <c r="I15" s="637" t="n">
        <f aca="false">G15/((1+TableDE3c!B14)^100)</f>
        <v>0.0252864956102469</v>
      </c>
      <c r="J15" s="636" t="n">
        <f aca="false">B15*SUM(TableDE5c!B50:B149)/TableDE5c!B150</f>
        <v>-0.706536996029017</v>
      </c>
      <c r="K15" s="636" t="n">
        <f aca="false">F15*SUM(TableDE5c!B50:B149)/TableDE5c!B150</f>
        <v>-0.601364766983183</v>
      </c>
      <c r="L15" s="761" t="n">
        <f aca="false">H15-I15-J15-M15</f>
        <v>0.77370068719285</v>
      </c>
      <c r="M15" s="762" t="n">
        <f aca="false">TableDE5c!N158*SUM(TableDE5c!B50:B149)/TableDE5c!B150</f>
        <v>-0.0537746604607431</v>
      </c>
      <c r="O15" s="25"/>
      <c r="P15" s="25"/>
      <c r="Q15" s="25"/>
      <c r="R15" s="25"/>
      <c r="T15" s="684"/>
    </row>
    <row r="16" customFormat="false" ht="15" hidden="false" customHeight="true" outlineLevel="0" collapsed="false">
      <c r="A16" s="315"/>
      <c r="B16" s="648"/>
      <c r="C16" s="473"/>
      <c r="D16" s="473"/>
      <c r="E16" s="473"/>
      <c r="F16" s="317"/>
      <c r="G16" s="640"/>
      <c r="H16" s="721"/>
      <c r="I16" s="641"/>
      <c r="J16" s="722"/>
      <c r="K16" s="722"/>
      <c r="L16" s="759"/>
      <c r="M16" s="760"/>
      <c r="O16" s="25"/>
      <c r="P16" s="25"/>
      <c r="Q16" s="25"/>
      <c r="R16" s="25"/>
      <c r="T16" s="684"/>
    </row>
    <row r="17" customFormat="false" ht="4.75" hidden="false" customHeight="true" outlineLevel="0" collapsed="false">
      <c r="A17" s="315"/>
      <c r="B17" s="648"/>
      <c r="C17" s="473"/>
      <c r="D17" s="473"/>
      <c r="E17" s="473"/>
      <c r="F17" s="317"/>
      <c r="G17" s="636"/>
      <c r="H17" s="717"/>
      <c r="I17" s="648"/>
      <c r="J17" s="726"/>
      <c r="K17" s="726"/>
      <c r="L17" s="763"/>
      <c r="M17" s="764"/>
      <c r="O17" s="25"/>
      <c r="P17" s="25"/>
      <c r="Q17" s="25"/>
      <c r="R17" s="25"/>
      <c r="T17" s="684"/>
    </row>
    <row r="18" customFormat="false" ht="15" hidden="false" customHeight="true" outlineLevel="0" collapsed="false">
      <c r="A18" s="307" t="s">
        <v>75</v>
      </c>
      <c r="B18" s="681" t="n">
        <f aca="false">SUMPRODUCT(TableDE5c!E50:E89,TableDE5c!$B50:$B89)/SUM(TableDE5c!$B50:$B89)</f>
        <v>-0.0833526906976138</v>
      </c>
      <c r="C18" s="312" t="n">
        <f aca="false">SUMPRODUCT(TableDE5c!F50:F89,TableDE5c!$B50:$B89)/SUM(TableDE5c!$B50:$B89)</f>
        <v>0.0098785412444178</v>
      </c>
      <c r="D18" s="312" t="n">
        <f aca="false">B18-C18</f>
        <v>-0.0932312319420316</v>
      </c>
      <c r="E18" s="312" t="n">
        <f aca="false">D18-F18</f>
        <v>-0.0732245035671333</v>
      </c>
      <c r="F18" s="309" t="n">
        <f aca="false">-SUMPRODUCT(TableDE11a!G50:G89,TableDE5c!$B50:$B89)/SUM(TableDE5c!$B50:$B89)</f>
        <v>-0.0200067283748983</v>
      </c>
      <c r="G18" s="636" t="n">
        <f aca="false">G15</f>
        <v>0.286008907610961</v>
      </c>
      <c r="H18" s="717" t="n">
        <f aca="false">TableDE5c!D90</f>
        <v>0.420760497159648</v>
      </c>
      <c r="I18" s="637" t="n">
        <f aca="false">G18/((1+TableDE3c!B17)^40)</f>
        <v>0.179550446666128</v>
      </c>
      <c r="J18" s="636" t="n">
        <f aca="false">B18*SUM(TableDE5c!B50:B89)/TableDE5c!B90</f>
        <v>-2.60374085048671</v>
      </c>
      <c r="K18" s="636" t="n">
        <f aca="false">F18*SUM(TableDE5c!B50:B89)/TableDE5c!B90</f>
        <v>-0.624962859846892</v>
      </c>
      <c r="L18" s="761" t="n">
        <f aca="false">H18-I18-J18-M18</f>
        <v>3.22678571327953</v>
      </c>
      <c r="M18" s="762" t="n">
        <f aca="false">TableDE5c!N156*SUM(TableDE5c!B50:B89)/TableDE5c!B90</f>
        <v>-0.381834812299304</v>
      </c>
      <c r="O18" s="25"/>
      <c r="P18" s="25"/>
      <c r="Q18" s="25"/>
      <c r="R18" s="25"/>
      <c r="T18" s="684"/>
    </row>
    <row r="19" customFormat="false" ht="15" hidden="false" customHeight="true" outlineLevel="0" collapsed="false">
      <c r="A19" s="315"/>
      <c r="B19" s="648"/>
      <c r="C19" s="473"/>
      <c r="D19" s="473"/>
      <c r="E19" s="473"/>
      <c r="F19" s="317"/>
      <c r="G19" s="640"/>
      <c r="H19" s="721"/>
      <c r="I19" s="641"/>
      <c r="J19" s="722"/>
      <c r="K19" s="722"/>
      <c r="L19" s="759"/>
      <c r="M19" s="760"/>
      <c r="O19" s="25"/>
      <c r="P19" s="25"/>
      <c r="Q19" s="25"/>
      <c r="R19" s="25"/>
      <c r="T19" s="684"/>
    </row>
    <row r="20" customFormat="false" ht="4" hidden="false" customHeight="true" outlineLevel="0" collapsed="false">
      <c r="A20" s="315"/>
      <c r="B20" s="648"/>
      <c r="C20" s="473"/>
      <c r="D20" s="473"/>
      <c r="E20" s="473"/>
      <c r="F20" s="317"/>
      <c r="G20" s="636"/>
      <c r="H20" s="717"/>
      <c r="I20" s="648"/>
      <c r="J20" s="726"/>
      <c r="K20" s="726"/>
      <c r="L20" s="763"/>
      <c r="M20" s="764"/>
      <c r="O20" s="25"/>
      <c r="P20" s="25"/>
      <c r="Q20" s="25"/>
      <c r="R20" s="25"/>
      <c r="T20" s="684"/>
    </row>
    <row r="21" customFormat="false" ht="15" hidden="false" customHeight="true" outlineLevel="0" collapsed="false">
      <c r="A21" s="307" t="s">
        <v>76</v>
      </c>
      <c r="B21" s="681" t="n">
        <f aca="false">SUMPRODUCT(TableDE5c!$B90:$B149,TableDE5c!E90:E149)/SUM(TableDE5c!$B90:$B149)</f>
        <v>-0.00974758646633867</v>
      </c>
      <c r="C21" s="312" t="n">
        <f aca="false">SUMPRODUCT(TableDE5c!$B90:$B149,TableDE5c!F90:F149)/SUM(TableDE5c!$B90:$B149)</f>
        <v>0.0111819113066908</v>
      </c>
      <c r="D21" s="312" t="n">
        <f aca="false">B21-C21</f>
        <v>-0.0209294977730295</v>
      </c>
      <c r="E21" s="312" t="n">
        <f aca="false">D21-F21</f>
        <v>-0.00620542349977945</v>
      </c>
      <c r="F21" s="309" t="n">
        <f aca="false">-SUMPRODUCT(TableDE5c!$B90:$B149,TableDE11a!G90:G149)/SUM(TableDE5c!$B90:$B149)</f>
        <v>-0.0147240742732501</v>
      </c>
      <c r="G21" s="636" t="n">
        <f aca="false">H18</f>
        <v>0.420760497159648</v>
      </c>
      <c r="H21" s="717" t="n">
        <f aca="false">H15</f>
        <v>0.0386755263133369</v>
      </c>
      <c r="I21" s="637" t="n">
        <f aca="false">G21/((1+TableDE3c!B20)^60)</f>
        <v>0.0592566527232143</v>
      </c>
      <c r="J21" s="636" t="n">
        <f aca="false">B21*SUM(TableDE5c!B90:B149)/TableDE5c!B150</f>
        <v>-0.339846281477466</v>
      </c>
      <c r="K21" s="636" t="n">
        <f aca="false">F21*SUM(TableDE5c!B90:B149)/TableDE5c!B150</f>
        <v>-0.513349833545164</v>
      </c>
      <c r="L21" s="761" t="n">
        <f aca="false">H21-I21-J21-M21</f>
        <v>0.319265155067588</v>
      </c>
      <c r="M21" s="762" t="n">
        <v>0</v>
      </c>
      <c r="O21" s="25"/>
      <c r="P21" s="25"/>
      <c r="Q21" s="25"/>
      <c r="R21" s="25"/>
      <c r="T21" s="684"/>
      <c r="U21" s="684"/>
    </row>
    <row r="22" customFormat="false" ht="15" hidden="false" customHeight="true" outlineLevel="0" collapsed="false">
      <c r="A22" s="315"/>
      <c r="B22" s="690"/>
      <c r="C22" s="691"/>
      <c r="D22" s="691"/>
      <c r="E22" s="691"/>
      <c r="F22" s="765"/>
      <c r="G22" s="640"/>
      <c r="H22" s="721"/>
      <c r="I22" s="641"/>
      <c r="J22" s="722"/>
      <c r="K22" s="722"/>
      <c r="L22" s="759"/>
      <c r="M22" s="760"/>
      <c r="O22" s="25"/>
      <c r="P22" s="25"/>
      <c r="Q22" s="25"/>
      <c r="R22" s="25"/>
      <c r="T22" s="684"/>
    </row>
    <row r="23" customFormat="false" ht="4.75" hidden="false" customHeight="true" outlineLevel="0" collapsed="false">
      <c r="A23" s="315"/>
      <c r="B23" s="648"/>
      <c r="C23" s="473"/>
      <c r="D23" s="473"/>
      <c r="E23" s="473"/>
      <c r="F23" s="317"/>
      <c r="G23" s="636"/>
      <c r="H23" s="717"/>
      <c r="I23" s="648"/>
      <c r="J23" s="726"/>
      <c r="K23" s="726"/>
      <c r="L23" s="763"/>
      <c r="M23" s="764"/>
      <c r="O23" s="25"/>
      <c r="P23" s="25"/>
      <c r="Q23" s="25"/>
      <c r="R23" s="25"/>
      <c r="T23" s="684"/>
    </row>
    <row r="24" customFormat="false" ht="15" hidden="false" customHeight="false" outlineLevel="0" collapsed="false">
      <c r="A24" s="333" t="s">
        <v>77</v>
      </c>
      <c r="B24" s="681" t="n">
        <f aca="false">SUMPRODUCT(TableDE5c!$B90:$B119,TableDE5c!E90:E119)/SUM(TableDE5c!$B90:$B119)</f>
        <v>0.0267422388533592</v>
      </c>
      <c r="C24" s="312" t="n">
        <f aca="false">SUMPRODUCT(TableDE5c!$B90:$B119,TableDE5c!F90:F119)/SUM(TableDE5c!$B90:$B119)</f>
        <v>0.0261214739302034</v>
      </c>
      <c r="D24" s="312" t="n">
        <f aca="false">B24-C24</f>
        <v>0.00062076492315585</v>
      </c>
      <c r="E24" s="312" t="n">
        <f aca="false">D24-F24</f>
        <v>-0.000950863492461363</v>
      </c>
      <c r="F24" s="309" t="n">
        <f aca="false">-SUMPRODUCT(TableDE5c!$B90:$B119,TableDE11a!G90:G119)/SUM(TableDE5c!$B90:$B119)</f>
        <v>0.00157162841561721</v>
      </c>
      <c r="G24" s="636" t="n">
        <f aca="false">G21</f>
        <v>0.420760497159648</v>
      </c>
      <c r="H24" s="717" t="n">
        <f aca="false">TableDE5c!D120</f>
        <v>0.76644696362933</v>
      </c>
      <c r="I24" s="637" t="n">
        <f aca="false">G24/((1+TableDE3c!B23)^30)</f>
        <v>0.0990694355232265</v>
      </c>
      <c r="J24" s="636" t="n">
        <f aca="false">B24*SUM(TableDE5c!B90:B119)/TableDE5c!B120</f>
        <v>0.490923674860701</v>
      </c>
      <c r="K24" s="636" t="n">
        <f aca="false">F24*SUM(TableDE5c!B90:B119)/TableDE5c!B120</f>
        <v>0.0288513464239508</v>
      </c>
      <c r="L24" s="761" t="n">
        <f aca="false">H24-I24-J24-M24</f>
        <v>0.176453853245402</v>
      </c>
      <c r="M24" s="762" t="n">
        <v>0</v>
      </c>
      <c r="O24" s="25"/>
      <c r="P24" s="25"/>
      <c r="Q24" s="25"/>
      <c r="R24" s="25"/>
      <c r="T24" s="684"/>
      <c r="U24" s="684"/>
    </row>
    <row r="25" customFormat="false" ht="15" hidden="false" customHeight="false" outlineLevel="0" collapsed="false">
      <c r="A25" s="334"/>
      <c r="B25" s="653"/>
      <c r="C25" s="475"/>
      <c r="D25" s="475"/>
      <c r="E25" s="475"/>
      <c r="F25" s="766"/>
      <c r="G25" s="640"/>
      <c r="H25" s="721"/>
      <c r="I25" s="641"/>
      <c r="J25" s="722"/>
      <c r="K25" s="722"/>
      <c r="L25" s="759"/>
      <c r="M25" s="760"/>
      <c r="O25" s="25"/>
      <c r="P25" s="25"/>
      <c r="Q25" s="25"/>
      <c r="R25" s="25"/>
      <c r="T25" s="684"/>
    </row>
    <row r="26" customFormat="false" ht="4" hidden="false" customHeight="true" outlineLevel="0" collapsed="false">
      <c r="A26" s="334"/>
      <c r="B26" s="653"/>
      <c r="C26" s="475"/>
      <c r="D26" s="475"/>
      <c r="E26" s="475"/>
      <c r="F26" s="766"/>
      <c r="G26" s="640"/>
      <c r="H26" s="721"/>
      <c r="I26" s="653"/>
      <c r="J26" s="652"/>
      <c r="K26" s="652"/>
      <c r="L26" s="763"/>
      <c r="M26" s="764"/>
      <c r="O26" s="25"/>
      <c r="P26" s="25"/>
      <c r="Q26" s="25"/>
      <c r="R26" s="25"/>
      <c r="T26" s="684"/>
    </row>
    <row r="27" customFormat="false" ht="15" hidden="false" customHeight="false" outlineLevel="0" collapsed="false">
      <c r="A27" s="333" t="s">
        <v>78</v>
      </c>
      <c r="B27" s="681" t="n">
        <f aca="false">SUMPRODUCT(TableDE5c!$B120:$B149,TableDE5c!E120:E149)/SUM(TableDE5c!$B120:$B149)</f>
        <v>-0.0265229356108663</v>
      </c>
      <c r="C27" s="312" t="n">
        <f aca="false">SUMPRODUCT(TableDE5c!$B120:$B149,TableDE5c!F120:F149)/SUM(TableDE5c!$B120:$B149)</f>
        <v>0.00431379459524499</v>
      </c>
      <c r="D27" s="312" t="n">
        <f aca="false">B27-C27</f>
        <v>-0.0308367302061112</v>
      </c>
      <c r="E27" s="312" t="n">
        <f aca="false">D27-F27</f>
        <v>-0.00862108534390587</v>
      </c>
      <c r="F27" s="309" t="n">
        <f aca="false">-SUMPRODUCT(TableDE5c!$B120:$B149,TableDE11a!G120:G149)/SUM(TableDE5c!$B120:$B149)</f>
        <v>-0.0222156448622054</v>
      </c>
      <c r="G27" s="636" t="n">
        <f aca="false">H24</f>
        <v>0.76644696362933</v>
      </c>
      <c r="H27" s="717" t="n">
        <f aca="false">H21</f>
        <v>0.0386755263133369</v>
      </c>
      <c r="I27" s="637" t="n">
        <f aca="false">G27/((1+TableDE3c!B26)^30)</f>
        <v>0.45843686617047</v>
      </c>
      <c r="J27" s="636" t="n">
        <f aca="false">B27*SUM(TableDE5c!B120:B149)/TableDE5c!B150</f>
        <v>-0.63348370417182</v>
      </c>
      <c r="K27" s="636" t="n">
        <f aca="false">F27*SUM(TableDE5c!B120:B149)/TableDE5c!B150</f>
        <v>-0.530606762552702</v>
      </c>
      <c r="L27" s="761" t="n">
        <f aca="false">H27-I27-J27-M27</f>
        <v>0.213722364314687</v>
      </c>
      <c r="M27" s="762" t="n">
        <v>0</v>
      </c>
      <c r="O27" s="25"/>
      <c r="P27" s="25"/>
      <c r="Q27" s="25"/>
      <c r="R27" s="25"/>
      <c r="T27" s="684"/>
      <c r="U27" s="684"/>
    </row>
    <row r="28" customFormat="false" ht="15" hidden="false" customHeight="false" outlineLevel="0" collapsed="false">
      <c r="A28" s="334"/>
      <c r="B28" s="653"/>
      <c r="C28" s="475"/>
      <c r="D28" s="475"/>
      <c r="E28" s="475"/>
      <c r="F28" s="766"/>
      <c r="G28" s="640"/>
      <c r="H28" s="721"/>
      <c r="I28" s="641"/>
      <c r="J28" s="722"/>
      <c r="K28" s="722"/>
      <c r="L28" s="759"/>
      <c r="M28" s="760"/>
      <c r="O28" s="25"/>
      <c r="P28" s="25"/>
      <c r="Q28" s="25"/>
      <c r="R28" s="25"/>
      <c r="T28" s="684"/>
    </row>
    <row r="29" customFormat="false" ht="4" hidden="false" customHeight="true" outlineLevel="0" collapsed="false">
      <c r="A29" s="334"/>
      <c r="B29" s="653"/>
      <c r="C29" s="475"/>
      <c r="D29" s="475"/>
      <c r="E29" s="475"/>
      <c r="F29" s="766"/>
      <c r="G29" s="640"/>
      <c r="H29" s="721"/>
      <c r="I29" s="653"/>
      <c r="J29" s="652"/>
      <c r="K29" s="652"/>
      <c r="L29" s="763"/>
      <c r="M29" s="764"/>
      <c r="O29" s="25"/>
      <c r="P29" s="25"/>
      <c r="Q29" s="25"/>
      <c r="R29" s="25"/>
      <c r="T29" s="684"/>
    </row>
    <row r="30" customFormat="false" ht="15" hidden="false" customHeight="false" outlineLevel="0" collapsed="false">
      <c r="A30" s="333" t="s">
        <v>79</v>
      </c>
      <c r="B30" s="681" t="n">
        <f aca="false">SUMPRODUCT(TableDE5c!$B90:$B109,TableDE5c!E90:E109)/SUM(TableDE5c!$B90:$B109)</f>
        <v>0.045383113730405</v>
      </c>
      <c r="C30" s="312" t="n">
        <f aca="false">SUMPRODUCT(TableDE5c!$B90:$B109,TableDE5c!F90:F109)/SUM(TableDE5c!$B90:$B109)</f>
        <v>0.0254211269924425</v>
      </c>
      <c r="D30" s="312" t="n">
        <f aca="false">B30-C30</f>
        <v>0.0199619867379625</v>
      </c>
      <c r="E30" s="312" t="n">
        <f aca="false">D30-F30</f>
        <v>0.0133153307509229</v>
      </c>
      <c r="F30" s="309" t="n">
        <f aca="false">-SUMPRODUCT(TableDE5c!$B90:$B109,TableDE11a!G90:G109)/SUM(TableDE5c!$B90:$B109)</f>
        <v>0.00664665598703967</v>
      </c>
      <c r="G30" s="636" t="n">
        <f aca="false">H18</f>
        <v>0.420760497159648</v>
      </c>
      <c r="H30" s="717" t="n">
        <f aca="false">TableDE5c!D110</f>
        <v>0.882905474927309</v>
      </c>
      <c r="I30" s="637" t="n">
        <f aca="false">G30/((1+TableDE3c!B29)^20)</f>
        <v>0.12871553060769</v>
      </c>
      <c r="J30" s="636" t="n">
        <f aca="false">B30*SUM(TableDE5c!B90:B109)/TableDE5c!B110</f>
        <v>0.567570530176649</v>
      </c>
      <c r="K30" s="636" t="n">
        <f aca="false">F30*SUM(TableDE5c!B90:B109)/TableDE5c!B110</f>
        <v>0.0831244432648636</v>
      </c>
      <c r="L30" s="761" t="n">
        <f aca="false">H30-I30-J30-M30</f>
        <v>0.186619414142969</v>
      </c>
      <c r="M30" s="762" t="n">
        <v>0</v>
      </c>
      <c r="O30" s="25"/>
      <c r="P30" s="25"/>
      <c r="Q30" s="25"/>
      <c r="R30" s="25"/>
      <c r="T30" s="684"/>
      <c r="U30" s="684"/>
    </row>
    <row r="31" customFormat="false" ht="15" hidden="false" customHeight="false" outlineLevel="0" collapsed="false">
      <c r="A31" s="334"/>
      <c r="B31" s="653"/>
      <c r="C31" s="475"/>
      <c r="D31" s="475"/>
      <c r="E31" s="475"/>
      <c r="F31" s="766"/>
      <c r="G31" s="640"/>
      <c r="H31" s="721"/>
      <c r="I31" s="641"/>
      <c r="J31" s="722"/>
      <c r="K31" s="722"/>
      <c r="L31" s="759"/>
      <c r="M31" s="760"/>
      <c r="O31" s="25"/>
      <c r="P31" s="25"/>
      <c r="Q31" s="25"/>
      <c r="R31" s="25"/>
      <c r="T31" s="684"/>
    </row>
    <row r="32" customFormat="false" ht="4" hidden="false" customHeight="true" outlineLevel="0" collapsed="false">
      <c r="A32" s="334"/>
      <c r="B32" s="653"/>
      <c r="C32" s="475"/>
      <c r="D32" s="475"/>
      <c r="E32" s="475"/>
      <c r="F32" s="766"/>
      <c r="G32" s="640"/>
      <c r="H32" s="721"/>
      <c r="I32" s="653"/>
      <c r="J32" s="652"/>
      <c r="K32" s="652"/>
      <c r="L32" s="763"/>
      <c r="M32" s="764"/>
      <c r="O32" s="25"/>
      <c r="P32" s="25"/>
      <c r="Q32" s="25"/>
      <c r="R32" s="25"/>
      <c r="T32" s="684"/>
    </row>
    <row r="33" customFormat="false" ht="15" hidden="false" customHeight="false" outlineLevel="0" collapsed="false">
      <c r="A33" s="333" t="s">
        <v>80</v>
      </c>
      <c r="B33" s="681" t="n">
        <f aca="false">SUMPRODUCT(TableDE5c!$B110:$B149,TableDE5c!E110:E149)/SUM(TableDE5c!$B110:$B149)</f>
        <v>-0.0206525685265151</v>
      </c>
      <c r="C33" s="312" t="n">
        <f aca="false">SUMPRODUCT(TableDE5c!$B110:$B149,TableDE5c!F110:F149)/SUM(TableDE5c!$B110:$B149)</f>
        <v>0.00836536098082948</v>
      </c>
      <c r="D33" s="312" t="n">
        <f aca="false">B33-C33</f>
        <v>-0.0290179295073446</v>
      </c>
      <c r="E33" s="312" t="n">
        <f aca="false">D33-F33</f>
        <v>-0.0100666745657979</v>
      </c>
      <c r="F33" s="309" t="n">
        <f aca="false">-SUMPRODUCT(TableDE5c!$B110:$B149,TableDE11a!G110:G149)/SUM(TableDE5c!$B110:$B149)</f>
        <v>-0.0189512549415466</v>
      </c>
      <c r="G33" s="636" t="n">
        <f aca="false">H30</f>
        <v>0.882905474927309</v>
      </c>
      <c r="H33" s="717" t="n">
        <f aca="false">H21</f>
        <v>0.0386755263133369</v>
      </c>
      <c r="I33" s="637" t="n">
        <f aca="false">G33/((1+TableDE3c!B32)^40)</f>
        <v>0.406462397103044</v>
      </c>
      <c r="J33" s="636" t="n">
        <f aca="false">B33*SUM(TableDE5c!B110:B149)/TableDE5c!B150</f>
        <v>-0.601138214500806</v>
      </c>
      <c r="K33" s="636" t="n">
        <f aca="false">F33*SUM(TableDE5c!B110:B149)/TableDE5c!B150</f>
        <v>-0.551617758511961</v>
      </c>
      <c r="L33" s="761" t="n">
        <f aca="false">H33-I33-J33-M33</f>
        <v>0.233351343711099</v>
      </c>
      <c r="M33" s="762" t="n">
        <v>0</v>
      </c>
      <c r="O33" s="25"/>
      <c r="P33" s="25"/>
      <c r="Q33" s="25"/>
      <c r="R33" s="25"/>
      <c r="U33" s="684"/>
    </row>
    <row r="34" customFormat="false" ht="15" hidden="false" customHeight="false" outlineLevel="0" collapsed="false">
      <c r="A34" s="334"/>
      <c r="B34" s="653"/>
      <c r="C34" s="475"/>
      <c r="D34" s="475"/>
      <c r="E34" s="475"/>
      <c r="F34" s="766"/>
      <c r="G34" s="640"/>
      <c r="H34" s="721"/>
      <c r="I34" s="641"/>
      <c r="J34" s="722"/>
      <c r="K34" s="722"/>
      <c r="L34" s="759"/>
      <c r="M34" s="760"/>
      <c r="O34" s="25"/>
      <c r="P34" s="25"/>
      <c r="Q34" s="25"/>
      <c r="R34" s="25"/>
      <c r="T34" s="684"/>
    </row>
    <row r="35" customFormat="false" ht="4" hidden="false" customHeight="true" outlineLevel="0" collapsed="false">
      <c r="A35" s="334"/>
      <c r="B35" s="653"/>
      <c r="C35" s="475"/>
      <c r="D35" s="475"/>
      <c r="E35" s="475"/>
      <c r="F35" s="766"/>
      <c r="G35" s="640"/>
      <c r="H35" s="721"/>
      <c r="I35" s="653"/>
      <c r="J35" s="652"/>
      <c r="K35" s="652"/>
      <c r="L35" s="763"/>
      <c r="M35" s="764"/>
      <c r="O35" s="25"/>
      <c r="P35" s="25"/>
      <c r="Q35" s="25"/>
      <c r="R35" s="25"/>
      <c r="T35" s="684"/>
    </row>
    <row r="36" customFormat="false" ht="15" hidden="false" customHeight="false" outlineLevel="0" collapsed="false">
      <c r="A36" s="333" t="s">
        <v>81</v>
      </c>
      <c r="B36" s="681" t="n">
        <f aca="false">SUMPRODUCT(TableDE5c!$B110:$B129,TableDE5c!E110:E129)/SUM(TableDE5c!$B110:$B129)</f>
        <v>-0.00480816323288133</v>
      </c>
      <c r="C36" s="312" t="n">
        <f aca="false">SUMPRODUCT(TableDE5c!$B110:$B129,TableDE5c!F110:F129)/SUM(TableDE5c!$B110:$B129)</f>
        <v>0.017879435040276</v>
      </c>
      <c r="D36" s="312" t="n">
        <f aca="false">B36-C36</f>
        <v>-0.0226875982731573</v>
      </c>
      <c r="E36" s="312" t="n">
        <f aca="false">D36-F36</f>
        <v>-0.0124691758342964</v>
      </c>
      <c r="F36" s="309" t="n">
        <f aca="false">-SUMPRODUCT(TableDE5c!$B110:$B129,TableDE11a!G110:G129)/SUM(TableDE5c!$B110:$B129)</f>
        <v>-0.010218422438861</v>
      </c>
      <c r="G36" s="636" t="n">
        <f aca="false">G33</f>
        <v>0.882905474927309</v>
      </c>
      <c r="H36" s="717" t="n">
        <f aca="false">TableDE5c!D130</f>
        <v>0.639367835886903</v>
      </c>
      <c r="I36" s="637" t="n">
        <f aca="false">G36/((1+TableDE3c!B35)^20)</f>
        <v>0.539879264982878</v>
      </c>
      <c r="J36" s="636" t="n">
        <f aca="false">B36*SUM(TableDE5c!B110:B129)/TableDE5c!B130</f>
        <v>-0.0739319374943865</v>
      </c>
      <c r="K36" s="636" t="n">
        <f aca="false">F36*SUM(TableDE5c!B110:B129)/TableDE5c!B130</f>
        <v>-0.157121905486638</v>
      </c>
      <c r="L36" s="761" t="n">
        <f aca="false">H36-I36-J36-M36</f>
        <v>0.173420508398412</v>
      </c>
      <c r="M36" s="762" t="n">
        <v>0</v>
      </c>
      <c r="O36" s="25"/>
      <c r="P36" s="25"/>
      <c r="Q36" s="25"/>
      <c r="R36" s="25"/>
      <c r="T36" s="684"/>
      <c r="U36" s="684"/>
    </row>
    <row r="37" customFormat="false" ht="15" hidden="false" customHeight="false" outlineLevel="0" collapsed="false">
      <c r="A37" s="334"/>
      <c r="B37" s="653"/>
      <c r="C37" s="475"/>
      <c r="D37" s="475"/>
      <c r="E37" s="475"/>
      <c r="F37" s="766"/>
      <c r="G37" s="640"/>
      <c r="H37" s="721"/>
      <c r="I37" s="641"/>
      <c r="J37" s="722"/>
      <c r="K37" s="722"/>
      <c r="L37" s="759"/>
      <c r="M37" s="760"/>
      <c r="O37" s="25"/>
      <c r="P37" s="25"/>
      <c r="Q37" s="25"/>
      <c r="R37" s="25"/>
      <c r="T37" s="684"/>
    </row>
    <row r="38" customFormat="false" ht="4" hidden="false" customHeight="true" outlineLevel="0" collapsed="false">
      <c r="A38" s="334"/>
      <c r="B38" s="653"/>
      <c r="C38" s="475"/>
      <c r="D38" s="475"/>
      <c r="E38" s="475"/>
      <c r="F38" s="766"/>
      <c r="G38" s="640"/>
      <c r="H38" s="721"/>
      <c r="I38" s="653"/>
      <c r="J38" s="652"/>
      <c r="K38" s="652"/>
      <c r="L38" s="763"/>
      <c r="M38" s="764"/>
      <c r="O38" s="25"/>
      <c r="P38" s="25"/>
      <c r="Q38" s="25"/>
      <c r="R38" s="25"/>
      <c r="T38" s="684"/>
    </row>
    <row r="39" customFormat="false" ht="15" hidden="false" customHeight="false" outlineLevel="0" collapsed="false">
      <c r="A39" s="333" t="s">
        <v>82</v>
      </c>
      <c r="B39" s="681" t="n">
        <f aca="false">SUMPRODUCT(TableDE5c!$B130:$B149,TableDE5c!E130:E149)/SUM(TableDE5c!$B130:$B149)</f>
        <v>-0.0311154939540423</v>
      </c>
      <c r="C39" s="312" t="n">
        <f aca="false">SUMPRODUCT(TableDE5c!$B130:$B149,TableDE5c!F130:F149)/SUM(TableDE5c!$B130:$B149)</f>
        <v>0.00208269870659714</v>
      </c>
      <c r="D39" s="312" t="n">
        <f aca="false">B39-C39</f>
        <v>-0.0331981926606394</v>
      </c>
      <c r="E39" s="312" t="n">
        <f aca="false">D39-F39</f>
        <v>-0.00848017187630039</v>
      </c>
      <c r="F39" s="309" t="n">
        <f aca="false">-SUMPRODUCT(TableDE5c!$B130:$B149,TableDE11a!G130:G149)/SUM(TableDE5c!$B130:$B149)</f>
        <v>-0.024718020784339</v>
      </c>
      <c r="G39" s="636" t="n">
        <f aca="false">TableDE5c!D130</f>
        <v>0.639367835886903</v>
      </c>
      <c r="H39" s="717" t="n">
        <f aca="false">H27</f>
        <v>0.0386755263133369</v>
      </c>
      <c r="I39" s="637" t="n">
        <f aca="false">G39/((1+TableDE3c!B38)^20)</f>
        <v>0.481365001512735</v>
      </c>
      <c r="J39" s="636" t="n">
        <f aca="false">B39*SUM(TableDE5c!B130:B149)/TableDE5c!B150</f>
        <v>-0.545476598125534</v>
      </c>
      <c r="K39" s="636" t="n">
        <f aca="false">F39*SUM(TableDE5c!B130:B149)/TableDE5c!B150</f>
        <v>-0.433324372409196</v>
      </c>
      <c r="L39" s="761" t="n">
        <f aca="false">H39-I39-J39-M39</f>
        <v>0.102787122926136</v>
      </c>
      <c r="M39" s="762" t="n">
        <v>0</v>
      </c>
      <c r="O39" s="25"/>
      <c r="P39" s="25"/>
      <c r="Q39" s="25"/>
      <c r="R39" s="25"/>
      <c r="T39" s="684"/>
      <c r="U39" s="684"/>
    </row>
    <row r="40" customFormat="false" ht="15" hidden="false" customHeight="false" outlineLevel="0" collapsed="false">
      <c r="A40" s="334"/>
      <c r="B40" s="653"/>
      <c r="C40" s="475"/>
      <c r="D40" s="475"/>
      <c r="E40" s="475"/>
      <c r="F40" s="766"/>
      <c r="G40" s="640"/>
      <c r="H40" s="721"/>
      <c r="I40" s="641"/>
      <c r="J40" s="722"/>
      <c r="K40" s="722"/>
      <c r="L40" s="759"/>
      <c r="M40" s="760"/>
      <c r="O40" s="25"/>
      <c r="P40" s="25"/>
      <c r="Q40" s="25"/>
      <c r="R40" s="25"/>
      <c r="T40" s="684"/>
    </row>
    <row r="41" customFormat="false" ht="4.75" hidden="false" customHeight="true" outlineLevel="0" collapsed="false">
      <c r="A41" s="338"/>
      <c r="B41" s="648"/>
      <c r="C41" s="473"/>
      <c r="D41" s="473"/>
      <c r="E41" s="473"/>
      <c r="F41" s="317"/>
      <c r="G41" s="640"/>
      <c r="H41" s="721"/>
      <c r="I41" s="648"/>
      <c r="J41" s="726"/>
      <c r="K41" s="726"/>
      <c r="L41" s="763"/>
      <c r="M41" s="764"/>
      <c r="O41" s="25"/>
      <c r="P41" s="25"/>
      <c r="Q41" s="25"/>
      <c r="R41" s="25"/>
      <c r="T41" s="684"/>
    </row>
    <row r="42" customFormat="false" ht="15" hidden="false" customHeight="false" outlineLevel="0" collapsed="false">
      <c r="A42" s="339" t="s">
        <v>83</v>
      </c>
      <c r="B42" s="692" t="n">
        <f aca="false">SUMPRODUCT(TableDE5c!$B90:$B99,TableDE5c!E90:E99)/SUM(TableDE5c!$B90:$B99)</f>
        <v>0.0550335806903384</v>
      </c>
      <c r="C42" s="476" t="n">
        <f aca="false">SUMPRODUCT(TableDE5c!$B90:$B99,TableDE5c!F90:F99)/SUM(TableDE5c!$B90:$B99)</f>
        <v>0.014555816850269</v>
      </c>
      <c r="D42" s="476" t="n">
        <f aca="false">B42-C42</f>
        <v>0.0404777638400694</v>
      </c>
      <c r="E42" s="476" t="n">
        <f aca="false">D42-F42</f>
        <v>0.0322268892849976</v>
      </c>
      <c r="F42" s="341" t="n">
        <f aca="false">-SUMPRODUCT(TableDE5c!$B90:$B99,TableDE11a!G90:G99)/SUM(TableDE5c!$B90:$B99)</f>
        <v>0.00825087455507175</v>
      </c>
      <c r="G42" s="657" t="n">
        <f aca="false">G21</f>
        <v>0.420760497159648</v>
      </c>
      <c r="H42" s="728" t="n">
        <f aca="false">TableDE5c!D100</f>
        <v>0.800165083569274</v>
      </c>
      <c r="I42" s="658" t="n">
        <f aca="false">G42/((1+TableDE3c!B41)^10)</f>
        <v>0.193426988916656</v>
      </c>
      <c r="J42" s="657" t="n">
        <f aca="false">B42*SUM(TableDE5c!B90:B99)/TableDE5c!B100</f>
        <v>0.377701095680527</v>
      </c>
      <c r="K42" s="657" t="n">
        <f aca="false">F42*SUM(TableDE5c!B90:B99)/TableDE5c!B100</f>
        <v>0.056626596355928</v>
      </c>
      <c r="L42" s="652" t="n">
        <f aca="false">H42-I42-J42-M42</f>
        <v>0.229036998972091</v>
      </c>
      <c r="M42" s="655" t="n">
        <v>0</v>
      </c>
      <c r="O42" s="25"/>
      <c r="P42" s="25"/>
      <c r="Q42" s="25"/>
      <c r="R42" s="25"/>
      <c r="T42" s="684"/>
      <c r="U42" s="684"/>
    </row>
    <row r="43" customFormat="false" ht="15" hidden="false" customHeight="false" outlineLevel="0" collapsed="false">
      <c r="A43" s="339"/>
      <c r="B43" s="692"/>
      <c r="C43" s="476"/>
      <c r="D43" s="476"/>
      <c r="E43" s="476"/>
      <c r="F43" s="341"/>
      <c r="G43" s="657"/>
      <c r="H43" s="728"/>
      <c r="I43" s="641"/>
      <c r="J43" s="722"/>
      <c r="K43" s="722"/>
      <c r="L43" s="759"/>
      <c r="M43" s="760"/>
      <c r="O43" s="25"/>
      <c r="P43" s="25"/>
      <c r="Q43" s="25"/>
      <c r="R43" s="25"/>
      <c r="T43" s="684"/>
      <c r="U43" s="684"/>
    </row>
    <row r="44" customFormat="false" ht="4" hidden="false" customHeight="true" outlineLevel="0" collapsed="false">
      <c r="A44" s="315"/>
      <c r="B44" s="648"/>
      <c r="C44" s="473"/>
      <c r="D44" s="473"/>
      <c r="E44" s="473"/>
      <c r="F44" s="317"/>
      <c r="G44" s="640"/>
      <c r="H44" s="721"/>
      <c r="I44" s="648"/>
      <c r="J44" s="668"/>
      <c r="K44" s="668"/>
      <c r="L44" s="763"/>
      <c r="M44" s="764"/>
      <c r="O44" s="25"/>
      <c r="P44" s="25"/>
      <c r="Q44" s="25"/>
      <c r="R44" s="25"/>
      <c r="T44" s="684"/>
    </row>
    <row r="45" customFormat="false" ht="15" hidden="false" customHeight="false" outlineLevel="0" collapsed="false">
      <c r="A45" s="339" t="s">
        <v>84</v>
      </c>
      <c r="B45" s="692" t="n">
        <f aca="false">SUMPRODUCT(TableDE5c!$B100:$B109,TableDE5c!E100:E109)/SUM(TableDE5c!$B100:$B109)</f>
        <v>0.0398316490434767</v>
      </c>
      <c r="C45" s="476" t="n">
        <f aca="false">SUMPRODUCT(TableDE5c!$B100:$B109,TableDE5c!F100:F109)/SUM(TableDE5c!$B100:$B109)</f>
        <v>0.0316714344456702</v>
      </c>
      <c r="D45" s="476" t="n">
        <f aca="false">B45-C45</f>
        <v>0.00816021459780644</v>
      </c>
      <c r="E45" s="476" t="n">
        <f aca="false">D45-F45</f>
        <v>0.00243639092214813</v>
      </c>
      <c r="F45" s="341" t="n">
        <f aca="false">-SUMPRODUCT(TableDE5c!$B100:$B109,TableDE11a!G100:G109)/SUM(TableDE5c!$B100:$B109)</f>
        <v>0.00572382367565831</v>
      </c>
      <c r="G45" s="657" t="n">
        <f aca="false">H42</f>
        <v>0.800165083569274</v>
      </c>
      <c r="H45" s="728" t="n">
        <f aca="false">G36</f>
        <v>0.882905474927309</v>
      </c>
      <c r="I45" s="658" t="n">
        <f aca="false">G45/((1+TableDE3c!B51)^10)</f>
        <v>0.532467955388294</v>
      </c>
      <c r="J45" s="657" t="n">
        <f aca="false">B45*SUM(TableDE5c!B100:B109)/TableDE5c!B110</f>
        <v>0.316230232662259</v>
      </c>
      <c r="K45" s="657" t="n">
        <f aca="false">F45*SUM(TableDE5c!B100:B109)/TableDE5c!B110</f>
        <v>0.0454424091429277</v>
      </c>
      <c r="L45" s="652" t="n">
        <f aca="false">H45-I45-J45-M45</f>
        <v>0.0342072868767564</v>
      </c>
      <c r="M45" s="655" t="n">
        <v>0</v>
      </c>
      <c r="O45" s="25"/>
      <c r="P45" s="25"/>
      <c r="Q45" s="25"/>
      <c r="R45" s="25"/>
      <c r="T45" s="684"/>
      <c r="U45" s="684"/>
    </row>
    <row r="46" customFormat="false" ht="15" hidden="false" customHeight="false" outlineLevel="0" collapsed="false">
      <c r="A46" s="339"/>
      <c r="B46" s="692"/>
      <c r="C46" s="476"/>
      <c r="D46" s="476"/>
      <c r="E46" s="476"/>
      <c r="F46" s="341"/>
      <c r="G46" s="657"/>
      <c r="H46" s="728"/>
      <c r="I46" s="641"/>
      <c r="J46" s="722"/>
      <c r="K46" s="722"/>
      <c r="L46" s="759"/>
      <c r="M46" s="760"/>
      <c r="O46" s="25"/>
      <c r="P46" s="25"/>
      <c r="Q46" s="25"/>
      <c r="R46" s="25"/>
      <c r="T46" s="684"/>
      <c r="U46" s="684"/>
    </row>
    <row r="47" customFormat="false" ht="4.75" hidden="false" customHeight="true" outlineLevel="0" collapsed="false">
      <c r="A47" s="315"/>
      <c r="B47" s="648"/>
      <c r="C47" s="473"/>
      <c r="D47" s="473"/>
      <c r="E47" s="473"/>
      <c r="F47" s="317"/>
      <c r="G47" s="657"/>
      <c r="H47" s="728"/>
      <c r="I47" s="648"/>
      <c r="J47" s="657"/>
      <c r="K47" s="657"/>
      <c r="L47" s="763"/>
      <c r="M47" s="764"/>
      <c r="O47" s="25"/>
      <c r="P47" s="25"/>
      <c r="Q47" s="25"/>
      <c r="R47" s="25"/>
      <c r="T47" s="684"/>
    </row>
    <row r="48" customFormat="false" ht="15" hidden="false" customHeight="false" outlineLevel="0" collapsed="false">
      <c r="A48" s="339" t="s">
        <v>85</v>
      </c>
      <c r="B48" s="692" t="n">
        <f aca="false">SUMPRODUCT(TableDE5c!$B110:$B119,TableDE5c!E110:E119)/SUM(TableDE5c!$B110:$B119)</f>
        <v>0.00619311381410293</v>
      </c>
      <c r="C48" s="476" t="n">
        <f aca="false">SUMPRODUCT(TableDE5c!$B110:$B119,TableDE5c!F110:F119)/SUM(TableDE5c!$B110:$B119)</f>
        <v>0.0268935147753802</v>
      </c>
      <c r="D48" s="476" t="n">
        <f aca="false">B48-C48</f>
        <v>-0.0207004009612773</v>
      </c>
      <c r="E48" s="476" t="n">
        <f aca="false">D48-F48</f>
        <v>-0.0166774756431933</v>
      </c>
      <c r="F48" s="341" t="n">
        <f aca="false">-SUMPRODUCT(TableDE5c!$B110:$B119,TableDE11a!G110:G119)/SUM(TableDE5c!$B110:$B119)</f>
        <v>-0.00402292531808399</v>
      </c>
      <c r="G48" s="657" t="n">
        <f aca="false">G36</f>
        <v>0.882905474927309</v>
      </c>
      <c r="H48" s="728" t="n">
        <f aca="false">H24</f>
        <v>0.76644696362933</v>
      </c>
      <c r="I48" s="658" t="n">
        <f aca="false">G48/((1+TableDE3c!B61)^10)</f>
        <v>0.679552394403825</v>
      </c>
      <c r="J48" s="657" t="n">
        <f aca="false">B48*SUM(TableDE5c!B110:B119)/TableDE5c!B120</f>
        <v>0.0540774622960493</v>
      </c>
      <c r="K48" s="657" t="n">
        <f aca="false">F48*SUM(TableDE5c!B110:B119)/TableDE5c!B120</f>
        <v>-0.0351276593226991</v>
      </c>
      <c r="L48" s="652" t="n">
        <f aca="false">H48-I48-J48-M48</f>
        <v>0.0328171069294556</v>
      </c>
      <c r="M48" s="655" t="n">
        <v>0</v>
      </c>
      <c r="O48" s="25"/>
      <c r="P48" s="25"/>
      <c r="Q48" s="25"/>
      <c r="R48" s="25"/>
      <c r="T48" s="684"/>
      <c r="U48" s="684"/>
    </row>
    <row r="49" customFormat="false" ht="15" hidden="false" customHeight="false" outlineLevel="0" collapsed="false">
      <c r="A49" s="339"/>
      <c r="B49" s="692"/>
      <c r="C49" s="476"/>
      <c r="D49" s="476"/>
      <c r="E49" s="476"/>
      <c r="F49" s="341"/>
      <c r="G49" s="657"/>
      <c r="H49" s="728"/>
      <c r="I49" s="641"/>
      <c r="J49" s="722"/>
      <c r="K49" s="722"/>
      <c r="L49" s="759"/>
      <c r="M49" s="760"/>
      <c r="O49" s="25"/>
      <c r="P49" s="25"/>
      <c r="Q49" s="25"/>
      <c r="R49" s="25"/>
      <c r="T49" s="684"/>
      <c r="U49" s="684"/>
    </row>
    <row r="50" customFormat="false" ht="4.75" hidden="false" customHeight="true" outlineLevel="0" collapsed="false">
      <c r="A50" s="315"/>
      <c r="B50" s="648"/>
      <c r="C50" s="473"/>
      <c r="D50" s="473"/>
      <c r="E50" s="473"/>
      <c r="F50" s="317"/>
      <c r="G50" s="640"/>
      <c r="H50" s="721"/>
      <c r="I50" s="648"/>
      <c r="J50" s="657"/>
      <c r="K50" s="657"/>
      <c r="L50" s="763"/>
      <c r="M50" s="764"/>
      <c r="O50" s="25"/>
      <c r="P50" s="25"/>
      <c r="Q50" s="25"/>
      <c r="R50" s="25"/>
      <c r="T50" s="684"/>
    </row>
    <row r="51" customFormat="false" ht="15" hidden="false" customHeight="false" outlineLevel="0" collapsed="false">
      <c r="A51" s="339" t="s">
        <v>86</v>
      </c>
      <c r="B51" s="692" t="n">
        <f aca="false">SUMPRODUCT(TableDE5c!$B120:$B129,TableDE5c!E120:E129)/SUM(TableDE5c!$B120:$B129)</f>
        <v>-0.013851387990307</v>
      </c>
      <c r="C51" s="476" t="n">
        <f aca="false">SUMPRODUCT(TableDE5c!$B120:$B129,TableDE5c!F120:F129)/SUM(TableDE5c!$B120:$B129)</f>
        <v>0.0104697180885291</v>
      </c>
      <c r="D51" s="476" t="n">
        <f aca="false">B51-C51</f>
        <v>-0.0243211060788361</v>
      </c>
      <c r="E51" s="476" t="n">
        <f aca="false">D51-F51</f>
        <v>-0.00900988643944212</v>
      </c>
      <c r="F51" s="341" t="n">
        <f aca="false">-SUMPRODUCT(TableDE5c!$B120:$B129,TableDE11a!G120:G129)/SUM(TableDE5c!$B120:$B129)</f>
        <v>-0.015311219639394</v>
      </c>
      <c r="G51" s="657" t="n">
        <f aca="false">H24</f>
        <v>0.76644696362933</v>
      </c>
      <c r="H51" s="728" t="n">
        <f aca="false">G39</f>
        <v>0.639367835886903</v>
      </c>
      <c r="I51" s="658" t="n">
        <f aca="false">G51/((1+TableDE3c!B71)^10)</f>
        <v>0.608913789106108</v>
      </c>
      <c r="J51" s="657" t="n">
        <f aca="false">B51*SUM(TableDE5c!B120:B129)/TableDE5c!B130</f>
        <v>-0.116894482894795</v>
      </c>
      <c r="K51" s="657" t="n">
        <f aca="false">F51*SUM(TableDE5c!B120:B129)/TableDE5c!B130</f>
        <v>-0.129214278272189</v>
      </c>
      <c r="L51" s="652" t="n">
        <f aca="false">H51-I51-J51-M51</f>
        <v>0.14734852967559</v>
      </c>
      <c r="M51" s="655" t="n">
        <v>0</v>
      </c>
      <c r="O51" s="25"/>
      <c r="P51" s="25"/>
      <c r="Q51" s="25"/>
      <c r="R51" s="25"/>
      <c r="T51" s="684"/>
      <c r="U51" s="684"/>
    </row>
    <row r="52" customFormat="false" ht="15" hidden="false" customHeight="false" outlineLevel="0" collapsed="false">
      <c r="A52" s="339"/>
      <c r="B52" s="692"/>
      <c r="C52" s="476"/>
      <c r="D52" s="476"/>
      <c r="E52" s="476"/>
      <c r="F52" s="341"/>
      <c r="G52" s="657"/>
      <c r="H52" s="728"/>
      <c r="I52" s="641"/>
      <c r="J52" s="722"/>
      <c r="K52" s="722"/>
      <c r="L52" s="759"/>
      <c r="M52" s="760"/>
      <c r="O52" s="25"/>
      <c r="P52" s="25"/>
      <c r="Q52" s="25"/>
      <c r="R52" s="25"/>
      <c r="T52" s="684"/>
      <c r="U52" s="684"/>
    </row>
    <row r="53" customFormat="false" ht="4.75" hidden="false" customHeight="true" outlineLevel="0" collapsed="false">
      <c r="A53" s="315"/>
      <c r="B53" s="648"/>
      <c r="C53" s="473"/>
      <c r="D53" s="473"/>
      <c r="E53" s="473"/>
      <c r="F53" s="317"/>
      <c r="G53" s="657"/>
      <c r="H53" s="728"/>
      <c r="I53" s="648"/>
      <c r="J53" s="657"/>
      <c r="K53" s="657"/>
      <c r="L53" s="763"/>
      <c r="M53" s="764"/>
      <c r="O53" s="25"/>
      <c r="P53" s="25"/>
      <c r="Q53" s="25"/>
      <c r="R53" s="25"/>
      <c r="T53" s="684"/>
    </row>
    <row r="54" customFormat="false" ht="15" hidden="false" customHeight="false" outlineLevel="0" collapsed="false">
      <c r="A54" s="339" t="s">
        <v>87</v>
      </c>
      <c r="B54" s="692" t="n">
        <f aca="false">SUMPRODUCT(TableDE5c!$B130:$B139,TableDE5c!E130:E139)/SUM(TableDE5c!$B130:$B139)</f>
        <v>-0.033218979411179</v>
      </c>
      <c r="C54" s="476" t="n">
        <f aca="false">SUMPRODUCT(TableDE5c!$B130:$B139,TableDE5c!F130:F139)/SUM(TableDE5c!$B130:$B139)</f>
        <v>0.00544879452888528</v>
      </c>
      <c r="D54" s="476" t="n">
        <f aca="false">B54-C54</f>
        <v>-0.0386677739400643</v>
      </c>
      <c r="E54" s="476" t="n">
        <f aca="false">D54-F54</f>
        <v>-0.0141616316841174</v>
      </c>
      <c r="F54" s="341" t="n">
        <f aca="false">-SUMPRODUCT(TableDE5c!$B130:$B139,TableDE11a!G130:G139)/SUM(TableDE5c!$B130:$B139)</f>
        <v>-0.0245061422559469</v>
      </c>
      <c r="G54" s="657" t="n">
        <f aca="false">H51</f>
        <v>0.639367835886903</v>
      </c>
      <c r="H54" s="728" t="n">
        <f aca="false">TableDE5c!D140</f>
        <v>0.230007596272608</v>
      </c>
      <c r="I54" s="658" t="n">
        <f aca="false">G54/((1+TableDE3c!B81)^10)</f>
        <v>0.543253315984364</v>
      </c>
      <c r="J54" s="657" t="n">
        <f aca="false">B54*SUM(TableDE5c!B130:B139)/TableDE5c!B140</f>
        <v>-0.304344228455048</v>
      </c>
      <c r="K54" s="657" t="n">
        <f aca="false">F54*SUM(TableDE5c!B130:B139)/TableDE5c!B140</f>
        <v>-0.224519328693943</v>
      </c>
      <c r="L54" s="652" t="n">
        <f aca="false">H54-I54-J54-M54</f>
        <v>-0.00890149125670814</v>
      </c>
      <c r="M54" s="655" t="n">
        <v>0</v>
      </c>
      <c r="O54" s="25"/>
      <c r="P54" s="25"/>
      <c r="Q54" s="25"/>
      <c r="R54" s="25"/>
      <c r="T54" s="684"/>
      <c r="U54" s="684"/>
    </row>
    <row r="55" customFormat="false" ht="15" hidden="false" customHeight="false" outlineLevel="0" collapsed="false">
      <c r="A55" s="339"/>
      <c r="B55" s="692"/>
      <c r="C55" s="476"/>
      <c r="D55" s="476"/>
      <c r="E55" s="476"/>
      <c r="F55" s="341"/>
      <c r="G55" s="657"/>
      <c r="H55" s="728"/>
      <c r="I55" s="641"/>
      <c r="J55" s="722"/>
      <c r="K55" s="722"/>
      <c r="L55" s="759"/>
      <c r="M55" s="760"/>
      <c r="O55" s="25"/>
      <c r="P55" s="25"/>
      <c r="Q55" s="25"/>
      <c r="R55" s="25"/>
      <c r="T55" s="684"/>
    </row>
    <row r="56" customFormat="false" ht="4.75" hidden="false" customHeight="true" outlineLevel="0" collapsed="false">
      <c r="A56" s="315"/>
      <c r="B56" s="648"/>
      <c r="C56" s="473"/>
      <c r="D56" s="473"/>
      <c r="E56" s="473"/>
      <c r="F56" s="317"/>
      <c r="G56" s="657"/>
      <c r="H56" s="728"/>
      <c r="I56" s="648"/>
      <c r="J56" s="657"/>
      <c r="K56" s="657"/>
      <c r="L56" s="763"/>
      <c r="M56" s="764"/>
      <c r="O56" s="25"/>
      <c r="P56" s="25"/>
      <c r="Q56" s="25"/>
      <c r="R56" s="25"/>
      <c r="T56" s="684"/>
    </row>
    <row r="57" customFormat="false" ht="15" hidden="false" customHeight="false" outlineLevel="0" collapsed="false">
      <c r="A57" s="339" t="s">
        <v>88</v>
      </c>
      <c r="B57" s="692" t="n">
        <f aca="false">SUMPRODUCT(TableDE5c!$B140:$B149,TableDE5c!E140:E149)/SUM(TableDE5c!$B140:$B149)</f>
        <v>-0.0293013259452926</v>
      </c>
      <c r="C57" s="476" t="n">
        <f aca="false">SUMPRODUCT(TableDE5c!$B140:$B149,TableDE5c!F140:F149)/SUM(TableDE5c!$B140:$B149)</f>
        <v>-0.000820417801511845</v>
      </c>
      <c r="D57" s="476" t="n">
        <f aca="false">B57-C57</f>
        <v>-0.0284809081437808</v>
      </c>
      <c r="E57" s="476" t="n">
        <f aca="false">D57-F57</f>
        <v>-0.00358015101265805</v>
      </c>
      <c r="F57" s="341" t="n">
        <f aca="false">-SUMPRODUCT(TableDE5c!$B140:$B149,TableDE11a!G140:G149)/SUM(TableDE5c!$B140:$B149)</f>
        <v>-0.0249007571311228</v>
      </c>
      <c r="G57" s="657" t="n">
        <f aca="false">TableDE5c!D140</f>
        <v>0.230007596272608</v>
      </c>
      <c r="H57" s="728" t="n">
        <f aca="false">TableDE5c!D150</f>
        <v>0.0386755263133369</v>
      </c>
      <c r="I57" s="658" t="n">
        <f aca="false">G57/((1+TableDE3c!B91)^10)</f>
        <v>0.203804751245902</v>
      </c>
      <c r="J57" s="657" t="n">
        <f aca="false">B57*SUM(TableDE5c!B140:B149)/TableDE5c!B150</f>
        <v>-0.275803766538302</v>
      </c>
      <c r="K57" s="657" t="n">
        <f aca="false">F57*SUM(TableDE5c!B140:B149)/TableDE5c!B150</f>
        <v>-0.234382656240253</v>
      </c>
      <c r="L57" s="652" t="n">
        <f aca="false">H57-I57-J57-M57</f>
        <v>0.110674541605738</v>
      </c>
      <c r="M57" s="655" t="n">
        <v>0</v>
      </c>
      <c r="O57" s="25"/>
      <c r="P57" s="25"/>
      <c r="Q57" s="25"/>
      <c r="R57" s="25"/>
      <c r="T57" s="684"/>
      <c r="U57" s="684"/>
    </row>
    <row r="58" customFormat="false" ht="14" hidden="false" customHeight="false" outlineLevel="0" collapsed="false">
      <c r="A58" s="660"/>
      <c r="B58" s="767"/>
      <c r="C58" s="736"/>
      <c r="D58" s="736"/>
      <c r="E58" s="736"/>
      <c r="F58" s="768"/>
      <c r="G58" s="769"/>
      <c r="H58" s="738"/>
      <c r="I58" s="662"/>
      <c r="J58" s="740"/>
      <c r="K58" s="740"/>
      <c r="L58" s="739"/>
      <c r="M58" s="770"/>
      <c r="O58" s="25"/>
      <c r="P58" s="25"/>
      <c r="Q58" s="25"/>
      <c r="R58" s="25"/>
      <c r="T58" s="684"/>
    </row>
    <row r="59" customFormat="false" ht="13" hidden="false" customHeight="false" outlineLevel="0" collapsed="false">
      <c r="B59" s="702"/>
      <c r="C59" s="702"/>
      <c r="D59" s="702"/>
      <c r="E59" s="702"/>
      <c r="F59" s="702"/>
      <c r="G59" s="702"/>
      <c r="H59" s="702"/>
      <c r="I59" s="742"/>
      <c r="J59" s="742"/>
      <c r="K59" s="742"/>
      <c r="L59" s="742"/>
      <c r="M59" s="702"/>
      <c r="N59" s="702"/>
      <c r="O59" s="702"/>
      <c r="P59" s="702"/>
      <c r="Q59" s="702"/>
      <c r="R59" s="702"/>
      <c r="S59" s="158"/>
    </row>
    <row r="60" customFormat="false" ht="12" hidden="false" customHeight="false" outlineLevel="0" collapsed="false">
      <c r="B60" s="702"/>
      <c r="C60" s="702"/>
      <c r="D60" s="702"/>
      <c r="E60" s="702"/>
      <c r="F60" s="702"/>
      <c r="G60" s="702"/>
      <c r="H60" s="702"/>
      <c r="I60" s="742"/>
      <c r="J60" s="742"/>
      <c r="K60" s="742"/>
      <c r="L60" s="742"/>
      <c r="M60" s="702"/>
      <c r="N60" s="158"/>
      <c r="O60" s="702"/>
      <c r="P60" s="702"/>
      <c r="Q60" s="702"/>
      <c r="R60" s="702"/>
    </row>
    <row r="61" customFormat="false" ht="12" hidden="false" customHeight="false" outlineLevel="0" collapsed="false">
      <c r="B61" s="702"/>
      <c r="C61" s="702"/>
      <c r="D61" s="702"/>
      <c r="E61" s="702"/>
      <c r="F61" s="702"/>
      <c r="G61" s="702"/>
      <c r="H61" s="702"/>
      <c r="I61" s="742"/>
      <c r="J61" s="742"/>
      <c r="K61" s="742"/>
      <c r="L61" s="742"/>
      <c r="M61" s="702"/>
      <c r="N61" s="702"/>
      <c r="O61" s="702"/>
      <c r="P61" s="702"/>
      <c r="Q61" s="702"/>
      <c r="R61" s="702"/>
    </row>
    <row r="62" customFormat="false" ht="12" hidden="false" customHeight="false" outlineLevel="0" collapsed="false">
      <c r="B62" s="702"/>
      <c r="C62" s="702"/>
      <c r="D62" s="702"/>
      <c r="E62" s="702"/>
      <c r="F62" s="702"/>
      <c r="G62" s="702"/>
      <c r="H62" s="702"/>
      <c r="I62" s="742"/>
      <c r="J62" s="742"/>
      <c r="K62" s="742"/>
      <c r="L62" s="742"/>
      <c r="M62" s="702"/>
      <c r="N62" s="702"/>
      <c r="O62" s="702"/>
      <c r="P62" s="702"/>
      <c r="Q62" s="702"/>
      <c r="R62" s="702"/>
    </row>
    <row r="63" customFormat="false" ht="12" hidden="false" customHeight="false" outlineLevel="0" collapsed="false">
      <c r="B63" s="702"/>
      <c r="C63" s="702"/>
      <c r="D63" s="702"/>
      <c r="E63" s="702"/>
      <c r="F63" s="702"/>
      <c r="G63" s="702"/>
      <c r="H63" s="702"/>
      <c r="I63" s="742"/>
      <c r="J63" s="742"/>
      <c r="K63" s="742"/>
      <c r="L63" s="742"/>
      <c r="M63" s="702"/>
      <c r="N63" s="702"/>
      <c r="O63" s="702"/>
      <c r="P63" s="702"/>
      <c r="Q63" s="702"/>
      <c r="R63" s="702"/>
    </row>
    <row r="64" customFormat="false" ht="12" hidden="false" customHeight="false" outlineLevel="0" collapsed="false">
      <c r="B64" s="702"/>
      <c r="C64" s="702"/>
      <c r="D64" s="702"/>
      <c r="E64" s="702"/>
      <c r="F64" s="702"/>
      <c r="G64" s="702"/>
      <c r="H64" s="702"/>
      <c r="I64" s="742"/>
      <c r="J64" s="742"/>
      <c r="K64" s="742"/>
      <c r="L64" s="742"/>
      <c r="M64" s="702"/>
      <c r="N64" s="702"/>
      <c r="O64" s="702"/>
      <c r="P64" s="702"/>
      <c r="Q64" s="702"/>
      <c r="R64" s="702"/>
    </row>
    <row r="65" customFormat="false" ht="12" hidden="false" customHeight="false" outlineLevel="0" collapsed="false">
      <c r="B65" s="702"/>
      <c r="C65" s="702"/>
      <c r="D65" s="702"/>
      <c r="E65" s="702"/>
      <c r="F65" s="702"/>
      <c r="G65" s="702"/>
      <c r="H65" s="702"/>
      <c r="I65" s="742"/>
      <c r="J65" s="742"/>
      <c r="K65" s="742"/>
      <c r="L65" s="742"/>
      <c r="M65" s="702"/>
      <c r="N65" s="702"/>
      <c r="O65" s="702"/>
      <c r="P65" s="702"/>
      <c r="Q65" s="702"/>
      <c r="R65" s="702"/>
    </row>
    <row r="66" customFormat="false" ht="12" hidden="false" customHeight="false" outlineLevel="0" collapsed="false">
      <c r="B66" s="702"/>
      <c r="C66" s="702"/>
      <c r="D66" s="702"/>
      <c r="E66" s="702"/>
      <c r="F66" s="702"/>
      <c r="G66" s="702"/>
      <c r="H66" s="702"/>
      <c r="I66" s="742"/>
      <c r="J66" s="742"/>
      <c r="K66" s="742"/>
      <c r="L66" s="742"/>
      <c r="M66" s="702"/>
      <c r="N66" s="702"/>
      <c r="O66" s="702"/>
      <c r="P66" s="702"/>
      <c r="Q66" s="702"/>
      <c r="R66" s="702"/>
    </row>
    <row r="67" customFormat="false" ht="12" hidden="false" customHeight="false" outlineLevel="0" collapsed="false">
      <c r="B67" s="702"/>
      <c r="C67" s="702"/>
      <c r="D67" s="702"/>
      <c r="E67" s="702"/>
      <c r="F67" s="702"/>
      <c r="G67" s="702"/>
      <c r="H67" s="702"/>
      <c r="I67" s="742"/>
      <c r="J67" s="742"/>
      <c r="K67" s="742"/>
      <c r="L67" s="742"/>
      <c r="M67" s="702"/>
      <c r="N67" s="702"/>
      <c r="O67" s="702"/>
      <c r="P67" s="702"/>
      <c r="Q67" s="702"/>
      <c r="R67" s="702"/>
    </row>
    <row r="68" customFormat="false" ht="12" hidden="false" customHeight="false" outlineLevel="0" collapsed="false">
      <c r="B68" s="702"/>
      <c r="C68" s="702"/>
      <c r="D68" s="702"/>
      <c r="E68" s="702"/>
      <c r="F68" s="702"/>
      <c r="G68" s="702"/>
      <c r="H68" s="702"/>
      <c r="I68" s="742"/>
      <c r="J68" s="742"/>
      <c r="K68" s="742"/>
      <c r="L68" s="742"/>
      <c r="M68" s="702"/>
      <c r="N68" s="702"/>
      <c r="O68" s="702"/>
      <c r="P68" s="702"/>
      <c r="Q68" s="702"/>
      <c r="R68" s="702"/>
    </row>
    <row r="69" customFormat="false" ht="12" hidden="false" customHeight="false" outlineLevel="0" collapsed="false">
      <c r="B69" s="702"/>
      <c r="C69" s="702"/>
      <c r="D69" s="702"/>
      <c r="E69" s="702"/>
      <c r="F69" s="702"/>
      <c r="G69" s="702"/>
      <c r="H69" s="702"/>
      <c r="I69" s="742"/>
      <c r="J69" s="742"/>
      <c r="K69" s="742"/>
      <c r="L69" s="742"/>
      <c r="M69" s="702"/>
      <c r="N69" s="702"/>
      <c r="O69" s="702"/>
      <c r="P69" s="702"/>
      <c r="Q69" s="702"/>
      <c r="R69" s="702"/>
    </row>
    <row r="70" customFormat="false" ht="12" hidden="false" customHeight="false" outlineLevel="0" collapsed="false">
      <c r="B70" s="702"/>
      <c r="C70" s="702"/>
      <c r="D70" s="702"/>
      <c r="E70" s="702"/>
      <c r="F70" s="702"/>
      <c r="G70" s="702"/>
      <c r="H70" s="702"/>
      <c r="I70" s="742"/>
      <c r="J70" s="742"/>
      <c r="K70" s="742"/>
      <c r="L70" s="742"/>
      <c r="M70" s="702"/>
      <c r="N70" s="702"/>
      <c r="O70" s="702"/>
      <c r="P70" s="702"/>
      <c r="Q70" s="702"/>
      <c r="R70" s="702"/>
    </row>
    <row r="71" customFormat="false" ht="12" hidden="false" customHeight="false" outlineLevel="0" collapsed="false">
      <c r="B71" s="702"/>
      <c r="C71" s="702"/>
      <c r="D71" s="702"/>
      <c r="E71" s="702"/>
      <c r="F71" s="702"/>
      <c r="G71" s="702"/>
      <c r="H71" s="702"/>
      <c r="I71" s="742"/>
      <c r="J71" s="742"/>
      <c r="K71" s="742"/>
      <c r="L71" s="742"/>
      <c r="M71" s="702"/>
      <c r="N71" s="702"/>
      <c r="O71" s="702"/>
      <c r="P71" s="702"/>
      <c r="Q71" s="702"/>
      <c r="R71" s="702"/>
    </row>
    <row r="72" customFormat="false" ht="12" hidden="false" customHeight="false" outlineLevel="0" collapsed="false">
      <c r="B72" s="702"/>
      <c r="C72" s="702"/>
      <c r="D72" s="702"/>
      <c r="E72" s="702"/>
      <c r="F72" s="702"/>
      <c r="G72" s="702"/>
      <c r="H72" s="702"/>
      <c r="I72" s="742"/>
      <c r="J72" s="742"/>
      <c r="K72" s="742"/>
      <c r="L72" s="742"/>
      <c r="M72" s="702"/>
      <c r="N72" s="702"/>
      <c r="O72" s="702"/>
      <c r="P72" s="702"/>
      <c r="Q72" s="702"/>
      <c r="R72" s="702"/>
    </row>
    <row r="73" customFormat="false" ht="12" hidden="false" customHeight="false" outlineLevel="0" collapsed="false">
      <c r="B73" s="702"/>
      <c r="C73" s="702"/>
      <c r="D73" s="702"/>
      <c r="E73" s="702"/>
      <c r="F73" s="702"/>
      <c r="G73" s="702"/>
      <c r="H73" s="702"/>
      <c r="I73" s="742"/>
      <c r="J73" s="742"/>
      <c r="K73" s="742"/>
      <c r="L73" s="742"/>
      <c r="M73" s="702"/>
      <c r="N73" s="702"/>
      <c r="O73" s="702"/>
      <c r="P73" s="702"/>
      <c r="Q73" s="702"/>
      <c r="R73" s="702"/>
    </row>
    <row r="74" customFormat="false" ht="12" hidden="false" customHeight="false" outlineLevel="0" collapsed="false">
      <c r="B74" s="702"/>
      <c r="C74" s="702"/>
      <c r="D74" s="702"/>
      <c r="E74" s="702"/>
      <c r="F74" s="702"/>
      <c r="G74" s="702"/>
      <c r="H74" s="702"/>
      <c r="I74" s="742"/>
      <c r="J74" s="742"/>
      <c r="K74" s="742"/>
      <c r="L74" s="742"/>
      <c r="M74" s="702"/>
      <c r="N74" s="702"/>
      <c r="O74" s="702"/>
      <c r="P74" s="702"/>
      <c r="Q74" s="702"/>
      <c r="R74" s="702"/>
    </row>
    <row r="75" customFormat="false" ht="12" hidden="false" customHeight="false" outlineLevel="0" collapsed="false">
      <c r="B75" s="702"/>
      <c r="C75" s="702"/>
      <c r="D75" s="702"/>
      <c r="E75" s="702"/>
      <c r="F75" s="702"/>
      <c r="G75" s="702"/>
      <c r="H75" s="702"/>
      <c r="I75" s="742"/>
      <c r="J75" s="742"/>
      <c r="K75" s="742"/>
      <c r="L75" s="742"/>
      <c r="M75" s="702"/>
      <c r="N75" s="702"/>
      <c r="O75" s="702"/>
      <c r="P75" s="702"/>
      <c r="Q75" s="702"/>
      <c r="R75" s="702"/>
    </row>
    <row r="76" customFormat="false" ht="12" hidden="false" customHeight="false" outlineLevel="0" collapsed="false">
      <c r="B76" s="702"/>
      <c r="C76" s="702"/>
      <c r="D76" s="702"/>
      <c r="E76" s="702"/>
      <c r="F76" s="702"/>
      <c r="G76" s="702"/>
      <c r="H76" s="702"/>
      <c r="I76" s="742"/>
      <c r="J76" s="742"/>
      <c r="K76" s="742"/>
      <c r="L76" s="742"/>
      <c r="M76" s="702"/>
      <c r="N76" s="702"/>
      <c r="O76" s="702"/>
      <c r="P76" s="702"/>
      <c r="Q76" s="702"/>
      <c r="R76" s="702"/>
    </row>
    <row r="77" customFormat="false" ht="12" hidden="false" customHeight="false" outlineLevel="0" collapsed="false">
      <c r="B77" s="702"/>
      <c r="C77" s="702"/>
      <c r="D77" s="702"/>
      <c r="E77" s="702"/>
      <c r="F77" s="702"/>
      <c r="G77" s="702"/>
      <c r="H77" s="702"/>
      <c r="I77" s="742"/>
      <c r="J77" s="742"/>
      <c r="K77" s="742"/>
      <c r="L77" s="742"/>
      <c r="M77" s="702"/>
      <c r="N77" s="702"/>
      <c r="O77" s="702"/>
      <c r="P77" s="702"/>
      <c r="Q77" s="702"/>
      <c r="R77" s="702"/>
    </row>
    <row r="78" customFormat="false" ht="12" hidden="false" customHeight="false" outlineLevel="0" collapsed="false">
      <c r="B78" s="702"/>
      <c r="C78" s="702"/>
      <c r="D78" s="702"/>
      <c r="E78" s="702"/>
      <c r="F78" s="702"/>
      <c r="G78" s="702"/>
      <c r="H78" s="702"/>
      <c r="I78" s="742"/>
      <c r="J78" s="742"/>
      <c r="K78" s="742"/>
      <c r="L78" s="742"/>
      <c r="M78" s="702"/>
      <c r="N78" s="702"/>
      <c r="O78" s="702"/>
      <c r="P78" s="702"/>
      <c r="Q78" s="702"/>
      <c r="R78" s="702"/>
    </row>
    <row r="79" customFormat="false" ht="12" hidden="false" customHeight="false" outlineLevel="0" collapsed="false">
      <c r="B79" s="702"/>
      <c r="C79" s="702"/>
      <c r="D79" s="702"/>
      <c r="E79" s="702"/>
      <c r="F79" s="702"/>
      <c r="G79" s="702"/>
      <c r="H79" s="702"/>
      <c r="I79" s="742"/>
      <c r="J79" s="742"/>
      <c r="K79" s="742"/>
      <c r="L79" s="742"/>
      <c r="M79" s="702"/>
      <c r="N79" s="702"/>
      <c r="O79" s="702"/>
      <c r="P79" s="702"/>
      <c r="Q79" s="702"/>
      <c r="R79" s="702"/>
    </row>
    <row r="80" customFormat="false" ht="12" hidden="false" customHeight="false" outlineLevel="0" collapsed="false">
      <c r="B80" s="702"/>
      <c r="C80" s="702"/>
      <c r="D80" s="702"/>
      <c r="E80" s="702"/>
      <c r="F80" s="702"/>
      <c r="G80" s="702"/>
      <c r="H80" s="702"/>
      <c r="I80" s="742"/>
      <c r="J80" s="742"/>
      <c r="K80" s="742"/>
      <c r="L80" s="742"/>
      <c r="M80" s="702"/>
      <c r="N80" s="702"/>
      <c r="O80" s="702"/>
      <c r="P80" s="702"/>
      <c r="Q80" s="702"/>
      <c r="R80" s="702"/>
    </row>
    <row r="81" customFormat="false" ht="12" hidden="false" customHeight="false" outlineLevel="0" collapsed="false">
      <c r="B81" s="702"/>
      <c r="C81" s="702"/>
      <c r="D81" s="702"/>
      <c r="E81" s="702"/>
      <c r="F81" s="702"/>
      <c r="G81" s="702"/>
      <c r="H81" s="702"/>
      <c r="I81" s="742"/>
      <c r="J81" s="742"/>
      <c r="K81" s="742"/>
      <c r="L81" s="742"/>
      <c r="M81" s="702"/>
      <c r="N81" s="702"/>
      <c r="O81" s="702"/>
      <c r="P81" s="702"/>
      <c r="Q81" s="702"/>
      <c r="R81" s="702"/>
    </row>
    <row r="82" customFormat="false" ht="12" hidden="false" customHeight="false" outlineLevel="0" collapsed="false">
      <c r="B82" s="702"/>
      <c r="C82" s="702"/>
      <c r="D82" s="702"/>
      <c r="E82" s="702"/>
      <c r="F82" s="702"/>
      <c r="G82" s="702"/>
      <c r="H82" s="702"/>
      <c r="I82" s="742"/>
      <c r="J82" s="742"/>
      <c r="K82" s="742"/>
      <c r="L82" s="742"/>
      <c r="M82" s="702"/>
      <c r="N82" s="702"/>
      <c r="O82" s="702"/>
      <c r="P82" s="702"/>
      <c r="Q82" s="702"/>
      <c r="R82" s="702"/>
    </row>
    <row r="83" customFormat="false" ht="12" hidden="false" customHeight="false" outlineLevel="0" collapsed="false">
      <c r="B83" s="702"/>
      <c r="C83" s="702"/>
      <c r="D83" s="702"/>
      <c r="E83" s="702"/>
      <c r="F83" s="702"/>
      <c r="G83" s="702"/>
      <c r="H83" s="702"/>
      <c r="I83" s="742"/>
      <c r="J83" s="742"/>
      <c r="K83" s="742"/>
      <c r="L83" s="742"/>
      <c r="M83" s="702"/>
      <c r="N83" s="702"/>
      <c r="O83" s="702"/>
      <c r="P83" s="702"/>
      <c r="Q83" s="702"/>
      <c r="R83" s="702"/>
    </row>
    <row r="84" customFormat="false" ht="12" hidden="false" customHeight="false" outlineLevel="0" collapsed="false">
      <c r="B84" s="702"/>
      <c r="C84" s="702"/>
      <c r="D84" s="702"/>
      <c r="E84" s="702"/>
      <c r="F84" s="702"/>
      <c r="G84" s="702"/>
      <c r="H84" s="702"/>
      <c r="I84" s="742"/>
      <c r="J84" s="742"/>
      <c r="K84" s="742"/>
      <c r="L84" s="742"/>
      <c r="M84" s="702"/>
      <c r="N84" s="702"/>
      <c r="O84" s="702"/>
      <c r="P84" s="702"/>
      <c r="Q84" s="702"/>
      <c r="R84" s="702"/>
    </row>
    <row r="85" customFormat="false" ht="12" hidden="false" customHeight="false" outlineLevel="0" collapsed="false">
      <c r="B85" s="702"/>
      <c r="C85" s="702"/>
      <c r="D85" s="702"/>
      <c r="E85" s="702"/>
      <c r="F85" s="702"/>
      <c r="G85" s="702"/>
      <c r="H85" s="702"/>
      <c r="I85" s="742"/>
      <c r="J85" s="742"/>
      <c r="K85" s="742"/>
      <c r="L85" s="742"/>
      <c r="M85" s="702"/>
      <c r="N85" s="702"/>
      <c r="O85" s="702"/>
      <c r="P85" s="702"/>
      <c r="Q85" s="702"/>
      <c r="R85" s="702"/>
    </row>
    <row r="86" customFormat="false" ht="12" hidden="false" customHeight="false" outlineLevel="0" collapsed="false">
      <c r="B86" s="702"/>
      <c r="C86" s="702"/>
      <c r="D86" s="702"/>
      <c r="E86" s="702"/>
      <c r="F86" s="702"/>
      <c r="G86" s="702"/>
      <c r="H86" s="702"/>
      <c r="I86" s="742"/>
      <c r="J86" s="742"/>
      <c r="K86" s="742"/>
      <c r="L86" s="742"/>
      <c r="M86" s="702"/>
      <c r="N86" s="702"/>
      <c r="O86" s="702"/>
      <c r="P86" s="702"/>
      <c r="Q86" s="702"/>
      <c r="R86" s="702"/>
    </row>
    <row r="87" customFormat="false" ht="12" hidden="false" customHeight="false" outlineLevel="0" collapsed="false">
      <c r="B87" s="702"/>
      <c r="C87" s="702"/>
      <c r="D87" s="702"/>
      <c r="E87" s="702"/>
      <c r="F87" s="702"/>
      <c r="G87" s="702"/>
      <c r="H87" s="702"/>
      <c r="I87" s="742"/>
      <c r="J87" s="742"/>
      <c r="K87" s="742"/>
      <c r="L87" s="742"/>
      <c r="M87" s="702"/>
      <c r="N87" s="702"/>
      <c r="O87" s="702"/>
      <c r="P87" s="702"/>
      <c r="Q87" s="702"/>
      <c r="R87" s="702"/>
    </row>
    <row r="88" customFormat="false" ht="12" hidden="false" customHeight="false" outlineLevel="0" collapsed="false">
      <c r="B88" s="702"/>
      <c r="C88" s="702"/>
      <c r="D88" s="702"/>
      <c r="E88" s="702"/>
      <c r="F88" s="702"/>
      <c r="G88" s="702"/>
      <c r="H88" s="702"/>
      <c r="I88" s="742"/>
      <c r="J88" s="742"/>
      <c r="K88" s="742"/>
      <c r="L88" s="742"/>
      <c r="M88" s="702"/>
      <c r="N88" s="702"/>
      <c r="O88" s="702"/>
      <c r="P88" s="702"/>
      <c r="Q88" s="702"/>
      <c r="R88" s="702"/>
    </row>
    <row r="89" customFormat="false" ht="12" hidden="false" customHeight="false" outlineLevel="0" collapsed="false">
      <c r="B89" s="702"/>
      <c r="C89" s="702"/>
      <c r="D89" s="702"/>
      <c r="E89" s="702"/>
      <c r="F89" s="702"/>
      <c r="G89" s="702"/>
      <c r="H89" s="702"/>
      <c r="I89" s="742"/>
      <c r="J89" s="742"/>
      <c r="K89" s="742"/>
      <c r="L89" s="742"/>
      <c r="M89" s="702"/>
      <c r="N89" s="702"/>
      <c r="O89" s="702"/>
      <c r="P89" s="702"/>
      <c r="Q89" s="702"/>
      <c r="R89" s="702"/>
    </row>
    <row r="90" customFormat="false" ht="12" hidden="false" customHeight="false" outlineLevel="0" collapsed="false">
      <c r="B90" s="702"/>
      <c r="C90" s="702"/>
      <c r="D90" s="702"/>
      <c r="E90" s="702"/>
      <c r="F90" s="702"/>
      <c r="G90" s="702"/>
      <c r="H90" s="702"/>
      <c r="I90" s="742"/>
      <c r="J90" s="742"/>
      <c r="K90" s="742"/>
      <c r="L90" s="742"/>
      <c r="M90" s="702"/>
      <c r="N90" s="702"/>
      <c r="O90" s="702"/>
      <c r="P90" s="702"/>
      <c r="Q90" s="702"/>
      <c r="R90" s="702"/>
    </row>
    <row r="91" customFormat="false" ht="12" hidden="false" customHeight="false" outlineLevel="0" collapsed="false">
      <c r="B91" s="702"/>
      <c r="C91" s="702"/>
      <c r="D91" s="702"/>
      <c r="E91" s="702"/>
      <c r="F91" s="702"/>
      <c r="G91" s="702"/>
      <c r="H91" s="702"/>
      <c r="I91" s="742"/>
      <c r="J91" s="742"/>
      <c r="K91" s="742"/>
      <c r="L91" s="742"/>
      <c r="M91" s="702"/>
      <c r="N91" s="702"/>
      <c r="O91" s="702"/>
      <c r="P91" s="702"/>
      <c r="Q91" s="702"/>
      <c r="R91" s="702"/>
    </row>
    <row r="92" customFormat="false" ht="12" hidden="false" customHeight="false" outlineLevel="0" collapsed="false">
      <c r="B92" s="702"/>
      <c r="C92" s="702"/>
      <c r="D92" s="702"/>
      <c r="E92" s="702"/>
      <c r="F92" s="702"/>
      <c r="G92" s="702"/>
      <c r="H92" s="702"/>
      <c r="I92" s="742"/>
      <c r="J92" s="742"/>
      <c r="K92" s="742"/>
      <c r="L92" s="742"/>
      <c r="M92" s="702"/>
      <c r="N92" s="702"/>
      <c r="O92" s="702"/>
      <c r="P92" s="702"/>
      <c r="Q92" s="702"/>
      <c r="R92" s="702"/>
    </row>
    <row r="93" customFormat="false" ht="12" hidden="false" customHeight="false" outlineLevel="0" collapsed="false">
      <c r="B93" s="702"/>
      <c r="C93" s="702"/>
      <c r="D93" s="702"/>
      <c r="E93" s="702"/>
      <c r="F93" s="702"/>
      <c r="G93" s="702"/>
      <c r="H93" s="702"/>
      <c r="I93" s="742"/>
      <c r="J93" s="742"/>
      <c r="K93" s="742"/>
      <c r="L93" s="742"/>
      <c r="M93" s="702"/>
      <c r="N93" s="702"/>
      <c r="O93" s="702"/>
      <c r="P93" s="702"/>
      <c r="Q93" s="702"/>
      <c r="R93" s="702"/>
    </row>
    <row r="94" customFormat="false" ht="12" hidden="false" customHeight="false" outlineLevel="0" collapsed="false">
      <c r="B94" s="702"/>
      <c r="C94" s="702"/>
      <c r="D94" s="702"/>
      <c r="E94" s="702"/>
      <c r="F94" s="702"/>
      <c r="G94" s="702"/>
      <c r="H94" s="702"/>
      <c r="I94" s="742"/>
      <c r="J94" s="742"/>
      <c r="K94" s="742"/>
      <c r="L94" s="742"/>
      <c r="M94" s="702"/>
      <c r="N94" s="702"/>
      <c r="O94" s="702"/>
      <c r="P94" s="702"/>
      <c r="Q94" s="702"/>
      <c r="R94" s="702"/>
    </row>
    <row r="95" customFormat="false" ht="12" hidden="false" customHeight="false" outlineLevel="0" collapsed="false">
      <c r="B95" s="702"/>
      <c r="C95" s="702"/>
      <c r="D95" s="702"/>
      <c r="E95" s="702"/>
      <c r="F95" s="702"/>
      <c r="G95" s="702"/>
      <c r="H95" s="702"/>
      <c r="I95" s="742"/>
      <c r="J95" s="742"/>
      <c r="K95" s="742"/>
      <c r="L95" s="742"/>
      <c r="M95" s="702"/>
      <c r="N95" s="702"/>
      <c r="O95" s="702"/>
      <c r="P95" s="702"/>
      <c r="Q95" s="702"/>
      <c r="R95" s="702"/>
    </row>
    <row r="96" customFormat="false" ht="12" hidden="false" customHeight="false" outlineLevel="0" collapsed="false">
      <c r="B96" s="702"/>
      <c r="C96" s="702"/>
      <c r="D96" s="702"/>
      <c r="E96" s="702"/>
      <c r="F96" s="702"/>
      <c r="G96" s="702"/>
      <c r="H96" s="702"/>
      <c r="I96" s="742"/>
      <c r="J96" s="742"/>
      <c r="K96" s="742"/>
      <c r="L96" s="742"/>
      <c r="M96" s="702"/>
      <c r="N96" s="702"/>
      <c r="O96" s="702"/>
      <c r="P96" s="702"/>
      <c r="Q96" s="702"/>
      <c r="R96" s="702"/>
    </row>
    <row r="97" customFormat="false" ht="12" hidden="false" customHeight="false" outlineLevel="0" collapsed="false">
      <c r="B97" s="702"/>
      <c r="C97" s="702"/>
      <c r="D97" s="702"/>
      <c r="E97" s="702"/>
      <c r="F97" s="702"/>
      <c r="G97" s="702"/>
      <c r="H97" s="702"/>
      <c r="I97" s="742"/>
      <c r="J97" s="742"/>
      <c r="K97" s="742"/>
      <c r="L97" s="742"/>
      <c r="M97" s="702"/>
      <c r="N97" s="702"/>
      <c r="O97" s="702"/>
      <c r="P97" s="702"/>
      <c r="Q97" s="702"/>
      <c r="R97" s="702"/>
    </row>
    <row r="98" customFormat="false" ht="12" hidden="false" customHeight="false" outlineLevel="0" collapsed="false">
      <c r="B98" s="702"/>
      <c r="C98" s="702"/>
      <c r="D98" s="702"/>
      <c r="E98" s="702"/>
      <c r="F98" s="702"/>
      <c r="G98" s="702"/>
      <c r="H98" s="702"/>
      <c r="I98" s="742"/>
      <c r="J98" s="742"/>
      <c r="K98" s="742"/>
      <c r="L98" s="742"/>
      <c r="M98" s="702"/>
      <c r="N98" s="702"/>
      <c r="O98" s="702"/>
      <c r="P98" s="702"/>
      <c r="Q98" s="702"/>
      <c r="R98" s="702"/>
    </row>
    <row r="99" customFormat="false" ht="12" hidden="false" customHeight="false" outlineLevel="0" collapsed="false">
      <c r="B99" s="702"/>
      <c r="C99" s="702"/>
      <c r="D99" s="702"/>
      <c r="E99" s="702"/>
      <c r="F99" s="702"/>
      <c r="G99" s="702"/>
      <c r="H99" s="702"/>
      <c r="I99" s="742"/>
      <c r="J99" s="742"/>
      <c r="K99" s="742"/>
      <c r="L99" s="742"/>
      <c r="M99" s="702"/>
      <c r="N99" s="702"/>
      <c r="O99" s="702"/>
      <c r="P99" s="702"/>
      <c r="Q99" s="702"/>
      <c r="R99" s="702"/>
    </row>
    <row r="100" customFormat="false" ht="12" hidden="false" customHeight="false" outlineLevel="0" collapsed="false">
      <c r="B100" s="702"/>
      <c r="C100" s="702"/>
      <c r="D100" s="702"/>
      <c r="E100" s="702"/>
      <c r="F100" s="702"/>
      <c r="G100" s="702"/>
      <c r="H100" s="702"/>
      <c r="I100" s="742"/>
      <c r="J100" s="742"/>
      <c r="K100" s="742"/>
      <c r="L100" s="742"/>
      <c r="M100" s="702"/>
      <c r="N100" s="702"/>
      <c r="O100" s="702"/>
      <c r="P100" s="702"/>
      <c r="Q100" s="702"/>
      <c r="R100" s="702"/>
    </row>
    <row r="101" customFormat="false" ht="12" hidden="false" customHeight="false" outlineLevel="0" collapsed="false">
      <c r="B101" s="702"/>
      <c r="C101" s="702"/>
      <c r="D101" s="702"/>
      <c r="E101" s="702"/>
      <c r="F101" s="702"/>
      <c r="G101" s="702"/>
      <c r="H101" s="702"/>
      <c r="I101" s="742"/>
      <c r="J101" s="742"/>
      <c r="K101" s="742"/>
      <c r="L101" s="742"/>
      <c r="M101" s="702"/>
      <c r="N101" s="702"/>
      <c r="O101" s="702"/>
      <c r="P101" s="702"/>
      <c r="Q101" s="702"/>
      <c r="R101" s="702"/>
    </row>
    <row r="102" customFormat="false" ht="12" hidden="false" customHeight="false" outlineLevel="0" collapsed="false">
      <c r="B102" s="702"/>
      <c r="C102" s="702"/>
      <c r="D102" s="702"/>
      <c r="E102" s="702"/>
      <c r="F102" s="702"/>
      <c r="G102" s="702"/>
      <c r="H102" s="702"/>
      <c r="I102" s="742"/>
      <c r="J102" s="742"/>
      <c r="K102" s="742"/>
      <c r="L102" s="742"/>
      <c r="M102" s="702"/>
      <c r="N102" s="702"/>
      <c r="O102" s="702"/>
      <c r="P102" s="702"/>
      <c r="Q102" s="702"/>
      <c r="R102" s="702"/>
    </row>
    <row r="103" customFormat="false" ht="12" hidden="false" customHeight="false" outlineLevel="0" collapsed="false">
      <c r="B103" s="702"/>
      <c r="C103" s="702"/>
      <c r="D103" s="702"/>
      <c r="E103" s="702"/>
      <c r="F103" s="702"/>
      <c r="G103" s="702"/>
      <c r="H103" s="702"/>
      <c r="I103" s="742"/>
      <c r="J103" s="742"/>
      <c r="K103" s="742"/>
      <c r="L103" s="742"/>
      <c r="M103" s="702"/>
      <c r="N103" s="702"/>
      <c r="O103" s="702"/>
      <c r="P103" s="702"/>
      <c r="Q103" s="702"/>
      <c r="R103" s="702"/>
    </row>
    <row r="104" customFormat="false" ht="12" hidden="false" customHeight="false" outlineLevel="0" collapsed="false">
      <c r="B104" s="702"/>
      <c r="C104" s="702"/>
      <c r="D104" s="702"/>
      <c r="E104" s="702"/>
      <c r="F104" s="702"/>
      <c r="G104" s="702"/>
      <c r="H104" s="702"/>
      <c r="I104" s="742"/>
      <c r="J104" s="742"/>
      <c r="K104" s="742"/>
      <c r="L104" s="742"/>
      <c r="M104" s="702"/>
      <c r="N104" s="702"/>
      <c r="O104" s="702"/>
      <c r="P104" s="702"/>
      <c r="Q104" s="702"/>
      <c r="R104" s="702"/>
    </row>
    <row r="105" customFormat="false" ht="12" hidden="false" customHeight="false" outlineLevel="0" collapsed="false">
      <c r="B105" s="702"/>
      <c r="C105" s="702"/>
      <c r="D105" s="702"/>
      <c r="E105" s="702"/>
      <c r="F105" s="702"/>
      <c r="G105" s="702"/>
      <c r="H105" s="702"/>
      <c r="I105" s="742"/>
      <c r="J105" s="742"/>
      <c r="K105" s="742"/>
      <c r="L105" s="742"/>
      <c r="M105" s="702"/>
      <c r="N105" s="702"/>
      <c r="O105" s="702"/>
      <c r="P105" s="702"/>
      <c r="Q105" s="702"/>
      <c r="R105" s="702"/>
    </row>
    <row r="106" customFormat="false" ht="12" hidden="false" customHeight="false" outlineLevel="0" collapsed="false">
      <c r="B106" s="702"/>
      <c r="C106" s="702"/>
      <c r="D106" s="702"/>
      <c r="E106" s="702"/>
      <c r="F106" s="702"/>
      <c r="G106" s="702"/>
      <c r="H106" s="702"/>
      <c r="I106" s="742"/>
      <c r="J106" s="742"/>
      <c r="K106" s="742"/>
      <c r="L106" s="742"/>
      <c r="M106" s="702"/>
      <c r="N106" s="702"/>
      <c r="O106" s="702"/>
      <c r="P106" s="702"/>
      <c r="Q106" s="702"/>
      <c r="R106" s="702"/>
    </row>
    <row r="107" customFormat="false" ht="12" hidden="false" customHeight="false" outlineLevel="0" collapsed="false">
      <c r="B107" s="702"/>
      <c r="C107" s="702"/>
      <c r="D107" s="702"/>
      <c r="E107" s="702"/>
      <c r="F107" s="702"/>
      <c r="G107" s="702"/>
      <c r="H107" s="702"/>
      <c r="I107" s="742"/>
      <c r="J107" s="742"/>
      <c r="K107" s="742"/>
      <c r="L107" s="742"/>
      <c r="M107" s="702"/>
      <c r="N107" s="702"/>
      <c r="O107" s="702"/>
      <c r="P107" s="702"/>
      <c r="Q107" s="702"/>
      <c r="R107" s="702"/>
    </row>
    <row r="108" customFormat="false" ht="12" hidden="false" customHeight="false" outlineLevel="0" collapsed="false">
      <c r="B108" s="702"/>
      <c r="C108" s="702"/>
      <c r="D108" s="702"/>
      <c r="E108" s="702"/>
      <c r="F108" s="702"/>
      <c r="G108" s="702"/>
      <c r="H108" s="702"/>
      <c r="I108" s="742"/>
      <c r="J108" s="742"/>
      <c r="K108" s="742"/>
      <c r="L108" s="742"/>
      <c r="M108" s="702"/>
      <c r="N108" s="702"/>
      <c r="O108" s="702"/>
      <c r="P108" s="702"/>
      <c r="Q108" s="702"/>
      <c r="R108" s="702"/>
    </row>
    <row r="109" customFormat="false" ht="12" hidden="false" customHeight="false" outlineLevel="0" collapsed="false">
      <c r="B109" s="702"/>
      <c r="C109" s="702"/>
      <c r="D109" s="702"/>
      <c r="E109" s="702"/>
      <c r="F109" s="702"/>
      <c r="G109" s="702"/>
      <c r="H109" s="702"/>
      <c r="I109" s="742"/>
      <c r="J109" s="742"/>
      <c r="K109" s="742"/>
      <c r="L109" s="742"/>
      <c r="M109" s="702"/>
      <c r="N109" s="702"/>
      <c r="O109" s="702"/>
      <c r="P109" s="702"/>
      <c r="Q109" s="702"/>
      <c r="R109" s="702"/>
    </row>
    <row r="110" customFormat="false" ht="12" hidden="false" customHeight="false" outlineLevel="0" collapsed="false">
      <c r="B110" s="702"/>
      <c r="C110" s="702"/>
      <c r="D110" s="702"/>
      <c r="E110" s="702"/>
      <c r="F110" s="702"/>
      <c r="G110" s="702"/>
      <c r="H110" s="702"/>
      <c r="I110" s="742"/>
      <c r="J110" s="742"/>
      <c r="K110" s="742"/>
      <c r="L110" s="742"/>
      <c r="M110" s="702"/>
      <c r="N110" s="702"/>
      <c r="O110" s="702"/>
      <c r="P110" s="702"/>
      <c r="Q110" s="702"/>
      <c r="R110" s="702"/>
    </row>
    <row r="111" customFormat="false" ht="12" hidden="false" customHeight="false" outlineLevel="0" collapsed="false">
      <c r="B111" s="702"/>
      <c r="C111" s="702"/>
      <c r="D111" s="702"/>
      <c r="E111" s="702"/>
      <c r="F111" s="702"/>
      <c r="G111" s="702"/>
      <c r="H111" s="702"/>
      <c r="I111" s="742"/>
      <c r="J111" s="742"/>
      <c r="K111" s="742"/>
      <c r="L111" s="742"/>
      <c r="M111" s="702"/>
      <c r="N111" s="702"/>
      <c r="O111" s="702"/>
      <c r="P111" s="702"/>
      <c r="Q111" s="702"/>
      <c r="R111" s="702"/>
    </row>
    <row r="112" customFormat="false" ht="12" hidden="false" customHeight="false" outlineLevel="0" collapsed="false">
      <c r="B112" s="702"/>
      <c r="C112" s="702"/>
      <c r="D112" s="702"/>
      <c r="E112" s="702"/>
      <c r="F112" s="702"/>
      <c r="G112" s="702"/>
      <c r="H112" s="702"/>
      <c r="I112" s="742"/>
      <c r="J112" s="742"/>
      <c r="K112" s="742"/>
      <c r="L112" s="742"/>
      <c r="M112" s="702"/>
      <c r="N112" s="702"/>
      <c r="O112" s="702"/>
      <c r="P112" s="702"/>
      <c r="Q112" s="702"/>
      <c r="R112" s="702"/>
    </row>
    <row r="113" customFormat="false" ht="12" hidden="false" customHeight="false" outlineLevel="0" collapsed="false">
      <c r="B113" s="702"/>
      <c r="C113" s="702"/>
      <c r="D113" s="702"/>
      <c r="E113" s="702"/>
      <c r="F113" s="702"/>
      <c r="G113" s="702"/>
      <c r="H113" s="702"/>
      <c r="I113" s="742"/>
      <c r="J113" s="742"/>
      <c r="K113" s="742"/>
      <c r="L113" s="742"/>
      <c r="M113" s="702"/>
      <c r="N113" s="702"/>
      <c r="O113" s="702"/>
      <c r="P113" s="702"/>
      <c r="Q113" s="702"/>
      <c r="R113" s="702"/>
    </row>
    <row r="114" customFormat="false" ht="12" hidden="false" customHeight="false" outlineLevel="0" collapsed="false">
      <c r="B114" s="702"/>
      <c r="C114" s="702"/>
      <c r="D114" s="702"/>
      <c r="E114" s="702"/>
      <c r="F114" s="702"/>
      <c r="G114" s="702"/>
      <c r="H114" s="702"/>
      <c r="I114" s="742"/>
      <c r="J114" s="742"/>
      <c r="K114" s="742"/>
      <c r="L114" s="742"/>
      <c r="M114" s="702"/>
      <c r="N114" s="702"/>
      <c r="O114" s="702"/>
      <c r="P114" s="702"/>
      <c r="Q114" s="702"/>
      <c r="R114" s="702"/>
    </row>
    <row r="115" customFormat="false" ht="12" hidden="false" customHeight="false" outlineLevel="0" collapsed="false">
      <c r="B115" s="702"/>
      <c r="C115" s="702"/>
      <c r="D115" s="702"/>
      <c r="E115" s="702"/>
      <c r="F115" s="702"/>
      <c r="G115" s="702"/>
      <c r="H115" s="702"/>
      <c r="I115" s="742"/>
      <c r="J115" s="742"/>
      <c r="K115" s="742"/>
      <c r="L115" s="742"/>
      <c r="M115" s="702"/>
      <c r="N115" s="702"/>
      <c r="O115" s="702"/>
      <c r="P115" s="702"/>
      <c r="Q115" s="702"/>
      <c r="R115" s="702"/>
    </row>
    <row r="116" customFormat="false" ht="12" hidden="false" customHeight="false" outlineLevel="0" collapsed="false">
      <c r="B116" s="702"/>
      <c r="C116" s="702"/>
      <c r="D116" s="702"/>
      <c r="E116" s="702"/>
      <c r="F116" s="702"/>
      <c r="G116" s="702"/>
      <c r="H116" s="702"/>
      <c r="I116" s="742"/>
      <c r="J116" s="742"/>
      <c r="K116" s="742"/>
      <c r="L116" s="742"/>
      <c r="M116" s="702"/>
      <c r="N116" s="702"/>
      <c r="O116" s="702"/>
      <c r="P116" s="702"/>
      <c r="Q116" s="702"/>
      <c r="R116" s="702"/>
    </row>
    <row r="117" customFormat="false" ht="12" hidden="false" customHeight="false" outlineLevel="0" collapsed="false">
      <c r="B117" s="702"/>
      <c r="C117" s="702"/>
      <c r="D117" s="702"/>
      <c r="E117" s="702"/>
      <c r="F117" s="702"/>
      <c r="G117" s="702"/>
      <c r="H117" s="702"/>
      <c r="I117" s="742"/>
      <c r="J117" s="742"/>
      <c r="K117" s="742"/>
      <c r="L117" s="742"/>
      <c r="M117" s="702"/>
      <c r="N117" s="702"/>
      <c r="O117" s="702"/>
      <c r="P117" s="702"/>
      <c r="Q117" s="702"/>
      <c r="R117" s="702"/>
    </row>
    <row r="118" customFormat="false" ht="12" hidden="false" customHeight="false" outlineLevel="0" collapsed="false">
      <c r="B118" s="702"/>
      <c r="C118" s="702"/>
      <c r="D118" s="702"/>
      <c r="E118" s="702"/>
      <c r="F118" s="702"/>
      <c r="G118" s="702"/>
      <c r="H118" s="702"/>
      <c r="I118" s="742"/>
      <c r="J118" s="742"/>
      <c r="K118" s="742"/>
      <c r="L118" s="742"/>
      <c r="M118" s="702"/>
      <c r="N118" s="702"/>
      <c r="O118" s="702"/>
      <c r="P118" s="702"/>
      <c r="Q118" s="702"/>
      <c r="R118" s="702"/>
    </row>
    <row r="119" customFormat="false" ht="12" hidden="false" customHeight="false" outlineLevel="0" collapsed="false">
      <c r="B119" s="702"/>
      <c r="C119" s="702"/>
      <c r="D119" s="702"/>
      <c r="E119" s="702"/>
      <c r="F119" s="702"/>
      <c r="G119" s="702"/>
      <c r="H119" s="702"/>
      <c r="I119" s="742"/>
      <c r="J119" s="742"/>
      <c r="K119" s="742"/>
      <c r="L119" s="742"/>
      <c r="M119" s="702"/>
      <c r="N119" s="702"/>
      <c r="O119" s="702"/>
      <c r="P119" s="702"/>
      <c r="Q119" s="702"/>
      <c r="R119" s="702"/>
    </row>
    <row r="120" customFormat="false" ht="12" hidden="false" customHeight="false" outlineLevel="0" collapsed="false">
      <c r="B120" s="702"/>
      <c r="C120" s="702"/>
      <c r="D120" s="702"/>
      <c r="E120" s="702"/>
      <c r="F120" s="702"/>
      <c r="G120" s="702"/>
      <c r="H120" s="702"/>
      <c r="I120" s="742"/>
      <c r="J120" s="742"/>
      <c r="K120" s="742"/>
      <c r="L120" s="742"/>
      <c r="M120" s="702"/>
      <c r="N120" s="702"/>
      <c r="O120" s="702"/>
      <c r="P120" s="702"/>
      <c r="Q120" s="702"/>
      <c r="R120" s="702"/>
    </row>
    <row r="121" customFormat="false" ht="12" hidden="false" customHeight="false" outlineLevel="0" collapsed="false">
      <c r="B121" s="702"/>
      <c r="C121" s="702"/>
      <c r="D121" s="702"/>
      <c r="E121" s="702"/>
      <c r="F121" s="702"/>
      <c r="G121" s="702"/>
      <c r="H121" s="702"/>
      <c r="I121" s="742"/>
      <c r="J121" s="742"/>
      <c r="K121" s="742"/>
      <c r="L121" s="742"/>
      <c r="M121" s="702"/>
      <c r="N121" s="702"/>
      <c r="O121" s="702"/>
      <c r="P121" s="702"/>
      <c r="Q121" s="702"/>
      <c r="R121" s="702"/>
    </row>
    <row r="122" customFormat="false" ht="12" hidden="false" customHeight="false" outlineLevel="0" collapsed="false">
      <c r="B122" s="702"/>
      <c r="C122" s="702"/>
      <c r="D122" s="702"/>
      <c r="E122" s="702"/>
      <c r="F122" s="702"/>
      <c r="G122" s="702"/>
      <c r="H122" s="702"/>
      <c r="I122" s="742"/>
      <c r="J122" s="742"/>
      <c r="K122" s="742"/>
      <c r="L122" s="742"/>
      <c r="M122" s="702"/>
      <c r="N122" s="702"/>
      <c r="O122" s="702"/>
      <c r="P122" s="702"/>
      <c r="Q122" s="702"/>
      <c r="R122" s="702"/>
    </row>
    <row r="123" customFormat="false" ht="12" hidden="false" customHeight="false" outlineLevel="0" collapsed="false">
      <c r="B123" s="702"/>
      <c r="C123" s="702"/>
      <c r="D123" s="702"/>
      <c r="E123" s="702"/>
      <c r="F123" s="702"/>
      <c r="G123" s="702"/>
      <c r="H123" s="702"/>
      <c r="I123" s="742"/>
      <c r="J123" s="742"/>
      <c r="K123" s="742"/>
      <c r="L123" s="742"/>
      <c r="M123" s="702"/>
      <c r="N123" s="702"/>
      <c r="O123" s="702"/>
      <c r="P123" s="702"/>
      <c r="Q123" s="702"/>
      <c r="R123" s="702"/>
    </row>
    <row r="124" customFormat="false" ht="12" hidden="false" customHeight="false" outlineLevel="0" collapsed="false">
      <c r="B124" s="702"/>
      <c r="C124" s="702"/>
      <c r="D124" s="702"/>
      <c r="E124" s="702"/>
      <c r="F124" s="702"/>
      <c r="G124" s="702"/>
      <c r="H124" s="702"/>
      <c r="I124" s="742"/>
      <c r="J124" s="742"/>
      <c r="K124" s="742"/>
      <c r="L124" s="742"/>
      <c r="M124" s="702"/>
      <c r="N124" s="702"/>
      <c r="O124" s="702"/>
      <c r="P124" s="702"/>
      <c r="Q124" s="702"/>
      <c r="R124" s="702"/>
    </row>
    <row r="125" customFormat="false" ht="12" hidden="false" customHeight="false" outlineLevel="0" collapsed="false">
      <c r="B125" s="702"/>
      <c r="C125" s="702"/>
      <c r="D125" s="702"/>
      <c r="E125" s="702"/>
      <c r="F125" s="702"/>
      <c r="G125" s="702"/>
      <c r="H125" s="702"/>
      <c r="I125" s="742"/>
      <c r="J125" s="742"/>
      <c r="K125" s="742"/>
      <c r="L125" s="742"/>
      <c r="M125" s="702"/>
      <c r="N125" s="702"/>
      <c r="O125" s="702"/>
      <c r="P125" s="702"/>
      <c r="Q125" s="702"/>
      <c r="R125" s="702"/>
    </row>
    <row r="126" customFormat="false" ht="12" hidden="false" customHeight="false" outlineLevel="0" collapsed="false">
      <c r="B126" s="702"/>
      <c r="C126" s="702"/>
      <c r="D126" s="702"/>
      <c r="E126" s="702"/>
      <c r="F126" s="702"/>
      <c r="G126" s="702"/>
      <c r="H126" s="702"/>
      <c r="I126" s="742"/>
      <c r="J126" s="742"/>
      <c r="K126" s="742"/>
      <c r="L126" s="742"/>
      <c r="M126" s="702"/>
      <c r="N126" s="702"/>
      <c r="O126" s="702"/>
      <c r="P126" s="702"/>
      <c r="Q126" s="702"/>
      <c r="R126" s="702"/>
    </row>
    <row r="127" customFormat="false" ht="12" hidden="false" customHeight="false" outlineLevel="0" collapsed="false">
      <c r="B127" s="702"/>
      <c r="C127" s="702"/>
      <c r="D127" s="702"/>
      <c r="E127" s="702"/>
      <c r="F127" s="702"/>
      <c r="G127" s="702"/>
      <c r="H127" s="702"/>
      <c r="I127" s="742"/>
      <c r="J127" s="742"/>
      <c r="K127" s="742"/>
      <c r="L127" s="742"/>
      <c r="M127" s="702"/>
      <c r="N127" s="702"/>
      <c r="O127" s="702"/>
      <c r="P127" s="702"/>
      <c r="Q127" s="702"/>
      <c r="R127" s="702"/>
    </row>
    <row r="128" customFormat="false" ht="12" hidden="false" customHeight="false" outlineLevel="0" collapsed="false">
      <c r="B128" s="702"/>
      <c r="C128" s="702"/>
      <c r="D128" s="702"/>
      <c r="E128" s="702"/>
      <c r="F128" s="702"/>
      <c r="G128" s="702"/>
      <c r="H128" s="702"/>
      <c r="I128" s="742"/>
      <c r="J128" s="742"/>
      <c r="K128" s="742"/>
      <c r="L128" s="742"/>
      <c r="M128" s="702"/>
      <c r="N128" s="702"/>
      <c r="O128" s="702"/>
      <c r="P128" s="702"/>
      <c r="Q128" s="702"/>
      <c r="R128" s="702"/>
    </row>
    <row r="129" customFormat="false" ht="12" hidden="false" customHeight="false" outlineLevel="0" collapsed="false">
      <c r="B129" s="702"/>
      <c r="C129" s="702"/>
      <c r="D129" s="702"/>
      <c r="E129" s="702"/>
      <c r="F129" s="702"/>
      <c r="G129" s="702"/>
      <c r="H129" s="702"/>
      <c r="I129" s="742"/>
      <c r="J129" s="742"/>
      <c r="K129" s="742"/>
      <c r="L129" s="742"/>
      <c r="M129" s="702"/>
      <c r="N129" s="702"/>
      <c r="O129" s="702"/>
      <c r="P129" s="702"/>
      <c r="Q129" s="702"/>
      <c r="R129" s="702"/>
    </row>
    <row r="130" customFormat="false" ht="12" hidden="false" customHeight="false" outlineLevel="0" collapsed="false">
      <c r="B130" s="702"/>
      <c r="C130" s="702"/>
      <c r="D130" s="702"/>
      <c r="E130" s="702"/>
      <c r="F130" s="702"/>
      <c r="G130" s="702"/>
      <c r="H130" s="702"/>
      <c r="I130" s="742"/>
      <c r="J130" s="742"/>
      <c r="K130" s="742"/>
      <c r="L130" s="742"/>
      <c r="M130" s="702"/>
      <c r="N130" s="702"/>
      <c r="O130" s="702"/>
      <c r="P130" s="702"/>
      <c r="Q130" s="702"/>
      <c r="R130" s="702"/>
    </row>
    <row r="131" customFormat="false" ht="12" hidden="false" customHeight="false" outlineLevel="0" collapsed="false">
      <c r="B131" s="702"/>
      <c r="C131" s="702"/>
      <c r="D131" s="702"/>
      <c r="E131" s="702"/>
      <c r="F131" s="702"/>
      <c r="G131" s="702"/>
      <c r="H131" s="702"/>
      <c r="I131" s="742"/>
      <c r="J131" s="742"/>
      <c r="K131" s="742"/>
      <c r="L131" s="742"/>
      <c r="M131" s="702"/>
      <c r="N131" s="702"/>
      <c r="O131" s="702"/>
      <c r="P131" s="702"/>
      <c r="Q131" s="702"/>
      <c r="R131" s="702"/>
    </row>
    <row r="132" customFormat="false" ht="12" hidden="false" customHeight="false" outlineLevel="0" collapsed="false">
      <c r="B132" s="702"/>
      <c r="C132" s="702"/>
      <c r="D132" s="702"/>
      <c r="E132" s="702"/>
      <c r="F132" s="702"/>
      <c r="G132" s="702"/>
      <c r="H132" s="702"/>
      <c r="I132" s="742"/>
      <c r="J132" s="742"/>
      <c r="K132" s="742"/>
      <c r="L132" s="742"/>
      <c r="M132" s="702"/>
      <c r="N132" s="702"/>
      <c r="O132" s="702"/>
      <c r="P132" s="702"/>
      <c r="Q132" s="702"/>
      <c r="R132" s="702"/>
    </row>
    <row r="133" customFormat="false" ht="12" hidden="false" customHeight="false" outlineLevel="0" collapsed="false">
      <c r="B133" s="702"/>
      <c r="C133" s="702"/>
      <c r="D133" s="702"/>
      <c r="E133" s="702"/>
      <c r="F133" s="702"/>
      <c r="G133" s="702"/>
      <c r="H133" s="702"/>
      <c r="I133" s="742"/>
      <c r="J133" s="742"/>
      <c r="K133" s="742"/>
      <c r="L133" s="742"/>
      <c r="M133" s="702"/>
      <c r="N133" s="702"/>
      <c r="O133" s="702"/>
      <c r="P133" s="702"/>
      <c r="Q133" s="702"/>
      <c r="R133" s="702"/>
    </row>
    <row r="134" customFormat="false" ht="12" hidden="false" customHeight="false" outlineLevel="0" collapsed="false">
      <c r="B134" s="702"/>
      <c r="C134" s="702"/>
      <c r="D134" s="702"/>
      <c r="E134" s="702"/>
      <c r="F134" s="702"/>
      <c r="G134" s="702"/>
      <c r="H134" s="702"/>
      <c r="I134" s="742"/>
      <c r="J134" s="742"/>
      <c r="K134" s="742"/>
      <c r="L134" s="742"/>
      <c r="M134" s="702"/>
      <c r="N134" s="702"/>
      <c r="O134" s="702"/>
      <c r="P134" s="702"/>
      <c r="Q134" s="702"/>
      <c r="R134" s="702"/>
    </row>
    <row r="135" customFormat="false" ht="12" hidden="false" customHeight="false" outlineLevel="0" collapsed="false">
      <c r="B135" s="702"/>
      <c r="C135" s="702"/>
      <c r="D135" s="702"/>
      <c r="E135" s="702"/>
      <c r="F135" s="702"/>
      <c r="G135" s="702"/>
      <c r="H135" s="702"/>
      <c r="I135" s="742"/>
      <c r="J135" s="742"/>
      <c r="K135" s="742"/>
      <c r="L135" s="742"/>
      <c r="M135" s="702"/>
      <c r="N135" s="702"/>
      <c r="O135" s="702"/>
      <c r="P135" s="702"/>
      <c r="Q135" s="702"/>
      <c r="R135" s="702"/>
    </row>
    <row r="136" customFormat="false" ht="12" hidden="false" customHeight="false" outlineLevel="0" collapsed="false">
      <c r="B136" s="702"/>
      <c r="C136" s="702"/>
      <c r="D136" s="702"/>
      <c r="E136" s="702"/>
      <c r="F136" s="702"/>
      <c r="G136" s="702"/>
      <c r="H136" s="702"/>
      <c r="I136" s="742"/>
      <c r="J136" s="742"/>
      <c r="K136" s="742"/>
      <c r="L136" s="742"/>
      <c r="M136" s="702"/>
      <c r="N136" s="702"/>
      <c r="O136" s="702"/>
      <c r="P136" s="702"/>
      <c r="Q136" s="702"/>
      <c r="R136" s="702"/>
    </row>
    <row r="137" customFormat="false" ht="12" hidden="false" customHeight="false" outlineLevel="0" collapsed="false">
      <c r="B137" s="702"/>
      <c r="C137" s="702"/>
      <c r="D137" s="702"/>
      <c r="E137" s="702"/>
      <c r="F137" s="702"/>
      <c r="G137" s="702"/>
      <c r="H137" s="702"/>
      <c r="I137" s="742"/>
      <c r="J137" s="742"/>
      <c r="K137" s="742"/>
      <c r="L137" s="742"/>
      <c r="M137" s="702"/>
      <c r="N137" s="702"/>
      <c r="O137" s="702"/>
      <c r="P137" s="702"/>
      <c r="Q137" s="702"/>
      <c r="R137" s="702"/>
    </row>
    <row r="138" customFormat="false" ht="12" hidden="false" customHeight="false" outlineLevel="0" collapsed="false">
      <c r="B138" s="702"/>
      <c r="C138" s="702"/>
      <c r="D138" s="702"/>
      <c r="E138" s="702"/>
      <c r="F138" s="702"/>
      <c r="G138" s="702"/>
      <c r="H138" s="702"/>
      <c r="I138" s="742"/>
      <c r="J138" s="742"/>
      <c r="K138" s="742"/>
      <c r="L138" s="742"/>
      <c r="M138" s="702"/>
      <c r="N138" s="702"/>
      <c r="O138" s="702"/>
      <c r="P138" s="702"/>
      <c r="Q138" s="702"/>
      <c r="R138" s="702"/>
    </row>
    <row r="139" customFormat="false" ht="12" hidden="false" customHeight="false" outlineLevel="0" collapsed="false">
      <c r="B139" s="702"/>
      <c r="C139" s="702"/>
      <c r="D139" s="702"/>
      <c r="E139" s="702"/>
      <c r="F139" s="702"/>
      <c r="G139" s="702"/>
      <c r="H139" s="702"/>
      <c r="I139" s="742"/>
      <c r="J139" s="742"/>
      <c r="K139" s="742"/>
      <c r="L139" s="742"/>
      <c r="M139" s="702"/>
      <c r="N139" s="702"/>
      <c r="O139" s="702"/>
      <c r="P139" s="702"/>
      <c r="Q139" s="702"/>
      <c r="R139" s="702"/>
    </row>
    <row r="140" customFormat="false" ht="12" hidden="false" customHeight="false" outlineLevel="0" collapsed="false">
      <c r="B140" s="702"/>
      <c r="C140" s="702"/>
      <c r="D140" s="702"/>
      <c r="E140" s="702"/>
      <c r="F140" s="702"/>
      <c r="G140" s="702"/>
      <c r="H140" s="702"/>
      <c r="I140" s="742"/>
      <c r="J140" s="742"/>
      <c r="K140" s="742"/>
      <c r="L140" s="742"/>
      <c r="M140" s="702"/>
      <c r="N140" s="702"/>
      <c r="O140" s="702"/>
      <c r="P140" s="702"/>
      <c r="Q140" s="702"/>
      <c r="R140" s="702"/>
    </row>
    <row r="141" customFormat="false" ht="12" hidden="false" customHeight="false" outlineLevel="0" collapsed="false">
      <c r="B141" s="702"/>
      <c r="C141" s="702"/>
      <c r="D141" s="702"/>
      <c r="E141" s="702"/>
      <c r="F141" s="702"/>
      <c r="G141" s="702"/>
      <c r="H141" s="702"/>
      <c r="I141" s="742"/>
      <c r="J141" s="742"/>
      <c r="K141" s="742"/>
      <c r="L141" s="742"/>
      <c r="M141" s="702"/>
      <c r="N141" s="702"/>
      <c r="O141" s="702"/>
      <c r="P141" s="702"/>
      <c r="Q141" s="702"/>
      <c r="R141" s="702"/>
    </row>
    <row r="142" customFormat="false" ht="12" hidden="false" customHeight="false" outlineLevel="0" collapsed="false">
      <c r="B142" s="702"/>
      <c r="C142" s="702"/>
      <c r="D142" s="702"/>
      <c r="E142" s="702"/>
      <c r="F142" s="702"/>
      <c r="G142" s="702"/>
      <c r="H142" s="702"/>
      <c r="I142" s="742"/>
      <c r="J142" s="742"/>
      <c r="K142" s="742"/>
      <c r="L142" s="742"/>
      <c r="M142" s="702"/>
      <c r="N142" s="702"/>
      <c r="O142" s="702"/>
      <c r="P142" s="702"/>
      <c r="Q142" s="702"/>
      <c r="R142" s="702"/>
    </row>
    <row r="143" customFormat="false" ht="12" hidden="false" customHeight="false" outlineLevel="0" collapsed="false">
      <c r="B143" s="702"/>
      <c r="C143" s="702"/>
      <c r="D143" s="702"/>
      <c r="E143" s="702"/>
      <c r="F143" s="702"/>
      <c r="G143" s="702"/>
      <c r="H143" s="702"/>
      <c r="I143" s="742"/>
      <c r="J143" s="742"/>
      <c r="K143" s="742"/>
      <c r="L143" s="742"/>
      <c r="M143" s="702"/>
      <c r="N143" s="702"/>
      <c r="O143" s="702"/>
      <c r="P143" s="702"/>
      <c r="Q143" s="702"/>
      <c r="R143" s="702"/>
    </row>
    <row r="144" customFormat="false" ht="12" hidden="false" customHeight="false" outlineLevel="0" collapsed="false">
      <c r="B144" s="702"/>
      <c r="C144" s="702"/>
      <c r="D144" s="702"/>
      <c r="E144" s="702"/>
      <c r="F144" s="702"/>
      <c r="G144" s="702"/>
      <c r="H144" s="702"/>
      <c r="I144" s="742"/>
      <c r="J144" s="742"/>
      <c r="K144" s="742"/>
      <c r="L144" s="742"/>
      <c r="M144" s="702"/>
      <c r="N144" s="702"/>
      <c r="O144" s="702"/>
      <c r="P144" s="702"/>
      <c r="Q144" s="702"/>
      <c r="R144" s="702"/>
    </row>
    <row r="145" customFormat="false" ht="12" hidden="false" customHeight="false" outlineLevel="0" collapsed="false">
      <c r="B145" s="702"/>
      <c r="C145" s="702"/>
      <c r="D145" s="702"/>
      <c r="E145" s="702"/>
      <c r="F145" s="702"/>
      <c r="G145" s="702"/>
      <c r="H145" s="702"/>
      <c r="I145" s="742"/>
      <c r="J145" s="742"/>
      <c r="K145" s="742"/>
      <c r="L145" s="742"/>
      <c r="M145" s="702"/>
      <c r="N145" s="702"/>
      <c r="O145" s="702"/>
      <c r="P145" s="702"/>
      <c r="Q145" s="702"/>
      <c r="R145" s="702"/>
    </row>
    <row r="146" customFormat="false" ht="12" hidden="false" customHeight="false" outlineLevel="0" collapsed="false">
      <c r="B146" s="702"/>
      <c r="C146" s="702"/>
      <c r="D146" s="702"/>
      <c r="E146" s="702"/>
      <c r="F146" s="702"/>
      <c r="G146" s="702"/>
      <c r="H146" s="702"/>
      <c r="I146" s="742"/>
      <c r="J146" s="742"/>
      <c r="K146" s="742"/>
      <c r="L146" s="742"/>
      <c r="M146" s="702"/>
      <c r="N146" s="702"/>
      <c r="O146" s="702"/>
      <c r="P146" s="702"/>
      <c r="Q146" s="702"/>
      <c r="R146" s="702"/>
    </row>
    <row r="147" customFormat="false" ht="12" hidden="false" customHeight="false" outlineLevel="0" collapsed="false">
      <c r="B147" s="702"/>
      <c r="C147" s="702"/>
      <c r="D147" s="702"/>
      <c r="E147" s="702"/>
      <c r="F147" s="702"/>
      <c r="G147" s="702"/>
      <c r="H147" s="702"/>
      <c r="I147" s="742"/>
      <c r="J147" s="742"/>
      <c r="K147" s="742"/>
      <c r="L147" s="742"/>
      <c r="M147" s="702"/>
      <c r="N147" s="702"/>
      <c r="O147" s="702"/>
      <c r="P147" s="702"/>
      <c r="Q147" s="702"/>
      <c r="R147" s="702"/>
    </row>
    <row r="148" customFormat="false" ht="12" hidden="false" customHeight="false" outlineLevel="0" collapsed="false">
      <c r="B148" s="702"/>
      <c r="C148" s="702"/>
      <c r="D148" s="702"/>
      <c r="E148" s="702"/>
      <c r="F148" s="702"/>
      <c r="G148" s="702"/>
      <c r="H148" s="702"/>
      <c r="I148" s="742"/>
      <c r="J148" s="742"/>
      <c r="K148" s="742"/>
      <c r="L148" s="742"/>
      <c r="M148" s="702"/>
      <c r="N148" s="702"/>
      <c r="O148" s="702"/>
      <c r="P148" s="702"/>
      <c r="Q148" s="702"/>
      <c r="R148" s="702"/>
    </row>
    <row r="149" customFormat="false" ht="12" hidden="false" customHeight="false" outlineLevel="0" collapsed="false">
      <c r="B149" s="702"/>
      <c r="C149" s="702"/>
      <c r="D149" s="702"/>
      <c r="E149" s="702"/>
      <c r="F149" s="702"/>
      <c r="G149" s="702"/>
      <c r="H149" s="702"/>
      <c r="I149" s="742"/>
      <c r="J149" s="742"/>
      <c r="K149" s="742"/>
      <c r="L149" s="742"/>
      <c r="M149" s="702"/>
      <c r="N149" s="702"/>
      <c r="O149" s="702"/>
      <c r="P149" s="702"/>
      <c r="Q149" s="702"/>
      <c r="R149" s="702"/>
    </row>
    <row r="150" customFormat="false" ht="12" hidden="false" customHeight="false" outlineLevel="0" collapsed="false">
      <c r="B150" s="702"/>
      <c r="C150" s="702"/>
      <c r="D150" s="702"/>
      <c r="E150" s="702"/>
      <c r="F150" s="702"/>
      <c r="G150" s="702"/>
      <c r="H150" s="702"/>
      <c r="I150" s="742"/>
      <c r="J150" s="742"/>
      <c r="K150" s="742"/>
      <c r="L150" s="742"/>
      <c r="M150" s="702"/>
      <c r="N150" s="702"/>
      <c r="O150" s="702"/>
      <c r="P150" s="702"/>
      <c r="Q150" s="702"/>
      <c r="R150" s="702"/>
    </row>
    <row r="151" customFormat="false" ht="12" hidden="false" customHeight="false" outlineLevel="0" collapsed="false">
      <c r="B151" s="702"/>
      <c r="C151" s="702"/>
      <c r="D151" s="702"/>
      <c r="E151" s="702"/>
      <c r="F151" s="702"/>
      <c r="G151" s="702"/>
      <c r="H151" s="702"/>
      <c r="I151" s="742"/>
      <c r="J151" s="742"/>
      <c r="K151" s="742"/>
      <c r="L151" s="742"/>
      <c r="M151" s="702"/>
      <c r="N151" s="702"/>
      <c r="O151" s="702"/>
      <c r="P151" s="702"/>
      <c r="Q151" s="702"/>
      <c r="R151" s="702"/>
    </row>
    <row r="152" customFormat="false" ht="12" hidden="false" customHeight="false" outlineLevel="0" collapsed="false">
      <c r="B152" s="702"/>
      <c r="C152" s="702"/>
      <c r="D152" s="702"/>
      <c r="E152" s="702"/>
      <c r="F152" s="702"/>
      <c r="G152" s="702"/>
      <c r="H152" s="702"/>
      <c r="I152" s="742"/>
      <c r="J152" s="742"/>
      <c r="K152" s="742"/>
      <c r="L152" s="742"/>
      <c r="M152" s="702"/>
      <c r="N152" s="702"/>
      <c r="O152" s="702"/>
      <c r="P152" s="702"/>
      <c r="Q152" s="702"/>
      <c r="R152" s="702"/>
    </row>
    <row r="153" customFormat="false" ht="12" hidden="false" customHeight="false" outlineLevel="0" collapsed="false">
      <c r="B153" s="702"/>
      <c r="C153" s="702"/>
      <c r="D153" s="702"/>
      <c r="E153" s="702"/>
      <c r="F153" s="702"/>
      <c r="G153" s="702"/>
      <c r="H153" s="702"/>
      <c r="I153" s="742"/>
      <c r="J153" s="742"/>
      <c r="K153" s="742"/>
      <c r="L153" s="742"/>
      <c r="M153" s="702"/>
      <c r="N153" s="702"/>
      <c r="O153" s="702"/>
      <c r="P153" s="702"/>
      <c r="Q153" s="702"/>
      <c r="R153" s="702"/>
    </row>
    <row r="154" customFormat="false" ht="12" hidden="false" customHeight="false" outlineLevel="0" collapsed="false">
      <c r="B154" s="702"/>
      <c r="C154" s="702"/>
      <c r="D154" s="702"/>
      <c r="E154" s="702"/>
      <c r="F154" s="702"/>
      <c r="G154" s="702"/>
      <c r="H154" s="702"/>
      <c r="I154" s="742"/>
      <c r="J154" s="742"/>
      <c r="K154" s="742"/>
      <c r="L154" s="742"/>
      <c r="M154" s="702"/>
      <c r="N154" s="702"/>
      <c r="O154" s="702"/>
      <c r="P154" s="702"/>
      <c r="Q154" s="702"/>
      <c r="R154" s="702"/>
    </row>
    <row r="155" customFormat="false" ht="12" hidden="false" customHeight="false" outlineLevel="0" collapsed="false">
      <c r="B155" s="702"/>
      <c r="C155" s="702"/>
      <c r="D155" s="702"/>
      <c r="E155" s="702"/>
      <c r="F155" s="702"/>
      <c r="G155" s="702"/>
      <c r="H155" s="702"/>
      <c r="I155" s="742"/>
      <c r="J155" s="742"/>
      <c r="K155" s="742"/>
      <c r="L155" s="742"/>
      <c r="M155" s="702"/>
      <c r="N155" s="702"/>
      <c r="O155" s="702"/>
      <c r="P155" s="702"/>
      <c r="Q155" s="702"/>
      <c r="R155" s="702"/>
    </row>
    <row r="156" customFormat="false" ht="12" hidden="false" customHeight="false" outlineLevel="0" collapsed="false">
      <c r="B156" s="702"/>
      <c r="C156" s="702"/>
      <c r="D156" s="702"/>
      <c r="E156" s="702"/>
      <c r="F156" s="702"/>
      <c r="G156" s="702"/>
      <c r="H156" s="702"/>
      <c r="I156" s="742"/>
      <c r="J156" s="742"/>
      <c r="K156" s="742"/>
      <c r="L156" s="742"/>
      <c r="M156" s="702"/>
      <c r="N156" s="702"/>
      <c r="O156" s="702"/>
      <c r="P156" s="702"/>
      <c r="Q156" s="702"/>
      <c r="R156" s="702"/>
    </row>
    <row r="157" customFormat="false" ht="12" hidden="false" customHeight="false" outlineLevel="0" collapsed="false">
      <c r="B157" s="702"/>
      <c r="C157" s="702"/>
      <c r="D157" s="702"/>
      <c r="E157" s="702"/>
      <c r="F157" s="702"/>
      <c r="G157" s="702"/>
      <c r="H157" s="702"/>
      <c r="I157" s="742"/>
      <c r="J157" s="742"/>
      <c r="K157" s="742"/>
      <c r="L157" s="742"/>
      <c r="M157" s="702"/>
      <c r="N157" s="702"/>
      <c r="O157" s="702"/>
      <c r="P157" s="702"/>
      <c r="Q157" s="702"/>
      <c r="R157" s="702"/>
    </row>
    <row r="158" customFormat="false" ht="12" hidden="false" customHeight="false" outlineLevel="0" collapsed="false">
      <c r="B158" s="702"/>
      <c r="C158" s="702"/>
      <c r="D158" s="702"/>
      <c r="E158" s="702"/>
      <c r="F158" s="702"/>
      <c r="G158" s="702"/>
      <c r="H158" s="702"/>
      <c r="I158" s="742"/>
      <c r="J158" s="742"/>
      <c r="K158" s="742"/>
      <c r="L158" s="742"/>
      <c r="M158" s="702"/>
      <c r="N158" s="702"/>
      <c r="O158" s="702"/>
      <c r="P158" s="702"/>
      <c r="Q158" s="702"/>
      <c r="R158" s="702"/>
    </row>
    <row r="159" customFormat="false" ht="12" hidden="false" customHeight="false" outlineLevel="0" collapsed="false">
      <c r="B159" s="702"/>
      <c r="C159" s="702"/>
      <c r="D159" s="702"/>
      <c r="E159" s="702"/>
      <c r="F159" s="702"/>
      <c r="G159" s="702"/>
      <c r="H159" s="702"/>
      <c r="I159" s="742"/>
      <c r="J159" s="742"/>
      <c r="K159" s="742"/>
      <c r="L159" s="742"/>
      <c r="M159" s="702"/>
      <c r="N159" s="702"/>
      <c r="O159" s="702"/>
      <c r="P159" s="702"/>
      <c r="Q159" s="702"/>
      <c r="R159" s="702"/>
    </row>
    <row r="160" customFormat="false" ht="12" hidden="false" customHeight="false" outlineLevel="0" collapsed="false">
      <c r="B160" s="702"/>
      <c r="C160" s="702"/>
      <c r="D160" s="702"/>
      <c r="E160" s="702"/>
      <c r="F160" s="702"/>
      <c r="G160" s="702"/>
      <c r="H160" s="702"/>
      <c r="I160" s="742"/>
      <c r="J160" s="742"/>
      <c r="K160" s="742"/>
      <c r="L160" s="742"/>
      <c r="M160" s="702"/>
      <c r="N160" s="702"/>
      <c r="O160" s="702"/>
      <c r="P160" s="702"/>
      <c r="Q160" s="702"/>
      <c r="R160" s="702"/>
    </row>
    <row r="161" customFormat="false" ht="12" hidden="false" customHeight="false" outlineLevel="0" collapsed="false">
      <c r="B161" s="702"/>
      <c r="C161" s="702"/>
      <c r="D161" s="702"/>
      <c r="E161" s="702"/>
      <c r="F161" s="702"/>
      <c r="G161" s="702"/>
      <c r="H161" s="702"/>
      <c r="I161" s="742"/>
      <c r="J161" s="742"/>
      <c r="K161" s="742"/>
      <c r="L161" s="742"/>
      <c r="M161" s="702"/>
      <c r="N161" s="702"/>
      <c r="O161" s="702"/>
      <c r="P161" s="702"/>
      <c r="Q161" s="702"/>
      <c r="R161" s="702"/>
    </row>
    <row r="162" customFormat="false" ht="12" hidden="false" customHeight="false" outlineLevel="0" collapsed="false">
      <c r="B162" s="702"/>
      <c r="C162" s="702"/>
      <c r="D162" s="702"/>
      <c r="E162" s="702"/>
      <c r="F162" s="702"/>
      <c r="G162" s="702"/>
      <c r="H162" s="702"/>
      <c r="I162" s="742"/>
      <c r="J162" s="742"/>
      <c r="K162" s="742"/>
      <c r="L162" s="742"/>
      <c r="M162" s="702"/>
      <c r="N162" s="702"/>
      <c r="O162" s="702"/>
      <c r="P162" s="702"/>
      <c r="Q162" s="702"/>
      <c r="R162" s="702"/>
    </row>
    <row r="163" customFormat="false" ht="12" hidden="false" customHeight="false" outlineLevel="0" collapsed="false">
      <c r="B163" s="702"/>
      <c r="C163" s="702"/>
      <c r="D163" s="702"/>
      <c r="E163" s="702"/>
      <c r="F163" s="702"/>
      <c r="G163" s="702"/>
      <c r="H163" s="702"/>
      <c r="I163" s="742"/>
      <c r="J163" s="742"/>
      <c r="K163" s="742"/>
      <c r="L163" s="742"/>
      <c r="M163" s="702"/>
      <c r="N163" s="702"/>
      <c r="O163" s="702"/>
      <c r="P163" s="702"/>
      <c r="Q163" s="702"/>
      <c r="R163" s="702"/>
    </row>
    <row r="164" customFormat="false" ht="12" hidden="false" customHeight="false" outlineLevel="0" collapsed="false">
      <c r="B164" s="702"/>
      <c r="C164" s="702"/>
      <c r="D164" s="702"/>
      <c r="E164" s="702"/>
      <c r="F164" s="702"/>
      <c r="G164" s="702"/>
      <c r="H164" s="702"/>
      <c r="I164" s="742"/>
      <c r="J164" s="742"/>
      <c r="K164" s="742"/>
      <c r="L164" s="742"/>
      <c r="M164" s="702"/>
      <c r="N164" s="702"/>
      <c r="O164" s="702"/>
      <c r="P164" s="702"/>
      <c r="Q164" s="702"/>
      <c r="R164" s="702"/>
    </row>
    <row r="165" customFormat="false" ht="12" hidden="false" customHeight="false" outlineLevel="0" collapsed="false">
      <c r="B165" s="702"/>
      <c r="C165" s="702"/>
      <c r="D165" s="702"/>
      <c r="E165" s="702"/>
      <c r="F165" s="702"/>
      <c r="G165" s="702"/>
      <c r="H165" s="702"/>
      <c r="I165" s="742"/>
      <c r="J165" s="742"/>
      <c r="K165" s="742"/>
      <c r="L165" s="742"/>
      <c r="M165" s="702"/>
      <c r="N165" s="702"/>
      <c r="O165" s="702"/>
      <c r="P165" s="702"/>
      <c r="Q165" s="702"/>
      <c r="R165" s="702"/>
    </row>
    <row r="166" customFormat="false" ht="12" hidden="false" customHeight="false" outlineLevel="0" collapsed="false">
      <c r="B166" s="702"/>
      <c r="C166" s="702"/>
      <c r="D166" s="702"/>
      <c r="E166" s="702"/>
      <c r="F166" s="702"/>
      <c r="G166" s="702"/>
      <c r="H166" s="702"/>
      <c r="I166" s="742"/>
      <c r="J166" s="742"/>
      <c r="K166" s="742"/>
      <c r="L166" s="742"/>
      <c r="M166" s="702"/>
      <c r="N166" s="702"/>
      <c r="O166" s="702"/>
      <c r="P166" s="702"/>
      <c r="Q166" s="702"/>
      <c r="R166" s="702"/>
    </row>
    <row r="167" customFormat="false" ht="12" hidden="false" customHeight="false" outlineLevel="0" collapsed="false">
      <c r="B167" s="702"/>
      <c r="C167" s="702"/>
      <c r="D167" s="702"/>
      <c r="E167" s="702"/>
      <c r="F167" s="702"/>
      <c r="G167" s="702"/>
      <c r="H167" s="702"/>
      <c r="I167" s="742"/>
      <c r="J167" s="742"/>
      <c r="K167" s="742"/>
      <c r="L167" s="742"/>
      <c r="M167" s="702"/>
      <c r="N167" s="702"/>
      <c r="O167" s="702"/>
      <c r="P167" s="702"/>
      <c r="Q167" s="702"/>
      <c r="R167" s="702"/>
    </row>
    <row r="168" customFormat="false" ht="12" hidden="false" customHeight="false" outlineLevel="0" collapsed="false">
      <c r="B168" s="702"/>
      <c r="C168" s="702"/>
      <c r="D168" s="702"/>
      <c r="E168" s="702"/>
      <c r="F168" s="702"/>
      <c r="G168" s="702"/>
      <c r="H168" s="702"/>
      <c r="I168" s="742"/>
      <c r="J168" s="742"/>
      <c r="K168" s="742"/>
      <c r="L168" s="742"/>
      <c r="M168" s="702"/>
      <c r="N168" s="702"/>
      <c r="O168" s="702"/>
      <c r="P168" s="702"/>
      <c r="Q168" s="702"/>
      <c r="R168" s="702"/>
    </row>
    <row r="169" customFormat="false" ht="12" hidden="false" customHeight="false" outlineLevel="0" collapsed="false">
      <c r="B169" s="702"/>
      <c r="C169" s="702"/>
      <c r="D169" s="702"/>
      <c r="E169" s="702"/>
      <c r="F169" s="702"/>
      <c r="G169" s="702"/>
      <c r="H169" s="702"/>
      <c r="I169" s="742"/>
      <c r="J169" s="742"/>
      <c r="K169" s="742"/>
      <c r="L169" s="742"/>
      <c r="M169" s="702"/>
      <c r="N169" s="702"/>
      <c r="O169" s="702"/>
      <c r="P169" s="702"/>
      <c r="Q169" s="702"/>
      <c r="R169" s="702"/>
    </row>
    <row r="170" customFormat="false" ht="12" hidden="false" customHeight="false" outlineLevel="0" collapsed="false">
      <c r="B170" s="702"/>
      <c r="C170" s="702"/>
      <c r="D170" s="702"/>
      <c r="E170" s="702"/>
      <c r="F170" s="702"/>
      <c r="G170" s="702"/>
      <c r="H170" s="702"/>
      <c r="I170" s="742"/>
      <c r="J170" s="742"/>
      <c r="K170" s="742"/>
      <c r="L170" s="742"/>
      <c r="M170" s="702"/>
      <c r="N170" s="702"/>
      <c r="O170" s="702"/>
      <c r="P170" s="702"/>
      <c r="Q170" s="702"/>
      <c r="R170" s="702"/>
    </row>
    <row r="171" customFormat="false" ht="12" hidden="false" customHeight="false" outlineLevel="0" collapsed="false">
      <c r="B171" s="702"/>
      <c r="C171" s="702"/>
      <c r="D171" s="702"/>
      <c r="E171" s="702"/>
      <c r="F171" s="702"/>
      <c r="G171" s="702"/>
      <c r="H171" s="702"/>
      <c r="I171" s="742"/>
      <c r="J171" s="742"/>
      <c r="K171" s="742"/>
      <c r="L171" s="742"/>
      <c r="M171" s="702"/>
      <c r="N171" s="702"/>
      <c r="O171" s="702"/>
      <c r="P171" s="702"/>
      <c r="Q171" s="702"/>
      <c r="R171" s="702"/>
    </row>
    <row r="172" customFormat="false" ht="12" hidden="false" customHeight="false" outlineLevel="0" collapsed="false">
      <c r="B172" s="702"/>
      <c r="C172" s="702"/>
      <c r="D172" s="702"/>
      <c r="E172" s="702"/>
      <c r="F172" s="702"/>
      <c r="G172" s="702"/>
      <c r="H172" s="702"/>
      <c r="I172" s="742"/>
      <c r="J172" s="742"/>
      <c r="K172" s="742"/>
      <c r="L172" s="742"/>
      <c r="M172" s="702"/>
      <c r="N172" s="702"/>
      <c r="O172" s="702"/>
      <c r="P172" s="702"/>
      <c r="Q172" s="702"/>
      <c r="R172" s="702"/>
    </row>
    <row r="173" customFormat="false" ht="12" hidden="false" customHeight="false" outlineLevel="0" collapsed="false">
      <c r="B173" s="702"/>
      <c r="C173" s="702"/>
      <c r="D173" s="702"/>
      <c r="E173" s="702"/>
      <c r="F173" s="702"/>
      <c r="G173" s="702"/>
      <c r="H173" s="702"/>
      <c r="I173" s="742"/>
      <c r="J173" s="742"/>
      <c r="K173" s="742"/>
      <c r="L173" s="742"/>
      <c r="M173" s="702"/>
      <c r="N173" s="702"/>
      <c r="O173" s="702"/>
      <c r="P173" s="702"/>
      <c r="Q173" s="702"/>
      <c r="R173" s="702"/>
    </row>
    <row r="174" customFormat="false" ht="12" hidden="false" customHeight="false" outlineLevel="0" collapsed="false">
      <c r="B174" s="702"/>
      <c r="C174" s="702"/>
      <c r="D174" s="702"/>
      <c r="E174" s="702"/>
      <c r="F174" s="702"/>
      <c r="G174" s="702"/>
      <c r="H174" s="702"/>
      <c r="I174" s="742"/>
      <c r="J174" s="742"/>
      <c r="K174" s="742"/>
      <c r="L174" s="742"/>
      <c r="M174" s="702"/>
      <c r="N174" s="702"/>
      <c r="O174" s="702"/>
      <c r="P174" s="702"/>
      <c r="Q174" s="702"/>
      <c r="R174" s="702"/>
    </row>
    <row r="175" customFormat="false" ht="12" hidden="false" customHeight="false" outlineLevel="0" collapsed="false">
      <c r="B175" s="702"/>
      <c r="C175" s="702"/>
      <c r="D175" s="702"/>
      <c r="E175" s="702"/>
      <c r="F175" s="702"/>
      <c r="G175" s="702"/>
      <c r="H175" s="702"/>
      <c r="I175" s="742"/>
      <c r="J175" s="742"/>
      <c r="K175" s="742"/>
      <c r="L175" s="742"/>
      <c r="M175" s="702"/>
      <c r="N175" s="702"/>
      <c r="O175" s="702"/>
      <c r="P175" s="702"/>
      <c r="Q175" s="702"/>
      <c r="R175" s="702"/>
    </row>
    <row r="176" customFormat="false" ht="12" hidden="false" customHeight="false" outlineLevel="0" collapsed="false">
      <c r="B176" s="702"/>
      <c r="C176" s="702"/>
      <c r="D176" s="702"/>
      <c r="E176" s="702"/>
      <c r="F176" s="702"/>
      <c r="G176" s="702"/>
      <c r="H176" s="702"/>
      <c r="I176" s="742"/>
      <c r="J176" s="742"/>
      <c r="K176" s="742"/>
      <c r="L176" s="742"/>
      <c r="M176" s="702"/>
      <c r="N176" s="702"/>
      <c r="O176" s="702"/>
      <c r="P176" s="702"/>
      <c r="Q176" s="702"/>
      <c r="R176" s="702"/>
    </row>
    <row r="177" customFormat="false" ht="12" hidden="false" customHeight="false" outlineLevel="0" collapsed="false">
      <c r="B177" s="702"/>
      <c r="C177" s="702"/>
      <c r="D177" s="702"/>
      <c r="E177" s="702"/>
      <c r="F177" s="702"/>
      <c r="G177" s="702"/>
      <c r="H177" s="702"/>
      <c r="I177" s="742"/>
      <c r="J177" s="742"/>
      <c r="K177" s="742"/>
      <c r="L177" s="742"/>
      <c r="M177" s="702"/>
      <c r="N177" s="702"/>
      <c r="O177" s="702"/>
      <c r="P177" s="702"/>
      <c r="Q177" s="702"/>
      <c r="R177" s="702"/>
    </row>
    <row r="178" customFormat="false" ht="12" hidden="false" customHeight="false" outlineLevel="0" collapsed="false">
      <c r="B178" s="702"/>
      <c r="C178" s="702"/>
      <c r="D178" s="702"/>
      <c r="E178" s="702"/>
      <c r="F178" s="702"/>
      <c r="G178" s="702"/>
      <c r="H178" s="702"/>
      <c r="I178" s="742"/>
      <c r="J178" s="742"/>
      <c r="K178" s="742"/>
      <c r="L178" s="742"/>
      <c r="M178" s="702"/>
      <c r="N178" s="702"/>
      <c r="O178" s="702"/>
      <c r="P178" s="702"/>
      <c r="Q178" s="702"/>
      <c r="R178" s="702"/>
    </row>
    <row r="179" customFormat="false" ht="12" hidden="false" customHeight="false" outlineLevel="0" collapsed="false">
      <c r="B179" s="702"/>
      <c r="C179" s="702"/>
      <c r="D179" s="702"/>
      <c r="E179" s="702"/>
      <c r="F179" s="702"/>
      <c r="G179" s="702"/>
      <c r="H179" s="702"/>
      <c r="I179" s="742"/>
      <c r="J179" s="742"/>
      <c r="K179" s="742"/>
      <c r="L179" s="742"/>
      <c r="M179" s="702"/>
      <c r="N179" s="702"/>
      <c r="O179" s="702"/>
      <c r="P179" s="702"/>
      <c r="Q179" s="702"/>
      <c r="R179" s="702"/>
    </row>
    <row r="180" customFormat="false" ht="12" hidden="false" customHeight="false" outlineLevel="0" collapsed="false">
      <c r="B180" s="702"/>
      <c r="C180" s="702"/>
      <c r="D180" s="702"/>
      <c r="E180" s="702"/>
      <c r="F180" s="702"/>
      <c r="G180" s="702"/>
      <c r="H180" s="702"/>
      <c r="I180" s="742"/>
      <c r="J180" s="742"/>
      <c r="K180" s="742"/>
      <c r="L180" s="742"/>
      <c r="M180" s="702"/>
      <c r="N180" s="702"/>
      <c r="O180" s="702"/>
      <c r="P180" s="702"/>
      <c r="Q180" s="702"/>
      <c r="R180" s="702"/>
    </row>
    <row r="181" customFormat="false" ht="12" hidden="false" customHeight="false" outlineLevel="0" collapsed="false">
      <c r="B181" s="702"/>
      <c r="C181" s="702"/>
      <c r="D181" s="702"/>
      <c r="E181" s="702"/>
      <c r="F181" s="702"/>
      <c r="G181" s="702"/>
      <c r="H181" s="702"/>
      <c r="I181" s="742"/>
      <c r="J181" s="742"/>
      <c r="K181" s="742"/>
      <c r="L181" s="742"/>
      <c r="M181" s="702"/>
      <c r="N181" s="702"/>
      <c r="O181" s="702"/>
      <c r="P181" s="702"/>
      <c r="Q181" s="702"/>
      <c r="R181" s="702"/>
    </row>
    <row r="182" customFormat="false" ht="12" hidden="false" customHeight="false" outlineLevel="0" collapsed="false">
      <c r="B182" s="702"/>
      <c r="C182" s="702"/>
      <c r="D182" s="702"/>
      <c r="E182" s="702"/>
      <c r="F182" s="702"/>
      <c r="G182" s="702"/>
      <c r="H182" s="702"/>
      <c r="I182" s="742"/>
      <c r="J182" s="742"/>
      <c r="K182" s="742"/>
      <c r="L182" s="742"/>
      <c r="M182" s="702"/>
      <c r="N182" s="702"/>
      <c r="O182" s="702"/>
      <c r="P182" s="702"/>
      <c r="Q182" s="702"/>
      <c r="R182" s="702"/>
    </row>
    <row r="183" customFormat="false" ht="12" hidden="false" customHeight="false" outlineLevel="0" collapsed="false">
      <c r="B183" s="702"/>
      <c r="C183" s="702"/>
      <c r="D183" s="702"/>
      <c r="E183" s="702"/>
      <c r="F183" s="702"/>
      <c r="G183" s="702"/>
      <c r="H183" s="702"/>
      <c r="I183" s="742"/>
      <c r="J183" s="742"/>
      <c r="K183" s="742"/>
      <c r="L183" s="742"/>
      <c r="M183" s="702"/>
      <c r="N183" s="702"/>
      <c r="O183" s="702"/>
      <c r="P183" s="702"/>
      <c r="Q183" s="702"/>
      <c r="R183" s="702"/>
    </row>
    <row r="184" customFormat="false" ht="12" hidden="false" customHeight="false" outlineLevel="0" collapsed="false">
      <c r="B184" s="702"/>
      <c r="C184" s="702"/>
      <c r="D184" s="702"/>
      <c r="E184" s="702"/>
      <c r="F184" s="702"/>
      <c r="G184" s="702"/>
      <c r="H184" s="702"/>
      <c r="I184" s="742"/>
      <c r="J184" s="742"/>
      <c r="K184" s="742"/>
      <c r="L184" s="742"/>
      <c r="M184" s="702"/>
      <c r="N184" s="702"/>
      <c r="O184" s="702"/>
      <c r="P184" s="702"/>
      <c r="Q184" s="702"/>
      <c r="R184" s="702"/>
    </row>
    <row r="185" customFormat="false" ht="12" hidden="false" customHeight="false" outlineLevel="0" collapsed="false">
      <c r="B185" s="702"/>
      <c r="C185" s="702"/>
      <c r="D185" s="702"/>
      <c r="E185" s="702"/>
      <c r="F185" s="702"/>
      <c r="G185" s="702"/>
      <c r="H185" s="702"/>
      <c r="I185" s="742"/>
      <c r="J185" s="742"/>
      <c r="K185" s="742"/>
      <c r="L185" s="742"/>
      <c r="M185" s="702"/>
      <c r="N185" s="702"/>
      <c r="O185" s="702"/>
      <c r="P185" s="702"/>
      <c r="Q185" s="702"/>
      <c r="R185" s="702"/>
    </row>
    <row r="186" customFormat="false" ht="12" hidden="false" customHeight="false" outlineLevel="0" collapsed="false">
      <c r="B186" s="702"/>
      <c r="C186" s="702"/>
      <c r="D186" s="702"/>
      <c r="E186" s="702"/>
      <c r="F186" s="702"/>
      <c r="G186" s="702"/>
      <c r="H186" s="702"/>
      <c r="I186" s="742"/>
      <c r="J186" s="742"/>
      <c r="K186" s="742"/>
      <c r="L186" s="742"/>
      <c r="M186" s="702"/>
      <c r="N186" s="702"/>
      <c r="O186" s="702"/>
      <c r="P186" s="702"/>
      <c r="Q186" s="702"/>
      <c r="R186" s="702"/>
    </row>
    <row r="187" customFormat="false" ht="12" hidden="false" customHeight="false" outlineLevel="0" collapsed="false">
      <c r="B187" s="702"/>
      <c r="C187" s="702"/>
      <c r="D187" s="702"/>
      <c r="E187" s="702"/>
      <c r="F187" s="702"/>
      <c r="G187" s="702"/>
      <c r="H187" s="702"/>
      <c r="I187" s="742"/>
      <c r="J187" s="742"/>
      <c r="K187" s="742"/>
      <c r="L187" s="742"/>
      <c r="M187" s="702"/>
      <c r="N187" s="702"/>
      <c r="O187" s="702"/>
      <c r="P187" s="702"/>
      <c r="Q187" s="702"/>
      <c r="R187" s="702"/>
    </row>
    <row r="188" customFormat="false" ht="12" hidden="false" customHeight="false" outlineLevel="0" collapsed="false">
      <c r="B188" s="702"/>
      <c r="C188" s="702"/>
      <c r="D188" s="702"/>
      <c r="E188" s="702"/>
      <c r="F188" s="702"/>
      <c r="G188" s="702"/>
      <c r="H188" s="702"/>
      <c r="I188" s="742"/>
      <c r="J188" s="742"/>
      <c r="K188" s="742"/>
      <c r="L188" s="742"/>
      <c r="M188" s="702"/>
      <c r="N188" s="702"/>
      <c r="O188" s="702"/>
      <c r="P188" s="702"/>
      <c r="Q188" s="702"/>
      <c r="R188" s="702"/>
    </row>
    <row r="189" customFormat="false" ht="12" hidden="false" customHeight="false" outlineLevel="0" collapsed="false">
      <c r="B189" s="702"/>
      <c r="C189" s="702"/>
      <c r="D189" s="702"/>
      <c r="E189" s="702"/>
      <c r="F189" s="702"/>
      <c r="G189" s="702"/>
      <c r="H189" s="702"/>
      <c r="I189" s="742"/>
      <c r="J189" s="742"/>
      <c r="K189" s="742"/>
      <c r="L189" s="742"/>
      <c r="M189" s="702"/>
      <c r="N189" s="702"/>
      <c r="O189" s="702"/>
      <c r="P189" s="702"/>
      <c r="Q189" s="702"/>
      <c r="R189" s="702"/>
    </row>
    <row r="190" customFormat="false" ht="12" hidden="false" customHeight="false" outlineLevel="0" collapsed="false">
      <c r="B190" s="702"/>
      <c r="C190" s="702"/>
      <c r="D190" s="702"/>
      <c r="E190" s="702"/>
      <c r="F190" s="702"/>
      <c r="G190" s="702"/>
      <c r="H190" s="702"/>
      <c r="I190" s="742"/>
      <c r="J190" s="742"/>
      <c r="K190" s="742"/>
      <c r="L190" s="742"/>
      <c r="M190" s="702"/>
      <c r="N190" s="702"/>
      <c r="O190" s="702"/>
      <c r="P190" s="702"/>
      <c r="Q190" s="702"/>
      <c r="R190" s="702"/>
    </row>
    <row r="191" customFormat="false" ht="12" hidden="false" customHeight="false" outlineLevel="0" collapsed="false">
      <c r="B191" s="702"/>
      <c r="C191" s="702"/>
      <c r="D191" s="702"/>
      <c r="E191" s="702"/>
      <c r="F191" s="702"/>
      <c r="G191" s="702"/>
      <c r="H191" s="702"/>
      <c r="I191" s="742"/>
      <c r="J191" s="742"/>
      <c r="K191" s="742"/>
      <c r="L191" s="742"/>
      <c r="M191" s="702"/>
      <c r="N191" s="702"/>
      <c r="O191" s="702"/>
      <c r="P191" s="702"/>
      <c r="Q191" s="702"/>
      <c r="R191" s="702"/>
    </row>
    <row r="192" customFormat="false" ht="12" hidden="false" customHeight="false" outlineLevel="0" collapsed="false">
      <c r="B192" s="702"/>
      <c r="C192" s="702"/>
      <c r="D192" s="702"/>
      <c r="E192" s="702"/>
      <c r="F192" s="702"/>
      <c r="G192" s="702"/>
      <c r="H192" s="702"/>
      <c r="I192" s="742"/>
      <c r="J192" s="742"/>
      <c r="K192" s="742"/>
      <c r="L192" s="742"/>
      <c r="M192" s="702"/>
      <c r="N192" s="702"/>
      <c r="O192" s="702"/>
      <c r="P192" s="702"/>
      <c r="Q192" s="702"/>
      <c r="R192" s="702"/>
    </row>
    <row r="193" customFormat="false" ht="12" hidden="false" customHeight="false" outlineLevel="0" collapsed="false">
      <c r="B193" s="702"/>
      <c r="C193" s="702"/>
      <c r="D193" s="702"/>
      <c r="E193" s="702"/>
      <c r="F193" s="702"/>
      <c r="G193" s="702"/>
      <c r="H193" s="702"/>
      <c r="I193" s="742"/>
      <c r="J193" s="742"/>
      <c r="K193" s="742"/>
      <c r="L193" s="742"/>
      <c r="M193" s="702"/>
      <c r="N193" s="702"/>
      <c r="O193" s="702"/>
      <c r="P193" s="702"/>
      <c r="Q193" s="702"/>
      <c r="R193" s="702"/>
    </row>
    <row r="194" customFormat="false" ht="12" hidden="false" customHeight="false" outlineLevel="0" collapsed="false">
      <c r="B194" s="702"/>
      <c r="C194" s="702"/>
      <c r="D194" s="702"/>
      <c r="E194" s="702"/>
      <c r="F194" s="702"/>
      <c r="G194" s="702"/>
      <c r="H194" s="702"/>
      <c r="I194" s="742"/>
      <c r="J194" s="742"/>
      <c r="K194" s="742"/>
      <c r="L194" s="742"/>
      <c r="M194" s="702"/>
      <c r="N194" s="702"/>
      <c r="O194" s="702"/>
      <c r="P194" s="702"/>
      <c r="Q194" s="702"/>
      <c r="R194" s="702"/>
    </row>
    <row r="195" customFormat="false" ht="12" hidden="false" customHeight="false" outlineLevel="0" collapsed="false">
      <c r="B195" s="702"/>
      <c r="C195" s="702"/>
      <c r="D195" s="702"/>
      <c r="E195" s="702"/>
      <c r="F195" s="702"/>
      <c r="G195" s="702"/>
      <c r="H195" s="702"/>
      <c r="I195" s="742"/>
      <c r="J195" s="742"/>
      <c r="K195" s="742"/>
      <c r="L195" s="742"/>
      <c r="M195" s="702"/>
      <c r="N195" s="702"/>
      <c r="O195" s="702"/>
      <c r="P195" s="702"/>
      <c r="Q195" s="702"/>
      <c r="R195" s="702"/>
    </row>
    <row r="196" customFormat="false" ht="12" hidden="false" customHeight="false" outlineLevel="0" collapsed="false">
      <c r="B196" s="702"/>
      <c r="C196" s="702"/>
      <c r="D196" s="702"/>
      <c r="E196" s="702"/>
      <c r="F196" s="702"/>
      <c r="G196" s="702"/>
      <c r="H196" s="702"/>
      <c r="I196" s="742"/>
      <c r="J196" s="742"/>
      <c r="K196" s="742"/>
      <c r="L196" s="742"/>
      <c r="M196" s="702"/>
      <c r="N196" s="702"/>
      <c r="O196" s="702"/>
      <c r="P196" s="702"/>
      <c r="Q196" s="702"/>
      <c r="R196" s="702"/>
    </row>
    <row r="197" customFormat="false" ht="12" hidden="false" customHeight="false" outlineLevel="0" collapsed="false">
      <c r="B197" s="702"/>
      <c r="C197" s="702"/>
      <c r="D197" s="702"/>
      <c r="E197" s="702"/>
      <c r="F197" s="702"/>
      <c r="G197" s="702"/>
      <c r="H197" s="702"/>
      <c r="I197" s="742"/>
      <c r="J197" s="742"/>
      <c r="K197" s="742"/>
      <c r="L197" s="742"/>
      <c r="M197" s="702"/>
      <c r="N197" s="702"/>
      <c r="O197" s="702"/>
      <c r="P197" s="702"/>
      <c r="Q197" s="702"/>
      <c r="R197" s="702"/>
    </row>
    <row r="198" customFormat="false" ht="12" hidden="false" customHeight="false" outlineLevel="0" collapsed="false">
      <c r="B198" s="702"/>
      <c r="C198" s="702"/>
      <c r="D198" s="702"/>
      <c r="E198" s="702"/>
      <c r="F198" s="702"/>
      <c r="G198" s="702"/>
      <c r="H198" s="702"/>
      <c r="I198" s="742"/>
      <c r="J198" s="742"/>
      <c r="K198" s="742"/>
      <c r="L198" s="742"/>
      <c r="M198" s="702"/>
      <c r="N198" s="702"/>
      <c r="O198" s="702"/>
      <c r="P198" s="702"/>
      <c r="Q198" s="702"/>
      <c r="R198" s="702"/>
    </row>
    <row r="199" customFormat="false" ht="12" hidden="false" customHeight="false" outlineLevel="0" collapsed="false">
      <c r="B199" s="702"/>
      <c r="C199" s="702"/>
      <c r="D199" s="702"/>
      <c r="E199" s="702"/>
      <c r="F199" s="702"/>
      <c r="G199" s="702"/>
      <c r="H199" s="702"/>
      <c r="I199" s="742"/>
      <c r="J199" s="742"/>
      <c r="K199" s="742"/>
      <c r="L199" s="742"/>
      <c r="M199" s="702"/>
      <c r="N199" s="702"/>
      <c r="O199" s="702"/>
      <c r="P199" s="702"/>
      <c r="Q199" s="702"/>
      <c r="R199" s="702"/>
    </row>
    <row r="200" customFormat="false" ht="12" hidden="false" customHeight="false" outlineLevel="0" collapsed="false">
      <c r="B200" s="702"/>
      <c r="C200" s="702"/>
      <c r="D200" s="702"/>
      <c r="E200" s="702"/>
      <c r="F200" s="702"/>
      <c r="G200" s="702"/>
      <c r="H200" s="702"/>
      <c r="I200" s="742"/>
      <c r="J200" s="742"/>
      <c r="K200" s="742"/>
      <c r="L200" s="742"/>
      <c r="M200" s="702"/>
      <c r="N200" s="702"/>
      <c r="O200" s="702"/>
      <c r="P200" s="702"/>
      <c r="Q200" s="702"/>
      <c r="R200" s="702"/>
    </row>
    <row r="201" customFormat="false" ht="12" hidden="false" customHeight="false" outlineLevel="0" collapsed="false">
      <c r="B201" s="702"/>
      <c r="C201" s="702"/>
      <c r="D201" s="702"/>
      <c r="E201" s="702"/>
      <c r="F201" s="702"/>
      <c r="G201" s="702"/>
      <c r="H201" s="702"/>
      <c r="I201" s="742"/>
      <c r="J201" s="742"/>
      <c r="K201" s="742"/>
      <c r="L201" s="742"/>
      <c r="M201" s="702"/>
      <c r="N201" s="702"/>
      <c r="O201" s="702"/>
      <c r="P201" s="702"/>
      <c r="Q201" s="702"/>
      <c r="R201" s="702"/>
    </row>
    <row r="202" customFormat="false" ht="12" hidden="false" customHeight="false" outlineLevel="0" collapsed="false">
      <c r="B202" s="702"/>
      <c r="C202" s="702"/>
      <c r="D202" s="702"/>
      <c r="E202" s="702"/>
      <c r="F202" s="702"/>
      <c r="G202" s="702"/>
      <c r="H202" s="702"/>
      <c r="I202" s="742"/>
      <c r="J202" s="742"/>
      <c r="K202" s="742"/>
      <c r="L202" s="742"/>
      <c r="M202" s="702"/>
      <c r="N202" s="702"/>
      <c r="O202" s="702"/>
      <c r="P202" s="702"/>
      <c r="Q202" s="702"/>
      <c r="R202" s="702"/>
    </row>
    <row r="203" customFormat="false" ht="12" hidden="false" customHeight="false" outlineLevel="0" collapsed="false">
      <c r="B203" s="702"/>
      <c r="C203" s="702"/>
      <c r="D203" s="702"/>
      <c r="E203" s="702"/>
      <c r="F203" s="702"/>
      <c r="G203" s="702"/>
      <c r="H203" s="702"/>
      <c r="I203" s="742"/>
      <c r="J203" s="742"/>
      <c r="K203" s="742"/>
      <c r="L203" s="742"/>
      <c r="M203" s="702"/>
      <c r="N203" s="702"/>
      <c r="O203" s="702"/>
      <c r="P203" s="702"/>
      <c r="Q203" s="702"/>
      <c r="R203" s="702"/>
    </row>
    <row r="204" customFormat="false" ht="12" hidden="false" customHeight="false" outlineLevel="0" collapsed="false">
      <c r="B204" s="702"/>
      <c r="C204" s="702"/>
      <c r="D204" s="702"/>
      <c r="E204" s="702"/>
      <c r="F204" s="702"/>
      <c r="G204" s="702"/>
      <c r="H204" s="702"/>
      <c r="I204" s="742"/>
      <c r="J204" s="742"/>
      <c r="K204" s="742"/>
      <c r="L204" s="742"/>
      <c r="M204" s="702"/>
      <c r="N204" s="702"/>
      <c r="O204" s="702"/>
      <c r="P204" s="702"/>
      <c r="Q204" s="702"/>
      <c r="R204" s="702"/>
    </row>
  </sheetData>
  <mergeCells count="9">
    <mergeCell ref="A3:M3"/>
    <mergeCell ref="B6:M6"/>
    <mergeCell ref="B7:B8"/>
    <mergeCell ref="C7:C8"/>
    <mergeCell ref="D7:D8"/>
    <mergeCell ref="E7:E8"/>
    <mergeCell ref="F7:F8"/>
    <mergeCell ref="G7:H7"/>
    <mergeCell ref="I7:M7"/>
  </mergeCells>
  <hyperlinks>
    <hyperlink ref="B1" location="Index!A1" display="Back to index"/>
  </hyperlinks>
  <printOptions headings="false" gridLines="false" gridLinesSet="true" horizontalCentered="true" verticalCentered="true"/>
  <pageMargins left="0.790277777777778" right="0.790277777777778" top="0.979861111111111" bottom="0.97986111111111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C0C0"/>
    <pageSetUpPr fitToPage="true"/>
  </sheetPr>
  <dimension ref="A1:U2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3" activeCellId="0" sqref="A3"/>
    </sheetView>
  </sheetViews>
  <sheetFormatPr defaultColWidth="11.9921875" defaultRowHeight="12" zeroHeight="false" outlineLevelRow="0" outlineLevelCol="0"/>
  <cols>
    <col collapsed="false" customWidth="true" hidden="false" outlineLevel="0" max="1" min="1" style="666" width="15.15"/>
    <col collapsed="false" customWidth="false" hidden="false" outlineLevel="0" max="7" min="2" style="666" width="11.99"/>
    <col collapsed="false" customWidth="false" hidden="false" outlineLevel="0" max="12" min="8" style="704" width="11.99"/>
    <col collapsed="false" customWidth="true" hidden="false" outlineLevel="0" max="19" min="13" style="666" width="8.82"/>
    <col collapsed="false" customWidth="true" hidden="false" outlineLevel="0" max="20" min="20" style="289" width="12.99"/>
    <col collapsed="false" customWidth="false" hidden="false" outlineLevel="0" max="257" min="21" style="289" width="11.99"/>
  </cols>
  <sheetData>
    <row r="1" customFormat="false" ht="12" hidden="false" customHeight="false" outlineLevel="0" collapsed="false">
      <c r="A1" s="667"/>
      <c r="B1" s="21" t="s">
        <v>9</v>
      </c>
      <c r="C1" s="667"/>
      <c r="D1" s="667"/>
      <c r="E1" s="667"/>
      <c r="F1" s="667"/>
      <c r="G1" s="667"/>
      <c r="H1" s="705"/>
      <c r="I1" s="705"/>
      <c r="J1" s="705"/>
      <c r="K1" s="705"/>
      <c r="L1" s="705"/>
      <c r="N1" s="667"/>
      <c r="O1" s="667"/>
      <c r="P1" s="667"/>
      <c r="Q1" s="667"/>
      <c r="R1" s="667"/>
    </row>
    <row r="2" customFormat="false" ht="13" hidden="false" customHeight="false" outlineLevel="0" collapsed="false"/>
    <row r="3" customFormat="false" ht="19.75" hidden="false" customHeight="true" outlineLevel="0" collapsed="false">
      <c r="A3" s="292" t="s">
        <v>221</v>
      </c>
      <c r="B3" s="292"/>
      <c r="C3" s="292"/>
      <c r="D3" s="292"/>
      <c r="E3" s="292"/>
      <c r="F3" s="292"/>
      <c r="G3" s="292"/>
      <c r="H3" s="292"/>
      <c r="I3" s="292"/>
      <c r="J3" s="292"/>
      <c r="K3" s="292"/>
      <c r="L3" s="292"/>
      <c r="M3" s="707"/>
      <c r="N3" s="707"/>
      <c r="O3" s="707"/>
      <c r="P3" s="707"/>
      <c r="Q3" s="707"/>
      <c r="R3" s="707"/>
      <c r="S3" s="707"/>
    </row>
    <row r="4" customFormat="false" ht="12" hidden="false" customHeight="false" outlineLevel="0" collapsed="false">
      <c r="A4" s="293"/>
      <c r="B4" s="294"/>
      <c r="C4" s="294"/>
      <c r="D4" s="294"/>
      <c r="E4" s="294"/>
      <c r="F4" s="294"/>
      <c r="G4" s="294"/>
      <c r="H4" s="708"/>
      <c r="I4" s="708"/>
      <c r="J4" s="708"/>
      <c r="K4" s="708"/>
      <c r="L4" s="771"/>
      <c r="M4" s="294"/>
      <c r="N4" s="294"/>
      <c r="O4" s="294"/>
      <c r="P4" s="294"/>
      <c r="Q4" s="294"/>
      <c r="R4" s="294"/>
      <c r="S4" s="294"/>
    </row>
    <row r="5" customFormat="false" ht="12" hidden="false" customHeight="false" outlineLevel="0" collapsed="false">
      <c r="A5" s="293"/>
      <c r="B5" s="668" t="s">
        <v>11</v>
      </c>
      <c r="C5" s="709" t="s">
        <v>12</v>
      </c>
      <c r="D5" s="296" t="s">
        <v>13</v>
      </c>
      <c r="E5" s="296" t="s">
        <v>14</v>
      </c>
      <c r="F5" s="296" t="s">
        <v>15</v>
      </c>
      <c r="G5" s="296" t="s">
        <v>16</v>
      </c>
      <c r="H5" s="668" t="s">
        <v>17</v>
      </c>
      <c r="I5" s="668" t="s">
        <v>18</v>
      </c>
      <c r="J5" s="668" t="s">
        <v>19</v>
      </c>
      <c r="K5" s="668" t="s">
        <v>20</v>
      </c>
      <c r="L5" s="297" t="s">
        <v>21</v>
      </c>
      <c r="M5" s="294"/>
      <c r="N5" s="294"/>
      <c r="O5" s="684"/>
      <c r="P5" s="684"/>
      <c r="Q5" s="684"/>
      <c r="R5" s="684"/>
      <c r="S5" s="294"/>
    </row>
    <row r="6" customFormat="false" ht="18" hidden="false" customHeight="true" outlineLevel="0" collapsed="false">
      <c r="A6" s="293"/>
      <c r="B6" s="772"/>
      <c r="C6" s="772"/>
      <c r="D6" s="772"/>
      <c r="E6" s="772"/>
      <c r="F6" s="772"/>
      <c r="G6" s="772"/>
      <c r="H6" s="772"/>
      <c r="I6" s="772"/>
      <c r="J6" s="772"/>
      <c r="K6" s="772"/>
      <c r="L6" s="772"/>
      <c r="M6" s="294"/>
      <c r="N6" s="294"/>
      <c r="O6" s="294"/>
      <c r="P6" s="294"/>
      <c r="Q6" s="294"/>
      <c r="R6" s="294"/>
      <c r="S6" s="294"/>
    </row>
    <row r="7" customFormat="false" ht="49" hidden="false" customHeight="true" outlineLevel="0" collapsed="false">
      <c r="A7" s="315"/>
      <c r="B7" s="773" t="s">
        <v>222</v>
      </c>
      <c r="C7" s="774" t="s">
        <v>223</v>
      </c>
      <c r="D7" s="774" t="s">
        <v>224</v>
      </c>
      <c r="E7" s="775" t="s">
        <v>225</v>
      </c>
      <c r="F7" s="776" t="s">
        <v>226</v>
      </c>
      <c r="G7" s="776"/>
      <c r="H7" s="777" t="s">
        <v>227</v>
      </c>
      <c r="I7" s="777"/>
      <c r="J7" s="777"/>
      <c r="K7" s="777"/>
      <c r="L7" s="777"/>
    </row>
    <row r="8" customFormat="false" ht="62" hidden="false" customHeight="true" outlineLevel="0" collapsed="false">
      <c r="A8" s="712"/>
      <c r="B8" s="773"/>
      <c r="C8" s="774"/>
      <c r="D8" s="774"/>
      <c r="E8" s="775"/>
      <c r="F8" s="324" t="s">
        <v>180</v>
      </c>
      <c r="G8" s="325" t="s">
        <v>181</v>
      </c>
      <c r="H8" s="328" t="s">
        <v>182</v>
      </c>
      <c r="I8" s="327" t="s">
        <v>183</v>
      </c>
      <c r="J8" s="326" t="s">
        <v>228</v>
      </c>
      <c r="K8" s="326" t="s">
        <v>219</v>
      </c>
      <c r="L8" s="647" t="s">
        <v>185</v>
      </c>
      <c r="N8" s="749"/>
      <c r="O8" s="749"/>
      <c r="P8" s="749"/>
      <c r="Q8" s="749"/>
      <c r="R8" s="749"/>
      <c r="T8" s="290"/>
    </row>
    <row r="9" customFormat="false" ht="15" hidden="false" customHeight="true" outlineLevel="0" collapsed="false">
      <c r="A9" s="750" t="s">
        <v>72</v>
      </c>
      <c r="B9" s="751" t="n">
        <f aca="false">SUMPRODUCT(TableDE5c!$B10:$B149,TableDE12b!G10:G149)/SUM(TableDE5c!$B10:$B149)</f>
        <v>0.0142136615525276</v>
      </c>
      <c r="C9" s="752" t="n">
        <f aca="false">SUMPRODUCT(TableDE5c!$B10:$B149,TableDE12b!H10:H149)/SUM(TableDE5c!$B10:$B149)</f>
        <v>0.0256368416189101</v>
      </c>
      <c r="D9" s="752" t="n">
        <f aca="false">SUMPRODUCT(TableDE5c!$B10:$B149,TableDE12b!L10:L149)/SUM(TableDE5c!$B10:$B149)</f>
        <v>-0.0136466623402317</v>
      </c>
      <c r="E9" s="753" t="n">
        <f aca="false">SUMPRODUCT(TableDE5c!$B10:$B149,TableDE12b!K10:K149)/SUM(TableDE5c!$B10:$B149)</f>
        <v>0.00222348227384925</v>
      </c>
      <c r="F9" s="754" t="n">
        <f aca="false">TableDE6b!K10</f>
        <v>0</v>
      </c>
      <c r="G9" s="755" t="n">
        <f aca="false">TableDE6b!K150</f>
        <v>0.389877729420427</v>
      </c>
      <c r="H9" s="756" t="n">
        <f aca="false">F9/((1+TableDE3c!B8))^140</f>
        <v>0</v>
      </c>
      <c r="I9" s="754" t="n">
        <f aca="false">B9*(SUM(TableDE5c!$B10:$B149)/TableDE5c!$B150)</f>
        <v>0.589907721887305</v>
      </c>
      <c r="J9" s="754" t="n">
        <f aca="false">I9-K9</f>
        <v>0.497626830156774</v>
      </c>
      <c r="K9" s="754" t="n">
        <f aca="false">E9*(SUM(TableDE5c!$B10:$B149)/TableDE5c!$B150)</f>
        <v>0.0922808917305311</v>
      </c>
      <c r="L9" s="758" t="n">
        <f aca="false">G9-H9-I9</f>
        <v>-0.200029992466878</v>
      </c>
      <c r="O9" s="25"/>
      <c r="P9" s="25"/>
      <c r="Q9" s="25"/>
      <c r="R9" s="25"/>
      <c r="T9" s="684"/>
    </row>
    <row r="10" customFormat="false" ht="15" hidden="false" customHeight="true" outlineLevel="0" collapsed="false">
      <c r="A10" s="315"/>
      <c r="B10" s="648"/>
      <c r="C10" s="473"/>
      <c r="D10" s="473"/>
      <c r="E10" s="317"/>
      <c r="F10" s="640"/>
      <c r="G10" s="721"/>
      <c r="H10" s="641"/>
      <c r="I10" s="722"/>
      <c r="J10" s="722"/>
      <c r="K10" s="722"/>
      <c r="L10" s="760"/>
      <c r="T10" s="684"/>
    </row>
    <row r="11" customFormat="false" ht="4.75" hidden="false" customHeight="true" outlineLevel="0" collapsed="false">
      <c r="A11" s="299"/>
      <c r="B11" s="328"/>
      <c r="C11" s="327"/>
      <c r="D11" s="327"/>
      <c r="E11" s="325"/>
      <c r="F11" s="646"/>
      <c r="G11" s="724"/>
      <c r="H11" s="328"/>
      <c r="I11" s="327"/>
      <c r="J11" s="327"/>
      <c r="K11" s="327"/>
      <c r="L11" s="647"/>
      <c r="T11" s="684"/>
    </row>
    <row r="12" customFormat="false" ht="15" hidden="false" customHeight="true" outlineLevel="0" collapsed="false">
      <c r="A12" s="307" t="s">
        <v>73</v>
      </c>
      <c r="B12" s="681" t="n">
        <f aca="false">SUMPRODUCT(TableDE5c!$B10:$B49,TableDE12b!G10:G49)/SUM(TableDE5c!$B10:$B49)</f>
        <v>0.0188702037475447</v>
      </c>
      <c r="C12" s="312" t="n">
        <f aca="false">SUMPRODUCT(TableDE5c!$B10:$B49,TableDE12b!H10:H49)/SUM(TableDE5c!$B10:$B49)</f>
        <v>0.00543599261301871</v>
      </c>
      <c r="D12" s="312" t="n">
        <f aca="false">SUMPRODUCT(TableDE5c!$B10:$B49,TableDE12b!L10:L49)/SUM(TableDE5c!$B10:$B49)</f>
        <v>0.0040261295287788</v>
      </c>
      <c r="E12" s="309" t="n">
        <f aca="false">SUMPRODUCT(TableDE5c!$B10:$B49,TableDE12b!K10:K49)/SUM(TableDE5c!$B10:$B49)</f>
        <v>0.00940808160574722</v>
      </c>
      <c r="F12" s="636" t="n">
        <f aca="false">F9</f>
        <v>0</v>
      </c>
      <c r="G12" s="717" t="n">
        <f aca="false">TableDE6b!K50</f>
        <v>0.403541104455999</v>
      </c>
      <c r="H12" s="637" t="n">
        <f aca="false">F12/((1+TableDE3c!B11)^40)</f>
        <v>0</v>
      </c>
      <c r="I12" s="636" t="n">
        <f aca="false">B12*SUM(TableDE5c!$B10:$B49)/TableDE5c!$B50</f>
        <v>0.47787067530711</v>
      </c>
      <c r="J12" s="636" t="n">
        <f aca="false">I12-K12</f>
        <v>0.239619601263048</v>
      </c>
      <c r="K12" s="636" t="n">
        <f aca="false">E12*SUM(TableDE5c!$B10:$B49)/TableDE5c!$B50</f>
        <v>0.238251074044063</v>
      </c>
      <c r="L12" s="762" t="n">
        <f aca="false">G12-H12-I12</f>
        <v>-0.0743295708511109</v>
      </c>
      <c r="O12" s="25"/>
      <c r="P12" s="25"/>
      <c r="Q12" s="25"/>
      <c r="R12" s="25"/>
      <c r="T12" s="684"/>
    </row>
    <row r="13" customFormat="false" ht="15" hidden="false" customHeight="true" outlineLevel="0" collapsed="false">
      <c r="A13" s="315"/>
      <c r="B13" s="648"/>
      <c r="C13" s="473"/>
      <c r="D13" s="473"/>
      <c r="E13" s="317"/>
      <c r="F13" s="640"/>
      <c r="G13" s="721"/>
      <c r="H13" s="641"/>
      <c r="I13" s="722"/>
      <c r="J13" s="722"/>
      <c r="K13" s="722"/>
      <c r="L13" s="760"/>
      <c r="T13" s="684"/>
    </row>
    <row r="14" customFormat="false" ht="4.75" hidden="false" customHeight="true" outlineLevel="0" collapsed="false">
      <c r="A14" s="299"/>
      <c r="B14" s="328"/>
      <c r="C14" s="327"/>
      <c r="D14" s="327"/>
      <c r="E14" s="325"/>
      <c r="F14" s="646"/>
      <c r="G14" s="724"/>
      <c r="H14" s="328"/>
      <c r="I14" s="327"/>
      <c r="J14" s="327"/>
      <c r="K14" s="327"/>
      <c r="L14" s="647"/>
      <c r="T14" s="684"/>
    </row>
    <row r="15" customFormat="false" ht="15" hidden="false" customHeight="true" outlineLevel="0" collapsed="false">
      <c r="A15" s="307" t="s">
        <v>74</v>
      </c>
      <c r="B15" s="681" t="n">
        <f aca="false">SUMPRODUCT(TableDE5c!$B50:$B149,TableDE12b!G50:G149)/SUM(TableDE5c!$B50:$B149)</f>
        <v>0.0139481321013431</v>
      </c>
      <c r="C15" s="312" t="n">
        <f aca="false">SUMPRODUCT(TableDE5c!$B50:$B149,TableDE12b!H50:H149)/SUM(TableDE5c!$B50:$B149)</f>
        <v>0.0267887522266859</v>
      </c>
      <c r="D15" s="312" t="n">
        <f aca="false">SUMPRODUCT(TableDE5c!$B50:$B149,TableDE12b!L50:L149)/SUM(TableDE5c!$B50:$B149)</f>
        <v>-0.0146544158468784</v>
      </c>
      <c r="E15" s="309" t="n">
        <f aca="false">SUMPRODUCT(TableDE5c!$B50:$B149,TableDE12b!K50:K149)/SUM(TableDE5c!$B50:$B149)</f>
        <v>0.00181379572153558</v>
      </c>
      <c r="F15" s="636" t="n">
        <f aca="false">G12</f>
        <v>0.403541104455999</v>
      </c>
      <c r="G15" s="717" t="n">
        <f aca="false">G9</f>
        <v>0.389877729420427</v>
      </c>
      <c r="H15" s="637" t="n">
        <f aca="false">F15/((1+TableDE3c!B14)^100)</f>
        <v>0.0356777012702724</v>
      </c>
      <c r="I15" s="636" t="n">
        <f aca="false">B15*SUM(TableDE5c!$B50:$B149)/TableDE5c!$B150</f>
        <v>0.547658426806414</v>
      </c>
      <c r="J15" s="636" t="n">
        <f aca="false">I15-K15</f>
        <v>0.476441685798582</v>
      </c>
      <c r="K15" s="636" t="n">
        <f aca="false">E15*SUM(TableDE5c!$B50:$B149)/TableDE5c!$B150</f>
        <v>0.0712167410078322</v>
      </c>
      <c r="L15" s="762" t="n">
        <f aca="false">G15-H15-I15</f>
        <v>-0.193458398656259</v>
      </c>
      <c r="O15" s="25"/>
      <c r="P15" s="25"/>
      <c r="Q15" s="25"/>
      <c r="R15" s="25"/>
      <c r="T15" s="684"/>
    </row>
    <row r="16" customFormat="false" ht="15" hidden="false" customHeight="true" outlineLevel="0" collapsed="false">
      <c r="A16" s="315"/>
      <c r="B16" s="648"/>
      <c r="C16" s="473"/>
      <c r="D16" s="473"/>
      <c r="E16" s="317"/>
      <c r="F16" s="640"/>
      <c r="G16" s="721"/>
      <c r="H16" s="641"/>
      <c r="I16" s="722"/>
      <c r="J16" s="722"/>
      <c r="K16" s="722"/>
      <c r="L16" s="760"/>
      <c r="O16" s="25"/>
      <c r="P16" s="25"/>
      <c r="Q16" s="25"/>
      <c r="R16" s="25"/>
      <c r="T16" s="684"/>
    </row>
    <row r="17" customFormat="false" ht="4.75" hidden="false" customHeight="true" outlineLevel="0" collapsed="false">
      <c r="A17" s="315"/>
      <c r="B17" s="648"/>
      <c r="C17" s="473"/>
      <c r="D17" s="473"/>
      <c r="E17" s="317"/>
      <c r="F17" s="636"/>
      <c r="G17" s="717"/>
      <c r="H17" s="648"/>
      <c r="I17" s="726"/>
      <c r="J17" s="726"/>
      <c r="K17" s="726"/>
      <c r="L17" s="764"/>
      <c r="O17" s="25"/>
      <c r="P17" s="25"/>
      <c r="Q17" s="25"/>
      <c r="R17" s="25"/>
      <c r="T17" s="684"/>
    </row>
    <row r="18" customFormat="false" ht="15" hidden="false" customHeight="true" outlineLevel="0" collapsed="false">
      <c r="A18" s="307" t="s">
        <v>75</v>
      </c>
      <c r="B18" s="681" t="n">
        <f aca="false">SUMPRODUCT(TableDE12b!G50:G89,TableDE5c!$B50:$B89)/SUM(TableDE5c!$B50:$B89)</f>
        <v>-0.0265971394830809</v>
      </c>
      <c r="C18" s="312" t="n">
        <f aca="false">SUMPRODUCT(TableDE12b!H50:H89,TableDE5c!$B50:$B89)/SUM(TableDE5c!$B50:$B89)</f>
        <v>-0.0151931175435408</v>
      </c>
      <c r="D18" s="312" t="n">
        <f aca="false">SUMPRODUCT(TableDE12b!L50:L89,TableDE5c!$B50:$B89)/SUM(TableDE5c!$B50:$B89)</f>
        <v>-0.0105156599730966</v>
      </c>
      <c r="E18" s="309" t="n">
        <f aca="false">SUMPRODUCT(TableDE12b!K50:K89,TableDE5c!$B50:$B89)/SUM(TableDE5c!$B50:$B89)</f>
        <v>-0.000888361966443458</v>
      </c>
      <c r="F18" s="636" t="n">
        <f aca="false">F15</f>
        <v>0.403541104455999</v>
      </c>
      <c r="G18" s="717" t="n">
        <f aca="false">TableDE6b!K90</f>
        <v>-0.192299378320465</v>
      </c>
      <c r="H18" s="637" t="n">
        <f aca="false">F18/((1+TableDE3c!B17)^40)</f>
        <v>0.253334716594821</v>
      </c>
      <c r="I18" s="636" t="n">
        <f aca="false">B18*SUM(TableDE5c!$B50:$B89)/TableDE5c!$B90</f>
        <v>-0.830831710393399</v>
      </c>
      <c r="J18" s="636" t="n">
        <f aca="false">I18-K18</f>
        <v>-0.803081384366867</v>
      </c>
      <c r="K18" s="636" t="n">
        <f aca="false">E18*SUM(TableDE5c!$B50:$B89)/TableDE5c!$B90</f>
        <v>-0.0277503260265328</v>
      </c>
      <c r="L18" s="762" t="n">
        <f aca="false">G18-H18-I18</f>
        <v>0.385197615478114</v>
      </c>
      <c r="O18" s="25"/>
      <c r="P18" s="25"/>
      <c r="Q18" s="25"/>
      <c r="R18" s="25"/>
      <c r="T18" s="684"/>
    </row>
    <row r="19" customFormat="false" ht="15" hidden="false" customHeight="true" outlineLevel="0" collapsed="false">
      <c r="A19" s="315"/>
      <c r="B19" s="648"/>
      <c r="C19" s="473"/>
      <c r="D19" s="473"/>
      <c r="E19" s="317"/>
      <c r="F19" s="640"/>
      <c r="G19" s="721"/>
      <c r="H19" s="641"/>
      <c r="I19" s="722"/>
      <c r="J19" s="722"/>
      <c r="K19" s="722"/>
      <c r="L19" s="760"/>
      <c r="O19" s="25"/>
      <c r="P19" s="25"/>
      <c r="Q19" s="25"/>
      <c r="R19" s="25"/>
      <c r="T19" s="684"/>
    </row>
    <row r="20" customFormat="false" ht="4" hidden="false" customHeight="true" outlineLevel="0" collapsed="false">
      <c r="A20" s="315"/>
      <c r="B20" s="648"/>
      <c r="C20" s="473"/>
      <c r="D20" s="473"/>
      <c r="E20" s="317"/>
      <c r="F20" s="636"/>
      <c r="G20" s="717"/>
      <c r="H20" s="648"/>
      <c r="I20" s="726"/>
      <c r="J20" s="726"/>
      <c r="K20" s="726"/>
      <c r="L20" s="764"/>
      <c r="O20" s="25"/>
      <c r="P20" s="25"/>
      <c r="Q20" s="25"/>
      <c r="R20" s="25"/>
      <c r="T20" s="684"/>
    </row>
    <row r="21" customFormat="false" ht="15" hidden="false" customHeight="true" outlineLevel="0" collapsed="false">
      <c r="A21" s="307" t="s">
        <v>76</v>
      </c>
      <c r="B21" s="681" t="n">
        <f aca="false">SUMPRODUCT(TableDE5c!$B90:$B149,TableDE12b!G90:G149)/SUM(TableDE5c!$B90:$B149)</f>
        <v>0.0190641855939987</v>
      </c>
      <c r="C21" s="312" t="n">
        <f aca="false">SUMPRODUCT(TableDE5c!$B90:$B149,TableDE12b!H90:H149)/SUM(TableDE5c!$B90:$B149)</f>
        <v>0.032086077489854</v>
      </c>
      <c r="D21" s="312" t="n">
        <f aca="false">SUMPRODUCT(TableDE5c!$B90:$B149,TableDE12b!L90:L149)/SUM(TableDE5c!$B90:$B149)</f>
        <v>-0.0151766492816507</v>
      </c>
      <c r="E21" s="309" t="n">
        <f aca="false">SUMPRODUCT(TableDE5c!$B90:$B149,TableDE12b!K90:K149)/SUM(TableDE5c!$B90:$B149)</f>
        <v>0.0021547573857954</v>
      </c>
      <c r="F21" s="636" t="n">
        <f aca="false">G18</f>
        <v>-0.192299378320465</v>
      </c>
      <c r="G21" s="717" t="n">
        <f aca="false">G15</f>
        <v>0.389877729420427</v>
      </c>
      <c r="H21" s="637" t="n">
        <f aca="false">F21/((1+TableDE3c!B20)^60)</f>
        <v>-0.0270819564976943</v>
      </c>
      <c r="I21" s="636" t="n">
        <f aca="false">B21*SUM(TableDE5c!$B90:$B149)/TableDE5c!$B150</f>
        <v>0.664666336214638</v>
      </c>
      <c r="J21" s="636" t="n">
        <f aca="false">I21-K21</f>
        <v>0.589541454011493</v>
      </c>
      <c r="K21" s="636" t="n">
        <f aca="false">E21*SUM(TableDE5c!$B90:$B149)/TableDE5c!$B150</f>
        <v>0.0751248822031457</v>
      </c>
      <c r="L21" s="762" t="n">
        <f aca="false">G21-H21-I21</f>
        <v>-0.247706650296518</v>
      </c>
      <c r="O21" s="25"/>
      <c r="P21" s="25"/>
      <c r="Q21" s="25"/>
      <c r="R21" s="25"/>
      <c r="T21" s="684"/>
      <c r="U21" s="684"/>
    </row>
    <row r="22" customFormat="false" ht="15" hidden="false" customHeight="true" outlineLevel="0" collapsed="false">
      <c r="A22" s="315"/>
      <c r="B22" s="690"/>
      <c r="C22" s="691"/>
      <c r="D22" s="691"/>
      <c r="E22" s="765"/>
      <c r="F22" s="640"/>
      <c r="G22" s="721"/>
      <c r="H22" s="641"/>
      <c r="I22" s="722"/>
      <c r="J22" s="722"/>
      <c r="K22" s="722"/>
      <c r="L22" s="760"/>
      <c r="O22" s="25"/>
      <c r="P22" s="25"/>
      <c r="Q22" s="25"/>
      <c r="R22" s="25"/>
      <c r="T22" s="684"/>
    </row>
    <row r="23" customFormat="false" ht="4.75" hidden="false" customHeight="true" outlineLevel="0" collapsed="false">
      <c r="A23" s="315"/>
      <c r="B23" s="648"/>
      <c r="C23" s="473"/>
      <c r="D23" s="473"/>
      <c r="E23" s="317"/>
      <c r="F23" s="636"/>
      <c r="G23" s="717"/>
      <c r="H23" s="648"/>
      <c r="I23" s="726"/>
      <c r="J23" s="726"/>
      <c r="K23" s="726"/>
      <c r="L23" s="764"/>
      <c r="O23" s="25"/>
      <c r="P23" s="25"/>
      <c r="Q23" s="25"/>
      <c r="R23" s="25"/>
      <c r="T23" s="684"/>
    </row>
    <row r="24" customFormat="false" ht="15" hidden="false" customHeight="false" outlineLevel="0" collapsed="false">
      <c r="A24" s="333" t="s">
        <v>77</v>
      </c>
      <c r="B24" s="681" t="n">
        <f aca="false">SUMPRODUCT(TableDE5c!$B90:$B119,TableDE12b!G90:G119)/SUM(TableDE5c!$B90:$B119)</f>
        <v>0.013698082306597</v>
      </c>
      <c r="C24" s="312" t="n">
        <f aca="false">SUMPRODUCT(TableDE5c!$B90:$B119,TableDE12b!H90:H119)/SUM(TableDE5c!$B90:$B119)</f>
        <v>0.0276106657509612</v>
      </c>
      <c r="D24" s="312" t="n">
        <f aca="false">SUMPRODUCT(TableDE5c!$B90:$B119,TableDE12b!L90:L119)/SUM(TableDE5c!$B90:$B119)</f>
        <v>-0.0161984820330938</v>
      </c>
      <c r="E24" s="309" t="n">
        <f aca="false">SUMPRODUCT(TableDE5c!$B90:$B119,TableDE12b!K90:K119)/SUM(TableDE5c!$B90:$B119)</f>
        <v>0.00228589858872959</v>
      </c>
      <c r="F24" s="636" t="n">
        <f aca="false">F21</f>
        <v>-0.192299378320465</v>
      </c>
      <c r="G24" s="717" t="n">
        <f aca="false">TableDE6b!K120</f>
        <v>0.0499088722023766</v>
      </c>
      <c r="H24" s="637" t="n">
        <f aca="false">F24/((1+TableDE3c!B23)^30)</f>
        <v>-0.0452775177096708</v>
      </c>
      <c r="I24" s="636" t="n">
        <f aca="false">B24*SUM(TableDE5c!$B90:$B119)/TableDE5c!$B120</f>
        <v>0.251464095484819</v>
      </c>
      <c r="J24" s="636" t="n">
        <f aca="false">I24-K24</f>
        <v>0.209500453558965</v>
      </c>
      <c r="K24" s="636" t="n">
        <f aca="false">E24*SUM(TableDE5c!$B90:$B119)/TableDE5c!$B120</f>
        <v>0.0419636419258537</v>
      </c>
      <c r="L24" s="762" t="n">
        <f aca="false">G24-H24-I24</f>
        <v>-0.156277705572772</v>
      </c>
      <c r="O24" s="25"/>
      <c r="P24" s="25"/>
      <c r="Q24" s="25"/>
      <c r="R24" s="25"/>
      <c r="T24" s="684"/>
      <c r="U24" s="684"/>
    </row>
    <row r="25" customFormat="false" ht="15" hidden="false" customHeight="false" outlineLevel="0" collapsed="false">
      <c r="A25" s="334"/>
      <c r="B25" s="653"/>
      <c r="C25" s="475"/>
      <c r="D25" s="475"/>
      <c r="E25" s="766"/>
      <c r="F25" s="640"/>
      <c r="G25" s="721"/>
      <c r="H25" s="641"/>
      <c r="I25" s="722"/>
      <c r="J25" s="722"/>
      <c r="K25" s="722"/>
      <c r="L25" s="760"/>
      <c r="O25" s="25"/>
      <c r="P25" s="25"/>
      <c r="Q25" s="25"/>
      <c r="R25" s="25"/>
      <c r="T25" s="684"/>
    </row>
    <row r="26" customFormat="false" ht="4" hidden="false" customHeight="true" outlineLevel="0" collapsed="false">
      <c r="A26" s="334"/>
      <c r="B26" s="653"/>
      <c r="C26" s="475"/>
      <c r="D26" s="475"/>
      <c r="E26" s="766"/>
      <c r="F26" s="640"/>
      <c r="G26" s="721"/>
      <c r="H26" s="653"/>
      <c r="I26" s="652"/>
      <c r="J26" s="652"/>
      <c r="K26" s="652"/>
      <c r="L26" s="764"/>
      <c r="O26" s="25"/>
      <c r="P26" s="25"/>
      <c r="Q26" s="25"/>
      <c r="R26" s="25"/>
      <c r="T26" s="684"/>
    </row>
    <row r="27" customFormat="false" ht="15" hidden="false" customHeight="false" outlineLevel="0" collapsed="false">
      <c r="A27" s="333" t="s">
        <v>78</v>
      </c>
      <c r="B27" s="681" t="n">
        <f aca="false">SUMPRODUCT(TableDE5c!$B120:$B149,TableDE12b!G120:G149)/SUM(TableDE5c!$B120:$B149)</f>
        <v>0.0215311268688084</v>
      </c>
      <c r="C27" s="312" t="n">
        <f aca="false">SUMPRODUCT(TableDE5c!$B120:$B149,TableDE12b!H120:H149)/SUM(TableDE5c!$B120:$B149)</f>
        <v>0.0341435440254616</v>
      </c>
      <c r="D27" s="312" t="n">
        <f aca="false">SUMPRODUCT(TableDE5c!$B120:$B149,TableDE12b!L120:L149)/SUM(TableDE5c!$B120:$B149)</f>
        <v>-0.0147068854222026</v>
      </c>
      <c r="E27" s="309" t="n">
        <f aca="false">SUMPRODUCT(TableDE5c!$B120:$B149,TableDE12b!K120:K149)/SUM(TableDE5c!$B120:$B149)</f>
        <v>0.00209446826554941</v>
      </c>
      <c r="F27" s="636" t="n">
        <f aca="false">G24</f>
        <v>0.0499088722023766</v>
      </c>
      <c r="G27" s="717" t="n">
        <f aca="false">G21</f>
        <v>0.389877729420427</v>
      </c>
      <c r="H27" s="637" t="n">
        <f aca="false">F27/((1+TableDE3c!B26)^30)</f>
        <v>0.0298521203061681</v>
      </c>
      <c r="I27" s="636" t="n">
        <f aca="false">B27*SUM(TableDE5c!$B120:$B149)/TableDE5c!$B150</f>
        <v>0.514257479034791</v>
      </c>
      <c r="J27" s="636" t="n">
        <f aca="false">I27-K27</f>
        <v>0.46423241640232</v>
      </c>
      <c r="K27" s="636" t="n">
        <f aca="false">E27*SUM(TableDE5c!$B120:$B149)/TableDE5c!$B150</f>
        <v>0.0500250626324704</v>
      </c>
      <c r="L27" s="762" t="n">
        <f aca="false">G27-H27-I27</f>
        <v>-0.154231869920532</v>
      </c>
      <c r="O27" s="25"/>
      <c r="P27" s="25"/>
      <c r="Q27" s="25"/>
      <c r="R27" s="25"/>
      <c r="T27" s="684"/>
      <c r="U27" s="684"/>
    </row>
    <row r="28" customFormat="false" ht="15" hidden="false" customHeight="false" outlineLevel="0" collapsed="false">
      <c r="A28" s="334"/>
      <c r="B28" s="653"/>
      <c r="C28" s="475"/>
      <c r="D28" s="475"/>
      <c r="E28" s="766"/>
      <c r="F28" s="640"/>
      <c r="G28" s="721"/>
      <c r="H28" s="641"/>
      <c r="I28" s="722"/>
      <c r="J28" s="722"/>
      <c r="K28" s="722"/>
      <c r="L28" s="760"/>
      <c r="O28" s="25"/>
      <c r="P28" s="25"/>
      <c r="Q28" s="25"/>
      <c r="R28" s="25"/>
      <c r="T28" s="684"/>
    </row>
    <row r="29" customFormat="false" ht="4" hidden="false" customHeight="true" outlineLevel="0" collapsed="false">
      <c r="A29" s="334"/>
      <c r="B29" s="653"/>
      <c r="C29" s="475"/>
      <c r="D29" s="475"/>
      <c r="E29" s="766"/>
      <c r="F29" s="640"/>
      <c r="G29" s="721"/>
      <c r="H29" s="653"/>
      <c r="I29" s="652"/>
      <c r="J29" s="652"/>
      <c r="K29" s="652"/>
      <c r="L29" s="764"/>
      <c r="O29" s="25"/>
      <c r="P29" s="25"/>
      <c r="Q29" s="25"/>
      <c r="R29" s="25"/>
      <c r="T29" s="684"/>
    </row>
    <row r="30" customFormat="false" ht="15" hidden="false" customHeight="false" outlineLevel="0" collapsed="false">
      <c r="A30" s="333" t="s">
        <v>79</v>
      </c>
      <c r="B30" s="681" t="n">
        <f aca="false">SUMPRODUCT(TableDE5c!$B90:$B109,TableDE12b!G90:G109)/SUM(TableDE5c!$B90:$B109)</f>
        <v>0.0166259038372012</v>
      </c>
      <c r="C30" s="312" t="n">
        <f aca="false">SUMPRODUCT(TableDE5c!$B90:$B109,TableDE12b!H90:H109)/SUM(TableDE5c!$B90:$B109)</f>
        <v>0.0308174554423434</v>
      </c>
      <c r="D30" s="312" t="n">
        <f aca="false">SUMPRODUCT(TableDE5c!$B90:$B109,TableDE12b!L90:L109)/SUM(TableDE5c!$B90:$B109)</f>
        <v>-0.0166996919902666</v>
      </c>
      <c r="E30" s="309" t="n">
        <f aca="false">SUMPRODUCT(TableDE5c!$B90:$B109,TableDE12b!K90:K109)/SUM(TableDE5c!$B90:$B109)</f>
        <v>0.00250814038512438</v>
      </c>
      <c r="F30" s="636" t="n">
        <f aca="false">G18</f>
        <v>-0.192299378320465</v>
      </c>
      <c r="G30" s="717" t="n">
        <f aca="false">TableDE6b!K110</f>
        <v>0.0795714997508719</v>
      </c>
      <c r="H30" s="637" t="n">
        <f aca="false">F30/((1+TableDE3c!B29)^20)</f>
        <v>-0.0588266167644916</v>
      </c>
      <c r="I30" s="636" t="n">
        <f aca="false">B30*SUM(TableDE5c!$B90:$B109)/TableDE5c!$B110</f>
        <v>0.207926964015786</v>
      </c>
      <c r="J30" s="636" t="n">
        <f aca="false">I30-K30</f>
        <v>0.176559645841035</v>
      </c>
      <c r="K30" s="636" t="n">
        <f aca="false">E30*SUM(TableDE5c!$B90:$B109)/TableDE5c!$B110</f>
        <v>0.0313673181747507</v>
      </c>
      <c r="L30" s="762" t="n">
        <f aca="false">G30-H30-I30</f>
        <v>-0.0695288475004225</v>
      </c>
      <c r="O30" s="25"/>
      <c r="P30" s="25"/>
      <c r="Q30" s="25"/>
      <c r="R30" s="25"/>
      <c r="T30" s="684"/>
      <c r="U30" s="684"/>
    </row>
    <row r="31" customFormat="false" ht="15" hidden="false" customHeight="false" outlineLevel="0" collapsed="false">
      <c r="A31" s="334"/>
      <c r="B31" s="653"/>
      <c r="C31" s="475"/>
      <c r="D31" s="475"/>
      <c r="E31" s="766"/>
      <c r="F31" s="640"/>
      <c r="G31" s="721"/>
      <c r="H31" s="641"/>
      <c r="I31" s="722"/>
      <c r="J31" s="722"/>
      <c r="K31" s="722"/>
      <c r="L31" s="760"/>
      <c r="O31" s="25"/>
      <c r="P31" s="25"/>
      <c r="Q31" s="25"/>
      <c r="R31" s="25"/>
      <c r="T31" s="684"/>
    </row>
    <row r="32" customFormat="false" ht="4" hidden="false" customHeight="true" outlineLevel="0" collapsed="false">
      <c r="A32" s="334"/>
      <c r="B32" s="653"/>
      <c r="C32" s="475"/>
      <c r="D32" s="475"/>
      <c r="E32" s="766"/>
      <c r="F32" s="640"/>
      <c r="G32" s="721"/>
      <c r="H32" s="653"/>
      <c r="I32" s="652"/>
      <c r="J32" s="652"/>
      <c r="K32" s="652"/>
      <c r="L32" s="764"/>
      <c r="O32" s="25"/>
      <c r="P32" s="25"/>
      <c r="Q32" s="25"/>
      <c r="R32" s="25"/>
      <c r="T32" s="684"/>
    </row>
    <row r="33" customFormat="false" ht="15" hidden="false" customHeight="false" outlineLevel="0" collapsed="false">
      <c r="A33" s="333" t="s">
        <v>80</v>
      </c>
      <c r="B33" s="681" t="n">
        <f aca="false">SUMPRODUCT(TableDE5c!$B110:$B149,TableDE12b!G110:G149)/SUM(TableDE5c!$B110:$B149)</f>
        <v>0.0195464834556374</v>
      </c>
      <c r="C33" s="312" t="n">
        <f aca="false">SUMPRODUCT(TableDE5c!$B110:$B149,TableDE12b!H110:H149)/SUM(TableDE5c!$B110:$B149)</f>
        <v>0.0323370139122081</v>
      </c>
      <c r="D33" s="312" t="n">
        <f aca="false">SUMPRODUCT(TableDE5c!$B110:$B149,TableDE12b!L110:L149)/SUM(TableDE5c!$B110:$B149)</f>
        <v>-0.0148753878546225</v>
      </c>
      <c r="E33" s="309" t="n">
        <f aca="false">SUMPRODUCT(TableDE5c!$B110:$B149,TableDE12b!K110:K149)/SUM(TableDE5c!$B110:$B149)</f>
        <v>0.0020848573980517</v>
      </c>
      <c r="F33" s="636" t="n">
        <f aca="false">G30</f>
        <v>0.0795714997508719</v>
      </c>
      <c r="G33" s="717" t="n">
        <f aca="false">G21</f>
        <v>0.389877729420427</v>
      </c>
      <c r="H33" s="637" t="n">
        <f aca="false">F33/((1+TableDE3c!B32)^40)</f>
        <v>0.0366322595660499</v>
      </c>
      <c r="I33" s="636" t="n">
        <f aca="false">B33*SUM(TableDE5c!$B110:$B149)/TableDE5c!$B150</f>
        <v>0.568943187342815</v>
      </c>
      <c r="J33" s="636" t="n">
        <f aca="false">I33-K33</f>
        <v>0.508258849114156</v>
      </c>
      <c r="K33" s="636" t="n">
        <f aca="false">E33*SUM(TableDE5c!$B110:$B149)/TableDE5c!$B150</f>
        <v>0.0606843382286588</v>
      </c>
      <c r="L33" s="762" t="n">
        <f aca="false">G33-H33-I33</f>
        <v>-0.215697717488438</v>
      </c>
      <c r="O33" s="25"/>
      <c r="P33" s="25"/>
      <c r="Q33" s="25"/>
      <c r="R33" s="25"/>
      <c r="U33" s="684"/>
    </row>
    <row r="34" customFormat="false" ht="15" hidden="false" customHeight="false" outlineLevel="0" collapsed="false">
      <c r="A34" s="334"/>
      <c r="B34" s="653"/>
      <c r="C34" s="475"/>
      <c r="D34" s="475"/>
      <c r="E34" s="766"/>
      <c r="F34" s="640"/>
      <c r="G34" s="721"/>
      <c r="H34" s="641"/>
      <c r="I34" s="722"/>
      <c r="J34" s="722"/>
      <c r="K34" s="722"/>
      <c r="L34" s="760"/>
      <c r="O34" s="25"/>
      <c r="P34" s="25"/>
      <c r="Q34" s="25"/>
      <c r="R34" s="25"/>
      <c r="T34" s="684"/>
    </row>
    <row r="35" customFormat="false" ht="4" hidden="false" customHeight="true" outlineLevel="0" collapsed="false">
      <c r="A35" s="334"/>
      <c r="B35" s="653"/>
      <c r="C35" s="475"/>
      <c r="D35" s="475"/>
      <c r="E35" s="766"/>
      <c r="F35" s="640"/>
      <c r="G35" s="721"/>
      <c r="H35" s="653"/>
      <c r="I35" s="652"/>
      <c r="J35" s="652"/>
      <c r="K35" s="652"/>
      <c r="L35" s="764"/>
      <c r="O35" s="25"/>
      <c r="P35" s="25"/>
      <c r="Q35" s="25"/>
      <c r="R35" s="25"/>
      <c r="T35" s="684"/>
    </row>
    <row r="36" customFormat="false" ht="15" hidden="false" customHeight="false" outlineLevel="0" collapsed="false">
      <c r="A36" s="333" t="s">
        <v>81</v>
      </c>
      <c r="B36" s="681" t="n">
        <f aca="false">SUMPRODUCT(TableDE5c!$B110:$B129,TableDE12b!G110:G129)/SUM(TableDE5c!$B110:$B129)</f>
        <v>0.0179200381578114</v>
      </c>
      <c r="C36" s="312" t="n">
        <f aca="false">SUMPRODUCT(TableDE5c!$B110:$B129,TableDE12b!H110:H129)/SUM(TableDE5c!$B110:$B129)</f>
        <v>0.0299918033037976</v>
      </c>
      <c r="D36" s="312" t="n">
        <f aca="false">SUMPRODUCT(TableDE5c!$B110:$B129,TableDE12b!L110:L129)/SUM(TableDE5c!$B110:$B129)</f>
        <v>-0.0155491413565367</v>
      </c>
      <c r="E36" s="309" t="n">
        <f aca="false">SUMPRODUCT(TableDE5c!$B110:$B129,TableDE12b!K110:K129)/SUM(TableDE5c!$B110:$B129)</f>
        <v>0.00347737621055055</v>
      </c>
      <c r="F36" s="636" t="n">
        <f aca="false">F33</f>
        <v>0.0795714997508719</v>
      </c>
      <c r="G36" s="717" t="n">
        <f aca="false">TableDE6b!K130</f>
        <v>0.218268807743071</v>
      </c>
      <c r="H36" s="637" t="n">
        <f aca="false">F36/((1+TableDE3c!B35)^20)</f>
        <v>0.0486564009614086</v>
      </c>
      <c r="I36" s="636" t="n">
        <f aca="false">B36*SUM(TableDE5c!$B110:$B129)/TableDE5c!$B130</f>
        <v>0.275544543063777</v>
      </c>
      <c r="J36" s="636" t="n">
        <f aca="false">I36-K36</f>
        <v>0.222075235099199</v>
      </c>
      <c r="K36" s="636" t="n">
        <f aca="false">E36*SUM(TableDE5c!$B110:$B129)/TableDE5c!$B130</f>
        <v>0.0534693079645775</v>
      </c>
      <c r="L36" s="762" t="n">
        <f aca="false">G36-H36-I36</f>
        <v>-0.105932136282114</v>
      </c>
      <c r="O36" s="25"/>
      <c r="P36" s="25"/>
      <c r="Q36" s="25"/>
      <c r="R36" s="25"/>
      <c r="T36" s="684"/>
      <c r="U36" s="684"/>
    </row>
    <row r="37" customFormat="false" ht="15" hidden="false" customHeight="false" outlineLevel="0" collapsed="false">
      <c r="A37" s="334"/>
      <c r="B37" s="653"/>
      <c r="C37" s="475"/>
      <c r="D37" s="475"/>
      <c r="E37" s="766"/>
      <c r="F37" s="640"/>
      <c r="G37" s="721"/>
      <c r="H37" s="641"/>
      <c r="I37" s="722"/>
      <c r="J37" s="722"/>
      <c r="K37" s="722"/>
      <c r="L37" s="760"/>
      <c r="O37" s="25"/>
      <c r="P37" s="25"/>
      <c r="Q37" s="25"/>
      <c r="R37" s="25"/>
      <c r="T37" s="684"/>
    </row>
    <row r="38" customFormat="false" ht="4" hidden="false" customHeight="true" outlineLevel="0" collapsed="false">
      <c r="A38" s="334"/>
      <c r="B38" s="653"/>
      <c r="C38" s="475"/>
      <c r="D38" s="475"/>
      <c r="E38" s="766"/>
      <c r="F38" s="640"/>
      <c r="G38" s="721"/>
      <c r="H38" s="653"/>
      <c r="I38" s="652"/>
      <c r="J38" s="652"/>
      <c r="K38" s="652"/>
      <c r="L38" s="764"/>
      <c r="O38" s="25"/>
      <c r="P38" s="25"/>
      <c r="Q38" s="25"/>
      <c r="R38" s="25"/>
      <c r="T38" s="684"/>
    </row>
    <row r="39" customFormat="false" ht="15" hidden="false" customHeight="false" outlineLevel="0" collapsed="false">
      <c r="A39" s="333" t="s">
        <v>82</v>
      </c>
      <c r="B39" s="681" t="n">
        <f aca="false">SUMPRODUCT(TableDE5c!$B130:$B149,TableDE12b!G130:G149)/SUM(TableDE5c!$B130:$B149)</f>
        <v>0.0206205140391609</v>
      </c>
      <c r="C39" s="312" t="n">
        <f aca="false">SUMPRODUCT(TableDE5c!$B130:$B149,TableDE12b!H130:H149)/SUM(TableDE5c!$B130:$B149)</f>
        <v>0.0338856844525599</v>
      </c>
      <c r="D39" s="312" t="n">
        <f aca="false">SUMPRODUCT(TableDE5c!$B130:$B149,TableDE12b!L130:L149)/SUM(TableDE5c!$B130:$B149)</f>
        <v>-0.0144304716513051</v>
      </c>
      <c r="E39" s="309" t="n">
        <f aca="false">SUMPRODUCT(TableDE5c!$B130:$B149,TableDE12b!K130:K149)/SUM(TableDE5c!$B130:$B149)</f>
        <v>0.00116530123790611</v>
      </c>
      <c r="F39" s="636" t="n">
        <f aca="false">G36</f>
        <v>0.218268807743071</v>
      </c>
      <c r="G39" s="717" t="n">
        <f aca="false">G27</f>
        <v>0.389877729420427</v>
      </c>
      <c r="H39" s="637" t="n">
        <f aca="false">F39/((1+TableDE3c!B38)^20)</f>
        <v>0.164329450235297</v>
      </c>
      <c r="I39" s="636" t="n">
        <f aca="false">B39*SUM(TableDE5c!$B130:$B149)/TableDE5c!$B150</f>
        <v>0.361492183485651</v>
      </c>
      <c r="J39" s="636" t="n">
        <f aca="false">I39-K39</f>
        <v>0.341063629274576</v>
      </c>
      <c r="K39" s="636" t="n">
        <f aca="false">E39*SUM(TableDE5c!$B130:$B149)/TableDE5c!$B150</f>
        <v>0.020428554211074</v>
      </c>
      <c r="L39" s="762" t="n">
        <f aca="false">G39-H39-I39</f>
        <v>-0.135943904300521</v>
      </c>
      <c r="O39" s="25"/>
      <c r="P39" s="25"/>
      <c r="Q39" s="25"/>
      <c r="R39" s="25"/>
      <c r="T39" s="684"/>
      <c r="U39" s="684"/>
    </row>
    <row r="40" customFormat="false" ht="15" hidden="false" customHeight="false" outlineLevel="0" collapsed="false">
      <c r="A40" s="334"/>
      <c r="B40" s="653"/>
      <c r="C40" s="475"/>
      <c r="D40" s="475"/>
      <c r="E40" s="766"/>
      <c r="F40" s="640"/>
      <c r="G40" s="721"/>
      <c r="H40" s="641"/>
      <c r="I40" s="722"/>
      <c r="J40" s="722"/>
      <c r="K40" s="722"/>
      <c r="L40" s="760"/>
      <c r="O40" s="25"/>
      <c r="P40" s="25"/>
      <c r="Q40" s="25"/>
      <c r="R40" s="25"/>
      <c r="T40" s="684"/>
    </row>
    <row r="41" customFormat="false" ht="4.75" hidden="false" customHeight="true" outlineLevel="0" collapsed="false">
      <c r="A41" s="338"/>
      <c r="B41" s="648"/>
      <c r="C41" s="473"/>
      <c r="D41" s="473"/>
      <c r="E41" s="317"/>
      <c r="F41" s="640"/>
      <c r="G41" s="721"/>
      <c r="H41" s="648"/>
      <c r="I41" s="726"/>
      <c r="J41" s="726"/>
      <c r="K41" s="726"/>
      <c r="L41" s="764"/>
      <c r="O41" s="25"/>
      <c r="P41" s="25"/>
      <c r="Q41" s="25"/>
      <c r="R41" s="25"/>
      <c r="T41" s="684"/>
    </row>
    <row r="42" customFormat="false" ht="15" hidden="false" customHeight="false" outlineLevel="0" collapsed="false">
      <c r="A42" s="339" t="s">
        <v>83</v>
      </c>
      <c r="B42" s="692" t="n">
        <f aca="false">SUMPRODUCT(TableDE5c!$B90:$B99,TableDE12b!G90:G99)/SUM(TableDE5c!$B90:$B99)</f>
        <v>0.026487918945476</v>
      </c>
      <c r="C42" s="476" t="n">
        <f aca="false">SUMPRODUCT(TableDE5c!$B90:$B99,TableDE12b!H90:H99)/SUM(TableDE5c!$B90:$B99)</f>
        <v>0.0407908260216108</v>
      </c>
      <c r="D42" s="476" t="n">
        <f aca="false">SUMPRODUCT(TableDE5c!$B90:$B99,TableDE12b!L90:L99)/SUM(TableDE5c!$B90:$B99)</f>
        <v>-0.0207812891985327</v>
      </c>
      <c r="E42" s="341" t="n">
        <f aca="false">SUMPRODUCT(TableDE5c!$B90:$B99,TableDE12b!K90:K99)/SUM(TableDE5c!$B90:$B99)</f>
        <v>0.00647838212239791</v>
      </c>
      <c r="F42" s="657" t="n">
        <f aca="false">F21</f>
        <v>-0.192299378320465</v>
      </c>
      <c r="G42" s="728" t="n">
        <f aca="false">TableDE6b!K100</f>
        <v>0.0610890413008045</v>
      </c>
      <c r="H42" s="658" t="n">
        <f aca="false">F42/((1+TableDE3c!B41)^10)</f>
        <v>-0.0884015727953645</v>
      </c>
      <c r="I42" s="657" t="n">
        <f aca="false">B42*SUM(TableDE5c!$B90:$B99)/TableDE5c!$B100</f>
        <v>0.181789298143191</v>
      </c>
      <c r="J42" s="657" t="n">
        <f aca="false">I42-K42</f>
        <v>0.137327498725941</v>
      </c>
      <c r="K42" s="657" t="n">
        <f aca="false">E42*SUM(TableDE5c!$B90:$B99)/TableDE5c!$B100</f>
        <v>0.0444617994172493</v>
      </c>
      <c r="L42" s="655" t="n">
        <f aca="false">G42-H42-I42</f>
        <v>-0.0322986840470217</v>
      </c>
      <c r="O42" s="25"/>
      <c r="P42" s="25"/>
      <c r="Q42" s="25"/>
      <c r="R42" s="25"/>
      <c r="T42" s="684"/>
      <c r="U42" s="684"/>
    </row>
    <row r="43" customFormat="false" ht="15" hidden="false" customHeight="false" outlineLevel="0" collapsed="false">
      <c r="A43" s="339"/>
      <c r="B43" s="692"/>
      <c r="C43" s="476"/>
      <c r="D43" s="476"/>
      <c r="E43" s="341"/>
      <c r="F43" s="657"/>
      <c r="G43" s="728"/>
      <c r="H43" s="641"/>
      <c r="I43" s="722"/>
      <c r="J43" s="722"/>
      <c r="K43" s="722"/>
      <c r="L43" s="760"/>
      <c r="O43" s="25"/>
      <c r="P43" s="25"/>
      <c r="Q43" s="25"/>
      <c r="R43" s="25"/>
      <c r="T43" s="684"/>
      <c r="U43" s="684"/>
    </row>
    <row r="44" customFormat="false" ht="4" hidden="false" customHeight="true" outlineLevel="0" collapsed="false">
      <c r="A44" s="315"/>
      <c r="B44" s="648"/>
      <c r="C44" s="473"/>
      <c r="D44" s="473"/>
      <c r="E44" s="317"/>
      <c r="F44" s="640"/>
      <c r="G44" s="721"/>
      <c r="H44" s="648"/>
      <c r="I44" s="668"/>
      <c r="J44" s="668"/>
      <c r="K44" s="668"/>
      <c r="L44" s="764"/>
      <c r="O44" s="25"/>
      <c r="P44" s="25"/>
      <c r="Q44" s="25"/>
      <c r="R44" s="25"/>
      <c r="T44" s="684"/>
    </row>
    <row r="45" customFormat="false" ht="15" hidden="false" customHeight="false" outlineLevel="0" collapsed="false">
      <c r="A45" s="339" t="s">
        <v>84</v>
      </c>
      <c r="B45" s="692" t="n">
        <f aca="false">SUMPRODUCT(TableDE5c!$B100:$B109,TableDE12b!G100:G109)/SUM(TableDE5c!$B100:$B109)</f>
        <v>0.0109527453420894</v>
      </c>
      <c r="C45" s="476" t="n">
        <f aca="false">SUMPRODUCT(TableDE5c!$B100:$B109,TableDE12b!H100:H109)/SUM(TableDE5c!$B100:$B109)</f>
        <v>0.0250802393252038</v>
      </c>
      <c r="D45" s="476" t="n">
        <f aca="false">SUMPRODUCT(TableDE5c!$B100:$B109,TableDE12b!L100:L109)/SUM(TableDE5c!$B100:$B109)</f>
        <v>-0.0143517389987659</v>
      </c>
      <c r="E45" s="341" t="n">
        <f aca="false">SUMPRODUCT(TableDE5c!$B100:$B109,TableDE12b!K100:K109)/SUM(TableDE5c!$B100:$B109)</f>
        <v>0.000224245015651502</v>
      </c>
      <c r="F45" s="657" t="n">
        <f aca="false">G42</f>
        <v>0.0610890413008045</v>
      </c>
      <c r="G45" s="728" t="n">
        <f aca="false">F36</f>
        <v>0.0795714997508719</v>
      </c>
      <c r="H45" s="658" t="n">
        <f aca="false">F45/((1+TableDE3c!B51)^10)</f>
        <v>0.0406515575173236</v>
      </c>
      <c r="I45" s="657" t="n">
        <f aca="false">B45*SUM(TableDE5c!$B100:$B109)/TableDE5c!$B110</f>
        <v>0.0869557071071516</v>
      </c>
      <c r="J45" s="657" t="n">
        <f aca="false">I45-K45</f>
        <v>0.0851753878089116</v>
      </c>
      <c r="K45" s="657" t="n">
        <f aca="false">E45*SUM(TableDE5c!$B100:$B109)/TableDE5c!$B110</f>
        <v>0.00178031929824005</v>
      </c>
      <c r="L45" s="655" t="n">
        <f aca="false">G45-H45-I45</f>
        <v>-0.0480357648736033</v>
      </c>
      <c r="O45" s="25"/>
      <c r="P45" s="25"/>
      <c r="Q45" s="25"/>
      <c r="R45" s="25"/>
      <c r="T45" s="684"/>
      <c r="U45" s="684"/>
    </row>
    <row r="46" customFormat="false" ht="15" hidden="false" customHeight="false" outlineLevel="0" collapsed="false">
      <c r="A46" s="339"/>
      <c r="B46" s="692"/>
      <c r="C46" s="476"/>
      <c r="D46" s="476"/>
      <c r="E46" s="341"/>
      <c r="F46" s="657"/>
      <c r="G46" s="728"/>
      <c r="H46" s="641"/>
      <c r="I46" s="722"/>
      <c r="J46" s="722"/>
      <c r="K46" s="722"/>
      <c r="L46" s="760"/>
      <c r="O46" s="25"/>
      <c r="P46" s="25"/>
      <c r="Q46" s="25"/>
      <c r="R46" s="25"/>
      <c r="T46" s="684"/>
      <c r="U46" s="684"/>
    </row>
    <row r="47" customFormat="false" ht="4.75" hidden="false" customHeight="true" outlineLevel="0" collapsed="false">
      <c r="A47" s="315"/>
      <c r="B47" s="648"/>
      <c r="C47" s="473"/>
      <c r="D47" s="473"/>
      <c r="E47" s="317"/>
      <c r="F47" s="657"/>
      <c r="G47" s="728"/>
      <c r="H47" s="648"/>
      <c r="I47" s="657"/>
      <c r="J47" s="657"/>
      <c r="K47" s="657"/>
      <c r="L47" s="764"/>
      <c r="O47" s="25"/>
      <c r="P47" s="25"/>
      <c r="Q47" s="25"/>
      <c r="R47" s="25"/>
      <c r="T47" s="684"/>
    </row>
    <row r="48" customFormat="false" ht="15" hidden="false" customHeight="false" outlineLevel="0" collapsed="false">
      <c r="A48" s="339" t="s">
        <v>85</v>
      </c>
      <c r="B48" s="692" t="n">
        <f aca="false">SUMPRODUCT(TableDE5c!$B110:$B119,TableDE12b!G110:G119)/SUM(TableDE5c!$B110:$B119)</f>
        <v>0.010470542230187</v>
      </c>
      <c r="C48" s="476" t="n">
        <f aca="false">SUMPRODUCT(TableDE5c!$B110:$B119,TableDE12b!H110:H119)/SUM(TableDE5c!$B110:$B119)</f>
        <v>0.0240755997855781</v>
      </c>
      <c r="D48" s="476" t="n">
        <f aca="false">SUMPRODUCT(TableDE5c!$B110:$B119,TableDE12b!L110:L119)/SUM(TableDE5c!$B110:$B119)</f>
        <v>-0.0156459636481575</v>
      </c>
      <c r="E48" s="341" t="n">
        <f aca="false">SUMPRODUCT(TableDE5c!$B110:$B119,TableDE12b!K110:K119)/SUM(TableDE5c!$B110:$B119)</f>
        <v>0.00204090609276637</v>
      </c>
      <c r="F48" s="657" t="n">
        <f aca="false">F36</f>
        <v>0.0795714997508719</v>
      </c>
      <c r="G48" s="728" t="n">
        <f aca="false">G24</f>
        <v>0.0499088722023766</v>
      </c>
      <c r="H48" s="658" t="n">
        <f aca="false">F48/((1+TableDE3c!B61)^10)</f>
        <v>0.0612443854042929</v>
      </c>
      <c r="I48" s="657" t="n">
        <f aca="false">B48*SUM(TableDE5c!$B110:$B119)/TableDE5c!$B120</f>
        <v>0.091427409485473</v>
      </c>
      <c r="J48" s="657" t="n">
        <f aca="false">I48-K48</f>
        <v>0.0736064836000124</v>
      </c>
      <c r="K48" s="657" t="n">
        <f aca="false">E48*SUM(TableDE5c!$B110:$B119)/TableDE5c!$B120</f>
        <v>0.0178209258854606</v>
      </c>
      <c r="L48" s="655" t="n">
        <f aca="false">G48-H48-I48</f>
        <v>-0.102762922687389</v>
      </c>
      <c r="O48" s="25"/>
      <c r="P48" s="25"/>
      <c r="Q48" s="25"/>
      <c r="R48" s="25"/>
      <c r="T48" s="684"/>
      <c r="U48" s="684"/>
    </row>
    <row r="49" customFormat="false" ht="15" hidden="false" customHeight="false" outlineLevel="0" collapsed="false">
      <c r="A49" s="339"/>
      <c r="B49" s="692"/>
      <c r="C49" s="476"/>
      <c r="D49" s="476"/>
      <c r="E49" s="341"/>
      <c r="F49" s="657"/>
      <c r="G49" s="728"/>
      <c r="H49" s="641"/>
      <c r="I49" s="722"/>
      <c r="J49" s="722"/>
      <c r="K49" s="722"/>
      <c r="L49" s="760"/>
      <c r="O49" s="25"/>
      <c r="P49" s="25"/>
      <c r="Q49" s="25"/>
      <c r="R49" s="25"/>
      <c r="T49" s="684"/>
      <c r="U49" s="684"/>
    </row>
    <row r="50" customFormat="false" ht="4.75" hidden="false" customHeight="true" outlineLevel="0" collapsed="false">
      <c r="A50" s="315"/>
      <c r="B50" s="648"/>
      <c r="C50" s="473"/>
      <c r="D50" s="473"/>
      <c r="E50" s="317"/>
      <c r="F50" s="640"/>
      <c r="G50" s="721"/>
      <c r="H50" s="648"/>
      <c r="I50" s="657"/>
      <c r="J50" s="657"/>
      <c r="K50" s="657"/>
      <c r="L50" s="764"/>
      <c r="O50" s="25"/>
      <c r="P50" s="25"/>
      <c r="Q50" s="25"/>
      <c r="R50" s="25"/>
      <c r="T50" s="684"/>
    </row>
    <row r="51" customFormat="false" ht="15" hidden="false" customHeight="false" outlineLevel="0" collapsed="false">
      <c r="A51" s="339" t="s">
        <v>86</v>
      </c>
      <c r="B51" s="692" t="n">
        <f aca="false">SUMPRODUCT(TableDE5c!$B120:$B129,TableDE12b!G120:G129)/SUM(TableDE5c!$B120:$B129)</f>
        <v>0.0240436423280657</v>
      </c>
      <c r="C51" s="476" t="n">
        <f aca="false">SUMPRODUCT(TableDE5c!$B120:$B129,TableDE12b!H120:H129)/SUM(TableDE5c!$B120:$B129)</f>
        <v>0.0348550167196072</v>
      </c>
      <c r="D51" s="476" t="n">
        <f aca="false">SUMPRODUCT(TableDE5c!$B120:$B129,TableDE12b!L120:L129)/SUM(TableDE5c!$B120:$B129)</f>
        <v>-0.0154695518924304</v>
      </c>
      <c r="E51" s="341" t="n">
        <f aca="false">SUMPRODUCT(TableDE5c!$B120:$B129,TableDE12b!K120:K129)/SUM(TableDE5c!$B120:$B129)</f>
        <v>0.00465817750088885</v>
      </c>
      <c r="F51" s="657" t="n">
        <f aca="false">G24</f>
        <v>0.0499088722023766</v>
      </c>
      <c r="G51" s="728" t="n">
        <f aca="false">F39</f>
        <v>0.218268807743071</v>
      </c>
      <c r="H51" s="658" t="n">
        <f aca="false">F51/((1+TableDE3c!B71)^10)</f>
        <v>0.0396507546182399</v>
      </c>
      <c r="I51" s="657" t="n">
        <f aca="false">B51*SUM(TableDE5c!$B120:$B129)/TableDE5c!$B130</f>
        <v>0.202908844861861</v>
      </c>
      <c r="J51" s="657" t="n">
        <f aca="false">I51-K51</f>
        <v>0.163597603953757</v>
      </c>
      <c r="K51" s="657" t="n">
        <f aca="false">E51*SUM(TableDE5c!$B120:$B129)/TableDE5c!$B130</f>
        <v>0.0393112409081035</v>
      </c>
      <c r="L51" s="655" t="n">
        <f aca="false">G51-H51-I51</f>
        <v>-0.0242907917370296</v>
      </c>
      <c r="O51" s="25"/>
      <c r="P51" s="25"/>
      <c r="Q51" s="25"/>
      <c r="R51" s="25"/>
      <c r="T51" s="684"/>
      <c r="U51" s="684"/>
    </row>
    <row r="52" customFormat="false" ht="15" hidden="false" customHeight="false" outlineLevel="0" collapsed="false">
      <c r="A52" s="339"/>
      <c r="B52" s="692"/>
      <c r="C52" s="476"/>
      <c r="D52" s="476"/>
      <c r="E52" s="341"/>
      <c r="F52" s="657"/>
      <c r="G52" s="728"/>
      <c r="H52" s="641"/>
      <c r="I52" s="722"/>
      <c r="J52" s="722"/>
      <c r="K52" s="722"/>
      <c r="L52" s="760"/>
      <c r="O52" s="25"/>
      <c r="P52" s="25"/>
      <c r="Q52" s="25"/>
      <c r="R52" s="25"/>
      <c r="T52" s="684"/>
      <c r="U52" s="684"/>
    </row>
    <row r="53" customFormat="false" ht="4.75" hidden="false" customHeight="true" outlineLevel="0" collapsed="false">
      <c r="A53" s="315"/>
      <c r="B53" s="648"/>
      <c r="C53" s="473"/>
      <c r="D53" s="473"/>
      <c r="E53" s="317"/>
      <c r="F53" s="657"/>
      <c r="G53" s="728"/>
      <c r="H53" s="648"/>
      <c r="I53" s="657"/>
      <c r="J53" s="657"/>
      <c r="K53" s="657"/>
      <c r="L53" s="764"/>
      <c r="O53" s="25"/>
      <c r="P53" s="25"/>
      <c r="Q53" s="25"/>
      <c r="R53" s="25"/>
      <c r="T53" s="684"/>
    </row>
    <row r="54" customFormat="false" ht="15" hidden="false" customHeight="false" outlineLevel="0" collapsed="false">
      <c r="A54" s="339" t="s">
        <v>87</v>
      </c>
      <c r="B54" s="692" t="n">
        <f aca="false">SUMPRODUCT(TableDE5c!$B130:$B139,TableDE12b!G130:G139)/SUM(TableDE5c!$B130:$B139)</f>
        <v>-0.00741512857088219</v>
      </c>
      <c r="C54" s="476" t="n">
        <f aca="false">SUMPRODUCT(TableDE5c!$B130:$B139,TableDE12b!H130:H139)/SUM(TableDE5c!$B130:$B139)</f>
        <v>0.0118265435492606</v>
      </c>
      <c r="D54" s="476" t="n">
        <f aca="false">SUMPRODUCT(TableDE5c!$B130:$B139,TableDE12b!L130:L139)/SUM(TableDE5c!$B130:$B139)</f>
        <v>-0.014801787597157</v>
      </c>
      <c r="E54" s="341" t="n">
        <f aca="false">SUMPRODUCT(TableDE5c!$B130:$B139,TableDE12b!K130:K139)/SUM(TableDE5c!$B130:$B139)</f>
        <v>-0.00443988452298584</v>
      </c>
      <c r="F54" s="657" t="n">
        <f aca="false">G51</f>
        <v>0.218268807743071</v>
      </c>
      <c r="G54" s="728" t="n">
        <f aca="false">TableDE6b!K140</f>
        <v>0.0455848839973789</v>
      </c>
      <c r="H54" s="658" t="n">
        <f aca="false">F54/((1+TableDE3c!B81)^10)</f>
        <v>0.185457020085933</v>
      </c>
      <c r="I54" s="657" t="n">
        <f aca="false">B54*SUM(TableDE5c!$B130:$B139)/TableDE5c!$B140</f>
        <v>-0.0679356086129687</v>
      </c>
      <c r="J54" s="657" t="n">
        <f aca="false">I54-K54</f>
        <v>-0.0272584639947658</v>
      </c>
      <c r="K54" s="657" t="n">
        <f aca="false">E54*SUM(TableDE5c!$B130:$B139)/TableDE5c!$B140</f>
        <v>-0.0406771446182029</v>
      </c>
      <c r="L54" s="655" t="n">
        <f aca="false">G54-H54-I54</f>
        <v>-0.0719365274755851</v>
      </c>
      <c r="O54" s="25"/>
      <c r="P54" s="25"/>
      <c r="Q54" s="25"/>
      <c r="R54" s="25"/>
      <c r="T54" s="684"/>
      <c r="U54" s="684"/>
    </row>
    <row r="55" customFormat="false" ht="15" hidden="false" customHeight="false" outlineLevel="0" collapsed="false">
      <c r="A55" s="339"/>
      <c r="B55" s="692"/>
      <c r="C55" s="476"/>
      <c r="D55" s="476"/>
      <c r="E55" s="341"/>
      <c r="F55" s="657"/>
      <c r="G55" s="728"/>
      <c r="H55" s="641"/>
      <c r="I55" s="722"/>
      <c r="J55" s="722"/>
      <c r="K55" s="722"/>
      <c r="L55" s="760"/>
      <c r="O55" s="25"/>
      <c r="P55" s="25"/>
      <c r="Q55" s="25"/>
      <c r="R55" s="25"/>
      <c r="T55" s="684"/>
    </row>
    <row r="56" customFormat="false" ht="4.75" hidden="false" customHeight="true" outlineLevel="0" collapsed="false">
      <c r="A56" s="315"/>
      <c r="B56" s="648"/>
      <c r="C56" s="473"/>
      <c r="D56" s="473"/>
      <c r="E56" s="317"/>
      <c r="F56" s="657"/>
      <c r="G56" s="728"/>
      <c r="H56" s="648"/>
      <c r="I56" s="657"/>
      <c r="J56" s="657"/>
      <c r="K56" s="657"/>
      <c r="L56" s="764"/>
      <c r="O56" s="25"/>
      <c r="P56" s="25"/>
      <c r="Q56" s="25"/>
      <c r="R56" s="25"/>
      <c r="T56" s="684"/>
    </row>
    <row r="57" customFormat="false" ht="15" hidden="false" customHeight="false" outlineLevel="0" collapsed="false">
      <c r="A57" s="339" t="s">
        <v>88</v>
      </c>
      <c r="B57" s="692" t="n">
        <f aca="false">SUMPRODUCT(TableDE5c!$B140:$B149,TableDE12b!G140:G149)/SUM(TableDE5c!$B140:$B149)</f>
        <v>0.0448000802706811</v>
      </c>
      <c r="C57" s="476" t="n">
        <f aca="false">SUMPRODUCT(TableDE5c!$B140:$B149,TableDE12b!H140:H149)/SUM(TableDE5c!$B140:$B149)</f>
        <v>0.052910768553564</v>
      </c>
      <c r="D57" s="476" t="n">
        <f aca="false">SUMPRODUCT(TableDE5c!$B140:$B149,TableDE12b!L140:L149)/SUM(TableDE5c!$B140:$B149)</f>
        <v>-0.0141102272170888</v>
      </c>
      <c r="E57" s="341" t="n">
        <f aca="false">SUMPRODUCT(TableDE5c!$B140:$B149,TableDE12b!K140:K149)/SUM(TableDE5c!$B140:$B149)</f>
        <v>0.00599953893420598</v>
      </c>
      <c r="F57" s="657" t="n">
        <f aca="false">G54</f>
        <v>0.0455848839973789</v>
      </c>
      <c r="G57" s="728" t="n">
        <f aca="false">G33</f>
        <v>0.389877729420427</v>
      </c>
      <c r="H57" s="658" t="n">
        <f aca="false">F57/((1+TableDE3c!B91)^10)</f>
        <v>0.0403917787682455</v>
      </c>
      <c r="I57" s="657" t="n">
        <f aca="false">B57*SUM(TableDE5c!$B140:$B149)/TableDE5c!$B150</f>
        <v>0.421688455428317</v>
      </c>
      <c r="J57" s="657" t="n">
        <f aca="false">I57-K57</f>
        <v>0.365216764057196</v>
      </c>
      <c r="K57" s="657" t="n">
        <f aca="false">E57*SUM(TableDE5c!$B140:$B149)/TableDE5c!$B150</f>
        <v>0.0564716913711215</v>
      </c>
      <c r="L57" s="655" t="n">
        <f aca="false">G57-H57-I57</f>
        <v>-0.0722025047761363</v>
      </c>
      <c r="O57" s="25"/>
      <c r="P57" s="25"/>
      <c r="Q57" s="25"/>
      <c r="R57" s="25"/>
      <c r="T57" s="684"/>
      <c r="U57" s="684"/>
    </row>
    <row r="58" customFormat="false" ht="14" hidden="false" customHeight="false" outlineLevel="0" collapsed="false">
      <c r="A58" s="660"/>
      <c r="B58" s="767"/>
      <c r="C58" s="736"/>
      <c r="D58" s="736"/>
      <c r="E58" s="768"/>
      <c r="F58" s="769"/>
      <c r="G58" s="738"/>
      <c r="H58" s="662"/>
      <c r="I58" s="740"/>
      <c r="J58" s="740"/>
      <c r="K58" s="740"/>
      <c r="L58" s="770"/>
      <c r="O58" s="25"/>
      <c r="P58" s="25"/>
      <c r="Q58" s="25"/>
      <c r="R58" s="25"/>
      <c r="T58" s="684"/>
    </row>
    <row r="59" customFormat="false" ht="13" hidden="false" customHeight="false" outlineLevel="0" collapsed="false">
      <c r="B59" s="702"/>
      <c r="C59" s="702"/>
      <c r="D59" s="702"/>
      <c r="E59" s="702"/>
      <c r="F59" s="702"/>
      <c r="G59" s="702"/>
      <c r="H59" s="742"/>
      <c r="I59" s="742"/>
      <c r="J59" s="742"/>
      <c r="K59" s="742"/>
      <c r="L59" s="742"/>
      <c r="M59" s="702"/>
      <c r="N59" s="702"/>
      <c r="O59" s="702"/>
      <c r="P59" s="702"/>
      <c r="Q59" s="702"/>
      <c r="R59" s="702"/>
      <c r="S59" s="158"/>
    </row>
    <row r="60" customFormat="false" ht="12" hidden="false" customHeight="false" outlineLevel="0" collapsed="false">
      <c r="B60" s="702"/>
      <c r="C60" s="702"/>
      <c r="D60" s="702"/>
      <c r="E60" s="702"/>
      <c r="F60" s="702"/>
      <c r="G60" s="702"/>
      <c r="H60" s="742"/>
      <c r="I60" s="742"/>
      <c r="J60" s="742"/>
      <c r="K60" s="742"/>
      <c r="L60" s="742"/>
      <c r="M60" s="702"/>
      <c r="N60" s="158"/>
      <c r="O60" s="702"/>
      <c r="P60" s="702"/>
      <c r="Q60" s="702"/>
      <c r="R60" s="702"/>
    </row>
    <row r="61" customFormat="false" ht="12" hidden="false" customHeight="false" outlineLevel="0" collapsed="false">
      <c r="B61" s="702"/>
      <c r="C61" s="702"/>
      <c r="D61" s="702"/>
      <c r="E61" s="702"/>
      <c r="F61" s="702"/>
      <c r="G61" s="702"/>
      <c r="H61" s="742"/>
      <c r="I61" s="742"/>
      <c r="J61" s="742"/>
      <c r="K61" s="742"/>
      <c r="L61" s="742"/>
      <c r="M61" s="702"/>
      <c r="N61" s="702"/>
      <c r="O61" s="702"/>
      <c r="P61" s="702"/>
      <c r="Q61" s="702"/>
      <c r="R61" s="702"/>
    </row>
    <row r="62" customFormat="false" ht="12" hidden="false" customHeight="false" outlineLevel="0" collapsed="false">
      <c r="B62" s="702"/>
      <c r="C62" s="702"/>
      <c r="D62" s="702"/>
      <c r="E62" s="702"/>
      <c r="F62" s="702"/>
      <c r="G62" s="702"/>
      <c r="H62" s="742"/>
      <c r="I62" s="742"/>
      <c r="J62" s="742"/>
      <c r="K62" s="742"/>
      <c r="L62" s="742"/>
      <c r="M62" s="702"/>
      <c r="N62" s="702"/>
      <c r="O62" s="702"/>
      <c r="P62" s="702"/>
      <c r="Q62" s="702"/>
      <c r="R62" s="702"/>
    </row>
    <row r="63" customFormat="false" ht="12" hidden="false" customHeight="false" outlineLevel="0" collapsed="false">
      <c r="B63" s="702"/>
      <c r="C63" s="702"/>
      <c r="D63" s="702"/>
      <c r="E63" s="702"/>
      <c r="F63" s="702"/>
      <c r="G63" s="702"/>
      <c r="H63" s="742"/>
      <c r="I63" s="742"/>
      <c r="J63" s="742"/>
      <c r="K63" s="742"/>
      <c r="L63" s="742"/>
      <c r="M63" s="702"/>
      <c r="N63" s="702"/>
      <c r="O63" s="702"/>
      <c r="P63" s="702"/>
      <c r="Q63" s="702"/>
      <c r="R63" s="702"/>
    </row>
    <row r="64" customFormat="false" ht="12" hidden="false" customHeight="false" outlineLevel="0" collapsed="false">
      <c r="B64" s="702"/>
      <c r="C64" s="702"/>
      <c r="D64" s="702"/>
      <c r="E64" s="702"/>
      <c r="F64" s="702"/>
      <c r="G64" s="702"/>
      <c r="H64" s="742"/>
      <c r="I64" s="742"/>
      <c r="J64" s="742"/>
      <c r="K64" s="742"/>
      <c r="L64" s="742"/>
      <c r="M64" s="702"/>
      <c r="N64" s="702"/>
      <c r="O64" s="702"/>
      <c r="P64" s="702"/>
      <c r="Q64" s="702"/>
      <c r="R64" s="702"/>
    </row>
    <row r="65" customFormat="false" ht="12" hidden="false" customHeight="false" outlineLevel="0" collapsed="false">
      <c r="B65" s="702"/>
      <c r="C65" s="702"/>
      <c r="D65" s="702"/>
      <c r="E65" s="702"/>
      <c r="F65" s="702"/>
      <c r="G65" s="702"/>
      <c r="H65" s="742"/>
      <c r="I65" s="742"/>
      <c r="J65" s="742"/>
      <c r="K65" s="742"/>
      <c r="L65" s="742"/>
      <c r="M65" s="702"/>
      <c r="N65" s="702"/>
      <c r="O65" s="702"/>
      <c r="P65" s="702"/>
      <c r="Q65" s="702"/>
      <c r="R65" s="702"/>
    </row>
    <row r="66" customFormat="false" ht="12" hidden="false" customHeight="false" outlineLevel="0" collapsed="false">
      <c r="B66" s="702"/>
      <c r="C66" s="702"/>
      <c r="D66" s="702"/>
      <c r="E66" s="702"/>
      <c r="F66" s="702"/>
      <c r="G66" s="702"/>
      <c r="H66" s="742"/>
      <c r="I66" s="742"/>
      <c r="J66" s="742"/>
      <c r="K66" s="742"/>
      <c r="L66" s="742"/>
      <c r="M66" s="702"/>
      <c r="N66" s="702"/>
      <c r="O66" s="702"/>
      <c r="P66" s="702"/>
      <c r="Q66" s="702"/>
      <c r="R66" s="702"/>
    </row>
    <row r="67" customFormat="false" ht="12" hidden="false" customHeight="false" outlineLevel="0" collapsed="false">
      <c r="B67" s="702"/>
      <c r="C67" s="702"/>
      <c r="D67" s="702"/>
      <c r="E67" s="702"/>
      <c r="F67" s="702"/>
      <c r="G67" s="702"/>
      <c r="H67" s="742"/>
      <c r="I67" s="742"/>
      <c r="J67" s="742"/>
      <c r="K67" s="742"/>
      <c r="L67" s="742"/>
      <c r="M67" s="702"/>
      <c r="N67" s="702"/>
      <c r="O67" s="702"/>
      <c r="P67" s="702"/>
      <c r="Q67" s="702"/>
      <c r="R67" s="702"/>
    </row>
    <row r="68" customFormat="false" ht="12" hidden="false" customHeight="false" outlineLevel="0" collapsed="false">
      <c r="B68" s="702"/>
      <c r="C68" s="702"/>
      <c r="D68" s="702"/>
      <c r="E68" s="702"/>
      <c r="F68" s="702"/>
      <c r="G68" s="702"/>
      <c r="H68" s="742"/>
      <c r="I68" s="742"/>
      <c r="J68" s="742"/>
      <c r="K68" s="742"/>
      <c r="L68" s="742"/>
      <c r="M68" s="702"/>
      <c r="N68" s="702"/>
      <c r="O68" s="702"/>
      <c r="P68" s="702"/>
      <c r="Q68" s="702"/>
      <c r="R68" s="702"/>
    </row>
    <row r="69" customFormat="false" ht="12" hidden="false" customHeight="false" outlineLevel="0" collapsed="false">
      <c r="B69" s="702"/>
      <c r="C69" s="702"/>
      <c r="D69" s="702"/>
      <c r="E69" s="702"/>
      <c r="F69" s="702"/>
      <c r="G69" s="702"/>
      <c r="H69" s="742"/>
      <c r="I69" s="742"/>
      <c r="J69" s="742"/>
      <c r="K69" s="742"/>
      <c r="L69" s="742"/>
      <c r="M69" s="702"/>
      <c r="N69" s="702"/>
      <c r="O69" s="702"/>
      <c r="P69" s="702"/>
      <c r="Q69" s="702"/>
      <c r="R69" s="702"/>
    </row>
    <row r="70" customFormat="false" ht="12" hidden="false" customHeight="false" outlineLevel="0" collapsed="false">
      <c r="B70" s="702"/>
      <c r="C70" s="702"/>
      <c r="D70" s="702"/>
      <c r="E70" s="702"/>
      <c r="F70" s="702"/>
      <c r="G70" s="702"/>
      <c r="H70" s="742"/>
      <c r="I70" s="742"/>
      <c r="J70" s="742"/>
      <c r="K70" s="742"/>
      <c r="L70" s="742"/>
      <c r="M70" s="702"/>
      <c r="N70" s="702"/>
      <c r="O70" s="702"/>
      <c r="P70" s="702"/>
      <c r="Q70" s="702"/>
      <c r="R70" s="702"/>
    </row>
    <row r="71" customFormat="false" ht="12" hidden="false" customHeight="false" outlineLevel="0" collapsed="false">
      <c r="B71" s="702"/>
      <c r="C71" s="702"/>
      <c r="D71" s="702"/>
      <c r="E71" s="702"/>
      <c r="F71" s="702"/>
      <c r="G71" s="702"/>
      <c r="H71" s="742"/>
      <c r="I71" s="742"/>
      <c r="J71" s="742"/>
      <c r="K71" s="742"/>
      <c r="L71" s="742"/>
      <c r="M71" s="702"/>
      <c r="N71" s="702"/>
      <c r="O71" s="702"/>
      <c r="P71" s="702"/>
      <c r="Q71" s="702"/>
      <c r="R71" s="702"/>
    </row>
    <row r="72" customFormat="false" ht="12" hidden="false" customHeight="false" outlineLevel="0" collapsed="false">
      <c r="B72" s="702"/>
      <c r="C72" s="702"/>
      <c r="D72" s="702"/>
      <c r="E72" s="702"/>
      <c r="F72" s="702"/>
      <c r="G72" s="702"/>
      <c r="H72" s="742"/>
      <c r="I72" s="742"/>
      <c r="J72" s="742"/>
      <c r="K72" s="742"/>
      <c r="L72" s="742"/>
      <c r="M72" s="702"/>
      <c r="N72" s="702"/>
      <c r="O72" s="702"/>
      <c r="P72" s="702"/>
      <c r="Q72" s="702"/>
      <c r="R72" s="702"/>
    </row>
    <row r="73" customFormat="false" ht="12" hidden="false" customHeight="false" outlineLevel="0" collapsed="false">
      <c r="B73" s="702"/>
      <c r="C73" s="702"/>
      <c r="D73" s="702"/>
      <c r="E73" s="702"/>
      <c r="F73" s="702"/>
      <c r="G73" s="702"/>
      <c r="H73" s="742"/>
      <c r="I73" s="742"/>
      <c r="J73" s="742"/>
      <c r="K73" s="742"/>
      <c r="L73" s="742"/>
      <c r="M73" s="702"/>
      <c r="N73" s="702"/>
      <c r="O73" s="702"/>
      <c r="P73" s="702"/>
      <c r="Q73" s="702"/>
      <c r="R73" s="702"/>
    </row>
    <row r="74" customFormat="false" ht="12" hidden="false" customHeight="false" outlineLevel="0" collapsed="false">
      <c r="B74" s="702"/>
      <c r="C74" s="702"/>
      <c r="D74" s="702"/>
      <c r="E74" s="702"/>
      <c r="F74" s="702"/>
      <c r="G74" s="702"/>
      <c r="H74" s="742"/>
      <c r="I74" s="742"/>
      <c r="J74" s="742"/>
      <c r="K74" s="742"/>
      <c r="L74" s="742"/>
      <c r="M74" s="702"/>
      <c r="N74" s="702"/>
      <c r="O74" s="702"/>
      <c r="P74" s="702"/>
      <c r="Q74" s="702"/>
      <c r="R74" s="702"/>
    </row>
    <row r="75" customFormat="false" ht="12" hidden="false" customHeight="false" outlineLevel="0" collapsed="false">
      <c r="B75" s="702"/>
      <c r="C75" s="702"/>
      <c r="D75" s="702"/>
      <c r="E75" s="702"/>
      <c r="F75" s="702"/>
      <c r="G75" s="702"/>
      <c r="H75" s="742"/>
      <c r="I75" s="742"/>
      <c r="J75" s="742"/>
      <c r="K75" s="742"/>
      <c r="L75" s="742"/>
      <c r="M75" s="702"/>
      <c r="N75" s="702"/>
      <c r="O75" s="702"/>
      <c r="P75" s="702"/>
      <c r="Q75" s="702"/>
      <c r="R75" s="702"/>
    </row>
    <row r="76" customFormat="false" ht="12" hidden="false" customHeight="false" outlineLevel="0" collapsed="false">
      <c r="B76" s="702"/>
      <c r="C76" s="702"/>
      <c r="D76" s="702"/>
      <c r="E76" s="702"/>
      <c r="F76" s="702"/>
      <c r="G76" s="702"/>
      <c r="H76" s="742"/>
      <c r="I76" s="742"/>
      <c r="J76" s="742"/>
      <c r="K76" s="742"/>
      <c r="L76" s="742"/>
      <c r="M76" s="702"/>
      <c r="N76" s="702"/>
      <c r="O76" s="702"/>
      <c r="P76" s="702"/>
      <c r="Q76" s="702"/>
      <c r="R76" s="702"/>
    </row>
    <row r="77" customFormat="false" ht="12" hidden="false" customHeight="false" outlineLevel="0" collapsed="false">
      <c r="B77" s="702"/>
      <c r="C77" s="702"/>
      <c r="D77" s="702"/>
      <c r="E77" s="702"/>
      <c r="F77" s="702"/>
      <c r="G77" s="702"/>
      <c r="H77" s="742"/>
      <c r="I77" s="742"/>
      <c r="J77" s="742"/>
      <c r="K77" s="742"/>
      <c r="L77" s="742"/>
      <c r="M77" s="702"/>
      <c r="N77" s="702"/>
      <c r="O77" s="702"/>
      <c r="P77" s="702"/>
      <c r="Q77" s="702"/>
      <c r="R77" s="702"/>
    </row>
    <row r="78" customFormat="false" ht="12" hidden="false" customHeight="false" outlineLevel="0" collapsed="false">
      <c r="B78" s="702"/>
      <c r="C78" s="702"/>
      <c r="D78" s="702"/>
      <c r="E78" s="702"/>
      <c r="F78" s="702"/>
      <c r="G78" s="702"/>
      <c r="H78" s="742"/>
      <c r="I78" s="742"/>
      <c r="J78" s="742"/>
      <c r="K78" s="742"/>
      <c r="L78" s="742"/>
      <c r="M78" s="702"/>
      <c r="N78" s="702"/>
      <c r="O78" s="702"/>
      <c r="P78" s="702"/>
      <c r="Q78" s="702"/>
      <c r="R78" s="702"/>
    </row>
    <row r="79" customFormat="false" ht="12" hidden="false" customHeight="false" outlineLevel="0" collapsed="false">
      <c r="B79" s="702"/>
      <c r="C79" s="702"/>
      <c r="D79" s="702"/>
      <c r="E79" s="702"/>
      <c r="F79" s="702"/>
      <c r="G79" s="702"/>
      <c r="H79" s="742"/>
      <c r="I79" s="742"/>
      <c r="J79" s="742"/>
      <c r="K79" s="742"/>
      <c r="L79" s="742"/>
      <c r="M79" s="702"/>
      <c r="N79" s="702"/>
      <c r="O79" s="702"/>
      <c r="P79" s="702"/>
      <c r="Q79" s="702"/>
      <c r="R79" s="702"/>
    </row>
    <row r="80" customFormat="false" ht="12" hidden="false" customHeight="false" outlineLevel="0" collapsed="false">
      <c r="B80" s="702"/>
      <c r="C80" s="702"/>
      <c r="D80" s="702"/>
      <c r="E80" s="702"/>
      <c r="F80" s="702"/>
      <c r="G80" s="702"/>
      <c r="H80" s="742"/>
      <c r="I80" s="742"/>
      <c r="J80" s="742"/>
      <c r="K80" s="742"/>
      <c r="L80" s="742"/>
      <c r="M80" s="702"/>
      <c r="N80" s="702"/>
      <c r="O80" s="702"/>
      <c r="P80" s="702"/>
      <c r="Q80" s="702"/>
      <c r="R80" s="702"/>
    </row>
    <row r="81" customFormat="false" ht="12" hidden="false" customHeight="false" outlineLevel="0" collapsed="false">
      <c r="B81" s="702"/>
      <c r="C81" s="702"/>
      <c r="D81" s="702"/>
      <c r="E81" s="702"/>
      <c r="F81" s="702"/>
      <c r="G81" s="702"/>
      <c r="H81" s="742"/>
      <c r="I81" s="742"/>
      <c r="J81" s="742"/>
      <c r="K81" s="742"/>
      <c r="L81" s="742"/>
      <c r="M81" s="702"/>
      <c r="N81" s="702"/>
      <c r="O81" s="702"/>
      <c r="P81" s="702"/>
      <c r="Q81" s="702"/>
      <c r="R81" s="702"/>
    </row>
    <row r="82" customFormat="false" ht="12" hidden="false" customHeight="false" outlineLevel="0" collapsed="false">
      <c r="B82" s="702"/>
      <c r="C82" s="702"/>
      <c r="D82" s="702"/>
      <c r="E82" s="702"/>
      <c r="F82" s="702"/>
      <c r="G82" s="702"/>
      <c r="H82" s="742"/>
      <c r="I82" s="742"/>
      <c r="J82" s="742"/>
      <c r="K82" s="742"/>
      <c r="L82" s="742"/>
      <c r="M82" s="702"/>
      <c r="N82" s="702"/>
      <c r="O82" s="702"/>
      <c r="P82" s="702"/>
      <c r="Q82" s="702"/>
      <c r="R82" s="702"/>
    </row>
    <row r="83" customFormat="false" ht="12" hidden="false" customHeight="false" outlineLevel="0" collapsed="false">
      <c r="B83" s="702"/>
      <c r="C83" s="702"/>
      <c r="D83" s="702"/>
      <c r="E83" s="702"/>
      <c r="F83" s="702"/>
      <c r="G83" s="702"/>
      <c r="H83" s="742"/>
      <c r="I83" s="742"/>
      <c r="J83" s="742"/>
      <c r="K83" s="742"/>
      <c r="L83" s="742"/>
      <c r="M83" s="702"/>
      <c r="N83" s="702"/>
      <c r="O83" s="702"/>
      <c r="P83" s="702"/>
      <c r="Q83" s="702"/>
      <c r="R83" s="702"/>
    </row>
    <row r="84" customFormat="false" ht="12" hidden="false" customHeight="false" outlineLevel="0" collapsed="false">
      <c r="B84" s="702"/>
      <c r="C84" s="702"/>
      <c r="D84" s="702"/>
      <c r="E84" s="702"/>
      <c r="F84" s="702"/>
      <c r="G84" s="702"/>
      <c r="H84" s="742"/>
      <c r="I84" s="742"/>
      <c r="J84" s="742"/>
      <c r="K84" s="742"/>
      <c r="L84" s="742"/>
      <c r="M84" s="702"/>
      <c r="N84" s="702"/>
      <c r="O84" s="702"/>
      <c r="P84" s="702"/>
      <c r="Q84" s="702"/>
      <c r="R84" s="702"/>
    </row>
    <row r="85" customFormat="false" ht="12" hidden="false" customHeight="false" outlineLevel="0" collapsed="false">
      <c r="B85" s="702"/>
      <c r="C85" s="702"/>
      <c r="D85" s="702"/>
      <c r="E85" s="702"/>
      <c r="F85" s="702"/>
      <c r="G85" s="702"/>
      <c r="H85" s="742"/>
      <c r="I85" s="742"/>
      <c r="J85" s="742"/>
      <c r="K85" s="742"/>
      <c r="L85" s="742"/>
      <c r="M85" s="702"/>
      <c r="N85" s="702"/>
      <c r="O85" s="702"/>
      <c r="P85" s="702"/>
      <c r="Q85" s="702"/>
      <c r="R85" s="702"/>
    </row>
    <row r="86" customFormat="false" ht="12" hidden="false" customHeight="false" outlineLevel="0" collapsed="false">
      <c r="B86" s="702"/>
      <c r="C86" s="702"/>
      <c r="D86" s="702"/>
      <c r="E86" s="702"/>
      <c r="F86" s="702"/>
      <c r="G86" s="702"/>
      <c r="H86" s="742"/>
      <c r="I86" s="742"/>
      <c r="J86" s="742"/>
      <c r="K86" s="742"/>
      <c r="L86" s="742"/>
      <c r="M86" s="702"/>
      <c r="N86" s="702"/>
      <c r="O86" s="702"/>
      <c r="P86" s="702"/>
      <c r="Q86" s="702"/>
      <c r="R86" s="702"/>
    </row>
    <row r="87" customFormat="false" ht="12" hidden="false" customHeight="false" outlineLevel="0" collapsed="false">
      <c r="B87" s="702"/>
      <c r="C87" s="702"/>
      <c r="D87" s="702"/>
      <c r="E87" s="702"/>
      <c r="F87" s="702"/>
      <c r="G87" s="702"/>
      <c r="H87" s="742"/>
      <c r="I87" s="742"/>
      <c r="J87" s="742"/>
      <c r="K87" s="742"/>
      <c r="L87" s="742"/>
      <c r="M87" s="702"/>
      <c r="N87" s="702"/>
      <c r="O87" s="702"/>
      <c r="P87" s="702"/>
      <c r="Q87" s="702"/>
      <c r="R87" s="702"/>
    </row>
    <row r="88" customFormat="false" ht="12" hidden="false" customHeight="false" outlineLevel="0" collapsed="false">
      <c r="B88" s="702"/>
      <c r="C88" s="702"/>
      <c r="D88" s="702"/>
      <c r="E88" s="702"/>
      <c r="F88" s="702"/>
      <c r="G88" s="702"/>
      <c r="H88" s="742"/>
      <c r="I88" s="742"/>
      <c r="J88" s="742"/>
      <c r="K88" s="742"/>
      <c r="L88" s="742"/>
      <c r="M88" s="702"/>
      <c r="N88" s="702"/>
      <c r="O88" s="702"/>
      <c r="P88" s="702"/>
      <c r="Q88" s="702"/>
      <c r="R88" s="702"/>
    </row>
    <row r="89" customFormat="false" ht="12" hidden="false" customHeight="false" outlineLevel="0" collapsed="false">
      <c r="B89" s="702"/>
      <c r="C89" s="702"/>
      <c r="D89" s="702"/>
      <c r="E89" s="702"/>
      <c r="F89" s="702"/>
      <c r="G89" s="702"/>
      <c r="H89" s="742"/>
      <c r="I89" s="742"/>
      <c r="J89" s="742"/>
      <c r="K89" s="742"/>
      <c r="L89" s="742"/>
      <c r="M89" s="702"/>
      <c r="N89" s="702"/>
      <c r="O89" s="702"/>
      <c r="P89" s="702"/>
      <c r="Q89" s="702"/>
      <c r="R89" s="702"/>
    </row>
    <row r="90" customFormat="false" ht="12" hidden="false" customHeight="false" outlineLevel="0" collapsed="false">
      <c r="B90" s="702"/>
      <c r="C90" s="702"/>
      <c r="D90" s="702"/>
      <c r="E90" s="702"/>
      <c r="F90" s="702"/>
      <c r="G90" s="702"/>
      <c r="H90" s="742"/>
      <c r="I90" s="742"/>
      <c r="J90" s="742"/>
      <c r="K90" s="742"/>
      <c r="L90" s="742"/>
      <c r="M90" s="702"/>
      <c r="N90" s="702"/>
      <c r="O90" s="702"/>
      <c r="P90" s="702"/>
      <c r="Q90" s="702"/>
      <c r="R90" s="702"/>
    </row>
    <row r="91" customFormat="false" ht="12" hidden="false" customHeight="false" outlineLevel="0" collapsed="false">
      <c r="B91" s="702"/>
      <c r="C91" s="702"/>
      <c r="D91" s="702"/>
      <c r="E91" s="702"/>
      <c r="F91" s="702"/>
      <c r="G91" s="702"/>
      <c r="H91" s="742"/>
      <c r="I91" s="742"/>
      <c r="J91" s="742"/>
      <c r="K91" s="742"/>
      <c r="L91" s="742"/>
      <c r="M91" s="702"/>
      <c r="N91" s="702"/>
      <c r="O91" s="702"/>
      <c r="P91" s="702"/>
      <c r="Q91" s="702"/>
      <c r="R91" s="702"/>
    </row>
    <row r="92" customFormat="false" ht="12" hidden="false" customHeight="false" outlineLevel="0" collapsed="false">
      <c r="B92" s="702"/>
      <c r="C92" s="702"/>
      <c r="D92" s="702"/>
      <c r="E92" s="702"/>
      <c r="F92" s="702"/>
      <c r="G92" s="702"/>
      <c r="H92" s="742"/>
      <c r="I92" s="742"/>
      <c r="J92" s="742"/>
      <c r="K92" s="742"/>
      <c r="L92" s="742"/>
      <c r="M92" s="702"/>
      <c r="N92" s="702"/>
      <c r="O92" s="702"/>
      <c r="P92" s="702"/>
      <c r="Q92" s="702"/>
      <c r="R92" s="702"/>
    </row>
    <row r="93" customFormat="false" ht="12" hidden="false" customHeight="false" outlineLevel="0" collapsed="false">
      <c r="B93" s="702"/>
      <c r="C93" s="702"/>
      <c r="D93" s="702"/>
      <c r="E93" s="702"/>
      <c r="F93" s="702"/>
      <c r="G93" s="702"/>
      <c r="H93" s="742"/>
      <c r="I93" s="742"/>
      <c r="J93" s="742"/>
      <c r="K93" s="742"/>
      <c r="L93" s="742"/>
      <c r="M93" s="702"/>
      <c r="N93" s="702"/>
      <c r="O93" s="702"/>
      <c r="P93" s="702"/>
      <c r="Q93" s="702"/>
      <c r="R93" s="702"/>
    </row>
    <row r="94" customFormat="false" ht="12" hidden="false" customHeight="false" outlineLevel="0" collapsed="false">
      <c r="B94" s="702"/>
      <c r="C94" s="702"/>
      <c r="D94" s="702"/>
      <c r="E94" s="702"/>
      <c r="F94" s="702"/>
      <c r="G94" s="702"/>
      <c r="H94" s="742"/>
      <c r="I94" s="742"/>
      <c r="J94" s="742"/>
      <c r="K94" s="742"/>
      <c r="L94" s="742"/>
      <c r="M94" s="702"/>
      <c r="N94" s="702"/>
      <c r="O94" s="702"/>
      <c r="P94" s="702"/>
      <c r="Q94" s="702"/>
      <c r="R94" s="702"/>
    </row>
    <row r="95" customFormat="false" ht="12" hidden="false" customHeight="false" outlineLevel="0" collapsed="false">
      <c r="B95" s="702"/>
      <c r="C95" s="702"/>
      <c r="D95" s="702"/>
      <c r="E95" s="702"/>
      <c r="F95" s="702"/>
      <c r="G95" s="702"/>
      <c r="H95" s="742"/>
      <c r="I95" s="742"/>
      <c r="J95" s="742"/>
      <c r="K95" s="742"/>
      <c r="L95" s="742"/>
      <c r="M95" s="702"/>
      <c r="N95" s="702"/>
      <c r="O95" s="702"/>
      <c r="P95" s="702"/>
      <c r="Q95" s="702"/>
      <c r="R95" s="702"/>
    </row>
    <row r="96" customFormat="false" ht="12" hidden="false" customHeight="false" outlineLevel="0" collapsed="false">
      <c r="B96" s="702"/>
      <c r="C96" s="702"/>
      <c r="D96" s="702"/>
      <c r="E96" s="702"/>
      <c r="F96" s="702"/>
      <c r="G96" s="702"/>
      <c r="H96" s="742"/>
      <c r="I96" s="742"/>
      <c r="J96" s="742"/>
      <c r="K96" s="742"/>
      <c r="L96" s="742"/>
      <c r="M96" s="702"/>
      <c r="N96" s="702"/>
      <c r="O96" s="702"/>
      <c r="P96" s="702"/>
      <c r="Q96" s="702"/>
      <c r="R96" s="702"/>
    </row>
    <row r="97" customFormat="false" ht="12" hidden="false" customHeight="false" outlineLevel="0" collapsed="false">
      <c r="B97" s="702"/>
      <c r="C97" s="702"/>
      <c r="D97" s="702"/>
      <c r="E97" s="702"/>
      <c r="F97" s="702"/>
      <c r="G97" s="702"/>
      <c r="H97" s="742"/>
      <c r="I97" s="742"/>
      <c r="J97" s="742"/>
      <c r="K97" s="742"/>
      <c r="L97" s="742"/>
      <c r="M97" s="702"/>
      <c r="N97" s="702"/>
      <c r="O97" s="702"/>
      <c r="P97" s="702"/>
      <c r="Q97" s="702"/>
      <c r="R97" s="702"/>
    </row>
    <row r="98" customFormat="false" ht="12" hidden="false" customHeight="false" outlineLevel="0" collapsed="false">
      <c r="B98" s="702"/>
      <c r="C98" s="702"/>
      <c r="D98" s="702"/>
      <c r="E98" s="702"/>
      <c r="F98" s="702"/>
      <c r="G98" s="702"/>
      <c r="H98" s="742"/>
      <c r="I98" s="742"/>
      <c r="J98" s="742"/>
      <c r="K98" s="742"/>
      <c r="L98" s="742"/>
      <c r="M98" s="702"/>
      <c r="N98" s="702"/>
      <c r="O98" s="702"/>
      <c r="P98" s="702"/>
      <c r="Q98" s="702"/>
      <c r="R98" s="702"/>
    </row>
    <row r="99" customFormat="false" ht="12" hidden="false" customHeight="false" outlineLevel="0" collapsed="false">
      <c r="B99" s="702"/>
      <c r="C99" s="702"/>
      <c r="D99" s="702"/>
      <c r="E99" s="702"/>
      <c r="F99" s="702"/>
      <c r="G99" s="702"/>
      <c r="H99" s="742"/>
      <c r="I99" s="742"/>
      <c r="J99" s="742"/>
      <c r="K99" s="742"/>
      <c r="L99" s="742"/>
      <c r="M99" s="702"/>
      <c r="N99" s="702"/>
      <c r="O99" s="702"/>
      <c r="P99" s="702"/>
      <c r="Q99" s="702"/>
      <c r="R99" s="702"/>
    </row>
    <row r="100" customFormat="false" ht="12" hidden="false" customHeight="false" outlineLevel="0" collapsed="false">
      <c r="B100" s="702"/>
      <c r="C100" s="702"/>
      <c r="D100" s="702"/>
      <c r="E100" s="702"/>
      <c r="F100" s="702"/>
      <c r="G100" s="702"/>
      <c r="H100" s="742"/>
      <c r="I100" s="742"/>
      <c r="J100" s="742"/>
      <c r="K100" s="742"/>
      <c r="L100" s="742"/>
      <c r="M100" s="702"/>
      <c r="N100" s="702"/>
      <c r="O100" s="702"/>
      <c r="P100" s="702"/>
      <c r="Q100" s="702"/>
      <c r="R100" s="702"/>
    </row>
    <row r="101" customFormat="false" ht="12" hidden="false" customHeight="false" outlineLevel="0" collapsed="false">
      <c r="B101" s="702"/>
      <c r="C101" s="702"/>
      <c r="D101" s="702"/>
      <c r="E101" s="702"/>
      <c r="F101" s="702"/>
      <c r="G101" s="702"/>
      <c r="H101" s="742"/>
      <c r="I101" s="742"/>
      <c r="J101" s="742"/>
      <c r="K101" s="742"/>
      <c r="L101" s="742"/>
      <c r="M101" s="702"/>
      <c r="N101" s="702"/>
      <c r="O101" s="702"/>
      <c r="P101" s="702"/>
      <c r="Q101" s="702"/>
      <c r="R101" s="702"/>
    </row>
    <row r="102" customFormat="false" ht="12" hidden="false" customHeight="false" outlineLevel="0" collapsed="false">
      <c r="B102" s="702"/>
      <c r="C102" s="702"/>
      <c r="D102" s="702"/>
      <c r="E102" s="702"/>
      <c r="F102" s="702"/>
      <c r="G102" s="702"/>
      <c r="H102" s="742"/>
      <c r="I102" s="742"/>
      <c r="J102" s="742"/>
      <c r="K102" s="742"/>
      <c r="L102" s="742"/>
      <c r="M102" s="702"/>
      <c r="N102" s="702"/>
      <c r="O102" s="702"/>
      <c r="P102" s="702"/>
      <c r="Q102" s="702"/>
      <c r="R102" s="702"/>
    </row>
    <row r="103" customFormat="false" ht="12" hidden="false" customHeight="false" outlineLevel="0" collapsed="false">
      <c r="B103" s="702"/>
      <c r="C103" s="702"/>
      <c r="D103" s="702"/>
      <c r="E103" s="702"/>
      <c r="F103" s="702"/>
      <c r="G103" s="702"/>
      <c r="H103" s="742"/>
      <c r="I103" s="742"/>
      <c r="J103" s="742"/>
      <c r="K103" s="742"/>
      <c r="L103" s="742"/>
      <c r="M103" s="702"/>
      <c r="N103" s="702"/>
      <c r="O103" s="702"/>
      <c r="P103" s="702"/>
      <c r="Q103" s="702"/>
      <c r="R103" s="702"/>
    </row>
    <row r="104" customFormat="false" ht="12" hidden="false" customHeight="false" outlineLevel="0" collapsed="false">
      <c r="B104" s="702"/>
      <c r="C104" s="702"/>
      <c r="D104" s="702"/>
      <c r="E104" s="702"/>
      <c r="F104" s="702"/>
      <c r="G104" s="702"/>
      <c r="H104" s="742"/>
      <c r="I104" s="742"/>
      <c r="J104" s="742"/>
      <c r="K104" s="742"/>
      <c r="L104" s="742"/>
      <c r="M104" s="702"/>
      <c r="N104" s="702"/>
      <c r="O104" s="702"/>
      <c r="P104" s="702"/>
      <c r="Q104" s="702"/>
      <c r="R104" s="702"/>
    </row>
    <row r="105" customFormat="false" ht="12" hidden="false" customHeight="false" outlineLevel="0" collapsed="false">
      <c r="B105" s="702"/>
      <c r="C105" s="702"/>
      <c r="D105" s="702"/>
      <c r="E105" s="702"/>
      <c r="F105" s="702"/>
      <c r="G105" s="702"/>
      <c r="H105" s="742"/>
      <c r="I105" s="742"/>
      <c r="J105" s="742"/>
      <c r="K105" s="742"/>
      <c r="L105" s="742"/>
      <c r="M105" s="702"/>
      <c r="N105" s="702"/>
      <c r="O105" s="702"/>
      <c r="P105" s="702"/>
      <c r="Q105" s="702"/>
      <c r="R105" s="702"/>
    </row>
    <row r="106" customFormat="false" ht="12" hidden="false" customHeight="false" outlineLevel="0" collapsed="false">
      <c r="B106" s="702"/>
      <c r="C106" s="702"/>
      <c r="D106" s="702"/>
      <c r="E106" s="702"/>
      <c r="F106" s="702"/>
      <c r="G106" s="702"/>
      <c r="H106" s="742"/>
      <c r="I106" s="742"/>
      <c r="J106" s="742"/>
      <c r="K106" s="742"/>
      <c r="L106" s="742"/>
      <c r="M106" s="702"/>
      <c r="N106" s="702"/>
      <c r="O106" s="702"/>
      <c r="P106" s="702"/>
      <c r="Q106" s="702"/>
      <c r="R106" s="702"/>
    </row>
    <row r="107" customFormat="false" ht="12" hidden="false" customHeight="false" outlineLevel="0" collapsed="false">
      <c r="B107" s="702"/>
      <c r="C107" s="702"/>
      <c r="D107" s="702"/>
      <c r="E107" s="702"/>
      <c r="F107" s="702"/>
      <c r="G107" s="702"/>
      <c r="H107" s="742"/>
      <c r="I107" s="742"/>
      <c r="J107" s="742"/>
      <c r="K107" s="742"/>
      <c r="L107" s="742"/>
      <c r="M107" s="702"/>
      <c r="N107" s="702"/>
      <c r="O107" s="702"/>
      <c r="P107" s="702"/>
      <c r="Q107" s="702"/>
      <c r="R107" s="702"/>
    </row>
    <row r="108" customFormat="false" ht="12" hidden="false" customHeight="false" outlineLevel="0" collapsed="false">
      <c r="B108" s="702"/>
      <c r="C108" s="702"/>
      <c r="D108" s="702"/>
      <c r="E108" s="702"/>
      <c r="F108" s="702"/>
      <c r="G108" s="702"/>
      <c r="H108" s="742"/>
      <c r="I108" s="742"/>
      <c r="J108" s="742"/>
      <c r="K108" s="742"/>
      <c r="L108" s="742"/>
      <c r="M108" s="702"/>
      <c r="N108" s="702"/>
      <c r="O108" s="702"/>
      <c r="P108" s="702"/>
      <c r="Q108" s="702"/>
      <c r="R108" s="702"/>
    </row>
    <row r="109" customFormat="false" ht="12" hidden="false" customHeight="false" outlineLevel="0" collapsed="false">
      <c r="B109" s="702"/>
      <c r="C109" s="702"/>
      <c r="D109" s="702"/>
      <c r="E109" s="702"/>
      <c r="F109" s="702"/>
      <c r="G109" s="702"/>
      <c r="H109" s="742"/>
      <c r="I109" s="742"/>
      <c r="J109" s="742"/>
      <c r="K109" s="742"/>
      <c r="L109" s="742"/>
      <c r="M109" s="702"/>
      <c r="N109" s="702"/>
      <c r="O109" s="702"/>
      <c r="P109" s="702"/>
      <c r="Q109" s="702"/>
      <c r="R109" s="702"/>
    </row>
    <row r="110" customFormat="false" ht="12" hidden="false" customHeight="false" outlineLevel="0" collapsed="false">
      <c r="B110" s="702"/>
      <c r="C110" s="702"/>
      <c r="D110" s="702"/>
      <c r="E110" s="702"/>
      <c r="F110" s="702"/>
      <c r="G110" s="702"/>
      <c r="H110" s="742"/>
      <c r="I110" s="742"/>
      <c r="J110" s="742"/>
      <c r="K110" s="742"/>
      <c r="L110" s="742"/>
      <c r="M110" s="702"/>
      <c r="N110" s="702"/>
      <c r="O110" s="702"/>
      <c r="P110" s="702"/>
      <c r="Q110" s="702"/>
      <c r="R110" s="702"/>
    </row>
    <row r="111" customFormat="false" ht="12" hidden="false" customHeight="false" outlineLevel="0" collapsed="false">
      <c r="B111" s="702"/>
      <c r="C111" s="702"/>
      <c r="D111" s="702"/>
      <c r="E111" s="702"/>
      <c r="F111" s="702"/>
      <c r="G111" s="702"/>
      <c r="H111" s="742"/>
      <c r="I111" s="742"/>
      <c r="J111" s="742"/>
      <c r="K111" s="742"/>
      <c r="L111" s="742"/>
      <c r="M111" s="702"/>
      <c r="N111" s="702"/>
      <c r="O111" s="702"/>
      <c r="P111" s="702"/>
      <c r="Q111" s="702"/>
      <c r="R111" s="702"/>
    </row>
    <row r="112" customFormat="false" ht="12" hidden="false" customHeight="false" outlineLevel="0" collapsed="false">
      <c r="B112" s="702"/>
      <c r="C112" s="702"/>
      <c r="D112" s="702"/>
      <c r="E112" s="702"/>
      <c r="F112" s="702"/>
      <c r="G112" s="702"/>
      <c r="H112" s="742"/>
      <c r="I112" s="742"/>
      <c r="J112" s="742"/>
      <c r="K112" s="742"/>
      <c r="L112" s="742"/>
      <c r="M112" s="702"/>
      <c r="N112" s="702"/>
      <c r="O112" s="702"/>
      <c r="P112" s="702"/>
      <c r="Q112" s="702"/>
      <c r="R112" s="702"/>
    </row>
    <row r="113" customFormat="false" ht="12" hidden="false" customHeight="false" outlineLevel="0" collapsed="false">
      <c r="B113" s="702"/>
      <c r="C113" s="702"/>
      <c r="D113" s="702"/>
      <c r="E113" s="702"/>
      <c r="F113" s="702"/>
      <c r="G113" s="702"/>
      <c r="H113" s="742"/>
      <c r="I113" s="742"/>
      <c r="J113" s="742"/>
      <c r="K113" s="742"/>
      <c r="L113" s="742"/>
      <c r="M113" s="702"/>
      <c r="N113" s="702"/>
      <c r="O113" s="702"/>
      <c r="P113" s="702"/>
      <c r="Q113" s="702"/>
      <c r="R113" s="702"/>
    </row>
    <row r="114" customFormat="false" ht="12" hidden="false" customHeight="false" outlineLevel="0" collapsed="false">
      <c r="B114" s="702"/>
      <c r="C114" s="702"/>
      <c r="D114" s="702"/>
      <c r="E114" s="702"/>
      <c r="F114" s="702"/>
      <c r="G114" s="702"/>
      <c r="H114" s="742"/>
      <c r="I114" s="742"/>
      <c r="J114" s="742"/>
      <c r="K114" s="742"/>
      <c r="L114" s="742"/>
      <c r="M114" s="702"/>
      <c r="N114" s="702"/>
      <c r="O114" s="702"/>
      <c r="P114" s="702"/>
      <c r="Q114" s="702"/>
      <c r="R114" s="702"/>
    </row>
    <row r="115" customFormat="false" ht="12" hidden="false" customHeight="false" outlineLevel="0" collapsed="false">
      <c r="B115" s="702"/>
      <c r="C115" s="702"/>
      <c r="D115" s="702"/>
      <c r="E115" s="702"/>
      <c r="F115" s="702"/>
      <c r="G115" s="702"/>
      <c r="H115" s="742"/>
      <c r="I115" s="742"/>
      <c r="J115" s="742"/>
      <c r="K115" s="742"/>
      <c r="L115" s="742"/>
      <c r="M115" s="702"/>
      <c r="N115" s="702"/>
      <c r="O115" s="702"/>
      <c r="P115" s="702"/>
      <c r="Q115" s="702"/>
      <c r="R115" s="702"/>
    </row>
    <row r="116" customFormat="false" ht="12" hidden="false" customHeight="false" outlineLevel="0" collapsed="false">
      <c r="B116" s="702"/>
      <c r="C116" s="702"/>
      <c r="D116" s="702"/>
      <c r="E116" s="702"/>
      <c r="F116" s="702"/>
      <c r="G116" s="702"/>
      <c r="H116" s="742"/>
      <c r="I116" s="742"/>
      <c r="J116" s="742"/>
      <c r="K116" s="742"/>
      <c r="L116" s="742"/>
      <c r="M116" s="702"/>
      <c r="N116" s="702"/>
      <c r="O116" s="702"/>
      <c r="P116" s="702"/>
      <c r="Q116" s="702"/>
      <c r="R116" s="702"/>
    </row>
    <row r="117" customFormat="false" ht="12" hidden="false" customHeight="false" outlineLevel="0" collapsed="false">
      <c r="B117" s="702"/>
      <c r="C117" s="702"/>
      <c r="D117" s="702"/>
      <c r="E117" s="702"/>
      <c r="F117" s="702"/>
      <c r="G117" s="702"/>
      <c r="H117" s="742"/>
      <c r="I117" s="742"/>
      <c r="J117" s="742"/>
      <c r="K117" s="742"/>
      <c r="L117" s="742"/>
      <c r="M117" s="702"/>
      <c r="N117" s="702"/>
      <c r="O117" s="702"/>
      <c r="P117" s="702"/>
      <c r="Q117" s="702"/>
      <c r="R117" s="702"/>
    </row>
    <row r="118" customFormat="false" ht="12" hidden="false" customHeight="false" outlineLevel="0" collapsed="false">
      <c r="B118" s="702"/>
      <c r="C118" s="702"/>
      <c r="D118" s="702"/>
      <c r="E118" s="702"/>
      <c r="F118" s="702"/>
      <c r="G118" s="702"/>
      <c r="H118" s="742"/>
      <c r="I118" s="742"/>
      <c r="J118" s="742"/>
      <c r="K118" s="742"/>
      <c r="L118" s="742"/>
      <c r="M118" s="702"/>
      <c r="N118" s="702"/>
      <c r="O118" s="702"/>
      <c r="P118" s="702"/>
      <c r="Q118" s="702"/>
      <c r="R118" s="702"/>
    </row>
    <row r="119" customFormat="false" ht="12" hidden="false" customHeight="false" outlineLevel="0" collapsed="false">
      <c r="B119" s="702"/>
      <c r="C119" s="702"/>
      <c r="D119" s="702"/>
      <c r="E119" s="702"/>
      <c r="F119" s="702"/>
      <c r="G119" s="702"/>
      <c r="H119" s="742"/>
      <c r="I119" s="742"/>
      <c r="J119" s="742"/>
      <c r="K119" s="742"/>
      <c r="L119" s="742"/>
      <c r="M119" s="702"/>
      <c r="N119" s="702"/>
      <c r="O119" s="702"/>
      <c r="P119" s="702"/>
      <c r="Q119" s="702"/>
      <c r="R119" s="702"/>
    </row>
    <row r="120" customFormat="false" ht="12" hidden="false" customHeight="false" outlineLevel="0" collapsed="false">
      <c r="B120" s="702"/>
      <c r="C120" s="702"/>
      <c r="D120" s="702"/>
      <c r="E120" s="702"/>
      <c r="F120" s="702"/>
      <c r="G120" s="702"/>
      <c r="H120" s="742"/>
      <c r="I120" s="742"/>
      <c r="J120" s="742"/>
      <c r="K120" s="742"/>
      <c r="L120" s="742"/>
      <c r="M120" s="702"/>
      <c r="N120" s="702"/>
      <c r="O120" s="702"/>
      <c r="P120" s="702"/>
      <c r="Q120" s="702"/>
      <c r="R120" s="702"/>
    </row>
    <row r="121" customFormat="false" ht="12" hidden="false" customHeight="false" outlineLevel="0" collapsed="false">
      <c r="B121" s="702"/>
      <c r="C121" s="702"/>
      <c r="D121" s="702"/>
      <c r="E121" s="702"/>
      <c r="F121" s="702"/>
      <c r="G121" s="702"/>
      <c r="H121" s="742"/>
      <c r="I121" s="742"/>
      <c r="J121" s="742"/>
      <c r="K121" s="742"/>
      <c r="L121" s="742"/>
      <c r="M121" s="702"/>
      <c r="N121" s="702"/>
      <c r="O121" s="702"/>
      <c r="P121" s="702"/>
      <c r="Q121" s="702"/>
      <c r="R121" s="702"/>
    </row>
    <row r="122" customFormat="false" ht="12" hidden="false" customHeight="false" outlineLevel="0" collapsed="false">
      <c r="B122" s="702"/>
      <c r="C122" s="702"/>
      <c r="D122" s="702"/>
      <c r="E122" s="702"/>
      <c r="F122" s="702"/>
      <c r="G122" s="702"/>
      <c r="H122" s="742"/>
      <c r="I122" s="742"/>
      <c r="J122" s="742"/>
      <c r="K122" s="742"/>
      <c r="L122" s="742"/>
      <c r="M122" s="702"/>
      <c r="N122" s="702"/>
      <c r="O122" s="702"/>
      <c r="P122" s="702"/>
      <c r="Q122" s="702"/>
      <c r="R122" s="702"/>
    </row>
    <row r="123" customFormat="false" ht="12" hidden="false" customHeight="false" outlineLevel="0" collapsed="false">
      <c r="B123" s="702"/>
      <c r="C123" s="702"/>
      <c r="D123" s="702"/>
      <c r="E123" s="702"/>
      <c r="F123" s="702"/>
      <c r="G123" s="702"/>
      <c r="H123" s="742"/>
      <c r="I123" s="742"/>
      <c r="J123" s="742"/>
      <c r="K123" s="742"/>
      <c r="L123" s="742"/>
      <c r="M123" s="702"/>
      <c r="N123" s="702"/>
      <c r="O123" s="702"/>
      <c r="P123" s="702"/>
      <c r="Q123" s="702"/>
      <c r="R123" s="702"/>
    </row>
    <row r="124" customFormat="false" ht="12" hidden="false" customHeight="false" outlineLevel="0" collapsed="false">
      <c r="B124" s="702"/>
      <c r="C124" s="702"/>
      <c r="D124" s="702"/>
      <c r="E124" s="702"/>
      <c r="F124" s="702"/>
      <c r="G124" s="702"/>
      <c r="H124" s="742"/>
      <c r="I124" s="742"/>
      <c r="J124" s="742"/>
      <c r="K124" s="742"/>
      <c r="L124" s="742"/>
      <c r="M124" s="702"/>
      <c r="N124" s="702"/>
      <c r="O124" s="702"/>
      <c r="P124" s="702"/>
      <c r="Q124" s="702"/>
      <c r="R124" s="702"/>
    </row>
    <row r="125" customFormat="false" ht="12" hidden="false" customHeight="false" outlineLevel="0" collapsed="false">
      <c r="B125" s="702"/>
      <c r="C125" s="702"/>
      <c r="D125" s="702"/>
      <c r="E125" s="702"/>
      <c r="F125" s="702"/>
      <c r="G125" s="702"/>
      <c r="H125" s="742"/>
      <c r="I125" s="742"/>
      <c r="J125" s="742"/>
      <c r="K125" s="742"/>
      <c r="L125" s="742"/>
      <c r="M125" s="702"/>
      <c r="N125" s="702"/>
      <c r="O125" s="702"/>
      <c r="P125" s="702"/>
      <c r="Q125" s="702"/>
      <c r="R125" s="702"/>
    </row>
    <row r="126" customFormat="false" ht="12" hidden="false" customHeight="false" outlineLevel="0" collapsed="false">
      <c r="B126" s="702"/>
      <c r="C126" s="702"/>
      <c r="D126" s="702"/>
      <c r="E126" s="702"/>
      <c r="F126" s="702"/>
      <c r="G126" s="702"/>
      <c r="H126" s="742"/>
      <c r="I126" s="742"/>
      <c r="J126" s="742"/>
      <c r="K126" s="742"/>
      <c r="L126" s="742"/>
      <c r="M126" s="702"/>
      <c r="N126" s="702"/>
      <c r="O126" s="702"/>
      <c r="P126" s="702"/>
      <c r="Q126" s="702"/>
      <c r="R126" s="702"/>
    </row>
    <row r="127" customFormat="false" ht="12" hidden="false" customHeight="false" outlineLevel="0" collapsed="false">
      <c r="B127" s="702"/>
      <c r="C127" s="702"/>
      <c r="D127" s="702"/>
      <c r="E127" s="702"/>
      <c r="F127" s="702"/>
      <c r="G127" s="702"/>
      <c r="H127" s="742"/>
      <c r="I127" s="742"/>
      <c r="J127" s="742"/>
      <c r="K127" s="742"/>
      <c r="L127" s="742"/>
      <c r="M127" s="702"/>
      <c r="N127" s="702"/>
      <c r="O127" s="702"/>
      <c r="P127" s="702"/>
      <c r="Q127" s="702"/>
      <c r="R127" s="702"/>
    </row>
    <row r="128" customFormat="false" ht="12" hidden="false" customHeight="false" outlineLevel="0" collapsed="false">
      <c r="B128" s="702"/>
      <c r="C128" s="702"/>
      <c r="D128" s="702"/>
      <c r="E128" s="702"/>
      <c r="F128" s="702"/>
      <c r="G128" s="702"/>
      <c r="H128" s="742"/>
      <c r="I128" s="742"/>
      <c r="J128" s="742"/>
      <c r="K128" s="742"/>
      <c r="L128" s="742"/>
      <c r="M128" s="702"/>
      <c r="N128" s="702"/>
      <c r="O128" s="702"/>
      <c r="P128" s="702"/>
      <c r="Q128" s="702"/>
      <c r="R128" s="702"/>
    </row>
    <row r="129" customFormat="false" ht="12" hidden="false" customHeight="false" outlineLevel="0" collapsed="false">
      <c r="B129" s="702"/>
      <c r="C129" s="702"/>
      <c r="D129" s="702"/>
      <c r="E129" s="702"/>
      <c r="F129" s="702"/>
      <c r="G129" s="702"/>
      <c r="H129" s="742"/>
      <c r="I129" s="742"/>
      <c r="J129" s="742"/>
      <c r="K129" s="742"/>
      <c r="L129" s="742"/>
      <c r="M129" s="702"/>
      <c r="N129" s="702"/>
      <c r="O129" s="702"/>
      <c r="P129" s="702"/>
      <c r="Q129" s="702"/>
      <c r="R129" s="702"/>
    </row>
    <row r="130" customFormat="false" ht="12" hidden="false" customHeight="false" outlineLevel="0" collapsed="false">
      <c r="B130" s="702"/>
      <c r="C130" s="702"/>
      <c r="D130" s="702"/>
      <c r="E130" s="702"/>
      <c r="F130" s="702"/>
      <c r="G130" s="702"/>
      <c r="H130" s="742"/>
      <c r="I130" s="742"/>
      <c r="J130" s="742"/>
      <c r="K130" s="742"/>
      <c r="L130" s="742"/>
      <c r="M130" s="702"/>
      <c r="N130" s="702"/>
      <c r="O130" s="702"/>
      <c r="P130" s="702"/>
      <c r="Q130" s="702"/>
      <c r="R130" s="702"/>
    </row>
    <row r="131" customFormat="false" ht="12" hidden="false" customHeight="false" outlineLevel="0" collapsed="false">
      <c r="B131" s="702"/>
      <c r="C131" s="702"/>
      <c r="D131" s="702"/>
      <c r="E131" s="702"/>
      <c r="F131" s="702"/>
      <c r="G131" s="702"/>
      <c r="H131" s="742"/>
      <c r="I131" s="742"/>
      <c r="J131" s="742"/>
      <c r="K131" s="742"/>
      <c r="L131" s="742"/>
      <c r="M131" s="702"/>
      <c r="N131" s="702"/>
      <c r="O131" s="702"/>
      <c r="P131" s="702"/>
      <c r="Q131" s="702"/>
      <c r="R131" s="702"/>
    </row>
    <row r="132" customFormat="false" ht="12" hidden="false" customHeight="false" outlineLevel="0" collapsed="false">
      <c r="B132" s="702"/>
      <c r="C132" s="702"/>
      <c r="D132" s="702"/>
      <c r="E132" s="702"/>
      <c r="F132" s="702"/>
      <c r="G132" s="702"/>
      <c r="H132" s="742"/>
      <c r="I132" s="742"/>
      <c r="J132" s="742"/>
      <c r="K132" s="742"/>
      <c r="L132" s="742"/>
      <c r="M132" s="702"/>
      <c r="N132" s="702"/>
      <c r="O132" s="702"/>
      <c r="P132" s="702"/>
      <c r="Q132" s="702"/>
      <c r="R132" s="702"/>
    </row>
    <row r="133" customFormat="false" ht="12" hidden="false" customHeight="false" outlineLevel="0" collapsed="false">
      <c r="B133" s="702"/>
      <c r="C133" s="702"/>
      <c r="D133" s="702"/>
      <c r="E133" s="702"/>
      <c r="F133" s="702"/>
      <c r="G133" s="702"/>
      <c r="H133" s="742"/>
      <c r="I133" s="742"/>
      <c r="J133" s="742"/>
      <c r="K133" s="742"/>
      <c r="L133" s="742"/>
      <c r="M133" s="702"/>
      <c r="N133" s="702"/>
      <c r="O133" s="702"/>
      <c r="P133" s="702"/>
      <c r="Q133" s="702"/>
      <c r="R133" s="702"/>
    </row>
    <row r="134" customFormat="false" ht="12" hidden="false" customHeight="false" outlineLevel="0" collapsed="false">
      <c r="B134" s="702"/>
      <c r="C134" s="702"/>
      <c r="D134" s="702"/>
      <c r="E134" s="702"/>
      <c r="F134" s="702"/>
      <c r="G134" s="702"/>
      <c r="H134" s="742"/>
      <c r="I134" s="742"/>
      <c r="J134" s="742"/>
      <c r="K134" s="742"/>
      <c r="L134" s="742"/>
      <c r="M134" s="702"/>
      <c r="N134" s="702"/>
      <c r="O134" s="702"/>
      <c r="P134" s="702"/>
      <c r="Q134" s="702"/>
      <c r="R134" s="702"/>
    </row>
    <row r="135" customFormat="false" ht="12" hidden="false" customHeight="false" outlineLevel="0" collapsed="false">
      <c r="B135" s="702"/>
      <c r="C135" s="702"/>
      <c r="D135" s="702"/>
      <c r="E135" s="702"/>
      <c r="F135" s="702"/>
      <c r="G135" s="702"/>
      <c r="H135" s="742"/>
      <c r="I135" s="742"/>
      <c r="J135" s="742"/>
      <c r="K135" s="742"/>
      <c r="L135" s="742"/>
      <c r="M135" s="702"/>
      <c r="N135" s="702"/>
      <c r="O135" s="702"/>
      <c r="P135" s="702"/>
      <c r="Q135" s="702"/>
      <c r="R135" s="702"/>
    </row>
    <row r="136" customFormat="false" ht="12" hidden="false" customHeight="false" outlineLevel="0" collapsed="false">
      <c r="B136" s="702"/>
      <c r="C136" s="702"/>
      <c r="D136" s="702"/>
      <c r="E136" s="702"/>
      <c r="F136" s="702"/>
      <c r="G136" s="702"/>
      <c r="H136" s="742"/>
      <c r="I136" s="742"/>
      <c r="J136" s="742"/>
      <c r="K136" s="742"/>
      <c r="L136" s="742"/>
      <c r="M136" s="702"/>
      <c r="N136" s="702"/>
      <c r="O136" s="702"/>
      <c r="P136" s="702"/>
      <c r="Q136" s="702"/>
      <c r="R136" s="702"/>
    </row>
    <row r="137" customFormat="false" ht="12" hidden="false" customHeight="false" outlineLevel="0" collapsed="false">
      <c r="B137" s="702"/>
      <c r="C137" s="702"/>
      <c r="D137" s="702"/>
      <c r="E137" s="702"/>
      <c r="F137" s="702"/>
      <c r="G137" s="702"/>
      <c r="H137" s="742"/>
      <c r="I137" s="742"/>
      <c r="J137" s="742"/>
      <c r="K137" s="742"/>
      <c r="L137" s="742"/>
      <c r="M137" s="702"/>
      <c r="N137" s="702"/>
      <c r="O137" s="702"/>
      <c r="P137" s="702"/>
      <c r="Q137" s="702"/>
      <c r="R137" s="702"/>
    </row>
    <row r="138" customFormat="false" ht="12" hidden="false" customHeight="false" outlineLevel="0" collapsed="false">
      <c r="B138" s="702"/>
      <c r="C138" s="702"/>
      <c r="D138" s="702"/>
      <c r="E138" s="702"/>
      <c r="F138" s="702"/>
      <c r="G138" s="702"/>
      <c r="H138" s="742"/>
      <c r="I138" s="742"/>
      <c r="J138" s="742"/>
      <c r="K138" s="742"/>
      <c r="L138" s="742"/>
      <c r="M138" s="702"/>
      <c r="N138" s="702"/>
      <c r="O138" s="702"/>
      <c r="P138" s="702"/>
      <c r="Q138" s="702"/>
      <c r="R138" s="702"/>
    </row>
    <row r="139" customFormat="false" ht="12" hidden="false" customHeight="false" outlineLevel="0" collapsed="false">
      <c r="B139" s="702"/>
      <c r="C139" s="702"/>
      <c r="D139" s="702"/>
      <c r="E139" s="702"/>
      <c r="F139" s="702"/>
      <c r="G139" s="702"/>
      <c r="H139" s="742"/>
      <c r="I139" s="742"/>
      <c r="J139" s="742"/>
      <c r="K139" s="742"/>
      <c r="L139" s="742"/>
      <c r="M139" s="702"/>
      <c r="N139" s="702"/>
      <c r="O139" s="702"/>
      <c r="P139" s="702"/>
      <c r="Q139" s="702"/>
      <c r="R139" s="702"/>
    </row>
    <row r="140" customFormat="false" ht="12" hidden="false" customHeight="false" outlineLevel="0" collapsed="false">
      <c r="B140" s="702"/>
      <c r="C140" s="702"/>
      <c r="D140" s="702"/>
      <c r="E140" s="702"/>
      <c r="F140" s="702"/>
      <c r="G140" s="702"/>
      <c r="H140" s="742"/>
      <c r="I140" s="742"/>
      <c r="J140" s="742"/>
      <c r="K140" s="742"/>
      <c r="L140" s="742"/>
      <c r="M140" s="702"/>
      <c r="N140" s="702"/>
      <c r="O140" s="702"/>
      <c r="P140" s="702"/>
      <c r="Q140" s="702"/>
      <c r="R140" s="702"/>
    </row>
    <row r="141" customFormat="false" ht="12" hidden="false" customHeight="false" outlineLevel="0" collapsed="false">
      <c r="B141" s="702"/>
      <c r="C141" s="702"/>
      <c r="D141" s="702"/>
      <c r="E141" s="702"/>
      <c r="F141" s="702"/>
      <c r="G141" s="702"/>
      <c r="H141" s="742"/>
      <c r="I141" s="742"/>
      <c r="J141" s="742"/>
      <c r="K141" s="742"/>
      <c r="L141" s="742"/>
      <c r="M141" s="702"/>
      <c r="N141" s="702"/>
      <c r="O141" s="702"/>
      <c r="P141" s="702"/>
      <c r="Q141" s="702"/>
      <c r="R141" s="702"/>
    </row>
    <row r="142" customFormat="false" ht="12" hidden="false" customHeight="false" outlineLevel="0" collapsed="false">
      <c r="B142" s="702"/>
      <c r="C142" s="702"/>
      <c r="D142" s="702"/>
      <c r="E142" s="702"/>
      <c r="F142" s="702"/>
      <c r="G142" s="702"/>
      <c r="H142" s="742"/>
      <c r="I142" s="742"/>
      <c r="J142" s="742"/>
      <c r="K142" s="742"/>
      <c r="L142" s="742"/>
      <c r="M142" s="702"/>
      <c r="N142" s="702"/>
      <c r="O142" s="702"/>
      <c r="P142" s="702"/>
      <c r="Q142" s="702"/>
      <c r="R142" s="702"/>
    </row>
    <row r="143" customFormat="false" ht="12" hidden="false" customHeight="false" outlineLevel="0" collapsed="false">
      <c r="B143" s="702"/>
      <c r="C143" s="702"/>
      <c r="D143" s="702"/>
      <c r="E143" s="702"/>
      <c r="F143" s="702"/>
      <c r="G143" s="702"/>
      <c r="H143" s="742"/>
      <c r="I143" s="742"/>
      <c r="J143" s="742"/>
      <c r="K143" s="742"/>
      <c r="L143" s="742"/>
      <c r="M143" s="702"/>
      <c r="N143" s="702"/>
      <c r="O143" s="702"/>
      <c r="P143" s="702"/>
      <c r="Q143" s="702"/>
      <c r="R143" s="702"/>
    </row>
    <row r="144" customFormat="false" ht="12" hidden="false" customHeight="false" outlineLevel="0" collapsed="false">
      <c r="B144" s="702"/>
      <c r="C144" s="702"/>
      <c r="D144" s="702"/>
      <c r="E144" s="702"/>
      <c r="F144" s="702"/>
      <c r="G144" s="702"/>
      <c r="H144" s="742"/>
      <c r="I144" s="742"/>
      <c r="J144" s="742"/>
      <c r="K144" s="742"/>
      <c r="L144" s="742"/>
      <c r="M144" s="702"/>
      <c r="N144" s="702"/>
      <c r="O144" s="702"/>
      <c r="P144" s="702"/>
      <c r="Q144" s="702"/>
      <c r="R144" s="702"/>
    </row>
    <row r="145" customFormat="false" ht="12" hidden="false" customHeight="false" outlineLevel="0" collapsed="false">
      <c r="B145" s="702"/>
      <c r="C145" s="702"/>
      <c r="D145" s="702"/>
      <c r="E145" s="702"/>
      <c r="F145" s="702"/>
      <c r="G145" s="702"/>
      <c r="H145" s="742"/>
      <c r="I145" s="742"/>
      <c r="J145" s="742"/>
      <c r="K145" s="742"/>
      <c r="L145" s="742"/>
      <c r="M145" s="702"/>
      <c r="N145" s="702"/>
      <c r="O145" s="702"/>
      <c r="P145" s="702"/>
      <c r="Q145" s="702"/>
      <c r="R145" s="702"/>
    </row>
    <row r="146" customFormat="false" ht="12" hidden="false" customHeight="false" outlineLevel="0" collapsed="false">
      <c r="B146" s="702"/>
      <c r="C146" s="702"/>
      <c r="D146" s="702"/>
      <c r="E146" s="702"/>
      <c r="F146" s="702"/>
      <c r="G146" s="702"/>
      <c r="H146" s="742"/>
      <c r="I146" s="742"/>
      <c r="J146" s="742"/>
      <c r="K146" s="742"/>
      <c r="L146" s="742"/>
      <c r="M146" s="702"/>
      <c r="N146" s="702"/>
      <c r="O146" s="702"/>
      <c r="P146" s="702"/>
      <c r="Q146" s="702"/>
      <c r="R146" s="702"/>
    </row>
    <row r="147" customFormat="false" ht="12" hidden="false" customHeight="false" outlineLevel="0" collapsed="false">
      <c r="B147" s="702"/>
      <c r="C147" s="702"/>
      <c r="D147" s="702"/>
      <c r="E147" s="702"/>
      <c r="F147" s="702"/>
      <c r="G147" s="702"/>
      <c r="H147" s="742"/>
      <c r="I147" s="742"/>
      <c r="J147" s="742"/>
      <c r="K147" s="742"/>
      <c r="L147" s="742"/>
      <c r="M147" s="702"/>
      <c r="N147" s="702"/>
      <c r="O147" s="702"/>
      <c r="P147" s="702"/>
      <c r="Q147" s="702"/>
      <c r="R147" s="702"/>
    </row>
    <row r="148" customFormat="false" ht="12" hidden="false" customHeight="false" outlineLevel="0" collapsed="false">
      <c r="B148" s="702"/>
      <c r="C148" s="702"/>
      <c r="D148" s="702"/>
      <c r="E148" s="702"/>
      <c r="F148" s="702"/>
      <c r="G148" s="702"/>
      <c r="H148" s="742"/>
      <c r="I148" s="742"/>
      <c r="J148" s="742"/>
      <c r="K148" s="742"/>
      <c r="L148" s="742"/>
      <c r="M148" s="702"/>
      <c r="N148" s="702"/>
      <c r="O148" s="702"/>
      <c r="P148" s="702"/>
      <c r="Q148" s="702"/>
      <c r="R148" s="702"/>
    </row>
    <row r="149" customFormat="false" ht="12" hidden="false" customHeight="false" outlineLevel="0" collapsed="false">
      <c r="B149" s="702"/>
      <c r="C149" s="702"/>
      <c r="D149" s="702"/>
      <c r="E149" s="702"/>
      <c r="F149" s="702"/>
      <c r="G149" s="702"/>
      <c r="H149" s="742"/>
      <c r="I149" s="742"/>
      <c r="J149" s="742"/>
      <c r="K149" s="742"/>
      <c r="L149" s="742"/>
      <c r="M149" s="702"/>
      <c r="N149" s="702"/>
      <c r="O149" s="702"/>
      <c r="P149" s="702"/>
      <c r="Q149" s="702"/>
      <c r="R149" s="702"/>
    </row>
    <row r="150" customFormat="false" ht="12" hidden="false" customHeight="false" outlineLevel="0" collapsed="false">
      <c r="B150" s="702"/>
      <c r="C150" s="702"/>
      <c r="D150" s="702"/>
      <c r="E150" s="702"/>
      <c r="F150" s="702"/>
      <c r="G150" s="702"/>
      <c r="H150" s="742"/>
      <c r="I150" s="742"/>
      <c r="J150" s="742"/>
      <c r="K150" s="742"/>
      <c r="L150" s="742"/>
      <c r="M150" s="702"/>
      <c r="N150" s="702"/>
      <c r="O150" s="702"/>
      <c r="P150" s="702"/>
      <c r="Q150" s="702"/>
      <c r="R150" s="702"/>
    </row>
    <row r="151" customFormat="false" ht="12" hidden="false" customHeight="false" outlineLevel="0" collapsed="false">
      <c r="B151" s="702"/>
      <c r="C151" s="702"/>
      <c r="D151" s="702"/>
      <c r="E151" s="702"/>
      <c r="F151" s="702"/>
      <c r="G151" s="702"/>
      <c r="H151" s="742"/>
      <c r="I151" s="742"/>
      <c r="J151" s="742"/>
      <c r="K151" s="742"/>
      <c r="L151" s="742"/>
      <c r="M151" s="702"/>
      <c r="N151" s="702"/>
      <c r="O151" s="702"/>
      <c r="P151" s="702"/>
      <c r="Q151" s="702"/>
      <c r="R151" s="702"/>
    </row>
    <row r="152" customFormat="false" ht="12" hidden="false" customHeight="false" outlineLevel="0" collapsed="false">
      <c r="B152" s="702"/>
      <c r="C152" s="702"/>
      <c r="D152" s="702"/>
      <c r="E152" s="702"/>
      <c r="F152" s="702"/>
      <c r="G152" s="702"/>
      <c r="H152" s="742"/>
      <c r="I152" s="742"/>
      <c r="J152" s="742"/>
      <c r="K152" s="742"/>
      <c r="L152" s="742"/>
      <c r="M152" s="702"/>
      <c r="N152" s="702"/>
      <c r="O152" s="702"/>
      <c r="P152" s="702"/>
      <c r="Q152" s="702"/>
      <c r="R152" s="702"/>
    </row>
    <row r="153" customFormat="false" ht="12" hidden="false" customHeight="false" outlineLevel="0" collapsed="false">
      <c r="B153" s="702"/>
      <c r="C153" s="702"/>
      <c r="D153" s="702"/>
      <c r="E153" s="702"/>
      <c r="F153" s="702"/>
      <c r="G153" s="702"/>
      <c r="H153" s="742"/>
      <c r="I153" s="742"/>
      <c r="J153" s="742"/>
      <c r="K153" s="742"/>
      <c r="L153" s="742"/>
      <c r="M153" s="702"/>
      <c r="N153" s="702"/>
      <c r="O153" s="702"/>
      <c r="P153" s="702"/>
      <c r="Q153" s="702"/>
      <c r="R153" s="702"/>
    </row>
    <row r="154" customFormat="false" ht="12" hidden="false" customHeight="false" outlineLevel="0" collapsed="false">
      <c r="B154" s="702"/>
      <c r="C154" s="702"/>
      <c r="D154" s="702"/>
      <c r="E154" s="702"/>
      <c r="F154" s="702"/>
      <c r="G154" s="702"/>
      <c r="H154" s="742"/>
      <c r="I154" s="742"/>
      <c r="J154" s="742"/>
      <c r="K154" s="742"/>
      <c r="L154" s="742"/>
      <c r="M154" s="702"/>
      <c r="N154" s="702"/>
      <c r="O154" s="702"/>
      <c r="P154" s="702"/>
      <c r="Q154" s="702"/>
      <c r="R154" s="702"/>
    </row>
    <row r="155" customFormat="false" ht="12" hidden="false" customHeight="false" outlineLevel="0" collapsed="false">
      <c r="B155" s="702"/>
      <c r="C155" s="702"/>
      <c r="D155" s="702"/>
      <c r="E155" s="702"/>
      <c r="F155" s="702"/>
      <c r="G155" s="702"/>
      <c r="H155" s="742"/>
      <c r="I155" s="742"/>
      <c r="J155" s="742"/>
      <c r="K155" s="742"/>
      <c r="L155" s="742"/>
      <c r="M155" s="702"/>
      <c r="N155" s="702"/>
      <c r="O155" s="702"/>
      <c r="P155" s="702"/>
      <c r="Q155" s="702"/>
      <c r="R155" s="702"/>
    </row>
    <row r="156" customFormat="false" ht="12" hidden="false" customHeight="false" outlineLevel="0" collapsed="false">
      <c r="B156" s="702"/>
      <c r="C156" s="702"/>
      <c r="D156" s="702"/>
      <c r="E156" s="702"/>
      <c r="F156" s="702"/>
      <c r="G156" s="702"/>
      <c r="H156" s="742"/>
      <c r="I156" s="742"/>
      <c r="J156" s="742"/>
      <c r="K156" s="742"/>
      <c r="L156" s="742"/>
      <c r="M156" s="702"/>
      <c r="N156" s="702"/>
      <c r="O156" s="702"/>
      <c r="P156" s="702"/>
      <c r="Q156" s="702"/>
      <c r="R156" s="702"/>
    </row>
    <row r="157" customFormat="false" ht="12" hidden="false" customHeight="false" outlineLevel="0" collapsed="false">
      <c r="B157" s="702"/>
      <c r="C157" s="702"/>
      <c r="D157" s="702"/>
      <c r="E157" s="702"/>
      <c r="F157" s="702"/>
      <c r="G157" s="702"/>
      <c r="H157" s="742"/>
      <c r="I157" s="742"/>
      <c r="J157" s="742"/>
      <c r="K157" s="742"/>
      <c r="L157" s="742"/>
      <c r="M157" s="702"/>
      <c r="N157" s="702"/>
      <c r="O157" s="702"/>
      <c r="P157" s="702"/>
      <c r="Q157" s="702"/>
      <c r="R157" s="702"/>
    </row>
    <row r="158" customFormat="false" ht="12" hidden="false" customHeight="false" outlineLevel="0" collapsed="false">
      <c r="B158" s="702"/>
      <c r="C158" s="702"/>
      <c r="D158" s="702"/>
      <c r="E158" s="702"/>
      <c r="F158" s="702"/>
      <c r="G158" s="702"/>
      <c r="H158" s="742"/>
      <c r="I158" s="742"/>
      <c r="J158" s="742"/>
      <c r="K158" s="742"/>
      <c r="L158" s="742"/>
      <c r="M158" s="702"/>
      <c r="N158" s="702"/>
      <c r="O158" s="702"/>
      <c r="P158" s="702"/>
      <c r="Q158" s="702"/>
      <c r="R158" s="702"/>
    </row>
    <row r="159" customFormat="false" ht="12" hidden="false" customHeight="false" outlineLevel="0" collapsed="false">
      <c r="B159" s="702"/>
      <c r="C159" s="702"/>
      <c r="D159" s="702"/>
      <c r="E159" s="702"/>
      <c r="F159" s="702"/>
      <c r="G159" s="702"/>
      <c r="H159" s="742"/>
      <c r="I159" s="742"/>
      <c r="J159" s="742"/>
      <c r="K159" s="742"/>
      <c r="L159" s="742"/>
      <c r="M159" s="702"/>
      <c r="N159" s="702"/>
      <c r="O159" s="702"/>
      <c r="P159" s="702"/>
      <c r="Q159" s="702"/>
      <c r="R159" s="702"/>
    </row>
    <row r="160" customFormat="false" ht="12" hidden="false" customHeight="false" outlineLevel="0" collapsed="false">
      <c r="B160" s="702"/>
      <c r="C160" s="702"/>
      <c r="D160" s="702"/>
      <c r="E160" s="702"/>
      <c r="F160" s="702"/>
      <c r="G160" s="702"/>
      <c r="H160" s="742"/>
      <c r="I160" s="742"/>
      <c r="J160" s="742"/>
      <c r="K160" s="742"/>
      <c r="L160" s="742"/>
      <c r="M160" s="702"/>
      <c r="N160" s="702"/>
      <c r="O160" s="702"/>
      <c r="P160" s="702"/>
      <c r="Q160" s="702"/>
      <c r="R160" s="702"/>
    </row>
    <row r="161" customFormat="false" ht="12" hidden="false" customHeight="false" outlineLevel="0" collapsed="false">
      <c r="B161" s="702"/>
      <c r="C161" s="702"/>
      <c r="D161" s="702"/>
      <c r="E161" s="702"/>
      <c r="F161" s="702"/>
      <c r="G161" s="702"/>
      <c r="H161" s="742"/>
      <c r="I161" s="742"/>
      <c r="J161" s="742"/>
      <c r="K161" s="742"/>
      <c r="L161" s="742"/>
      <c r="M161" s="702"/>
      <c r="N161" s="702"/>
      <c r="O161" s="702"/>
      <c r="P161" s="702"/>
      <c r="Q161" s="702"/>
      <c r="R161" s="702"/>
    </row>
    <row r="162" customFormat="false" ht="12" hidden="false" customHeight="false" outlineLevel="0" collapsed="false">
      <c r="B162" s="702"/>
      <c r="C162" s="702"/>
      <c r="D162" s="702"/>
      <c r="E162" s="702"/>
      <c r="F162" s="702"/>
      <c r="G162" s="702"/>
      <c r="H162" s="742"/>
      <c r="I162" s="742"/>
      <c r="J162" s="742"/>
      <c r="K162" s="742"/>
      <c r="L162" s="742"/>
      <c r="M162" s="702"/>
      <c r="N162" s="702"/>
      <c r="O162" s="702"/>
      <c r="P162" s="702"/>
      <c r="Q162" s="702"/>
      <c r="R162" s="702"/>
    </row>
    <row r="163" customFormat="false" ht="12" hidden="false" customHeight="false" outlineLevel="0" collapsed="false">
      <c r="B163" s="702"/>
      <c r="C163" s="702"/>
      <c r="D163" s="702"/>
      <c r="E163" s="702"/>
      <c r="F163" s="702"/>
      <c r="G163" s="702"/>
      <c r="H163" s="742"/>
      <c r="I163" s="742"/>
      <c r="J163" s="742"/>
      <c r="K163" s="742"/>
      <c r="L163" s="742"/>
      <c r="M163" s="702"/>
      <c r="N163" s="702"/>
      <c r="O163" s="702"/>
      <c r="P163" s="702"/>
      <c r="Q163" s="702"/>
      <c r="R163" s="702"/>
    </row>
    <row r="164" customFormat="false" ht="12" hidden="false" customHeight="false" outlineLevel="0" collapsed="false">
      <c r="B164" s="702"/>
      <c r="C164" s="702"/>
      <c r="D164" s="702"/>
      <c r="E164" s="702"/>
      <c r="F164" s="702"/>
      <c r="G164" s="702"/>
      <c r="H164" s="742"/>
      <c r="I164" s="742"/>
      <c r="J164" s="742"/>
      <c r="K164" s="742"/>
      <c r="L164" s="742"/>
      <c r="M164" s="702"/>
      <c r="N164" s="702"/>
      <c r="O164" s="702"/>
      <c r="P164" s="702"/>
      <c r="Q164" s="702"/>
      <c r="R164" s="702"/>
    </row>
    <row r="165" customFormat="false" ht="12" hidden="false" customHeight="false" outlineLevel="0" collapsed="false">
      <c r="B165" s="702"/>
      <c r="C165" s="702"/>
      <c r="D165" s="702"/>
      <c r="E165" s="702"/>
      <c r="F165" s="702"/>
      <c r="G165" s="702"/>
      <c r="H165" s="742"/>
      <c r="I165" s="742"/>
      <c r="J165" s="742"/>
      <c r="K165" s="742"/>
      <c r="L165" s="742"/>
      <c r="M165" s="702"/>
      <c r="N165" s="702"/>
      <c r="O165" s="702"/>
      <c r="P165" s="702"/>
      <c r="Q165" s="702"/>
      <c r="R165" s="702"/>
    </row>
    <row r="166" customFormat="false" ht="12" hidden="false" customHeight="false" outlineLevel="0" collapsed="false">
      <c r="B166" s="702"/>
      <c r="C166" s="702"/>
      <c r="D166" s="702"/>
      <c r="E166" s="702"/>
      <c r="F166" s="702"/>
      <c r="G166" s="702"/>
      <c r="H166" s="742"/>
      <c r="I166" s="742"/>
      <c r="J166" s="742"/>
      <c r="K166" s="742"/>
      <c r="L166" s="742"/>
      <c r="M166" s="702"/>
      <c r="N166" s="702"/>
      <c r="O166" s="702"/>
      <c r="P166" s="702"/>
      <c r="Q166" s="702"/>
      <c r="R166" s="702"/>
    </row>
    <row r="167" customFormat="false" ht="12" hidden="false" customHeight="false" outlineLevel="0" collapsed="false">
      <c r="B167" s="702"/>
      <c r="C167" s="702"/>
      <c r="D167" s="702"/>
      <c r="E167" s="702"/>
      <c r="F167" s="702"/>
      <c r="G167" s="702"/>
      <c r="H167" s="742"/>
      <c r="I167" s="742"/>
      <c r="J167" s="742"/>
      <c r="K167" s="742"/>
      <c r="L167" s="742"/>
      <c r="M167" s="702"/>
      <c r="N167" s="702"/>
      <c r="O167" s="702"/>
      <c r="P167" s="702"/>
      <c r="Q167" s="702"/>
      <c r="R167" s="702"/>
    </row>
    <row r="168" customFormat="false" ht="12" hidden="false" customHeight="false" outlineLevel="0" collapsed="false">
      <c r="B168" s="702"/>
      <c r="C168" s="702"/>
      <c r="D168" s="702"/>
      <c r="E168" s="702"/>
      <c r="F168" s="702"/>
      <c r="G168" s="702"/>
      <c r="H168" s="742"/>
      <c r="I168" s="742"/>
      <c r="J168" s="742"/>
      <c r="K168" s="742"/>
      <c r="L168" s="742"/>
      <c r="M168" s="702"/>
      <c r="N168" s="702"/>
      <c r="O168" s="702"/>
      <c r="P168" s="702"/>
      <c r="Q168" s="702"/>
      <c r="R168" s="702"/>
    </row>
    <row r="169" customFormat="false" ht="12" hidden="false" customHeight="false" outlineLevel="0" collapsed="false">
      <c r="B169" s="702"/>
      <c r="C169" s="702"/>
      <c r="D169" s="702"/>
      <c r="E169" s="702"/>
      <c r="F169" s="702"/>
      <c r="G169" s="702"/>
      <c r="H169" s="742"/>
      <c r="I169" s="742"/>
      <c r="J169" s="742"/>
      <c r="K169" s="742"/>
      <c r="L169" s="742"/>
      <c r="M169" s="702"/>
      <c r="N169" s="702"/>
      <c r="O169" s="702"/>
      <c r="P169" s="702"/>
      <c r="Q169" s="702"/>
      <c r="R169" s="702"/>
    </row>
    <row r="170" customFormat="false" ht="12" hidden="false" customHeight="false" outlineLevel="0" collapsed="false">
      <c r="B170" s="702"/>
      <c r="C170" s="702"/>
      <c r="D170" s="702"/>
      <c r="E170" s="702"/>
      <c r="F170" s="702"/>
      <c r="G170" s="702"/>
      <c r="H170" s="742"/>
      <c r="I170" s="742"/>
      <c r="J170" s="742"/>
      <c r="K170" s="742"/>
      <c r="L170" s="742"/>
      <c r="M170" s="702"/>
      <c r="N170" s="702"/>
      <c r="O170" s="702"/>
      <c r="P170" s="702"/>
      <c r="Q170" s="702"/>
      <c r="R170" s="702"/>
    </row>
    <row r="171" customFormat="false" ht="12" hidden="false" customHeight="false" outlineLevel="0" collapsed="false">
      <c r="B171" s="702"/>
      <c r="C171" s="702"/>
      <c r="D171" s="702"/>
      <c r="E171" s="702"/>
      <c r="F171" s="702"/>
      <c r="G171" s="702"/>
      <c r="H171" s="742"/>
      <c r="I171" s="742"/>
      <c r="J171" s="742"/>
      <c r="K171" s="742"/>
      <c r="L171" s="742"/>
      <c r="M171" s="702"/>
      <c r="N171" s="702"/>
      <c r="O171" s="702"/>
      <c r="P171" s="702"/>
      <c r="Q171" s="702"/>
      <c r="R171" s="702"/>
    </row>
    <row r="172" customFormat="false" ht="12" hidden="false" customHeight="false" outlineLevel="0" collapsed="false">
      <c r="B172" s="702"/>
      <c r="C172" s="702"/>
      <c r="D172" s="702"/>
      <c r="E172" s="702"/>
      <c r="F172" s="702"/>
      <c r="G172" s="702"/>
      <c r="H172" s="742"/>
      <c r="I172" s="742"/>
      <c r="J172" s="742"/>
      <c r="K172" s="742"/>
      <c r="L172" s="742"/>
      <c r="M172" s="702"/>
      <c r="N172" s="702"/>
      <c r="O172" s="702"/>
      <c r="P172" s="702"/>
      <c r="Q172" s="702"/>
      <c r="R172" s="702"/>
    </row>
    <row r="173" customFormat="false" ht="12" hidden="false" customHeight="false" outlineLevel="0" collapsed="false">
      <c r="B173" s="702"/>
      <c r="C173" s="702"/>
      <c r="D173" s="702"/>
      <c r="E173" s="702"/>
      <c r="F173" s="702"/>
      <c r="G173" s="702"/>
      <c r="H173" s="742"/>
      <c r="I173" s="742"/>
      <c r="J173" s="742"/>
      <c r="K173" s="742"/>
      <c r="L173" s="742"/>
      <c r="M173" s="702"/>
      <c r="N173" s="702"/>
      <c r="O173" s="702"/>
      <c r="P173" s="702"/>
      <c r="Q173" s="702"/>
      <c r="R173" s="702"/>
    </row>
    <row r="174" customFormat="false" ht="12" hidden="false" customHeight="false" outlineLevel="0" collapsed="false">
      <c r="B174" s="702"/>
      <c r="C174" s="702"/>
      <c r="D174" s="702"/>
      <c r="E174" s="702"/>
      <c r="F174" s="702"/>
      <c r="G174" s="702"/>
      <c r="H174" s="742"/>
      <c r="I174" s="742"/>
      <c r="J174" s="742"/>
      <c r="K174" s="742"/>
      <c r="L174" s="742"/>
      <c r="M174" s="702"/>
      <c r="N174" s="702"/>
      <c r="O174" s="702"/>
      <c r="P174" s="702"/>
      <c r="Q174" s="702"/>
      <c r="R174" s="702"/>
    </row>
    <row r="175" customFormat="false" ht="12" hidden="false" customHeight="false" outlineLevel="0" collapsed="false">
      <c r="B175" s="702"/>
      <c r="C175" s="702"/>
      <c r="D175" s="702"/>
      <c r="E175" s="702"/>
      <c r="F175" s="702"/>
      <c r="G175" s="702"/>
      <c r="H175" s="742"/>
      <c r="I175" s="742"/>
      <c r="J175" s="742"/>
      <c r="K175" s="742"/>
      <c r="L175" s="742"/>
      <c r="M175" s="702"/>
      <c r="N175" s="702"/>
      <c r="O175" s="702"/>
      <c r="P175" s="702"/>
      <c r="Q175" s="702"/>
      <c r="R175" s="702"/>
    </row>
    <row r="176" customFormat="false" ht="12" hidden="false" customHeight="false" outlineLevel="0" collapsed="false">
      <c r="B176" s="702"/>
      <c r="C176" s="702"/>
      <c r="D176" s="702"/>
      <c r="E176" s="702"/>
      <c r="F176" s="702"/>
      <c r="G176" s="702"/>
      <c r="H176" s="742"/>
      <c r="I176" s="742"/>
      <c r="J176" s="742"/>
      <c r="K176" s="742"/>
      <c r="L176" s="742"/>
      <c r="M176" s="702"/>
      <c r="N176" s="702"/>
      <c r="O176" s="702"/>
      <c r="P176" s="702"/>
      <c r="Q176" s="702"/>
      <c r="R176" s="702"/>
    </row>
    <row r="177" customFormat="false" ht="12" hidden="false" customHeight="false" outlineLevel="0" collapsed="false">
      <c r="B177" s="702"/>
      <c r="C177" s="702"/>
      <c r="D177" s="702"/>
      <c r="E177" s="702"/>
      <c r="F177" s="702"/>
      <c r="G177" s="702"/>
      <c r="H177" s="742"/>
      <c r="I177" s="742"/>
      <c r="J177" s="742"/>
      <c r="K177" s="742"/>
      <c r="L177" s="742"/>
      <c r="M177" s="702"/>
      <c r="N177" s="702"/>
      <c r="O177" s="702"/>
      <c r="P177" s="702"/>
      <c r="Q177" s="702"/>
      <c r="R177" s="702"/>
    </row>
    <row r="178" customFormat="false" ht="12" hidden="false" customHeight="false" outlineLevel="0" collapsed="false">
      <c r="B178" s="702"/>
      <c r="C178" s="702"/>
      <c r="D178" s="702"/>
      <c r="E178" s="702"/>
      <c r="F178" s="702"/>
      <c r="G178" s="702"/>
      <c r="H178" s="742"/>
      <c r="I178" s="742"/>
      <c r="J178" s="742"/>
      <c r="K178" s="742"/>
      <c r="L178" s="742"/>
      <c r="M178" s="702"/>
      <c r="N178" s="702"/>
      <c r="O178" s="702"/>
      <c r="P178" s="702"/>
      <c r="Q178" s="702"/>
      <c r="R178" s="702"/>
    </row>
    <row r="179" customFormat="false" ht="12" hidden="false" customHeight="false" outlineLevel="0" collapsed="false">
      <c r="B179" s="702"/>
      <c r="C179" s="702"/>
      <c r="D179" s="702"/>
      <c r="E179" s="702"/>
      <c r="F179" s="702"/>
      <c r="G179" s="702"/>
      <c r="H179" s="742"/>
      <c r="I179" s="742"/>
      <c r="J179" s="742"/>
      <c r="K179" s="742"/>
      <c r="L179" s="742"/>
      <c r="M179" s="702"/>
      <c r="N179" s="702"/>
      <c r="O179" s="702"/>
      <c r="P179" s="702"/>
      <c r="Q179" s="702"/>
      <c r="R179" s="702"/>
    </row>
    <row r="180" customFormat="false" ht="12" hidden="false" customHeight="false" outlineLevel="0" collapsed="false">
      <c r="B180" s="702"/>
      <c r="C180" s="702"/>
      <c r="D180" s="702"/>
      <c r="E180" s="702"/>
      <c r="F180" s="702"/>
      <c r="G180" s="702"/>
      <c r="H180" s="742"/>
      <c r="I180" s="742"/>
      <c r="J180" s="742"/>
      <c r="K180" s="742"/>
      <c r="L180" s="742"/>
      <c r="M180" s="702"/>
      <c r="N180" s="702"/>
      <c r="O180" s="702"/>
      <c r="P180" s="702"/>
      <c r="Q180" s="702"/>
      <c r="R180" s="702"/>
    </row>
    <row r="181" customFormat="false" ht="12" hidden="false" customHeight="false" outlineLevel="0" collapsed="false">
      <c r="B181" s="702"/>
      <c r="C181" s="702"/>
      <c r="D181" s="702"/>
      <c r="E181" s="702"/>
      <c r="F181" s="702"/>
      <c r="G181" s="702"/>
      <c r="H181" s="742"/>
      <c r="I181" s="742"/>
      <c r="J181" s="742"/>
      <c r="K181" s="742"/>
      <c r="L181" s="742"/>
      <c r="M181" s="702"/>
      <c r="N181" s="702"/>
      <c r="O181" s="702"/>
      <c r="P181" s="702"/>
      <c r="Q181" s="702"/>
      <c r="R181" s="702"/>
    </row>
    <row r="182" customFormat="false" ht="12" hidden="false" customHeight="false" outlineLevel="0" collapsed="false">
      <c r="B182" s="702"/>
      <c r="C182" s="702"/>
      <c r="D182" s="702"/>
      <c r="E182" s="702"/>
      <c r="F182" s="702"/>
      <c r="G182" s="702"/>
      <c r="H182" s="742"/>
      <c r="I182" s="742"/>
      <c r="J182" s="742"/>
      <c r="K182" s="742"/>
      <c r="L182" s="742"/>
      <c r="M182" s="702"/>
      <c r="N182" s="702"/>
      <c r="O182" s="702"/>
      <c r="P182" s="702"/>
      <c r="Q182" s="702"/>
      <c r="R182" s="702"/>
    </row>
    <row r="183" customFormat="false" ht="12" hidden="false" customHeight="false" outlineLevel="0" collapsed="false">
      <c r="B183" s="702"/>
      <c r="C183" s="702"/>
      <c r="D183" s="702"/>
      <c r="E183" s="702"/>
      <c r="F183" s="702"/>
      <c r="G183" s="702"/>
      <c r="H183" s="742"/>
      <c r="I183" s="742"/>
      <c r="J183" s="742"/>
      <c r="K183" s="742"/>
      <c r="L183" s="742"/>
      <c r="M183" s="702"/>
      <c r="N183" s="702"/>
      <c r="O183" s="702"/>
      <c r="P183" s="702"/>
      <c r="Q183" s="702"/>
      <c r="R183" s="702"/>
    </row>
    <row r="184" customFormat="false" ht="12" hidden="false" customHeight="false" outlineLevel="0" collapsed="false">
      <c r="B184" s="702"/>
      <c r="C184" s="702"/>
      <c r="D184" s="702"/>
      <c r="E184" s="702"/>
      <c r="F184" s="702"/>
      <c r="G184" s="702"/>
      <c r="H184" s="742"/>
      <c r="I184" s="742"/>
      <c r="J184" s="742"/>
      <c r="K184" s="742"/>
      <c r="L184" s="742"/>
      <c r="M184" s="702"/>
      <c r="N184" s="702"/>
      <c r="O184" s="702"/>
      <c r="P184" s="702"/>
      <c r="Q184" s="702"/>
      <c r="R184" s="702"/>
    </row>
    <row r="185" customFormat="false" ht="12" hidden="false" customHeight="false" outlineLevel="0" collapsed="false">
      <c r="B185" s="702"/>
      <c r="C185" s="702"/>
      <c r="D185" s="702"/>
      <c r="E185" s="702"/>
      <c r="F185" s="702"/>
      <c r="G185" s="702"/>
      <c r="H185" s="742"/>
      <c r="I185" s="742"/>
      <c r="J185" s="742"/>
      <c r="K185" s="742"/>
      <c r="L185" s="742"/>
      <c r="M185" s="702"/>
      <c r="N185" s="702"/>
      <c r="O185" s="702"/>
      <c r="P185" s="702"/>
      <c r="Q185" s="702"/>
      <c r="R185" s="702"/>
    </row>
    <row r="186" customFormat="false" ht="12" hidden="false" customHeight="false" outlineLevel="0" collapsed="false">
      <c r="B186" s="702"/>
      <c r="C186" s="702"/>
      <c r="D186" s="702"/>
      <c r="E186" s="702"/>
      <c r="F186" s="702"/>
      <c r="G186" s="702"/>
      <c r="H186" s="742"/>
      <c r="I186" s="742"/>
      <c r="J186" s="742"/>
      <c r="K186" s="742"/>
      <c r="L186" s="742"/>
      <c r="M186" s="702"/>
      <c r="N186" s="702"/>
      <c r="O186" s="702"/>
      <c r="P186" s="702"/>
      <c r="Q186" s="702"/>
      <c r="R186" s="702"/>
    </row>
    <row r="187" customFormat="false" ht="12" hidden="false" customHeight="false" outlineLevel="0" collapsed="false">
      <c r="B187" s="702"/>
      <c r="C187" s="702"/>
      <c r="D187" s="702"/>
      <c r="E187" s="702"/>
      <c r="F187" s="702"/>
      <c r="G187" s="702"/>
      <c r="H187" s="742"/>
      <c r="I187" s="742"/>
      <c r="J187" s="742"/>
      <c r="K187" s="742"/>
      <c r="L187" s="742"/>
      <c r="M187" s="702"/>
      <c r="N187" s="702"/>
      <c r="O187" s="702"/>
      <c r="P187" s="702"/>
      <c r="Q187" s="702"/>
      <c r="R187" s="702"/>
    </row>
    <row r="188" customFormat="false" ht="12" hidden="false" customHeight="false" outlineLevel="0" collapsed="false">
      <c r="B188" s="702"/>
      <c r="C188" s="702"/>
      <c r="D188" s="702"/>
      <c r="E188" s="702"/>
      <c r="F188" s="702"/>
      <c r="G188" s="702"/>
      <c r="H188" s="742"/>
      <c r="I188" s="742"/>
      <c r="J188" s="742"/>
      <c r="K188" s="742"/>
      <c r="L188" s="742"/>
      <c r="M188" s="702"/>
      <c r="N188" s="702"/>
      <c r="O188" s="702"/>
      <c r="P188" s="702"/>
      <c r="Q188" s="702"/>
      <c r="R188" s="702"/>
    </row>
    <row r="189" customFormat="false" ht="12" hidden="false" customHeight="false" outlineLevel="0" collapsed="false">
      <c r="B189" s="702"/>
      <c r="C189" s="702"/>
      <c r="D189" s="702"/>
      <c r="E189" s="702"/>
      <c r="F189" s="702"/>
      <c r="G189" s="702"/>
      <c r="H189" s="742"/>
      <c r="I189" s="742"/>
      <c r="J189" s="742"/>
      <c r="K189" s="742"/>
      <c r="L189" s="742"/>
      <c r="M189" s="702"/>
      <c r="N189" s="702"/>
      <c r="O189" s="702"/>
      <c r="P189" s="702"/>
      <c r="Q189" s="702"/>
      <c r="R189" s="702"/>
    </row>
    <row r="190" customFormat="false" ht="12" hidden="false" customHeight="false" outlineLevel="0" collapsed="false">
      <c r="B190" s="702"/>
      <c r="C190" s="702"/>
      <c r="D190" s="702"/>
      <c r="E190" s="702"/>
      <c r="F190" s="702"/>
      <c r="G190" s="702"/>
      <c r="H190" s="742"/>
      <c r="I190" s="742"/>
      <c r="J190" s="742"/>
      <c r="K190" s="742"/>
      <c r="L190" s="742"/>
      <c r="M190" s="702"/>
      <c r="N190" s="702"/>
      <c r="O190" s="702"/>
      <c r="P190" s="702"/>
      <c r="Q190" s="702"/>
      <c r="R190" s="702"/>
    </row>
    <row r="191" customFormat="false" ht="12" hidden="false" customHeight="false" outlineLevel="0" collapsed="false">
      <c r="B191" s="702"/>
      <c r="C191" s="702"/>
      <c r="D191" s="702"/>
      <c r="E191" s="702"/>
      <c r="F191" s="702"/>
      <c r="G191" s="702"/>
      <c r="H191" s="742"/>
      <c r="I191" s="742"/>
      <c r="J191" s="742"/>
      <c r="K191" s="742"/>
      <c r="L191" s="742"/>
      <c r="M191" s="702"/>
      <c r="N191" s="702"/>
      <c r="O191" s="702"/>
      <c r="P191" s="702"/>
      <c r="Q191" s="702"/>
      <c r="R191" s="702"/>
    </row>
    <row r="192" customFormat="false" ht="12" hidden="false" customHeight="false" outlineLevel="0" collapsed="false">
      <c r="B192" s="702"/>
      <c r="C192" s="702"/>
      <c r="D192" s="702"/>
      <c r="E192" s="702"/>
      <c r="F192" s="702"/>
      <c r="G192" s="702"/>
      <c r="H192" s="742"/>
      <c r="I192" s="742"/>
      <c r="J192" s="742"/>
      <c r="K192" s="742"/>
      <c r="L192" s="742"/>
      <c r="M192" s="702"/>
      <c r="N192" s="702"/>
      <c r="O192" s="702"/>
      <c r="P192" s="702"/>
      <c r="Q192" s="702"/>
      <c r="R192" s="702"/>
    </row>
    <row r="193" customFormat="false" ht="12" hidden="false" customHeight="false" outlineLevel="0" collapsed="false">
      <c r="B193" s="702"/>
      <c r="C193" s="702"/>
      <c r="D193" s="702"/>
      <c r="E193" s="702"/>
      <c r="F193" s="702"/>
      <c r="G193" s="702"/>
      <c r="H193" s="742"/>
      <c r="I193" s="742"/>
      <c r="J193" s="742"/>
      <c r="K193" s="742"/>
      <c r="L193" s="742"/>
      <c r="M193" s="702"/>
      <c r="N193" s="702"/>
      <c r="O193" s="702"/>
      <c r="P193" s="702"/>
      <c r="Q193" s="702"/>
      <c r="R193" s="702"/>
    </row>
    <row r="194" customFormat="false" ht="12" hidden="false" customHeight="false" outlineLevel="0" collapsed="false">
      <c r="B194" s="702"/>
      <c r="C194" s="702"/>
      <c r="D194" s="702"/>
      <c r="E194" s="702"/>
      <c r="F194" s="702"/>
      <c r="G194" s="702"/>
      <c r="H194" s="742"/>
      <c r="I194" s="742"/>
      <c r="J194" s="742"/>
      <c r="K194" s="742"/>
      <c r="L194" s="742"/>
      <c r="M194" s="702"/>
      <c r="N194" s="702"/>
      <c r="O194" s="702"/>
      <c r="P194" s="702"/>
      <c r="Q194" s="702"/>
      <c r="R194" s="702"/>
    </row>
    <row r="195" customFormat="false" ht="12" hidden="false" customHeight="false" outlineLevel="0" collapsed="false">
      <c r="B195" s="702"/>
      <c r="C195" s="702"/>
      <c r="D195" s="702"/>
      <c r="E195" s="702"/>
      <c r="F195" s="702"/>
      <c r="G195" s="702"/>
      <c r="H195" s="742"/>
      <c r="I195" s="742"/>
      <c r="J195" s="742"/>
      <c r="K195" s="742"/>
      <c r="L195" s="742"/>
      <c r="M195" s="702"/>
      <c r="N195" s="702"/>
      <c r="O195" s="702"/>
      <c r="P195" s="702"/>
      <c r="Q195" s="702"/>
      <c r="R195" s="702"/>
    </row>
    <row r="196" customFormat="false" ht="12" hidden="false" customHeight="false" outlineLevel="0" collapsed="false">
      <c r="B196" s="702"/>
      <c r="C196" s="702"/>
      <c r="D196" s="702"/>
      <c r="E196" s="702"/>
      <c r="F196" s="702"/>
      <c r="G196" s="702"/>
      <c r="H196" s="742"/>
      <c r="I196" s="742"/>
      <c r="J196" s="742"/>
      <c r="K196" s="742"/>
      <c r="L196" s="742"/>
      <c r="M196" s="702"/>
      <c r="N196" s="702"/>
      <c r="O196" s="702"/>
      <c r="P196" s="702"/>
      <c r="Q196" s="702"/>
      <c r="R196" s="702"/>
    </row>
    <row r="197" customFormat="false" ht="12" hidden="false" customHeight="false" outlineLevel="0" collapsed="false">
      <c r="B197" s="702"/>
      <c r="C197" s="702"/>
      <c r="D197" s="702"/>
      <c r="E197" s="702"/>
      <c r="F197" s="702"/>
      <c r="G197" s="702"/>
      <c r="H197" s="742"/>
      <c r="I197" s="742"/>
      <c r="J197" s="742"/>
      <c r="K197" s="742"/>
      <c r="L197" s="742"/>
      <c r="M197" s="702"/>
      <c r="N197" s="702"/>
      <c r="O197" s="702"/>
      <c r="P197" s="702"/>
      <c r="Q197" s="702"/>
      <c r="R197" s="702"/>
    </row>
    <row r="198" customFormat="false" ht="12" hidden="false" customHeight="false" outlineLevel="0" collapsed="false">
      <c r="B198" s="702"/>
      <c r="C198" s="702"/>
      <c r="D198" s="702"/>
      <c r="E198" s="702"/>
      <c r="F198" s="702"/>
      <c r="G198" s="702"/>
      <c r="H198" s="742"/>
      <c r="I198" s="742"/>
      <c r="J198" s="742"/>
      <c r="K198" s="742"/>
      <c r="L198" s="742"/>
      <c r="M198" s="702"/>
      <c r="N198" s="702"/>
      <c r="O198" s="702"/>
      <c r="P198" s="702"/>
      <c r="Q198" s="702"/>
      <c r="R198" s="702"/>
    </row>
    <row r="199" customFormat="false" ht="12" hidden="false" customHeight="false" outlineLevel="0" collapsed="false">
      <c r="B199" s="702"/>
      <c r="C199" s="702"/>
      <c r="D199" s="702"/>
      <c r="E199" s="702"/>
      <c r="F199" s="702"/>
      <c r="G199" s="702"/>
      <c r="H199" s="742"/>
      <c r="I199" s="742"/>
      <c r="J199" s="742"/>
      <c r="K199" s="742"/>
      <c r="L199" s="742"/>
      <c r="M199" s="702"/>
      <c r="N199" s="702"/>
      <c r="O199" s="702"/>
      <c r="P199" s="702"/>
      <c r="Q199" s="702"/>
      <c r="R199" s="702"/>
    </row>
    <row r="200" customFormat="false" ht="12" hidden="false" customHeight="false" outlineLevel="0" collapsed="false">
      <c r="B200" s="702"/>
      <c r="C200" s="702"/>
      <c r="D200" s="702"/>
      <c r="E200" s="702"/>
      <c r="F200" s="702"/>
      <c r="G200" s="702"/>
      <c r="H200" s="742"/>
      <c r="I200" s="742"/>
      <c r="J200" s="742"/>
      <c r="K200" s="742"/>
      <c r="L200" s="742"/>
      <c r="M200" s="702"/>
      <c r="N200" s="702"/>
      <c r="O200" s="702"/>
      <c r="P200" s="702"/>
      <c r="Q200" s="702"/>
      <c r="R200" s="702"/>
    </row>
    <row r="201" customFormat="false" ht="12" hidden="false" customHeight="false" outlineLevel="0" collapsed="false">
      <c r="B201" s="702"/>
      <c r="C201" s="702"/>
      <c r="D201" s="702"/>
      <c r="E201" s="702"/>
      <c r="F201" s="702"/>
      <c r="G201" s="702"/>
      <c r="H201" s="742"/>
      <c r="I201" s="742"/>
      <c r="J201" s="742"/>
      <c r="K201" s="742"/>
      <c r="L201" s="742"/>
      <c r="M201" s="702"/>
      <c r="N201" s="702"/>
      <c r="O201" s="702"/>
      <c r="P201" s="702"/>
      <c r="Q201" s="702"/>
      <c r="R201" s="702"/>
    </row>
    <row r="202" customFormat="false" ht="12" hidden="false" customHeight="false" outlineLevel="0" collapsed="false">
      <c r="B202" s="702"/>
      <c r="C202" s="702"/>
      <c r="D202" s="702"/>
      <c r="E202" s="702"/>
      <c r="F202" s="702"/>
      <c r="G202" s="702"/>
      <c r="H202" s="742"/>
      <c r="I202" s="742"/>
      <c r="J202" s="742"/>
      <c r="K202" s="742"/>
      <c r="L202" s="742"/>
      <c r="M202" s="702"/>
      <c r="N202" s="702"/>
      <c r="O202" s="702"/>
      <c r="P202" s="702"/>
      <c r="Q202" s="702"/>
      <c r="R202" s="702"/>
    </row>
    <row r="203" customFormat="false" ht="12" hidden="false" customHeight="false" outlineLevel="0" collapsed="false">
      <c r="B203" s="702"/>
      <c r="C203" s="702"/>
      <c r="D203" s="702"/>
      <c r="E203" s="702"/>
      <c r="F203" s="702"/>
      <c r="G203" s="702"/>
      <c r="H203" s="742"/>
      <c r="I203" s="742"/>
      <c r="J203" s="742"/>
      <c r="K203" s="742"/>
      <c r="L203" s="742"/>
      <c r="M203" s="702"/>
      <c r="N203" s="702"/>
      <c r="O203" s="702"/>
      <c r="P203" s="702"/>
      <c r="Q203" s="702"/>
      <c r="R203" s="702"/>
    </row>
    <row r="204" customFormat="false" ht="12" hidden="false" customHeight="false" outlineLevel="0" collapsed="false">
      <c r="B204" s="702"/>
      <c r="C204" s="702"/>
      <c r="D204" s="702"/>
      <c r="E204" s="702"/>
      <c r="F204" s="702"/>
      <c r="G204" s="702"/>
      <c r="H204" s="742"/>
      <c r="I204" s="742"/>
      <c r="J204" s="742"/>
      <c r="K204" s="742"/>
      <c r="L204" s="742"/>
      <c r="M204" s="702"/>
      <c r="N204" s="702"/>
      <c r="O204" s="702"/>
      <c r="P204" s="702"/>
      <c r="Q204" s="702"/>
      <c r="R204" s="702"/>
    </row>
  </sheetData>
  <mergeCells count="8">
    <mergeCell ref="A3:L3"/>
    <mergeCell ref="B6:L6"/>
    <mergeCell ref="B7:B8"/>
    <mergeCell ref="C7:C8"/>
    <mergeCell ref="D7:D8"/>
    <mergeCell ref="E7:E8"/>
    <mergeCell ref="F7:G7"/>
    <mergeCell ref="H7:L7"/>
  </mergeCells>
  <hyperlinks>
    <hyperlink ref="B1" location="Index!A1" display="Back to index"/>
  </hyperlinks>
  <printOptions headings="false" gridLines="false" gridLinesSet="true" horizontalCentered="true" verticalCentered="true"/>
  <pageMargins left="0.790277777777778" right="0.790277777777778" top="0.979861111111111" bottom="0.97986111111111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C0C0"/>
    <pageSetUpPr fitToPage="true"/>
  </sheetPr>
  <dimension ref="A1:R1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A3" activeCellId="0" sqref="A3"/>
    </sheetView>
  </sheetViews>
  <sheetFormatPr defaultColWidth="11.9921875" defaultRowHeight="12" zeroHeight="false" outlineLevelRow="0" outlineLevelCol="0"/>
  <cols>
    <col collapsed="false" customWidth="true" hidden="false" outlineLevel="0" max="1" min="1" style="666" width="15.15"/>
    <col collapsed="false" customWidth="true" hidden="false" outlineLevel="0" max="5" min="2" style="666" width="10.99"/>
    <col collapsed="false" customWidth="true" hidden="false" outlineLevel="0" max="8" min="6" style="704" width="10.99"/>
    <col collapsed="false" customWidth="true" hidden="false" outlineLevel="0" max="11" min="9" style="666" width="10.99"/>
    <col collapsed="false" customWidth="true" hidden="false" outlineLevel="0" max="15" min="12" style="666" width="8.82"/>
    <col collapsed="false" customWidth="true" hidden="false" outlineLevel="0" max="16" min="16" style="289" width="21.5"/>
    <col collapsed="false" customWidth="true" hidden="false" outlineLevel="0" max="17" min="17" style="289" width="12.99"/>
    <col collapsed="false" customWidth="false" hidden="false" outlineLevel="0" max="257" min="18" style="289" width="11.99"/>
  </cols>
  <sheetData>
    <row r="1" customFormat="false" ht="12" hidden="false" customHeight="false" outlineLevel="0" collapsed="false">
      <c r="A1" s="667"/>
      <c r="B1" s="21" t="s">
        <v>9</v>
      </c>
      <c r="C1" s="667"/>
      <c r="D1" s="667"/>
      <c r="E1" s="667"/>
      <c r="F1" s="705"/>
      <c r="G1" s="705"/>
      <c r="H1" s="705"/>
      <c r="I1" s="667"/>
      <c r="J1" s="667"/>
      <c r="K1" s="667"/>
      <c r="M1" s="667"/>
      <c r="N1" s="667"/>
    </row>
    <row r="2" customFormat="false" ht="13" hidden="false" customHeight="false" outlineLevel="0" collapsed="false"/>
    <row r="3" customFormat="false" ht="19.75" hidden="false" customHeight="true" outlineLevel="0" collapsed="false">
      <c r="A3" s="292" t="s">
        <v>229</v>
      </c>
      <c r="B3" s="292"/>
      <c r="C3" s="292"/>
      <c r="D3" s="292"/>
      <c r="E3" s="292"/>
      <c r="F3" s="292"/>
      <c r="G3" s="292"/>
      <c r="H3" s="292"/>
      <c r="I3" s="292"/>
      <c r="J3" s="292"/>
      <c r="K3" s="292"/>
      <c r="L3" s="706"/>
      <c r="M3" s="707"/>
      <c r="N3" s="707"/>
      <c r="O3" s="707"/>
    </row>
    <row r="4" customFormat="false" ht="12" hidden="false" customHeight="false" outlineLevel="0" collapsed="false">
      <c r="A4" s="293"/>
      <c r="B4" s="294"/>
      <c r="C4" s="294"/>
      <c r="D4" s="294"/>
      <c r="E4" s="294"/>
      <c r="F4" s="708"/>
      <c r="G4" s="708"/>
      <c r="H4" s="708"/>
      <c r="I4" s="294"/>
      <c r="J4" s="294"/>
      <c r="K4" s="295"/>
      <c r="L4" s="293"/>
      <c r="M4" s="294"/>
      <c r="N4" s="294"/>
      <c r="O4" s="294"/>
    </row>
    <row r="5" customFormat="false" ht="12" hidden="false" customHeight="false" outlineLevel="0" collapsed="false">
      <c r="A5" s="293"/>
      <c r="B5" s="296" t="s">
        <v>11</v>
      </c>
      <c r="C5" s="296" t="s">
        <v>12</v>
      </c>
      <c r="D5" s="296" t="s">
        <v>13</v>
      </c>
      <c r="E5" s="296" t="s">
        <v>14</v>
      </c>
      <c r="F5" s="296" t="s">
        <v>15</v>
      </c>
      <c r="G5" s="296" t="s">
        <v>16</v>
      </c>
      <c r="H5" s="296" t="s">
        <v>17</v>
      </c>
      <c r="I5" s="296" t="s">
        <v>18</v>
      </c>
      <c r="J5" s="709" t="s">
        <v>19</v>
      </c>
      <c r="K5" s="297" t="s">
        <v>20</v>
      </c>
      <c r="L5" s="293"/>
      <c r="M5" s="294"/>
      <c r="N5" s="684"/>
      <c r="O5" s="294"/>
    </row>
    <row r="6" customFormat="false" ht="28" hidden="false" customHeight="true" outlineLevel="0" collapsed="false">
      <c r="A6" s="293"/>
      <c r="B6" s="620" t="s">
        <v>90</v>
      </c>
      <c r="C6" s="620"/>
      <c r="D6" s="620"/>
      <c r="E6" s="620"/>
      <c r="F6" s="620"/>
      <c r="G6" s="620"/>
      <c r="H6" s="620"/>
      <c r="I6" s="620"/>
      <c r="J6" s="620"/>
      <c r="K6" s="620"/>
      <c r="L6" s="293"/>
      <c r="M6" s="294"/>
      <c r="N6" s="294"/>
      <c r="O6" s="294"/>
      <c r="P6" s="622"/>
    </row>
    <row r="7" customFormat="false" ht="34" hidden="false" customHeight="true" outlineLevel="0" collapsed="false">
      <c r="A7" s="315"/>
      <c r="B7" s="672" t="s">
        <v>189</v>
      </c>
      <c r="C7" s="710" t="s">
        <v>206</v>
      </c>
      <c r="D7" s="711" t="s">
        <v>230</v>
      </c>
      <c r="E7" s="711"/>
      <c r="F7" s="625" t="s">
        <v>208</v>
      </c>
      <c r="G7" s="625"/>
      <c r="H7" s="625"/>
      <c r="I7" s="626" t="s">
        <v>209</v>
      </c>
      <c r="J7" s="626"/>
      <c r="K7" s="626"/>
    </row>
    <row r="8" customFormat="false" ht="99.75" hidden="false" customHeight="true" outlineLevel="0" collapsed="false">
      <c r="A8" s="712"/>
      <c r="B8" s="672"/>
      <c r="C8" s="710"/>
      <c r="D8" s="711"/>
      <c r="E8" s="711"/>
      <c r="F8" s="327" t="s">
        <v>182</v>
      </c>
      <c r="G8" s="327" t="s">
        <v>183</v>
      </c>
      <c r="H8" s="325" t="s">
        <v>185</v>
      </c>
      <c r="I8" s="714" t="s">
        <v>210</v>
      </c>
      <c r="J8" s="467" t="s">
        <v>231</v>
      </c>
      <c r="K8" s="676" t="s">
        <v>195</v>
      </c>
      <c r="P8" s="290" t="s">
        <v>198</v>
      </c>
      <c r="Q8" s="290"/>
    </row>
    <row r="9" customFormat="false" ht="24.75" hidden="false" customHeight="true" outlineLevel="0" collapsed="false">
      <c r="A9" s="712"/>
      <c r="B9" s="630" t="s">
        <v>199</v>
      </c>
      <c r="C9" s="633" t="s">
        <v>200</v>
      </c>
      <c r="D9" s="630" t="s">
        <v>180</v>
      </c>
      <c r="E9" s="631" t="s">
        <v>181</v>
      </c>
      <c r="F9" s="296"/>
      <c r="G9" s="296"/>
      <c r="H9" s="716"/>
      <c r="I9" s="633" t="s">
        <v>201</v>
      </c>
      <c r="J9" s="633" t="s">
        <v>203</v>
      </c>
      <c r="K9" s="634" t="s">
        <v>204</v>
      </c>
    </row>
    <row r="10" customFormat="false" ht="15" hidden="false" customHeight="false" outlineLevel="0" collapsed="false">
      <c r="A10" s="333" t="s">
        <v>80</v>
      </c>
      <c r="B10" s="308" t="n">
        <f aca="false">PRODUCT(TableDE5b!X111:X150)^(1/40)-1</f>
        <v>0.0195824371209541</v>
      </c>
      <c r="C10" s="312" t="n">
        <f aca="false">((E10/D10)*(1+B10)^40)^(1/40)-1</f>
        <v>0.0266168189629386</v>
      </c>
      <c r="D10" s="635" t="n">
        <f aca="false">TableDE5b!K110</f>
        <v>4.30651009809823</v>
      </c>
      <c r="E10" s="717" t="n">
        <f aca="false">TableDE5b!K150</f>
        <v>5.66978556051555</v>
      </c>
      <c r="F10" s="718" t="n">
        <f aca="false">D10/((1+B10)^40)</f>
        <v>1.9825841693479</v>
      </c>
      <c r="G10" s="636" t="n">
        <f aca="false">I10*SUM(TableDE5b!B110:B149)/TableDE5b!B150</f>
        <v>2.96179819916588</v>
      </c>
      <c r="H10" s="719" t="n">
        <f aca="false">E10-F10-G10</f>
        <v>0.725403192001771</v>
      </c>
      <c r="I10" s="312" t="n">
        <f aca="false">SUMPRODUCT(TableDE5b!B110:B149,TableDE5b!F110:F149)/SUM(TableDE5b!B110:B149)</f>
        <v>0.101754869004257</v>
      </c>
      <c r="J10" s="312" t="n">
        <f aca="false">PRODUCT(TableDE5b!AD111:AD150)^(1/40)-1</f>
        <v>0.0222762261833143</v>
      </c>
      <c r="K10" s="720" t="n">
        <f aca="false">PRODUCT(TableDE5b!AE111:AE150)^(1/40)-1</f>
        <v>0.00424600775059592</v>
      </c>
      <c r="P10" s="195" t="n">
        <f aca="false">(1+J10)*(1+K10)-1-C10</f>
        <v>0</v>
      </c>
      <c r="R10" s="684"/>
    </row>
    <row r="11" customFormat="false" ht="15" hidden="false" customHeight="false" outlineLevel="0" collapsed="false">
      <c r="A11" s="334"/>
      <c r="B11" s="335"/>
      <c r="C11" s="337"/>
      <c r="D11" s="639"/>
      <c r="E11" s="721"/>
      <c r="F11" s="722" t="n">
        <f aca="false">F10/$E10</f>
        <v>0.349675335722508</v>
      </c>
      <c r="G11" s="722" t="n">
        <f aca="false">G10/$E10</f>
        <v>0.52238275461278</v>
      </c>
      <c r="H11" s="723" t="n">
        <f aca="false">H10/$E10</f>
        <v>0.127941909664712</v>
      </c>
      <c r="I11" s="475"/>
      <c r="J11" s="652" t="n">
        <f aca="false">J10/($J10+$K10)</f>
        <v>0.839907612564749</v>
      </c>
      <c r="K11" s="655" t="n">
        <f aca="false">K10/($J10+$K10)</f>
        <v>0.160092387435251</v>
      </c>
      <c r="Q11" s="684"/>
    </row>
    <row r="12" customFormat="false" ht="4" hidden="false" customHeight="true" outlineLevel="0" collapsed="false">
      <c r="A12" s="334"/>
      <c r="B12" s="335"/>
      <c r="C12" s="337"/>
      <c r="D12" s="639"/>
      <c r="E12" s="721"/>
      <c r="F12" s="337"/>
      <c r="G12" s="652"/>
      <c r="H12" s="727"/>
      <c r="I12" s="475"/>
      <c r="J12" s="652"/>
      <c r="K12" s="655"/>
      <c r="Q12" s="684"/>
    </row>
    <row r="13" customFormat="false" ht="15" hidden="false" customHeight="false" outlineLevel="0" collapsed="false">
      <c r="A13" s="333" t="s">
        <v>81</v>
      </c>
      <c r="B13" s="308" t="n">
        <f aca="false">PRODUCT(TableDE5b!X111:X130)^(1/20)-1</f>
        <v>0.0248985485714113</v>
      </c>
      <c r="C13" s="312" t="n">
        <f aca="false">((E13/D13)*(1+B13)^20)^(1/20)-1</f>
        <v>0.0319842536533095</v>
      </c>
      <c r="D13" s="635" t="n">
        <f aca="false">D10</f>
        <v>4.30651009809823</v>
      </c>
      <c r="E13" s="717" t="n">
        <f aca="false">TableDE5b!K130</f>
        <v>4.94275771542699</v>
      </c>
      <c r="F13" s="718" t="n">
        <f aca="false">D13/((1+B13)^20)</f>
        <v>2.63334589310825</v>
      </c>
      <c r="G13" s="636" t="n">
        <f aca="false">I13*SUM(TableDE5b!B110:B129)/TableDE5b!B130</f>
        <v>1.88077594124846</v>
      </c>
      <c r="H13" s="719" t="n">
        <f aca="false">E13-F13-G13</f>
        <v>0.428635881070287</v>
      </c>
      <c r="I13" s="312" t="n">
        <f aca="false">SUMPRODUCT(TableDE5b!B110:B129,TableDE5b!F110:F129)/SUM(TableDE5b!B110:B129)</f>
        <v>0.122316255145961</v>
      </c>
      <c r="J13" s="312" t="n">
        <f aca="false">PRODUCT(TableDE5b!AD111:AD130)^(1/20)-1</f>
        <v>0.0272023162575328</v>
      </c>
      <c r="K13" s="720" t="n">
        <f aca="false">PRODUCT(TableDE5b!AE111:AE130)^(1/20)-1</f>
        <v>0.00465530238794543</v>
      </c>
      <c r="P13" s="195" t="n">
        <f aca="false">(1+J13)*(1+K13)-1-C13</f>
        <v>0</v>
      </c>
      <c r="Q13" s="684"/>
      <c r="R13" s="684"/>
    </row>
    <row r="14" customFormat="false" ht="15" hidden="false" customHeight="false" outlineLevel="0" collapsed="false">
      <c r="A14" s="334"/>
      <c r="B14" s="335"/>
      <c r="C14" s="337"/>
      <c r="D14" s="639"/>
      <c r="E14" s="721"/>
      <c r="F14" s="722" t="n">
        <f aca="false">F13/$E13</f>
        <v>0.532768556486034</v>
      </c>
      <c r="G14" s="722" t="n">
        <f aca="false">G13/$E13</f>
        <v>0.380511457273803</v>
      </c>
      <c r="H14" s="723" t="n">
        <f aca="false">H13/$E13</f>
        <v>0.0867199862401628</v>
      </c>
      <c r="I14" s="475"/>
      <c r="J14" s="652" t="n">
        <f aca="false">J13/($J13+$K13)</f>
        <v>0.853871614204718</v>
      </c>
      <c r="K14" s="655" t="n">
        <f aca="false">K13/($J13+$K13)</f>
        <v>0.146128385795283</v>
      </c>
      <c r="Q14" s="684"/>
    </row>
    <row r="15" customFormat="false" ht="4" hidden="false" customHeight="true" outlineLevel="0" collapsed="false">
      <c r="A15" s="334"/>
      <c r="B15" s="335"/>
      <c r="C15" s="337"/>
      <c r="D15" s="639"/>
      <c r="E15" s="721"/>
      <c r="F15" s="337"/>
      <c r="G15" s="652"/>
      <c r="H15" s="727"/>
      <c r="I15" s="475"/>
      <c r="J15" s="652"/>
      <c r="K15" s="655"/>
      <c r="Q15" s="684"/>
    </row>
    <row r="16" customFormat="false" ht="15" hidden="false" customHeight="false" outlineLevel="0" collapsed="false">
      <c r="A16" s="333" t="s">
        <v>82</v>
      </c>
      <c r="B16" s="308" t="n">
        <f aca="false">PRODUCT(TableDE5b!X131:X150)^(1/20)-1</f>
        <v>0.0142939001470077</v>
      </c>
      <c r="C16" s="312" t="n">
        <f aca="false">((E16/D16)*(1+B16)^20)^(1/20)-1</f>
        <v>0.0212773007403364</v>
      </c>
      <c r="D16" s="635" t="n">
        <f aca="false">E13</f>
        <v>4.94275771542699</v>
      </c>
      <c r="E16" s="717" t="n">
        <f aca="false">E10</f>
        <v>5.66978556051555</v>
      </c>
      <c r="F16" s="718" t="n">
        <f aca="false">D16/((1+B16)^20)</f>
        <v>3.72128599785314</v>
      </c>
      <c r="G16" s="636" t="n">
        <f aca="false">I16*SUM(TableDE5b!B130:B149)/TableDE5b!B150</f>
        <v>1.54580624119018</v>
      </c>
      <c r="H16" s="719" t="n">
        <f aca="false">E16-F16-G16</f>
        <v>0.40269332147223</v>
      </c>
      <c r="I16" s="312" t="n">
        <f aca="false">SUMPRODUCT(TableDE5b!B130:B149,TableDE5b!F130:F149)/SUM(TableDE5b!B130:B149)</f>
        <v>0.0881770637221812</v>
      </c>
      <c r="J16" s="312" t="n">
        <f aca="false">PRODUCT(TableDE5b!AD131:AD150)^(1/20)-1</f>
        <v>0.0173737598519896</v>
      </c>
      <c r="K16" s="720" t="n">
        <f aca="false">PRODUCT(TableDE5b!AE131:AE150)^(1/20)-1</f>
        <v>0.0038368798590942</v>
      </c>
      <c r="P16" s="195" t="n">
        <f aca="false">(1+J16)*(1+K16)-1-C16</f>
        <v>2.22044604925031E-016</v>
      </c>
      <c r="Q16" s="684"/>
      <c r="R16" s="684"/>
    </row>
    <row r="17" customFormat="false" ht="15" hidden="false" customHeight="false" outlineLevel="0" collapsed="false">
      <c r="A17" s="334"/>
      <c r="B17" s="335"/>
      <c r="C17" s="337"/>
      <c r="D17" s="639"/>
      <c r="E17" s="721"/>
      <c r="F17" s="722" t="n">
        <f aca="false">F16/$E16</f>
        <v>0.656336286114279</v>
      </c>
      <c r="G17" s="722" t="n">
        <f aca="false">G16/$E16</f>
        <v>0.27263927792176</v>
      </c>
      <c r="H17" s="723" t="n">
        <f aca="false">H16/$E16</f>
        <v>0.0710244359639615</v>
      </c>
      <c r="I17" s="475"/>
      <c r="J17" s="652" t="n">
        <f aca="false">J16/($J16+$K16)</f>
        <v>0.81910588688708</v>
      </c>
      <c r="K17" s="655" t="n">
        <f aca="false">K16/($J16+$K16)</f>
        <v>0.18089411311292</v>
      </c>
      <c r="Q17" s="684"/>
    </row>
    <row r="18" customFormat="false" ht="4.75" hidden="false" customHeight="true" outlineLevel="0" collapsed="false">
      <c r="A18" s="338"/>
      <c r="B18" s="316"/>
      <c r="C18" s="473"/>
      <c r="D18" s="639"/>
      <c r="E18" s="721"/>
      <c r="F18" s="337"/>
      <c r="G18" s="726"/>
      <c r="H18" s="727"/>
      <c r="I18" s="473"/>
      <c r="J18" s="473"/>
      <c r="K18" s="649"/>
      <c r="Q18" s="684"/>
    </row>
    <row r="19" customFormat="false" ht="15" hidden="false" customHeight="false" outlineLevel="0" collapsed="false">
      <c r="A19" s="339" t="s">
        <v>85</v>
      </c>
      <c r="B19" s="340" t="n">
        <f aca="false">PRODUCT(TableDE5b!X111:X120)^(1/10)-1</f>
        <v>0.0265240442255243</v>
      </c>
      <c r="C19" s="476" t="n">
        <f aca="false">((E19/D19)*(1+B19)^10)^(1/10)-1</f>
        <v>0.0358481482948261</v>
      </c>
      <c r="D19" s="656" t="n">
        <f aca="false">D13</f>
        <v>4.30651009809823</v>
      </c>
      <c r="E19" s="728" t="n">
        <f aca="false">TableDE5b!K120</f>
        <v>4.71406044998868</v>
      </c>
      <c r="F19" s="729" t="n">
        <f aca="false">D19/((1+B19)^10)</f>
        <v>3.31462351496671</v>
      </c>
      <c r="G19" s="657" t="n">
        <f aca="false">I19*SUM(TableDE5b!B110:B119)/TableDE5b!B120</f>
        <v>1.27898820863501</v>
      </c>
      <c r="H19" s="730" t="n">
        <f aca="false">E19-F19-G19</f>
        <v>0.12044872638696</v>
      </c>
      <c r="I19" s="476" t="n">
        <f aca="false">SUMPRODUCT(TableDE5b!B110:B119,TableDE5b!F110:F119)/SUM(TableDE5b!B110:B119)</f>
        <v>0.14647358079802</v>
      </c>
      <c r="J19" s="476" t="n">
        <f aca="false">PRODUCT(TableDE5b!AD111:AD120)^(1/10)-1</f>
        <v>0.0341147489430307</v>
      </c>
      <c r="K19" s="731" t="n">
        <f aca="false">PRODUCT(TableDE5b!AE111:AE120)^(1/10)-1</f>
        <v>0.00167621567487286</v>
      </c>
      <c r="P19" s="195" t="n">
        <f aca="false">(1+J19)*(1+K19)-1-C19</f>
        <v>2.22044604925031E-016</v>
      </c>
      <c r="Q19" s="684"/>
      <c r="R19" s="684"/>
    </row>
    <row r="20" customFormat="false" ht="15" hidden="false" customHeight="false" outlineLevel="0" collapsed="false">
      <c r="A20" s="339"/>
      <c r="B20" s="340"/>
      <c r="C20" s="476"/>
      <c r="D20" s="656"/>
      <c r="E20" s="728"/>
      <c r="F20" s="722" t="n">
        <f aca="false">F19/$E19</f>
        <v>0.703135555882544</v>
      </c>
      <c r="G20" s="722" t="n">
        <f aca="false">G19/$E19</f>
        <v>0.27131349336814</v>
      </c>
      <c r="H20" s="723" t="n">
        <f aca="false">H19/$E19</f>
        <v>0.0255509507493163</v>
      </c>
      <c r="I20" s="476"/>
      <c r="J20" s="733" t="n">
        <f aca="false">J19/($J19+$K19)</f>
        <v>0.953166513035685</v>
      </c>
      <c r="K20" s="734" t="n">
        <f aca="false">K19/($J19+$K19)</f>
        <v>0.0468334869643154</v>
      </c>
      <c r="Q20" s="684"/>
      <c r="R20" s="684"/>
    </row>
    <row r="21" customFormat="false" ht="4.75" hidden="false" customHeight="true" outlineLevel="0" collapsed="false">
      <c r="A21" s="315"/>
      <c r="B21" s="316"/>
      <c r="C21" s="473"/>
      <c r="D21" s="639"/>
      <c r="E21" s="721"/>
      <c r="F21" s="337"/>
      <c r="G21" s="657"/>
      <c r="H21" s="727"/>
      <c r="I21" s="473"/>
      <c r="J21" s="473"/>
      <c r="K21" s="649"/>
      <c r="Q21" s="684"/>
    </row>
    <row r="22" customFormat="false" ht="15" hidden="false" customHeight="false" outlineLevel="0" collapsed="false">
      <c r="A22" s="339" t="s">
        <v>86</v>
      </c>
      <c r="B22" s="340" t="n">
        <f aca="false">PRODUCT(TableDE5b!X121:X130)^(1/10)-1</f>
        <v>0.02327562688148</v>
      </c>
      <c r="C22" s="476" t="n">
        <f aca="false">((E22/D22)*(1+B22)^10)^(1/10)-1</f>
        <v>0.028134772014148</v>
      </c>
      <c r="D22" s="656" t="n">
        <f aca="false">E19</f>
        <v>4.71406044998868</v>
      </c>
      <c r="E22" s="728" t="n">
        <f aca="false">D16</f>
        <v>4.94275771542699</v>
      </c>
      <c r="F22" s="729" t="n">
        <f aca="false">D22/((1+B22)^10)</f>
        <v>3.74514682279577</v>
      </c>
      <c r="G22" s="657" t="n">
        <f aca="false">I22*SUM(TableDE5b!B120:B129)/TableDE5b!B130</f>
        <v>0.864667073579149</v>
      </c>
      <c r="H22" s="730" t="n">
        <f aca="false">E22-F22-G22</f>
        <v>0.332943819052075</v>
      </c>
      <c r="I22" s="476" t="n">
        <f aca="false">SUMPRODUCT(TableDE5b!B120:B129,TableDE5b!F120:F129)/SUM(TableDE5b!B120:B129)</f>
        <v>0.102458549129023</v>
      </c>
      <c r="J22" s="476" t="n">
        <f aca="false">PRODUCT(TableDE5b!AD121:AD130)^(1/10)-1</f>
        <v>0.0203360890107258</v>
      </c>
      <c r="K22" s="731" t="n">
        <f aca="false">PRODUCT(TableDE5b!AE121:AE130)^(1/10)-1</f>
        <v>0.00764324920721315</v>
      </c>
      <c r="P22" s="195" t="n">
        <f aca="false">(1+J22)*(1+K22)-1-C22</f>
        <v>0</v>
      </c>
      <c r="Q22" s="684"/>
      <c r="R22" s="684"/>
    </row>
    <row r="23" customFormat="false" ht="15" hidden="false" customHeight="false" outlineLevel="0" collapsed="false">
      <c r="A23" s="339"/>
      <c r="B23" s="340"/>
      <c r="C23" s="476"/>
      <c r="D23" s="656"/>
      <c r="E23" s="728"/>
      <c r="F23" s="722" t="n">
        <f aca="false">F22/$E22</f>
        <v>0.757703905070377</v>
      </c>
      <c r="G23" s="722" t="n">
        <f aca="false">G22/$E22</f>
        <v>0.174936163850478</v>
      </c>
      <c r="H23" s="723" t="n">
        <f aca="false">H22/$E22</f>
        <v>0.0673599310791452</v>
      </c>
      <c r="I23" s="476"/>
      <c r="J23" s="733" t="n">
        <f aca="false">J22/($J22+$K22)</f>
        <v>0.726825232688574</v>
      </c>
      <c r="K23" s="734" t="n">
        <f aca="false">K22/($J22+$K22)</f>
        <v>0.273174767311426</v>
      </c>
      <c r="Q23" s="684"/>
      <c r="R23" s="684"/>
    </row>
    <row r="24" customFormat="false" ht="4.75" hidden="false" customHeight="true" outlineLevel="0" collapsed="false">
      <c r="A24" s="315"/>
      <c r="B24" s="316"/>
      <c r="C24" s="473"/>
      <c r="D24" s="656"/>
      <c r="E24" s="728"/>
      <c r="F24" s="725"/>
      <c r="G24" s="657"/>
      <c r="H24" s="727"/>
      <c r="I24" s="473"/>
      <c r="J24" s="473"/>
      <c r="K24" s="649"/>
      <c r="Q24" s="684"/>
    </row>
    <row r="25" customFormat="false" ht="15" hidden="false" customHeight="false" outlineLevel="0" collapsed="false">
      <c r="A25" s="339" t="s">
        <v>87</v>
      </c>
      <c r="B25" s="340" t="n">
        <f aca="false">PRODUCT(TableDE5b!X131:X140)^(1/10)-1</f>
        <v>0.0164238332375164</v>
      </c>
      <c r="C25" s="476" t="n">
        <f aca="false">((E25/D25)*(1+B25)^10)^(1/10)-1</f>
        <v>0.0187193049420058</v>
      </c>
      <c r="D25" s="656" t="n">
        <f aca="false">E22</f>
        <v>4.94275771542699</v>
      </c>
      <c r="E25" s="728" t="n">
        <f aca="false">TableDE5b!K140</f>
        <v>5.05552527355279</v>
      </c>
      <c r="F25" s="729" t="n">
        <f aca="false">D25/((1+B25)^10)</f>
        <v>4.19972567948818</v>
      </c>
      <c r="G25" s="657" t="n">
        <f aca="false">I25*SUM(TableDE5b!B130:B139)/TableDE5b!B140</f>
        <v>0.790380419763874</v>
      </c>
      <c r="H25" s="730" t="n">
        <f aca="false">E25-F25-G25</f>
        <v>0.0654191743007392</v>
      </c>
      <c r="I25" s="476" t="n">
        <f aca="false">SUMPRODUCT(TableDE5b!B130:B139,TableDE5b!F130:F139)/SUM(TableDE5b!B130:B139)</f>
        <v>0.0862695212733864</v>
      </c>
      <c r="J25" s="476" t="n">
        <f aca="false">PRODUCT(TableDE5b!AD131:AD140)^(1/10)-1</f>
        <v>0.017785029980858</v>
      </c>
      <c r="K25" s="731" t="n">
        <f aca="false">PRODUCT(TableDE5b!AE131:AE140)^(1/10)-1</f>
        <v>0.000917949206981072</v>
      </c>
      <c r="P25" s="195" t="n">
        <f aca="false">(1+J25)*(1+K25)-1-C25</f>
        <v>2.22044604925031E-016</v>
      </c>
      <c r="Q25" s="684"/>
      <c r="R25" s="684"/>
    </row>
    <row r="26" customFormat="false" ht="15" hidden="false" customHeight="false" outlineLevel="0" collapsed="false">
      <c r="A26" s="339"/>
      <c r="B26" s="340"/>
      <c r="C26" s="476"/>
      <c r="D26" s="656"/>
      <c r="E26" s="728"/>
      <c r="F26" s="722" t="n">
        <f aca="false">F25/$E25</f>
        <v>0.830719945454215</v>
      </c>
      <c r="G26" s="722" t="n">
        <f aca="false">G25/$E25</f>
        <v>0.156339920581275</v>
      </c>
      <c r="H26" s="723" t="n">
        <f aca="false">H25/$E25</f>
        <v>0.01294013396451</v>
      </c>
      <c r="I26" s="476"/>
      <c r="J26" s="733" t="n">
        <f aca="false">J25/($J25+$K25)</f>
        <v>0.950919626346056</v>
      </c>
      <c r="K26" s="734" t="n">
        <f aca="false">K25/($J25+$K25)</f>
        <v>0.0490803736539437</v>
      </c>
      <c r="Q26" s="684"/>
    </row>
    <row r="27" customFormat="false" ht="4.75" hidden="false" customHeight="true" outlineLevel="0" collapsed="false">
      <c r="A27" s="315"/>
      <c r="B27" s="346"/>
      <c r="C27" s="473"/>
      <c r="D27" s="656"/>
      <c r="E27" s="728"/>
      <c r="F27" s="337"/>
      <c r="G27" s="657"/>
      <c r="H27" s="727"/>
      <c r="I27" s="473"/>
      <c r="J27" s="473"/>
      <c r="K27" s="649"/>
      <c r="Q27" s="684"/>
    </row>
    <row r="28" customFormat="false" ht="15" hidden="false" customHeight="false" outlineLevel="0" collapsed="false">
      <c r="A28" s="339" t="s">
        <v>88</v>
      </c>
      <c r="B28" s="340" t="n">
        <f aca="false">PRODUCT(TableDE5b!X141:X150)^(1/10)-1</f>
        <v>0.0121684303668048</v>
      </c>
      <c r="C28" s="476" t="n">
        <f aca="false">((E28/D28)*(1+B28)^10)^(1/10)-1</f>
        <v>0.0238417196450835</v>
      </c>
      <c r="D28" s="656" t="n">
        <f aca="false">E25</f>
        <v>5.05552527355279</v>
      </c>
      <c r="E28" s="728" t="n">
        <f aca="false">E16</f>
        <v>5.66978556051555</v>
      </c>
      <c r="F28" s="729" t="n">
        <f aca="false">D28/((1+B28)^10)</f>
        <v>4.47959148954639</v>
      </c>
      <c r="G28" s="657" t="n">
        <f aca="false">I28*SUM(TableDE5b!B140:B149)/TableDE5b!B150</f>
        <v>0.84546726347794</v>
      </c>
      <c r="H28" s="730" t="n">
        <f aca="false">E28-F28-G28</f>
        <v>0.344726807491217</v>
      </c>
      <c r="I28" s="476" t="n">
        <f aca="false">SUMPRODUCT(TableDE5b!B140:B149,TableDE5b!F140:F149)/SUM(TableDE5b!B140:B149)</f>
        <v>0.0898222391020223</v>
      </c>
      <c r="J28" s="476" t="n">
        <f aca="false">PRODUCT(TableDE5b!AD141:AD150)^(1/10)-1</f>
        <v>0.0169626559105909</v>
      </c>
      <c r="K28" s="731" t="n">
        <f aca="false">PRODUCT(TableDE5b!AE141:AE150)^(1/10)-1</f>
        <v>0.00676432285346129</v>
      </c>
      <c r="P28" s="195" t="n">
        <f aca="false">(1+J28)*(1+K28)-1-C28</f>
        <v>0</v>
      </c>
      <c r="Q28" s="684"/>
      <c r="R28" s="684"/>
    </row>
    <row r="29" customFormat="false" ht="16" hidden="false" customHeight="false" outlineLevel="0" collapsed="false">
      <c r="A29" s="660"/>
      <c r="B29" s="735"/>
      <c r="C29" s="736"/>
      <c r="D29" s="737"/>
      <c r="E29" s="738"/>
      <c r="F29" s="739" t="n">
        <f aca="false">F28/$E28</f>
        <v>0.790081289977229</v>
      </c>
      <c r="G29" s="740" t="n">
        <f aca="false">G28/$E28</f>
        <v>0.149118031793968</v>
      </c>
      <c r="H29" s="741" t="n">
        <f aca="false">H28/$E28</f>
        <v>0.0608006782288026</v>
      </c>
      <c r="I29" s="736"/>
      <c r="J29" s="699" t="n">
        <f aca="false">J28/(J28+K28)</f>
        <v>0.714910064162503</v>
      </c>
      <c r="K29" s="701" t="n">
        <f aca="false">K28/(K28+J28)</f>
        <v>0.285089935837497</v>
      </c>
      <c r="Q29" s="684"/>
    </row>
    <row r="30" customFormat="false" ht="13" hidden="false" customHeight="false" outlineLevel="0" collapsed="false">
      <c r="B30" s="702"/>
      <c r="C30" s="702"/>
      <c r="D30" s="702"/>
      <c r="E30" s="702"/>
      <c r="F30" s="742"/>
      <c r="G30" s="742"/>
      <c r="H30" s="742"/>
      <c r="I30" s="702"/>
      <c r="J30" s="702"/>
      <c r="K30" s="702"/>
      <c r="L30" s="702"/>
      <c r="M30" s="702"/>
      <c r="N30" s="702"/>
    </row>
    <row r="31" customFormat="false" ht="12" hidden="false" customHeight="false" outlineLevel="0" collapsed="false">
      <c r="B31" s="703"/>
      <c r="C31" s="702"/>
      <c r="D31" s="702"/>
      <c r="E31" s="702"/>
      <c r="F31" s="742"/>
      <c r="G31" s="742"/>
      <c r="H31" s="742"/>
      <c r="I31" s="702"/>
      <c r="J31" s="702"/>
      <c r="K31" s="702"/>
      <c r="L31" s="702"/>
      <c r="M31" s="702"/>
      <c r="N31" s="702"/>
    </row>
    <row r="32" customFormat="false" ht="12" hidden="false" customHeight="false" outlineLevel="0" collapsed="false">
      <c r="B32" s="702"/>
      <c r="C32" s="702"/>
      <c r="D32" s="702"/>
      <c r="E32" s="702"/>
      <c r="F32" s="742"/>
      <c r="G32" s="742"/>
      <c r="H32" s="742"/>
      <c r="I32" s="702"/>
      <c r="J32" s="702"/>
      <c r="K32" s="702"/>
      <c r="L32" s="702"/>
      <c r="M32" s="702"/>
      <c r="N32" s="702"/>
    </row>
    <row r="33" customFormat="false" ht="12" hidden="false" customHeight="false" outlineLevel="0" collapsed="false">
      <c r="B33" s="702"/>
      <c r="C33" s="702"/>
      <c r="D33" s="702"/>
      <c r="E33" s="702"/>
      <c r="F33" s="742"/>
      <c r="G33" s="742"/>
      <c r="H33" s="742"/>
      <c r="I33" s="702"/>
      <c r="J33" s="702"/>
      <c r="K33" s="702"/>
      <c r="L33" s="702"/>
      <c r="M33" s="702"/>
      <c r="N33" s="702"/>
    </row>
    <row r="34" customFormat="false" ht="12" hidden="false" customHeight="false" outlineLevel="0" collapsed="false">
      <c r="B34" s="702"/>
      <c r="C34" s="702"/>
      <c r="D34" s="702"/>
      <c r="E34" s="702"/>
      <c r="F34" s="742"/>
      <c r="G34" s="742"/>
      <c r="H34" s="742"/>
      <c r="I34" s="702"/>
      <c r="J34" s="702"/>
      <c r="K34" s="702"/>
      <c r="L34" s="702"/>
      <c r="M34" s="702"/>
      <c r="N34" s="702"/>
    </row>
    <row r="35" s="666" customFormat="true" ht="12" hidden="false" customHeight="false" outlineLevel="0" collapsed="false">
      <c r="B35" s="702"/>
      <c r="C35" s="702"/>
      <c r="D35" s="702"/>
      <c r="E35" s="702"/>
      <c r="F35" s="742"/>
      <c r="G35" s="742"/>
      <c r="H35" s="742"/>
      <c r="I35" s="702"/>
      <c r="J35" s="702"/>
      <c r="K35" s="702"/>
      <c r="L35" s="702"/>
      <c r="M35" s="702"/>
      <c r="N35" s="702"/>
      <c r="P35" s="289"/>
      <c r="Q35" s="289"/>
      <c r="R35" s="289"/>
    </row>
    <row r="36" s="666" customFormat="true" ht="12" hidden="false" customHeight="false" outlineLevel="0" collapsed="false">
      <c r="B36" s="702"/>
      <c r="C36" s="702"/>
      <c r="D36" s="702"/>
      <c r="E36" s="702"/>
      <c r="F36" s="742"/>
      <c r="G36" s="742"/>
      <c r="H36" s="742"/>
      <c r="I36" s="702"/>
      <c r="J36" s="702"/>
      <c r="K36" s="702"/>
      <c r="L36" s="702"/>
      <c r="M36" s="702"/>
      <c r="N36" s="702"/>
      <c r="P36" s="289"/>
      <c r="Q36" s="289"/>
      <c r="R36" s="289"/>
    </row>
    <row r="37" s="666" customFormat="true" ht="12" hidden="false" customHeight="false" outlineLevel="0" collapsed="false">
      <c r="B37" s="702"/>
      <c r="C37" s="702"/>
      <c r="D37" s="702"/>
      <c r="E37" s="702"/>
      <c r="F37" s="742"/>
      <c r="G37" s="742"/>
      <c r="H37" s="742"/>
      <c r="I37" s="702"/>
      <c r="J37" s="702"/>
      <c r="K37" s="702"/>
      <c r="L37" s="702"/>
      <c r="M37" s="702"/>
      <c r="N37" s="702"/>
      <c r="P37" s="289"/>
      <c r="Q37" s="289"/>
      <c r="R37" s="289"/>
    </row>
    <row r="38" s="666" customFormat="true" ht="12" hidden="false" customHeight="false" outlineLevel="0" collapsed="false">
      <c r="B38" s="702"/>
      <c r="C38" s="702"/>
      <c r="D38" s="702"/>
      <c r="E38" s="702"/>
      <c r="F38" s="742"/>
      <c r="G38" s="742"/>
      <c r="H38" s="742"/>
      <c r="I38" s="702"/>
      <c r="J38" s="702"/>
      <c r="K38" s="702"/>
      <c r="L38" s="702"/>
      <c r="M38" s="702"/>
      <c r="N38" s="702"/>
      <c r="P38" s="289"/>
      <c r="Q38" s="289"/>
      <c r="R38" s="289"/>
    </row>
    <row r="39" s="666" customFormat="true" ht="12" hidden="false" customHeight="false" outlineLevel="0" collapsed="false">
      <c r="B39" s="702"/>
      <c r="C39" s="702"/>
      <c r="D39" s="702"/>
      <c r="E39" s="702"/>
      <c r="F39" s="742"/>
      <c r="G39" s="742"/>
      <c r="H39" s="742"/>
      <c r="I39" s="702"/>
      <c r="J39" s="702"/>
      <c r="K39" s="702"/>
      <c r="L39" s="702"/>
      <c r="M39" s="702"/>
      <c r="N39" s="702"/>
      <c r="P39" s="289"/>
      <c r="Q39" s="289"/>
      <c r="R39" s="289"/>
    </row>
    <row r="40" s="666" customFormat="true" ht="12" hidden="false" customHeight="false" outlineLevel="0" collapsed="false">
      <c r="B40" s="702"/>
      <c r="C40" s="702"/>
      <c r="D40" s="702"/>
      <c r="E40" s="702"/>
      <c r="F40" s="742"/>
      <c r="G40" s="742"/>
      <c r="H40" s="742"/>
      <c r="I40" s="702"/>
      <c r="J40" s="702"/>
      <c r="K40" s="702"/>
      <c r="L40" s="702"/>
      <c r="M40" s="702"/>
      <c r="N40" s="702"/>
      <c r="P40" s="289"/>
      <c r="Q40" s="289"/>
      <c r="R40" s="289"/>
    </row>
    <row r="41" s="666" customFormat="true" ht="12" hidden="false" customHeight="false" outlineLevel="0" collapsed="false">
      <c r="B41" s="702"/>
      <c r="C41" s="702"/>
      <c r="D41" s="702"/>
      <c r="E41" s="702"/>
      <c r="F41" s="742"/>
      <c r="G41" s="742"/>
      <c r="H41" s="742"/>
      <c r="I41" s="702"/>
      <c r="J41" s="702"/>
      <c r="K41" s="702"/>
      <c r="L41" s="702"/>
      <c r="M41" s="702"/>
      <c r="N41" s="702"/>
      <c r="P41" s="289"/>
      <c r="Q41" s="289"/>
      <c r="R41" s="289"/>
    </row>
    <row r="42" s="666" customFormat="true" ht="12" hidden="false" customHeight="false" outlineLevel="0" collapsed="false">
      <c r="B42" s="702"/>
      <c r="C42" s="702"/>
      <c r="D42" s="702"/>
      <c r="E42" s="702"/>
      <c r="F42" s="742"/>
      <c r="G42" s="742"/>
      <c r="H42" s="742"/>
      <c r="I42" s="702"/>
      <c r="J42" s="702"/>
      <c r="K42" s="702"/>
      <c r="L42" s="702"/>
      <c r="M42" s="702"/>
      <c r="N42" s="702"/>
      <c r="P42" s="289"/>
      <c r="Q42" s="289"/>
      <c r="R42" s="289"/>
    </row>
    <row r="43" s="666" customFormat="true" ht="12" hidden="false" customHeight="false" outlineLevel="0" collapsed="false">
      <c r="B43" s="702"/>
      <c r="C43" s="702"/>
      <c r="D43" s="702"/>
      <c r="E43" s="702"/>
      <c r="F43" s="742"/>
      <c r="G43" s="742"/>
      <c r="H43" s="742"/>
      <c r="I43" s="702"/>
      <c r="J43" s="702"/>
      <c r="K43" s="702"/>
      <c r="L43" s="702"/>
      <c r="M43" s="702"/>
      <c r="N43" s="702"/>
      <c r="P43" s="289"/>
      <c r="Q43" s="289"/>
      <c r="R43" s="289"/>
    </row>
    <row r="44" s="666" customFormat="true" ht="12" hidden="false" customHeight="false" outlineLevel="0" collapsed="false">
      <c r="B44" s="702"/>
      <c r="C44" s="702"/>
      <c r="D44" s="702"/>
      <c r="E44" s="702"/>
      <c r="F44" s="742"/>
      <c r="G44" s="742"/>
      <c r="H44" s="742"/>
      <c r="I44" s="702"/>
      <c r="J44" s="702"/>
      <c r="K44" s="702"/>
      <c r="L44" s="702"/>
      <c r="M44" s="702"/>
      <c r="N44" s="702"/>
      <c r="P44" s="289"/>
      <c r="Q44" s="289"/>
      <c r="R44" s="289"/>
    </row>
    <row r="45" s="666" customFormat="true" ht="12" hidden="false" customHeight="false" outlineLevel="0" collapsed="false">
      <c r="B45" s="702"/>
      <c r="C45" s="702"/>
      <c r="D45" s="702"/>
      <c r="E45" s="702"/>
      <c r="F45" s="742"/>
      <c r="G45" s="742"/>
      <c r="H45" s="742"/>
      <c r="I45" s="702"/>
      <c r="J45" s="702"/>
      <c r="K45" s="702"/>
      <c r="L45" s="702"/>
      <c r="M45" s="702"/>
      <c r="N45" s="702"/>
      <c r="P45" s="289"/>
      <c r="Q45" s="289"/>
      <c r="R45" s="289"/>
    </row>
    <row r="46" s="666" customFormat="true" ht="12" hidden="false" customHeight="false" outlineLevel="0" collapsed="false">
      <c r="B46" s="702"/>
      <c r="C46" s="702"/>
      <c r="D46" s="702"/>
      <c r="E46" s="702"/>
      <c r="F46" s="742"/>
      <c r="G46" s="742"/>
      <c r="H46" s="742"/>
      <c r="I46" s="702"/>
      <c r="J46" s="702"/>
      <c r="K46" s="702"/>
      <c r="L46" s="702"/>
      <c r="M46" s="702"/>
      <c r="N46" s="702"/>
      <c r="P46" s="289"/>
      <c r="Q46" s="289"/>
      <c r="R46" s="289"/>
    </row>
    <row r="47" s="666" customFormat="true" ht="12" hidden="false" customHeight="false" outlineLevel="0" collapsed="false">
      <c r="B47" s="702"/>
      <c r="C47" s="702"/>
      <c r="D47" s="702"/>
      <c r="E47" s="702"/>
      <c r="F47" s="742"/>
      <c r="G47" s="742"/>
      <c r="H47" s="742"/>
      <c r="I47" s="702"/>
      <c r="J47" s="702"/>
      <c r="K47" s="702"/>
      <c r="L47" s="702"/>
      <c r="M47" s="702"/>
      <c r="N47" s="702"/>
      <c r="P47" s="289"/>
      <c r="Q47" s="289"/>
      <c r="R47" s="289"/>
    </row>
    <row r="48" s="666" customFormat="true" ht="12" hidden="false" customHeight="false" outlineLevel="0" collapsed="false">
      <c r="B48" s="702"/>
      <c r="C48" s="702"/>
      <c r="D48" s="702"/>
      <c r="E48" s="702"/>
      <c r="F48" s="742"/>
      <c r="G48" s="742"/>
      <c r="H48" s="742"/>
      <c r="I48" s="702"/>
      <c r="J48" s="702"/>
      <c r="K48" s="702"/>
      <c r="L48" s="702"/>
      <c r="M48" s="702"/>
      <c r="N48" s="702"/>
      <c r="P48" s="289"/>
      <c r="Q48" s="289"/>
      <c r="R48" s="289"/>
    </row>
    <row r="49" s="666" customFormat="true" ht="12" hidden="false" customHeight="false" outlineLevel="0" collapsed="false">
      <c r="B49" s="702"/>
      <c r="C49" s="702"/>
      <c r="D49" s="702"/>
      <c r="E49" s="702"/>
      <c r="F49" s="742"/>
      <c r="G49" s="742"/>
      <c r="H49" s="742"/>
      <c r="I49" s="702"/>
      <c r="J49" s="702"/>
      <c r="K49" s="702"/>
      <c r="L49" s="702"/>
      <c r="M49" s="702"/>
      <c r="N49" s="702"/>
      <c r="P49" s="289"/>
      <c r="Q49" s="289"/>
      <c r="R49" s="289"/>
    </row>
    <row r="50" s="666" customFormat="true" ht="12" hidden="false" customHeight="false" outlineLevel="0" collapsed="false">
      <c r="B50" s="702"/>
      <c r="C50" s="702"/>
      <c r="D50" s="702"/>
      <c r="E50" s="702"/>
      <c r="F50" s="742"/>
      <c r="G50" s="742"/>
      <c r="H50" s="742"/>
      <c r="I50" s="702"/>
      <c r="J50" s="702"/>
      <c r="K50" s="702"/>
      <c r="L50" s="702"/>
      <c r="M50" s="702"/>
      <c r="N50" s="702"/>
      <c r="P50" s="289"/>
      <c r="Q50" s="289"/>
      <c r="R50" s="289"/>
    </row>
    <row r="51" s="666" customFormat="true" ht="12" hidden="false" customHeight="false" outlineLevel="0" collapsed="false">
      <c r="B51" s="702"/>
      <c r="C51" s="702"/>
      <c r="D51" s="702"/>
      <c r="E51" s="702"/>
      <c r="F51" s="742"/>
      <c r="G51" s="742"/>
      <c r="H51" s="742"/>
      <c r="I51" s="702"/>
      <c r="J51" s="702"/>
      <c r="K51" s="702"/>
      <c r="L51" s="702"/>
      <c r="M51" s="702"/>
      <c r="N51" s="702"/>
      <c r="P51" s="289"/>
      <c r="Q51" s="289"/>
      <c r="R51" s="289"/>
    </row>
    <row r="52" s="666" customFormat="true" ht="12" hidden="false" customHeight="false" outlineLevel="0" collapsed="false">
      <c r="B52" s="702"/>
      <c r="C52" s="702"/>
      <c r="D52" s="702"/>
      <c r="E52" s="702"/>
      <c r="F52" s="742"/>
      <c r="G52" s="742"/>
      <c r="H52" s="742"/>
      <c r="I52" s="702"/>
      <c r="J52" s="702"/>
      <c r="K52" s="702"/>
      <c r="L52" s="702"/>
      <c r="M52" s="702"/>
      <c r="N52" s="702"/>
      <c r="P52" s="289"/>
      <c r="Q52" s="289"/>
      <c r="R52" s="289"/>
    </row>
    <row r="53" s="666" customFormat="true" ht="12" hidden="false" customHeight="false" outlineLevel="0" collapsed="false">
      <c r="B53" s="702"/>
      <c r="C53" s="702"/>
      <c r="D53" s="702"/>
      <c r="E53" s="702"/>
      <c r="F53" s="742"/>
      <c r="G53" s="742"/>
      <c r="H53" s="742"/>
      <c r="I53" s="702"/>
      <c r="J53" s="702"/>
      <c r="K53" s="702"/>
      <c r="L53" s="702"/>
      <c r="M53" s="702"/>
      <c r="N53" s="702"/>
      <c r="P53" s="289"/>
      <c r="Q53" s="289"/>
      <c r="R53" s="289"/>
    </row>
    <row r="54" s="666" customFormat="true" ht="12" hidden="false" customHeight="false" outlineLevel="0" collapsed="false">
      <c r="B54" s="702"/>
      <c r="C54" s="702"/>
      <c r="D54" s="702"/>
      <c r="E54" s="702"/>
      <c r="F54" s="742"/>
      <c r="G54" s="742"/>
      <c r="H54" s="742"/>
      <c r="I54" s="702"/>
      <c r="J54" s="702"/>
      <c r="K54" s="702"/>
      <c r="L54" s="702"/>
      <c r="M54" s="702"/>
      <c r="N54" s="702"/>
      <c r="P54" s="289"/>
      <c r="Q54" s="289"/>
      <c r="R54" s="289"/>
    </row>
    <row r="55" s="666" customFormat="true" ht="12" hidden="false" customHeight="false" outlineLevel="0" collapsed="false">
      <c r="B55" s="702"/>
      <c r="C55" s="702"/>
      <c r="D55" s="702"/>
      <c r="E55" s="702"/>
      <c r="F55" s="742"/>
      <c r="G55" s="742"/>
      <c r="H55" s="742"/>
      <c r="I55" s="702"/>
      <c r="J55" s="702"/>
      <c r="K55" s="702"/>
      <c r="L55" s="702"/>
      <c r="M55" s="702"/>
      <c r="N55" s="702"/>
      <c r="P55" s="289"/>
      <c r="Q55" s="289"/>
      <c r="R55" s="289"/>
    </row>
    <row r="56" s="666" customFormat="true" ht="12" hidden="false" customHeight="false" outlineLevel="0" collapsed="false">
      <c r="B56" s="702"/>
      <c r="C56" s="702"/>
      <c r="D56" s="702"/>
      <c r="E56" s="702"/>
      <c r="F56" s="742"/>
      <c r="G56" s="742"/>
      <c r="H56" s="742"/>
      <c r="I56" s="702"/>
      <c r="J56" s="702"/>
      <c r="K56" s="702"/>
      <c r="L56" s="702"/>
      <c r="M56" s="702"/>
      <c r="N56" s="702"/>
      <c r="P56" s="289"/>
      <c r="Q56" s="289"/>
      <c r="R56" s="289"/>
    </row>
    <row r="57" s="666" customFormat="true" ht="12" hidden="false" customHeight="false" outlineLevel="0" collapsed="false">
      <c r="B57" s="702"/>
      <c r="C57" s="702"/>
      <c r="D57" s="702"/>
      <c r="E57" s="702"/>
      <c r="F57" s="742"/>
      <c r="G57" s="742"/>
      <c r="H57" s="742"/>
      <c r="I57" s="702"/>
      <c r="J57" s="702"/>
      <c r="K57" s="702"/>
      <c r="L57" s="702"/>
      <c r="M57" s="702"/>
      <c r="N57" s="702"/>
      <c r="P57" s="289"/>
      <c r="Q57" s="289"/>
      <c r="R57" s="289"/>
    </row>
    <row r="58" s="666" customFormat="true" ht="12" hidden="false" customHeight="false" outlineLevel="0" collapsed="false">
      <c r="B58" s="702"/>
      <c r="C58" s="702"/>
      <c r="D58" s="702"/>
      <c r="E58" s="702"/>
      <c r="F58" s="742"/>
      <c r="G58" s="742"/>
      <c r="H58" s="742"/>
      <c r="I58" s="702"/>
      <c r="J58" s="702"/>
      <c r="K58" s="702"/>
      <c r="L58" s="702"/>
      <c r="M58" s="702"/>
      <c r="N58" s="702"/>
      <c r="P58" s="289"/>
      <c r="Q58" s="289"/>
      <c r="R58" s="289"/>
    </row>
    <row r="59" s="666" customFormat="true" ht="12" hidden="false" customHeight="false" outlineLevel="0" collapsed="false">
      <c r="B59" s="702"/>
      <c r="C59" s="702"/>
      <c r="D59" s="702"/>
      <c r="E59" s="702"/>
      <c r="F59" s="742"/>
      <c r="G59" s="742"/>
      <c r="H59" s="742"/>
      <c r="I59" s="702"/>
      <c r="J59" s="702"/>
      <c r="K59" s="702"/>
      <c r="L59" s="702"/>
      <c r="M59" s="702"/>
      <c r="N59" s="702"/>
      <c r="P59" s="289"/>
      <c r="Q59" s="289"/>
      <c r="R59" s="289"/>
    </row>
    <row r="60" s="666" customFormat="true" ht="12" hidden="false" customHeight="false" outlineLevel="0" collapsed="false">
      <c r="B60" s="702"/>
      <c r="C60" s="702"/>
      <c r="D60" s="702"/>
      <c r="E60" s="702"/>
      <c r="F60" s="742"/>
      <c r="G60" s="742"/>
      <c r="H60" s="742"/>
      <c r="I60" s="702"/>
      <c r="J60" s="702"/>
      <c r="K60" s="702"/>
      <c r="L60" s="702"/>
      <c r="M60" s="702"/>
      <c r="N60" s="702"/>
      <c r="P60" s="289"/>
      <c r="Q60" s="289"/>
      <c r="R60" s="289"/>
    </row>
    <row r="61" s="666" customFormat="true" ht="12" hidden="false" customHeight="false" outlineLevel="0" collapsed="false">
      <c r="B61" s="702"/>
      <c r="C61" s="702"/>
      <c r="D61" s="702"/>
      <c r="E61" s="702"/>
      <c r="F61" s="742"/>
      <c r="G61" s="742"/>
      <c r="H61" s="742"/>
      <c r="I61" s="702"/>
      <c r="J61" s="702"/>
      <c r="K61" s="702"/>
      <c r="L61" s="702"/>
      <c r="M61" s="702"/>
      <c r="N61" s="702"/>
      <c r="P61" s="289"/>
      <c r="Q61" s="289"/>
      <c r="R61" s="289"/>
    </row>
    <row r="62" s="666" customFormat="true" ht="12" hidden="false" customHeight="false" outlineLevel="0" collapsed="false">
      <c r="B62" s="702"/>
      <c r="C62" s="702"/>
      <c r="D62" s="702"/>
      <c r="E62" s="702"/>
      <c r="F62" s="742"/>
      <c r="G62" s="742"/>
      <c r="H62" s="742"/>
      <c r="I62" s="702"/>
      <c r="J62" s="702"/>
      <c r="K62" s="702"/>
      <c r="L62" s="702"/>
      <c r="M62" s="702"/>
      <c r="N62" s="702"/>
      <c r="P62" s="289"/>
      <c r="Q62" s="289"/>
      <c r="R62" s="289"/>
    </row>
    <row r="63" s="666" customFormat="true" ht="12" hidden="false" customHeight="false" outlineLevel="0" collapsed="false">
      <c r="B63" s="702"/>
      <c r="C63" s="702"/>
      <c r="D63" s="702"/>
      <c r="E63" s="702"/>
      <c r="F63" s="742"/>
      <c r="G63" s="742"/>
      <c r="H63" s="742"/>
      <c r="I63" s="702"/>
      <c r="J63" s="702"/>
      <c r="K63" s="702"/>
      <c r="L63" s="702"/>
      <c r="M63" s="702"/>
      <c r="N63" s="702"/>
      <c r="P63" s="289"/>
      <c r="Q63" s="289"/>
      <c r="R63" s="289"/>
    </row>
    <row r="64" s="666" customFormat="true" ht="12" hidden="false" customHeight="false" outlineLevel="0" collapsed="false">
      <c r="B64" s="702"/>
      <c r="C64" s="702"/>
      <c r="D64" s="702"/>
      <c r="E64" s="702"/>
      <c r="F64" s="742"/>
      <c r="G64" s="742"/>
      <c r="H64" s="742"/>
      <c r="I64" s="702"/>
      <c r="J64" s="702"/>
      <c r="K64" s="702"/>
      <c r="L64" s="702"/>
      <c r="M64" s="702"/>
      <c r="N64" s="702"/>
      <c r="P64" s="289"/>
      <c r="Q64" s="289"/>
      <c r="R64" s="289"/>
    </row>
    <row r="65" s="666" customFormat="true" ht="12" hidden="false" customHeight="false" outlineLevel="0" collapsed="false">
      <c r="B65" s="702"/>
      <c r="C65" s="702"/>
      <c r="D65" s="702"/>
      <c r="E65" s="702"/>
      <c r="F65" s="742"/>
      <c r="G65" s="742"/>
      <c r="H65" s="742"/>
      <c r="I65" s="702"/>
      <c r="J65" s="702"/>
      <c r="K65" s="702"/>
      <c r="L65" s="702"/>
      <c r="M65" s="702"/>
      <c r="N65" s="702"/>
      <c r="P65" s="289"/>
      <c r="Q65" s="289"/>
      <c r="R65" s="289"/>
    </row>
    <row r="66" s="666" customFormat="true" ht="12" hidden="false" customHeight="false" outlineLevel="0" collapsed="false">
      <c r="B66" s="702"/>
      <c r="C66" s="702"/>
      <c r="D66" s="702"/>
      <c r="E66" s="702"/>
      <c r="F66" s="742"/>
      <c r="G66" s="742"/>
      <c r="H66" s="742"/>
      <c r="I66" s="702"/>
      <c r="J66" s="702"/>
      <c r="K66" s="702"/>
      <c r="L66" s="702"/>
      <c r="M66" s="702"/>
      <c r="N66" s="702"/>
      <c r="P66" s="289"/>
      <c r="Q66" s="289"/>
      <c r="R66" s="289"/>
    </row>
    <row r="67" s="666" customFormat="true" ht="12" hidden="false" customHeight="false" outlineLevel="0" collapsed="false">
      <c r="B67" s="702"/>
      <c r="C67" s="702"/>
      <c r="D67" s="702"/>
      <c r="E67" s="702"/>
      <c r="F67" s="742"/>
      <c r="G67" s="742"/>
      <c r="H67" s="742"/>
      <c r="I67" s="702"/>
      <c r="J67" s="702"/>
      <c r="K67" s="702"/>
      <c r="L67" s="702"/>
      <c r="M67" s="702"/>
      <c r="N67" s="702"/>
      <c r="P67" s="289"/>
      <c r="Q67" s="289"/>
      <c r="R67" s="289"/>
    </row>
    <row r="68" s="666" customFormat="true" ht="12" hidden="false" customHeight="false" outlineLevel="0" collapsed="false">
      <c r="B68" s="702"/>
      <c r="C68" s="702"/>
      <c r="D68" s="702"/>
      <c r="E68" s="702"/>
      <c r="F68" s="742"/>
      <c r="G68" s="742"/>
      <c r="H68" s="742"/>
      <c r="I68" s="702"/>
      <c r="J68" s="702"/>
      <c r="K68" s="702"/>
      <c r="L68" s="702"/>
      <c r="M68" s="702"/>
      <c r="N68" s="702"/>
      <c r="P68" s="289"/>
      <c r="Q68" s="289"/>
      <c r="R68" s="289"/>
    </row>
    <row r="69" s="666" customFormat="true" ht="12" hidden="false" customHeight="false" outlineLevel="0" collapsed="false">
      <c r="B69" s="702"/>
      <c r="C69" s="702"/>
      <c r="D69" s="702"/>
      <c r="E69" s="702"/>
      <c r="F69" s="742"/>
      <c r="G69" s="742"/>
      <c r="H69" s="742"/>
      <c r="I69" s="702"/>
      <c r="J69" s="702"/>
      <c r="K69" s="702"/>
      <c r="L69" s="702"/>
      <c r="M69" s="702"/>
      <c r="N69" s="702"/>
      <c r="P69" s="289"/>
      <c r="Q69" s="289"/>
      <c r="R69" s="289"/>
    </row>
    <row r="70" s="666" customFormat="true" ht="12" hidden="false" customHeight="false" outlineLevel="0" collapsed="false">
      <c r="B70" s="702"/>
      <c r="C70" s="702"/>
      <c r="D70" s="702"/>
      <c r="E70" s="702"/>
      <c r="F70" s="742"/>
      <c r="G70" s="742"/>
      <c r="H70" s="742"/>
      <c r="I70" s="702"/>
      <c r="J70" s="702"/>
      <c r="K70" s="702"/>
      <c r="L70" s="702"/>
      <c r="M70" s="702"/>
      <c r="N70" s="702"/>
      <c r="P70" s="289"/>
      <c r="Q70" s="289"/>
      <c r="R70" s="289"/>
    </row>
    <row r="71" s="666" customFormat="true" ht="12" hidden="false" customHeight="false" outlineLevel="0" collapsed="false">
      <c r="B71" s="702"/>
      <c r="C71" s="702"/>
      <c r="D71" s="702"/>
      <c r="E71" s="702"/>
      <c r="F71" s="742"/>
      <c r="G71" s="742"/>
      <c r="H71" s="742"/>
      <c r="I71" s="702"/>
      <c r="J71" s="702"/>
      <c r="K71" s="702"/>
      <c r="L71" s="702"/>
      <c r="M71" s="702"/>
      <c r="N71" s="702"/>
      <c r="P71" s="289"/>
      <c r="Q71" s="289"/>
      <c r="R71" s="289"/>
    </row>
    <row r="72" s="666" customFormat="true" ht="12" hidden="false" customHeight="false" outlineLevel="0" collapsed="false">
      <c r="B72" s="702"/>
      <c r="C72" s="702"/>
      <c r="D72" s="702"/>
      <c r="E72" s="702"/>
      <c r="F72" s="742"/>
      <c r="G72" s="742"/>
      <c r="H72" s="742"/>
      <c r="I72" s="702"/>
      <c r="J72" s="702"/>
      <c r="K72" s="702"/>
      <c r="L72" s="702"/>
      <c r="M72" s="702"/>
      <c r="N72" s="702"/>
      <c r="P72" s="289"/>
      <c r="Q72" s="289"/>
      <c r="R72" s="289"/>
    </row>
    <row r="73" s="666" customFormat="true" ht="12" hidden="false" customHeight="false" outlineLevel="0" collapsed="false">
      <c r="B73" s="702"/>
      <c r="C73" s="702"/>
      <c r="D73" s="702"/>
      <c r="E73" s="702"/>
      <c r="F73" s="742"/>
      <c r="G73" s="742"/>
      <c r="H73" s="742"/>
      <c r="I73" s="702"/>
      <c r="J73" s="702"/>
      <c r="K73" s="702"/>
      <c r="L73" s="702"/>
      <c r="M73" s="702"/>
      <c r="N73" s="702"/>
      <c r="P73" s="289"/>
      <c r="Q73" s="289"/>
      <c r="R73" s="289"/>
    </row>
    <row r="74" s="666" customFormat="true" ht="12" hidden="false" customHeight="false" outlineLevel="0" collapsed="false">
      <c r="B74" s="702"/>
      <c r="C74" s="702"/>
      <c r="D74" s="702"/>
      <c r="E74" s="702"/>
      <c r="F74" s="742"/>
      <c r="G74" s="742"/>
      <c r="H74" s="742"/>
      <c r="I74" s="702"/>
      <c r="J74" s="702"/>
      <c r="K74" s="702"/>
      <c r="L74" s="702"/>
      <c r="M74" s="702"/>
      <c r="N74" s="702"/>
      <c r="P74" s="289"/>
      <c r="Q74" s="289"/>
      <c r="R74" s="289"/>
    </row>
    <row r="75" s="666" customFormat="true" ht="12" hidden="false" customHeight="false" outlineLevel="0" collapsed="false">
      <c r="B75" s="702"/>
      <c r="C75" s="702"/>
      <c r="D75" s="702"/>
      <c r="E75" s="702"/>
      <c r="F75" s="742"/>
      <c r="G75" s="742"/>
      <c r="H75" s="742"/>
      <c r="I75" s="702"/>
      <c r="J75" s="702"/>
      <c r="K75" s="702"/>
      <c r="L75" s="702"/>
      <c r="M75" s="702"/>
      <c r="N75" s="702"/>
      <c r="P75" s="289"/>
      <c r="Q75" s="289"/>
      <c r="R75" s="289"/>
    </row>
    <row r="76" s="666" customFormat="true" ht="12" hidden="false" customHeight="false" outlineLevel="0" collapsed="false">
      <c r="B76" s="702"/>
      <c r="C76" s="702"/>
      <c r="D76" s="702"/>
      <c r="E76" s="702"/>
      <c r="F76" s="742"/>
      <c r="G76" s="742"/>
      <c r="H76" s="742"/>
      <c r="I76" s="702"/>
      <c r="J76" s="702"/>
      <c r="K76" s="702"/>
      <c r="L76" s="702"/>
      <c r="M76" s="702"/>
      <c r="N76" s="702"/>
      <c r="P76" s="289"/>
      <c r="Q76" s="289"/>
      <c r="R76" s="289"/>
    </row>
    <row r="77" s="666" customFormat="true" ht="12" hidden="false" customHeight="false" outlineLevel="0" collapsed="false">
      <c r="B77" s="702"/>
      <c r="C77" s="702"/>
      <c r="D77" s="702"/>
      <c r="E77" s="702"/>
      <c r="F77" s="742"/>
      <c r="G77" s="742"/>
      <c r="H77" s="742"/>
      <c r="I77" s="702"/>
      <c r="J77" s="702"/>
      <c r="K77" s="702"/>
      <c r="L77" s="702"/>
      <c r="M77" s="702"/>
      <c r="N77" s="702"/>
      <c r="P77" s="289"/>
      <c r="Q77" s="289"/>
      <c r="R77" s="289"/>
    </row>
    <row r="78" s="666" customFormat="true" ht="12" hidden="false" customHeight="false" outlineLevel="0" collapsed="false">
      <c r="B78" s="702"/>
      <c r="C78" s="702"/>
      <c r="D78" s="702"/>
      <c r="E78" s="702"/>
      <c r="F78" s="742"/>
      <c r="G78" s="742"/>
      <c r="H78" s="742"/>
      <c r="I78" s="702"/>
      <c r="J78" s="702"/>
      <c r="K78" s="702"/>
      <c r="L78" s="702"/>
      <c r="M78" s="702"/>
      <c r="N78" s="702"/>
      <c r="P78" s="289"/>
      <c r="Q78" s="289"/>
      <c r="R78" s="289"/>
    </row>
    <row r="79" s="666" customFormat="true" ht="12" hidden="false" customHeight="false" outlineLevel="0" collapsed="false">
      <c r="B79" s="702"/>
      <c r="C79" s="702"/>
      <c r="D79" s="702"/>
      <c r="E79" s="702"/>
      <c r="F79" s="742"/>
      <c r="G79" s="742"/>
      <c r="H79" s="742"/>
      <c r="I79" s="702"/>
      <c r="J79" s="702"/>
      <c r="K79" s="702"/>
      <c r="L79" s="702"/>
      <c r="M79" s="702"/>
      <c r="N79" s="702"/>
      <c r="P79" s="289"/>
      <c r="Q79" s="289"/>
      <c r="R79" s="289"/>
    </row>
    <row r="80" s="666" customFormat="true" ht="12" hidden="false" customHeight="false" outlineLevel="0" collapsed="false">
      <c r="B80" s="702"/>
      <c r="C80" s="702"/>
      <c r="D80" s="702"/>
      <c r="E80" s="702"/>
      <c r="F80" s="742"/>
      <c r="G80" s="742"/>
      <c r="H80" s="742"/>
      <c r="I80" s="702"/>
      <c r="J80" s="702"/>
      <c r="K80" s="702"/>
      <c r="L80" s="702"/>
      <c r="M80" s="702"/>
      <c r="N80" s="702"/>
      <c r="P80" s="289"/>
      <c r="Q80" s="289"/>
      <c r="R80" s="289"/>
    </row>
    <row r="81" s="666" customFormat="true" ht="12" hidden="false" customHeight="false" outlineLevel="0" collapsed="false">
      <c r="B81" s="702"/>
      <c r="C81" s="702"/>
      <c r="D81" s="702"/>
      <c r="E81" s="702"/>
      <c r="F81" s="742"/>
      <c r="G81" s="742"/>
      <c r="H81" s="742"/>
      <c r="I81" s="702"/>
      <c r="J81" s="702"/>
      <c r="K81" s="702"/>
      <c r="L81" s="702"/>
      <c r="M81" s="702"/>
      <c r="N81" s="702"/>
      <c r="P81" s="289"/>
      <c r="Q81" s="289"/>
      <c r="R81" s="289"/>
    </row>
    <row r="82" s="666" customFormat="true" ht="12" hidden="false" customHeight="false" outlineLevel="0" collapsed="false">
      <c r="B82" s="702"/>
      <c r="C82" s="702"/>
      <c r="D82" s="702"/>
      <c r="E82" s="702"/>
      <c r="F82" s="742"/>
      <c r="G82" s="742"/>
      <c r="H82" s="742"/>
      <c r="I82" s="702"/>
      <c r="J82" s="702"/>
      <c r="K82" s="702"/>
      <c r="L82" s="702"/>
      <c r="M82" s="702"/>
      <c r="N82" s="702"/>
      <c r="P82" s="289"/>
      <c r="Q82" s="289"/>
      <c r="R82" s="289"/>
    </row>
    <row r="83" s="666" customFormat="true" ht="12" hidden="false" customHeight="false" outlineLevel="0" collapsed="false">
      <c r="B83" s="702"/>
      <c r="C83" s="702"/>
      <c r="D83" s="702"/>
      <c r="E83" s="702"/>
      <c r="F83" s="742"/>
      <c r="G83" s="742"/>
      <c r="H83" s="742"/>
      <c r="I83" s="702"/>
      <c r="J83" s="702"/>
      <c r="K83" s="702"/>
      <c r="L83" s="702"/>
      <c r="M83" s="702"/>
      <c r="N83" s="702"/>
      <c r="P83" s="289"/>
      <c r="Q83" s="289"/>
      <c r="R83" s="289"/>
    </row>
    <row r="84" s="666" customFormat="true" ht="12" hidden="false" customHeight="false" outlineLevel="0" collapsed="false">
      <c r="B84" s="702"/>
      <c r="C84" s="702"/>
      <c r="D84" s="702"/>
      <c r="E84" s="702"/>
      <c r="F84" s="742"/>
      <c r="G84" s="742"/>
      <c r="H84" s="742"/>
      <c r="I84" s="702"/>
      <c r="J84" s="702"/>
      <c r="K84" s="702"/>
      <c r="L84" s="702"/>
      <c r="M84" s="702"/>
      <c r="N84" s="702"/>
      <c r="P84" s="289"/>
      <c r="Q84" s="289"/>
      <c r="R84" s="289"/>
    </row>
    <row r="85" s="666" customFormat="true" ht="12" hidden="false" customHeight="false" outlineLevel="0" collapsed="false">
      <c r="B85" s="702"/>
      <c r="C85" s="702"/>
      <c r="D85" s="702"/>
      <c r="E85" s="702"/>
      <c r="F85" s="742"/>
      <c r="G85" s="742"/>
      <c r="H85" s="742"/>
      <c r="I85" s="702"/>
      <c r="J85" s="702"/>
      <c r="K85" s="702"/>
      <c r="L85" s="702"/>
      <c r="M85" s="702"/>
      <c r="N85" s="702"/>
      <c r="P85" s="289"/>
      <c r="Q85" s="289"/>
      <c r="R85" s="289"/>
    </row>
    <row r="86" s="666" customFormat="true" ht="12" hidden="false" customHeight="false" outlineLevel="0" collapsed="false">
      <c r="B86" s="702"/>
      <c r="C86" s="702"/>
      <c r="D86" s="702"/>
      <c r="E86" s="702"/>
      <c r="F86" s="742"/>
      <c r="G86" s="742"/>
      <c r="H86" s="742"/>
      <c r="I86" s="702"/>
      <c r="J86" s="702"/>
      <c r="K86" s="702"/>
      <c r="L86" s="702"/>
      <c r="M86" s="702"/>
      <c r="N86" s="702"/>
      <c r="P86" s="289"/>
      <c r="Q86" s="289"/>
      <c r="R86" s="289"/>
    </row>
    <row r="87" s="666" customFormat="true" ht="12" hidden="false" customHeight="false" outlineLevel="0" collapsed="false">
      <c r="B87" s="702"/>
      <c r="C87" s="702"/>
      <c r="D87" s="702"/>
      <c r="E87" s="702"/>
      <c r="F87" s="742"/>
      <c r="G87" s="742"/>
      <c r="H87" s="742"/>
      <c r="I87" s="702"/>
      <c r="J87" s="702"/>
      <c r="K87" s="702"/>
      <c r="L87" s="702"/>
      <c r="M87" s="702"/>
      <c r="N87" s="702"/>
      <c r="P87" s="289"/>
      <c r="Q87" s="289"/>
      <c r="R87" s="289"/>
    </row>
    <row r="88" s="666" customFormat="true" ht="12" hidden="false" customHeight="false" outlineLevel="0" collapsed="false">
      <c r="B88" s="702"/>
      <c r="C88" s="702"/>
      <c r="D88" s="702"/>
      <c r="E88" s="702"/>
      <c r="F88" s="742"/>
      <c r="G88" s="742"/>
      <c r="H88" s="742"/>
      <c r="I88" s="702"/>
      <c r="J88" s="702"/>
      <c r="K88" s="702"/>
      <c r="L88" s="702"/>
      <c r="M88" s="702"/>
      <c r="N88" s="702"/>
      <c r="P88" s="289"/>
      <c r="Q88" s="289"/>
      <c r="R88" s="289"/>
    </row>
    <row r="89" s="666" customFormat="true" ht="12" hidden="false" customHeight="false" outlineLevel="0" collapsed="false">
      <c r="B89" s="702"/>
      <c r="C89" s="702"/>
      <c r="D89" s="702"/>
      <c r="E89" s="702"/>
      <c r="F89" s="742"/>
      <c r="G89" s="742"/>
      <c r="H89" s="742"/>
      <c r="I89" s="702"/>
      <c r="J89" s="702"/>
      <c r="K89" s="702"/>
      <c r="L89" s="702"/>
      <c r="M89" s="702"/>
      <c r="N89" s="702"/>
      <c r="P89" s="289"/>
      <c r="Q89" s="289"/>
      <c r="R89" s="289"/>
    </row>
    <row r="90" s="666" customFormat="true" ht="12" hidden="false" customHeight="false" outlineLevel="0" collapsed="false">
      <c r="B90" s="702"/>
      <c r="C90" s="702"/>
      <c r="D90" s="702"/>
      <c r="E90" s="702"/>
      <c r="F90" s="742"/>
      <c r="G90" s="742"/>
      <c r="H90" s="742"/>
      <c r="I90" s="702"/>
      <c r="J90" s="702"/>
      <c r="K90" s="702"/>
      <c r="L90" s="702"/>
      <c r="M90" s="702"/>
      <c r="N90" s="702"/>
      <c r="P90" s="289"/>
      <c r="Q90" s="289"/>
      <c r="R90" s="289"/>
    </row>
    <row r="91" s="666" customFormat="true" ht="12" hidden="false" customHeight="false" outlineLevel="0" collapsed="false">
      <c r="B91" s="702"/>
      <c r="C91" s="702"/>
      <c r="D91" s="702"/>
      <c r="E91" s="702"/>
      <c r="F91" s="742"/>
      <c r="G91" s="742"/>
      <c r="H91" s="742"/>
      <c r="I91" s="702"/>
      <c r="J91" s="702"/>
      <c r="K91" s="702"/>
      <c r="L91" s="702"/>
      <c r="M91" s="702"/>
      <c r="N91" s="702"/>
      <c r="P91" s="289"/>
      <c r="Q91" s="289"/>
      <c r="R91" s="289"/>
    </row>
    <row r="92" s="666" customFormat="true" ht="12" hidden="false" customHeight="false" outlineLevel="0" collapsed="false">
      <c r="B92" s="702"/>
      <c r="C92" s="702"/>
      <c r="D92" s="702"/>
      <c r="E92" s="702"/>
      <c r="F92" s="742"/>
      <c r="G92" s="742"/>
      <c r="H92" s="742"/>
      <c r="I92" s="702"/>
      <c r="J92" s="702"/>
      <c r="K92" s="702"/>
      <c r="L92" s="702"/>
      <c r="M92" s="702"/>
      <c r="N92" s="702"/>
      <c r="P92" s="289"/>
      <c r="Q92" s="289"/>
      <c r="R92" s="289"/>
    </row>
    <row r="93" s="666" customFormat="true" ht="12" hidden="false" customHeight="false" outlineLevel="0" collapsed="false">
      <c r="B93" s="702"/>
      <c r="C93" s="702"/>
      <c r="D93" s="702"/>
      <c r="E93" s="702"/>
      <c r="F93" s="742"/>
      <c r="G93" s="742"/>
      <c r="H93" s="742"/>
      <c r="I93" s="702"/>
      <c r="J93" s="702"/>
      <c r="K93" s="702"/>
      <c r="L93" s="702"/>
      <c r="M93" s="702"/>
      <c r="N93" s="702"/>
      <c r="P93" s="289"/>
      <c r="Q93" s="289"/>
      <c r="R93" s="289"/>
    </row>
    <row r="94" s="666" customFormat="true" ht="12" hidden="false" customHeight="false" outlineLevel="0" collapsed="false">
      <c r="B94" s="702"/>
      <c r="C94" s="702"/>
      <c r="D94" s="702"/>
      <c r="E94" s="702"/>
      <c r="F94" s="742"/>
      <c r="G94" s="742"/>
      <c r="H94" s="742"/>
      <c r="I94" s="702"/>
      <c r="J94" s="702"/>
      <c r="K94" s="702"/>
      <c r="L94" s="702"/>
      <c r="M94" s="702"/>
      <c r="N94" s="702"/>
      <c r="P94" s="289"/>
      <c r="Q94" s="289"/>
      <c r="R94" s="289"/>
    </row>
    <row r="95" s="666" customFormat="true" ht="12" hidden="false" customHeight="false" outlineLevel="0" collapsed="false">
      <c r="B95" s="702"/>
      <c r="C95" s="702"/>
      <c r="D95" s="702"/>
      <c r="E95" s="702"/>
      <c r="F95" s="742"/>
      <c r="G95" s="742"/>
      <c r="H95" s="742"/>
      <c r="I95" s="702"/>
      <c r="J95" s="702"/>
      <c r="K95" s="702"/>
      <c r="L95" s="702"/>
      <c r="M95" s="702"/>
      <c r="N95" s="702"/>
      <c r="P95" s="289"/>
      <c r="Q95" s="289"/>
      <c r="R95" s="289"/>
    </row>
    <row r="96" s="666" customFormat="true" ht="12" hidden="false" customHeight="false" outlineLevel="0" collapsed="false">
      <c r="B96" s="702"/>
      <c r="C96" s="702"/>
      <c r="D96" s="702"/>
      <c r="E96" s="702"/>
      <c r="F96" s="742"/>
      <c r="G96" s="742"/>
      <c r="H96" s="742"/>
      <c r="I96" s="702"/>
      <c r="J96" s="702"/>
      <c r="K96" s="702"/>
      <c r="L96" s="702"/>
      <c r="M96" s="702"/>
      <c r="N96" s="702"/>
      <c r="P96" s="289"/>
      <c r="Q96" s="289"/>
      <c r="R96" s="289"/>
    </row>
    <row r="97" s="666" customFormat="true" ht="12" hidden="false" customHeight="false" outlineLevel="0" collapsed="false">
      <c r="B97" s="702"/>
      <c r="C97" s="702"/>
      <c r="D97" s="702"/>
      <c r="E97" s="702"/>
      <c r="F97" s="742"/>
      <c r="G97" s="742"/>
      <c r="H97" s="742"/>
      <c r="I97" s="702"/>
      <c r="J97" s="702"/>
      <c r="K97" s="702"/>
      <c r="L97" s="702"/>
      <c r="M97" s="702"/>
      <c r="N97" s="702"/>
      <c r="P97" s="289"/>
      <c r="Q97" s="289"/>
      <c r="R97" s="289"/>
    </row>
    <row r="98" s="666" customFormat="true" ht="12" hidden="false" customHeight="false" outlineLevel="0" collapsed="false">
      <c r="B98" s="702"/>
      <c r="C98" s="702"/>
      <c r="D98" s="702"/>
      <c r="E98" s="702"/>
      <c r="F98" s="742"/>
      <c r="G98" s="742"/>
      <c r="H98" s="742"/>
      <c r="I98" s="702"/>
      <c r="J98" s="702"/>
      <c r="K98" s="702"/>
      <c r="L98" s="702"/>
      <c r="M98" s="702"/>
      <c r="N98" s="702"/>
      <c r="P98" s="289"/>
      <c r="Q98" s="289"/>
      <c r="R98" s="289"/>
    </row>
    <row r="99" s="666" customFormat="true" ht="12" hidden="false" customHeight="false" outlineLevel="0" collapsed="false">
      <c r="B99" s="702"/>
      <c r="C99" s="702"/>
      <c r="D99" s="702"/>
      <c r="E99" s="702"/>
      <c r="F99" s="742"/>
      <c r="G99" s="742"/>
      <c r="H99" s="742"/>
      <c r="I99" s="702"/>
      <c r="J99" s="702"/>
      <c r="K99" s="702"/>
      <c r="L99" s="702"/>
      <c r="M99" s="702"/>
      <c r="N99" s="702"/>
      <c r="P99" s="289"/>
      <c r="Q99" s="289"/>
      <c r="R99" s="289"/>
    </row>
    <row r="100" s="666" customFormat="true" ht="12" hidden="false" customHeight="false" outlineLevel="0" collapsed="false">
      <c r="B100" s="702"/>
      <c r="C100" s="702"/>
      <c r="D100" s="702"/>
      <c r="E100" s="702"/>
      <c r="F100" s="742"/>
      <c r="G100" s="742"/>
      <c r="H100" s="742"/>
      <c r="I100" s="702"/>
      <c r="J100" s="702"/>
      <c r="K100" s="702"/>
      <c r="L100" s="702"/>
      <c r="M100" s="702"/>
      <c r="N100" s="702"/>
      <c r="P100" s="289"/>
      <c r="Q100" s="289"/>
      <c r="R100" s="289"/>
    </row>
    <row r="101" s="666" customFormat="true" ht="12" hidden="false" customHeight="false" outlineLevel="0" collapsed="false">
      <c r="B101" s="702"/>
      <c r="C101" s="702"/>
      <c r="D101" s="702"/>
      <c r="E101" s="702"/>
      <c r="F101" s="742"/>
      <c r="G101" s="742"/>
      <c r="H101" s="742"/>
      <c r="I101" s="702"/>
      <c r="J101" s="702"/>
      <c r="K101" s="702"/>
      <c r="L101" s="702"/>
      <c r="M101" s="702"/>
      <c r="N101" s="702"/>
      <c r="P101" s="289"/>
      <c r="Q101" s="289"/>
      <c r="R101" s="289"/>
    </row>
    <row r="102" s="666" customFormat="true" ht="12" hidden="false" customHeight="false" outlineLevel="0" collapsed="false">
      <c r="B102" s="702"/>
      <c r="C102" s="702"/>
      <c r="D102" s="702"/>
      <c r="E102" s="702"/>
      <c r="F102" s="742"/>
      <c r="G102" s="742"/>
      <c r="H102" s="742"/>
      <c r="I102" s="702"/>
      <c r="J102" s="702"/>
      <c r="K102" s="702"/>
      <c r="L102" s="702"/>
      <c r="M102" s="702"/>
      <c r="N102" s="702"/>
      <c r="P102" s="289"/>
      <c r="Q102" s="289"/>
      <c r="R102" s="289"/>
    </row>
    <row r="103" s="666" customFormat="true" ht="12" hidden="false" customHeight="false" outlineLevel="0" collapsed="false">
      <c r="B103" s="702"/>
      <c r="C103" s="702"/>
      <c r="D103" s="702"/>
      <c r="E103" s="702"/>
      <c r="F103" s="742"/>
      <c r="G103" s="742"/>
      <c r="H103" s="742"/>
      <c r="I103" s="702"/>
      <c r="J103" s="702"/>
      <c r="K103" s="702"/>
      <c r="L103" s="702"/>
      <c r="M103" s="702"/>
      <c r="N103" s="702"/>
      <c r="P103" s="289"/>
      <c r="Q103" s="289"/>
      <c r="R103" s="289"/>
    </row>
    <row r="104" s="666" customFormat="true" ht="12" hidden="false" customHeight="false" outlineLevel="0" collapsed="false">
      <c r="B104" s="702"/>
      <c r="C104" s="702"/>
      <c r="D104" s="702"/>
      <c r="E104" s="702"/>
      <c r="F104" s="742"/>
      <c r="G104" s="742"/>
      <c r="H104" s="742"/>
      <c r="I104" s="702"/>
      <c r="J104" s="702"/>
      <c r="K104" s="702"/>
      <c r="L104" s="702"/>
      <c r="M104" s="702"/>
      <c r="N104" s="702"/>
      <c r="P104" s="289"/>
      <c r="Q104" s="289"/>
      <c r="R104" s="289"/>
    </row>
    <row r="105" s="666" customFormat="true" ht="12" hidden="false" customHeight="false" outlineLevel="0" collapsed="false">
      <c r="B105" s="702"/>
      <c r="C105" s="702"/>
      <c r="D105" s="702"/>
      <c r="E105" s="702"/>
      <c r="F105" s="742"/>
      <c r="G105" s="742"/>
      <c r="H105" s="742"/>
      <c r="I105" s="702"/>
      <c r="J105" s="702"/>
      <c r="K105" s="702"/>
      <c r="L105" s="702"/>
      <c r="M105" s="702"/>
      <c r="N105" s="702"/>
      <c r="P105" s="289"/>
      <c r="Q105" s="289"/>
      <c r="R105" s="289"/>
    </row>
    <row r="106" s="666" customFormat="true" ht="12" hidden="false" customHeight="false" outlineLevel="0" collapsed="false">
      <c r="B106" s="702"/>
      <c r="C106" s="702"/>
      <c r="D106" s="702"/>
      <c r="E106" s="702"/>
      <c r="F106" s="742"/>
      <c r="G106" s="742"/>
      <c r="H106" s="742"/>
      <c r="I106" s="702"/>
      <c r="J106" s="702"/>
      <c r="K106" s="702"/>
      <c r="L106" s="702"/>
      <c r="M106" s="702"/>
      <c r="N106" s="702"/>
      <c r="P106" s="289"/>
      <c r="Q106" s="289"/>
      <c r="R106" s="289"/>
    </row>
    <row r="107" s="666" customFormat="true" ht="12" hidden="false" customHeight="false" outlineLevel="0" collapsed="false">
      <c r="B107" s="702"/>
      <c r="C107" s="702"/>
      <c r="D107" s="702"/>
      <c r="E107" s="702"/>
      <c r="F107" s="742"/>
      <c r="G107" s="742"/>
      <c r="H107" s="742"/>
      <c r="I107" s="702"/>
      <c r="J107" s="702"/>
      <c r="K107" s="702"/>
      <c r="L107" s="702"/>
      <c r="M107" s="702"/>
      <c r="N107" s="702"/>
      <c r="P107" s="289"/>
      <c r="Q107" s="289"/>
      <c r="R107" s="289"/>
    </row>
    <row r="108" s="666" customFormat="true" ht="12" hidden="false" customHeight="false" outlineLevel="0" collapsed="false">
      <c r="B108" s="702"/>
      <c r="C108" s="702"/>
      <c r="D108" s="702"/>
      <c r="E108" s="702"/>
      <c r="F108" s="742"/>
      <c r="G108" s="742"/>
      <c r="H108" s="742"/>
      <c r="I108" s="702"/>
      <c r="J108" s="702"/>
      <c r="K108" s="702"/>
      <c r="L108" s="702"/>
      <c r="M108" s="702"/>
      <c r="N108" s="702"/>
      <c r="P108" s="289"/>
      <c r="Q108" s="289"/>
      <c r="R108" s="289"/>
    </row>
    <row r="109" s="666" customFormat="true" ht="12" hidden="false" customHeight="false" outlineLevel="0" collapsed="false">
      <c r="B109" s="702"/>
      <c r="C109" s="702"/>
      <c r="D109" s="702"/>
      <c r="E109" s="702"/>
      <c r="F109" s="742"/>
      <c r="G109" s="742"/>
      <c r="H109" s="742"/>
      <c r="I109" s="702"/>
      <c r="J109" s="702"/>
      <c r="K109" s="702"/>
      <c r="L109" s="702"/>
      <c r="M109" s="702"/>
      <c r="N109" s="702"/>
      <c r="P109" s="289"/>
      <c r="Q109" s="289"/>
      <c r="R109" s="289"/>
    </row>
    <row r="110" s="666" customFormat="true" ht="12" hidden="false" customHeight="false" outlineLevel="0" collapsed="false">
      <c r="B110" s="702"/>
      <c r="C110" s="702"/>
      <c r="D110" s="702"/>
      <c r="E110" s="702"/>
      <c r="F110" s="742"/>
      <c r="G110" s="742"/>
      <c r="H110" s="742"/>
      <c r="I110" s="702"/>
      <c r="J110" s="702"/>
      <c r="K110" s="702"/>
      <c r="L110" s="702"/>
      <c r="M110" s="702"/>
      <c r="N110" s="702"/>
      <c r="P110" s="289"/>
      <c r="Q110" s="289"/>
      <c r="R110" s="289"/>
    </row>
    <row r="111" s="666" customFormat="true" ht="12" hidden="false" customHeight="false" outlineLevel="0" collapsed="false">
      <c r="B111" s="702"/>
      <c r="C111" s="702"/>
      <c r="D111" s="702"/>
      <c r="E111" s="702"/>
      <c r="F111" s="742"/>
      <c r="G111" s="742"/>
      <c r="H111" s="742"/>
      <c r="I111" s="702"/>
      <c r="J111" s="702"/>
      <c r="K111" s="702"/>
      <c r="L111" s="702"/>
      <c r="M111" s="702"/>
      <c r="N111" s="702"/>
      <c r="P111" s="289"/>
      <c r="Q111" s="289"/>
      <c r="R111" s="289"/>
    </row>
    <row r="112" s="666" customFormat="true" ht="12" hidden="false" customHeight="false" outlineLevel="0" collapsed="false">
      <c r="B112" s="702"/>
      <c r="C112" s="702"/>
      <c r="D112" s="702"/>
      <c r="E112" s="702"/>
      <c r="F112" s="742"/>
      <c r="G112" s="742"/>
      <c r="H112" s="742"/>
      <c r="I112" s="702"/>
      <c r="J112" s="702"/>
      <c r="K112" s="702"/>
      <c r="L112" s="702"/>
      <c r="M112" s="702"/>
      <c r="N112" s="702"/>
      <c r="P112" s="289"/>
      <c r="Q112" s="289"/>
      <c r="R112" s="289"/>
    </row>
    <row r="113" s="666" customFormat="true" ht="12" hidden="false" customHeight="false" outlineLevel="0" collapsed="false">
      <c r="B113" s="702"/>
      <c r="C113" s="702"/>
      <c r="D113" s="702"/>
      <c r="E113" s="702"/>
      <c r="F113" s="742"/>
      <c r="G113" s="742"/>
      <c r="H113" s="742"/>
      <c r="I113" s="702"/>
      <c r="J113" s="702"/>
      <c r="K113" s="702"/>
      <c r="L113" s="702"/>
      <c r="M113" s="702"/>
      <c r="N113" s="702"/>
      <c r="P113" s="289"/>
      <c r="Q113" s="289"/>
      <c r="R113" s="289"/>
    </row>
    <row r="114" s="666" customFormat="true" ht="12" hidden="false" customHeight="false" outlineLevel="0" collapsed="false">
      <c r="B114" s="702"/>
      <c r="C114" s="702"/>
      <c r="D114" s="702"/>
      <c r="E114" s="702"/>
      <c r="F114" s="742"/>
      <c r="G114" s="742"/>
      <c r="H114" s="742"/>
      <c r="I114" s="702"/>
      <c r="J114" s="702"/>
      <c r="K114" s="702"/>
      <c r="L114" s="702"/>
      <c r="M114" s="702"/>
      <c r="N114" s="702"/>
      <c r="P114" s="289"/>
      <c r="Q114" s="289"/>
      <c r="R114" s="289"/>
    </row>
    <row r="115" s="666" customFormat="true" ht="12" hidden="false" customHeight="false" outlineLevel="0" collapsed="false">
      <c r="B115" s="702"/>
      <c r="C115" s="702"/>
      <c r="D115" s="702"/>
      <c r="E115" s="702"/>
      <c r="F115" s="742"/>
      <c r="G115" s="742"/>
      <c r="H115" s="742"/>
      <c r="I115" s="702"/>
      <c r="J115" s="702"/>
      <c r="K115" s="702"/>
      <c r="L115" s="702"/>
      <c r="M115" s="702"/>
      <c r="N115" s="702"/>
      <c r="P115" s="289"/>
      <c r="Q115" s="289"/>
      <c r="R115" s="289"/>
    </row>
    <row r="116" s="666" customFormat="true" ht="12" hidden="false" customHeight="false" outlineLevel="0" collapsed="false">
      <c r="B116" s="702"/>
      <c r="C116" s="702"/>
      <c r="D116" s="702"/>
      <c r="E116" s="702"/>
      <c r="F116" s="742"/>
      <c r="G116" s="742"/>
      <c r="H116" s="742"/>
      <c r="I116" s="702"/>
      <c r="J116" s="702"/>
      <c r="K116" s="702"/>
      <c r="L116" s="702"/>
      <c r="M116" s="702"/>
      <c r="N116" s="702"/>
      <c r="P116" s="289"/>
      <c r="Q116" s="289"/>
      <c r="R116" s="289"/>
    </row>
    <row r="117" s="666" customFormat="true" ht="12" hidden="false" customHeight="false" outlineLevel="0" collapsed="false">
      <c r="B117" s="702"/>
      <c r="C117" s="702"/>
      <c r="D117" s="702"/>
      <c r="E117" s="702"/>
      <c r="F117" s="742"/>
      <c r="G117" s="742"/>
      <c r="H117" s="742"/>
      <c r="I117" s="702"/>
      <c r="J117" s="702"/>
      <c r="K117" s="702"/>
      <c r="L117" s="702"/>
      <c r="M117" s="702"/>
      <c r="N117" s="702"/>
      <c r="P117" s="289"/>
      <c r="Q117" s="289"/>
      <c r="R117" s="289"/>
    </row>
    <row r="118" s="666" customFormat="true" ht="12" hidden="false" customHeight="false" outlineLevel="0" collapsed="false">
      <c r="B118" s="702"/>
      <c r="C118" s="702"/>
      <c r="D118" s="702"/>
      <c r="E118" s="702"/>
      <c r="F118" s="742"/>
      <c r="G118" s="742"/>
      <c r="H118" s="742"/>
      <c r="I118" s="702"/>
      <c r="J118" s="702"/>
      <c r="K118" s="702"/>
      <c r="L118" s="702"/>
      <c r="M118" s="702"/>
      <c r="N118" s="702"/>
      <c r="P118" s="289"/>
      <c r="Q118" s="289"/>
      <c r="R118" s="289"/>
    </row>
    <row r="119" s="666" customFormat="true" ht="12" hidden="false" customHeight="false" outlineLevel="0" collapsed="false">
      <c r="B119" s="702"/>
      <c r="C119" s="702"/>
      <c r="D119" s="702"/>
      <c r="E119" s="702"/>
      <c r="F119" s="742"/>
      <c r="G119" s="742"/>
      <c r="H119" s="742"/>
      <c r="I119" s="702"/>
      <c r="J119" s="702"/>
      <c r="K119" s="702"/>
      <c r="L119" s="702"/>
      <c r="M119" s="702"/>
      <c r="N119" s="702"/>
      <c r="P119" s="289"/>
      <c r="Q119" s="289"/>
      <c r="R119" s="289"/>
    </row>
    <row r="120" s="666" customFormat="true" ht="12" hidden="false" customHeight="false" outlineLevel="0" collapsed="false">
      <c r="B120" s="702"/>
      <c r="C120" s="702"/>
      <c r="D120" s="702"/>
      <c r="E120" s="702"/>
      <c r="F120" s="742"/>
      <c r="G120" s="742"/>
      <c r="H120" s="742"/>
      <c r="I120" s="702"/>
      <c r="J120" s="702"/>
      <c r="K120" s="702"/>
      <c r="L120" s="702"/>
      <c r="M120" s="702"/>
      <c r="N120" s="702"/>
      <c r="P120" s="289"/>
      <c r="Q120" s="289"/>
      <c r="R120" s="289"/>
    </row>
    <row r="121" s="666" customFormat="true" ht="12" hidden="false" customHeight="false" outlineLevel="0" collapsed="false">
      <c r="B121" s="702"/>
      <c r="C121" s="702"/>
      <c r="D121" s="702"/>
      <c r="E121" s="702"/>
      <c r="F121" s="742"/>
      <c r="G121" s="742"/>
      <c r="H121" s="742"/>
      <c r="I121" s="702"/>
      <c r="J121" s="702"/>
      <c r="K121" s="702"/>
      <c r="L121" s="702"/>
      <c r="M121" s="702"/>
      <c r="N121" s="702"/>
      <c r="P121" s="289"/>
      <c r="Q121" s="289"/>
      <c r="R121" s="289"/>
    </row>
    <row r="122" s="666" customFormat="true" ht="12" hidden="false" customHeight="false" outlineLevel="0" collapsed="false">
      <c r="B122" s="702"/>
      <c r="C122" s="702"/>
      <c r="D122" s="702"/>
      <c r="E122" s="702"/>
      <c r="F122" s="742"/>
      <c r="G122" s="742"/>
      <c r="H122" s="742"/>
      <c r="I122" s="702"/>
      <c r="J122" s="702"/>
      <c r="K122" s="702"/>
      <c r="L122" s="702"/>
      <c r="M122" s="702"/>
      <c r="N122" s="702"/>
      <c r="P122" s="289"/>
      <c r="Q122" s="289"/>
      <c r="R122" s="289"/>
    </row>
    <row r="123" s="666" customFormat="true" ht="12" hidden="false" customHeight="false" outlineLevel="0" collapsed="false">
      <c r="B123" s="702"/>
      <c r="C123" s="702"/>
      <c r="D123" s="702"/>
      <c r="E123" s="702"/>
      <c r="F123" s="742"/>
      <c r="G123" s="742"/>
      <c r="H123" s="742"/>
      <c r="I123" s="702"/>
      <c r="J123" s="702"/>
      <c r="K123" s="702"/>
      <c r="L123" s="702"/>
      <c r="M123" s="702"/>
      <c r="N123" s="702"/>
      <c r="P123" s="289"/>
      <c r="Q123" s="289"/>
      <c r="R123" s="289"/>
    </row>
    <row r="124" s="666" customFormat="true" ht="12" hidden="false" customHeight="false" outlineLevel="0" collapsed="false">
      <c r="B124" s="702"/>
      <c r="C124" s="702"/>
      <c r="D124" s="702"/>
      <c r="E124" s="702"/>
      <c r="F124" s="742"/>
      <c r="G124" s="742"/>
      <c r="H124" s="742"/>
      <c r="I124" s="702"/>
      <c r="J124" s="702"/>
      <c r="K124" s="702"/>
      <c r="L124" s="702"/>
      <c r="M124" s="702"/>
      <c r="N124" s="702"/>
      <c r="P124" s="289"/>
      <c r="Q124" s="289"/>
      <c r="R124" s="289"/>
    </row>
    <row r="125" s="666" customFormat="true" ht="12" hidden="false" customHeight="false" outlineLevel="0" collapsed="false">
      <c r="B125" s="702"/>
      <c r="C125" s="702"/>
      <c r="D125" s="702"/>
      <c r="E125" s="702"/>
      <c r="F125" s="742"/>
      <c r="G125" s="742"/>
      <c r="H125" s="742"/>
      <c r="I125" s="702"/>
      <c r="J125" s="702"/>
      <c r="K125" s="702"/>
      <c r="L125" s="702"/>
      <c r="M125" s="702"/>
      <c r="N125" s="702"/>
      <c r="P125" s="289"/>
      <c r="Q125" s="289"/>
      <c r="R125" s="289"/>
    </row>
    <row r="126" s="666" customFormat="true" ht="12" hidden="false" customHeight="false" outlineLevel="0" collapsed="false">
      <c r="B126" s="702"/>
      <c r="C126" s="702"/>
      <c r="D126" s="702"/>
      <c r="E126" s="702"/>
      <c r="F126" s="742"/>
      <c r="G126" s="742"/>
      <c r="H126" s="742"/>
      <c r="I126" s="702"/>
      <c r="J126" s="702"/>
      <c r="K126" s="702"/>
      <c r="L126" s="702"/>
      <c r="M126" s="702"/>
      <c r="N126" s="702"/>
      <c r="P126" s="289"/>
      <c r="Q126" s="289"/>
      <c r="R126" s="289"/>
    </row>
    <row r="127" s="666" customFormat="true" ht="12" hidden="false" customHeight="false" outlineLevel="0" collapsed="false">
      <c r="B127" s="702"/>
      <c r="C127" s="702"/>
      <c r="D127" s="702"/>
      <c r="E127" s="702"/>
      <c r="F127" s="742"/>
      <c r="G127" s="742"/>
      <c r="H127" s="742"/>
      <c r="I127" s="702"/>
      <c r="J127" s="702"/>
      <c r="K127" s="702"/>
      <c r="L127" s="702"/>
      <c r="M127" s="702"/>
      <c r="N127" s="702"/>
      <c r="P127" s="289"/>
      <c r="Q127" s="289"/>
      <c r="R127" s="289"/>
    </row>
    <row r="128" s="666" customFormat="true" ht="12" hidden="false" customHeight="false" outlineLevel="0" collapsed="false">
      <c r="B128" s="702"/>
      <c r="C128" s="702"/>
      <c r="D128" s="702"/>
      <c r="E128" s="702"/>
      <c r="F128" s="742"/>
      <c r="G128" s="742"/>
      <c r="H128" s="742"/>
      <c r="I128" s="702"/>
      <c r="J128" s="702"/>
      <c r="K128" s="702"/>
      <c r="L128" s="702"/>
      <c r="M128" s="702"/>
      <c r="N128" s="702"/>
      <c r="P128" s="289"/>
      <c r="Q128" s="289"/>
      <c r="R128" s="289"/>
    </row>
    <row r="129" s="666" customFormat="true" ht="12" hidden="false" customHeight="false" outlineLevel="0" collapsed="false">
      <c r="B129" s="702"/>
      <c r="C129" s="702"/>
      <c r="D129" s="702"/>
      <c r="E129" s="702"/>
      <c r="F129" s="742"/>
      <c r="G129" s="742"/>
      <c r="H129" s="742"/>
      <c r="I129" s="702"/>
      <c r="J129" s="702"/>
      <c r="K129" s="702"/>
      <c r="L129" s="702"/>
      <c r="M129" s="702"/>
      <c r="N129" s="702"/>
      <c r="P129" s="289"/>
      <c r="Q129" s="289"/>
      <c r="R129" s="289"/>
    </row>
    <row r="130" s="666" customFormat="true" ht="12" hidden="false" customHeight="false" outlineLevel="0" collapsed="false">
      <c r="B130" s="702"/>
      <c r="C130" s="702"/>
      <c r="D130" s="702"/>
      <c r="E130" s="702"/>
      <c r="F130" s="742"/>
      <c r="G130" s="742"/>
      <c r="H130" s="742"/>
      <c r="I130" s="702"/>
      <c r="J130" s="702"/>
      <c r="K130" s="702"/>
      <c r="L130" s="702"/>
      <c r="M130" s="702"/>
      <c r="N130" s="702"/>
      <c r="P130" s="289"/>
      <c r="Q130" s="289"/>
      <c r="R130" s="289"/>
    </row>
    <row r="131" s="666" customFormat="true" ht="12" hidden="false" customHeight="false" outlineLevel="0" collapsed="false">
      <c r="B131" s="702"/>
      <c r="C131" s="702"/>
      <c r="D131" s="702"/>
      <c r="E131" s="702"/>
      <c r="F131" s="742"/>
      <c r="G131" s="742"/>
      <c r="H131" s="742"/>
      <c r="I131" s="702"/>
      <c r="J131" s="702"/>
      <c r="K131" s="702"/>
      <c r="L131" s="702"/>
      <c r="M131" s="702"/>
      <c r="N131" s="702"/>
      <c r="P131" s="289"/>
      <c r="Q131" s="289"/>
      <c r="R131" s="289"/>
    </row>
    <row r="132" s="666" customFormat="true" ht="12" hidden="false" customHeight="false" outlineLevel="0" collapsed="false">
      <c r="B132" s="702"/>
      <c r="C132" s="702"/>
      <c r="D132" s="702"/>
      <c r="E132" s="702"/>
      <c r="F132" s="742"/>
      <c r="G132" s="742"/>
      <c r="H132" s="742"/>
      <c r="I132" s="702"/>
      <c r="J132" s="702"/>
      <c r="K132" s="702"/>
      <c r="L132" s="702"/>
      <c r="M132" s="702"/>
      <c r="N132" s="702"/>
      <c r="P132" s="289"/>
      <c r="Q132" s="289"/>
      <c r="R132" s="289"/>
    </row>
    <row r="133" s="666" customFormat="true" ht="12" hidden="false" customHeight="false" outlineLevel="0" collapsed="false">
      <c r="B133" s="702"/>
      <c r="C133" s="702"/>
      <c r="D133" s="702"/>
      <c r="E133" s="702"/>
      <c r="F133" s="742"/>
      <c r="G133" s="742"/>
      <c r="H133" s="742"/>
      <c r="I133" s="702"/>
      <c r="J133" s="702"/>
      <c r="K133" s="702"/>
      <c r="L133" s="702"/>
      <c r="M133" s="702"/>
      <c r="N133" s="702"/>
      <c r="P133" s="289"/>
      <c r="Q133" s="289"/>
      <c r="R133" s="289"/>
    </row>
    <row r="134" s="666" customFormat="true" ht="12" hidden="false" customHeight="false" outlineLevel="0" collapsed="false">
      <c r="B134" s="702"/>
      <c r="C134" s="702"/>
      <c r="D134" s="702"/>
      <c r="E134" s="702"/>
      <c r="F134" s="742"/>
      <c r="G134" s="742"/>
      <c r="H134" s="742"/>
      <c r="I134" s="702"/>
      <c r="J134" s="702"/>
      <c r="K134" s="702"/>
      <c r="L134" s="702"/>
      <c r="M134" s="702"/>
      <c r="N134" s="702"/>
      <c r="P134" s="289"/>
      <c r="Q134" s="289"/>
      <c r="R134" s="289"/>
    </row>
    <row r="135" s="666" customFormat="true" ht="12" hidden="false" customHeight="false" outlineLevel="0" collapsed="false">
      <c r="B135" s="702"/>
      <c r="C135" s="702"/>
      <c r="D135" s="702"/>
      <c r="E135" s="702"/>
      <c r="F135" s="742"/>
      <c r="G135" s="742"/>
      <c r="H135" s="742"/>
      <c r="I135" s="702"/>
      <c r="J135" s="702"/>
      <c r="K135" s="702"/>
      <c r="L135" s="702"/>
      <c r="M135" s="702"/>
      <c r="N135" s="702"/>
      <c r="P135" s="289"/>
      <c r="Q135" s="289"/>
      <c r="R135" s="289"/>
    </row>
    <row r="136" s="666" customFormat="true" ht="12" hidden="false" customHeight="false" outlineLevel="0" collapsed="false">
      <c r="B136" s="702"/>
      <c r="C136" s="702"/>
      <c r="D136" s="702"/>
      <c r="E136" s="702"/>
      <c r="F136" s="742"/>
      <c r="G136" s="742"/>
      <c r="H136" s="742"/>
      <c r="I136" s="702"/>
      <c r="J136" s="702"/>
      <c r="K136" s="702"/>
      <c r="L136" s="702"/>
      <c r="M136" s="702"/>
      <c r="N136" s="702"/>
      <c r="P136" s="289"/>
      <c r="Q136" s="289"/>
      <c r="R136" s="289"/>
    </row>
    <row r="137" s="666" customFormat="true" ht="12" hidden="false" customHeight="false" outlineLevel="0" collapsed="false">
      <c r="B137" s="702"/>
      <c r="C137" s="702"/>
      <c r="D137" s="702"/>
      <c r="E137" s="702"/>
      <c r="F137" s="742"/>
      <c r="G137" s="742"/>
      <c r="H137" s="742"/>
      <c r="I137" s="702"/>
      <c r="J137" s="702"/>
      <c r="K137" s="702"/>
      <c r="L137" s="702"/>
      <c r="M137" s="702"/>
      <c r="N137" s="702"/>
      <c r="P137" s="289"/>
      <c r="Q137" s="289"/>
      <c r="R137" s="289"/>
    </row>
    <row r="138" s="666" customFormat="true" ht="12" hidden="false" customHeight="false" outlineLevel="0" collapsed="false">
      <c r="B138" s="702"/>
      <c r="C138" s="702"/>
      <c r="D138" s="702"/>
      <c r="E138" s="702"/>
      <c r="F138" s="742"/>
      <c r="G138" s="742"/>
      <c r="H138" s="742"/>
      <c r="I138" s="702"/>
      <c r="J138" s="702"/>
      <c r="K138" s="702"/>
      <c r="L138" s="702"/>
      <c r="M138" s="702"/>
      <c r="N138" s="702"/>
      <c r="P138" s="289"/>
      <c r="Q138" s="289"/>
      <c r="R138" s="289"/>
    </row>
    <row r="139" s="666" customFormat="true" ht="12" hidden="false" customHeight="false" outlineLevel="0" collapsed="false">
      <c r="B139" s="702"/>
      <c r="C139" s="702"/>
      <c r="D139" s="702"/>
      <c r="E139" s="702"/>
      <c r="F139" s="742"/>
      <c r="G139" s="742"/>
      <c r="H139" s="742"/>
      <c r="I139" s="702"/>
      <c r="J139" s="702"/>
      <c r="K139" s="702"/>
      <c r="L139" s="702"/>
      <c r="M139" s="702"/>
      <c r="N139" s="702"/>
      <c r="P139" s="289"/>
      <c r="Q139" s="289"/>
      <c r="R139" s="289"/>
    </row>
    <row r="140" s="666" customFormat="true" ht="12" hidden="false" customHeight="false" outlineLevel="0" collapsed="false">
      <c r="B140" s="702"/>
      <c r="C140" s="702"/>
      <c r="D140" s="702"/>
      <c r="E140" s="702"/>
      <c r="F140" s="742"/>
      <c r="G140" s="742"/>
      <c r="H140" s="742"/>
      <c r="I140" s="702"/>
      <c r="J140" s="702"/>
      <c r="K140" s="702"/>
      <c r="L140" s="702"/>
      <c r="M140" s="702"/>
      <c r="N140" s="702"/>
      <c r="P140" s="289"/>
      <c r="Q140" s="289"/>
      <c r="R140" s="289"/>
    </row>
    <row r="141" s="666" customFormat="true" ht="12" hidden="false" customHeight="false" outlineLevel="0" collapsed="false">
      <c r="B141" s="702"/>
      <c r="C141" s="702"/>
      <c r="D141" s="702"/>
      <c r="E141" s="702"/>
      <c r="F141" s="742"/>
      <c r="G141" s="742"/>
      <c r="H141" s="742"/>
      <c r="I141" s="702"/>
      <c r="J141" s="702"/>
      <c r="K141" s="702"/>
      <c r="L141" s="702"/>
      <c r="M141" s="702"/>
      <c r="N141" s="702"/>
      <c r="P141" s="289"/>
      <c r="Q141" s="289"/>
      <c r="R141" s="289"/>
    </row>
    <row r="142" s="666" customFormat="true" ht="12" hidden="false" customHeight="false" outlineLevel="0" collapsed="false">
      <c r="B142" s="702"/>
      <c r="C142" s="702"/>
      <c r="D142" s="702"/>
      <c r="E142" s="702"/>
      <c r="F142" s="742"/>
      <c r="G142" s="742"/>
      <c r="H142" s="742"/>
      <c r="I142" s="702"/>
      <c r="J142" s="702"/>
      <c r="K142" s="702"/>
      <c r="L142" s="702"/>
      <c r="M142" s="702"/>
      <c r="N142" s="702"/>
      <c r="P142" s="289"/>
      <c r="Q142" s="289"/>
      <c r="R142" s="289"/>
    </row>
    <row r="143" s="666" customFormat="true" ht="12" hidden="false" customHeight="false" outlineLevel="0" collapsed="false">
      <c r="B143" s="702"/>
      <c r="C143" s="702"/>
      <c r="D143" s="702"/>
      <c r="E143" s="702"/>
      <c r="F143" s="742"/>
      <c r="G143" s="742"/>
      <c r="H143" s="742"/>
      <c r="I143" s="702"/>
      <c r="J143" s="702"/>
      <c r="K143" s="702"/>
      <c r="L143" s="702"/>
      <c r="M143" s="702"/>
      <c r="N143" s="702"/>
      <c r="P143" s="289"/>
      <c r="Q143" s="289"/>
      <c r="R143" s="289"/>
    </row>
    <row r="144" s="666" customFormat="true" ht="12" hidden="false" customHeight="false" outlineLevel="0" collapsed="false">
      <c r="B144" s="702"/>
      <c r="C144" s="702"/>
      <c r="D144" s="702"/>
      <c r="E144" s="702"/>
      <c r="F144" s="742"/>
      <c r="G144" s="742"/>
      <c r="H144" s="742"/>
      <c r="I144" s="702"/>
      <c r="J144" s="702"/>
      <c r="K144" s="702"/>
      <c r="L144" s="702"/>
      <c r="M144" s="702"/>
      <c r="N144" s="702"/>
      <c r="P144" s="289"/>
      <c r="Q144" s="289"/>
      <c r="R144" s="289"/>
    </row>
    <row r="145" s="666" customFormat="true" ht="12" hidden="false" customHeight="false" outlineLevel="0" collapsed="false">
      <c r="B145" s="702"/>
      <c r="C145" s="702"/>
      <c r="D145" s="702"/>
      <c r="E145" s="702"/>
      <c r="F145" s="742"/>
      <c r="G145" s="742"/>
      <c r="H145" s="742"/>
      <c r="I145" s="702"/>
      <c r="J145" s="702"/>
      <c r="K145" s="702"/>
      <c r="L145" s="702"/>
      <c r="M145" s="702"/>
      <c r="N145" s="702"/>
      <c r="P145" s="289"/>
      <c r="Q145" s="289"/>
      <c r="R145" s="289"/>
    </row>
    <row r="146" s="666" customFormat="true" ht="12" hidden="false" customHeight="false" outlineLevel="0" collapsed="false">
      <c r="B146" s="702"/>
      <c r="C146" s="702"/>
      <c r="D146" s="702"/>
      <c r="E146" s="702"/>
      <c r="F146" s="742"/>
      <c r="G146" s="742"/>
      <c r="H146" s="742"/>
      <c r="I146" s="702"/>
      <c r="J146" s="702"/>
      <c r="K146" s="702"/>
      <c r="L146" s="702"/>
      <c r="M146" s="702"/>
      <c r="N146" s="702"/>
      <c r="P146" s="289"/>
      <c r="Q146" s="289"/>
      <c r="R146" s="289"/>
    </row>
    <row r="147" s="666" customFormat="true" ht="12" hidden="false" customHeight="false" outlineLevel="0" collapsed="false">
      <c r="B147" s="702"/>
      <c r="C147" s="702"/>
      <c r="D147" s="702"/>
      <c r="E147" s="702"/>
      <c r="F147" s="742"/>
      <c r="G147" s="742"/>
      <c r="H147" s="742"/>
      <c r="I147" s="702"/>
      <c r="J147" s="702"/>
      <c r="K147" s="702"/>
      <c r="L147" s="702"/>
      <c r="M147" s="702"/>
      <c r="N147" s="702"/>
      <c r="P147" s="289"/>
      <c r="Q147" s="289"/>
      <c r="R147" s="289"/>
    </row>
    <row r="148" s="666" customFormat="true" ht="12" hidden="false" customHeight="false" outlineLevel="0" collapsed="false">
      <c r="B148" s="702"/>
      <c r="C148" s="702"/>
      <c r="D148" s="702"/>
      <c r="E148" s="702"/>
      <c r="F148" s="742"/>
      <c r="G148" s="742"/>
      <c r="H148" s="742"/>
      <c r="I148" s="702"/>
      <c r="J148" s="702"/>
      <c r="K148" s="702"/>
      <c r="L148" s="702"/>
      <c r="M148" s="702"/>
      <c r="N148" s="702"/>
      <c r="P148" s="289"/>
      <c r="Q148" s="289"/>
      <c r="R148" s="289"/>
    </row>
    <row r="149" s="666" customFormat="true" ht="12" hidden="false" customHeight="false" outlineLevel="0" collapsed="false">
      <c r="B149" s="702"/>
      <c r="C149" s="702"/>
      <c r="D149" s="702"/>
      <c r="E149" s="702"/>
      <c r="F149" s="742"/>
      <c r="G149" s="742"/>
      <c r="H149" s="742"/>
      <c r="I149" s="702"/>
      <c r="J149" s="702"/>
      <c r="K149" s="702"/>
      <c r="L149" s="702"/>
      <c r="M149" s="702"/>
      <c r="N149" s="702"/>
      <c r="P149" s="289"/>
      <c r="Q149" s="289"/>
      <c r="R149" s="289"/>
    </row>
    <row r="150" s="666" customFormat="true" ht="12" hidden="false" customHeight="false" outlineLevel="0" collapsed="false">
      <c r="B150" s="702"/>
      <c r="C150" s="702"/>
      <c r="D150" s="702"/>
      <c r="E150" s="702"/>
      <c r="F150" s="742"/>
      <c r="G150" s="742"/>
      <c r="H150" s="742"/>
      <c r="I150" s="702"/>
      <c r="J150" s="702"/>
      <c r="K150" s="702"/>
      <c r="L150" s="702"/>
      <c r="M150" s="702"/>
      <c r="N150" s="702"/>
      <c r="P150" s="289"/>
      <c r="Q150" s="289"/>
      <c r="R150" s="289"/>
    </row>
    <row r="151" s="666" customFormat="true" ht="12" hidden="false" customHeight="false" outlineLevel="0" collapsed="false">
      <c r="B151" s="702"/>
      <c r="C151" s="702"/>
      <c r="D151" s="702"/>
      <c r="E151" s="702"/>
      <c r="F151" s="742"/>
      <c r="G151" s="742"/>
      <c r="H151" s="742"/>
      <c r="I151" s="702"/>
      <c r="J151" s="702"/>
      <c r="K151" s="702"/>
      <c r="L151" s="702"/>
      <c r="M151" s="702"/>
      <c r="N151" s="702"/>
      <c r="P151" s="289"/>
      <c r="Q151" s="289"/>
      <c r="R151" s="289"/>
    </row>
    <row r="152" s="666" customFormat="true" ht="12" hidden="false" customHeight="false" outlineLevel="0" collapsed="false">
      <c r="B152" s="702"/>
      <c r="C152" s="702"/>
      <c r="D152" s="702"/>
      <c r="E152" s="702"/>
      <c r="F152" s="742"/>
      <c r="G152" s="742"/>
      <c r="H152" s="742"/>
      <c r="I152" s="702"/>
      <c r="J152" s="702"/>
      <c r="K152" s="702"/>
      <c r="L152" s="702"/>
      <c r="M152" s="702"/>
      <c r="N152" s="702"/>
      <c r="P152" s="289"/>
      <c r="Q152" s="289"/>
      <c r="R152" s="289"/>
    </row>
    <row r="153" s="666" customFormat="true" ht="12" hidden="false" customHeight="false" outlineLevel="0" collapsed="false">
      <c r="B153" s="702"/>
      <c r="C153" s="702"/>
      <c r="D153" s="702"/>
      <c r="E153" s="702"/>
      <c r="F153" s="742"/>
      <c r="G153" s="742"/>
      <c r="H153" s="742"/>
      <c r="I153" s="702"/>
      <c r="J153" s="702"/>
      <c r="K153" s="702"/>
      <c r="L153" s="702"/>
      <c r="M153" s="702"/>
      <c r="N153" s="702"/>
      <c r="P153" s="289"/>
      <c r="Q153" s="289"/>
      <c r="R153" s="289"/>
    </row>
    <row r="154" s="666" customFormat="true" ht="12" hidden="false" customHeight="false" outlineLevel="0" collapsed="false">
      <c r="B154" s="702"/>
      <c r="C154" s="702"/>
      <c r="D154" s="702"/>
      <c r="E154" s="702"/>
      <c r="F154" s="742"/>
      <c r="G154" s="742"/>
      <c r="H154" s="742"/>
      <c r="I154" s="702"/>
      <c r="J154" s="702"/>
      <c r="K154" s="702"/>
      <c r="L154" s="702"/>
      <c r="M154" s="702"/>
      <c r="N154" s="702"/>
      <c r="P154" s="289"/>
      <c r="Q154" s="289"/>
      <c r="R154" s="289"/>
    </row>
    <row r="155" s="666" customFormat="true" ht="12" hidden="false" customHeight="false" outlineLevel="0" collapsed="false">
      <c r="B155" s="702"/>
      <c r="C155" s="702"/>
      <c r="D155" s="702"/>
      <c r="E155" s="702"/>
      <c r="F155" s="742"/>
      <c r="G155" s="742"/>
      <c r="H155" s="742"/>
      <c r="I155" s="702"/>
      <c r="J155" s="702"/>
      <c r="K155" s="702"/>
      <c r="L155" s="702"/>
      <c r="M155" s="702"/>
      <c r="N155" s="702"/>
      <c r="P155" s="289"/>
      <c r="Q155" s="289"/>
      <c r="R155" s="289"/>
    </row>
    <row r="156" s="666" customFormat="true" ht="12" hidden="false" customHeight="false" outlineLevel="0" collapsed="false">
      <c r="B156" s="702"/>
      <c r="C156" s="702"/>
      <c r="D156" s="702"/>
      <c r="E156" s="702"/>
      <c r="F156" s="742"/>
      <c r="G156" s="742"/>
      <c r="H156" s="742"/>
      <c r="I156" s="702"/>
      <c r="J156" s="702"/>
      <c r="K156" s="702"/>
      <c r="L156" s="702"/>
      <c r="M156" s="702"/>
      <c r="N156" s="702"/>
      <c r="P156" s="289"/>
      <c r="Q156" s="289"/>
      <c r="R156" s="289"/>
    </row>
    <row r="157" s="666" customFormat="true" ht="12" hidden="false" customHeight="false" outlineLevel="0" collapsed="false">
      <c r="B157" s="702"/>
      <c r="C157" s="702"/>
      <c r="D157" s="702"/>
      <c r="E157" s="702"/>
      <c r="F157" s="742"/>
      <c r="G157" s="742"/>
      <c r="H157" s="742"/>
      <c r="I157" s="702"/>
      <c r="J157" s="702"/>
      <c r="K157" s="702"/>
      <c r="L157" s="702"/>
      <c r="M157" s="702"/>
      <c r="N157" s="702"/>
      <c r="P157" s="289"/>
      <c r="Q157" s="289"/>
      <c r="R157" s="289"/>
    </row>
    <row r="158" s="666" customFormat="true" ht="12" hidden="false" customHeight="false" outlineLevel="0" collapsed="false">
      <c r="B158" s="702"/>
      <c r="C158" s="702"/>
      <c r="D158" s="702"/>
      <c r="E158" s="702"/>
      <c r="F158" s="742"/>
      <c r="G158" s="742"/>
      <c r="H158" s="742"/>
      <c r="I158" s="702"/>
      <c r="J158" s="702"/>
      <c r="K158" s="702"/>
      <c r="L158" s="702"/>
      <c r="M158" s="702"/>
      <c r="N158" s="702"/>
      <c r="P158" s="289"/>
      <c r="Q158" s="289"/>
      <c r="R158" s="289"/>
    </row>
    <row r="159" s="666" customFormat="true" ht="12" hidden="false" customHeight="false" outlineLevel="0" collapsed="false">
      <c r="B159" s="702"/>
      <c r="C159" s="702"/>
      <c r="D159" s="702"/>
      <c r="E159" s="702"/>
      <c r="F159" s="742"/>
      <c r="G159" s="742"/>
      <c r="H159" s="742"/>
      <c r="I159" s="702"/>
      <c r="J159" s="702"/>
      <c r="K159" s="702"/>
      <c r="L159" s="702"/>
      <c r="M159" s="702"/>
      <c r="N159" s="702"/>
      <c r="P159" s="289"/>
      <c r="Q159" s="289"/>
      <c r="R159" s="289"/>
    </row>
    <row r="160" s="666" customFormat="true" ht="12" hidden="false" customHeight="false" outlineLevel="0" collapsed="false">
      <c r="B160" s="702"/>
      <c r="C160" s="702"/>
      <c r="D160" s="702"/>
      <c r="E160" s="702"/>
      <c r="F160" s="742"/>
      <c r="G160" s="742"/>
      <c r="H160" s="742"/>
      <c r="I160" s="702"/>
      <c r="J160" s="702"/>
      <c r="K160" s="702"/>
      <c r="L160" s="702"/>
      <c r="M160" s="702"/>
      <c r="N160" s="702"/>
      <c r="P160" s="289"/>
      <c r="Q160" s="289"/>
      <c r="R160" s="289"/>
    </row>
    <row r="161" s="666" customFormat="true" ht="12" hidden="false" customHeight="false" outlineLevel="0" collapsed="false">
      <c r="B161" s="702"/>
      <c r="C161" s="702"/>
      <c r="D161" s="702"/>
      <c r="E161" s="702"/>
      <c r="F161" s="742"/>
      <c r="G161" s="742"/>
      <c r="H161" s="742"/>
      <c r="I161" s="702"/>
      <c r="J161" s="702"/>
      <c r="K161" s="702"/>
      <c r="L161" s="702"/>
      <c r="M161" s="702"/>
      <c r="N161" s="702"/>
      <c r="P161" s="289"/>
      <c r="Q161" s="289"/>
      <c r="R161" s="289"/>
    </row>
    <row r="162" s="666" customFormat="true" ht="12" hidden="false" customHeight="false" outlineLevel="0" collapsed="false">
      <c r="B162" s="702"/>
      <c r="C162" s="702"/>
      <c r="D162" s="702"/>
      <c r="E162" s="702"/>
      <c r="F162" s="742"/>
      <c r="G162" s="742"/>
      <c r="H162" s="742"/>
      <c r="I162" s="702"/>
      <c r="J162" s="702"/>
      <c r="K162" s="702"/>
      <c r="L162" s="702"/>
      <c r="M162" s="702"/>
      <c r="N162" s="702"/>
      <c r="P162" s="289"/>
      <c r="Q162" s="289"/>
      <c r="R162" s="289"/>
    </row>
    <row r="163" s="666" customFormat="true" ht="12" hidden="false" customHeight="false" outlineLevel="0" collapsed="false">
      <c r="B163" s="702"/>
      <c r="C163" s="702"/>
      <c r="D163" s="702"/>
      <c r="E163" s="702"/>
      <c r="F163" s="742"/>
      <c r="G163" s="742"/>
      <c r="H163" s="742"/>
      <c r="I163" s="702"/>
      <c r="J163" s="702"/>
      <c r="K163" s="702"/>
      <c r="L163" s="702"/>
      <c r="M163" s="702"/>
      <c r="N163" s="702"/>
      <c r="P163" s="289"/>
      <c r="Q163" s="289"/>
      <c r="R163" s="289"/>
    </row>
    <row r="164" s="666" customFormat="true" ht="12" hidden="false" customHeight="false" outlineLevel="0" collapsed="false">
      <c r="B164" s="702"/>
      <c r="C164" s="702"/>
      <c r="D164" s="702"/>
      <c r="E164" s="702"/>
      <c r="F164" s="742"/>
      <c r="G164" s="742"/>
      <c r="H164" s="742"/>
      <c r="I164" s="702"/>
      <c r="J164" s="702"/>
      <c r="K164" s="702"/>
      <c r="L164" s="702"/>
      <c r="M164" s="702"/>
      <c r="N164" s="702"/>
      <c r="P164" s="289"/>
      <c r="Q164" s="289"/>
      <c r="R164" s="289"/>
    </row>
    <row r="165" s="666" customFormat="true" ht="12" hidden="false" customHeight="false" outlineLevel="0" collapsed="false">
      <c r="B165" s="702"/>
      <c r="C165" s="702"/>
      <c r="D165" s="702"/>
      <c r="E165" s="702"/>
      <c r="F165" s="742"/>
      <c r="G165" s="742"/>
      <c r="H165" s="742"/>
      <c r="I165" s="702"/>
      <c r="J165" s="702"/>
      <c r="K165" s="702"/>
      <c r="L165" s="702"/>
      <c r="M165" s="702"/>
      <c r="N165" s="702"/>
      <c r="P165" s="289"/>
      <c r="Q165" s="289"/>
      <c r="R165" s="289"/>
    </row>
    <row r="166" s="666" customFormat="true" ht="12" hidden="false" customHeight="false" outlineLevel="0" collapsed="false">
      <c r="B166" s="702"/>
      <c r="C166" s="702"/>
      <c r="D166" s="702"/>
      <c r="E166" s="702"/>
      <c r="F166" s="742"/>
      <c r="G166" s="742"/>
      <c r="H166" s="742"/>
      <c r="I166" s="702"/>
      <c r="J166" s="702"/>
      <c r="K166" s="702"/>
      <c r="L166" s="702"/>
      <c r="M166" s="702"/>
      <c r="N166" s="702"/>
      <c r="P166" s="289"/>
      <c r="Q166" s="289"/>
      <c r="R166" s="289"/>
    </row>
    <row r="167" s="666" customFormat="true" ht="12" hidden="false" customHeight="false" outlineLevel="0" collapsed="false">
      <c r="B167" s="702"/>
      <c r="C167" s="702"/>
      <c r="D167" s="702"/>
      <c r="E167" s="702"/>
      <c r="F167" s="742"/>
      <c r="G167" s="742"/>
      <c r="H167" s="742"/>
      <c r="I167" s="702"/>
      <c r="J167" s="702"/>
      <c r="K167" s="702"/>
      <c r="L167" s="702"/>
      <c r="M167" s="702"/>
      <c r="N167" s="702"/>
      <c r="P167" s="289"/>
      <c r="Q167" s="289"/>
      <c r="R167" s="289"/>
    </row>
    <row r="168" s="666" customFormat="true" ht="12" hidden="false" customHeight="false" outlineLevel="0" collapsed="false">
      <c r="B168" s="702"/>
      <c r="C168" s="702"/>
      <c r="D168" s="702"/>
      <c r="E168" s="702"/>
      <c r="F168" s="742"/>
      <c r="G168" s="742"/>
      <c r="H168" s="742"/>
      <c r="I168" s="702"/>
      <c r="J168" s="702"/>
      <c r="K168" s="702"/>
      <c r="L168" s="702"/>
      <c r="M168" s="702"/>
      <c r="N168" s="702"/>
      <c r="P168" s="289"/>
      <c r="Q168" s="289"/>
      <c r="R168" s="289"/>
    </row>
    <row r="169" s="666" customFormat="true" ht="12" hidden="false" customHeight="false" outlineLevel="0" collapsed="false">
      <c r="B169" s="702"/>
      <c r="C169" s="702"/>
      <c r="D169" s="702"/>
      <c r="E169" s="702"/>
      <c r="F169" s="742"/>
      <c r="G169" s="742"/>
      <c r="H169" s="742"/>
      <c r="I169" s="702"/>
      <c r="J169" s="702"/>
      <c r="K169" s="702"/>
      <c r="L169" s="702"/>
      <c r="M169" s="702"/>
      <c r="N169" s="702"/>
      <c r="P169" s="289"/>
      <c r="Q169" s="289"/>
      <c r="R169" s="289"/>
    </row>
    <row r="170" s="666" customFormat="true" ht="12" hidden="false" customHeight="false" outlineLevel="0" collapsed="false">
      <c r="B170" s="702"/>
      <c r="C170" s="702"/>
      <c r="D170" s="702"/>
      <c r="E170" s="702"/>
      <c r="F170" s="742"/>
      <c r="G170" s="742"/>
      <c r="H170" s="742"/>
      <c r="I170" s="702"/>
      <c r="J170" s="702"/>
      <c r="K170" s="702"/>
      <c r="L170" s="702"/>
      <c r="M170" s="702"/>
      <c r="N170" s="702"/>
      <c r="P170" s="289"/>
      <c r="Q170" s="289"/>
      <c r="R170" s="289"/>
    </row>
    <row r="171" s="666" customFormat="true" ht="12" hidden="false" customHeight="false" outlineLevel="0" collapsed="false">
      <c r="B171" s="702"/>
      <c r="C171" s="702"/>
      <c r="D171" s="702"/>
      <c r="E171" s="702"/>
      <c r="F171" s="742"/>
      <c r="G171" s="742"/>
      <c r="H171" s="742"/>
      <c r="I171" s="702"/>
      <c r="J171" s="702"/>
      <c r="K171" s="702"/>
      <c r="L171" s="702"/>
      <c r="M171" s="702"/>
      <c r="N171" s="702"/>
      <c r="P171" s="289"/>
      <c r="Q171" s="289"/>
      <c r="R171" s="289"/>
    </row>
    <row r="172" s="666" customFormat="true" ht="12" hidden="false" customHeight="false" outlineLevel="0" collapsed="false">
      <c r="B172" s="702"/>
      <c r="C172" s="702"/>
      <c r="D172" s="702"/>
      <c r="E172" s="702"/>
      <c r="F172" s="742"/>
      <c r="G172" s="742"/>
      <c r="H172" s="742"/>
      <c r="I172" s="702"/>
      <c r="J172" s="702"/>
      <c r="K172" s="702"/>
      <c r="L172" s="702"/>
      <c r="M172" s="702"/>
      <c r="N172" s="702"/>
      <c r="P172" s="289"/>
      <c r="Q172" s="289"/>
      <c r="R172" s="289"/>
    </row>
    <row r="173" s="666" customFormat="true" ht="12" hidden="false" customHeight="false" outlineLevel="0" collapsed="false">
      <c r="B173" s="702"/>
      <c r="C173" s="702"/>
      <c r="D173" s="702"/>
      <c r="E173" s="702"/>
      <c r="F173" s="742"/>
      <c r="G173" s="742"/>
      <c r="H173" s="742"/>
      <c r="I173" s="702"/>
      <c r="J173" s="702"/>
      <c r="K173" s="702"/>
      <c r="L173" s="702"/>
      <c r="M173" s="702"/>
      <c r="N173" s="702"/>
      <c r="P173" s="289"/>
      <c r="Q173" s="289"/>
      <c r="R173" s="289"/>
    </row>
    <row r="174" s="666" customFormat="true" ht="12" hidden="false" customHeight="false" outlineLevel="0" collapsed="false">
      <c r="B174" s="702"/>
      <c r="C174" s="702"/>
      <c r="D174" s="702"/>
      <c r="E174" s="702"/>
      <c r="F174" s="742"/>
      <c r="G174" s="742"/>
      <c r="H174" s="742"/>
      <c r="I174" s="702"/>
      <c r="J174" s="702"/>
      <c r="K174" s="702"/>
      <c r="L174" s="702"/>
      <c r="M174" s="702"/>
      <c r="N174" s="702"/>
      <c r="P174" s="289"/>
      <c r="Q174" s="289"/>
      <c r="R174" s="289"/>
    </row>
    <row r="175" s="666" customFormat="true" ht="12" hidden="false" customHeight="false" outlineLevel="0" collapsed="false">
      <c r="B175" s="702"/>
      <c r="C175" s="702"/>
      <c r="D175" s="702"/>
      <c r="E175" s="702"/>
      <c r="F175" s="742"/>
      <c r="G175" s="742"/>
      <c r="H175" s="742"/>
      <c r="I175" s="702"/>
      <c r="J175" s="702"/>
      <c r="K175" s="702"/>
      <c r="L175" s="702"/>
      <c r="M175" s="702"/>
      <c r="N175" s="702"/>
      <c r="P175" s="289"/>
      <c r="Q175" s="289"/>
      <c r="R175" s="289"/>
    </row>
  </sheetData>
  <mergeCells count="8">
    <mergeCell ref="A3:K3"/>
    <mergeCell ref="B6:K6"/>
    <mergeCell ref="B7:B8"/>
    <mergeCell ref="C7:C8"/>
    <mergeCell ref="D7:E8"/>
    <mergeCell ref="F7:H7"/>
    <mergeCell ref="I7:K7"/>
    <mergeCell ref="A8:A9"/>
  </mergeCells>
  <hyperlinks>
    <hyperlink ref="B1" location="Index!A1" display="Back to index"/>
  </hyperlinks>
  <printOptions headings="false" gridLines="false" gridLinesSet="true" horizontalCentered="true" verticalCentered="true"/>
  <pageMargins left="0.790277777777778" right="0.790277777777778" top="0.979861111111111" bottom="0.97986111111111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C0C0"/>
    <pageSetUpPr fitToPage="true"/>
  </sheetPr>
  <dimension ref="A1:AE3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9" topLeftCell="B116" activePane="bottomRight" state="frozen"/>
      <selection pane="topLeft" activeCell="A1" activeCellId="0" sqref="A1"/>
      <selection pane="topRight" activeCell="B1" activeCellId="0" sqref="B1"/>
      <selection pane="bottomLeft" activeCell="A116" activeCellId="0" sqref="A116"/>
      <selection pane="bottomRight" activeCell="A3" activeCellId="0" sqref="A3"/>
    </sheetView>
  </sheetViews>
  <sheetFormatPr defaultColWidth="11.0546875" defaultRowHeight="12" zeroHeight="false" outlineLevelRow="0" outlineLevelCol="0"/>
  <cols>
    <col collapsed="false" customWidth="true" hidden="false" outlineLevel="0" max="1" min="1" style="0" width="10.66"/>
    <col collapsed="false" customWidth="true" hidden="false" outlineLevel="0" max="14" min="2" style="20" width="8.82"/>
    <col collapsed="false" customWidth="true" hidden="false" outlineLevel="0" max="16" min="15" style="20" width="8.66"/>
    <col collapsed="false" customWidth="true" hidden="false" outlineLevel="0" max="20" min="18" style="0" width="9.33"/>
    <col collapsed="false" customWidth="true" hidden="false" outlineLevel="0" max="29" min="21" style="0" width="9.66"/>
  </cols>
  <sheetData>
    <row r="1" customFormat="false" ht="12" hidden="false" customHeight="false" outlineLevel="0" collapsed="false">
      <c r="A1" s="20"/>
      <c r="B1" s="21" t="s">
        <v>9</v>
      </c>
      <c r="C1" s="356"/>
      <c r="D1" s="356"/>
      <c r="E1" s="356"/>
      <c r="F1" s="778"/>
      <c r="G1" s="356"/>
      <c r="H1" s="356"/>
      <c r="I1" s="356"/>
      <c r="J1" s="778"/>
      <c r="K1" s="356"/>
      <c r="L1" s="356"/>
      <c r="M1" s="356"/>
      <c r="O1" s="356"/>
      <c r="P1" s="779"/>
      <c r="R1" s="198"/>
      <c r="S1" s="198"/>
      <c r="T1" s="198"/>
      <c r="U1" s="198"/>
      <c r="V1" s="198"/>
      <c r="W1" s="198"/>
      <c r="X1" s="198"/>
      <c r="Y1" s="198"/>
      <c r="Z1" s="198"/>
      <c r="AA1" s="198"/>
      <c r="AB1" s="198"/>
      <c r="AC1" s="198"/>
    </row>
    <row r="2" customFormat="false" ht="13" hidden="false" customHeight="false" outlineLevel="0" collapsed="false">
      <c r="A2" s="20"/>
      <c r="J2" s="778"/>
      <c r="Q2" s="502"/>
    </row>
    <row r="3" customFormat="false" ht="19" hidden="false" customHeight="true" outlineLevel="0" collapsed="false">
      <c r="A3" s="357" t="s">
        <v>232</v>
      </c>
      <c r="B3" s="357"/>
      <c r="C3" s="357"/>
      <c r="D3" s="357"/>
      <c r="E3" s="357"/>
      <c r="F3" s="357"/>
      <c r="G3" s="357"/>
      <c r="H3" s="357"/>
      <c r="I3" s="357"/>
      <c r="J3" s="357"/>
      <c r="K3" s="357"/>
      <c r="L3" s="357"/>
      <c r="M3" s="357"/>
      <c r="N3" s="357"/>
      <c r="O3" s="357"/>
      <c r="P3" s="780"/>
      <c r="R3" s="191"/>
      <c r="S3" s="191"/>
      <c r="T3" s="191"/>
      <c r="U3" s="191"/>
      <c r="V3" s="191"/>
      <c r="W3" s="191"/>
      <c r="X3" s="191"/>
      <c r="Y3" s="191"/>
      <c r="Z3" s="191"/>
      <c r="AA3" s="191"/>
      <c r="AB3" s="191"/>
      <c r="AC3" s="191"/>
    </row>
    <row r="4" customFormat="false" ht="12" hidden="false" customHeight="false" outlineLevel="0" collapsed="false">
      <c r="A4" s="358"/>
      <c r="B4" s="114"/>
      <c r="C4" s="114"/>
      <c r="D4" s="114"/>
      <c r="E4" s="114"/>
      <c r="F4" s="114"/>
      <c r="G4" s="114"/>
      <c r="H4" s="114"/>
      <c r="I4" s="114"/>
      <c r="J4" s="114"/>
      <c r="K4" s="114"/>
      <c r="L4" s="114"/>
      <c r="M4" s="114"/>
      <c r="N4" s="114"/>
      <c r="O4" s="359"/>
      <c r="P4" s="114"/>
    </row>
    <row r="5" customFormat="false" ht="12" hidden="false" customHeight="false" outlineLevel="0" collapsed="false">
      <c r="A5" s="358"/>
      <c r="B5" s="554" t="s">
        <v>11</v>
      </c>
      <c r="C5" s="32" t="s">
        <v>12</v>
      </c>
      <c r="D5" s="554" t="s">
        <v>13</v>
      </c>
      <c r="E5" s="554" t="s">
        <v>14</v>
      </c>
      <c r="F5" s="554" t="s">
        <v>15</v>
      </c>
      <c r="G5" s="554" t="s">
        <v>16</v>
      </c>
      <c r="H5" s="554" t="s">
        <v>17</v>
      </c>
      <c r="I5" s="554" t="s">
        <v>18</v>
      </c>
      <c r="J5" s="32" t="s">
        <v>19</v>
      </c>
      <c r="K5" s="32" t="s">
        <v>20</v>
      </c>
      <c r="L5" s="32" t="s">
        <v>21</v>
      </c>
      <c r="M5" s="32" t="s">
        <v>22</v>
      </c>
      <c r="N5" s="554" t="s">
        <v>23</v>
      </c>
      <c r="O5" s="781" t="s">
        <v>24</v>
      </c>
      <c r="P5" s="32"/>
      <c r="R5" s="31"/>
      <c r="S5" s="31"/>
      <c r="T5" s="31"/>
      <c r="U5" s="31"/>
      <c r="V5" s="31"/>
      <c r="W5" s="31"/>
      <c r="X5" s="31"/>
      <c r="Y5" s="31"/>
      <c r="Z5" s="31"/>
      <c r="AA5" s="31"/>
      <c r="AB5" s="31"/>
      <c r="AC5" s="31"/>
    </row>
    <row r="6" customFormat="false" ht="28.75" hidden="false" customHeight="true" outlineLevel="0" collapsed="false">
      <c r="A6" s="358"/>
      <c r="B6" s="620" t="s">
        <v>90</v>
      </c>
      <c r="C6" s="620"/>
      <c r="D6" s="620"/>
      <c r="E6" s="620"/>
      <c r="F6" s="620"/>
      <c r="G6" s="620"/>
      <c r="H6" s="620"/>
      <c r="I6" s="620"/>
      <c r="J6" s="620"/>
      <c r="K6" s="620"/>
      <c r="L6" s="620"/>
      <c r="M6" s="620"/>
      <c r="N6" s="620"/>
      <c r="O6" s="620"/>
      <c r="P6" s="782"/>
      <c r="R6" s="31"/>
      <c r="S6" s="31"/>
      <c r="T6" s="31"/>
      <c r="U6" s="31"/>
      <c r="V6" s="31"/>
      <c r="W6" s="31"/>
      <c r="X6" s="31"/>
      <c r="Y6" s="31"/>
      <c r="Z6" s="31"/>
      <c r="AA6" s="31"/>
      <c r="AB6" s="31"/>
      <c r="AC6" s="31"/>
    </row>
    <row r="7" customFormat="false" ht="39.75" hidden="false" customHeight="true" outlineLevel="0" collapsed="false">
      <c r="A7" s="364"/>
      <c r="B7" s="783" t="s">
        <v>233</v>
      </c>
      <c r="C7" s="784" t="s">
        <v>234</v>
      </c>
      <c r="D7" s="785" t="s">
        <v>189</v>
      </c>
      <c r="E7" s="366" t="s">
        <v>235</v>
      </c>
      <c r="F7" s="366"/>
      <c r="G7" s="366"/>
      <c r="H7" s="366"/>
      <c r="I7" s="366"/>
      <c r="J7" s="366"/>
      <c r="K7" s="786" t="s">
        <v>188</v>
      </c>
      <c r="L7" s="786"/>
      <c r="M7" s="786"/>
      <c r="N7" s="786"/>
      <c r="O7" s="787"/>
      <c r="P7" s="788"/>
      <c r="R7" s="789" t="s">
        <v>236</v>
      </c>
      <c r="S7" s="789"/>
      <c r="T7" s="790" t="s">
        <v>237</v>
      </c>
      <c r="U7" s="790"/>
      <c r="V7" s="191"/>
      <c r="W7" s="191"/>
      <c r="X7" s="191"/>
      <c r="Y7" s="191"/>
      <c r="Z7" s="191"/>
      <c r="AA7" s="191"/>
      <c r="AB7" s="191"/>
      <c r="AC7" s="191"/>
    </row>
    <row r="8" customFormat="false" ht="79.75" hidden="false" customHeight="true" outlineLevel="0" collapsed="false">
      <c r="A8" s="364"/>
      <c r="B8" s="783"/>
      <c r="C8" s="784"/>
      <c r="D8" s="785"/>
      <c r="E8" s="791" t="s">
        <v>238</v>
      </c>
      <c r="F8" s="372" t="s">
        <v>239</v>
      </c>
      <c r="G8" s="784" t="s">
        <v>240</v>
      </c>
      <c r="H8" s="784" t="s">
        <v>193</v>
      </c>
      <c r="I8" s="792" t="s">
        <v>241</v>
      </c>
      <c r="J8" s="784" t="s">
        <v>195</v>
      </c>
      <c r="K8" s="783" t="s">
        <v>242</v>
      </c>
      <c r="L8" s="784" t="s">
        <v>193</v>
      </c>
      <c r="M8" s="792" t="s">
        <v>241</v>
      </c>
      <c r="N8" s="784" t="s">
        <v>195</v>
      </c>
      <c r="O8" s="793" t="s">
        <v>243</v>
      </c>
      <c r="P8" s="788"/>
      <c r="R8" s="794" t="s">
        <v>244</v>
      </c>
      <c r="S8" s="795" t="s">
        <v>245</v>
      </c>
      <c r="T8" s="796" t="s">
        <v>244</v>
      </c>
      <c r="U8" s="797" t="s">
        <v>245</v>
      </c>
      <c r="W8" s="377"/>
      <c r="X8" s="377"/>
      <c r="Y8" s="377"/>
      <c r="AA8" s="798" t="s">
        <v>246</v>
      </c>
      <c r="AC8" s="798"/>
      <c r="AD8" s="798" t="s">
        <v>247</v>
      </c>
    </row>
    <row r="9" customFormat="false" ht="39.75" hidden="false" customHeight="true" outlineLevel="0" collapsed="false">
      <c r="A9" s="364"/>
      <c r="B9" s="799" t="s">
        <v>112</v>
      </c>
      <c r="C9" s="799"/>
      <c r="D9" s="800" t="s">
        <v>111</v>
      </c>
      <c r="E9" s="801" t="s">
        <v>248</v>
      </c>
      <c r="F9" s="800" t="s">
        <v>134</v>
      </c>
      <c r="G9" s="801" t="s">
        <v>249</v>
      </c>
      <c r="H9" s="801" t="s">
        <v>250</v>
      </c>
      <c r="I9" s="802" t="s">
        <v>158</v>
      </c>
      <c r="J9" s="801" t="s">
        <v>157</v>
      </c>
      <c r="K9" s="803" t="s">
        <v>251</v>
      </c>
      <c r="L9" s="801" t="s">
        <v>252</v>
      </c>
      <c r="M9" s="802" t="s">
        <v>158</v>
      </c>
      <c r="N9" s="801" t="s">
        <v>157</v>
      </c>
      <c r="O9" s="793"/>
      <c r="P9" s="801"/>
      <c r="R9" s="794"/>
      <c r="S9" s="795"/>
      <c r="T9" s="796"/>
      <c r="U9" s="797"/>
      <c r="X9" s="377"/>
      <c r="Y9" s="377" t="s">
        <v>253</v>
      </c>
      <c r="Z9" s="377" t="s">
        <v>254</v>
      </c>
      <c r="AA9" s="804" t="s">
        <v>255</v>
      </c>
      <c r="AB9" s="804" t="s">
        <v>256</v>
      </c>
      <c r="AC9" s="804" t="s">
        <v>257</v>
      </c>
      <c r="AD9" s="804" t="s">
        <v>255</v>
      </c>
      <c r="AE9" s="804" t="s">
        <v>256</v>
      </c>
    </row>
    <row r="10" customFormat="false" ht="12" hidden="false" customHeight="true" outlineLevel="0" collapsed="false">
      <c r="A10" s="380" t="n">
        <v>1870</v>
      </c>
      <c r="B10" s="805" t="n">
        <f aca="false">TableDE3b!H10</f>
        <v>70.3193125668467</v>
      </c>
      <c r="C10" s="806" t="n">
        <f aca="false">B10*F10</f>
        <v>494.848502692308</v>
      </c>
      <c r="D10" s="807"/>
      <c r="E10" s="808"/>
      <c r="F10" s="809" t="n">
        <f aca="false">DataDE1c!BS33/DataDE1c!B33</f>
        <v>7.03716354197713</v>
      </c>
      <c r="G10" s="810" t="n">
        <f aca="false">TableDE12c!C10</f>
        <v>0.123458468815902</v>
      </c>
      <c r="H10" s="808"/>
      <c r="I10" s="808" t="n">
        <f aca="false">O10/F10</f>
        <v>0</v>
      </c>
      <c r="J10" s="808"/>
      <c r="K10" s="783"/>
      <c r="L10" s="784"/>
      <c r="M10" s="808" t="n">
        <f aca="false">O10/F10</f>
        <v>0</v>
      </c>
      <c r="N10" s="784"/>
      <c r="O10" s="811" t="n">
        <v>0</v>
      </c>
      <c r="P10" s="801"/>
      <c r="Q10" s="158"/>
      <c r="R10" s="812"/>
      <c r="S10" s="813"/>
      <c r="T10" s="814"/>
      <c r="U10" s="815"/>
      <c r="V10" s="816"/>
      <c r="W10" s="817"/>
      <c r="X10" s="817"/>
      <c r="Y10" s="817"/>
      <c r="Z10" s="818"/>
      <c r="AA10" s="818"/>
      <c r="AB10" s="818"/>
      <c r="AC10" s="818"/>
      <c r="AD10" s="804"/>
      <c r="AE10" s="804"/>
    </row>
    <row r="11" customFormat="false" ht="12" hidden="false" customHeight="true" outlineLevel="0" collapsed="false">
      <c r="A11" s="380" t="n">
        <v>1871</v>
      </c>
      <c r="B11" s="819" t="n">
        <f aca="false">TableDE3b!H11</f>
        <v>70.4198465449712</v>
      </c>
      <c r="C11" s="384" t="n">
        <f aca="false">B11*F11</f>
        <v>485.686029923172</v>
      </c>
      <c r="D11" s="382" t="n">
        <f aca="false">B11/B10-1</f>
        <v>0.00142967805649263</v>
      </c>
      <c r="E11" s="403" t="n">
        <f aca="false">(1+D11)*F11/F10-1</f>
        <v>-0.0185157128278368</v>
      </c>
      <c r="F11" s="820" t="n">
        <f aca="false">DataDE1c!BS34/DataDE1c!B34</f>
        <v>6.89700494608442</v>
      </c>
      <c r="G11" s="821" t="n">
        <f aca="false">TableDE12c!C11</f>
        <v>0.0723152485450275</v>
      </c>
      <c r="H11" s="403" t="n">
        <f aca="false">G10/F10</f>
        <v>0.0175437828152585</v>
      </c>
      <c r="I11" s="403" t="n">
        <f aca="false">O11/F11</f>
        <v>0</v>
      </c>
      <c r="J11" s="403" t="n">
        <f aca="false">(1+E11)/((1+H11)*(1+I10))-1</f>
        <v>-0.0354377828768495</v>
      </c>
      <c r="K11" s="803"/>
      <c r="L11" s="801"/>
      <c r="M11" s="403" t="n">
        <f aca="false">O11/F11</f>
        <v>0</v>
      </c>
      <c r="N11" s="801"/>
      <c r="O11" s="822" t="n">
        <v>0</v>
      </c>
      <c r="P11" s="801"/>
      <c r="Q11" s="158"/>
      <c r="R11" s="812"/>
      <c r="S11" s="813"/>
      <c r="T11" s="814"/>
      <c r="U11" s="815"/>
      <c r="V11" s="816"/>
      <c r="W11" s="817"/>
      <c r="X11" s="817"/>
      <c r="Y11" s="817" t="n">
        <f aca="false">1+D11</f>
        <v>1.00142967805649</v>
      </c>
      <c r="Z11" s="818" t="n">
        <f aca="false">1+E11</f>
        <v>0.981484287172163</v>
      </c>
      <c r="AA11" s="818" t="n">
        <f aca="false">1+H11</f>
        <v>1.01754378281526</v>
      </c>
      <c r="AB11" s="818" t="n">
        <f aca="false">1+J11</f>
        <v>0.964562217123151</v>
      </c>
      <c r="AC11" s="818" t="n">
        <f aca="false">1+I10</f>
        <v>1</v>
      </c>
      <c r="AD11" s="818"/>
      <c r="AE11" s="818"/>
    </row>
    <row r="12" customFormat="false" ht="12" hidden="false" customHeight="true" outlineLevel="0" collapsed="false">
      <c r="A12" s="380" t="n">
        <v>1872</v>
      </c>
      <c r="B12" s="819" t="n">
        <f aca="false">TableDE3b!H12</f>
        <v>77.856841894839</v>
      </c>
      <c r="C12" s="384" t="n">
        <f aca="false">B12*F12</f>
        <v>490.169533262985</v>
      </c>
      <c r="D12" s="382" t="n">
        <f aca="false">B12/B11-1</f>
        <v>0.105609366034594</v>
      </c>
      <c r="E12" s="403" t="n">
        <f aca="false">(1+D12)*F12/F11-1</f>
        <v>0.00923127918775557</v>
      </c>
      <c r="F12" s="820" t="n">
        <f aca="false">DataDE1c!BS35/DataDE1c!B35</f>
        <v>6.29577980988563</v>
      </c>
      <c r="G12" s="821" t="n">
        <f aca="false">TableDE12c!C12</f>
        <v>0.16012616275959</v>
      </c>
      <c r="H12" s="403" t="n">
        <f aca="false">G11/F11</f>
        <v>0.0104850219929279</v>
      </c>
      <c r="I12" s="403" t="n">
        <f aca="false">O12/F12</f>
        <v>0</v>
      </c>
      <c r="J12" s="403" t="n">
        <f aca="false">(1+E12)/((1+H12)*(1+I11))-1</f>
        <v>-0.00124073368519562</v>
      </c>
      <c r="K12" s="803"/>
      <c r="L12" s="801"/>
      <c r="M12" s="403" t="n">
        <f aca="false">O12/F12</f>
        <v>0</v>
      </c>
      <c r="N12" s="801"/>
      <c r="O12" s="822" t="n">
        <v>0</v>
      </c>
      <c r="P12" s="801"/>
      <c r="Q12" s="158"/>
      <c r="R12" s="812"/>
      <c r="S12" s="813"/>
      <c r="T12" s="814"/>
      <c r="U12" s="815"/>
      <c r="V12" s="816"/>
      <c r="W12" s="817"/>
      <c r="X12" s="817"/>
      <c r="Y12" s="817" t="n">
        <f aca="false">1+$D12</f>
        <v>1.10560936603459</v>
      </c>
      <c r="Z12" s="818" t="n">
        <f aca="false">1+E12</f>
        <v>1.00923127918776</v>
      </c>
      <c r="AA12" s="818" t="n">
        <f aca="false">1+H12</f>
        <v>1.01048502199293</v>
      </c>
      <c r="AB12" s="818" t="n">
        <f aca="false">1+J12</f>
        <v>0.998759266314804</v>
      </c>
      <c r="AC12" s="818" t="n">
        <f aca="false">1+I11</f>
        <v>1</v>
      </c>
      <c r="AD12" s="818"/>
      <c r="AE12" s="818"/>
    </row>
    <row r="13" customFormat="false" ht="12" hidden="false" customHeight="true" outlineLevel="0" collapsed="false">
      <c r="A13" s="380" t="n">
        <v>1873</v>
      </c>
      <c r="B13" s="819" t="n">
        <f aca="false">TableDE3b!H13</f>
        <v>79.720242063657</v>
      </c>
      <c r="C13" s="384" t="n">
        <f aca="false">B13*F13</f>
        <v>504.743062743081</v>
      </c>
      <c r="D13" s="382" t="n">
        <f aca="false">B13/B12-1</f>
        <v>0.0239336726672639</v>
      </c>
      <c r="E13" s="403" t="n">
        <f aca="false">(1+D13)*F13/F12-1</f>
        <v>0.0297316101698162</v>
      </c>
      <c r="F13" s="820" t="n">
        <f aca="false">DataDE1c!BS36/DataDE1c!B36</f>
        <v>6.3314291286276</v>
      </c>
      <c r="G13" s="821" t="n">
        <f aca="false">TableDE12c!C13</f>
        <v>0.199672970001546</v>
      </c>
      <c r="H13" s="403" t="n">
        <f aca="false">G12/F12</f>
        <v>0.0254338886674785</v>
      </c>
      <c r="I13" s="403" t="n">
        <f aca="false">O13/F13</f>
        <v>0</v>
      </c>
      <c r="J13" s="403" t="n">
        <f aca="false">(1+E13)/((1+H13)*(1+I12))-1</f>
        <v>0.00419112489828311</v>
      </c>
      <c r="K13" s="803"/>
      <c r="L13" s="801"/>
      <c r="M13" s="403" t="n">
        <f aca="false">O13/F13</f>
        <v>0</v>
      </c>
      <c r="N13" s="801"/>
      <c r="O13" s="822" t="n">
        <v>0</v>
      </c>
      <c r="P13" s="801"/>
      <c r="Q13" s="158"/>
      <c r="R13" s="812"/>
      <c r="S13" s="813"/>
      <c r="T13" s="814"/>
      <c r="U13" s="815"/>
      <c r="V13" s="816"/>
      <c r="W13" s="817"/>
      <c r="X13" s="817"/>
      <c r="Y13" s="817" t="n">
        <f aca="false">1+$D13</f>
        <v>1.02393367266726</v>
      </c>
      <c r="Z13" s="818" t="n">
        <f aca="false">1+E13</f>
        <v>1.02973161016982</v>
      </c>
      <c r="AA13" s="818" t="n">
        <f aca="false">1+H13</f>
        <v>1.02543388866748</v>
      </c>
      <c r="AB13" s="818" t="n">
        <f aca="false">1+J13</f>
        <v>1.00419112489828</v>
      </c>
      <c r="AC13" s="818" t="n">
        <f aca="false">1+I12</f>
        <v>1</v>
      </c>
      <c r="AD13" s="818"/>
      <c r="AE13" s="818"/>
    </row>
    <row r="14" customFormat="false" ht="12" hidden="false" customHeight="true" outlineLevel="0" collapsed="false">
      <c r="A14" s="380" t="n">
        <v>1874</v>
      </c>
      <c r="B14" s="819" t="n">
        <f aca="false">TableDE3b!H14</f>
        <v>86.3262970710235</v>
      </c>
      <c r="C14" s="384" t="n">
        <f aca="false">B14*F14</f>
        <v>519.046898019933</v>
      </c>
      <c r="D14" s="382" t="n">
        <f aca="false">B14/B13-1</f>
        <v>0.0828654659890706</v>
      </c>
      <c r="E14" s="403" t="n">
        <f aca="false">(1+D14)*F14/F13-1</f>
        <v>0.02833884471659</v>
      </c>
      <c r="F14" s="820" t="n">
        <f aca="false">DataDE1c!BS37/DataDE1c!B37</f>
        <v>6.01261626677786</v>
      </c>
      <c r="G14" s="821" t="n">
        <f aca="false">TableDE12c!C14</f>
        <v>0.179270720545349</v>
      </c>
      <c r="H14" s="403" t="n">
        <f aca="false">G13/F13</f>
        <v>0.0315367930280896</v>
      </c>
      <c r="I14" s="403" t="n">
        <f aca="false">O14/F14</f>
        <v>0</v>
      </c>
      <c r="J14" s="403" t="n">
        <f aca="false">(1+E14)/((1+H14)*(1+I13))-1</f>
        <v>-0.00310017862001033</v>
      </c>
      <c r="K14" s="803"/>
      <c r="L14" s="801"/>
      <c r="M14" s="403" t="n">
        <f aca="false">O14/F14</f>
        <v>0</v>
      </c>
      <c r="N14" s="801"/>
      <c r="O14" s="822" t="n">
        <v>0</v>
      </c>
      <c r="P14" s="801"/>
      <c r="Q14" s="158"/>
      <c r="R14" s="812"/>
      <c r="S14" s="813"/>
      <c r="T14" s="814"/>
      <c r="U14" s="815"/>
      <c r="V14" s="816"/>
      <c r="W14" s="817"/>
      <c r="X14" s="817"/>
      <c r="Y14" s="817" t="n">
        <f aca="false">1+$D14</f>
        <v>1.08286546598907</v>
      </c>
      <c r="Z14" s="818" t="n">
        <f aca="false">1+E14</f>
        <v>1.02833884471659</v>
      </c>
      <c r="AA14" s="818" t="n">
        <f aca="false">1+H14</f>
        <v>1.03153679302809</v>
      </c>
      <c r="AB14" s="818" t="n">
        <f aca="false">1+J14</f>
        <v>0.99689982137999</v>
      </c>
      <c r="AC14" s="818" t="n">
        <f aca="false">1+I13</f>
        <v>1</v>
      </c>
      <c r="AD14" s="818"/>
      <c r="AE14" s="818"/>
    </row>
    <row r="15" customFormat="false" ht="12" hidden="false" customHeight="true" outlineLevel="0" collapsed="false">
      <c r="A15" s="380" t="n">
        <v>1875</v>
      </c>
      <c r="B15" s="819" t="n">
        <f aca="false">TableDE3b!H15</f>
        <v>85.2221228403524</v>
      </c>
      <c r="C15" s="384" t="n">
        <f aca="false">B15*F15</f>
        <v>544.192013393822</v>
      </c>
      <c r="D15" s="382" t="n">
        <f aca="false">B15/B14-1</f>
        <v>-0.0127907053601823</v>
      </c>
      <c r="E15" s="403" t="n">
        <f aca="false">(1+D15)*F15/F14-1</f>
        <v>0.0484447849892027</v>
      </c>
      <c r="F15" s="820" t="n">
        <f aca="false">DataDE1c!BS38/DataDE1c!B38</f>
        <v>6.38557214085435</v>
      </c>
      <c r="G15" s="821" t="n">
        <f aca="false">TableDE12c!C15</f>
        <v>0.128583550858644</v>
      </c>
      <c r="H15" s="403" t="n">
        <f aca="false">G14/F14</f>
        <v>0.0298157594948962</v>
      </c>
      <c r="I15" s="403" t="n">
        <f aca="false">O15/F15</f>
        <v>0</v>
      </c>
      <c r="J15" s="403" t="n">
        <f aca="false">(1+E15)/((1+H15)*(1+I14))-1</f>
        <v>0.018089668295078</v>
      </c>
      <c r="K15" s="803"/>
      <c r="L15" s="801"/>
      <c r="M15" s="403" t="n">
        <f aca="false">O15/F15</f>
        <v>0</v>
      </c>
      <c r="N15" s="801"/>
      <c r="O15" s="822" t="n">
        <v>0</v>
      </c>
      <c r="P15" s="801"/>
      <c r="Q15" s="158"/>
      <c r="R15" s="812"/>
      <c r="S15" s="813"/>
      <c r="T15" s="814"/>
      <c r="U15" s="815"/>
      <c r="V15" s="816"/>
      <c r="W15" s="817"/>
      <c r="X15" s="817"/>
      <c r="Y15" s="817" t="n">
        <f aca="false">1+$D15</f>
        <v>0.987209294639818</v>
      </c>
      <c r="Z15" s="818" t="n">
        <f aca="false">1+E15</f>
        <v>1.0484447849892</v>
      </c>
      <c r="AA15" s="818" t="n">
        <f aca="false">1+H15</f>
        <v>1.0298157594949</v>
      </c>
      <c r="AB15" s="818" t="n">
        <f aca="false">1+J15</f>
        <v>1.01808966829508</v>
      </c>
      <c r="AC15" s="818" t="n">
        <f aca="false">1+I14</f>
        <v>1</v>
      </c>
      <c r="AD15" s="818"/>
      <c r="AE15" s="818"/>
    </row>
    <row r="16" customFormat="false" ht="12" hidden="false" customHeight="true" outlineLevel="0" collapsed="false">
      <c r="A16" s="380" t="n">
        <v>1876</v>
      </c>
      <c r="B16" s="819" t="n">
        <f aca="false">TableDE3b!H16</f>
        <v>84.3615641620738</v>
      </c>
      <c r="C16" s="384" t="n">
        <f aca="false">B16*F16</f>
        <v>537.69997760872</v>
      </c>
      <c r="D16" s="382" t="n">
        <f aca="false">B16/B15-1</f>
        <v>-0.0100978319900662</v>
      </c>
      <c r="E16" s="403" t="n">
        <f aca="false">(1+D16)*F16/F15-1</f>
        <v>-0.0119296785423484</v>
      </c>
      <c r="F16" s="820" t="n">
        <f aca="false">DataDE1c!BS39/DataDE1c!B39</f>
        <v>6.3737554293766</v>
      </c>
      <c r="G16" s="821" t="n">
        <f aca="false">TableDE12c!C16</f>
        <v>0.131182358279727</v>
      </c>
      <c r="H16" s="403" t="n">
        <f aca="false">G15/F15</f>
        <v>0.0201365747692329</v>
      </c>
      <c r="I16" s="403" t="n">
        <f aca="false">O16/F16</f>
        <v>0</v>
      </c>
      <c r="J16" s="403" t="n">
        <f aca="false">(1+E16)/((1+H16)*(1+I15))-1</f>
        <v>-0.0314332944280867</v>
      </c>
      <c r="K16" s="803"/>
      <c r="L16" s="801"/>
      <c r="M16" s="403" t="n">
        <f aca="false">O16/F16</f>
        <v>0</v>
      </c>
      <c r="N16" s="801"/>
      <c r="O16" s="822" t="n">
        <v>0</v>
      </c>
      <c r="P16" s="801"/>
      <c r="Q16" s="158"/>
      <c r="R16" s="812"/>
      <c r="S16" s="813"/>
      <c r="T16" s="814"/>
      <c r="U16" s="815"/>
      <c r="V16" s="816"/>
      <c r="W16" s="817"/>
      <c r="X16" s="817"/>
      <c r="Y16" s="817" t="n">
        <f aca="false">1+$D16</f>
        <v>0.989902168009934</v>
      </c>
      <c r="Z16" s="818" t="n">
        <f aca="false">1+E16</f>
        <v>0.988070321457652</v>
      </c>
      <c r="AA16" s="818" t="n">
        <f aca="false">1+H16</f>
        <v>1.02013657476923</v>
      </c>
      <c r="AB16" s="818" t="n">
        <f aca="false">1+J16</f>
        <v>0.968566705571913</v>
      </c>
      <c r="AC16" s="818" t="n">
        <f aca="false">1+I15</f>
        <v>1</v>
      </c>
      <c r="AD16" s="818"/>
      <c r="AE16" s="818"/>
    </row>
    <row r="17" customFormat="false" ht="12" hidden="false" customHeight="true" outlineLevel="0" collapsed="false">
      <c r="A17" s="380" t="n">
        <v>1877</v>
      </c>
      <c r="B17" s="819" t="n">
        <f aca="false">TableDE3b!H17</f>
        <v>83.8690142263607</v>
      </c>
      <c r="C17" s="384" t="n">
        <f aca="false">B17*F17</f>
        <v>537.454064102906</v>
      </c>
      <c r="D17" s="382" t="n">
        <f aca="false">B17/B16-1</f>
        <v>-0.00583855859721627</v>
      </c>
      <c r="E17" s="403" t="n">
        <f aca="false">(1+D17)*F17/F16-1</f>
        <v>-0.000457343343972738</v>
      </c>
      <c r="F17" s="820" t="n">
        <f aca="false">DataDE1c!BS40/DataDE1c!B40</f>
        <v>6.40825540946898</v>
      </c>
      <c r="G17" s="821" t="n">
        <f aca="false">TableDE12c!C17</f>
        <v>0.108681711462006</v>
      </c>
      <c r="H17" s="403" t="n">
        <f aca="false">G16/F16</f>
        <v>0.0205816429157461</v>
      </c>
      <c r="I17" s="403" t="n">
        <f aca="false">O17/F17</f>
        <v>0</v>
      </c>
      <c r="J17" s="403" t="n">
        <f aca="false">(1+E17)/((1+H17)*(1+I16))-1</f>
        <v>-0.0206147018278828</v>
      </c>
      <c r="K17" s="803"/>
      <c r="L17" s="801"/>
      <c r="M17" s="403" t="n">
        <f aca="false">O17/F17</f>
        <v>0</v>
      </c>
      <c r="N17" s="801"/>
      <c r="O17" s="822" t="n">
        <v>0</v>
      </c>
      <c r="P17" s="801"/>
      <c r="Q17" s="158"/>
      <c r="R17" s="812"/>
      <c r="S17" s="813"/>
      <c r="T17" s="814"/>
      <c r="U17" s="815"/>
      <c r="V17" s="816"/>
      <c r="W17" s="817"/>
      <c r="X17" s="817"/>
      <c r="Y17" s="817" t="n">
        <f aca="false">1+$D17</f>
        <v>0.994161441402784</v>
      </c>
      <c r="Z17" s="818" t="n">
        <f aca="false">1+E17</f>
        <v>0.999542656656027</v>
      </c>
      <c r="AA17" s="818" t="n">
        <f aca="false">1+H17</f>
        <v>1.02058164291575</v>
      </c>
      <c r="AB17" s="818" t="n">
        <f aca="false">1+J17</f>
        <v>0.979385298172117</v>
      </c>
      <c r="AC17" s="818" t="n">
        <f aca="false">1+I16</f>
        <v>1</v>
      </c>
      <c r="AD17" s="818"/>
      <c r="AE17" s="818"/>
    </row>
    <row r="18" customFormat="false" ht="12" hidden="false" customHeight="true" outlineLevel="0" collapsed="false">
      <c r="A18" s="380" t="n">
        <v>1878</v>
      </c>
      <c r="B18" s="819" t="n">
        <f aca="false">TableDE3b!H18</f>
        <v>88.2890604837947</v>
      </c>
      <c r="C18" s="384" t="n">
        <f aca="false">B18*F18</f>
        <v>542.862302861267</v>
      </c>
      <c r="D18" s="382" t="n">
        <f aca="false">B18/B17-1</f>
        <v>0.0527017790563802</v>
      </c>
      <c r="E18" s="403" t="n">
        <f aca="false">(1+D18)*F18/F17-1</f>
        <v>0.010062699530216</v>
      </c>
      <c r="F18" s="820" t="n">
        <f aca="false">DataDE1c!BS41/DataDE1c!B41</f>
        <v>6.14869271330516</v>
      </c>
      <c r="G18" s="821" t="n">
        <f aca="false">TableDE12c!C18</f>
        <v>0.131345140745512</v>
      </c>
      <c r="H18" s="403" t="n">
        <f aca="false">G17/F17</f>
        <v>0.016959641043866</v>
      </c>
      <c r="I18" s="403" t="n">
        <f aca="false">O18/F18</f>
        <v>0</v>
      </c>
      <c r="J18" s="403" t="n">
        <f aca="false">(1+E18)/((1+H18)*(1+I17))-1</f>
        <v>-0.00678192254175447</v>
      </c>
      <c r="K18" s="803"/>
      <c r="L18" s="801"/>
      <c r="M18" s="403" t="n">
        <f aca="false">O18/F18</f>
        <v>0</v>
      </c>
      <c r="N18" s="801"/>
      <c r="O18" s="822" t="n">
        <v>0</v>
      </c>
      <c r="P18" s="801"/>
      <c r="Q18" s="158"/>
      <c r="R18" s="812"/>
      <c r="S18" s="813"/>
      <c r="T18" s="814"/>
      <c r="U18" s="815"/>
      <c r="V18" s="816"/>
      <c r="W18" s="817"/>
      <c r="X18" s="817"/>
      <c r="Y18" s="817" t="n">
        <f aca="false">1+$D18</f>
        <v>1.05270177905638</v>
      </c>
      <c r="Z18" s="818" t="n">
        <f aca="false">1+E18</f>
        <v>1.01006269953022</v>
      </c>
      <c r="AA18" s="818" t="n">
        <f aca="false">1+H18</f>
        <v>1.01695964104387</v>
      </c>
      <c r="AB18" s="818" t="n">
        <f aca="false">1+J18</f>
        <v>0.993218077458246</v>
      </c>
      <c r="AC18" s="818" t="n">
        <f aca="false">1+I17</f>
        <v>1</v>
      </c>
      <c r="AD18" s="818"/>
      <c r="AE18" s="818"/>
    </row>
    <row r="19" customFormat="false" ht="12" hidden="false" customHeight="true" outlineLevel="0" collapsed="false">
      <c r="A19" s="405" t="n">
        <v>1879</v>
      </c>
      <c r="B19" s="823" t="n">
        <f aca="false">TableDE3b!H19</f>
        <v>85.8357549588584</v>
      </c>
      <c r="C19" s="410" t="n">
        <f aca="false">B19*F19</f>
        <v>557.898631042689</v>
      </c>
      <c r="D19" s="407" t="n">
        <f aca="false">B19/B18-1</f>
        <v>-0.0277871970943293</v>
      </c>
      <c r="E19" s="414" t="n">
        <f aca="false">(1+D19)*F19/F18-1</f>
        <v>0.027698236002333</v>
      </c>
      <c r="F19" s="824" t="n">
        <f aca="false">DataDE1c!BS42/DataDE1c!B42</f>
        <v>6.49960650209336</v>
      </c>
      <c r="G19" s="825" t="n">
        <f aca="false">TableDE12c!C19</f>
        <v>0.0924941015711085</v>
      </c>
      <c r="H19" s="414" t="n">
        <f aca="false">G18/F18</f>
        <v>0.021361474197807</v>
      </c>
      <c r="I19" s="414" t="n">
        <f aca="false">O19/F19</f>
        <v>0</v>
      </c>
      <c r="J19" s="414" t="n">
        <f aca="false">(1+E19)/((1+H19)*(1+I18))-1</f>
        <v>0.00620423029907502</v>
      </c>
      <c r="K19" s="826"/>
      <c r="L19" s="827"/>
      <c r="M19" s="414" t="n">
        <f aca="false">O19/F19</f>
        <v>0</v>
      </c>
      <c r="N19" s="827"/>
      <c r="O19" s="828" t="n">
        <v>0</v>
      </c>
      <c r="P19" s="801"/>
      <c r="Q19" s="158"/>
      <c r="R19" s="812"/>
      <c r="S19" s="813"/>
      <c r="T19" s="814"/>
      <c r="U19" s="815"/>
      <c r="V19" s="816"/>
      <c r="W19" s="817"/>
      <c r="X19" s="817"/>
      <c r="Y19" s="817" t="n">
        <f aca="false">1+$D19</f>
        <v>0.972212802905671</v>
      </c>
      <c r="Z19" s="818" t="n">
        <f aca="false">1+E19</f>
        <v>1.02769823600233</v>
      </c>
      <c r="AA19" s="818" t="n">
        <f aca="false">1+H19</f>
        <v>1.02136147419781</v>
      </c>
      <c r="AB19" s="818" t="n">
        <f aca="false">1+J19</f>
        <v>1.00620423029908</v>
      </c>
      <c r="AC19" s="818" t="n">
        <f aca="false">1+I18</f>
        <v>1</v>
      </c>
      <c r="AD19" s="818"/>
      <c r="AE19" s="818"/>
    </row>
    <row r="20" customFormat="false" ht="12" hidden="false" customHeight="true" outlineLevel="0" collapsed="false">
      <c r="A20" s="380" t="n">
        <v>1880</v>
      </c>
      <c r="B20" s="819" t="n">
        <f aca="false">TableDE3b!H20</f>
        <v>83.3438393299447</v>
      </c>
      <c r="C20" s="384" t="n">
        <f aca="false">B20*F20</f>
        <v>538.38398267716</v>
      </c>
      <c r="D20" s="382" t="n">
        <f aca="false">B20/B19-1</f>
        <v>-0.0290312076838846</v>
      </c>
      <c r="E20" s="403" t="n">
        <f aca="false">(1+D20)*F20/F19-1</f>
        <v>-0.0349788425346305</v>
      </c>
      <c r="F20" s="820" t="n">
        <f aca="false">DataDE1c!BS43/DataDE1c!B43</f>
        <v>6.45979339331592</v>
      </c>
      <c r="G20" s="821" t="n">
        <f aca="false">TableDE12c!C20</f>
        <v>0.104037734124173</v>
      </c>
      <c r="H20" s="403" t="n">
        <f aca="false">G19/F19</f>
        <v>0.0142307232816815</v>
      </c>
      <c r="I20" s="403" t="n">
        <f aca="false">O20/F20</f>
        <v>0</v>
      </c>
      <c r="J20" s="403" t="n">
        <f aca="false">(1+E20)/((1+H20)*(1+I19))-1</f>
        <v>-0.0485191038751889</v>
      </c>
      <c r="K20" s="803"/>
      <c r="L20" s="801"/>
      <c r="M20" s="403" t="n">
        <f aca="false">O20/F20</f>
        <v>0</v>
      </c>
      <c r="N20" s="801"/>
      <c r="O20" s="822" t="n">
        <v>0</v>
      </c>
      <c r="P20" s="801"/>
      <c r="Q20" s="158"/>
      <c r="R20" s="812"/>
      <c r="S20" s="813"/>
      <c r="T20" s="814"/>
      <c r="U20" s="815"/>
      <c r="V20" s="816"/>
      <c r="W20" s="817"/>
      <c r="X20" s="817"/>
      <c r="Y20" s="817" t="n">
        <f aca="false">1+$D20</f>
        <v>0.970968792316115</v>
      </c>
      <c r="Z20" s="818" t="n">
        <f aca="false">1+E20</f>
        <v>0.96502115746537</v>
      </c>
      <c r="AA20" s="818" t="n">
        <f aca="false">1+H20</f>
        <v>1.01423072328168</v>
      </c>
      <c r="AB20" s="818" t="n">
        <f aca="false">1+J20</f>
        <v>0.951480896124811</v>
      </c>
      <c r="AC20" s="818" t="n">
        <f aca="false">1+I19</f>
        <v>1</v>
      </c>
      <c r="AD20" s="818"/>
      <c r="AE20" s="818"/>
    </row>
    <row r="21" customFormat="false" ht="12" hidden="false" customHeight="true" outlineLevel="0" collapsed="false">
      <c r="A21" s="380" t="n">
        <v>1881</v>
      </c>
      <c r="B21" s="819" t="n">
        <f aca="false">TableDE3b!H21</f>
        <v>86.8487927174507</v>
      </c>
      <c r="C21" s="384" t="n">
        <f aca="false">B21*F21</f>
        <v>557.193729409594</v>
      </c>
      <c r="D21" s="382" t="n">
        <f aca="false">B21/B20-1</f>
        <v>0.042054138802395</v>
      </c>
      <c r="E21" s="403" t="n">
        <f aca="false">(1+D21)*F21/F20-1</f>
        <v>0.0349374189010976</v>
      </c>
      <c r="F21" s="820" t="n">
        <f aca="false">DataDE1c!BS44/DataDE1c!B44</f>
        <v>6.41567616515221</v>
      </c>
      <c r="G21" s="821" t="n">
        <f aca="false">TableDE12c!C21</f>
        <v>0.1193894518655</v>
      </c>
      <c r="H21" s="403" t="n">
        <f aca="false">G20/F20</f>
        <v>0.0161054274942946</v>
      </c>
      <c r="I21" s="403" t="n">
        <f aca="false">O21/F21</f>
        <v>0</v>
      </c>
      <c r="J21" s="403" t="n">
        <f aca="false">(1+E21)/((1+H21)*(1+I20))-1</f>
        <v>0.0185335014430956</v>
      </c>
      <c r="K21" s="803"/>
      <c r="L21" s="801"/>
      <c r="M21" s="403" t="n">
        <f aca="false">O21/F21</f>
        <v>0</v>
      </c>
      <c r="N21" s="801"/>
      <c r="O21" s="822" t="n">
        <v>0</v>
      </c>
      <c r="P21" s="801"/>
      <c r="Q21" s="158"/>
      <c r="R21" s="812"/>
      <c r="S21" s="813"/>
      <c r="T21" s="814"/>
      <c r="U21" s="815"/>
      <c r="V21" s="816"/>
      <c r="W21" s="817"/>
      <c r="X21" s="817"/>
      <c r="Y21" s="817" t="n">
        <f aca="false">1+$D21</f>
        <v>1.0420541388024</v>
      </c>
      <c r="Z21" s="818" t="n">
        <f aca="false">1+E21</f>
        <v>1.0349374189011</v>
      </c>
      <c r="AA21" s="818" t="n">
        <f aca="false">1+H21</f>
        <v>1.01610542749429</v>
      </c>
      <c r="AB21" s="818" t="n">
        <f aca="false">1+J21</f>
        <v>1.0185335014431</v>
      </c>
      <c r="AC21" s="818" t="n">
        <f aca="false">1+I20</f>
        <v>1</v>
      </c>
      <c r="AD21" s="818"/>
      <c r="AE21" s="818"/>
    </row>
    <row r="22" customFormat="false" ht="12" hidden="false" customHeight="true" outlineLevel="0" collapsed="false">
      <c r="A22" s="380" t="n">
        <v>1882</v>
      </c>
      <c r="B22" s="819" t="n">
        <f aca="false">TableDE3b!H22</f>
        <v>87.0167238295076</v>
      </c>
      <c r="C22" s="384" t="n">
        <f aca="false">B22*F22</f>
        <v>565.22688653704</v>
      </c>
      <c r="D22" s="382" t="n">
        <f aca="false">B22/B21-1</f>
        <v>0.00193360329835857</v>
      </c>
      <c r="E22" s="403" t="n">
        <f aca="false">(1+D22)*F22/F21-1</f>
        <v>0.0144171707315486</v>
      </c>
      <c r="F22" s="820" t="n">
        <f aca="false">DataDE1c!BS45/DataDE1c!B45</f>
        <v>6.4956121267504</v>
      </c>
      <c r="G22" s="821" t="n">
        <f aca="false">TableDE12c!C22</f>
        <v>0.114777885658804</v>
      </c>
      <c r="H22" s="403" t="n">
        <f aca="false">G21/F21</f>
        <v>0.0186090209032032</v>
      </c>
      <c r="I22" s="403" t="n">
        <f aca="false">O22/F22</f>
        <v>0</v>
      </c>
      <c r="J22" s="403" t="n">
        <f aca="false">(1+E22)/((1+H22)*(1+I21))-1</f>
        <v>-0.00411526904399273</v>
      </c>
      <c r="K22" s="803"/>
      <c r="L22" s="801"/>
      <c r="M22" s="403" t="n">
        <f aca="false">O22/F22</f>
        <v>0</v>
      </c>
      <c r="N22" s="801"/>
      <c r="O22" s="822" t="n">
        <v>0</v>
      </c>
      <c r="P22" s="801"/>
      <c r="Q22" s="158"/>
      <c r="R22" s="812"/>
      <c r="S22" s="813"/>
      <c r="T22" s="814"/>
      <c r="U22" s="815"/>
      <c r="V22" s="816"/>
      <c r="W22" s="817"/>
      <c r="X22" s="817"/>
      <c r="Y22" s="817" t="n">
        <f aca="false">1+$D22</f>
        <v>1.00193360329836</v>
      </c>
      <c r="Z22" s="818" t="n">
        <f aca="false">1+E22</f>
        <v>1.01441717073155</v>
      </c>
      <c r="AA22" s="818" t="n">
        <f aca="false">1+H22</f>
        <v>1.0186090209032</v>
      </c>
      <c r="AB22" s="818" t="n">
        <f aca="false">1+J22</f>
        <v>0.995884730956007</v>
      </c>
      <c r="AC22" s="818" t="n">
        <f aca="false">1+I21</f>
        <v>1</v>
      </c>
      <c r="AD22" s="818"/>
      <c r="AE22" s="818"/>
    </row>
    <row r="23" customFormat="false" ht="12" hidden="false" customHeight="true" outlineLevel="0" collapsed="false">
      <c r="A23" s="380" t="n">
        <v>1883</v>
      </c>
      <c r="B23" s="819" t="n">
        <f aca="false">TableDE3b!H23</f>
        <v>92.08306319793</v>
      </c>
      <c r="C23" s="384" t="n">
        <f aca="false">B23*F23</f>
        <v>590.071799052649</v>
      </c>
      <c r="D23" s="382" t="n">
        <f aca="false">B23/B22-1</f>
        <v>0.0582225938355128</v>
      </c>
      <c r="E23" s="403" t="n">
        <f aca="false">(1+D23)*F23/F22-1</f>
        <v>0.0439556452592436</v>
      </c>
      <c r="F23" s="820" t="n">
        <f aca="false">DataDE1c!BS46/DataDE1c!B46</f>
        <v>6.40803833582627</v>
      </c>
      <c r="G23" s="821" t="n">
        <f aca="false">TableDE12c!C23</f>
        <v>0.122589330231012</v>
      </c>
      <c r="H23" s="403" t="n">
        <f aca="false">G22/F22</f>
        <v>0.0176700645634494</v>
      </c>
      <c r="I23" s="403" t="n">
        <f aca="false">O23/F23</f>
        <v>0</v>
      </c>
      <c r="J23" s="403" t="n">
        <f aca="false">(1+E23)/((1+H23)*(1+I22))-1</f>
        <v>0.0258291774624126</v>
      </c>
      <c r="K23" s="803"/>
      <c r="L23" s="801"/>
      <c r="M23" s="403" t="n">
        <f aca="false">O23/F23</f>
        <v>0</v>
      </c>
      <c r="N23" s="801"/>
      <c r="O23" s="822" t="n">
        <v>0</v>
      </c>
      <c r="P23" s="801"/>
      <c r="Q23" s="158"/>
      <c r="R23" s="812"/>
      <c r="S23" s="813"/>
      <c r="T23" s="814"/>
      <c r="U23" s="815"/>
      <c r="V23" s="816"/>
      <c r="W23" s="817"/>
      <c r="X23" s="817"/>
      <c r="Y23" s="817" t="n">
        <f aca="false">1+$D23</f>
        <v>1.05822259383551</v>
      </c>
      <c r="Z23" s="818" t="n">
        <f aca="false">1+E23</f>
        <v>1.04395564525924</v>
      </c>
      <c r="AA23" s="818" t="n">
        <f aca="false">1+H23</f>
        <v>1.01767006456345</v>
      </c>
      <c r="AB23" s="818" t="n">
        <f aca="false">1+J23</f>
        <v>1.02582917746241</v>
      </c>
      <c r="AC23" s="818" t="n">
        <f aca="false">1+I22</f>
        <v>1</v>
      </c>
      <c r="AD23" s="818"/>
      <c r="AE23" s="818"/>
    </row>
    <row r="24" customFormat="false" ht="12" hidden="false" customHeight="true" outlineLevel="0" collapsed="false">
      <c r="A24" s="380" t="n">
        <v>1884</v>
      </c>
      <c r="B24" s="819" t="n">
        <f aca="false">TableDE3b!H24</f>
        <v>95.7514879343772</v>
      </c>
      <c r="C24" s="384" t="n">
        <f aca="false">B24*F24</f>
        <v>601.346759217169</v>
      </c>
      <c r="D24" s="382" t="n">
        <f aca="false">B24/B23-1</f>
        <v>0.0398382135546682</v>
      </c>
      <c r="E24" s="403" t="n">
        <f aca="false">(1+D24)*F24/F23-1</f>
        <v>0.0191077766851788</v>
      </c>
      <c r="F24" s="820" t="n">
        <f aca="false">DataDE1c!BS47/DataDE1c!B47</f>
        <v>6.28028631397664</v>
      </c>
      <c r="G24" s="821" t="n">
        <f aca="false">TableDE12c!C24</f>
        <v>0.145167536731069</v>
      </c>
      <c r="H24" s="403" t="n">
        <f aca="false">G23/F23</f>
        <v>0.019130555063261</v>
      </c>
      <c r="I24" s="403" t="n">
        <f aca="false">O24/F24</f>
        <v>0</v>
      </c>
      <c r="J24" s="403" t="n">
        <f aca="false">(1+E24)/((1+H24)*(1+I23))-1</f>
        <v>-2.23507949683732E-005</v>
      </c>
      <c r="K24" s="803"/>
      <c r="L24" s="801"/>
      <c r="M24" s="403" t="n">
        <f aca="false">O24/F24</f>
        <v>0</v>
      </c>
      <c r="N24" s="801"/>
      <c r="O24" s="822" t="n">
        <v>0</v>
      </c>
      <c r="P24" s="801"/>
      <c r="Q24" s="158"/>
      <c r="R24" s="812"/>
      <c r="S24" s="813"/>
      <c r="T24" s="814"/>
      <c r="U24" s="815"/>
      <c r="V24" s="816"/>
      <c r="W24" s="817"/>
      <c r="X24" s="817"/>
      <c r="Y24" s="817" t="n">
        <f aca="false">1+$D24</f>
        <v>1.03983821355467</v>
      </c>
      <c r="Z24" s="818" t="n">
        <f aca="false">1+E24</f>
        <v>1.01910777668518</v>
      </c>
      <c r="AA24" s="818" t="n">
        <f aca="false">1+H24</f>
        <v>1.01913055506326</v>
      </c>
      <c r="AB24" s="818" t="n">
        <f aca="false">1+J24</f>
        <v>0.999977649205032</v>
      </c>
      <c r="AC24" s="818" t="n">
        <f aca="false">1+I23</f>
        <v>1</v>
      </c>
      <c r="AD24" s="818"/>
      <c r="AE24" s="818"/>
    </row>
    <row r="25" customFormat="false" ht="12" hidden="false" customHeight="true" outlineLevel="0" collapsed="false">
      <c r="A25" s="380" t="n">
        <v>1885</v>
      </c>
      <c r="B25" s="819" t="n">
        <f aca="false">TableDE3b!H25</f>
        <v>98.8025810640336</v>
      </c>
      <c r="C25" s="384" t="n">
        <f aca="false">B25*F25</f>
        <v>630.901471179436</v>
      </c>
      <c r="D25" s="382" t="n">
        <f aca="false">B25/B24-1</f>
        <v>0.0318647072278135</v>
      </c>
      <c r="E25" s="403" t="n">
        <f aca="false">(1+D25)*F25/F24-1</f>
        <v>0.0491475367735277</v>
      </c>
      <c r="F25" s="820" t="n">
        <f aca="false">DataDE1c!BS48/DataDE1c!B48</f>
        <v>6.38547560585033</v>
      </c>
      <c r="G25" s="821" t="n">
        <f aca="false">TableDE12c!C25</f>
        <v>0.144136329667983</v>
      </c>
      <c r="H25" s="403" t="n">
        <f aca="false">G24/F24</f>
        <v>0.0231147959620889</v>
      </c>
      <c r="I25" s="403" t="n">
        <f aca="false">O25/F25</f>
        <v>0</v>
      </c>
      <c r="J25" s="403" t="n">
        <f aca="false">(1+E25)/((1+H25)*(1+I24))-1</f>
        <v>0.0254445942079831</v>
      </c>
      <c r="K25" s="803"/>
      <c r="L25" s="801"/>
      <c r="M25" s="403" t="n">
        <f aca="false">O25/F25</f>
        <v>0</v>
      </c>
      <c r="N25" s="801"/>
      <c r="O25" s="822" t="n">
        <v>0</v>
      </c>
      <c r="P25" s="801"/>
      <c r="Q25" s="158"/>
      <c r="R25" s="812"/>
      <c r="S25" s="813"/>
      <c r="T25" s="814"/>
      <c r="U25" s="815"/>
      <c r="V25" s="816"/>
      <c r="W25" s="817"/>
      <c r="X25" s="817"/>
      <c r="Y25" s="817" t="n">
        <f aca="false">1+$D25</f>
        <v>1.03186470722781</v>
      </c>
      <c r="Z25" s="818" t="n">
        <f aca="false">1+E25</f>
        <v>1.04914753677353</v>
      </c>
      <c r="AA25" s="818" t="n">
        <f aca="false">1+H25</f>
        <v>1.02311479596209</v>
      </c>
      <c r="AB25" s="818" t="n">
        <f aca="false">1+J25</f>
        <v>1.02544459420798</v>
      </c>
      <c r="AC25" s="818" t="n">
        <f aca="false">1+I24</f>
        <v>1</v>
      </c>
      <c r="AD25" s="818"/>
      <c r="AE25" s="818"/>
    </row>
    <row r="26" customFormat="false" ht="12" hidden="false" customHeight="true" outlineLevel="0" collapsed="false">
      <c r="A26" s="380" t="n">
        <v>1886</v>
      </c>
      <c r="B26" s="819" t="n">
        <f aca="false">TableDE3b!H26</f>
        <v>100.511748717221</v>
      </c>
      <c r="C26" s="384" t="n">
        <f aca="false">B26*F26</f>
        <v>655.197624263227</v>
      </c>
      <c r="D26" s="382" t="n">
        <f aca="false">B26/B25-1</f>
        <v>0.0172988158283014</v>
      </c>
      <c r="E26" s="403" t="n">
        <f aca="false">(1+D26)*F26/F25-1</f>
        <v>0.0385102178290546</v>
      </c>
      <c r="F26" s="820" t="n">
        <f aca="false">DataDE1c!BS49/DataDE1c!B49</f>
        <v>6.51861730220767</v>
      </c>
      <c r="G26" s="821" t="n">
        <f aca="false">TableDE12c!C26</f>
        <v>0.143557621210521</v>
      </c>
      <c r="H26" s="403" t="n">
        <f aca="false">G25/F25</f>
        <v>0.022572528432483</v>
      </c>
      <c r="I26" s="403" t="n">
        <f aca="false">O26/F26</f>
        <v>0</v>
      </c>
      <c r="J26" s="403" t="n">
        <f aca="false">(1+E26)/((1+H26)*(1+I25))-1</f>
        <v>0.0155858767504762</v>
      </c>
      <c r="K26" s="803"/>
      <c r="L26" s="801"/>
      <c r="M26" s="403" t="n">
        <f aca="false">O26/F26</f>
        <v>0</v>
      </c>
      <c r="N26" s="801"/>
      <c r="O26" s="822" t="n">
        <v>0</v>
      </c>
      <c r="P26" s="801"/>
      <c r="Q26" s="158"/>
      <c r="R26" s="812"/>
      <c r="S26" s="813"/>
      <c r="T26" s="814"/>
      <c r="U26" s="815"/>
      <c r="V26" s="816"/>
      <c r="W26" s="817"/>
      <c r="X26" s="817"/>
      <c r="Y26" s="817" t="n">
        <f aca="false">1+$D26</f>
        <v>1.0172988158283</v>
      </c>
      <c r="Z26" s="818" t="n">
        <f aca="false">1+E26</f>
        <v>1.03851021782905</v>
      </c>
      <c r="AA26" s="818" t="n">
        <f aca="false">1+H26</f>
        <v>1.02257252843248</v>
      </c>
      <c r="AB26" s="818" t="n">
        <f aca="false">1+J26</f>
        <v>1.01558587675048</v>
      </c>
      <c r="AC26" s="818" t="n">
        <f aca="false">1+I25</f>
        <v>1</v>
      </c>
      <c r="AD26" s="818"/>
      <c r="AE26" s="818"/>
    </row>
    <row r="27" customFormat="false" ht="12" hidden="false" customHeight="true" outlineLevel="0" collapsed="false">
      <c r="A27" s="380" t="n">
        <v>1887</v>
      </c>
      <c r="B27" s="819" t="n">
        <f aca="false">TableDE3b!H27</f>
        <v>101.703842951878</v>
      </c>
      <c r="C27" s="384" t="n">
        <f aca="false">B27*F27</f>
        <v>676.151798940444</v>
      </c>
      <c r="D27" s="382" t="n">
        <f aca="false">B27/B26-1</f>
        <v>0.0118602476811991</v>
      </c>
      <c r="E27" s="403" t="n">
        <f aca="false">(1+D27)*F27/F26-1</f>
        <v>0.0319814570463075</v>
      </c>
      <c r="F27" s="820" t="n">
        <f aca="false">DataDE1c!BS50/DataDE1c!B50</f>
        <v>6.64824238018589</v>
      </c>
      <c r="G27" s="821" t="n">
        <f aca="false">TableDE12c!C27</f>
        <v>0.155068175917753</v>
      </c>
      <c r="H27" s="403" t="n">
        <f aca="false">G26/F26</f>
        <v>0.0220227104238658</v>
      </c>
      <c r="I27" s="403" t="n">
        <f aca="false">O27/F27</f>
        <v>0</v>
      </c>
      <c r="J27" s="403" t="n">
        <f aca="false">(1+E27)/((1+H27)*(1+I26))-1</f>
        <v>0.00974415394185479</v>
      </c>
      <c r="K27" s="803"/>
      <c r="L27" s="801"/>
      <c r="M27" s="403" t="n">
        <f aca="false">O27/F27</f>
        <v>0</v>
      </c>
      <c r="N27" s="801"/>
      <c r="O27" s="822" t="n">
        <v>0</v>
      </c>
      <c r="P27" s="801"/>
      <c r="Q27" s="158"/>
      <c r="R27" s="812"/>
      <c r="S27" s="813"/>
      <c r="T27" s="814"/>
      <c r="U27" s="815"/>
      <c r="V27" s="816"/>
      <c r="W27" s="817"/>
      <c r="X27" s="817"/>
      <c r="Y27" s="817" t="n">
        <f aca="false">1+$D27</f>
        <v>1.0118602476812</v>
      </c>
      <c r="Z27" s="818" t="n">
        <f aca="false">1+E27</f>
        <v>1.03198145704631</v>
      </c>
      <c r="AA27" s="818" t="n">
        <f aca="false">1+H27</f>
        <v>1.02202271042387</v>
      </c>
      <c r="AB27" s="818" t="n">
        <f aca="false">1+J27</f>
        <v>1.00974415394185</v>
      </c>
      <c r="AC27" s="818" t="n">
        <f aca="false">1+I26</f>
        <v>1</v>
      </c>
      <c r="AD27" s="818"/>
      <c r="AE27" s="818"/>
    </row>
    <row r="28" customFormat="false" ht="12" hidden="false" customHeight="true" outlineLevel="0" collapsed="false">
      <c r="A28" s="380" t="n">
        <v>1888</v>
      </c>
      <c r="B28" s="819" t="n">
        <f aca="false">TableDE3b!H28</f>
        <v>107.079806456458</v>
      </c>
      <c r="C28" s="384" t="n">
        <f aca="false">B28*F28</f>
        <v>694.309086119928</v>
      </c>
      <c r="D28" s="382" t="n">
        <f aca="false">B28/B27-1</f>
        <v>0.0528590006881389</v>
      </c>
      <c r="E28" s="403" t="n">
        <f aca="false">(1+D28)*F28/F27-1</f>
        <v>0.0268538621178509</v>
      </c>
      <c r="F28" s="820" t="n">
        <f aca="false">DataDE1c!BS51/DataDE1c!B51</f>
        <v>6.48403381642512</v>
      </c>
      <c r="G28" s="821" t="n">
        <f aca="false">TableDE12c!C28</f>
        <v>0.160028985507246</v>
      </c>
      <c r="H28" s="403" t="n">
        <f aca="false">G27/F27</f>
        <v>0.023324687496339</v>
      </c>
      <c r="I28" s="403" t="n">
        <f aca="false">O28/F28</f>
        <v>0</v>
      </c>
      <c r="J28" s="403" t="n">
        <f aca="false">(1+E28)/((1+H28)*(1+I27))-1</f>
        <v>0.00344873397918932</v>
      </c>
      <c r="K28" s="803"/>
      <c r="L28" s="801"/>
      <c r="M28" s="403" t="n">
        <f aca="false">O28/F28</f>
        <v>0</v>
      </c>
      <c r="N28" s="801"/>
      <c r="O28" s="822" t="n">
        <v>0</v>
      </c>
      <c r="P28" s="801"/>
      <c r="Q28" s="158"/>
      <c r="R28" s="812"/>
      <c r="S28" s="813"/>
      <c r="T28" s="814"/>
      <c r="U28" s="815"/>
      <c r="V28" s="816"/>
      <c r="W28" s="817"/>
      <c r="X28" s="817"/>
      <c r="Y28" s="817" t="n">
        <f aca="false">1+$D28</f>
        <v>1.05285900068814</v>
      </c>
      <c r="Z28" s="818" t="n">
        <f aca="false">1+E28</f>
        <v>1.02685386211785</v>
      </c>
      <c r="AA28" s="818" t="n">
        <f aca="false">1+H28</f>
        <v>1.02332468749634</v>
      </c>
      <c r="AB28" s="818" t="n">
        <f aca="false">1+J28</f>
        <v>1.00344873397919</v>
      </c>
      <c r="AC28" s="818" t="n">
        <f aca="false">1+I27</f>
        <v>1</v>
      </c>
      <c r="AD28" s="818"/>
      <c r="AE28" s="818"/>
    </row>
    <row r="29" customFormat="false" ht="12" hidden="false" customHeight="true" outlineLevel="0" collapsed="false">
      <c r="A29" s="405" t="n">
        <v>1889</v>
      </c>
      <c r="B29" s="823" t="n">
        <f aca="false">TableDE3b!H29</f>
        <v>111.639741256374</v>
      </c>
      <c r="C29" s="410" t="n">
        <f aca="false">B29*F29</f>
        <v>707.539383403336</v>
      </c>
      <c r="D29" s="407" t="n">
        <f aca="false">B29/B28-1</f>
        <v>0.0425844512687894</v>
      </c>
      <c r="E29" s="414" t="n">
        <f aca="false">(1+D29)*F29/F28-1</f>
        <v>0.0190553422789621</v>
      </c>
      <c r="F29" s="824" t="n">
        <f aca="false">DataDE1c!BS52/DataDE1c!B52</f>
        <v>6.33770174886481</v>
      </c>
      <c r="G29" s="825" t="n">
        <f aca="false">TableDE12c!C29</f>
        <v>0.1690190172189</v>
      </c>
      <c r="H29" s="414" t="n">
        <f aca="false">G28/F28</f>
        <v>0.0246804674432553</v>
      </c>
      <c r="I29" s="414" t="n">
        <f aca="false">O29/F29</f>
        <v>0</v>
      </c>
      <c r="J29" s="414" t="n">
        <f aca="false">(1+E29)/((1+H29)*(1+I28))-1</f>
        <v>-0.00548963832435367</v>
      </c>
      <c r="K29" s="826"/>
      <c r="L29" s="827"/>
      <c r="M29" s="414" t="n">
        <f aca="false">O29/F29</f>
        <v>0</v>
      </c>
      <c r="N29" s="827"/>
      <c r="O29" s="828" t="n">
        <v>0</v>
      </c>
      <c r="P29" s="801"/>
      <c r="Q29" s="158"/>
      <c r="R29" s="812"/>
      <c r="S29" s="813"/>
      <c r="T29" s="814"/>
      <c r="U29" s="815"/>
      <c r="V29" s="816"/>
      <c r="W29" s="817"/>
      <c r="X29" s="817"/>
      <c r="Y29" s="817" t="n">
        <f aca="false">1+$D29</f>
        <v>1.04258445126879</v>
      </c>
      <c r="Z29" s="818" t="n">
        <f aca="false">1+E29</f>
        <v>1.01905534227896</v>
      </c>
      <c r="AA29" s="818" t="n">
        <f aca="false">1+H29</f>
        <v>1.02468046744326</v>
      </c>
      <c r="AB29" s="818" t="n">
        <f aca="false">1+J29</f>
        <v>0.994510361675646</v>
      </c>
      <c r="AC29" s="818" t="n">
        <f aca="false">1+I28</f>
        <v>1</v>
      </c>
      <c r="AD29" s="818"/>
      <c r="AE29" s="818"/>
    </row>
    <row r="30" customFormat="false" ht="12" hidden="false" customHeight="true" outlineLevel="0" collapsed="false">
      <c r="A30" s="380" t="n">
        <v>1890</v>
      </c>
      <c r="B30" s="819" t="n">
        <f aca="false">TableDE3b!H30</f>
        <v>115.603008190282</v>
      </c>
      <c r="C30" s="384" t="n">
        <f aca="false">B30*F30</f>
        <v>719.339131448079</v>
      </c>
      <c r="D30" s="382" t="n">
        <f aca="false">B30/B29-1</f>
        <v>0.0355005026821664</v>
      </c>
      <c r="E30" s="403" t="n">
        <f aca="false">(1+D30)*F30/F29-1</f>
        <v>0.0166771607652205</v>
      </c>
      <c r="F30" s="820" t="n">
        <f aca="false">DataDE1c!BS53/DataDE1c!B53</f>
        <v>6.22249492213947</v>
      </c>
      <c r="G30" s="821" t="n">
        <f aca="false">TableDE12c!C30</f>
        <v>0.162305137102234</v>
      </c>
      <c r="H30" s="403" t="n">
        <f aca="false">G29/F29</f>
        <v>0.0266688184323559</v>
      </c>
      <c r="I30" s="403" t="n">
        <f aca="false">O30/F30</f>
        <v>0</v>
      </c>
      <c r="J30" s="403" t="n">
        <f aca="false">(1+E30)/((1+H30)*(1+I29))-1</f>
        <v>-0.00973211369406546</v>
      </c>
      <c r="K30" s="803"/>
      <c r="L30" s="801"/>
      <c r="M30" s="403" t="n">
        <f aca="false">O30/F30</f>
        <v>0</v>
      </c>
      <c r="N30" s="801"/>
      <c r="O30" s="822" t="n">
        <v>0</v>
      </c>
      <c r="P30" s="801"/>
      <c r="Q30" s="158"/>
      <c r="R30" s="812"/>
      <c r="S30" s="813"/>
      <c r="T30" s="814"/>
      <c r="U30" s="815"/>
      <c r="V30" s="816"/>
      <c r="W30" s="817"/>
      <c r="X30" s="817"/>
      <c r="Y30" s="817" t="n">
        <f aca="false">1+$D30</f>
        <v>1.03550050268217</v>
      </c>
      <c r="Z30" s="818" t="n">
        <f aca="false">1+E30</f>
        <v>1.01667716076522</v>
      </c>
      <c r="AA30" s="818" t="n">
        <f aca="false">1+H30</f>
        <v>1.02666881843236</v>
      </c>
      <c r="AB30" s="818" t="n">
        <f aca="false">1+J30</f>
        <v>0.990267886305935</v>
      </c>
      <c r="AC30" s="818" t="n">
        <f aca="false">1+I29</f>
        <v>1</v>
      </c>
      <c r="AD30" s="818"/>
      <c r="AE30" s="818"/>
    </row>
    <row r="31" customFormat="false" ht="12" hidden="false" customHeight="true" outlineLevel="0" collapsed="false">
      <c r="A31" s="380" t="n">
        <v>1891</v>
      </c>
      <c r="B31" s="819" t="n">
        <f aca="false">TableDE3b!H31</f>
        <v>111.130046612761</v>
      </c>
      <c r="C31" s="384" t="n">
        <f aca="false">B31*F31</f>
        <v>727.752748251996</v>
      </c>
      <c r="D31" s="382" t="n">
        <f aca="false">B31/B30-1</f>
        <v>-0.0386924323816773</v>
      </c>
      <c r="E31" s="403" t="n">
        <f aca="false">(1+D31)*F31/F30-1</f>
        <v>0.0116963146255926</v>
      </c>
      <c r="F31" s="820" t="n">
        <f aca="false">DataDE1c!BS54/DataDE1c!B54</f>
        <v>6.54865871502682</v>
      </c>
      <c r="G31" s="821" t="n">
        <f aca="false">TableDE12c!C31</f>
        <v>0.11243750277125</v>
      </c>
      <c r="H31" s="403" t="n">
        <f aca="false">G30/F30</f>
        <v>0.026083611016661</v>
      </c>
      <c r="I31" s="403" t="n">
        <f aca="false">O31/F31</f>
        <v>0</v>
      </c>
      <c r="J31" s="403" t="n">
        <f aca="false">(1+E31)/((1+H31)*(1+I30))-1</f>
        <v>-0.0140215633858659</v>
      </c>
      <c r="K31" s="803"/>
      <c r="L31" s="801"/>
      <c r="M31" s="403" t="n">
        <f aca="false">O31/F31</f>
        <v>0</v>
      </c>
      <c r="N31" s="801"/>
      <c r="O31" s="822" t="n">
        <v>0</v>
      </c>
      <c r="P31" s="801"/>
      <c r="Q31" s="158"/>
      <c r="R31" s="812"/>
      <c r="S31" s="813"/>
      <c r="T31" s="814"/>
      <c r="U31" s="815"/>
      <c r="V31" s="816"/>
      <c r="W31" s="817"/>
      <c r="X31" s="817"/>
      <c r="Y31" s="817" t="n">
        <f aca="false">1+$D31</f>
        <v>0.961307567618323</v>
      </c>
      <c r="Z31" s="818" t="n">
        <f aca="false">1+E31</f>
        <v>1.01169631462559</v>
      </c>
      <c r="AA31" s="818" t="n">
        <f aca="false">1+H31</f>
        <v>1.02608361101666</v>
      </c>
      <c r="AB31" s="818" t="n">
        <f aca="false">1+J31</f>
        <v>0.985978436614134</v>
      </c>
      <c r="AC31" s="818" t="n">
        <f aca="false">1+I30</f>
        <v>1</v>
      </c>
      <c r="AD31" s="818"/>
      <c r="AE31" s="818"/>
    </row>
    <row r="32" customFormat="false" ht="12" hidden="false" customHeight="true" outlineLevel="0" collapsed="false">
      <c r="A32" s="380" t="n">
        <v>1892</v>
      </c>
      <c r="B32" s="819" t="n">
        <f aca="false">TableDE3b!H32</f>
        <v>117.780243495529</v>
      </c>
      <c r="C32" s="384" t="n">
        <f aca="false">B32*F32</f>
        <v>710.632937206215</v>
      </c>
      <c r="D32" s="382" t="n">
        <f aca="false">B32/B31-1</f>
        <v>0.0598415737729388</v>
      </c>
      <c r="E32" s="403" t="n">
        <f aca="false">(1+D32)*F32/F31-1</f>
        <v>-0.0235242135284286</v>
      </c>
      <c r="F32" s="820" t="n">
        <f aca="false">DataDE1c!BS55/DataDE1c!B55</f>
        <v>6.0335495675316</v>
      </c>
      <c r="G32" s="821" t="n">
        <f aca="false">TableDE12c!C32</f>
        <v>0.134455297737858</v>
      </c>
      <c r="H32" s="403" t="n">
        <f aca="false">G31/F31</f>
        <v>0.01716954687427</v>
      </c>
      <c r="I32" s="403" t="n">
        <f aca="false">O32/F32</f>
        <v>0</v>
      </c>
      <c r="J32" s="403" t="n">
        <f aca="false">(1+E32)/((1+H32)*(1+I31))-1</f>
        <v>-0.0400068607320671</v>
      </c>
      <c r="K32" s="803"/>
      <c r="L32" s="801"/>
      <c r="M32" s="403" t="n">
        <f aca="false">O32/F32</f>
        <v>0</v>
      </c>
      <c r="N32" s="801"/>
      <c r="O32" s="822" t="n">
        <v>0</v>
      </c>
      <c r="P32" s="801"/>
      <c r="Q32" s="158"/>
      <c r="R32" s="812"/>
      <c r="S32" s="813"/>
      <c r="T32" s="814"/>
      <c r="U32" s="815"/>
      <c r="V32" s="816"/>
      <c r="W32" s="817"/>
      <c r="X32" s="817"/>
      <c r="Y32" s="817" t="n">
        <f aca="false">1+$D32</f>
        <v>1.05984157377294</v>
      </c>
      <c r="Z32" s="818" t="n">
        <f aca="false">1+E32</f>
        <v>0.976475786471571</v>
      </c>
      <c r="AA32" s="818" t="n">
        <f aca="false">1+H32</f>
        <v>1.01716954687427</v>
      </c>
      <c r="AB32" s="818" t="n">
        <f aca="false">1+J32</f>
        <v>0.959993139267933</v>
      </c>
      <c r="AC32" s="818" t="n">
        <f aca="false">1+I31</f>
        <v>1</v>
      </c>
      <c r="AD32" s="818"/>
      <c r="AE32" s="818"/>
    </row>
    <row r="33" customFormat="false" ht="12" hidden="false" customHeight="true" outlineLevel="0" collapsed="false">
      <c r="A33" s="380" t="n">
        <v>1893</v>
      </c>
      <c r="B33" s="819" t="n">
        <f aca="false">TableDE3b!H33</f>
        <v>126.708072353717</v>
      </c>
      <c r="C33" s="384" t="n">
        <f aca="false">B33*F33</f>
        <v>749.602831922088</v>
      </c>
      <c r="D33" s="382" t="n">
        <f aca="false">B33/B32-1</f>
        <v>0.0758007335799695</v>
      </c>
      <c r="E33" s="403" t="n">
        <f aca="false">(1+D33)*F33/F32-1</f>
        <v>0.054838289467807</v>
      </c>
      <c r="F33" s="820" t="n">
        <f aca="false">DataDE1c!BS56/DataDE1c!B56</f>
        <v>5.91598323609171</v>
      </c>
      <c r="G33" s="821" t="n">
        <f aca="false">TableDE12c!C33</f>
        <v>0.134063522064262</v>
      </c>
      <c r="H33" s="403" t="n">
        <f aca="false">G32/F32</f>
        <v>0.0222846097861536</v>
      </c>
      <c r="I33" s="403" t="n">
        <f aca="false">O33/F33</f>
        <v>0</v>
      </c>
      <c r="J33" s="403" t="n">
        <f aca="false">(1+E33)/((1+H33)*(1+I32))-1</f>
        <v>0.0318440475089057</v>
      </c>
      <c r="K33" s="803"/>
      <c r="L33" s="801"/>
      <c r="M33" s="403" t="n">
        <f aca="false">O33/F33</f>
        <v>0</v>
      </c>
      <c r="N33" s="801"/>
      <c r="O33" s="822" t="n">
        <v>0</v>
      </c>
      <c r="P33" s="801"/>
      <c r="Q33" s="158"/>
      <c r="R33" s="812"/>
      <c r="S33" s="813"/>
      <c r="T33" s="814"/>
      <c r="U33" s="815"/>
      <c r="V33" s="816"/>
      <c r="W33" s="817"/>
      <c r="X33" s="817"/>
      <c r="Y33" s="817" t="n">
        <f aca="false">1+$D33</f>
        <v>1.07580073357997</v>
      </c>
      <c r="Z33" s="818" t="n">
        <f aca="false">1+E33</f>
        <v>1.05483828946781</v>
      </c>
      <c r="AA33" s="818" t="n">
        <f aca="false">1+H33</f>
        <v>1.02228460978615</v>
      </c>
      <c r="AB33" s="818" t="n">
        <f aca="false">1+J33</f>
        <v>1.03184404750891</v>
      </c>
      <c r="AC33" s="818" t="n">
        <f aca="false">1+I32</f>
        <v>1</v>
      </c>
      <c r="AD33" s="818"/>
      <c r="AE33" s="818"/>
    </row>
    <row r="34" customFormat="false" ht="12" hidden="false" customHeight="true" outlineLevel="0" collapsed="false">
      <c r="A34" s="380" t="n">
        <v>1894</v>
      </c>
      <c r="B34" s="819" t="n">
        <f aca="false">TableDE3b!H34</f>
        <v>127.123807727526</v>
      </c>
      <c r="C34" s="384" t="n">
        <f aca="false">B34*F34</f>
        <v>762.339914946702</v>
      </c>
      <c r="D34" s="382" t="n">
        <f aca="false">B34/B33-1</f>
        <v>0.00328104883994862</v>
      </c>
      <c r="E34" s="403" t="n">
        <f aca="false">(1+D34)*F34/F33-1</f>
        <v>0.0169917754872329</v>
      </c>
      <c r="F34" s="820" t="n">
        <f aca="false">DataDE1c!BS57/DataDE1c!B57</f>
        <v>5.9968304015931</v>
      </c>
      <c r="G34" s="821" t="n">
        <f aca="false">TableDE12c!C34</f>
        <v>0.124335628941255</v>
      </c>
      <c r="H34" s="403" t="n">
        <f aca="false">G33/F33</f>
        <v>0.0226612410336761</v>
      </c>
      <c r="I34" s="403" t="n">
        <f aca="false">O34/F34</f>
        <v>0</v>
      </c>
      <c r="J34" s="403" t="n">
        <f aca="false">(1+E34)/((1+H34)*(1+I33))-1</f>
        <v>-0.00554383535716363</v>
      </c>
      <c r="K34" s="803"/>
      <c r="L34" s="801"/>
      <c r="M34" s="403" t="n">
        <f aca="false">O34/F34</f>
        <v>0</v>
      </c>
      <c r="N34" s="801"/>
      <c r="O34" s="822" t="n">
        <v>0</v>
      </c>
      <c r="P34" s="801"/>
      <c r="Q34" s="158"/>
      <c r="R34" s="812"/>
      <c r="S34" s="813"/>
      <c r="T34" s="814"/>
      <c r="U34" s="815"/>
      <c r="V34" s="816"/>
      <c r="W34" s="817"/>
      <c r="X34" s="817"/>
      <c r="Y34" s="817" t="n">
        <f aca="false">1+$D34</f>
        <v>1.00328104883995</v>
      </c>
      <c r="Z34" s="818" t="n">
        <f aca="false">1+E34</f>
        <v>1.01699177548723</v>
      </c>
      <c r="AA34" s="818" t="n">
        <f aca="false">1+H34</f>
        <v>1.02266124103368</v>
      </c>
      <c r="AB34" s="818" t="n">
        <f aca="false">1+J34</f>
        <v>0.994456164642836</v>
      </c>
      <c r="AC34" s="818" t="n">
        <f aca="false">1+I33</f>
        <v>1</v>
      </c>
      <c r="AD34" s="818"/>
      <c r="AE34" s="818"/>
    </row>
    <row r="35" customFormat="false" ht="12" hidden="false" customHeight="true" outlineLevel="0" collapsed="false">
      <c r="A35" s="380" t="n">
        <v>1895</v>
      </c>
      <c r="B35" s="819" t="n">
        <f aca="false">TableDE3b!H35</f>
        <v>132.570814687756</v>
      </c>
      <c r="C35" s="384" t="n">
        <f aca="false">B35*F35</f>
        <v>771.679293421219</v>
      </c>
      <c r="D35" s="382" t="n">
        <f aca="false">B35/B34-1</f>
        <v>0.0428480475656072</v>
      </c>
      <c r="E35" s="403" t="n">
        <f aca="false">(1+D35)*F35/F34-1</f>
        <v>0.0122509372674919</v>
      </c>
      <c r="F35" s="820" t="n">
        <f aca="false">DataDE1c!BS58/DataDE1c!B58</f>
        <v>5.82088369328314</v>
      </c>
      <c r="G35" s="821" t="n">
        <f aca="false">TableDE12c!C35</f>
        <v>0.119344164850406</v>
      </c>
      <c r="H35" s="403" t="n">
        <f aca="false">G34/F34</f>
        <v>0.0207335576654334</v>
      </c>
      <c r="I35" s="403" t="n">
        <f aca="false">O35/F35</f>
        <v>0</v>
      </c>
      <c r="J35" s="403" t="n">
        <f aca="false">(1+E35)/((1+H35)*(1+I34))-1</f>
        <v>-0.00831031794167969</v>
      </c>
      <c r="K35" s="803"/>
      <c r="L35" s="801"/>
      <c r="M35" s="403" t="n">
        <f aca="false">O35/F35</f>
        <v>0</v>
      </c>
      <c r="N35" s="801"/>
      <c r="O35" s="822" t="n">
        <v>0</v>
      </c>
      <c r="P35" s="801"/>
      <c r="Q35" s="158"/>
      <c r="R35" s="812"/>
      <c r="S35" s="813"/>
      <c r="T35" s="814"/>
      <c r="U35" s="815"/>
      <c r="V35" s="816"/>
      <c r="W35" s="817"/>
      <c r="X35" s="817"/>
      <c r="Y35" s="817" t="n">
        <f aca="false">1+$D35</f>
        <v>1.04284804756561</v>
      </c>
      <c r="Z35" s="818" t="n">
        <f aca="false">1+E35</f>
        <v>1.01225093726749</v>
      </c>
      <c r="AA35" s="818" t="n">
        <f aca="false">1+H35</f>
        <v>1.02073355766543</v>
      </c>
      <c r="AB35" s="818" t="n">
        <f aca="false">1+J35</f>
        <v>0.99168968205832</v>
      </c>
      <c r="AC35" s="818" t="n">
        <f aca="false">1+I34</f>
        <v>1</v>
      </c>
      <c r="AD35" s="818"/>
      <c r="AE35" s="818"/>
    </row>
    <row r="36" customFormat="false" ht="12" hidden="false" customHeight="true" outlineLevel="0" collapsed="false">
      <c r="A36" s="380" t="n">
        <v>1896</v>
      </c>
      <c r="B36" s="819" t="n">
        <f aca="false">TableDE3b!H36</f>
        <v>139.446876456364</v>
      </c>
      <c r="C36" s="384" t="n">
        <f aca="false">B36*F36</f>
        <v>789.666498885034</v>
      </c>
      <c r="D36" s="382" t="n">
        <f aca="false">B36/B35-1</f>
        <v>0.0518670854124488</v>
      </c>
      <c r="E36" s="403" t="n">
        <f aca="false">(1+D36)*F36/F35-1</f>
        <v>0.0233091721096586</v>
      </c>
      <c r="F36" s="820" t="n">
        <f aca="false">DataDE1c!BS59/DataDE1c!B59</f>
        <v>5.66284823978929</v>
      </c>
      <c r="G36" s="821" t="n">
        <f aca="false">TableDE12c!C36</f>
        <v>0.15026675817042</v>
      </c>
      <c r="H36" s="403" t="n">
        <f aca="false">G35/F35</f>
        <v>0.0205027571652257</v>
      </c>
      <c r="I36" s="403" t="n">
        <f aca="false">O36/F36</f>
        <v>0</v>
      </c>
      <c r="J36" s="403" t="n">
        <f aca="false">(1+E36)/((1+H36)*(1+I35))-1</f>
        <v>0.00275003171204413</v>
      </c>
      <c r="K36" s="803"/>
      <c r="L36" s="801"/>
      <c r="M36" s="403" t="n">
        <f aca="false">O36/F36</f>
        <v>0</v>
      </c>
      <c r="N36" s="801"/>
      <c r="O36" s="822" t="n">
        <v>0</v>
      </c>
      <c r="P36" s="801"/>
      <c r="Q36" s="158"/>
      <c r="R36" s="829"/>
      <c r="S36" s="830"/>
      <c r="T36" s="29"/>
      <c r="U36" s="831"/>
      <c r="V36" s="816"/>
      <c r="W36" s="817"/>
      <c r="X36" s="817"/>
      <c r="Y36" s="817" t="n">
        <f aca="false">1+$D36</f>
        <v>1.05186708541245</v>
      </c>
      <c r="Z36" s="818" t="n">
        <f aca="false">1+E36</f>
        <v>1.02330917210966</v>
      </c>
      <c r="AA36" s="818" t="n">
        <f aca="false">1+H36</f>
        <v>1.02050275716523</v>
      </c>
      <c r="AB36" s="818" t="n">
        <f aca="false">1+J36</f>
        <v>1.00275003171204</v>
      </c>
      <c r="AC36" s="818" t="n">
        <f aca="false">1+I35</f>
        <v>1</v>
      </c>
      <c r="AD36" s="818"/>
      <c r="AE36" s="818"/>
    </row>
    <row r="37" customFormat="false" ht="12" hidden="false" customHeight="true" outlineLevel="0" collapsed="false">
      <c r="A37" s="380" t="n">
        <v>1897</v>
      </c>
      <c r="B37" s="819" t="n">
        <f aca="false">TableDE3b!H37</f>
        <v>144.850138686467</v>
      </c>
      <c r="C37" s="384" t="n">
        <f aca="false">B37*F37</f>
        <v>816.376310908064</v>
      </c>
      <c r="D37" s="382" t="n">
        <f aca="false">B37/B36-1</f>
        <v>0.0387478182904573</v>
      </c>
      <c r="E37" s="403" t="n">
        <f aca="false">(1+D37)*F37/F36-1</f>
        <v>0.0338241676210693</v>
      </c>
      <c r="F37" s="820" t="n">
        <f aca="false">DataDE1c!BS60/DataDE1c!B60</f>
        <v>5.63600641539695</v>
      </c>
      <c r="G37" s="821" t="n">
        <f aca="false">TableDE12c!C37</f>
        <v>0.160569784875004</v>
      </c>
      <c r="H37" s="403" t="n">
        <f aca="false">G36/F36</f>
        <v>0.0265355439184453</v>
      </c>
      <c r="I37" s="403" t="n">
        <f aca="false">O37/F37</f>
        <v>0</v>
      </c>
      <c r="J37" s="403" t="n">
        <f aca="false">(1+E37)/((1+H37)*(1+I36))-1</f>
        <v>0.00710021561922947</v>
      </c>
      <c r="K37" s="803"/>
      <c r="L37" s="801"/>
      <c r="M37" s="403" t="n">
        <f aca="false">O37/F37</f>
        <v>0</v>
      </c>
      <c r="N37" s="801"/>
      <c r="O37" s="822" t="n">
        <v>0</v>
      </c>
      <c r="P37" s="801"/>
      <c r="Q37" s="158"/>
      <c r="R37" s="829"/>
      <c r="S37" s="830"/>
      <c r="T37" s="29"/>
      <c r="U37" s="831"/>
      <c r="V37" s="816"/>
      <c r="W37" s="817"/>
      <c r="X37" s="817"/>
      <c r="Y37" s="817" t="n">
        <f aca="false">1+$D37</f>
        <v>1.03874781829046</v>
      </c>
      <c r="Z37" s="818" t="n">
        <f aca="false">1+E37</f>
        <v>1.03382416762107</v>
      </c>
      <c r="AA37" s="818" t="n">
        <f aca="false">1+H37</f>
        <v>1.02653554391845</v>
      </c>
      <c r="AB37" s="818" t="n">
        <f aca="false">1+J37</f>
        <v>1.00710021561923</v>
      </c>
      <c r="AC37" s="818" t="n">
        <f aca="false">1+I36</f>
        <v>1</v>
      </c>
      <c r="AD37" s="818"/>
      <c r="AE37" s="818"/>
    </row>
    <row r="38" customFormat="false" ht="12" hidden="false" customHeight="true" outlineLevel="0" collapsed="false">
      <c r="A38" s="380" t="n">
        <v>1898</v>
      </c>
      <c r="B38" s="819" t="n">
        <f aca="false">TableDE3b!H38</f>
        <v>155.398052858784</v>
      </c>
      <c r="C38" s="384" t="n">
        <f aca="false">B38*F38</f>
        <v>863.909250222069</v>
      </c>
      <c r="D38" s="382" t="n">
        <f aca="false">B38/B37-1</f>
        <v>0.0728194965359956</v>
      </c>
      <c r="E38" s="403" t="n">
        <f aca="false">(1+D38)*F38/F37-1</f>
        <v>0.0582243000916245</v>
      </c>
      <c r="F38" s="820" t="n">
        <f aca="false">DataDE1c!BS61/DataDE1c!B61</f>
        <v>5.55933124211752</v>
      </c>
      <c r="G38" s="821" t="n">
        <f aca="false">TableDE12c!C38</f>
        <v>0.186833813019435</v>
      </c>
      <c r="H38" s="403" t="n">
        <f aca="false">G37/F37</f>
        <v>0.0284899932754415</v>
      </c>
      <c r="I38" s="403" t="n">
        <f aca="false">O38/F38</f>
        <v>0</v>
      </c>
      <c r="J38" s="403" t="n">
        <f aca="false">(1+E38)/((1+H38)*(1+I37))-1</f>
        <v>0.0289106427972994</v>
      </c>
      <c r="K38" s="803"/>
      <c r="L38" s="801"/>
      <c r="M38" s="403" t="n">
        <f aca="false">O38/F38</f>
        <v>0</v>
      </c>
      <c r="N38" s="801"/>
      <c r="O38" s="822" t="n">
        <v>0</v>
      </c>
      <c r="P38" s="801"/>
      <c r="Q38" s="158"/>
      <c r="R38" s="829"/>
      <c r="S38" s="830"/>
      <c r="T38" s="29"/>
      <c r="U38" s="831"/>
      <c r="V38" s="816"/>
      <c r="W38" s="817"/>
      <c r="X38" s="817"/>
      <c r="Y38" s="817" t="n">
        <f aca="false">1+$D38</f>
        <v>1.072819496536</v>
      </c>
      <c r="Z38" s="818" t="n">
        <f aca="false">1+E38</f>
        <v>1.05822430009162</v>
      </c>
      <c r="AA38" s="818" t="n">
        <f aca="false">1+H38</f>
        <v>1.02848999327544</v>
      </c>
      <c r="AB38" s="818" t="n">
        <f aca="false">1+J38</f>
        <v>1.0289106427973</v>
      </c>
      <c r="AC38" s="818" t="n">
        <f aca="false">1+I37</f>
        <v>1</v>
      </c>
      <c r="AD38" s="818"/>
      <c r="AE38" s="818"/>
    </row>
    <row r="39" customFormat="false" ht="12" hidden="false" customHeight="true" outlineLevel="0" collapsed="false">
      <c r="A39" s="405" t="n">
        <v>1899</v>
      </c>
      <c r="B39" s="823" t="n">
        <f aca="false">TableDE3b!H39</f>
        <v>153.020330744631</v>
      </c>
      <c r="C39" s="410" t="n">
        <f aca="false">B39*F39</f>
        <v>892.709411656289</v>
      </c>
      <c r="D39" s="407" t="n">
        <f aca="false">B39/B38-1</f>
        <v>-0.0153008488228229</v>
      </c>
      <c r="E39" s="414" t="n">
        <f aca="false">(1+D39)*F39/F38-1</f>
        <v>0.0333370217147424</v>
      </c>
      <c r="F39" s="824" t="n">
        <f aca="false">DataDE1c!BS62/DataDE1c!B62</f>
        <v>5.83392682078366</v>
      </c>
      <c r="G39" s="825" t="n">
        <f aca="false">TableDE12c!C39</f>
        <v>0.167434426488726</v>
      </c>
      <c r="H39" s="414" t="n">
        <f aca="false">G38/F38</f>
        <v>0.0336072460665739</v>
      </c>
      <c r="I39" s="414" t="n">
        <f aca="false">O39/F39</f>
        <v>0</v>
      </c>
      <c r="J39" s="414" t="n">
        <f aca="false">(1+E39)/((1+H39)*(1+I38))-1</f>
        <v>-0.00026143813606172</v>
      </c>
      <c r="K39" s="826"/>
      <c r="L39" s="827"/>
      <c r="M39" s="414" t="n">
        <f aca="false">O39/F39</f>
        <v>0</v>
      </c>
      <c r="N39" s="827"/>
      <c r="O39" s="828" t="n">
        <v>0</v>
      </c>
      <c r="P39" s="801"/>
      <c r="Q39" s="158"/>
      <c r="R39" s="829"/>
      <c r="S39" s="830"/>
      <c r="T39" s="29"/>
      <c r="U39" s="831"/>
      <c r="V39" s="816"/>
      <c r="W39" s="817"/>
      <c r="X39" s="817"/>
      <c r="Y39" s="817" t="n">
        <f aca="false">1+$D39</f>
        <v>0.984699151177177</v>
      </c>
      <c r="Z39" s="818" t="n">
        <f aca="false">1+E39</f>
        <v>1.03333702171474</v>
      </c>
      <c r="AA39" s="818" t="n">
        <f aca="false">1+H39</f>
        <v>1.03360724606657</v>
      </c>
      <c r="AB39" s="818" t="n">
        <f aca="false">1+J39</f>
        <v>0.999738561863938</v>
      </c>
      <c r="AC39" s="818" t="n">
        <f aca="false">1+I38</f>
        <v>1</v>
      </c>
      <c r="AD39" s="818"/>
      <c r="AE39" s="818"/>
    </row>
    <row r="40" customFormat="false" ht="12" hidden="false" customHeight="true" outlineLevel="0" collapsed="false">
      <c r="A40" s="380" t="n">
        <v>1900</v>
      </c>
      <c r="B40" s="819" t="n">
        <f aca="false">TableDE3b!H40</f>
        <v>151.302716984786</v>
      </c>
      <c r="C40" s="384" t="n">
        <f aca="false">B40*F40</f>
        <v>929.447364706167</v>
      </c>
      <c r="D40" s="382" t="n">
        <f aca="false">B40/B39-1</f>
        <v>-0.0112247421730602</v>
      </c>
      <c r="E40" s="403" t="n">
        <f aca="false">(1+D40)*F40/F39-1</f>
        <v>0.04115331660021</v>
      </c>
      <c r="F40" s="820" t="n">
        <f aca="false">DataDE1c!BS63/DataDE1c!B63</f>
        <v>6.14296546174796</v>
      </c>
      <c r="G40" s="821" t="n">
        <f aca="false">TableDE12c!C40</f>
        <v>0.166344392176281</v>
      </c>
      <c r="H40" s="403" t="n">
        <f aca="false">G39/F39</f>
        <v>0.028700124569995</v>
      </c>
      <c r="I40" s="403" t="n">
        <f aca="false">O40/F40</f>
        <v>0</v>
      </c>
      <c r="J40" s="403" t="n">
        <f aca="false">(1+E40)/((1+H40)*(1+I39))-1</f>
        <v>0.0121057553438333</v>
      </c>
      <c r="K40" s="803"/>
      <c r="L40" s="801"/>
      <c r="M40" s="403" t="n">
        <f aca="false">O40/F40</f>
        <v>0</v>
      </c>
      <c r="N40" s="801"/>
      <c r="O40" s="822" t="n">
        <v>0</v>
      </c>
      <c r="P40" s="801"/>
      <c r="Q40" s="158"/>
      <c r="R40" s="829"/>
      <c r="S40" s="830"/>
      <c r="T40" s="29"/>
      <c r="U40" s="831"/>
      <c r="V40" s="816"/>
      <c r="W40" s="817"/>
      <c r="X40" s="817"/>
      <c r="Y40" s="817" t="n">
        <f aca="false">1+$D40</f>
        <v>0.98877525782694</v>
      </c>
      <c r="Z40" s="818" t="n">
        <f aca="false">1+E40</f>
        <v>1.04115331660021</v>
      </c>
      <c r="AA40" s="818" t="n">
        <f aca="false">1+H40</f>
        <v>1.02870012457</v>
      </c>
      <c r="AB40" s="818" t="n">
        <f aca="false">1+J40</f>
        <v>1.01210575534383</v>
      </c>
      <c r="AC40" s="818" t="n">
        <f aca="false">1+I39</f>
        <v>1</v>
      </c>
      <c r="AD40" s="818"/>
      <c r="AE40" s="818"/>
    </row>
    <row r="41" customFormat="false" ht="12" hidden="false" customHeight="true" outlineLevel="0" collapsed="false">
      <c r="A41" s="380" t="n">
        <v>1901</v>
      </c>
      <c r="B41" s="819" t="n">
        <f aca="false">TableDE3b!H41</f>
        <v>150.199917235361</v>
      </c>
      <c r="C41" s="384" t="n">
        <f aca="false">B41*F41</f>
        <v>972.614880023737</v>
      </c>
      <c r="D41" s="382" t="n">
        <f aca="false">B41/B40-1</f>
        <v>-0.00728869759514139</v>
      </c>
      <c r="E41" s="403" t="n">
        <f aca="false">(1+D41)*F41/F40-1</f>
        <v>0.0464442817923492</v>
      </c>
      <c r="F41" s="820" t="n">
        <f aca="false">DataDE1c!BS64/DataDE1c!B64</f>
        <v>6.47546881467095</v>
      </c>
      <c r="G41" s="821" t="n">
        <f aca="false">TableDE12c!C41</f>
        <v>0.137423668375306</v>
      </c>
      <c r="H41" s="403" t="n">
        <f aca="false">G40/F40</f>
        <v>0.0270788421670449</v>
      </c>
      <c r="I41" s="403" t="n">
        <f aca="false">O41/F41</f>
        <v>0</v>
      </c>
      <c r="J41" s="403" t="n">
        <f aca="false">(1+E41)/((1+H41)*(1+I40))-1</f>
        <v>0.0188548715349299</v>
      </c>
      <c r="K41" s="803"/>
      <c r="L41" s="801"/>
      <c r="M41" s="403" t="n">
        <f aca="false">O41/F41</f>
        <v>0</v>
      </c>
      <c r="N41" s="801"/>
      <c r="O41" s="822" t="n">
        <v>0</v>
      </c>
      <c r="P41" s="801"/>
      <c r="Q41" s="158"/>
      <c r="R41" s="832"/>
      <c r="S41" s="830"/>
      <c r="T41" s="29"/>
      <c r="U41" s="831"/>
      <c r="V41" s="816"/>
      <c r="W41" s="817"/>
      <c r="X41" s="817"/>
      <c r="Y41" s="817" t="n">
        <f aca="false">1+$D41</f>
        <v>0.992711302404859</v>
      </c>
      <c r="Z41" s="818" t="n">
        <f aca="false">1+E41</f>
        <v>1.04644428179235</v>
      </c>
      <c r="AA41" s="818" t="n">
        <f aca="false">1+H41</f>
        <v>1.02707884216705</v>
      </c>
      <c r="AB41" s="818" t="n">
        <f aca="false">1+J41</f>
        <v>1.01885487153493</v>
      </c>
      <c r="AC41" s="818" t="n">
        <f aca="false">1+I40</f>
        <v>1</v>
      </c>
      <c r="AD41" s="818"/>
      <c r="AE41" s="818"/>
    </row>
    <row r="42" customFormat="false" ht="12" hidden="false" customHeight="true" outlineLevel="0" collapsed="false">
      <c r="A42" s="380" t="n">
        <v>1902</v>
      </c>
      <c r="B42" s="819" t="n">
        <f aca="false">TableDE3b!H42</f>
        <v>152.31070320994</v>
      </c>
      <c r="C42" s="384" t="n">
        <f aca="false">B42*F42</f>
        <v>965.745769004569</v>
      </c>
      <c r="D42" s="382" t="n">
        <f aca="false">B42/B41-1</f>
        <v>0.0140531766823233</v>
      </c>
      <c r="E42" s="403" t="n">
        <f aca="false">(1+D42)*F42/F41-1</f>
        <v>-0.00706251894789067</v>
      </c>
      <c r="F42" s="820" t="n">
        <f aca="false">DataDE1c!BS65/DataDE1c!B65</f>
        <v>6.34062970396387</v>
      </c>
      <c r="G42" s="821" t="n">
        <f aca="false">TableDE12c!C42</f>
        <v>0.121409307576518</v>
      </c>
      <c r="H42" s="403" t="n">
        <f aca="false">G41/F41</f>
        <v>0.021222195999764</v>
      </c>
      <c r="I42" s="403" t="n">
        <f aca="false">O42/F42</f>
        <v>0</v>
      </c>
      <c r="J42" s="403" t="n">
        <f aca="false">(1+E42)/((1+H42)*(1+I41))-1</f>
        <v>-0.0276969253688854</v>
      </c>
      <c r="K42" s="803"/>
      <c r="L42" s="801"/>
      <c r="M42" s="403" t="n">
        <f aca="false">O42/F42</f>
        <v>0</v>
      </c>
      <c r="N42" s="801"/>
      <c r="O42" s="822" t="n">
        <v>0</v>
      </c>
      <c r="P42" s="801"/>
      <c r="Q42" s="158"/>
      <c r="R42" s="833"/>
      <c r="S42" s="830"/>
      <c r="T42" s="29"/>
      <c r="U42" s="831"/>
      <c r="V42" s="816"/>
      <c r="W42" s="817"/>
      <c r="X42" s="817"/>
      <c r="Y42" s="817" t="n">
        <f aca="false">1+$D42</f>
        <v>1.01405317668232</v>
      </c>
      <c r="Z42" s="818" t="n">
        <f aca="false">1+E42</f>
        <v>0.992937481052109</v>
      </c>
      <c r="AA42" s="818" t="n">
        <f aca="false">1+H42</f>
        <v>1.02122219599976</v>
      </c>
      <c r="AB42" s="818" t="n">
        <f aca="false">1+J42</f>
        <v>0.972303074631115</v>
      </c>
      <c r="AC42" s="818" t="n">
        <f aca="false">1+I41</f>
        <v>1</v>
      </c>
      <c r="AD42" s="818"/>
      <c r="AE42" s="818"/>
    </row>
    <row r="43" customFormat="false" ht="12" hidden="false" customHeight="true" outlineLevel="0" collapsed="false">
      <c r="A43" s="380" t="n">
        <v>1903</v>
      </c>
      <c r="B43" s="819" t="n">
        <f aca="false">TableDE3b!H43</f>
        <v>162.777937020663</v>
      </c>
      <c r="C43" s="384" t="n">
        <f aca="false">B43*F43</f>
        <v>982.845568388681</v>
      </c>
      <c r="D43" s="382" t="n">
        <f aca="false">B43/B42-1</f>
        <v>0.068722903841471</v>
      </c>
      <c r="E43" s="403" t="n">
        <f aca="false">(1+D43)*F43/F42-1</f>
        <v>0.0177063156090633</v>
      </c>
      <c r="F43" s="820" t="n">
        <f aca="false">DataDE1c!BS66/DataDE1c!B66</f>
        <v>6.03795321637427</v>
      </c>
      <c r="G43" s="821" t="n">
        <f aca="false">TableDE12c!C43</f>
        <v>0.148441520467836</v>
      </c>
      <c r="H43" s="403" t="n">
        <f aca="false">G42/F42</f>
        <v>0.0191478312478362</v>
      </c>
      <c r="I43" s="403" t="n">
        <f aca="false">O43/F43</f>
        <v>0</v>
      </c>
      <c r="J43" s="403" t="n">
        <f aca="false">(1+E43)/((1+H43)*(1+I42))-1</f>
        <v>-0.00141443232725902</v>
      </c>
      <c r="K43" s="803"/>
      <c r="L43" s="801"/>
      <c r="M43" s="403" t="n">
        <f aca="false">O43/F43</f>
        <v>0</v>
      </c>
      <c r="N43" s="801"/>
      <c r="O43" s="822" t="n">
        <v>0</v>
      </c>
      <c r="P43" s="801"/>
      <c r="Q43" s="158"/>
      <c r="R43" s="833"/>
      <c r="S43" s="830"/>
      <c r="T43" s="29"/>
      <c r="U43" s="831"/>
      <c r="V43" s="816"/>
      <c r="W43" s="817"/>
      <c r="X43" s="817"/>
      <c r="Y43" s="817" t="n">
        <f aca="false">1+$D43</f>
        <v>1.06872290384147</v>
      </c>
      <c r="Z43" s="818" t="n">
        <f aca="false">1+E43</f>
        <v>1.01770631560906</v>
      </c>
      <c r="AA43" s="818" t="n">
        <f aca="false">1+H43</f>
        <v>1.01914783124784</v>
      </c>
      <c r="AB43" s="818" t="n">
        <f aca="false">1+J43</f>
        <v>0.998585567672741</v>
      </c>
      <c r="AC43" s="818" t="n">
        <f aca="false">1+I42</f>
        <v>1</v>
      </c>
      <c r="AD43" s="818"/>
      <c r="AE43" s="818"/>
    </row>
    <row r="44" customFormat="false" ht="12" hidden="false" customHeight="true" outlineLevel="0" collapsed="false">
      <c r="A44" s="380" t="n">
        <v>1904</v>
      </c>
      <c r="B44" s="819" t="n">
        <f aca="false">TableDE3b!H44</f>
        <v>169.96089133625</v>
      </c>
      <c r="C44" s="384" t="n">
        <f aca="false">B44*F44</f>
        <v>1017.68566378257</v>
      </c>
      <c r="D44" s="382" t="n">
        <f aca="false">B44/B43-1</f>
        <v>0.0441273212270443</v>
      </c>
      <c r="E44" s="403" t="n">
        <f aca="false">(1+D44)*F44/F43-1</f>
        <v>0.0354481889265708</v>
      </c>
      <c r="F44" s="820" t="n">
        <f aca="false">DataDE1c!BS67/DataDE1c!B67</f>
        <v>5.98776374836246</v>
      </c>
      <c r="G44" s="821" t="n">
        <f aca="false">TableDE12c!C44</f>
        <v>0.162563759511665</v>
      </c>
      <c r="H44" s="403" t="n">
        <f aca="false">G43/F43</f>
        <v>0.0245847417408401</v>
      </c>
      <c r="I44" s="403" t="n">
        <f aca="false">O44/F44</f>
        <v>0</v>
      </c>
      <c r="J44" s="403" t="n">
        <f aca="false">(1+E44)/((1+H44)*(1+I43))-1</f>
        <v>0.010602780563834</v>
      </c>
      <c r="K44" s="803"/>
      <c r="L44" s="801"/>
      <c r="M44" s="403" t="n">
        <f aca="false">O44/F44</f>
        <v>0</v>
      </c>
      <c r="N44" s="801"/>
      <c r="O44" s="822" t="n">
        <v>0</v>
      </c>
      <c r="P44" s="801"/>
      <c r="Q44" s="158"/>
      <c r="R44" s="833"/>
      <c r="S44" s="830"/>
      <c r="T44" s="29"/>
      <c r="U44" s="831"/>
      <c r="V44" s="816"/>
      <c r="W44" s="817"/>
      <c r="X44" s="817"/>
      <c r="Y44" s="817" t="n">
        <f aca="false">1+$D44</f>
        <v>1.04412732122704</v>
      </c>
      <c r="Z44" s="818" t="n">
        <f aca="false">1+E44</f>
        <v>1.03544818892657</v>
      </c>
      <c r="AA44" s="818" t="n">
        <f aca="false">1+H44</f>
        <v>1.02458474174084</v>
      </c>
      <c r="AB44" s="818" t="n">
        <f aca="false">1+J44</f>
        <v>1.01060278056383</v>
      </c>
      <c r="AC44" s="818" t="n">
        <f aca="false">1+I43</f>
        <v>1</v>
      </c>
      <c r="AD44" s="818"/>
      <c r="AE44" s="818"/>
    </row>
    <row r="45" customFormat="false" ht="12" hidden="false" customHeight="true" outlineLevel="0" collapsed="false">
      <c r="A45" s="380" t="n">
        <v>1905</v>
      </c>
      <c r="B45" s="819" t="n">
        <f aca="false">TableDE3b!H45</f>
        <v>177.634820781906</v>
      </c>
      <c r="C45" s="384" t="n">
        <f aca="false">B45*F45</f>
        <v>1040.39971956783</v>
      </c>
      <c r="D45" s="382" t="n">
        <f aca="false">B45/B44-1</f>
        <v>0.0451511485102443</v>
      </c>
      <c r="E45" s="403" t="n">
        <f aca="false">(1+D45)*F45/F44-1</f>
        <v>0.0223193237299204</v>
      </c>
      <c r="F45" s="820" t="n">
        <f aca="false">DataDE1c!BS68/DataDE1c!B68</f>
        <v>5.8569581965306</v>
      </c>
      <c r="G45" s="821" t="n">
        <f aca="false">TableDE12c!C45</f>
        <v>0.187017915772602</v>
      </c>
      <c r="H45" s="403" t="n">
        <f aca="false">G44/F44</f>
        <v>0.0271493275859661</v>
      </c>
      <c r="I45" s="403" t="n">
        <f aca="false">O45/F45</f>
        <v>0</v>
      </c>
      <c r="J45" s="403" t="n">
        <f aca="false">(1+E45)/((1+H45)*(1+I44))-1</f>
        <v>-0.00470233852695734</v>
      </c>
      <c r="K45" s="803"/>
      <c r="L45" s="801"/>
      <c r="M45" s="403" t="n">
        <f aca="false">O45/F45</f>
        <v>0</v>
      </c>
      <c r="N45" s="801"/>
      <c r="O45" s="822" t="n">
        <v>0</v>
      </c>
      <c r="P45" s="801"/>
      <c r="Q45" s="158"/>
      <c r="R45" s="833"/>
      <c r="S45" s="830"/>
      <c r="T45" s="29"/>
      <c r="U45" s="831"/>
      <c r="V45" s="816"/>
      <c r="W45" s="817"/>
      <c r="X45" s="817"/>
      <c r="Y45" s="817" t="n">
        <f aca="false">1+$D45</f>
        <v>1.04515114851024</v>
      </c>
      <c r="Z45" s="818" t="n">
        <f aca="false">1+E45</f>
        <v>1.02231932372992</v>
      </c>
      <c r="AA45" s="818" t="n">
        <f aca="false">1+H45</f>
        <v>1.02714932758597</v>
      </c>
      <c r="AB45" s="818" t="n">
        <f aca="false">1+J45</f>
        <v>0.995297661473043</v>
      </c>
      <c r="AC45" s="818" t="n">
        <f aca="false">1+I44</f>
        <v>1</v>
      </c>
      <c r="AD45" s="818"/>
      <c r="AE45" s="818"/>
    </row>
    <row r="46" customFormat="false" ht="12" hidden="false" customHeight="true" outlineLevel="0" collapsed="false">
      <c r="A46" s="380" t="n">
        <v>1906</v>
      </c>
      <c r="B46" s="819" t="n">
        <f aca="false">TableDE3b!H46</f>
        <v>176.477154100115</v>
      </c>
      <c r="C46" s="384" t="n">
        <f aca="false">B46*F46</f>
        <v>1060.24295092594</v>
      </c>
      <c r="D46" s="382" t="n">
        <f aca="false">B46/B45-1</f>
        <v>-0.00651711571354829</v>
      </c>
      <c r="E46" s="403" t="n">
        <f aca="false">(1+D46)*F46/F45-1</f>
        <v>0.0190726996412063</v>
      </c>
      <c r="F46" s="820" t="n">
        <f aca="false">DataDE1c!BS69/DataDE1c!B69</f>
        <v>6.00781985822634</v>
      </c>
      <c r="G46" s="821" t="n">
        <f aca="false">TableDE12c!C46</f>
        <v>0.169983393644971</v>
      </c>
      <c r="H46" s="403" t="n">
        <f aca="false">G45/F45</f>
        <v>0.0319308947575181</v>
      </c>
      <c r="I46" s="403" t="n">
        <f aca="false">O46/F46</f>
        <v>0</v>
      </c>
      <c r="J46" s="403" t="n">
        <f aca="false">(1+E46)/((1+H46)*(1+I45))-1</f>
        <v>-0.0124603257656446</v>
      </c>
      <c r="K46" s="803"/>
      <c r="L46" s="801"/>
      <c r="M46" s="403" t="n">
        <f aca="false">O46/F46</f>
        <v>0</v>
      </c>
      <c r="N46" s="801"/>
      <c r="O46" s="822" t="n">
        <v>0</v>
      </c>
      <c r="P46" s="801"/>
      <c r="Q46" s="158"/>
      <c r="R46" s="833"/>
      <c r="S46" s="830"/>
      <c r="T46" s="29"/>
      <c r="U46" s="831"/>
      <c r="V46" s="816"/>
      <c r="W46" s="817"/>
      <c r="X46" s="817"/>
      <c r="Y46" s="817" t="n">
        <f aca="false">1+$D46</f>
        <v>0.993482884286452</v>
      </c>
      <c r="Z46" s="818" t="n">
        <f aca="false">1+E46</f>
        <v>1.01907269964121</v>
      </c>
      <c r="AA46" s="818" t="n">
        <f aca="false">1+H46</f>
        <v>1.03193089475752</v>
      </c>
      <c r="AB46" s="818" t="n">
        <f aca="false">1+J46</f>
        <v>0.987539674234355</v>
      </c>
      <c r="AC46" s="818" t="n">
        <f aca="false">1+I45</f>
        <v>1</v>
      </c>
      <c r="AD46" s="818"/>
      <c r="AE46" s="818"/>
    </row>
    <row r="47" customFormat="false" ht="12" hidden="false" customHeight="true" outlineLevel="0" collapsed="false">
      <c r="A47" s="380" t="n">
        <v>1907</v>
      </c>
      <c r="B47" s="819" t="n">
        <f aca="false">TableDE3b!H47</f>
        <v>186.757802522971</v>
      </c>
      <c r="C47" s="384" t="n">
        <f aca="false">B47*F47</f>
        <v>1118.61287470726</v>
      </c>
      <c r="D47" s="382" t="n">
        <f aca="false">B47/B46-1</f>
        <v>0.0582548402668845</v>
      </c>
      <c r="E47" s="403" t="n">
        <f aca="false">(1+D47)*F47/F46-1</f>
        <v>0.0550533476599355</v>
      </c>
      <c r="F47" s="820" t="n">
        <f aca="false">DataDE1c!BS70/DataDE1c!B70</f>
        <v>5.98964466060084</v>
      </c>
      <c r="G47" s="821" t="n">
        <f aca="false">TableDE12c!C47</f>
        <v>0.192720778163033</v>
      </c>
      <c r="H47" s="403" t="n">
        <f aca="false">G46/F46</f>
        <v>0.0282936901665281</v>
      </c>
      <c r="I47" s="403" t="n">
        <f aca="false">O47/F47</f>
        <v>0</v>
      </c>
      <c r="J47" s="403" t="n">
        <f aca="false">(1+E47)/((1+H47)*(1+I46))-1</f>
        <v>0.026023360591733</v>
      </c>
      <c r="K47" s="803"/>
      <c r="L47" s="801"/>
      <c r="M47" s="403" t="n">
        <f aca="false">O47/F47</f>
        <v>0</v>
      </c>
      <c r="N47" s="801"/>
      <c r="O47" s="822" t="n">
        <v>0</v>
      </c>
      <c r="P47" s="801"/>
      <c r="Q47" s="158"/>
      <c r="R47" s="833"/>
      <c r="S47" s="830"/>
      <c r="T47" s="29"/>
      <c r="U47" s="831"/>
      <c r="V47" s="816"/>
      <c r="W47" s="817"/>
      <c r="X47" s="817"/>
      <c r="Y47" s="817" t="n">
        <f aca="false">1+$D47</f>
        <v>1.05825484026688</v>
      </c>
      <c r="Z47" s="818" t="n">
        <f aca="false">1+E47</f>
        <v>1.05505334765994</v>
      </c>
      <c r="AA47" s="818" t="n">
        <f aca="false">1+H47</f>
        <v>1.02829369016653</v>
      </c>
      <c r="AB47" s="818" t="n">
        <f aca="false">1+J47</f>
        <v>1.02602336059173</v>
      </c>
      <c r="AC47" s="818" t="n">
        <f aca="false">1+I46</f>
        <v>1</v>
      </c>
      <c r="AD47" s="818"/>
      <c r="AE47" s="818"/>
    </row>
    <row r="48" customFormat="false" ht="12" hidden="false" customHeight="true" outlineLevel="0" collapsed="false">
      <c r="A48" s="380" t="n">
        <v>1908</v>
      </c>
      <c r="B48" s="819" t="n">
        <f aca="false">TableDE3b!H48</f>
        <v>185.807046711191</v>
      </c>
      <c r="C48" s="384" t="n">
        <f aca="false">B48*F48</f>
        <v>1162.63241273796</v>
      </c>
      <c r="D48" s="382" t="n">
        <f aca="false">B48/B47-1</f>
        <v>-0.00509084921185021</v>
      </c>
      <c r="E48" s="403" t="n">
        <f aca="false">(1+D48)*F48/F47-1</f>
        <v>0.0393518964657185</v>
      </c>
      <c r="F48" s="820" t="n">
        <f aca="false">DataDE1c!BS71/DataDE1c!B71</f>
        <v>6.2572030141844</v>
      </c>
      <c r="G48" s="821" t="n">
        <f aca="false">TableDE12c!C48</f>
        <v>0.16675349860689</v>
      </c>
      <c r="H48" s="403" t="n">
        <f aca="false">G47/F47</f>
        <v>0.0321756613427716</v>
      </c>
      <c r="I48" s="403" t="n">
        <f aca="false">O48/F48</f>
        <v>0</v>
      </c>
      <c r="J48" s="403" t="n">
        <f aca="false">(1+E48)/((1+H48)*(1+I47))-1</f>
        <v>0.00695253278265762</v>
      </c>
      <c r="K48" s="803"/>
      <c r="L48" s="801"/>
      <c r="M48" s="403" t="n">
        <f aca="false">O48/F48</f>
        <v>0</v>
      </c>
      <c r="N48" s="801"/>
      <c r="O48" s="822" t="n">
        <v>0</v>
      </c>
      <c r="P48" s="801"/>
      <c r="Q48" s="158"/>
      <c r="R48" s="833"/>
      <c r="S48" s="830"/>
      <c r="T48" s="29"/>
      <c r="U48" s="831"/>
      <c r="V48" s="816"/>
      <c r="W48" s="817"/>
      <c r="X48" s="817"/>
      <c r="Y48" s="817" t="n">
        <f aca="false">1+$D48</f>
        <v>0.99490915078815</v>
      </c>
      <c r="Z48" s="818" t="n">
        <f aca="false">1+E48</f>
        <v>1.03935189646572</v>
      </c>
      <c r="AA48" s="818" t="n">
        <f aca="false">1+H48</f>
        <v>1.03217566134277</v>
      </c>
      <c r="AB48" s="818" t="n">
        <f aca="false">1+J48</f>
        <v>1.00695253278266</v>
      </c>
      <c r="AC48" s="818" t="n">
        <f aca="false">1+I47</f>
        <v>1</v>
      </c>
      <c r="AD48" s="818"/>
      <c r="AE48" s="818"/>
    </row>
    <row r="49" customFormat="false" ht="12" hidden="false" customHeight="true" outlineLevel="0" collapsed="false">
      <c r="A49" s="405" t="n">
        <v>1909</v>
      </c>
      <c r="B49" s="823" t="n">
        <f aca="false">TableDE3b!H49</f>
        <v>191.042184881722</v>
      </c>
      <c r="C49" s="410" t="n">
        <f aca="false">B49*F49</f>
        <v>1151.49693091845</v>
      </c>
      <c r="D49" s="407" t="n">
        <f aca="false">B49/B48-1</f>
        <v>0.0281751325538713</v>
      </c>
      <c r="E49" s="414" t="n">
        <f aca="false">(1+D49)*F49/F48-1</f>
        <v>-0.00957781814570846</v>
      </c>
      <c r="F49" s="824" t="n">
        <f aca="false">DataDE1c!BS72/DataDE1c!B72</f>
        <v>6.02744850113271</v>
      </c>
      <c r="G49" s="825" t="n">
        <f aca="false">TableDE12c!C49</f>
        <v>0.151562765773292</v>
      </c>
      <c r="H49" s="414" t="n">
        <f aca="false">G48/F48</f>
        <v>0.0266498463017546</v>
      </c>
      <c r="I49" s="414" t="n">
        <f aca="false">O49/F49</f>
        <v>0</v>
      </c>
      <c r="J49" s="414" t="n">
        <f aca="false">(1+E49)/((1+H49)*(1+I48))-1</f>
        <v>-0.0352872642780439</v>
      </c>
      <c r="K49" s="826"/>
      <c r="L49" s="827"/>
      <c r="M49" s="414" t="n">
        <f aca="false">O49/F49</f>
        <v>0</v>
      </c>
      <c r="N49" s="827"/>
      <c r="O49" s="828" t="n">
        <v>0</v>
      </c>
      <c r="P49" s="801"/>
      <c r="Q49" s="158"/>
      <c r="R49" s="833"/>
      <c r="S49" s="830"/>
      <c r="T49" s="29"/>
      <c r="U49" s="831"/>
      <c r="V49" s="816"/>
      <c r="W49" s="817"/>
      <c r="X49" s="817"/>
      <c r="Y49" s="817" t="n">
        <f aca="false">1+$D49</f>
        <v>1.02817513255387</v>
      </c>
      <c r="Z49" s="818" t="n">
        <f aca="false">1+E49</f>
        <v>0.990422181854292</v>
      </c>
      <c r="AA49" s="818" t="n">
        <f aca="false">1+H49</f>
        <v>1.02664984630175</v>
      </c>
      <c r="AB49" s="818" t="n">
        <f aca="false">1+J49</f>
        <v>0.964712735721956</v>
      </c>
      <c r="AC49" s="818" t="n">
        <f aca="false">1+I48</f>
        <v>1</v>
      </c>
      <c r="AD49" s="818"/>
      <c r="AE49" s="818"/>
    </row>
    <row r="50" customFormat="false" ht="12" hidden="false" customHeight="true" outlineLevel="0" collapsed="false">
      <c r="A50" s="380" t="n">
        <v>1910</v>
      </c>
      <c r="B50" s="819" t="n">
        <f aca="false">TableDE3b!H50</f>
        <v>189.736526818742</v>
      </c>
      <c r="C50" s="384" t="n">
        <f aca="false">B50*F50</f>
        <v>1153.72996074657</v>
      </c>
      <c r="D50" s="382" t="n">
        <f aca="false">B50/B49-1</f>
        <v>-0.0068343966218144</v>
      </c>
      <c r="E50" s="403" t="n">
        <f aca="false">(1+D50)*F50/F49-1</f>
        <v>0.00193924079879104</v>
      </c>
      <c r="F50" s="820" t="n">
        <f aca="false">DataDE1c!BS73/DataDE1c!B73</f>
        <v>6.08069505693412</v>
      </c>
      <c r="G50" s="821" t="n">
        <f aca="false">TableDE12c!C50</f>
        <v>0.139986909176009</v>
      </c>
      <c r="H50" s="403" t="n">
        <f aca="false">G49/F49</f>
        <v>0.0251454269156857</v>
      </c>
      <c r="I50" s="403" t="n">
        <f aca="false">O50/F50</f>
        <v>0</v>
      </c>
      <c r="J50" s="403" t="n">
        <f aca="false">(1+E50)/((1+H50)*(1+I49))-1</f>
        <v>-0.0226369698460385</v>
      </c>
      <c r="K50" s="803"/>
      <c r="L50" s="801"/>
      <c r="M50" s="403" t="n">
        <f aca="false">O50/F50</f>
        <v>0</v>
      </c>
      <c r="N50" s="801"/>
      <c r="O50" s="822" t="n">
        <v>0</v>
      </c>
      <c r="P50" s="801"/>
      <c r="Q50" s="158"/>
      <c r="R50" s="833"/>
      <c r="S50" s="830"/>
      <c r="T50" s="29"/>
      <c r="U50" s="831"/>
      <c r="V50" s="816"/>
      <c r="W50" s="817"/>
      <c r="X50" s="817"/>
      <c r="Y50" s="817" t="n">
        <f aca="false">1+$D50</f>
        <v>0.993165603378186</v>
      </c>
      <c r="Z50" s="818" t="n">
        <f aca="false">1+E50</f>
        <v>1.00193924079879</v>
      </c>
      <c r="AA50" s="818" t="n">
        <f aca="false">1+H50</f>
        <v>1.02514542691569</v>
      </c>
      <c r="AB50" s="818" t="n">
        <f aca="false">1+J50</f>
        <v>0.977363030153962</v>
      </c>
      <c r="AC50" s="818" t="n">
        <f aca="false">1+I49</f>
        <v>1</v>
      </c>
      <c r="AD50" s="818"/>
      <c r="AE50" s="818"/>
    </row>
    <row r="51" customFormat="false" ht="12" hidden="false" customHeight="true" outlineLevel="0" collapsed="false">
      <c r="A51" s="380" t="n">
        <v>1911</v>
      </c>
      <c r="B51" s="819" t="n">
        <f aca="false">TableDE3b!H51</f>
        <v>200.111135875713</v>
      </c>
      <c r="C51" s="384" t="n">
        <f aca="false">B51*F51</f>
        <v>1210.18875865324</v>
      </c>
      <c r="D51" s="382" t="n">
        <f aca="false">B51/B50-1</f>
        <v>0.0546790290247157</v>
      </c>
      <c r="E51" s="403" t="n">
        <f aca="false">(1+D51)*F51/F50-1</f>
        <v>0.0489358860630917</v>
      </c>
      <c r="F51" s="820" t="n">
        <f aca="false">DataDE1c!BS74/DataDE1c!B74</f>
        <v>6.04758327594961</v>
      </c>
      <c r="G51" s="821" t="n">
        <f aca="false">TableDE12c!C51</f>
        <v>0.160859364675278</v>
      </c>
      <c r="H51" s="403" t="n">
        <f aca="false">G50/F50</f>
        <v>0.0230215309048224</v>
      </c>
      <c r="I51" s="403" t="n">
        <f aca="false">O51/F51</f>
        <v>0</v>
      </c>
      <c r="J51" s="403" t="n">
        <f aca="false">(1+E51)/((1+H51)*(1+I50))-1</f>
        <v>0.0253311923311617</v>
      </c>
      <c r="K51" s="803"/>
      <c r="L51" s="801"/>
      <c r="M51" s="403" t="n">
        <f aca="false">O51/F51</f>
        <v>0</v>
      </c>
      <c r="N51" s="801"/>
      <c r="O51" s="822" t="n">
        <v>0</v>
      </c>
      <c r="P51" s="801"/>
      <c r="Q51" s="158"/>
      <c r="R51" s="833"/>
      <c r="S51" s="830"/>
      <c r="T51" s="29"/>
      <c r="U51" s="831"/>
      <c r="V51" s="816"/>
      <c r="W51" s="817"/>
      <c r="X51" s="817"/>
      <c r="Y51" s="817" t="n">
        <f aca="false">1+$D51</f>
        <v>1.05467902902472</v>
      </c>
      <c r="Z51" s="818" t="n">
        <f aca="false">1+E51</f>
        <v>1.04893588606309</v>
      </c>
      <c r="AA51" s="818" t="n">
        <f aca="false">1+H51</f>
        <v>1.02302153090482</v>
      </c>
      <c r="AB51" s="818" t="n">
        <f aca="false">1+J51</f>
        <v>1.02533119233116</v>
      </c>
      <c r="AC51" s="818" t="n">
        <f aca="false">1+I50</f>
        <v>1</v>
      </c>
      <c r="AD51" s="818"/>
      <c r="AE51" s="818"/>
    </row>
    <row r="52" customFormat="false" ht="12" hidden="false" customHeight="true" outlineLevel="0" collapsed="false">
      <c r="A52" s="380" t="n">
        <v>1912</v>
      </c>
      <c r="B52" s="819" t="n">
        <f aca="false">TableDE3b!H52</f>
        <v>209.366267014589</v>
      </c>
      <c r="C52" s="384" t="n">
        <f aca="false">B52*F52</f>
        <v>1251.57127858</v>
      </c>
      <c r="D52" s="382" t="n">
        <f aca="false">B52/B51-1</f>
        <v>0.0462499555478224</v>
      </c>
      <c r="E52" s="403" t="n">
        <f aca="false">(1+D52)*F52/F51-1</f>
        <v>0.0341950952947265</v>
      </c>
      <c r="F52" s="820" t="n">
        <f aca="false">DataDE1c!BS75/DataDE1c!B75</f>
        <v>5.97790320487868</v>
      </c>
      <c r="G52" s="821" t="n">
        <f aca="false">TableDE12c!C52</f>
        <v>0.170769235759699</v>
      </c>
      <c r="H52" s="403" t="n">
        <f aca="false">G51/F51</f>
        <v>0.026598949916902</v>
      </c>
      <c r="I52" s="403" t="n">
        <f aca="false">O52/F52</f>
        <v>0</v>
      </c>
      <c r="J52" s="403" t="n">
        <f aca="false">(1+E52)/((1+H52)*(1+I51))-1</f>
        <v>0.00739933094461032</v>
      </c>
      <c r="K52" s="803"/>
      <c r="L52" s="801"/>
      <c r="M52" s="403" t="n">
        <f aca="false">O52/F52</f>
        <v>0</v>
      </c>
      <c r="N52" s="801"/>
      <c r="O52" s="822" t="n">
        <v>0</v>
      </c>
      <c r="P52" s="801"/>
      <c r="Q52" s="158"/>
      <c r="R52" s="834"/>
      <c r="S52" s="830"/>
      <c r="T52" s="29"/>
      <c r="U52" s="831"/>
      <c r="V52" s="816"/>
      <c r="W52" s="817"/>
      <c r="X52" s="817"/>
      <c r="Y52" s="817" t="n">
        <f aca="false">1+$D52</f>
        <v>1.04624995554782</v>
      </c>
      <c r="Z52" s="818" t="n">
        <f aca="false">1+E52</f>
        <v>1.03419509529473</v>
      </c>
      <c r="AA52" s="818" t="n">
        <f aca="false">1+H52</f>
        <v>1.0265989499169</v>
      </c>
      <c r="AB52" s="818" t="n">
        <f aca="false">1+J52</f>
        <v>1.00739933094461</v>
      </c>
      <c r="AC52" s="818" t="n">
        <f aca="false">1+I51</f>
        <v>1</v>
      </c>
      <c r="AD52" s="818"/>
      <c r="AE52" s="818"/>
    </row>
    <row r="53" customFormat="false" ht="12" hidden="false" customHeight="false" outlineLevel="0" collapsed="false">
      <c r="A53" s="431" t="n">
        <v>1913</v>
      </c>
      <c r="B53" s="819" t="n">
        <f aca="false">TableDE3b!H53</f>
        <v>211.046616713476</v>
      </c>
      <c r="C53" s="395" t="n">
        <f aca="false">B53*F53</f>
        <v>1315.15194818921</v>
      </c>
      <c r="D53" s="382" t="n">
        <f aca="false">B53/B52-1</f>
        <v>0.0080258855585833</v>
      </c>
      <c r="E53" s="399" t="n">
        <f aca="false">(1+D53)*F53/F52-1</f>
        <v>0.0508006780735248</v>
      </c>
      <c r="F53" s="835" t="n">
        <f aca="false">DataDE1c!BS76/DataDE1c!B76</f>
        <v>6.23157086651953</v>
      </c>
      <c r="G53" s="112" t="n">
        <f aca="false">TableDE12c!C53</f>
        <v>0.167747559833232</v>
      </c>
      <c r="H53" s="392" t="n">
        <f aca="false">G52/F52</f>
        <v>0.0285667448780922</v>
      </c>
      <c r="I53" s="392" t="n">
        <f aca="false">O53/F53</f>
        <v>0</v>
      </c>
      <c r="J53" s="392" t="n">
        <f aca="false">(1+E53)/((1+H53)*(1+I52))-1</f>
        <v>0.0216164223723447</v>
      </c>
      <c r="K53" s="836"/>
      <c r="L53" s="433"/>
      <c r="M53" s="392" t="n">
        <f aca="false">O53/F53</f>
        <v>0</v>
      </c>
      <c r="N53" s="433"/>
      <c r="O53" s="837" t="n">
        <v>0</v>
      </c>
      <c r="P53" s="433"/>
      <c r="Q53" s="158"/>
      <c r="R53" s="834"/>
      <c r="S53" s="830"/>
      <c r="T53" s="29"/>
      <c r="U53" s="831"/>
      <c r="V53" s="816"/>
      <c r="W53" s="817"/>
      <c r="X53" s="817"/>
      <c r="Y53" s="817" t="n">
        <f aca="false">1+$D53</f>
        <v>1.00802588555858</v>
      </c>
      <c r="Z53" s="818" t="n">
        <f aca="false">1+E53</f>
        <v>1.05080067807352</v>
      </c>
      <c r="AA53" s="818" t="n">
        <f aca="false">1+H53</f>
        <v>1.02856674487809</v>
      </c>
      <c r="AB53" s="818" t="n">
        <f aca="false">1+J53</f>
        <v>1.02161642237234</v>
      </c>
      <c r="AC53" s="818" t="n">
        <f aca="false">1+I52</f>
        <v>1</v>
      </c>
      <c r="AD53" s="818"/>
      <c r="AE53" s="818"/>
    </row>
    <row r="54" customFormat="false" ht="12" hidden="false" customHeight="false" outlineLevel="0" collapsed="false">
      <c r="A54" s="416" t="n">
        <f aca="false">A53+1</f>
        <v>1914</v>
      </c>
      <c r="B54" s="819" t="n">
        <f aca="false">TableDE3b!H54</f>
        <v>194.857852426736</v>
      </c>
      <c r="C54" s="384" t="n">
        <f aca="false">B54*F54</f>
        <v>1162.44792140017</v>
      </c>
      <c r="D54" s="382" t="n">
        <f aca="false">B54/B53-1</f>
        <v>-0.0767070542936876</v>
      </c>
      <c r="E54" s="418" t="n">
        <f aca="false">(1+H54)*(1+J54)*(1+I53)-1</f>
        <v>-0.116111318543302</v>
      </c>
      <c r="F54" s="838" t="n">
        <f aca="false">F53*(1+E54)/(1+D54)</f>
        <v>5.96562010164426</v>
      </c>
      <c r="G54" s="514" t="n">
        <f aca="false">TableDE12c!C54</f>
        <v>0.120306408111415</v>
      </c>
      <c r="H54" s="387" t="n">
        <f aca="false">G53/F53</f>
        <v>0.0269189845428048</v>
      </c>
      <c r="I54" s="387" t="n">
        <f aca="false">O54/F54</f>
        <v>0</v>
      </c>
      <c r="J54" s="418" t="n">
        <f aca="false">S$160</f>
        <v>-0.139281</v>
      </c>
      <c r="K54" s="839"/>
      <c r="L54" s="418"/>
      <c r="M54" s="387" t="n">
        <f aca="false">O54/F54</f>
        <v>0</v>
      </c>
      <c r="N54" s="418"/>
      <c r="O54" s="840" t="n">
        <v>0</v>
      </c>
      <c r="P54" s="418"/>
      <c r="Q54" s="158"/>
      <c r="R54" s="833"/>
      <c r="S54" s="830"/>
      <c r="T54" s="29"/>
      <c r="U54" s="831"/>
      <c r="V54" s="816"/>
      <c r="W54" s="817"/>
      <c r="X54" s="817"/>
      <c r="Y54" s="817" t="n">
        <f aca="false">1+$D54</f>
        <v>0.923292945706312</v>
      </c>
      <c r="Z54" s="818" t="n">
        <f aca="false">1+E54</f>
        <v>0.883888681456698</v>
      </c>
      <c r="AA54" s="818" t="n">
        <f aca="false">1+H54</f>
        <v>1.0269189845428</v>
      </c>
      <c r="AB54" s="818" t="n">
        <f aca="false">1+J54</f>
        <v>0.860719</v>
      </c>
      <c r="AC54" s="818" t="n">
        <f aca="false">1+I53</f>
        <v>1</v>
      </c>
      <c r="AD54" s="818"/>
      <c r="AE54" s="818"/>
    </row>
    <row r="55" customFormat="false" ht="12" hidden="false" customHeight="false" outlineLevel="0" collapsed="false">
      <c r="A55" s="416" t="n">
        <f aca="false">A54+1</f>
        <v>1915</v>
      </c>
      <c r="B55" s="819" t="n">
        <f aca="false">TableDE3b!H55</f>
        <v>179.004567943313</v>
      </c>
      <c r="C55" s="384" t="n">
        <f aca="false">B55*F55</f>
        <v>1020.71854527705</v>
      </c>
      <c r="D55" s="382" t="n">
        <f aca="false">B55/B54-1</f>
        <v>-0.0813582018173124</v>
      </c>
      <c r="E55" s="418" t="n">
        <f aca="false">(1+H55)*(1+J55)*(1+I54)-1</f>
        <v>-0.121923204914338</v>
      </c>
      <c r="F55" s="838" t="n">
        <f aca="false">F54*(1+E55)/(1+D55)</f>
        <v>5.70219272616711</v>
      </c>
      <c r="G55" s="514" t="n">
        <f aca="false">TableDE12c!C55</f>
        <v>0.261506371604008</v>
      </c>
      <c r="H55" s="418" t="n">
        <f aca="false">G54/F54</f>
        <v>0.0201666224234185</v>
      </c>
      <c r="I55" s="418" t="n">
        <f aca="false">O55/F55</f>
        <v>0</v>
      </c>
      <c r="J55" s="418" t="n">
        <f aca="false">S$160</f>
        <v>-0.139281</v>
      </c>
      <c r="K55" s="839"/>
      <c r="L55" s="418"/>
      <c r="M55" s="387" t="n">
        <f aca="false">O55/F55</f>
        <v>0</v>
      </c>
      <c r="N55" s="418"/>
      <c r="O55" s="840" t="n">
        <v>0</v>
      </c>
      <c r="P55" s="418"/>
      <c r="Q55" s="158"/>
      <c r="R55" s="833"/>
      <c r="S55" s="830"/>
      <c r="T55" s="29"/>
      <c r="U55" s="831"/>
      <c r="V55" s="816"/>
      <c r="W55" s="817"/>
      <c r="X55" s="817"/>
      <c r="Y55" s="817" t="n">
        <f aca="false">1+$D55</f>
        <v>0.918641798182688</v>
      </c>
      <c r="Z55" s="818" t="n">
        <f aca="false">1+E55</f>
        <v>0.878076795085662</v>
      </c>
      <c r="AA55" s="818" t="n">
        <f aca="false">1+H55</f>
        <v>1.02016662242342</v>
      </c>
      <c r="AB55" s="818" t="n">
        <f aca="false">1+J55</f>
        <v>0.860719</v>
      </c>
      <c r="AC55" s="818" t="n">
        <f aca="false">1+I54</f>
        <v>1</v>
      </c>
      <c r="AD55" s="818"/>
      <c r="AE55" s="818"/>
    </row>
    <row r="56" customFormat="false" ht="12" hidden="false" customHeight="false" outlineLevel="0" collapsed="false">
      <c r="A56" s="416" t="n">
        <f aca="false">A55+1</f>
        <v>1916</v>
      </c>
      <c r="B56" s="819" t="n">
        <f aca="false">TableDE3b!H56</f>
        <v>170.710761694638</v>
      </c>
      <c r="C56" s="384" t="n">
        <f aca="false">B56*F56</f>
        <v>918.84282071725</v>
      </c>
      <c r="D56" s="382" t="n">
        <f aca="false">B56/B55-1</f>
        <v>-0.0463329307400776</v>
      </c>
      <c r="E56" s="418" t="n">
        <f aca="false">(1+H56)*(1+J56)*(1+I55)-1</f>
        <v>-0.0998078510782295</v>
      </c>
      <c r="F56" s="838" t="n">
        <f aca="false">F55*(1+E56)/(1+D56)</f>
        <v>5.38245399174567</v>
      </c>
      <c r="G56" s="514" t="n">
        <f aca="false">TableDE12c!C56</f>
        <v>0.352303015713385</v>
      </c>
      <c r="H56" s="418" t="n">
        <f aca="false">G55/F55</f>
        <v>0.0458606687220457</v>
      </c>
      <c r="I56" s="418" t="n">
        <f aca="false">O56/F56</f>
        <v>0</v>
      </c>
      <c r="J56" s="418" t="n">
        <f aca="false">S$160</f>
        <v>-0.139281</v>
      </c>
      <c r="K56" s="839"/>
      <c r="L56" s="418"/>
      <c r="M56" s="387" t="n">
        <f aca="false">O56/F56</f>
        <v>0</v>
      </c>
      <c r="N56" s="418"/>
      <c r="O56" s="840" t="n">
        <v>0</v>
      </c>
      <c r="P56" s="418"/>
      <c r="Q56" s="158"/>
      <c r="R56" s="833"/>
      <c r="S56" s="830"/>
      <c r="T56" s="29"/>
      <c r="U56" s="831"/>
      <c r="V56" s="816"/>
      <c r="W56" s="817"/>
      <c r="X56" s="817"/>
      <c r="Y56" s="817" t="n">
        <f aca="false">1+$D56</f>
        <v>0.953667069259922</v>
      </c>
      <c r="Z56" s="818" t="n">
        <f aca="false">1+E56</f>
        <v>0.900192148921771</v>
      </c>
      <c r="AA56" s="818" t="n">
        <f aca="false">1+H56</f>
        <v>1.04586066872205</v>
      </c>
      <c r="AB56" s="818" t="n">
        <f aca="false">1+J56</f>
        <v>0.860719</v>
      </c>
      <c r="AC56" s="818" t="n">
        <f aca="false">1+I55</f>
        <v>1</v>
      </c>
      <c r="AD56" s="818"/>
      <c r="AE56" s="818"/>
    </row>
    <row r="57" customFormat="false" ht="12" hidden="false" customHeight="false" outlineLevel="0" collapsed="false">
      <c r="A57" s="416" t="n">
        <f aca="false">A56+1</f>
        <v>1917</v>
      </c>
      <c r="B57" s="819" t="n">
        <f aca="false">TableDE3b!H57</f>
        <v>166.614180540798</v>
      </c>
      <c r="C57" s="384" t="n">
        <f aca="false">B57*F57</f>
        <v>842.630763740035</v>
      </c>
      <c r="D57" s="382" t="n">
        <f aca="false">B57/B56-1</f>
        <v>-0.0239972050571</v>
      </c>
      <c r="E57" s="418" t="n">
        <f aca="false">(1+H57)*(1+J57)*(1+I56)-1</f>
        <v>-0.0829435190207222</v>
      </c>
      <c r="F57" s="838" t="n">
        <f aca="false">F56*(1+E57)/(1+D57)</f>
        <v>5.05737723526901</v>
      </c>
      <c r="G57" s="514" t="n">
        <f aca="false">TableDE12c!C57</f>
        <v>0.299666097403111</v>
      </c>
      <c r="H57" s="418" t="n">
        <f aca="false">G56/F56</f>
        <v>0.0654539762446023</v>
      </c>
      <c r="I57" s="418" t="n">
        <f aca="false">O57/F57</f>
        <v>0</v>
      </c>
      <c r="J57" s="418" t="n">
        <f aca="false">S$160</f>
        <v>-0.139281</v>
      </c>
      <c r="K57" s="839"/>
      <c r="L57" s="418"/>
      <c r="M57" s="387" t="n">
        <f aca="false">O57/F57</f>
        <v>0</v>
      </c>
      <c r="N57" s="418"/>
      <c r="O57" s="840" t="n">
        <v>0</v>
      </c>
      <c r="P57" s="418"/>
      <c r="Q57" s="158"/>
      <c r="R57" s="833"/>
      <c r="S57" s="830"/>
      <c r="T57" s="29"/>
      <c r="U57" s="831"/>
      <c r="V57" s="816"/>
      <c r="W57" s="817"/>
      <c r="X57" s="817"/>
      <c r="Y57" s="817" t="n">
        <f aca="false">1+$D57</f>
        <v>0.9760027949429</v>
      </c>
      <c r="Z57" s="818" t="n">
        <f aca="false">1+E57</f>
        <v>0.917056480979278</v>
      </c>
      <c r="AA57" s="818" t="n">
        <f aca="false">1+H57</f>
        <v>1.0654539762446</v>
      </c>
      <c r="AB57" s="818" t="n">
        <f aca="false">1+J57</f>
        <v>0.860719</v>
      </c>
      <c r="AC57" s="818" t="n">
        <f aca="false">1+I56</f>
        <v>1</v>
      </c>
      <c r="AD57" s="818"/>
      <c r="AE57" s="818"/>
    </row>
    <row r="58" customFormat="false" ht="12" hidden="false" customHeight="false" outlineLevel="0" collapsed="false">
      <c r="A58" s="416" t="n">
        <f aca="false">A57+1</f>
        <v>1918</v>
      </c>
      <c r="B58" s="819" t="n">
        <f aca="false">TableDE3b!H58</f>
        <v>162.15602671005</v>
      </c>
      <c r="C58" s="384" t="n">
        <f aca="false">B58*F58</f>
        <v>768.242821293265</v>
      </c>
      <c r="D58" s="382" t="n">
        <f aca="false">B58/B57-1</f>
        <v>-0.0267573493221174</v>
      </c>
      <c r="E58" s="418" t="n">
        <f aca="false">(1+H58)*(1+J58)*(1+I57)-1</f>
        <v>-0.0882805917464936</v>
      </c>
      <c r="F58" s="838" t="n">
        <f aca="false">F57*(1+E58)/(1+D58)</f>
        <v>4.73767664933573</v>
      </c>
      <c r="G58" s="514" t="n">
        <f aca="false">TableDE12c!C58</f>
        <v>0.137031989094128</v>
      </c>
      <c r="H58" s="418" t="n">
        <f aca="false">G57/F57</f>
        <v>0.0592532618119342</v>
      </c>
      <c r="I58" s="418" t="n">
        <f aca="false">O58/F58</f>
        <v>0</v>
      </c>
      <c r="J58" s="418" t="n">
        <f aca="false">S$160</f>
        <v>-0.139281</v>
      </c>
      <c r="K58" s="839"/>
      <c r="L58" s="418"/>
      <c r="M58" s="387" t="n">
        <f aca="false">O58/F58</f>
        <v>0</v>
      </c>
      <c r="N58" s="418"/>
      <c r="O58" s="840" t="n">
        <v>0</v>
      </c>
      <c r="P58" s="418"/>
      <c r="Q58" s="158"/>
      <c r="R58" s="833"/>
      <c r="S58" s="830"/>
      <c r="T58" s="29"/>
      <c r="U58" s="831"/>
      <c r="V58" s="816"/>
      <c r="W58" s="817"/>
      <c r="X58" s="817"/>
      <c r="Y58" s="817" t="n">
        <f aca="false">1+$D58</f>
        <v>0.973242650677883</v>
      </c>
      <c r="Z58" s="818" t="n">
        <f aca="false">1+E58</f>
        <v>0.911719408253506</v>
      </c>
      <c r="AA58" s="818" t="n">
        <f aca="false">1+H58</f>
        <v>1.05925326181193</v>
      </c>
      <c r="AB58" s="818" t="n">
        <f aca="false">1+J58</f>
        <v>0.860719</v>
      </c>
      <c r="AC58" s="818" t="n">
        <f aca="false">1+I57</f>
        <v>1</v>
      </c>
      <c r="AD58" s="818"/>
      <c r="AE58" s="818"/>
    </row>
    <row r="59" customFormat="false" ht="12" hidden="false" customHeight="false" outlineLevel="0" collapsed="false">
      <c r="A59" s="436" t="n">
        <f aca="false">A58+1</f>
        <v>1919</v>
      </c>
      <c r="B59" s="823" t="n">
        <f aca="false">TableDE3b!H59</f>
        <v>154.066505274229</v>
      </c>
      <c r="C59" s="410" t="n">
        <f aca="false">B59*F59</f>
        <v>680.366853565394</v>
      </c>
      <c r="D59" s="407" t="n">
        <f aca="false">B59/B58-1</f>
        <v>-0.0498872696867829</v>
      </c>
      <c r="E59" s="437" t="n">
        <f aca="false">(1+H59)*(1+J59)*(1+I58)-1</f>
        <v>-0.11438566725549</v>
      </c>
      <c r="F59" s="841" t="n">
        <f aca="false">F58*(1+E59)/(1+D59)</f>
        <v>4.41605949556904</v>
      </c>
      <c r="G59" s="842" t="n">
        <f aca="false">TableDE12c!C59</f>
        <v>0.0759473134471805</v>
      </c>
      <c r="H59" s="437" t="n">
        <f aca="false">G58/F58</f>
        <v>0.0289238796221649</v>
      </c>
      <c r="I59" s="437" t="n">
        <f aca="false">O59/F59</f>
        <v>0</v>
      </c>
      <c r="J59" s="437" t="n">
        <f aca="false">S$160</f>
        <v>-0.139281</v>
      </c>
      <c r="K59" s="843"/>
      <c r="L59" s="437"/>
      <c r="M59" s="406" t="n">
        <f aca="false">O59/F59</f>
        <v>0</v>
      </c>
      <c r="N59" s="437"/>
      <c r="O59" s="844" t="n">
        <v>0</v>
      </c>
      <c r="P59" s="418"/>
      <c r="Q59" s="158"/>
      <c r="R59" s="833"/>
      <c r="S59" s="830"/>
      <c r="T59" s="29"/>
      <c r="U59" s="831"/>
      <c r="V59" s="816"/>
      <c r="W59" s="817"/>
      <c r="X59" s="817"/>
      <c r="Y59" s="817" t="n">
        <f aca="false">1+$D59</f>
        <v>0.950112730313217</v>
      </c>
      <c r="Z59" s="818" t="n">
        <f aca="false">1+E59</f>
        <v>0.88561433274451</v>
      </c>
      <c r="AA59" s="818" t="n">
        <f aca="false">1+H59</f>
        <v>1.02892387962217</v>
      </c>
      <c r="AB59" s="818" t="n">
        <f aca="false">1+J59</f>
        <v>0.860719</v>
      </c>
      <c r="AC59" s="818" t="n">
        <f aca="false">1+I58</f>
        <v>1</v>
      </c>
      <c r="AD59" s="818"/>
      <c r="AE59" s="818"/>
    </row>
    <row r="60" customFormat="false" ht="12" hidden="false" customHeight="false" outlineLevel="0" collapsed="false">
      <c r="A60" s="416" t="n">
        <f aca="false">A59+1</f>
        <v>1920</v>
      </c>
      <c r="B60" s="819" t="n">
        <f aca="false">TableDE3b!H60</f>
        <v>178.511034773275</v>
      </c>
      <c r="C60" s="384" t="n">
        <f aca="false">B60*F60</f>
        <v>595.675896772061</v>
      </c>
      <c r="D60" s="382" t="n">
        <f aca="false">B60/B59-1</f>
        <v>0.158662192379435</v>
      </c>
      <c r="E60" s="418" t="n">
        <f aca="false">(1+H60)*(1+J60)*(1+I59)-1</f>
        <v>-0.12447836979347</v>
      </c>
      <c r="F60" s="845" t="n">
        <f aca="false">F59*(1+E60)/(1+D60)</f>
        <v>3.33691358368194</v>
      </c>
      <c r="G60" s="514" t="n">
        <f aca="false">TableDE12c!C60</f>
        <v>0.180007263138912</v>
      </c>
      <c r="H60" s="418" t="n">
        <f aca="false">G59/F59</f>
        <v>0.0171979823920815</v>
      </c>
      <c r="I60" s="418" t="n">
        <f aca="false">O60/F60</f>
        <v>0</v>
      </c>
      <c r="J60" s="418" t="n">
        <f aca="false">S$160</f>
        <v>-0.139281</v>
      </c>
      <c r="K60" s="839"/>
      <c r="L60" s="418"/>
      <c r="M60" s="387" t="n">
        <f aca="false">O60/F60</f>
        <v>0</v>
      </c>
      <c r="N60" s="418"/>
      <c r="O60" s="840" t="n">
        <v>0</v>
      </c>
      <c r="P60" s="418"/>
      <c r="Q60" s="158"/>
      <c r="R60" s="833"/>
      <c r="S60" s="830"/>
      <c r="T60" s="29"/>
      <c r="U60" s="831"/>
      <c r="V60" s="816"/>
      <c r="W60" s="817"/>
      <c r="X60" s="817"/>
      <c r="Y60" s="817" t="n">
        <f aca="false">1+$D60</f>
        <v>1.15866219237943</v>
      </c>
      <c r="Z60" s="818" t="n">
        <f aca="false">1+E60</f>
        <v>0.87552163020653</v>
      </c>
      <c r="AA60" s="818" t="n">
        <f aca="false">1+H60</f>
        <v>1.01719798239208</v>
      </c>
      <c r="AB60" s="818" t="n">
        <f aca="false">1+J60</f>
        <v>0.860719</v>
      </c>
      <c r="AC60" s="818" t="n">
        <f aca="false">1+I59</f>
        <v>1</v>
      </c>
      <c r="AD60" s="818"/>
      <c r="AE60" s="818"/>
    </row>
    <row r="61" customFormat="false" ht="12" hidden="false" customHeight="false" outlineLevel="0" collapsed="false">
      <c r="A61" s="416" t="n">
        <f aca="false">A60+1</f>
        <v>1921</v>
      </c>
      <c r="B61" s="819" t="n">
        <f aca="false">TableDE3b!H61</f>
        <v>189.281783104149</v>
      </c>
      <c r="C61" s="384" t="n">
        <f aca="false">B61*F61</f>
        <v>540.367289240376</v>
      </c>
      <c r="D61" s="382" t="n">
        <f aca="false">B61/B60-1</f>
        <v>0.0603365968078833</v>
      </c>
      <c r="E61" s="418" t="n">
        <f aca="false">(1+H61)*(1+J61)*(1+I60)-1</f>
        <v>-0.0928501687434394</v>
      </c>
      <c r="F61" s="845" t="n">
        <f aca="false">F60*(1+E61)/(1+D61)</f>
        <v>2.85482987521863</v>
      </c>
      <c r="G61" s="514" t="n">
        <f aca="false">TableDE12c!C61</f>
        <v>0.103829988126255</v>
      </c>
      <c r="H61" s="418" t="n">
        <f aca="false">G60/F60</f>
        <v>0.0539442387777667</v>
      </c>
      <c r="I61" s="418" t="n">
        <f aca="false">O61/F61</f>
        <v>0</v>
      </c>
      <c r="J61" s="418" t="n">
        <f aca="false">S$160</f>
        <v>-0.139281</v>
      </c>
      <c r="K61" s="839"/>
      <c r="L61" s="418"/>
      <c r="M61" s="387" t="n">
        <f aca="false">O61/F61</f>
        <v>0</v>
      </c>
      <c r="N61" s="418"/>
      <c r="O61" s="840" t="n">
        <v>0</v>
      </c>
      <c r="P61" s="418"/>
      <c r="Q61" s="158"/>
      <c r="R61" s="833"/>
      <c r="S61" s="830"/>
      <c r="T61" s="29"/>
      <c r="U61" s="831"/>
      <c r="V61" s="816"/>
      <c r="W61" s="817"/>
      <c r="X61" s="817"/>
      <c r="Y61" s="817" t="n">
        <f aca="false">1+$D61</f>
        <v>1.06033659680788</v>
      </c>
      <c r="Z61" s="818" t="n">
        <f aca="false">1+E61</f>
        <v>0.907149831256561</v>
      </c>
      <c r="AA61" s="818" t="n">
        <f aca="false">1+H61</f>
        <v>1.05394423877777</v>
      </c>
      <c r="AB61" s="818" t="n">
        <f aca="false">1+J61</f>
        <v>0.860719</v>
      </c>
      <c r="AC61" s="818" t="n">
        <f aca="false">1+I60</f>
        <v>1</v>
      </c>
      <c r="AD61" s="818"/>
      <c r="AE61" s="818"/>
    </row>
    <row r="62" customFormat="false" ht="12" hidden="false" customHeight="false" outlineLevel="0" collapsed="false">
      <c r="A62" s="416" t="n">
        <f aca="false">A61+1</f>
        <v>1922</v>
      </c>
      <c r="B62" s="819" t="n">
        <f aca="false">TableDE3b!H62</f>
        <v>203.7369916016</v>
      </c>
      <c r="C62" s="384" t="n">
        <f aca="false">B62*F62</f>
        <v>482.020211176081</v>
      </c>
      <c r="D62" s="382" t="n">
        <f aca="false">B62/B61-1</f>
        <v>0.07636872529618</v>
      </c>
      <c r="E62" s="418" t="n">
        <f aca="false">(1+H62)*(1+J62)*(1+I61)-1</f>
        <v>-0.107976702561541</v>
      </c>
      <c r="F62" s="845" t="n">
        <f aca="false">F61*(1+E62)/(1+D62)</f>
        <v>2.36589441802819</v>
      </c>
      <c r="G62" s="514" t="n">
        <f aca="false">TableDE12c!C62</f>
        <v>0.0624056896014685</v>
      </c>
      <c r="H62" s="418" t="n">
        <f aca="false">G61/F61</f>
        <v>0.0363699388981292</v>
      </c>
      <c r="I62" s="418" t="n">
        <f aca="false">O62/F62</f>
        <v>0</v>
      </c>
      <c r="J62" s="418" t="n">
        <f aca="false">S$160</f>
        <v>-0.139281</v>
      </c>
      <c r="K62" s="839"/>
      <c r="L62" s="418"/>
      <c r="M62" s="387" t="n">
        <f aca="false">O62/F62</f>
        <v>0</v>
      </c>
      <c r="N62" s="418"/>
      <c r="O62" s="840" t="n">
        <v>0</v>
      </c>
      <c r="P62" s="418"/>
      <c r="Q62" s="158"/>
      <c r="R62" s="833"/>
      <c r="S62" s="830"/>
      <c r="T62" s="29"/>
      <c r="U62" s="831"/>
      <c r="V62" s="816"/>
      <c r="W62" s="846"/>
      <c r="X62" s="817"/>
      <c r="Y62" s="817" t="n">
        <f aca="false">1+$D62</f>
        <v>1.07636872529618</v>
      </c>
      <c r="Z62" s="818" t="n">
        <f aca="false">1+E62</f>
        <v>0.892023297438459</v>
      </c>
      <c r="AA62" s="818" t="n">
        <f aca="false">1+H62</f>
        <v>1.03636993889813</v>
      </c>
      <c r="AB62" s="818" t="n">
        <f aca="false">1+J62</f>
        <v>0.860719</v>
      </c>
      <c r="AC62" s="818" t="n">
        <f aca="false">1+I61</f>
        <v>1</v>
      </c>
      <c r="AD62" s="818"/>
      <c r="AE62" s="818"/>
    </row>
    <row r="63" customFormat="false" ht="12" hidden="false" customHeight="false" outlineLevel="0" collapsed="false">
      <c r="A63" s="416" t="n">
        <f aca="false">A62+1</f>
        <v>1923</v>
      </c>
      <c r="B63" s="819" t="n">
        <f aca="false">TableDE3b!H63</f>
        <v>177.178583108415</v>
      </c>
      <c r="C63" s="384" t="n">
        <f aca="false">B63*F63</f>
        <v>425.827434573163</v>
      </c>
      <c r="D63" s="382" t="n">
        <f aca="false">B63/B62-1</f>
        <v>-0.130356339731958</v>
      </c>
      <c r="E63" s="418" t="n">
        <f aca="false">(1+H63)*(1+J63)*(1+I62)-1</f>
        <v>-0.116577635750613</v>
      </c>
      <c r="F63" s="845" t="n">
        <f aca="false">F62*(1+E63)/(1+D63)</f>
        <v>2.40337983915697</v>
      </c>
      <c r="G63" s="514" t="n">
        <f aca="false">TableDE12c!C63</f>
        <v>0.0624056896014685</v>
      </c>
      <c r="H63" s="418" t="n">
        <f aca="false">G62/F62</f>
        <v>0.0263772081822144</v>
      </c>
      <c r="I63" s="418" t="n">
        <f aca="false">O63/F63</f>
        <v>0</v>
      </c>
      <c r="J63" s="418" t="n">
        <f aca="false">S$160</f>
        <v>-0.139281</v>
      </c>
      <c r="K63" s="839"/>
      <c r="L63" s="418"/>
      <c r="M63" s="387" t="n">
        <f aca="false">O63/F63</f>
        <v>0</v>
      </c>
      <c r="N63" s="418"/>
      <c r="O63" s="840" t="n">
        <v>0</v>
      </c>
      <c r="P63" s="418"/>
      <c r="Q63" s="158"/>
      <c r="R63" s="833"/>
      <c r="S63" s="830"/>
      <c r="T63" s="29"/>
      <c r="U63" s="831"/>
      <c r="V63" s="816"/>
      <c r="W63" s="847"/>
      <c r="X63" s="817"/>
      <c r="Y63" s="817" t="n">
        <f aca="false">1+$D63</f>
        <v>0.869643660268042</v>
      </c>
      <c r="Z63" s="818" t="n">
        <f aca="false">1+E63</f>
        <v>0.883422364249388</v>
      </c>
      <c r="AA63" s="818" t="n">
        <f aca="false">1+H63</f>
        <v>1.02637720818221</v>
      </c>
      <c r="AB63" s="818" t="n">
        <f aca="false">1+J63</f>
        <v>0.860719</v>
      </c>
      <c r="AC63" s="818" t="n">
        <f aca="false">1+I62</f>
        <v>1</v>
      </c>
      <c r="AD63" s="818"/>
      <c r="AE63" s="818"/>
    </row>
    <row r="64" customFormat="false" ht="12" hidden="false" customHeight="false" outlineLevel="0" collapsed="false">
      <c r="A64" s="416" t="n">
        <f aca="false">A63+1</f>
        <v>1924</v>
      </c>
      <c r="B64" s="819" t="n">
        <f aca="false">TableDE3b!H64</f>
        <v>197.408293654368</v>
      </c>
      <c r="C64" s="384" t="n">
        <f aca="false">B64*F64</f>
        <v>436.884386234655</v>
      </c>
      <c r="D64" s="382" t="n">
        <f aca="false">B64/B63-1</f>
        <v>0.114176951813496</v>
      </c>
      <c r="E64" s="418" t="n">
        <f aca="false">(1+H64)*(1+J64)*(1+I63)-1</f>
        <v>0.0259658039002932</v>
      </c>
      <c r="F64" s="838" t="n">
        <f aca="false">F63*(1+E64)/(1+D64)</f>
        <v>2.21310046375039</v>
      </c>
      <c r="G64" s="514" t="n">
        <f aca="false">TableDE12c!C64</f>
        <v>0.0624056896014685</v>
      </c>
      <c r="H64" s="418" t="n">
        <f aca="false">G63/F63</f>
        <v>0.0259658039002933</v>
      </c>
      <c r="I64" s="418" t="n">
        <f aca="false">O64/F64</f>
        <v>0</v>
      </c>
      <c r="J64" s="418" t="n">
        <v>0</v>
      </c>
      <c r="K64" s="839"/>
      <c r="L64" s="418"/>
      <c r="M64" s="387" t="n">
        <f aca="false">O64/F64</f>
        <v>0</v>
      </c>
      <c r="N64" s="418"/>
      <c r="O64" s="840" t="n">
        <v>0</v>
      </c>
      <c r="P64" s="418"/>
      <c r="Q64" s="158"/>
      <c r="R64" s="834"/>
      <c r="S64" s="830"/>
      <c r="T64" s="29"/>
      <c r="U64" s="831"/>
      <c r="V64" s="816"/>
      <c r="W64" s="817"/>
      <c r="X64" s="817"/>
      <c r="Y64" s="817" t="n">
        <f aca="false">1+$D64</f>
        <v>1.1141769518135</v>
      </c>
      <c r="Z64" s="818" t="n">
        <f aca="false">1+E64</f>
        <v>1.02596580390029</v>
      </c>
      <c r="AA64" s="818" t="n">
        <f aca="false">1+H64</f>
        <v>1.02596580390029</v>
      </c>
      <c r="AB64" s="818" t="n">
        <f aca="false">1+J64</f>
        <v>1</v>
      </c>
      <c r="AC64" s="818" t="n">
        <f aca="false">1+I63</f>
        <v>1</v>
      </c>
      <c r="AD64" s="818"/>
      <c r="AE64" s="818"/>
    </row>
    <row r="65" s="435" customFormat="true" ht="12" hidden="false" customHeight="false" outlineLevel="0" collapsed="false">
      <c r="A65" s="416" t="n">
        <f aca="false">A64+1</f>
        <v>1925</v>
      </c>
      <c r="B65" s="819" t="n">
        <f aca="false">TableDE3b!H65</f>
        <v>214.736930413913</v>
      </c>
      <c r="C65" s="384" t="n">
        <f aca="false">B65*F65</f>
        <v>494.124165626525</v>
      </c>
      <c r="D65" s="382" t="n">
        <f aca="false">B65/B64-1</f>
        <v>0.0877806926890565</v>
      </c>
      <c r="E65" s="418" t="n">
        <f aca="false">(1+H65)*(1+J65)*(1+I64)-1</f>
        <v>0.131018139341621</v>
      </c>
      <c r="F65" s="838" t="n">
        <f aca="false">F64*(1+E65)/(1+D65)</f>
        <v>2.30106747206493</v>
      </c>
      <c r="G65" s="514" t="n">
        <f aca="false">TableDE12c!C65</f>
        <v>0.145204484067692</v>
      </c>
      <c r="H65" s="418" t="n">
        <f aca="false">G64/F64</f>
        <v>0.0281983084923826</v>
      </c>
      <c r="I65" s="418" t="n">
        <f aca="false">O65/F65</f>
        <v>0</v>
      </c>
      <c r="J65" s="418" t="n">
        <f aca="false">S$166</f>
        <v>0.1</v>
      </c>
      <c r="K65" s="836"/>
      <c r="L65" s="433"/>
      <c r="M65" s="392" t="n">
        <f aca="false">O65/F65</f>
        <v>0</v>
      </c>
      <c r="N65" s="433"/>
      <c r="O65" s="837" t="n">
        <v>0</v>
      </c>
      <c r="P65" s="433"/>
      <c r="Q65" s="158"/>
      <c r="R65" s="848"/>
      <c r="S65" s="849"/>
      <c r="T65" s="850"/>
      <c r="U65" s="851"/>
      <c r="V65" s="816"/>
      <c r="W65" s="817"/>
      <c r="X65" s="817"/>
      <c r="Y65" s="817" t="n">
        <f aca="false">1+$D65</f>
        <v>1.08778069268906</v>
      </c>
      <c r="Z65" s="818" t="n">
        <f aca="false">1+E65</f>
        <v>1.13101813934162</v>
      </c>
      <c r="AA65" s="818" t="n">
        <f aca="false">1+H65</f>
        <v>1.02819830849238</v>
      </c>
      <c r="AB65" s="818" t="n">
        <f aca="false">1+J65</f>
        <v>1.1</v>
      </c>
      <c r="AC65" s="818" t="n">
        <f aca="false">1+I64</f>
        <v>1</v>
      </c>
      <c r="AD65" s="818"/>
      <c r="AE65" s="852"/>
    </row>
    <row r="66" customFormat="false" ht="12" hidden="false" customHeight="false" outlineLevel="0" collapsed="false">
      <c r="A66" s="416" t="n">
        <f aca="false">A65+1</f>
        <v>1926</v>
      </c>
      <c r="B66" s="819" t="n">
        <f aca="false">TableDE3b!H66</f>
        <v>216.277482704078</v>
      </c>
      <c r="C66" s="384" t="n">
        <f aca="false">B66*F66</f>
        <v>577.835423899313</v>
      </c>
      <c r="D66" s="382" t="n">
        <f aca="false">B66/B65-1</f>
        <v>0.0071741376166421</v>
      </c>
      <c r="E66" s="418" t="n">
        <f aca="false">(1+H66)*(1+J66)*(1+I65)-1</f>
        <v>0.169413406783387</v>
      </c>
      <c r="F66" s="838" t="n">
        <f aca="false">F65*(1+E66)/(1+D66)</f>
        <v>2.6717317802794</v>
      </c>
      <c r="G66" s="514" t="n">
        <f aca="false">TableDE12c!C66</f>
        <v>0.0799207206530758</v>
      </c>
      <c r="H66" s="418" t="n">
        <f aca="false">G65/F65</f>
        <v>0.0631030970758059</v>
      </c>
      <c r="I66" s="418" t="n">
        <f aca="false">O66/F66</f>
        <v>0</v>
      </c>
      <c r="J66" s="418" t="n">
        <f aca="false">S$166</f>
        <v>0.1</v>
      </c>
      <c r="K66" s="839"/>
      <c r="L66" s="418"/>
      <c r="M66" s="387" t="n">
        <f aca="false">O66/F66</f>
        <v>0</v>
      </c>
      <c r="N66" s="418"/>
      <c r="O66" s="840" t="n">
        <v>0</v>
      </c>
      <c r="P66" s="418"/>
      <c r="Q66" s="158"/>
      <c r="R66" s="833"/>
      <c r="S66" s="830"/>
      <c r="T66" s="29"/>
      <c r="U66" s="831"/>
      <c r="V66" s="816"/>
      <c r="W66" s="817"/>
      <c r="X66" s="817"/>
      <c r="Y66" s="817" t="n">
        <f aca="false">1+$D66</f>
        <v>1.00717413761664</v>
      </c>
      <c r="Z66" s="818" t="n">
        <f aca="false">1+E66</f>
        <v>1.16941340678339</v>
      </c>
      <c r="AA66" s="818" t="n">
        <f aca="false">1+H66</f>
        <v>1.06310309707581</v>
      </c>
      <c r="AB66" s="818" t="n">
        <f aca="false">1+J66</f>
        <v>1.1</v>
      </c>
      <c r="AC66" s="818" t="n">
        <f aca="false">1+I65</f>
        <v>1</v>
      </c>
      <c r="AD66" s="818"/>
      <c r="AE66" s="818"/>
    </row>
    <row r="67" customFormat="false" ht="12" hidden="false" customHeight="false" outlineLevel="0" collapsed="false">
      <c r="A67" s="431" t="n">
        <f aca="false">A66+1</f>
        <v>1927</v>
      </c>
      <c r="B67" s="853" t="n">
        <f aca="false">TableDE3b!H67</f>
        <v>238.262757885558</v>
      </c>
      <c r="C67" s="395" t="n">
        <f aca="false">B67*F67</f>
        <v>654.629402186243</v>
      </c>
      <c r="D67" s="393" t="n">
        <f aca="false">B67/B66-1</f>
        <v>0.101653093547244</v>
      </c>
      <c r="E67" s="433" t="n">
        <f aca="false">(1+H67)*(1+J67)*(1+I66)-1</f>
        <v>0.132904797318086</v>
      </c>
      <c r="F67" s="854" t="n">
        <f aca="false">TableDE6f!L17/TableDE1!B67</f>
        <v>2.74751038725353</v>
      </c>
      <c r="G67" s="855" t="n">
        <f aca="false">TableDE12c!C67</f>
        <v>0.0411065006961931</v>
      </c>
      <c r="H67" s="433" t="n">
        <f aca="false">G66/F66</f>
        <v>0.0299134521073511</v>
      </c>
      <c r="I67" s="433" t="n">
        <f aca="false">O67/F67</f>
        <v>0</v>
      </c>
      <c r="J67" s="433" t="n">
        <f aca="false">S$166</f>
        <v>0.1</v>
      </c>
      <c r="K67" s="836"/>
      <c r="L67" s="433"/>
      <c r="M67" s="392" t="n">
        <f aca="false">O67/F67</f>
        <v>0</v>
      </c>
      <c r="N67" s="433"/>
      <c r="O67" s="837" t="n">
        <v>0</v>
      </c>
      <c r="P67" s="418"/>
      <c r="Q67" s="158"/>
      <c r="R67" s="833"/>
      <c r="S67" s="830"/>
      <c r="T67" s="29"/>
      <c r="U67" s="831"/>
      <c r="V67" s="816"/>
      <c r="W67" s="817"/>
      <c r="X67" s="817"/>
      <c r="Y67" s="817" t="n">
        <f aca="false">1+$D67</f>
        <v>1.10165309354724</v>
      </c>
      <c r="Z67" s="818" t="n">
        <f aca="false">1+E67</f>
        <v>1.13290479731809</v>
      </c>
      <c r="AA67" s="818" t="n">
        <f aca="false">1+H67</f>
        <v>1.02991345210735</v>
      </c>
      <c r="AB67" s="818" t="n">
        <f aca="false">1+J67</f>
        <v>1.1</v>
      </c>
      <c r="AC67" s="818" t="n">
        <f aca="false">1+I66</f>
        <v>1</v>
      </c>
      <c r="AD67" s="818"/>
      <c r="AE67" s="818"/>
    </row>
    <row r="68" customFormat="false" ht="12" hidden="false" customHeight="false" outlineLevel="0" collapsed="false">
      <c r="A68" s="416" t="n">
        <f aca="false">A67+1</f>
        <v>1928</v>
      </c>
      <c r="B68" s="819" t="n">
        <f aca="false">TableDE3b!H68</f>
        <v>246.18861413123</v>
      </c>
      <c r="C68" s="384" t="n">
        <f aca="false">B68*F68</f>
        <v>689.187612768216</v>
      </c>
      <c r="D68" s="382" t="n">
        <f aca="false">B68/B67-1</f>
        <v>0.0332651914046873</v>
      </c>
      <c r="E68" s="418" t="n">
        <f aca="false">(1+H68)*(1+J68)*(1+I67)-1</f>
        <v>0.0527904956095173</v>
      </c>
      <c r="F68" s="838" t="n">
        <f aca="false">F67*(1+E68)/(1+D68)</f>
        <v>2.7994292717406</v>
      </c>
      <c r="G68" s="514" t="n">
        <f aca="false">TableDE12c!C68</f>
        <v>0.0766635279346228</v>
      </c>
      <c r="H68" s="418" t="n">
        <f aca="false">G67/F67</f>
        <v>0.0149613631624098</v>
      </c>
      <c r="I68" s="418" t="n">
        <f aca="false">O68/F68</f>
        <v>0</v>
      </c>
      <c r="J68" s="418" t="n">
        <f aca="false">S$163</f>
        <v>0.0372715</v>
      </c>
      <c r="K68" s="839"/>
      <c r="L68" s="418"/>
      <c r="M68" s="387" t="n">
        <f aca="false">O68/F68</f>
        <v>0</v>
      </c>
      <c r="N68" s="418"/>
      <c r="O68" s="840" t="n">
        <v>0</v>
      </c>
      <c r="P68" s="418"/>
      <c r="Q68" s="158"/>
      <c r="R68" s="833"/>
      <c r="S68" s="830"/>
      <c r="T68" s="29"/>
      <c r="U68" s="831"/>
      <c r="V68" s="816"/>
      <c r="W68" s="817"/>
      <c r="X68" s="817"/>
      <c r="Y68" s="817" t="n">
        <f aca="false">1+$D68</f>
        <v>1.03326519140469</v>
      </c>
      <c r="Z68" s="818" t="n">
        <f aca="false">1+E68</f>
        <v>1.05279049560952</v>
      </c>
      <c r="AA68" s="818" t="n">
        <f aca="false">1+H68</f>
        <v>1.01496136316241</v>
      </c>
      <c r="AB68" s="818" t="n">
        <f aca="false">1+J68</f>
        <v>1.0372715</v>
      </c>
      <c r="AC68" s="818" t="n">
        <f aca="false">1+I67</f>
        <v>1</v>
      </c>
      <c r="AD68" s="818"/>
      <c r="AE68" s="818"/>
    </row>
    <row r="69" customFormat="false" ht="12" hidden="false" customHeight="false" outlineLevel="0" collapsed="false">
      <c r="A69" s="436" t="n">
        <f aca="false">A68+1</f>
        <v>1929</v>
      </c>
      <c r="B69" s="823" t="n">
        <f aca="false">TableDE3b!H69</f>
        <v>241.111613118797</v>
      </c>
      <c r="C69" s="410" t="n">
        <f aca="false">B69*F69</f>
        <v>734.451807225128</v>
      </c>
      <c r="D69" s="407" t="n">
        <f aca="false">B69/B68-1</f>
        <v>-0.0206224038034756</v>
      </c>
      <c r="E69" s="437" t="n">
        <f aca="false">(1+H69)*(1+J69)*(1+I68)-1</f>
        <v>0.0656776088518212</v>
      </c>
      <c r="F69" s="856" t="n">
        <f aca="false">F68*(1+E69)/(1+D69)</f>
        <v>3.04610714401076</v>
      </c>
      <c r="G69" s="842" t="n">
        <f aca="false">TableDE12c!C69</f>
        <v>0.0685478177629806</v>
      </c>
      <c r="H69" s="437" t="n">
        <f aca="false">G68/F68</f>
        <v>0.027385413415698</v>
      </c>
      <c r="I69" s="437" t="n">
        <f aca="false">O69/F69</f>
        <v>0</v>
      </c>
      <c r="J69" s="437" t="n">
        <f aca="false">S$163</f>
        <v>0.0372715</v>
      </c>
      <c r="K69" s="843"/>
      <c r="L69" s="437"/>
      <c r="M69" s="406" t="n">
        <f aca="false">O69/F69</f>
        <v>0</v>
      </c>
      <c r="N69" s="437"/>
      <c r="O69" s="844" t="n">
        <v>0</v>
      </c>
      <c r="P69" s="418"/>
      <c r="Q69" s="158"/>
      <c r="R69" s="833"/>
      <c r="S69" s="830"/>
      <c r="T69" s="29"/>
      <c r="U69" s="831"/>
      <c r="V69" s="816"/>
      <c r="W69" s="817"/>
      <c r="X69" s="817"/>
      <c r="Y69" s="817" t="n">
        <f aca="false">1+$D69</f>
        <v>0.979377596196524</v>
      </c>
      <c r="Z69" s="818" t="n">
        <f aca="false">1+E69</f>
        <v>1.06567760885182</v>
      </c>
      <c r="AA69" s="818" t="n">
        <f aca="false">1+H69</f>
        <v>1.0273854134157</v>
      </c>
      <c r="AB69" s="818" t="n">
        <f aca="false">1+J69</f>
        <v>1.0372715</v>
      </c>
      <c r="AC69" s="818" t="n">
        <f aca="false">1+I68</f>
        <v>1</v>
      </c>
      <c r="AD69" s="818"/>
      <c r="AE69" s="818"/>
    </row>
    <row r="70" customFormat="false" ht="12" hidden="false" customHeight="false" outlineLevel="0" collapsed="false">
      <c r="A70" s="416" t="n">
        <f aca="false">A69+1</f>
        <v>1930</v>
      </c>
      <c r="B70" s="819" t="n">
        <f aca="false">TableDE3b!H70</f>
        <v>222.583843289498</v>
      </c>
      <c r="C70" s="384" t="n">
        <f aca="false">B70*F70</f>
        <v>713.430508034647</v>
      </c>
      <c r="D70" s="382" t="n">
        <f aca="false">B70/B69-1</f>
        <v>-0.0768431250143496</v>
      </c>
      <c r="E70" s="418" t="n">
        <f aca="false">(1+H70)*(1+J70)*(1+I69)-1</f>
        <v>-0.0286217543257233</v>
      </c>
      <c r="F70" s="838" t="n">
        <f aca="false">F69*(1+E70)/(1+D70)</f>
        <v>3.20522144595527</v>
      </c>
      <c r="G70" s="514" t="n">
        <f aca="false">TableDE12c!C70</f>
        <v>0.0438203713706912</v>
      </c>
      <c r="H70" s="418" t="n">
        <f aca="false">G69/F69</f>
        <v>0.0225034164992387</v>
      </c>
      <c r="I70" s="418" t="n">
        <f aca="false">O70/F70</f>
        <v>0</v>
      </c>
      <c r="J70" s="418" t="n">
        <v>-0.05</v>
      </c>
      <c r="K70" s="839"/>
      <c r="L70" s="418"/>
      <c r="M70" s="387" t="n">
        <f aca="false">O70/F70</f>
        <v>0</v>
      </c>
      <c r="N70" s="418"/>
      <c r="O70" s="840" t="n">
        <v>0</v>
      </c>
      <c r="P70" s="418"/>
      <c r="Q70" s="158"/>
      <c r="R70" s="833"/>
      <c r="S70" s="830"/>
      <c r="T70" s="29"/>
      <c r="U70" s="831"/>
      <c r="V70" s="816"/>
      <c r="W70" s="817"/>
      <c r="X70" s="817"/>
      <c r="Y70" s="817" t="n">
        <f aca="false">1+$D70</f>
        <v>0.92315687498565</v>
      </c>
      <c r="Z70" s="818" t="n">
        <f aca="false">1+E70</f>
        <v>0.971378245674277</v>
      </c>
      <c r="AA70" s="818" t="n">
        <f aca="false">1+H70</f>
        <v>1.02250341649924</v>
      </c>
      <c r="AB70" s="818" t="n">
        <f aca="false">1+J70</f>
        <v>0.95</v>
      </c>
      <c r="AC70" s="818" t="n">
        <f aca="false">1+I69</f>
        <v>1</v>
      </c>
      <c r="AD70" s="818"/>
      <c r="AE70" s="818"/>
    </row>
    <row r="71" customFormat="false" ht="12" hidden="false" customHeight="false" outlineLevel="0" collapsed="false">
      <c r="A71" s="416" t="n">
        <f aca="false">A70+1</f>
        <v>1931</v>
      </c>
      <c r="B71" s="819" t="n">
        <f aca="false">TableDE3b!H71</f>
        <v>193.352035529746</v>
      </c>
      <c r="C71" s="384" t="n">
        <f aca="false">B71*F71</f>
        <v>650.865793237837</v>
      </c>
      <c r="D71" s="382" t="n">
        <f aca="false">B71/B70-1</f>
        <v>-0.131329423231014</v>
      </c>
      <c r="E71" s="418" t="n">
        <f aca="false">(1+H71)*(1+J71)*(1+I70)-1</f>
        <v>-0.0876955976681767</v>
      </c>
      <c r="F71" s="838" t="n">
        <f aca="false">F70*(1+E71)/(1+D71)</f>
        <v>3.36622157328003</v>
      </c>
      <c r="G71" s="514" t="n">
        <f aca="false">TableDE12c!C71</f>
        <v>-0.0183789972290407</v>
      </c>
      <c r="H71" s="418" t="n">
        <f aca="false">G70/F70</f>
        <v>0.0136715581464703</v>
      </c>
      <c r="I71" s="418" t="n">
        <f aca="false">O71/F71</f>
        <v>0</v>
      </c>
      <c r="J71" s="418" t="n">
        <v>-0.1</v>
      </c>
      <c r="K71" s="839"/>
      <c r="L71" s="418"/>
      <c r="M71" s="387" t="n">
        <f aca="false">O71/F71</f>
        <v>0</v>
      </c>
      <c r="N71" s="418"/>
      <c r="O71" s="840" t="n">
        <v>0</v>
      </c>
      <c r="P71" s="418"/>
      <c r="Q71" s="158"/>
      <c r="R71" s="833"/>
      <c r="S71" s="830"/>
      <c r="T71" s="29"/>
      <c r="U71" s="831"/>
      <c r="V71" s="816"/>
      <c r="W71" s="817"/>
      <c r="X71" s="817"/>
      <c r="Y71" s="817" t="n">
        <f aca="false">1+$D71</f>
        <v>0.868670576768987</v>
      </c>
      <c r="Z71" s="818" t="n">
        <f aca="false">1+E71</f>
        <v>0.912304402331823</v>
      </c>
      <c r="AA71" s="818" t="n">
        <f aca="false">1+H71</f>
        <v>1.01367155814647</v>
      </c>
      <c r="AB71" s="818" t="n">
        <f aca="false">1+J71</f>
        <v>0.9</v>
      </c>
      <c r="AC71" s="818" t="n">
        <f aca="false">1+I70</f>
        <v>1</v>
      </c>
      <c r="AD71" s="818"/>
      <c r="AE71" s="818"/>
    </row>
    <row r="72" customFormat="false" ht="12" hidden="false" customHeight="false" outlineLevel="0" collapsed="false">
      <c r="A72" s="416" t="n">
        <f aca="false">A71+1</f>
        <v>1932</v>
      </c>
      <c r="B72" s="819" t="n">
        <f aca="false">TableDE3b!H72</f>
        <v>176.40359763024</v>
      </c>
      <c r="C72" s="384" t="n">
        <f aca="false">B72*F72</f>
        <v>614.946567876976</v>
      </c>
      <c r="D72" s="382" t="n">
        <f aca="false">B72/B71-1</f>
        <v>-0.0876558545301615</v>
      </c>
      <c r="E72" s="418" t="n">
        <f aca="false">(1+H72)*(1+J72)*(1+I71)-1</f>
        <v>-0.0551868384143757</v>
      </c>
      <c r="F72" s="838" t="n">
        <f aca="false">F71*(1+E72)/(1+D72)</f>
        <v>3.48602055818593</v>
      </c>
      <c r="G72" s="514" t="n">
        <f aca="false">TableDE12c!C72</f>
        <v>-0.0439601724371703</v>
      </c>
      <c r="H72" s="418" t="n">
        <f aca="false">G71/F71</f>
        <v>-0.00545982990986903</v>
      </c>
      <c r="I72" s="418" t="n">
        <f aca="false">O72/F72</f>
        <v>0</v>
      </c>
      <c r="J72" s="418" t="n">
        <v>-0.05</v>
      </c>
      <c r="K72" s="839"/>
      <c r="L72" s="418"/>
      <c r="M72" s="387" t="n">
        <f aca="false">O72/F72</f>
        <v>0</v>
      </c>
      <c r="N72" s="418"/>
      <c r="O72" s="840" t="n">
        <v>0</v>
      </c>
      <c r="P72" s="418"/>
      <c r="Q72" s="158"/>
      <c r="R72" s="833"/>
      <c r="S72" s="830"/>
      <c r="T72" s="29"/>
      <c r="U72" s="831"/>
      <c r="V72" s="816"/>
      <c r="W72" s="817"/>
      <c r="X72" s="817"/>
      <c r="Y72" s="817" t="n">
        <f aca="false">1+$D72</f>
        <v>0.912344145469839</v>
      </c>
      <c r="Z72" s="818" t="n">
        <f aca="false">1+E72</f>
        <v>0.944813161585624</v>
      </c>
      <c r="AA72" s="818" t="n">
        <f aca="false">1+H72</f>
        <v>0.994540170090131</v>
      </c>
      <c r="AB72" s="818" t="n">
        <f aca="false">1+J72</f>
        <v>0.95</v>
      </c>
      <c r="AC72" s="818" t="n">
        <f aca="false">1+I71</f>
        <v>1</v>
      </c>
      <c r="AD72" s="818"/>
      <c r="AE72" s="818"/>
    </row>
    <row r="73" customFormat="false" ht="12" hidden="false" customHeight="false" outlineLevel="0" collapsed="false">
      <c r="A73" s="416" t="n">
        <f aca="false">A72+1</f>
        <v>1933</v>
      </c>
      <c r="B73" s="819" t="n">
        <f aca="false">TableDE3b!H73</f>
        <v>190.125238518917</v>
      </c>
      <c r="C73" s="384" t="n">
        <f aca="false">B73*F73</f>
        <v>629.822785796244</v>
      </c>
      <c r="D73" s="382" t="n">
        <f aca="false">B73/B72-1</f>
        <v>0.0777854934537023</v>
      </c>
      <c r="E73" s="418" t="n">
        <f aca="false">(1+H73)*(1+J73)*(1+I72)-1</f>
        <v>0.0241910739832667</v>
      </c>
      <c r="F73" s="838" t="n">
        <f aca="false">F72*(1+E73)/(1+D73)</f>
        <v>3.31267321846689</v>
      </c>
      <c r="G73" s="514" t="n">
        <f aca="false">TableDE12c!C73</f>
        <v>0.00313040927093877</v>
      </c>
      <c r="H73" s="418" t="n">
        <f aca="false">G72/F72</f>
        <v>-0.0126104168645656</v>
      </c>
      <c r="I73" s="418" t="n">
        <f aca="false">O73/F73</f>
        <v>0</v>
      </c>
      <c r="J73" s="418" t="n">
        <f aca="false">S$163</f>
        <v>0.0372715</v>
      </c>
      <c r="K73" s="839"/>
      <c r="L73" s="418"/>
      <c r="M73" s="387" t="n">
        <f aca="false">O73/F73</f>
        <v>0</v>
      </c>
      <c r="N73" s="418"/>
      <c r="O73" s="840" t="n">
        <v>0</v>
      </c>
      <c r="P73" s="418"/>
      <c r="Q73" s="158"/>
      <c r="R73" s="833"/>
      <c r="S73" s="830"/>
      <c r="T73" s="29"/>
      <c r="U73" s="831"/>
      <c r="V73" s="816"/>
      <c r="W73" s="817"/>
      <c r="X73" s="817"/>
      <c r="Y73" s="817" t="n">
        <f aca="false">1+$D73</f>
        <v>1.0777854934537</v>
      </c>
      <c r="Z73" s="818" t="n">
        <f aca="false">1+E73</f>
        <v>1.02419107398327</v>
      </c>
      <c r="AA73" s="818" t="n">
        <f aca="false">1+H73</f>
        <v>0.987389583135434</v>
      </c>
      <c r="AB73" s="818" t="n">
        <f aca="false">1+J73</f>
        <v>1.0372715</v>
      </c>
      <c r="AC73" s="818" t="n">
        <f aca="false">1+I72</f>
        <v>1</v>
      </c>
      <c r="AD73" s="818"/>
      <c r="AE73" s="818"/>
    </row>
    <row r="74" customFormat="false" ht="12" hidden="false" customHeight="false" outlineLevel="0" collapsed="false">
      <c r="A74" s="416" t="n">
        <f aca="false">A73+1</f>
        <v>1934</v>
      </c>
      <c r="B74" s="819" t="n">
        <f aca="false">TableDE3b!H74</f>
        <v>214.48511971879</v>
      </c>
      <c r="C74" s="384" t="n">
        <f aca="false">B74*F74</f>
        <v>653.914578437895</v>
      </c>
      <c r="D74" s="382" t="n">
        <f aca="false">B74/B73-1</f>
        <v>0.12812544715072</v>
      </c>
      <c r="E74" s="418" t="n">
        <f aca="false">(1+H74)*(1+J74)*(1+I73)-1</f>
        <v>0.0382517006132024</v>
      </c>
      <c r="F74" s="838" t="n">
        <f aca="false">F73*(1+E74)/(1+D74)</f>
        <v>3.04876431192634</v>
      </c>
      <c r="G74" s="514" t="n">
        <f aca="false">TableDE12c!C74</f>
        <v>0.0426501283581031</v>
      </c>
      <c r="H74" s="418" t="n">
        <f aca="false">G73/F73</f>
        <v>0.000944979798637528</v>
      </c>
      <c r="I74" s="418" t="n">
        <f aca="false">O74/F74</f>
        <v>0</v>
      </c>
      <c r="J74" s="418" t="n">
        <f aca="false">S$163</f>
        <v>0.0372715</v>
      </c>
      <c r="K74" s="839"/>
      <c r="L74" s="418"/>
      <c r="M74" s="387" t="n">
        <f aca="false">O74/F74</f>
        <v>0</v>
      </c>
      <c r="N74" s="418"/>
      <c r="O74" s="840" t="n">
        <v>0</v>
      </c>
      <c r="P74" s="418"/>
      <c r="Q74" s="158"/>
      <c r="R74" s="833"/>
      <c r="S74" s="830"/>
      <c r="T74" s="29"/>
      <c r="U74" s="831"/>
      <c r="V74" s="816"/>
      <c r="W74" s="817"/>
      <c r="X74" s="817"/>
      <c r="Y74" s="817" t="n">
        <f aca="false">1+$D74</f>
        <v>1.12812544715072</v>
      </c>
      <c r="Z74" s="818" t="n">
        <f aca="false">1+E74</f>
        <v>1.0382517006132</v>
      </c>
      <c r="AA74" s="818" t="n">
        <f aca="false">1+H74</f>
        <v>1.00094497979864</v>
      </c>
      <c r="AB74" s="818" t="n">
        <f aca="false">1+J74</f>
        <v>1.0372715</v>
      </c>
      <c r="AC74" s="818" t="n">
        <f aca="false">1+I73</f>
        <v>1</v>
      </c>
      <c r="AD74" s="818"/>
      <c r="AE74" s="818"/>
    </row>
    <row r="75" s="435" customFormat="true" ht="12" hidden="false" customHeight="false" outlineLevel="0" collapsed="false">
      <c r="A75" s="416" t="n">
        <f aca="false">A74+1</f>
        <v>1935</v>
      </c>
      <c r="B75" s="819" t="n">
        <f aca="false">TableDE3b!H75</f>
        <v>236.75894333132</v>
      </c>
      <c r="C75" s="384" t="n">
        <f aca="false">B75*F75</f>
        <v>687.775726429425</v>
      </c>
      <c r="D75" s="382" t="n">
        <f aca="false">B75/B74-1</f>
        <v>0.103847873650785</v>
      </c>
      <c r="E75" s="418" t="n">
        <f aca="false">(1+H75)*(1+J75)*(1+I74)-1</f>
        <v>0.0517822191277928</v>
      </c>
      <c r="F75" s="845" t="n">
        <f aca="false">F74*(1+E75)/(1+D75)</f>
        <v>2.904961969977</v>
      </c>
      <c r="G75" s="514" t="n">
        <f aca="false">TableDE12c!C75</f>
        <v>0.0847406430824484</v>
      </c>
      <c r="H75" s="418" t="n">
        <f aca="false">G74/F74</f>
        <v>0.0139893163244078</v>
      </c>
      <c r="I75" s="418" t="n">
        <f aca="false">O75/F75</f>
        <v>0</v>
      </c>
      <c r="J75" s="418" t="n">
        <f aca="false">S$163</f>
        <v>0.0372715</v>
      </c>
      <c r="K75" s="839"/>
      <c r="L75" s="418"/>
      <c r="M75" s="387" t="n">
        <f aca="false">O75/F75</f>
        <v>0</v>
      </c>
      <c r="N75" s="418"/>
      <c r="O75" s="840" t="n">
        <v>0</v>
      </c>
      <c r="P75" s="418"/>
      <c r="Q75" s="158"/>
      <c r="R75" s="848"/>
      <c r="S75" s="849"/>
      <c r="T75" s="850"/>
      <c r="U75" s="851"/>
      <c r="V75" s="816"/>
      <c r="W75" s="817"/>
      <c r="X75" s="817"/>
      <c r="Y75" s="817" t="n">
        <f aca="false">1+$D75</f>
        <v>1.10384787365078</v>
      </c>
      <c r="Z75" s="818" t="n">
        <f aca="false">1+E75</f>
        <v>1.05178221912779</v>
      </c>
      <c r="AA75" s="818" t="n">
        <f aca="false">1+H75</f>
        <v>1.01398931632441</v>
      </c>
      <c r="AB75" s="818" t="n">
        <f aca="false">1+J75</f>
        <v>1.0372715</v>
      </c>
      <c r="AC75" s="818" t="n">
        <f aca="false">1+I74</f>
        <v>1</v>
      </c>
      <c r="AD75" s="818"/>
      <c r="AE75" s="852"/>
    </row>
    <row r="76" customFormat="false" ht="12" hidden="false" customHeight="false" outlineLevel="0" collapsed="false">
      <c r="A76" s="439" t="n">
        <f aca="false">A75+1</f>
        <v>1936</v>
      </c>
      <c r="B76" s="819" t="n">
        <f aca="false">TableDE3b!H76</f>
        <v>264.874404178517</v>
      </c>
      <c r="C76" s="384" t="n">
        <f aca="false">B76*F76</f>
        <v>734.221046552691</v>
      </c>
      <c r="D76" s="382" t="n">
        <f aca="false">B76/B75-1</f>
        <v>0.118751420544446</v>
      </c>
      <c r="E76" s="418" t="n">
        <f aca="false">(1+H76)*(1+J76)*(1+I75)-1</f>
        <v>0.0675297460182058</v>
      </c>
      <c r="F76" s="838" t="n">
        <f aca="false">F75*(1+E76)/(1+D76)</f>
        <v>2.77195921904878</v>
      </c>
      <c r="G76" s="514" t="n">
        <f aca="false">TableDE12c!C76</f>
        <v>0.102604984068492</v>
      </c>
      <c r="H76" s="418" t="n">
        <f aca="false">G75/F75</f>
        <v>0.0291709991243429</v>
      </c>
      <c r="I76" s="418" t="n">
        <f aca="false">O76/F76</f>
        <v>0</v>
      </c>
      <c r="J76" s="418" t="n">
        <f aca="false">S$163</f>
        <v>0.0372715</v>
      </c>
      <c r="K76" s="836"/>
      <c r="L76" s="433"/>
      <c r="M76" s="392" t="n">
        <f aca="false">O76/F76</f>
        <v>0</v>
      </c>
      <c r="N76" s="433"/>
      <c r="O76" s="837" t="n">
        <v>0</v>
      </c>
      <c r="P76" s="433"/>
      <c r="Q76" s="158"/>
      <c r="R76" s="833"/>
      <c r="S76" s="830"/>
      <c r="T76" s="29"/>
      <c r="U76" s="831"/>
      <c r="V76" s="816"/>
      <c r="W76" s="817"/>
      <c r="X76" s="817"/>
      <c r="Y76" s="817" t="n">
        <f aca="false">1+$D76</f>
        <v>1.11875142054445</v>
      </c>
      <c r="Z76" s="818" t="n">
        <f aca="false">1+E76</f>
        <v>1.06752974601821</v>
      </c>
      <c r="AA76" s="818" t="n">
        <f aca="false">1+H76</f>
        <v>1.02917099912434</v>
      </c>
      <c r="AB76" s="818" t="n">
        <f aca="false">1+J76</f>
        <v>1.0372715</v>
      </c>
      <c r="AC76" s="818" t="n">
        <f aca="false">1+I75</f>
        <v>1</v>
      </c>
      <c r="AD76" s="818"/>
      <c r="AE76" s="818"/>
    </row>
    <row r="77" customFormat="false" ht="12" hidden="false" customHeight="false" outlineLevel="0" collapsed="false">
      <c r="A77" s="439" t="n">
        <f aca="false">A76+1</f>
        <v>1937</v>
      </c>
      <c r="B77" s="819" t="n">
        <f aca="false">TableDE3b!H77</f>
        <v>295.735192595547</v>
      </c>
      <c r="C77" s="384" t="n">
        <f aca="false">B77*F77</f>
        <v>789.776944042277</v>
      </c>
      <c r="D77" s="382" t="n">
        <f aca="false">B77/B76-1</f>
        <v>0.116511025339508</v>
      </c>
      <c r="E77" s="418" t="n">
        <f aca="false">(1+H77)*(1+J77)*(1+I76)-1</f>
        <v>0.0756664464338526</v>
      </c>
      <c r="F77" s="845" t="n">
        <f aca="false">F76*(1+E77)/(1+D77)</f>
        <v>2.6705544819023</v>
      </c>
      <c r="G77" s="514" t="n">
        <f aca="false">TableDE12c!C77</f>
        <v>0.114186675780958</v>
      </c>
      <c r="H77" s="418" t="n">
        <f aca="false">G76/F76</f>
        <v>0.0370153295775045</v>
      </c>
      <c r="I77" s="418" t="n">
        <f aca="false">O77/F77</f>
        <v>0</v>
      </c>
      <c r="J77" s="418" t="n">
        <f aca="false">S$163</f>
        <v>0.0372715</v>
      </c>
      <c r="K77" s="839"/>
      <c r="L77" s="418"/>
      <c r="M77" s="387" t="n">
        <f aca="false">O77/F77</f>
        <v>0</v>
      </c>
      <c r="N77" s="418"/>
      <c r="O77" s="840" t="n">
        <v>0</v>
      </c>
      <c r="P77" s="418"/>
      <c r="Q77" s="158"/>
      <c r="R77" s="833"/>
      <c r="S77" s="830"/>
      <c r="T77" s="29"/>
      <c r="U77" s="831"/>
      <c r="V77" s="816"/>
      <c r="W77" s="817"/>
      <c r="X77" s="817"/>
      <c r="Y77" s="817" t="n">
        <f aca="false">1+$D77</f>
        <v>1.11651102533951</v>
      </c>
      <c r="Z77" s="818" t="n">
        <f aca="false">1+E77</f>
        <v>1.07566644643385</v>
      </c>
      <c r="AA77" s="818" t="n">
        <f aca="false">1+H77</f>
        <v>1.0370153295775</v>
      </c>
      <c r="AB77" s="818" t="n">
        <f aca="false">1+J77</f>
        <v>1.0372715</v>
      </c>
      <c r="AC77" s="818" t="n">
        <f aca="false">1+I76</f>
        <v>1</v>
      </c>
      <c r="AD77" s="818"/>
      <c r="AE77" s="818"/>
    </row>
    <row r="78" customFormat="false" ht="12" hidden="false" customHeight="false" outlineLevel="0" collapsed="false">
      <c r="A78" s="439" t="n">
        <f aca="false">A77+1</f>
        <v>1938</v>
      </c>
      <c r="B78" s="819" t="n">
        <f aca="false">TableDE3b!H78</f>
        <v>322.614296220089</v>
      </c>
      <c r="C78" s="384" t="n">
        <f aca="false">B78*F78</f>
        <v>854.240755941108</v>
      </c>
      <c r="D78" s="382" t="n">
        <f aca="false">B78/B77-1</f>
        <v>0.0908890936808535</v>
      </c>
      <c r="E78" s="418" t="n">
        <f aca="false">(1+H78)*(1+J78)*(1+I77)-1</f>
        <v>0.0816228080410768</v>
      </c>
      <c r="F78" s="845" t="n">
        <f aca="false">F77*(1+E78)/(1+D78)</f>
        <v>2.6478701221546</v>
      </c>
      <c r="G78" s="514" t="n">
        <f aca="false">TableDE12c!C78</f>
        <v>0.182148297482014</v>
      </c>
      <c r="H78" s="418" t="n">
        <f aca="false">G77/F77</f>
        <v>0.0427576657037979</v>
      </c>
      <c r="I78" s="418" t="n">
        <f aca="false">O78/F78</f>
        <v>0</v>
      </c>
      <c r="J78" s="418" t="n">
        <f aca="false">S$163</f>
        <v>0.0372715</v>
      </c>
      <c r="K78" s="839"/>
      <c r="L78" s="418"/>
      <c r="M78" s="387" t="n">
        <f aca="false">O78/F78</f>
        <v>0</v>
      </c>
      <c r="N78" s="418"/>
      <c r="O78" s="840" t="n">
        <v>0</v>
      </c>
      <c r="P78" s="418"/>
      <c r="Q78" s="158"/>
      <c r="R78" s="833"/>
      <c r="S78" s="830"/>
      <c r="T78" s="29"/>
      <c r="U78" s="831"/>
      <c r="V78" s="816"/>
      <c r="W78" s="817"/>
      <c r="X78" s="817"/>
      <c r="Y78" s="817" t="n">
        <f aca="false">1+$D78</f>
        <v>1.09088909368085</v>
      </c>
      <c r="Z78" s="818" t="n">
        <f aca="false">1+E78</f>
        <v>1.08162280804108</v>
      </c>
      <c r="AA78" s="818" t="n">
        <f aca="false">1+H78</f>
        <v>1.0427576657038</v>
      </c>
      <c r="AB78" s="818" t="n">
        <f aca="false">1+J78</f>
        <v>1.0372715</v>
      </c>
      <c r="AC78" s="818" t="n">
        <f aca="false">1+I77</f>
        <v>1</v>
      </c>
      <c r="AD78" s="818"/>
      <c r="AE78" s="818"/>
    </row>
    <row r="79" customFormat="false" ht="12" hidden="false" customHeight="false" outlineLevel="0" collapsed="false">
      <c r="A79" s="439" t="n">
        <f aca="false">A78+1</f>
        <v>1939</v>
      </c>
      <c r="B79" s="823" t="n">
        <f aca="false">TableDE3b!H79</f>
        <v>336.272792514232</v>
      </c>
      <c r="C79" s="410" t="n">
        <f aca="false">B79*F79</f>
        <v>947.033444263171</v>
      </c>
      <c r="D79" s="407" t="n">
        <f aca="false">B79/B78-1</f>
        <v>0.0423369219968661</v>
      </c>
      <c r="E79" s="437" t="n">
        <f aca="false">(1+H79)*(1+J79)*(1+I78)-1</f>
        <v>0.108625920358758</v>
      </c>
      <c r="F79" s="841" t="n">
        <f aca="false">F78*(1+E79)/(1+D79)</f>
        <v>2.81626544087146</v>
      </c>
      <c r="G79" s="842" t="n">
        <f aca="false">TableDE12c!C79</f>
        <v>0.0529535835739049</v>
      </c>
      <c r="H79" s="437" t="n">
        <f aca="false">G78/F78</f>
        <v>0.0687904954091168</v>
      </c>
      <c r="I79" s="437" t="n">
        <f aca="false">O79/F79</f>
        <v>0</v>
      </c>
      <c r="J79" s="437" t="n">
        <f aca="false">S$163</f>
        <v>0.0372715</v>
      </c>
      <c r="K79" s="857"/>
      <c r="L79" s="429"/>
      <c r="M79" s="421" t="n">
        <f aca="false">O79/F79</f>
        <v>0</v>
      </c>
      <c r="N79" s="429"/>
      <c r="O79" s="858" t="n">
        <v>0</v>
      </c>
      <c r="P79" s="433"/>
      <c r="Q79" s="158"/>
      <c r="R79" s="833"/>
      <c r="S79" s="830"/>
      <c r="T79" s="29"/>
      <c r="U79" s="831"/>
      <c r="V79" s="816"/>
      <c r="W79" s="817"/>
      <c r="X79" s="817"/>
      <c r="Y79" s="817" t="n">
        <f aca="false">1+$D79</f>
        <v>1.04233692199687</v>
      </c>
      <c r="Z79" s="818" t="n">
        <f aca="false">1+E79</f>
        <v>1.10862592035876</v>
      </c>
      <c r="AA79" s="818" t="n">
        <f aca="false">1+H79</f>
        <v>1.06879049540912</v>
      </c>
      <c r="AB79" s="818" t="n">
        <f aca="false">1+J79</f>
        <v>1.0372715</v>
      </c>
      <c r="AC79" s="818" t="n">
        <f aca="false">1+I78</f>
        <v>1</v>
      </c>
      <c r="AD79" s="818"/>
      <c r="AE79" s="818"/>
    </row>
    <row r="80" customFormat="false" ht="12" hidden="false" customHeight="false" outlineLevel="0" collapsed="false">
      <c r="A80" s="859" t="n">
        <f aca="false">A79+1</f>
        <v>1940</v>
      </c>
      <c r="B80" s="819" t="n">
        <f aca="false">TableDE3b!H80</f>
        <v>348.409152047813</v>
      </c>
      <c r="C80" s="384" t="n">
        <f aca="false">B80*F80</f>
        <v>1000.80133869129</v>
      </c>
      <c r="D80" s="382" t="n">
        <f aca="false">B80/B79-1</f>
        <v>0.0360908161580349</v>
      </c>
      <c r="E80" s="418" t="n">
        <f aca="false">(1+H80)*(1+J80)*(1+I79)-1</f>
        <v>0.056775074580343</v>
      </c>
      <c r="F80" s="838" t="n">
        <f aca="false">F79*(1+E80)/(1+D80)</f>
        <v>2.87248866113009</v>
      </c>
      <c r="G80" s="514" t="n">
        <f aca="false">TableDE12c!C80</f>
        <v>0.118674103224221</v>
      </c>
      <c r="H80" s="418" t="n">
        <f aca="false">G79/F79</f>
        <v>0.018802767241116</v>
      </c>
      <c r="I80" s="418" t="n">
        <f aca="false">O80/F80</f>
        <v>-0.0309202534408686</v>
      </c>
      <c r="J80" s="418" t="n">
        <f aca="false">S$163</f>
        <v>0.0372715</v>
      </c>
      <c r="K80" s="839"/>
      <c r="L80" s="418"/>
      <c r="M80" s="387" t="n">
        <f aca="false">O80/F80</f>
        <v>-0.0309202534408686</v>
      </c>
      <c r="N80" s="418"/>
      <c r="O80" s="840" t="n">
        <f aca="false">-TableDE6f!D$52*TableDE5a!C$79*0.125/TableDE5a!B80</f>
        <v>-0.0888180774081637</v>
      </c>
      <c r="P80" s="418"/>
      <c r="Q80" s="158"/>
      <c r="R80" s="833"/>
      <c r="S80" s="830"/>
      <c r="T80" s="29"/>
      <c r="U80" s="831"/>
      <c r="V80" s="816"/>
      <c r="W80" s="384"/>
      <c r="X80" s="817"/>
      <c r="Y80" s="817" t="n">
        <f aca="false">1+$D80</f>
        <v>1.03609081615803</v>
      </c>
      <c r="Z80" s="818" t="n">
        <f aca="false">1+E80</f>
        <v>1.05677507458034</v>
      </c>
      <c r="AA80" s="818" t="n">
        <f aca="false">1+H80</f>
        <v>1.01880276724112</v>
      </c>
      <c r="AB80" s="818" t="n">
        <f aca="false">1+J80</f>
        <v>1.0372715</v>
      </c>
      <c r="AC80" s="818" t="n">
        <f aca="false">1+I79</f>
        <v>1</v>
      </c>
      <c r="AD80" s="818"/>
      <c r="AE80" s="818"/>
    </row>
    <row r="81" customFormat="false" ht="12" hidden="false" customHeight="false" outlineLevel="0" collapsed="false">
      <c r="A81" s="439" t="n">
        <f aca="false">A80+1</f>
        <v>1941</v>
      </c>
      <c r="B81" s="819" t="n">
        <f aca="false">TableDE3b!H81</f>
        <v>398.029860957642</v>
      </c>
      <c r="C81" s="384" t="n">
        <f aca="false">B81*F81</f>
        <v>1047.56640632714</v>
      </c>
      <c r="D81" s="382" t="n">
        <f aca="false">B81/B80-1</f>
        <v>0.142420796406116</v>
      </c>
      <c r="E81" s="418" t="n">
        <f aca="false">(1+H81)*(1+J81)*(1+I80)-1</f>
        <v>0.0467276229836022</v>
      </c>
      <c r="F81" s="838" t="n">
        <f aca="false">F80*(1+E81)/(1+D81)</f>
        <v>2.63187893442654</v>
      </c>
      <c r="G81" s="514" t="n">
        <f aca="false">TableDE12c!C81</f>
        <v>0.198125145380181</v>
      </c>
      <c r="H81" s="418" t="n">
        <f aca="false">G80/F80</f>
        <v>0.0413140371379335</v>
      </c>
      <c r="I81" s="418" t="n">
        <f aca="false">O81/F81</f>
        <v>-0.0295399230534618</v>
      </c>
      <c r="J81" s="418" t="n">
        <f aca="false">S$163</f>
        <v>0.0372715</v>
      </c>
      <c r="K81" s="839"/>
      <c r="L81" s="418"/>
      <c r="M81" s="387" t="n">
        <f aca="false">O81/F81</f>
        <v>-0.0295399230534618</v>
      </c>
      <c r="N81" s="418"/>
      <c r="O81" s="840" t="n">
        <f aca="false">-TableDE6f!D$52*TableDE5a!C$79*0.125/TableDE5a!B81</f>
        <v>-0.077745501208987</v>
      </c>
      <c r="P81" s="418"/>
      <c r="Q81" s="158"/>
      <c r="R81" s="833"/>
      <c r="S81" s="830"/>
      <c r="T81" s="29"/>
      <c r="U81" s="831"/>
      <c r="V81" s="816"/>
      <c r="W81" s="384"/>
      <c r="X81" s="817"/>
      <c r="Y81" s="817" t="n">
        <f aca="false">1+$D81</f>
        <v>1.14242079640612</v>
      </c>
      <c r="Z81" s="818" t="n">
        <f aca="false">1+E81</f>
        <v>1.0467276229836</v>
      </c>
      <c r="AA81" s="818" t="n">
        <f aca="false">1+H81</f>
        <v>1.04131403713793</v>
      </c>
      <c r="AB81" s="818" t="n">
        <f aca="false">1+J81</f>
        <v>1.0372715</v>
      </c>
      <c r="AC81" s="818" t="n">
        <f aca="false">1+I80</f>
        <v>0.969079746559131</v>
      </c>
      <c r="AD81" s="818"/>
      <c r="AE81" s="818"/>
    </row>
    <row r="82" customFormat="false" ht="12" hidden="false" customHeight="false" outlineLevel="0" collapsed="false">
      <c r="A82" s="439" t="n">
        <f aca="false">A81+1</f>
        <v>1942</v>
      </c>
      <c r="B82" s="819" t="n">
        <f aca="false">TableDE3b!H82</f>
        <v>420.521919127209</v>
      </c>
      <c r="C82" s="384" t="n">
        <f aca="false">B82*F82</f>
        <v>1133.89498863379</v>
      </c>
      <c r="D82" s="382" t="n">
        <f aca="false">B82/B81-1</f>
        <v>0.0565084692777873</v>
      </c>
      <c r="E82" s="418" t="n">
        <f aca="false">(1+H82)*(1+J82)*(1+I81)-1</f>
        <v>0.0824086967520481</v>
      </c>
      <c r="F82" s="838" t="n">
        <f aca="false">F81*(1+E82)/(1+D82)</f>
        <v>2.6963992530691</v>
      </c>
      <c r="G82" s="514" t="n">
        <f aca="false">TableDE12c!C82</f>
        <v>0.242349666350638</v>
      </c>
      <c r="H82" s="418" t="n">
        <f aca="false">G81/F81</f>
        <v>0.0752789738116696</v>
      </c>
      <c r="I82" s="418" t="n">
        <f aca="false">O82/F82</f>
        <v>-0.0272909143672823</v>
      </c>
      <c r="J82" s="418" t="n">
        <f aca="false">S$163</f>
        <v>0.0372715</v>
      </c>
      <c r="K82" s="839"/>
      <c r="L82" s="418"/>
      <c r="M82" s="387" t="n">
        <f aca="false">O82/F82</f>
        <v>-0.0272909143672823</v>
      </c>
      <c r="N82" s="418"/>
      <c r="O82" s="840" t="n">
        <f aca="false">-TableDE6f!D$52*TableDE5a!C$79*0.125/TableDE5a!B82</f>
        <v>-0.0735872011155127</v>
      </c>
      <c r="P82" s="418"/>
      <c r="Q82" s="158"/>
      <c r="R82" s="833"/>
      <c r="S82" s="830"/>
      <c r="T82" s="29"/>
      <c r="U82" s="831"/>
      <c r="V82" s="816"/>
      <c r="W82" s="384"/>
      <c r="X82" s="817"/>
      <c r="Y82" s="817" t="n">
        <f aca="false">1+$D82</f>
        <v>1.05650846927779</v>
      </c>
      <c r="Z82" s="818" t="n">
        <f aca="false">1+E82</f>
        <v>1.08240869675205</v>
      </c>
      <c r="AA82" s="818" t="n">
        <f aca="false">1+H82</f>
        <v>1.07527897381167</v>
      </c>
      <c r="AB82" s="818" t="n">
        <f aca="false">1+J82</f>
        <v>1.0372715</v>
      </c>
      <c r="AC82" s="818" t="n">
        <f aca="false">1+I81</f>
        <v>0.970460076946538</v>
      </c>
      <c r="AD82" s="818"/>
      <c r="AE82" s="818"/>
    </row>
    <row r="83" customFormat="false" ht="12" hidden="false" customHeight="false" outlineLevel="0" collapsed="false">
      <c r="A83" s="439" t="n">
        <f aca="false">A82+1</f>
        <v>1943</v>
      </c>
      <c r="B83" s="819" t="n">
        <f aca="false">TableDE3b!H83</f>
        <v>447.378792195601</v>
      </c>
      <c r="C83" s="384" t="n">
        <f aca="false">B83*F83</f>
        <v>1246.8853950837</v>
      </c>
      <c r="D83" s="382" t="n">
        <f aca="false">B83/B82-1</f>
        <v>0.0638655723918833</v>
      </c>
      <c r="E83" s="418" t="n">
        <f aca="false">(1+H83)*(1+J83)*(1+I82)-1</f>
        <v>0.0996480340618269</v>
      </c>
      <c r="F83" s="838" t="n">
        <f aca="false">F82*(1+E83)/(1+D83)</f>
        <v>2.78709097712112</v>
      </c>
      <c r="G83" s="514" t="n">
        <f aca="false">TableDE12c!C83</f>
        <v>0.301358832544919</v>
      </c>
      <c r="H83" s="418" t="n">
        <f aca="false">G82/F82</f>
        <v>0.0898789992152648</v>
      </c>
      <c r="I83" s="418" t="n">
        <f aca="false">O83/F83</f>
        <v>-0.0248178630997742</v>
      </c>
      <c r="J83" s="418" t="n">
        <f aca="false">S$163</f>
        <v>0.0372715</v>
      </c>
      <c r="K83" s="839"/>
      <c r="L83" s="418"/>
      <c r="M83" s="387" t="n">
        <f aca="false">O83/F83</f>
        <v>-0.0248178630997742</v>
      </c>
      <c r="N83" s="418"/>
      <c r="O83" s="840" t="n">
        <f aca="false">-TableDE6f!D$52*TableDE5a!C$79*0.125/TableDE5a!B83</f>
        <v>-0.069169642316808</v>
      </c>
      <c r="P83" s="418"/>
      <c r="Q83" s="158"/>
      <c r="R83" s="833"/>
      <c r="S83" s="830"/>
      <c r="T83" s="29"/>
      <c r="U83" s="831"/>
      <c r="V83" s="816"/>
      <c r="W83" s="384"/>
      <c r="X83" s="817"/>
      <c r="Y83" s="817" t="n">
        <f aca="false">1+$D83</f>
        <v>1.06386557239188</v>
      </c>
      <c r="Z83" s="818" t="n">
        <f aca="false">1+E83</f>
        <v>1.09964803406183</v>
      </c>
      <c r="AA83" s="818" t="n">
        <f aca="false">1+H83</f>
        <v>1.08987899921526</v>
      </c>
      <c r="AB83" s="818" t="n">
        <f aca="false">1+J83</f>
        <v>1.0372715</v>
      </c>
      <c r="AC83" s="818" t="n">
        <f aca="false">1+I82</f>
        <v>0.972709085632718</v>
      </c>
      <c r="AD83" s="818"/>
      <c r="AE83" s="818"/>
    </row>
    <row r="84" customFormat="false" ht="12" hidden="false" customHeight="false" outlineLevel="0" collapsed="false">
      <c r="A84" s="439" t="n">
        <f aca="false">A83+1</f>
        <v>1944</v>
      </c>
      <c r="B84" s="819" t="n">
        <f aca="false">TableDE3b!H84</f>
        <v>409.401955589016</v>
      </c>
      <c r="C84" s="384" t="n">
        <f aca="false">B84*F84</f>
        <v>1212.67433860658</v>
      </c>
      <c r="D84" s="382" t="n">
        <f aca="false">B84/B83-1</f>
        <v>-0.0848874315660039</v>
      </c>
      <c r="E84" s="418" t="n">
        <f aca="false">(1+H84)*(1+J84)*(1+I83)-1</f>
        <v>-0.0274372100371143</v>
      </c>
      <c r="F84" s="838" t="n">
        <f aca="false">F83*(1+E84)/(1+D84)</f>
        <v>2.96206288722261</v>
      </c>
      <c r="G84" s="514" t="n">
        <f aca="false">TableDE12c!C84</f>
        <v>-0.0647515</v>
      </c>
      <c r="H84" s="418" t="n">
        <f aca="false">G83/F83</f>
        <v>0.108126657873294</v>
      </c>
      <c r="I84" s="418" t="n">
        <f aca="false">O84/F84</f>
        <v>-0.102072023959384</v>
      </c>
      <c r="J84" s="418" t="n">
        <v>-0.1</v>
      </c>
      <c r="K84" s="839"/>
      <c r="L84" s="418"/>
      <c r="M84" s="387" t="n">
        <f aca="false">O84/F84</f>
        <v>-0.102072023959384</v>
      </c>
      <c r="N84" s="418"/>
      <c r="O84" s="840" t="n">
        <f aca="false">-TableDE6f!D$52*TableDE5a!C$79*0.5/TableDE5a!B84</f>
        <v>-0.302343753993788</v>
      </c>
      <c r="P84" s="418"/>
      <c r="Q84" s="158"/>
      <c r="R84" s="833"/>
      <c r="S84" s="830"/>
      <c r="T84" s="29"/>
      <c r="U84" s="831"/>
      <c r="V84" s="816"/>
      <c r="W84" s="384"/>
      <c r="X84" s="817"/>
      <c r="Y84" s="817" t="n">
        <f aca="false">1+$D84</f>
        <v>0.915112568433996</v>
      </c>
      <c r="Z84" s="818" t="n">
        <f aca="false">1+E84</f>
        <v>0.972562789962886</v>
      </c>
      <c r="AA84" s="818" t="n">
        <f aca="false">1+H84</f>
        <v>1.10812665787329</v>
      </c>
      <c r="AB84" s="818" t="n">
        <f aca="false">1+J84</f>
        <v>0.9</v>
      </c>
      <c r="AC84" s="818" t="n">
        <f aca="false">1+I83</f>
        <v>0.975182136900226</v>
      </c>
      <c r="AD84" s="818"/>
      <c r="AE84" s="818"/>
    </row>
    <row r="85" customFormat="false" ht="12" hidden="false" customHeight="false" outlineLevel="0" collapsed="false">
      <c r="A85" s="439" t="n">
        <f aca="false">A84+1</f>
        <v>1945</v>
      </c>
      <c r="B85" s="819" t="n">
        <f aca="false">TableDE3b!H85</f>
        <v>183.999200459899</v>
      </c>
      <c r="C85" s="384" t="n">
        <f aca="false">B85*F85</f>
        <v>479.290810904796</v>
      </c>
      <c r="D85" s="382" t="n">
        <f aca="false">B85/B84-1</f>
        <v>-0.5505658975293</v>
      </c>
      <c r="E85" s="418" t="n">
        <f aca="false">(1+H85)*(1+J85)*(1+I84)-1</f>
        <v>-0.604765438134427</v>
      </c>
      <c r="F85" s="838" t="n">
        <f aca="false">F84*(1+E85)/(1+D85)</f>
        <v>2.60485268254877</v>
      </c>
      <c r="G85" s="514" t="n">
        <f aca="false">TableDE12c!C85</f>
        <v>-0.0647515</v>
      </c>
      <c r="H85" s="418" t="n">
        <f aca="false">G84/F84</f>
        <v>-0.0218602718663798</v>
      </c>
      <c r="I85" s="418" t="n">
        <f aca="false">O85/F85</f>
        <v>0</v>
      </c>
      <c r="J85" s="418" t="n">
        <v>-0.55</v>
      </c>
      <c r="K85" s="839"/>
      <c r="L85" s="418"/>
      <c r="M85" s="387" t="n">
        <f aca="false">O85/F85</f>
        <v>0</v>
      </c>
      <c r="N85" s="418"/>
      <c r="O85" s="840" t="n">
        <v>0</v>
      </c>
      <c r="P85" s="418"/>
      <c r="Q85" s="158"/>
      <c r="R85" s="833"/>
      <c r="S85" s="830"/>
      <c r="T85" s="29"/>
      <c r="U85" s="831"/>
      <c r="V85" s="816"/>
      <c r="W85" s="817"/>
      <c r="X85" s="817"/>
      <c r="Y85" s="817" t="n">
        <f aca="false">1+$D85</f>
        <v>0.4494341024707</v>
      </c>
      <c r="Z85" s="818" t="n">
        <f aca="false">1+E85</f>
        <v>0.395234561865573</v>
      </c>
      <c r="AA85" s="818" t="n">
        <f aca="false">1+H85</f>
        <v>0.97813972813362</v>
      </c>
      <c r="AB85" s="818" t="n">
        <f aca="false">1+J85</f>
        <v>0.45</v>
      </c>
      <c r="AC85" s="818" t="n">
        <f aca="false">1+I84</f>
        <v>0.897927976040616</v>
      </c>
      <c r="AD85" s="818"/>
      <c r="AE85" s="818"/>
    </row>
    <row r="86" customFormat="false" ht="12" hidden="false" customHeight="false" outlineLevel="0" collapsed="false">
      <c r="A86" s="439" t="n">
        <f aca="false">A85+1</f>
        <v>1946</v>
      </c>
      <c r="B86" s="819" t="n">
        <f aca="false">TableDE3b!H86</f>
        <v>159.024293873386</v>
      </c>
      <c r="C86" s="384" t="n">
        <f aca="false">B86*F86</f>
        <v>373.901269340974</v>
      </c>
      <c r="D86" s="382" t="n">
        <f aca="false">B86/B85-1</f>
        <v>-0.135733777777778</v>
      </c>
      <c r="E86" s="418" t="n">
        <f aca="false">(1+H86)*(1+J86)*(1+I85)-1</f>
        <v>-0.219886422117858</v>
      </c>
      <c r="F86" s="838" t="n">
        <f aca="false">F85*(1+E86)/(1+D86)</f>
        <v>2.35122106335948</v>
      </c>
      <c r="G86" s="514" t="n">
        <f aca="false">TableDE12c!C86</f>
        <v>0.0968022674513154</v>
      </c>
      <c r="H86" s="418" t="n">
        <f aca="false">G85/F85</f>
        <v>-0.0248580276473227</v>
      </c>
      <c r="I86" s="418" t="n">
        <f aca="false">O86/F86</f>
        <v>0</v>
      </c>
      <c r="J86" s="418" t="n">
        <v>-0.2</v>
      </c>
      <c r="K86" s="839"/>
      <c r="L86" s="418"/>
      <c r="M86" s="387" t="n">
        <f aca="false">O86/F86</f>
        <v>0</v>
      </c>
      <c r="N86" s="418"/>
      <c r="O86" s="840" t="n">
        <v>0</v>
      </c>
      <c r="P86" s="418"/>
      <c r="Q86" s="158"/>
      <c r="R86" s="860"/>
      <c r="S86" s="830"/>
      <c r="T86" s="29"/>
      <c r="U86" s="831"/>
      <c r="V86" s="816"/>
      <c r="W86" s="817"/>
      <c r="X86" s="817"/>
      <c r="Y86" s="817" t="n">
        <f aca="false">1+$D86</f>
        <v>0.864266222222222</v>
      </c>
      <c r="Z86" s="818" t="n">
        <f aca="false">1+E86</f>
        <v>0.780113577882142</v>
      </c>
      <c r="AA86" s="818" t="n">
        <f aca="false">1+H86</f>
        <v>0.975141972352677</v>
      </c>
      <c r="AB86" s="818" t="n">
        <f aca="false">1+J86</f>
        <v>0.8</v>
      </c>
      <c r="AC86" s="818" t="n">
        <f aca="false">1+I85</f>
        <v>1</v>
      </c>
      <c r="AD86" s="818"/>
      <c r="AE86" s="818"/>
    </row>
    <row r="87" customFormat="false" ht="12" hidden="false" customHeight="false" outlineLevel="0" collapsed="false">
      <c r="A87" s="439" t="n">
        <f aca="false">A86+1</f>
        <v>1947</v>
      </c>
      <c r="B87" s="819" t="n">
        <f aca="false">TableDE3b!H87</f>
        <v>188.295639924172</v>
      </c>
      <c r="C87" s="384" t="n">
        <f aca="false">B87*F87</f>
        <v>403.804796927564</v>
      </c>
      <c r="D87" s="382" t="n">
        <f aca="false">B87/B86-1</f>
        <v>0.184068391928162</v>
      </c>
      <c r="E87" s="418" t="n">
        <f aca="false">(1+H87)*(1+J87)*(1+I86)-1</f>
        <v>0.0799770689179471</v>
      </c>
      <c r="F87" s="838" t="n">
        <f aca="false">F86*(1+E87)/(1+D87)</f>
        <v>2.14452547648039</v>
      </c>
      <c r="G87" s="514" t="n">
        <f aca="false">TableDE12c!C87</f>
        <v>0.132503146587545</v>
      </c>
      <c r="H87" s="418" t="n">
        <f aca="false">G86/F86</f>
        <v>0.0411710616920903</v>
      </c>
      <c r="I87" s="418" t="n">
        <f aca="false">O87/F87</f>
        <v>0</v>
      </c>
      <c r="J87" s="418" t="n">
        <f aca="false">S$163</f>
        <v>0.0372715</v>
      </c>
      <c r="K87" s="839"/>
      <c r="L87" s="418"/>
      <c r="M87" s="387" t="n">
        <f aca="false">O87/F87</f>
        <v>0</v>
      </c>
      <c r="N87" s="418"/>
      <c r="O87" s="840" t="n">
        <v>0</v>
      </c>
      <c r="P87" s="418"/>
      <c r="Q87" s="158"/>
      <c r="R87" s="833"/>
      <c r="S87" s="830"/>
      <c r="T87" s="29"/>
      <c r="U87" s="831"/>
      <c r="V87" s="816"/>
      <c r="W87" s="817"/>
      <c r="X87" s="817"/>
      <c r="Y87" s="817" t="n">
        <f aca="false">1+$D87</f>
        <v>1.18406839192816</v>
      </c>
      <c r="Z87" s="818" t="n">
        <f aca="false">1+E87</f>
        <v>1.07997706891795</v>
      </c>
      <c r="AA87" s="818" t="n">
        <f aca="false">1+H87</f>
        <v>1.04117106169209</v>
      </c>
      <c r="AB87" s="818" t="n">
        <f aca="false">1+J87</f>
        <v>1.0372715</v>
      </c>
      <c r="AC87" s="818" t="n">
        <f aca="false">1+I86</f>
        <v>1</v>
      </c>
      <c r="AD87" s="818"/>
      <c r="AE87" s="818"/>
    </row>
    <row r="88" customFormat="false" ht="12" hidden="false" customHeight="false" outlineLevel="0" collapsed="false">
      <c r="A88" s="439" t="n">
        <f aca="false">A87+1</f>
        <v>1948</v>
      </c>
      <c r="B88" s="819" t="n">
        <f aca="false">TableDE3b!H88</f>
        <v>223.700531754096</v>
      </c>
      <c r="C88" s="384" t="n">
        <f aca="false">B88*F88</f>
        <v>444.734887352866</v>
      </c>
      <c r="D88" s="382" t="n">
        <f aca="false">B88/B87-1</f>
        <v>0.188028208428947</v>
      </c>
      <c r="E88" s="418" t="n">
        <f aca="false">(1+H88)*(1+J88)*(1+I87)-1</f>
        <v>0.101361080246514</v>
      </c>
      <c r="F88" s="838" t="n">
        <f aca="false">F87*(1+E88)/(1+D88)</f>
        <v>1.98808149388641</v>
      </c>
      <c r="G88" s="514" t="n">
        <f aca="false">TableDE12c!C88</f>
        <v>0.132503146587545</v>
      </c>
      <c r="H88" s="418" t="n">
        <f aca="false">G87/F87</f>
        <v>0.0617866973560092</v>
      </c>
      <c r="I88" s="418" t="n">
        <f aca="false">O88/F88</f>
        <v>0</v>
      </c>
      <c r="J88" s="418" t="n">
        <f aca="false">S$163</f>
        <v>0.0372715</v>
      </c>
      <c r="K88" s="839"/>
      <c r="L88" s="418"/>
      <c r="M88" s="387" t="n">
        <f aca="false">O88/F88</f>
        <v>0</v>
      </c>
      <c r="N88" s="418"/>
      <c r="O88" s="840" t="n">
        <v>0</v>
      </c>
      <c r="P88" s="418"/>
      <c r="Q88" s="158"/>
      <c r="R88" s="832"/>
      <c r="S88" s="830"/>
      <c r="T88" s="29"/>
      <c r="U88" s="831"/>
      <c r="V88" s="816"/>
      <c r="W88" s="817"/>
      <c r="X88" s="817"/>
      <c r="Y88" s="817" t="n">
        <f aca="false">1+$D88</f>
        <v>1.18802820842895</v>
      </c>
      <c r="Z88" s="818" t="n">
        <f aca="false">1+E88</f>
        <v>1.10136108024651</v>
      </c>
      <c r="AA88" s="818" t="n">
        <f aca="false">1+H88</f>
        <v>1.06178669735601</v>
      </c>
      <c r="AB88" s="818" t="n">
        <f aca="false">1+J88</f>
        <v>1.0372715</v>
      </c>
      <c r="AC88" s="818" t="n">
        <f aca="false">1+I87</f>
        <v>1</v>
      </c>
      <c r="AD88" s="818"/>
      <c r="AE88" s="818"/>
    </row>
    <row r="89" customFormat="false" ht="12" hidden="false" customHeight="false" outlineLevel="0" collapsed="false">
      <c r="A89" s="443" t="n">
        <v>1949</v>
      </c>
      <c r="B89" s="823" t="n">
        <f aca="false">TableDE3b!H89</f>
        <v>268.758908006169</v>
      </c>
      <c r="C89" s="410" t="n">
        <f aca="false">B89*F89</f>
        <v>492.056613496652</v>
      </c>
      <c r="D89" s="407" t="n">
        <f aca="false">B89/B88-1</f>
        <v>0.201422749864556</v>
      </c>
      <c r="E89" s="437" t="n">
        <f aca="false">(1+H89)*(1+J89)*(1+I88)-1</f>
        <v>0.106404348949217</v>
      </c>
      <c r="F89" s="856" t="n">
        <f aca="false">F88*(1+E89)/(1+D89)</f>
        <v>1.83084764388668</v>
      </c>
      <c r="G89" s="842" t="n">
        <f aca="false">TableDE12c!C89</f>
        <v>0.132503146587545</v>
      </c>
      <c r="H89" s="437" t="n">
        <f aca="false">G88/F88</f>
        <v>0.0666487500613072</v>
      </c>
      <c r="I89" s="437" t="n">
        <f aca="false">O89/F89</f>
        <v>0</v>
      </c>
      <c r="J89" s="437" t="n">
        <f aca="false">S$163</f>
        <v>0.0372715</v>
      </c>
      <c r="K89" s="843"/>
      <c r="L89" s="437"/>
      <c r="M89" s="406" t="n">
        <f aca="false">O89/F89</f>
        <v>0</v>
      </c>
      <c r="N89" s="437"/>
      <c r="O89" s="844" t="n">
        <v>0</v>
      </c>
      <c r="P89" s="418"/>
      <c r="Q89" s="158"/>
      <c r="R89" s="832"/>
      <c r="S89" s="830"/>
      <c r="T89" s="29"/>
      <c r="U89" s="831"/>
      <c r="V89" s="816"/>
      <c r="W89" s="817"/>
      <c r="X89" s="817"/>
      <c r="Y89" s="817" t="n">
        <f aca="false">1+$D89</f>
        <v>1.20142274986456</v>
      </c>
      <c r="Z89" s="818" t="n">
        <f aca="false">1+E89</f>
        <v>1.10640434894922</v>
      </c>
      <c r="AA89" s="818" t="n">
        <f aca="false">1+H89</f>
        <v>1.06664875006131</v>
      </c>
      <c r="AB89" s="818" t="n">
        <f aca="false">1+J89</f>
        <v>1.0372715</v>
      </c>
      <c r="AC89" s="818" t="n">
        <f aca="false">1+I88</f>
        <v>1</v>
      </c>
      <c r="AD89" s="818"/>
      <c r="AE89" s="818"/>
    </row>
    <row r="90" customFormat="false" ht="12" hidden="false" customHeight="false" outlineLevel="0" collapsed="false">
      <c r="A90" s="431" t="n">
        <v>1950</v>
      </c>
      <c r="B90" s="819" t="n">
        <f aca="false">TableDE3b!H90</f>
        <v>302.234484942464</v>
      </c>
      <c r="C90" s="395" t="n">
        <f aca="false">B90*F90</f>
        <v>547.336047449579</v>
      </c>
      <c r="D90" s="393" t="n">
        <f aca="false">B90/B89-1</f>
        <v>0.124556157727528</v>
      </c>
      <c r="E90" s="433" t="n">
        <f aca="false">(1+D90)*F90/F89-1</f>
        <v>0.112343645907125</v>
      </c>
      <c r="F90" s="861" t="n">
        <f aca="false">TableDE6c!B9</f>
        <v>1.81096491207406</v>
      </c>
      <c r="G90" s="433" t="n">
        <f aca="false">TableDE12c!C90</f>
        <v>0.129041259430632</v>
      </c>
      <c r="H90" s="433" t="n">
        <f aca="false">G89/F89</f>
        <v>0.0723725685367552</v>
      </c>
      <c r="I90" s="433" t="n">
        <f aca="false">O90/F90</f>
        <v>0</v>
      </c>
      <c r="J90" s="433" t="n">
        <f aca="false">S$163</f>
        <v>0.0372715</v>
      </c>
      <c r="K90" s="836" t="n">
        <f aca="false">TableDE12c!D90</f>
        <v>0.0302265415598598</v>
      </c>
      <c r="L90" s="433"/>
      <c r="M90" s="392" t="n">
        <f aca="false">O90/F90</f>
        <v>0</v>
      </c>
      <c r="N90" s="433"/>
      <c r="O90" s="837" t="n">
        <v>0</v>
      </c>
      <c r="P90" s="433"/>
      <c r="Q90" s="158"/>
      <c r="R90" s="862"/>
      <c r="S90" s="863"/>
      <c r="T90" s="29"/>
      <c r="U90" s="831"/>
      <c r="V90" s="816"/>
      <c r="W90" s="817"/>
      <c r="X90" s="817"/>
      <c r="Y90" s="817" t="n">
        <f aca="false">1+$D90</f>
        <v>1.12455615772753</v>
      </c>
      <c r="Z90" s="818" t="n">
        <f aca="false">1+E90</f>
        <v>1.11234364590713</v>
      </c>
      <c r="AA90" s="818" t="n">
        <f aca="false">1+H90</f>
        <v>1.07237256853676</v>
      </c>
      <c r="AB90" s="818" t="n">
        <f aca="false">1+J90</f>
        <v>1.0372715</v>
      </c>
      <c r="AC90" s="818" t="n">
        <f aca="false">1+I89</f>
        <v>1</v>
      </c>
      <c r="AD90" s="818"/>
      <c r="AE90" s="818"/>
    </row>
    <row r="91" customFormat="false" ht="12" hidden="false" customHeight="false" outlineLevel="0" collapsed="false">
      <c r="A91" s="416" t="n">
        <f aca="false">A90+1</f>
        <v>1951</v>
      </c>
      <c r="B91" s="819" t="n">
        <f aca="false">TableDE3b!H91</f>
        <v>331.73512901584</v>
      </c>
      <c r="C91" s="384" t="n">
        <f aca="false">B91*F91</f>
        <v>572.570552384146</v>
      </c>
      <c r="D91" s="382" t="n">
        <f aca="false">B91/B90-1</f>
        <v>0.0976084647620275</v>
      </c>
      <c r="E91" s="418" t="n">
        <f aca="false">(1+D91)*F91/F90-1</f>
        <v>0.0461042261918478</v>
      </c>
      <c r="F91" s="845" t="n">
        <f aca="false">TableDE6c!B10</f>
        <v>1.7259870972447</v>
      </c>
      <c r="G91" s="418" t="n">
        <f aca="false">TableDE12c!C91</f>
        <v>0.140471595577549</v>
      </c>
      <c r="H91" s="418" t="n">
        <f aca="false">G90/F90</f>
        <v>0.0712555271337885</v>
      </c>
      <c r="I91" s="418" t="n">
        <f aca="false">O91/F91</f>
        <v>0</v>
      </c>
      <c r="J91" s="418" t="n">
        <f aca="false">(1+$E91)/((1+H91)*(1+I90))-1</f>
        <v>-0.0234783394856636</v>
      </c>
      <c r="K91" s="839" t="n">
        <f aca="false">TableDE12c!D91</f>
        <v>0.0269925644614136</v>
      </c>
      <c r="L91" s="418" t="n">
        <f aca="false">K90/F90</f>
        <v>0.0166908488167459</v>
      </c>
      <c r="M91" s="387" t="n">
        <f aca="false">O91/F91</f>
        <v>0</v>
      </c>
      <c r="N91" s="418" t="n">
        <f aca="false">(1+E91)/((1+L91))-1</f>
        <v>0.0289305027278786</v>
      </c>
      <c r="O91" s="840" t="n">
        <v>0</v>
      </c>
      <c r="P91" s="418"/>
      <c r="Q91" s="158"/>
      <c r="R91" s="832"/>
      <c r="S91" s="830"/>
      <c r="T91" s="29"/>
      <c r="U91" s="831"/>
      <c r="V91" s="816"/>
      <c r="W91" s="817"/>
      <c r="X91" s="817"/>
      <c r="Y91" s="817" t="n">
        <f aca="false">1+$D91</f>
        <v>1.09760846476203</v>
      </c>
      <c r="Z91" s="818" t="n">
        <f aca="false">1+E91</f>
        <v>1.04610422619185</v>
      </c>
      <c r="AA91" s="818" t="n">
        <f aca="false">1+H91</f>
        <v>1.07125552713379</v>
      </c>
      <c r="AB91" s="818" t="n">
        <f aca="false">1+J91</f>
        <v>0.976521660514336</v>
      </c>
      <c r="AC91" s="818" t="n">
        <f aca="false">1+I90</f>
        <v>1</v>
      </c>
      <c r="AD91" s="818" t="n">
        <f aca="false">1+L91</f>
        <v>1.01669084881675</v>
      </c>
      <c r="AE91" s="818" t="n">
        <f aca="false">1+N91</f>
        <v>1.02893050272788</v>
      </c>
    </row>
    <row r="92" customFormat="false" ht="12" hidden="false" customHeight="false" outlineLevel="0" collapsed="false">
      <c r="A92" s="416" t="n">
        <f aca="false">A91+1</f>
        <v>1952</v>
      </c>
      <c r="B92" s="819" t="n">
        <f aca="false">TableDE3b!H92</f>
        <v>362.191218417078</v>
      </c>
      <c r="C92" s="384" t="n">
        <f aca="false">B92*F92</f>
        <v>613.13628069818</v>
      </c>
      <c r="D92" s="382" t="n">
        <f aca="false">B92/B91-1</f>
        <v>0.0918084542074045</v>
      </c>
      <c r="E92" s="418" t="n">
        <f aca="false">(1+D92)*F92/F91-1</f>
        <v>0.0708484363108104</v>
      </c>
      <c r="F92" s="845" t="n">
        <f aca="false">TableDE6c!B11</f>
        <v>1.6928524202708</v>
      </c>
      <c r="G92" s="418" t="n">
        <f aca="false">TableDE12c!C92</f>
        <v>0.150920021402004</v>
      </c>
      <c r="H92" s="418" t="n">
        <f aca="false">G91/F91</f>
        <v>0.0813862373605181</v>
      </c>
      <c r="I92" s="418" t="n">
        <f aca="false">O92/F92</f>
        <v>0</v>
      </c>
      <c r="J92" s="418" t="n">
        <f aca="false">(1+$E92)/((1+H92)*(1+I91))-1</f>
        <v>-0.00974471533448462</v>
      </c>
      <c r="K92" s="839" t="n">
        <f aca="false">TableDE12c!D92</f>
        <v>0.0443064121991936</v>
      </c>
      <c r="L92" s="418" t="n">
        <f aca="false">K91/F91</f>
        <v>0.0156389143954225</v>
      </c>
      <c r="M92" s="387" t="n">
        <f aca="false">O92/F92</f>
        <v>0</v>
      </c>
      <c r="N92" s="418" t="n">
        <f aca="false">(1+E92)/((1+L92))-1</f>
        <v>0.0543593999135532</v>
      </c>
      <c r="O92" s="840" t="n">
        <v>0</v>
      </c>
      <c r="P92" s="418"/>
      <c r="Q92" s="158"/>
      <c r="R92" s="832"/>
      <c r="S92" s="830"/>
      <c r="T92" s="29"/>
      <c r="U92" s="831"/>
      <c r="V92" s="816"/>
      <c r="W92" s="817"/>
      <c r="X92" s="817"/>
      <c r="Y92" s="817" t="n">
        <f aca="false">1+$D92</f>
        <v>1.0918084542074</v>
      </c>
      <c r="Z92" s="818" t="n">
        <f aca="false">1+E92</f>
        <v>1.07084843631081</v>
      </c>
      <c r="AA92" s="818" t="n">
        <f aca="false">1+H92</f>
        <v>1.08138623736052</v>
      </c>
      <c r="AB92" s="818" t="n">
        <f aca="false">1+J92</f>
        <v>0.990255284665515</v>
      </c>
      <c r="AC92" s="818" t="n">
        <f aca="false">1+I91</f>
        <v>1</v>
      </c>
      <c r="AD92" s="818" t="n">
        <f aca="false">1+L92</f>
        <v>1.01563891439542</v>
      </c>
      <c r="AE92" s="818" t="n">
        <f aca="false">1+N92</f>
        <v>1.05435939991355</v>
      </c>
    </row>
    <row r="93" customFormat="false" ht="12" hidden="false" customHeight="false" outlineLevel="0" collapsed="false">
      <c r="A93" s="416" t="n">
        <f aca="false">A92+1</f>
        <v>1953</v>
      </c>
      <c r="B93" s="819" t="n">
        <f aca="false">TableDE3b!H93</f>
        <v>395.064376584016</v>
      </c>
      <c r="C93" s="384" t="n">
        <f aca="false">B93*F93</f>
        <v>664.113502162024</v>
      </c>
      <c r="D93" s="382" t="n">
        <f aca="false">B93/B92-1</f>
        <v>0.0907618862506039</v>
      </c>
      <c r="E93" s="418" t="n">
        <f aca="false">(1+D93)*F93/F92-1</f>
        <v>0.0831417468980904</v>
      </c>
      <c r="F93" s="845" t="n">
        <f aca="false">TableDE6c!B12</f>
        <v>1.68102603404635</v>
      </c>
      <c r="G93" s="418" t="n">
        <f aca="false">TableDE12c!C93</f>
        <v>0.131423283191845</v>
      </c>
      <c r="H93" s="418" t="n">
        <f aca="false">G92/F92</f>
        <v>0.0891513162014809</v>
      </c>
      <c r="I93" s="418" t="n">
        <f aca="false">O93/F93</f>
        <v>0</v>
      </c>
      <c r="J93" s="418" t="n">
        <f aca="false">(1+$E93)/((1+H93)*(1+I92))-1</f>
        <v>-0.00551766243495855</v>
      </c>
      <c r="K93" s="839" t="n">
        <f aca="false">TableDE12c!D93</f>
        <v>0.052432582889028</v>
      </c>
      <c r="L93" s="418" t="n">
        <f aca="false">K92/F92</f>
        <v>0.026172637182458</v>
      </c>
      <c r="M93" s="387" t="n">
        <f aca="false">O93/F93</f>
        <v>0</v>
      </c>
      <c r="N93" s="418" t="n">
        <f aca="false">(1+E93)/((1+L93))-1</f>
        <v>0.0555161067947119</v>
      </c>
      <c r="O93" s="840" t="n">
        <v>0</v>
      </c>
      <c r="P93" s="418"/>
      <c r="Q93" s="158"/>
      <c r="R93" s="832"/>
      <c r="S93" s="830"/>
      <c r="T93" s="29"/>
      <c r="U93" s="831"/>
      <c r="V93" s="816"/>
      <c r="W93" s="817"/>
      <c r="X93" s="817"/>
      <c r="Y93" s="817" t="n">
        <f aca="false">1+$D93</f>
        <v>1.0907618862506</v>
      </c>
      <c r="Z93" s="818" t="n">
        <f aca="false">1+E93</f>
        <v>1.08314174689809</v>
      </c>
      <c r="AA93" s="818" t="n">
        <f aca="false">1+H93</f>
        <v>1.08915131620148</v>
      </c>
      <c r="AB93" s="818" t="n">
        <f aca="false">1+J93</f>
        <v>0.994482337565042</v>
      </c>
      <c r="AC93" s="818" t="n">
        <f aca="false">1+I92</f>
        <v>1</v>
      </c>
      <c r="AD93" s="818" t="n">
        <f aca="false">1+L93</f>
        <v>1.02617263718246</v>
      </c>
      <c r="AE93" s="818" t="n">
        <f aca="false">1+N93</f>
        <v>1.05551610679471</v>
      </c>
    </row>
    <row r="94" customFormat="false" ht="12" hidden="false" customHeight="false" outlineLevel="0" collapsed="false">
      <c r="A94" s="416" t="n">
        <f aca="false">A93+1</f>
        <v>1954</v>
      </c>
      <c r="B94" s="819" t="n">
        <f aca="false">TableDE3b!H94</f>
        <v>424.435791092933</v>
      </c>
      <c r="C94" s="384" t="n">
        <f aca="false">B94*F94</f>
        <v>722.440261826775</v>
      </c>
      <c r="D94" s="382" t="n">
        <f aca="false">B94/B93-1</f>
        <v>0.0743458946181907</v>
      </c>
      <c r="E94" s="418" t="n">
        <f aca="false">(1+D94)*F94/F93-1</f>
        <v>0.0878264927228065</v>
      </c>
      <c r="F94" s="845" t="n">
        <f aca="false">TableDE6c!B13</f>
        <v>1.70211908841729</v>
      </c>
      <c r="G94" s="418" t="n">
        <f aca="false">TableDE12c!C94</f>
        <v>0.139502925210176</v>
      </c>
      <c r="H94" s="418" t="n">
        <f aca="false">G93/F93</f>
        <v>0.0781803972871853</v>
      </c>
      <c r="I94" s="418" t="n">
        <f aca="false">O94/F94</f>
        <v>0</v>
      </c>
      <c r="J94" s="418" t="n">
        <f aca="false">(1+$E94)/((1+H94)*(1+I93))-1</f>
        <v>0.00894664330745743</v>
      </c>
      <c r="K94" s="839" t="n">
        <f aca="false">TableDE12c!D94</f>
        <v>0.0564217574399448</v>
      </c>
      <c r="L94" s="418" t="n">
        <f aca="false">K93/F93</f>
        <v>0.0311908214549295</v>
      </c>
      <c r="M94" s="387" t="n">
        <f aca="false">O94/F94</f>
        <v>0</v>
      </c>
      <c r="N94" s="418" t="n">
        <f aca="false">(1+E94)/((1+L94))-1</f>
        <v>0.0549225905521236</v>
      </c>
      <c r="O94" s="840" t="n">
        <v>0</v>
      </c>
      <c r="P94" s="418"/>
      <c r="Q94" s="158"/>
      <c r="R94" s="829"/>
      <c r="S94" s="830"/>
      <c r="T94" s="29"/>
      <c r="U94" s="831"/>
      <c r="V94" s="816"/>
      <c r="W94" s="817"/>
      <c r="X94" s="817"/>
      <c r="Y94" s="817" t="n">
        <f aca="false">1+$D94</f>
        <v>1.07434589461819</v>
      </c>
      <c r="Z94" s="818" t="n">
        <f aca="false">1+E94</f>
        <v>1.08782649272281</v>
      </c>
      <c r="AA94" s="818" t="n">
        <f aca="false">1+H94</f>
        <v>1.07818039728719</v>
      </c>
      <c r="AB94" s="818" t="n">
        <f aca="false">1+J94</f>
        <v>1.00894664330746</v>
      </c>
      <c r="AC94" s="818" t="n">
        <f aca="false">1+I93</f>
        <v>1</v>
      </c>
      <c r="AD94" s="818" t="n">
        <f aca="false">1+L94</f>
        <v>1.03119082145493</v>
      </c>
      <c r="AE94" s="818" t="n">
        <f aca="false">1+N94</f>
        <v>1.05492259055212</v>
      </c>
    </row>
    <row r="95" customFormat="false" ht="12" hidden="false" customHeight="false" outlineLevel="0" collapsed="false">
      <c r="A95" s="416" t="n">
        <f aca="false">A94+1</f>
        <v>1955</v>
      </c>
      <c r="B95" s="819" t="n">
        <f aca="false">TableDE3b!H95</f>
        <v>476.524962193854</v>
      </c>
      <c r="C95" s="384" t="n">
        <f aca="false">B95*F95</f>
        <v>763.385539481697</v>
      </c>
      <c r="D95" s="382" t="n">
        <f aca="false">B95/B94-1</f>
        <v>0.122725680053491</v>
      </c>
      <c r="E95" s="418" t="n">
        <f aca="false">(1+D95)*F95/F94-1</f>
        <v>0.0566763507219095</v>
      </c>
      <c r="F95" s="845" t="n">
        <f aca="false">TableDE6c!B14</f>
        <v>1.60198436608059</v>
      </c>
      <c r="G95" s="418" t="n">
        <f aca="false">TableDE12c!C95</f>
        <v>0.156642917239501</v>
      </c>
      <c r="H95" s="418" t="n">
        <f aca="false">G94/F94</f>
        <v>0.0819583812669017</v>
      </c>
      <c r="I95" s="418" t="n">
        <f aca="false">O95/F95</f>
        <v>0</v>
      </c>
      <c r="J95" s="418" t="n">
        <f aca="false">(1+$E95)/((1+H95)*(1+I94))-1</f>
        <v>-0.0233669159393992</v>
      </c>
      <c r="K95" s="839" t="n">
        <f aca="false">TableDE12c!D95</f>
        <v>0.0496286716805891</v>
      </c>
      <c r="L95" s="418" t="n">
        <f aca="false">K94/F94</f>
        <v>0.0331479494142848</v>
      </c>
      <c r="M95" s="387" t="n">
        <f aca="false">O95/F95</f>
        <v>0</v>
      </c>
      <c r="N95" s="418" t="n">
        <f aca="false">(1+E95)/((1+L95))-1</f>
        <v>0.0227735062736789</v>
      </c>
      <c r="O95" s="840" t="n">
        <v>0</v>
      </c>
      <c r="P95" s="418"/>
      <c r="Q95" s="158"/>
      <c r="R95" s="832"/>
      <c r="S95" s="830"/>
      <c r="T95" s="29"/>
      <c r="U95" s="831"/>
      <c r="V95" s="816"/>
      <c r="W95" s="817"/>
      <c r="X95" s="817"/>
      <c r="Y95" s="817" t="n">
        <f aca="false">1+$D95</f>
        <v>1.12272568005349</v>
      </c>
      <c r="Z95" s="818" t="n">
        <f aca="false">1+E95</f>
        <v>1.05667635072191</v>
      </c>
      <c r="AA95" s="818" t="n">
        <f aca="false">1+H95</f>
        <v>1.0819583812669</v>
      </c>
      <c r="AB95" s="818" t="n">
        <f aca="false">1+J95</f>
        <v>0.976633084060601</v>
      </c>
      <c r="AC95" s="818" t="n">
        <f aca="false">1+I94</f>
        <v>1</v>
      </c>
      <c r="AD95" s="818" t="n">
        <f aca="false">1+L95</f>
        <v>1.03314794941428</v>
      </c>
      <c r="AE95" s="818" t="n">
        <f aca="false">1+N95</f>
        <v>1.02277350627368</v>
      </c>
    </row>
    <row r="96" customFormat="false" ht="12" hidden="false" customHeight="false" outlineLevel="0" collapsed="false">
      <c r="A96" s="416" t="n">
        <f aca="false">A95+1</f>
        <v>1956</v>
      </c>
      <c r="B96" s="819" t="n">
        <f aca="false">TableDE3b!H96</f>
        <v>512.023840377501</v>
      </c>
      <c r="C96" s="384" t="n">
        <f aca="false">B96*F96</f>
        <v>789.217283021278</v>
      </c>
      <c r="D96" s="382" t="n">
        <f aca="false">B96/B95-1</f>
        <v>0.0744953171397669</v>
      </c>
      <c r="E96" s="418" t="n">
        <f aca="false">(1+D96)*F96/F95-1</f>
        <v>0.0338383977735797</v>
      </c>
      <c r="F96" s="845" t="n">
        <f aca="false">TableDE6c!B15</f>
        <v>1.54136823480604</v>
      </c>
      <c r="G96" s="418" t="n">
        <f aca="false">TableDE12c!C96</f>
        <v>0.153460284020784</v>
      </c>
      <c r="H96" s="418" t="n">
        <f aca="false">G95/F95</f>
        <v>0.0977805530167209</v>
      </c>
      <c r="I96" s="418" t="n">
        <f aca="false">O96/F96</f>
        <v>0</v>
      </c>
      <c r="J96" s="418" t="n">
        <f aca="false">(1+$E96)/((1+H96)*(1+I95))-1</f>
        <v>-0.0582467552986131</v>
      </c>
      <c r="K96" s="839" t="n">
        <f aca="false">TableDE12c!D96</f>
        <v>0.0441278608660523</v>
      </c>
      <c r="L96" s="418" t="n">
        <f aca="false">K95/F95</f>
        <v>0.0309794981345608</v>
      </c>
      <c r="M96" s="387" t="n">
        <f aca="false">O96/F96</f>
        <v>0</v>
      </c>
      <c r="N96" s="418" t="n">
        <f aca="false">(1+E96)/((1+L96))-1</f>
        <v>0.00277299368628747</v>
      </c>
      <c r="O96" s="840" t="n">
        <v>0</v>
      </c>
      <c r="P96" s="418"/>
      <c r="Q96" s="158"/>
      <c r="R96" s="832"/>
      <c r="S96" s="830"/>
      <c r="T96" s="29"/>
      <c r="U96" s="831"/>
      <c r="V96" s="816"/>
      <c r="W96" s="817"/>
      <c r="X96" s="817"/>
      <c r="Y96" s="817" t="n">
        <f aca="false">1+$D96</f>
        <v>1.07449531713977</v>
      </c>
      <c r="Z96" s="818" t="n">
        <f aca="false">1+E96</f>
        <v>1.03383839777358</v>
      </c>
      <c r="AA96" s="818" t="n">
        <f aca="false">1+H96</f>
        <v>1.09778055301672</v>
      </c>
      <c r="AB96" s="818" t="n">
        <f aca="false">1+J96</f>
        <v>0.941753244701387</v>
      </c>
      <c r="AC96" s="818" t="n">
        <f aca="false">1+I95</f>
        <v>1</v>
      </c>
      <c r="AD96" s="818" t="n">
        <f aca="false">1+L96</f>
        <v>1.03097949813456</v>
      </c>
      <c r="AE96" s="818" t="n">
        <f aca="false">1+N96</f>
        <v>1.00277299368629</v>
      </c>
    </row>
    <row r="97" customFormat="false" ht="12" hidden="false" customHeight="false" outlineLevel="0" collapsed="false">
      <c r="A97" s="416" t="n">
        <f aca="false">A96+1</f>
        <v>1957</v>
      </c>
      <c r="B97" s="819" t="n">
        <f aca="false">TableDE3b!H97</f>
        <v>540.945377576347</v>
      </c>
      <c r="C97" s="384" t="n">
        <f aca="false">B97*F97</f>
        <v>832.073002753963</v>
      </c>
      <c r="D97" s="382" t="n">
        <f aca="false">B97/B96-1</f>
        <v>0.0564847472288068</v>
      </c>
      <c r="E97" s="418" t="n">
        <f aca="false">(1+D97)*F97/F96-1</f>
        <v>0.0543015474377675</v>
      </c>
      <c r="F97" s="845" t="n">
        <f aca="false">TableDE6c!B16</f>
        <v>1.53818303519292</v>
      </c>
      <c r="G97" s="418" t="n">
        <f aca="false">TableDE12c!C97</f>
        <v>0.164874669097362</v>
      </c>
      <c r="H97" s="418" t="n">
        <f aca="false">G96/F96</f>
        <v>0.0995610786283623</v>
      </c>
      <c r="I97" s="418" t="n">
        <f aca="false">O97/F97</f>
        <v>0</v>
      </c>
      <c r="J97" s="418" t="n">
        <f aca="false">(1+$E97)/((1+H97)*(1+I96))-1</f>
        <v>-0.0411614525743794</v>
      </c>
      <c r="K97" s="839" t="n">
        <f aca="false">TableDE12c!D97</f>
        <v>0.0600532081980675</v>
      </c>
      <c r="L97" s="418" t="n">
        <f aca="false">K96/F96</f>
        <v>0.028629019250293</v>
      </c>
      <c r="M97" s="387" t="n">
        <f aca="false">O97/F97</f>
        <v>0</v>
      </c>
      <c r="N97" s="418" t="n">
        <f aca="false">(1+E97)/((1+L97))-1</f>
        <v>0.024958004982385</v>
      </c>
      <c r="O97" s="840" t="n">
        <v>0</v>
      </c>
      <c r="P97" s="418"/>
      <c r="Q97" s="158"/>
      <c r="R97" s="832"/>
      <c r="S97" s="830"/>
      <c r="T97" s="29"/>
      <c r="U97" s="831"/>
      <c r="V97" s="816"/>
      <c r="W97" s="817"/>
      <c r="X97" s="817"/>
      <c r="Y97" s="817" t="n">
        <f aca="false">1+$D97</f>
        <v>1.05648474722881</v>
      </c>
      <c r="Z97" s="818" t="n">
        <f aca="false">1+E97</f>
        <v>1.05430154743777</v>
      </c>
      <c r="AA97" s="818" t="n">
        <f aca="false">1+H97</f>
        <v>1.09956107862836</v>
      </c>
      <c r="AB97" s="818" t="n">
        <f aca="false">1+J97</f>
        <v>0.958838547425621</v>
      </c>
      <c r="AC97" s="818" t="n">
        <f aca="false">1+I96</f>
        <v>1</v>
      </c>
      <c r="AD97" s="818" t="n">
        <f aca="false">1+L97</f>
        <v>1.02862901925029</v>
      </c>
      <c r="AE97" s="818" t="n">
        <f aca="false">1+N97</f>
        <v>1.02495800498239</v>
      </c>
    </row>
    <row r="98" customFormat="false" ht="12" hidden="false" customHeight="false" outlineLevel="0" collapsed="false">
      <c r="A98" s="416" t="n">
        <f aca="false">A97+1</f>
        <v>1958</v>
      </c>
      <c r="B98" s="819" t="n">
        <f aca="false">TableDE3b!H98</f>
        <v>562.107576707673</v>
      </c>
      <c r="C98" s="384" t="n">
        <f aca="false">B98*F98</f>
        <v>905.921026298196</v>
      </c>
      <c r="D98" s="382" t="n">
        <f aca="false">B98/B97-1</f>
        <v>0.0391207689510922</v>
      </c>
      <c r="E98" s="418" t="n">
        <f aca="false">(1+D98)*F98/F97-1</f>
        <v>0.0887518562671945</v>
      </c>
      <c r="F98" s="845" t="n">
        <f aca="false">TableDE6c!B17</f>
        <v>1.61165062318547</v>
      </c>
      <c r="G98" s="418" t="n">
        <f aca="false">TableDE12c!C98</f>
        <v>0.170235611906622</v>
      </c>
      <c r="H98" s="418" t="n">
        <f aca="false">G97/F97</f>
        <v>0.107187938837645</v>
      </c>
      <c r="I98" s="418" t="n">
        <f aca="false">O98/F98</f>
        <v>0</v>
      </c>
      <c r="J98" s="418" t="n">
        <f aca="false">(1+$E98)/((1+H98)*(1+I97))-1</f>
        <v>-0.0166512675253718</v>
      </c>
      <c r="K98" s="839" t="n">
        <f aca="false">TableDE12c!D98</f>
        <v>0.0631081834329254</v>
      </c>
      <c r="L98" s="418" t="n">
        <f aca="false">K97/F97</f>
        <v>0.039041652926913</v>
      </c>
      <c r="M98" s="387" t="n">
        <f aca="false">O98/F98</f>
        <v>0</v>
      </c>
      <c r="N98" s="418" t="n">
        <f aca="false">(1+E98)/((1+L98))-1</f>
        <v>0.0478423585813437</v>
      </c>
      <c r="O98" s="840" t="n">
        <v>0</v>
      </c>
      <c r="P98" s="418"/>
      <c r="Q98" s="158"/>
      <c r="R98" s="832"/>
      <c r="S98" s="830"/>
      <c r="T98" s="29"/>
      <c r="U98" s="831"/>
      <c r="V98" s="816"/>
      <c r="W98" s="817"/>
      <c r="X98" s="817"/>
      <c r="Y98" s="817" t="n">
        <f aca="false">1+$D98</f>
        <v>1.03912076895109</v>
      </c>
      <c r="Z98" s="818" t="n">
        <f aca="false">1+E98</f>
        <v>1.08875185626719</v>
      </c>
      <c r="AA98" s="818" t="n">
        <f aca="false">1+H98</f>
        <v>1.10718793883765</v>
      </c>
      <c r="AB98" s="818" t="n">
        <f aca="false">1+J98</f>
        <v>0.983348732474628</v>
      </c>
      <c r="AC98" s="818" t="n">
        <f aca="false">1+I97</f>
        <v>1</v>
      </c>
      <c r="AD98" s="818" t="n">
        <f aca="false">1+L98</f>
        <v>1.03904165292691</v>
      </c>
      <c r="AE98" s="818" t="n">
        <f aca="false">1+N98</f>
        <v>1.04784235858134</v>
      </c>
    </row>
    <row r="99" customFormat="false" ht="12" hidden="false" customHeight="false" outlineLevel="0" collapsed="false">
      <c r="A99" s="416" t="n">
        <f aca="false">A98+1</f>
        <v>1959</v>
      </c>
      <c r="B99" s="823" t="n">
        <f aca="false">TableDE3b!H99</f>
        <v>604.875291138642</v>
      </c>
      <c r="C99" s="384" t="n">
        <f aca="false">B99*F99</f>
        <v>1003.6178196125</v>
      </c>
      <c r="D99" s="382" t="n">
        <f aca="false">B99/B98-1</f>
        <v>0.0760845720697536</v>
      </c>
      <c r="E99" s="418" t="n">
        <f aca="false">(1+D99)*F99/F98-1</f>
        <v>0.1078425055587</v>
      </c>
      <c r="F99" s="845" t="n">
        <f aca="false">TableDE6c!B18</f>
        <v>1.65921444356448</v>
      </c>
      <c r="G99" s="418" t="n">
        <f aca="false">TableDE12c!C99</f>
        <v>0.172067086021464</v>
      </c>
      <c r="H99" s="418" t="n">
        <f aca="false">G98/F98</f>
        <v>0.105628111612768</v>
      </c>
      <c r="I99" s="418" t="n">
        <f aca="false">O99/F99</f>
        <v>0</v>
      </c>
      <c r="J99" s="418" t="n">
        <f aca="false">(1+$E99)/((1+H99)*(1+I98))-1</f>
        <v>0.00200283795489087</v>
      </c>
      <c r="K99" s="839" t="n">
        <f aca="false">TableDE12c!D99</f>
        <v>0.0636457594857226</v>
      </c>
      <c r="L99" s="418" t="n">
        <f aca="false">K98/F98</f>
        <v>0.0391574839639811</v>
      </c>
      <c r="M99" s="437" t="n">
        <f aca="false">O99/F99</f>
        <v>0</v>
      </c>
      <c r="N99" s="437" t="n">
        <f aca="false">(1+E99)/((1+L99))-1</f>
        <v>0.0660968358065541</v>
      </c>
      <c r="O99" s="844" t="n">
        <v>0</v>
      </c>
      <c r="P99" s="418"/>
      <c r="Q99" s="158"/>
      <c r="R99" s="832"/>
      <c r="S99" s="830"/>
      <c r="T99" s="29"/>
      <c r="U99" s="831"/>
      <c r="V99" s="816"/>
      <c r="W99" s="817"/>
      <c r="X99" s="817"/>
      <c r="Y99" s="817" t="n">
        <f aca="false">1+$D99</f>
        <v>1.07608457206975</v>
      </c>
      <c r="Z99" s="818" t="n">
        <f aca="false">1+E99</f>
        <v>1.1078425055587</v>
      </c>
      <c r="AA99" s="818" t="n">
        <f aca="false">1+H99</f>
        <v>1.10562811161277</v>
      </c>
      <c r="AB99" s="818" t="n">
        <f aca="false">1+J99</f>
        <v>1.00200283795489</v>
      </c>
      <c r="AC99" s="818" t="n">
        <f aca="false">1+I98</f>
        <v>1</v>
      </c>
      <c r="AD99" s="818" t="n">
        <f aca="false">1+L99</f>
        <v>1.03915748396398</v>
      </c>
      <c r="AE99" s="818" t="n">
        <f aca="false">1+N99</f>
        <v>1.06609683580655</v>
      </c>
    </row>
    <row r="100" customFormat="false" ht="12" hidden="false" customHeight="false" outlineLevel="0" collapsed="false">
      <c r="A100" s="864" t="n">
        <f aca="false">A99+1</f>
        <v>1960</v>
      </c>
      <c r="B100" s="819" t="n">
        <f aca="false">TableDE3b!H100</f>
        <v>657.448750329126</v>
      </c>
      <c r="C100" s="865" t="n">
        <f aca="false">B100*F100</f>
        <v>1132.72545053431</v>
      </c>
      <c r="D100" s="866" t="n">
        <f aca="false">B100/B99-1</f>
        <v>0.0869161957194813</v>
      </c>
      <c r="E100" s="867" t="n">
        <f aca="false">(1+D100)*F100/F99-1</f>
        <v>0.12864222655159</v>
      </c>
      <c r="F100" s="868" t="n">
        <f aca="false">TableDE6c!B19</f>
        <v>1.72291064507652</v>
      </c>
      <c r="G100" s="867" t="n">
        <f aca="false">TableDE12c!C100</f>
        <v>0.174482018998493</v>
      </c>
      <c r="H100" s="867" t="n">
        <f aca="false">G99/F99</f>
        <v>0.103703946580777</v>
      </c>
      <c r="I100" s="867" t="n">
        <f aca="false">O100/F100</f>
        <v>0</v>
      </c>
      <c r="J100" s="867" t="n">
        <f aca="false">(1+$E100)/((1+H100)*(1+I99))-1</f>
        <v>0.0225950809074034</v>
      </c>
      <c r="K100" s="869" t="n">
        <f aca="false">TableDE12c!D100</f>
        <v>0.0615432007959414</v>
      </c>
      <c r="L100" s="867" t="n">
        <f aca="false">K99/F99</f>
        <v>0.0383589714594051</v>
      </c>
      <c r="M100" s="387" t="n">
        <f aca="false">O100/F100</f>
        <v>0</v>
      </c>
      <c r="N100" s="418" t="n">
        <f aca="false">(1+E100)/((1+L100))-1</f>
        <v>0.0869480185309062</v>
      </c>
      <c r="O100" s="840" t="n">
        <v>0</v>
      </c>
      <c r="P100" s="418"/>
      <c r="Q100" s="158"/>
      <c r="R100" s="832"/>
      <c r="S100" s="830"/>
      <c r="T100" s="29"/>
      <c r="U100" s="831"/>
      <c r="V100" s="816"/>
      <c r="W100" s="817"/>
      <c r="X100" s="817"/>
      <c r="Y100" s="817" t="n">
        <f aca="false">1+$D100</f>
        <v>1.08691619571948</v>
      </c>
      <c r="Z100" s="818" t="n">
        <f aca="false">1+E100</f>
        <v>1.12864222655159</v>
      </c>
      <c r="AA100" s="818" t="n">
        <f aca="false">1+H100</f>
        <v>1.10370394658078</v>
      </c>
      <c r="AB100" s="818" t="n">
        <f aca="false">1+J100</f>
        <v>1.0225950809074</v>
      </c>
      <c r="AC100" s="818" t="n">
        <f aca="false">1+I99</f>
        <v>1</v>
      </c>
      <c r="AD100" s="818" t="n">
        <f aca="false">1+L100</f>
        <v>1.03835897145941</v>
      </c>
      <c r="AE100" s="818" t="n">
        <f aca="false">1+N100</f>
        <v>1.08694801853091</v>
      </c>
    </row>
    <row r="101" customFormat="false" ht="12" hidden="false" customHeight="false" outlineLevel="0" collapsed="false">
      <c r="A101" s="416" t="n">
        <f aca="false">A100+1</f>
        <v>1961</v>
      </c>
      <c r="B101" s="819" t="n">
        <f aca="false">TableDE3b!H101</f>
        <v>683.669902196683</v>
      </c>
      <c r="C101" s="384" t="n">
        <f aca="false">B101*F101</f>
        <v>1265.42491641225</v>
      </c>
      <c r="D101" s="382" t="n">
        <f aca="false">B101/B100-1</f>
        <v>0.039883187631629</v>
      </c>
      <c r="E101" s="418" t="n">
        <f aca="false">(1+D101)*F101/F100-1</f>
        <v>0.117150599746255</v>
      </c>
      <c r="F101" s="845" t="n">
        <f aca="false">TableDE6c!B20</f>
        <v>1.85092968455441</v>
      </c>
      <c r="G101" s="418" t="n">
        <f aca="false">TableDE12c!C101</f>
        <v>0.163651192943359</v>
      </c>
      <c r="H101" s="418" t="n">
        <f aca="false">G100/F100</f>
        <v>0.101271658804304</v>
      </c>
      <c r="I101" s="418" t="n">
        <f aca="false">O101/F101</f>
        <v>0</v>
      </c>
      <c r="J101" s="418" t="n">
        <f aca="false">(1+$E101)/((1+H101)*(1+I100))-1</f>
        <v>0.0144187320312876</v>
      </c>
      <c r="K101" s="839" t="n">
        <f aca="false">TableDE12c!D101</f>
        <v>0.0668455932929867</v>
      </c>
      <c r="L101" s="418" t="n">
        <f aca="false">K100/F100</f>
        <v>0.0357204832251809</v>
      </c>
      <c r="M101" s="387" t="n">
        <f aca="false">O101/F101</f>
        <v>0</v>
      </c>
      <c r="N101" s="418" t="n">
        <f aca="false">(1+E101)/((1+L101))-1</f>
        <v>0.0786217110117444</v>
      </c>
      <c r="O101" s="840" t="n">
        <v>0</v>
      </c>
      <c r="P101" s="418"/>
      <c r="Q101" s="123"/>
      <c r="R101" s="832"/>
      <c r="S101" s="830"/>
      <c r="T101" s="29"/>
      <c r="U101" s="831"/>
      <c r="V101" s="816"/>
      <c r="W101" s="817"/>
      <c r="X101" s="817"/>
      <c r="Y101" s="817" t="n">
        <f aca="false">1+$D101</f>
        <v>1.03988318763163</v>
      </c>
      <c r="Z101" s="818" t="n">
        <f aca="false">1+E101</f>
        <v>1.11715059974626</v>
      </c>
      <c r="AA101" s="818" t="n">
        <f aca="false">1+H101</f>
        <v>1.1012716588043</v>
      </c>
      <c r="AB101" s="818" t="n">
        <f aca="false">1+J101</f>
        <v>1.01441873203129</v>
      </c>
      <c r="AC101" s="818" t="n">
        <f aca="false">1+I100</f>
        <v>1</v>
      </c>
      <c r="AD101" s="818" t="n">
        <f aca="false">1+L101</f>
        <v>1.03572048322518</v>
      </c>
      <c r="AE101" s="818" t="n">
        <f aca="false">1+N101</f>
        <v>1.07862171101174</v>
      </c>
    </row>
    <row r="102" customFormat="false" ht="12" hidden="false" customHeight="false" outlineLevel="0" collapsed="false">
      <c r="A102" s="416" t="n">
        <f aca="false">A101+1</f>
        <v>1962</v>
      </c>
      <c r="B102" s="819" t="n">
        <f aca="false">TableDE3b!H102</f>
        <v>711.56733112705</v>
      </c>
      <c r="C102" s="384" t="n">
        <f aca="false">B102*F102</f>
        <v>1369.47148792725</v>
      </c>
      <c r="D102" s="382" t="n">
        <f aca="false">B102/B101-1</f>
        <v>0.0408054074645245</v>
      </c>
      <c r="E102" s="418" t="n">
        <f aca="false">(1+D102)*F102/F101-1</f>
        <v>0.0822226353895399</v>
      </c>
      <c r="F102" s="845" t="n">
        <f aca="false">TableDE6c!B21</f>
        <v>1.92458454459699</v>
      </c>
      <c r="G102" s="418" t="n">
        <f aca="false">TableDE12c!C102</f>
        <v>0.157950710036278</v>
      </c>
      <c r="H102" s="418" t="n">
        <f aca="false">G101/F101</f>
        <v>0.0884156725720006</v>
      </c>
      <c r="I102" s="418" t="n">
        <f aca="false">O102/F102</f>
        <v>0</v>
      </c>
      <c r="J102" s="418" t="n">
        <f aca="false">(1+$E102)/((1+H102)*(1+I101))-1</f>
        <v>-0.0056899559042789</v>
      </c>
      <c r="K102" s="839" t="n">
        <f aca="false">TableDE12c!D102</f>
        <v>0.0638661766276336</v>
      </c>
      <c r="L102" s="418" t="n">
        <f aca="false">K101/F101</f>
        <v>0.0361146043800573</v>
      </c>
      <c r="M102" s="387" t="n">
        <f aca="false">O102/F102</f>
        <v>0</v>
      </c>
      <c r="N102" s="418" t="n">
        <f aca="false">(1+E102)/((1+L102))-1</f>
        <v>0.0445008986598259</v>
      </c>
      <c r="O102" s="840" t="n">
        <v>0</v>
      </c>
      <c r="P102" s="418"/>
      <c r="Q102" s="123"/>
      <c r="R102" s="832"/>
      <c r="S102" s="830"/>
      <c r="T102" s="29"/>
      <c r="U102" s="831"/>
      <c r="V102" s="816"/>
      <c r="W102" s="817"/>
      <c r="X102" s="817"/>
      <c r="Y102" s="817" t="n">
        <f aca="false">1+$D102</f>
        <v>1.04080540746452</v>
      </c>
      <c r="Z102" s="818" t="n">
        <f aca="false">1+E102</f>
        <v>1.08222263538954</v>
      </c>
      <c r="AA102" s="818" t="n">
        <f aca="false">1+H102</f>
        <v>1.088415672572</v>
      </c>
      <c r="AB102" s="818" t="n">
        <f aca="false">1+J102</f>
        <v>0.994310044095721</v>
      </c>
      <c r="AC102" s="818" t="n">
        <f aca="false">1+I101</f>
        <v>1</v>
      </c>
      <c r="AD102" s="818" t="n">
        <f aca="false">1+L102</f>
        <v>1.03611460438006</v>
      </c>
      <c r="AE102" s="818" t="n">
        <f aca="false">1+N102</f>
        <v>1.04450089865983</v>
      </c>
    </row>
    <row r="103" customFormat="false" ht="12" hidden="false" customHeight="false" outlineLevel="0" collapsed="false">
      <c r="A103" s="416" t="n">
        <f aca="false">A102+1</f>
        <v>1963</v>
      </c>
      <c r="B103" s="819" t="n">
        <f aca="false">TableDE3b!H103</f>
        <v>727.3212112817</v>
      </c>
      <c r="C103" s="384" t="n">
        <f aca="false">B103*F103</f>
        <v>1478.05918078994</v>
      </c>
      <c r="D103" s="382" t="n">
        <f aca="false">B103/B102-1</f>
        <v>0.0221396900412749</v>
      </c>
      <c r="E103" s="418" t="n">
        <f aca="false">(1+D103)*F103/F102-1</f>
        <v>0.0792916784467233</v>
      </c>
      <c r="F103" s="845" t="n">
        <f aca="false">TableDE6c!B22</f>
        <v>2.03219589620557</v>
      </c>
      <c r="G103" s="418" t="n">
        <f aca="false">TableDE12c!C103</f>
        <v>0.145314807080079</v>
      </c>
      <c r="H103" s="418" t="n">
        <f aca="false">G102/F102</f>
        <v>0.0820700293368266</v>
      </c>
      <c r="I103" s="418" t="n">
        <f aca="false">O103/F103</f>
        <v>0</v>
      </c>
      <c r="J103" s="418" t="n">
        <f aca="false">(1+$E103)/((1+H103)*(1+I102))-1</f>
        <v>-0.00256762576799774</v>
      </c>
      <c r="K103" s="839" t="n">
        <f aca="false">TableDE12c!D103</f>
        <v>0.0733324725396677</v>
      </c>
      <c r="L103" s="418" t="n">
        <f aca="false">K102/F102</f>
        <v>0.0331843965010158</v>
      </c>
      <c r="M103" s="387" t="n">
        <f aca="false">O103/F103</f>
        <v>0</v>
      </c>
      <c r="N103" s="418" t="n">
        <f aca="false">(1+E103)/((1+L103))-1</f>
        <v>0.0446263823784547</v>
      </c>
      <c r="O103" s="840" t="n">
        <v>0</v>
      </c>
      <c r="P103" s="418"/>
      <c r="Q103" s="123"/>
      <c r="R103" s="832"/>
      <c r="S103" s="830"/>
      <c r="T103" s="29"/>
      <c r="U103" s="831"/>
      <c r="V103" s="816"/>
      <c r="W103" s="817"/>
      <c r="X103" s="817"/>
      <c r="Y103" s="817" t="n">
        <f aca="false">1+$D103</f>
        <v>1.02213969004128</v>
      </c>
      <c r="Z103" s="818" t="n">
        <f aca="false">1+E103</f>
        <v>1.07929167844672</v>
      </c>
      <c r="AA103" s="818" t="n">
        <f aca="false">1+H103</f>
        <v>1.08207002933683</v>
      </c>
      <c r="AB103" s="818" t="n">
        <f aca="false">1+J103</f>
        <v>0.997432374232002</v>
      </c>
      <c r="AC103" s="818" t="n">
        <f aca="false">1+I102</f>
        <v>1</v>
      </c>
      <c r="AD103" s="818" t="n">
        <f aca="false">1+L103</f>
        <v>1.03318439650102</v>
      </c>
      <c r="AE103" s="818" t="n">
        <f aca="false">1+N103</f>
        <v>1.04462638237845</v>
      </c>
    </row>
    <row r="104" customFormat="false" ht="12" hidden="false" customHeight="false" outlineLevel="0" collapsed="false">
      <c r="A104" s="416" t="n">
        <f aca="false">A103+1</f>
        <v>1964</v>
      </c>
      <c r="B104" s="819" t="n">
        <f aca="false">TableDE3b!H104</f>
        <v>774.00515371377</v>
      </c>
      <c r="C104" s="384" t="n">
        <f aca="false">B104*F104</f>
        <v>1593.80070062786</v>
      </c>
      <c r="D104" s="382" t="n">
        <f aca="false">B104/B103-1</f>
        <v>0.0641861418420651</v>
      </c>
      <c r="E104" s="418" t="n">
        <f aca="false">(1+D104)*F104/F103-1</f>
        <v>0.0783064178635009</v>
      </c>
      <c r="F104" s="845" t="n">
        <f aca="false">TableDE6c!B23</f>
        <v>2.05916032080744</v>
      </c>
      <c r="G104" s="418" t="n">
        <f aca="false">TableDE12c!C104</f>
        <v>0.162032626093683</v>
      </c>
      <c r="H104" s="418" t="n">
        <f aca="false">G103/F103</f>
        <v>0.0715062988520965</v>
      </c>
      <c r="I104" s="418" t="n">
        <f aca="false">O104/F104</f>
        <v>0</v>
      </c>
      <c r="J104" s="418" t="n">
        <f aca="false">(1+$E104)/((1+H104)*(1+I103))-1</f>
        <v>0.00634631734660762</v>
      </c>
      <c r="K104" s="839" t="n">
        <f aca="false">TableDE12c!D104</f>
        <v>0.0807932197061177</v>
      </c>
      <c r="L104" s="418" t="n">
        <f aca="false">K103/F103</f>
        <v>0.0360853363972396</v>
      </c>
      <c r="M104" s="387" t="n">
        <f aca="false">O104/F104</f>
        <v>0</v>
      </c>
      <c r="N104" s="418" t="n">
        <f aca="false">(1+E104)/((1+L104))-1</f>
        <v>0.0407505829713564</v>
      </c>
      <c r="O104" s="840" t="n">
        <v>0</v>
      </c>
      <c r="P104" s="418"/>
      <c r="Q104" s="123"/>
      <c r="R104" s="832"/>
      <c r="S104" s="830"/>
      <c r="T104" s="29"/>
      <c r="U104" s="831"/>
      <c r="V104" s="816"/>
      <c r="W104" s="817"/>
      <c r="X104" s="817"/>
      <c r="Y104" s="817" t="n">
        <f aca="false">1+$D104</f>
        <v>1.06418614184207</v>
      </c>
      <c r="Z104" s="818" t="n">
        <f aca="false">1+E104</f>
        <v>1.0783064178635</v>
      </c>
      <c r="AA104" s="818" t="n">
        <f aca="false">1+H104</f>
        <v>1.0715062988521</v>
      </c>
      <c r="AB104" s="818" t="n">
        <f aca="false">1+J104</f>
        <v>1.00634631734661</v>
      </c>
      <c r="AC104" s="818" t="n">
        <f aca="false">1+I103</f>
        <v>1</v>
      </c>
      <c r="AD104" s="818" t="n">
        <f aca="false">1+L104</f>
        <v>1.03608533639724</v>
      </c>
      <c r="AE104" s="818" t="n">
        <f aca="false">1+N104</f>
        <v>1.04075058297136</v>
      </c>
    </row>
    <row r="105" customFormat="false" ht="12" hidden="false" customHeight="false" outlineLevel="0" collapsed="false">
      <c r="A105" s="416" t="n">
        <f aca="false">A104+1</f>
        <v>1965</v>
      </c>
      <c r="B105" s="819" t="n">
        <f aca="false">TableDE3b!H105</f>
        <v>813.418767410794</v>
      </c>
      <c r="C105" s="384" t="n">
        <f aca="false">B105*F105</f>
        <v>1692.09922100765</v>
      </c>
      <c r="D105" s="382" t="n">
        <f aca="false">B105/B104-1</f>
        <v>0.0509216424566588</v>
      </c>
      <c r="E105" s="418" t="n">
        <f aca="false">(1+D105)*F105/F104-1</f>
        <v>0.0616755409513081</v>
      </c>
      <c r="F105" s="845" t="n">
        <f aca="false">TableDE6c!B24</f>
        <v>2.08023135044425</v>
      </c>
      <c r="G105" s="418" t="n">
        <f aca="false">TableDE12c!C105</f>
        <v>0.166631201809104</v>
      </c>
      <c r="H105" s="418" t="n">
        <f aca="false">G104/F104</f>
        <v>0.0786886890041407</v>
      </c>
      <c r="I105" s="418" t="n">
        <f aca="false">O105/F105</f>
        <v>0</v>
      </c>
      <c r="J105" s="418" t="n">
        <f aca="false">(1+$E105)/((1+H105)*(1+I104))-1</f>
        <v>-0.0157720649398293</v>
      </c>
      <c r="K105" s="839" t="n">
        <f aca="false">TableDE12c!D105</f>
        <v>0.0901952115973582</v>
      </c>
      <c r="L105" s="418" t="n">
        <f aca="false">K104/F104</f>
        <v>0.0392360026024769</v>
      </c>
      <c r="M105" s="387" t="n">
        <f aca="false">O105/F105</f>
        <v>0</v>
      </c>
      <c r="N105" s="418" t="n">
        <f aca="false">(1+E105)/((1+L105))-1</f>
        <v>0.0215923411935668</v>
      </c>
      <c r="O105" s="840" t="n">
        <v>0</v>
      </c>
      <c r="P105" s="418"/>
      <c r="Q105" s="123"/>
      <c r="R105" s="832"/>
      <c r="S105" s="830"/>
      <c r="T105" s="29"/>
      <c r="U105" s="831"/>
      <c r="V105" s="816"/>
      <c r="W105" s="817"/>
      <c r="X105" s="817"/>
      <c r="Y105" s="817" t="n">
        <f aca="false">1+$D105</f>
        <v>1.05092164245666</v>
      </c>
      <c r="Z105" s="818" t="n">
        <f aca="false">1+E105</f>
        <v>1.06167554095131</v>
      </c>
      <c r="AA105" s="818" t="n">
        <f aca="false">1+H105</f>
        <v>1.07868868900414</v>
      </c>
      <c r="AB105" s="818" t="n">
        <f aca="false">1+J105</f>
        <v>0.984227935060171</v>
      </c>
      <c r="AC105" s="818" t="n">
        <f aca="false">1+I104</f>
        <v>1</v>
      </c>
      <c r="AD105" s="818" t="n">
        <f aca="false">1+L105</f>
        <v>1.03923600260248</v>
      </c>
      <c r="AE105" s="818" t="n">
        <f aca="false">1+N105</f>
        <v>1.02159234119357</v>
      </c>
    </row>
    <row r="106" customFormat="false" ht="12" hidden="false" customHeight="false" outlineLevel="0" collapsed="false">
      <c r="A106" s="416" t="n">
        <f aca="false">A105+1</f>
        <v>1966</v>
      </c>
      <c r="B106" s="819" t="n">
        <f aca="false">TableDE3b!H106</f>
        <v>832.655391548034</v>
      </c>
      <c r="C106" s="384" t="n">
        <f aca="false">B106*F106</f>
        <v>1795.7929156609</v>
      </c>
      <c r="D106" s="382" t="n">
        <f aca="false">B106/B105-1</f>
        <v>0.023649102907316</v>
      </c>
      <c r="E106" s="418" t="n">
        <f aca="false">(1+D106)*F106/F105-1</f>
        <v>0.061281095910849</v>
      </c>
      <c r="F106" s="845" t="n">
        <f aca="false">TableDE6c!B25</f>
        <v>2.15670604416821</v>
      </c>
      <c r="G106" s="418" t="n">
        <f aca="false">TableDE12c!C106</f>
        <v>0.155713040821261</v>
      </c>
      <c r="H106" s="418" t="n">
        <f aca="false">G105/F105</f>
        <v>0.0801022452495577</v>
      </c>
      <c r="I106" s="418" t="n">
        <f aca="false">O106/F106</f>
        <v>0</v>
      </c>
      <c r="J106" s="418" t="n">
        <f aca="false">(1+$E106)/((1+H106)*(1+I105))-1</f>
        <v>-0.0174253404448391</v>
      </c>
      <c r="K106" s="839" t="n">
        <f aca="false">TableDE12c!D106</f>
        <v>0.0864878429910414</v>
      </c>
      <c r="L106" s="418" t="n">
        <f aca="false">K105/F105</f>
        <v>0.0433582599253186</v>
      </c>
      <c r="M106" s="387" t="n">
        <f aca="false">O106/F106</f>
        <v>0</v>
      </c>
      <c r="N106" s="418" t="n">
        <f aca="false">(1+E106)/((1+L106))-1</f>
        <v>0.0171780266414081</v>
      </c>
      <c r="O106" s="840" t="n">
        <v>0</v>
      </c>
      <c r="P106" s="418"/>
      <c r="Q106" s="123"/>
      <c r="R106" s="832"/>
      <c r="S106" s="830"/>
      <c r="T106" s="29"/>
      <c r="U106" s="831"/>
      <c r="V106" s="816"/>
      <c r="W106" s="817"/>
      <c r="X106" s="817"/>
      <c r="Y106" s="817" t="n">
        <f aca="false">1+$D106</f>
        <v>1.02364910290732</v>
      </c>
      <c r="Z106" s="818" t="n">
        <f aca="false">1+E106</f>
        <v>1.06128109591085</v>
      </c>
      <c r="AA106" s="818" t="n">
        <f aca="false">1+H106</f>
        <v>1.08010224524956</v>
      </c>
      <c r="AB106" s="818" t="n">
        <f aca="false">1+J106</f>
        <v>0.982574659555161</v>
      </c>
      <c r="AC106" s="818" t="n">
        <f aca="false">1+I105</f>
        <v>1</v>
      </c>
      <c r="AD106" s="818" t="n">
        <f aca="false">1+L106</f>
        <v>1.04335825992532</v>
      </c>
      <c r="AE106" s="818" t="n">
        <f aca="false">1+N106</f>
        <v>1.01717802664141</v>
      </c>
    </row>
    <row r="107" customFormat="false" ht="12" hidden="false" customHeight="false" outlineLevel="0" collapsed="false">
      <c r="A107" s="416" t="n">
        <f aca="false">A106+1</f>
        <v>1967</v>
      </c>
      <c r="B107" s="819" t="n">
        <f aca="false">TableDE3b!H107</f>
        <v>826.063922057928</v>
      </c>
      <c r="C107" s="384" t="n">
        <f aca="false">B107*F107</f>
        <v>1951.16940599575</v>
      </c>
      <c r="D107" s="382" t="n">
        <f aca="false">B107/B106-1</f>
        <v>-0.00791620345825395</v>
      </c>
      <c r="E107" s="418" t="n">
        <f aca="false">(1+D107)*F107/F106-1</f>
        <v>0.0865224987691162</v>
      </c>
      <c r="F107" s="845" t="n">
        <f aca="false">TableDE6c!B26</f>
        <v>2.36200777433169</v>
      </c>
      <c r="G107" s="418" t="n">
        <f aca="false">TableDE12c!C107</f>
        <v>0.151821108085628</v>
      </c>
      <c r="H107" s="418" t="n">
        <f aca="false">G106/F106</f>
        <v>0.072199473471275</v>
      </c>
      <c r="I107" s="418" t="n">
        <f aca="false">O107/F107</f>
        <v>0</v>
      </c>
      <c r="J107" s="418" t="n">
        <f aca="false">(1+$E107)/((1+H107)*(1+I106))-1</f>
        <v>0.0133585453567422</v>
      </c>
      <c r="K107" s="839" t="n">
        <f aca="false">TableDE12c!D107</f>
        <v>0.0836368767500594</v>
      </c>
      <c r="L107" s="418" t="n">
        <f aca="false">K106/F106</f>
        <v>0.0401018225107249</v>
      </c>
      <c r="M107" s="387" t="n">
        <f aca="false">O107/F107</f>
        <v>0</v>
      </c>
      <c r="N107" s="418" t="n">
        <f aca="false">(1+E107)/((1+L107))-1</f>
        <v>0.0446308959889479</v>
      </c>
      <c r="O107" s="840" t="n">
        <v>0</v>
      </c>
      <c r="P107" s="418"/>
      <c r="Q107" s="123"/>
      <c r="R107" s="832"/>
      <c r="S107" s="830"/>
      <c r="T107" s="29"/>
      <c r="U107" s="831"/>
      <c r="V107" s="816"/>
      <c r="W107" s="817"/>
      <c r="X107" s="817"/>
      <c r="Y107" s="817" t="n">
        <f aca="false">1+$D107</f>
        <v>0.992083796541746</v>
      </c>
      <c r="Z107" s="818" t="n">
        <f aca="false">1+E107</f>
        <v>1.08652249876912</v>
      </c>
      <c r="AA107" s="818" t="n">
        <f aca="false">1+H107</f>
        <v>1.07219947347128</v>
      </c>
      <c r="AB107" s="818" t="n">
        <f aca="false">1+J107</f>
        <v>1.01335854535674</v>
      </c>
      <c r="AC107" s="818" t="n">
        <f aca="false">1+I106</f>
        <v>1</v>
      </c>
      <c r="AD107" s="818" t="n">
        <f aca="false">1+L107</f>
        <v>1.04010182251073</v>
      </c>
      <c r="AE107" s="818" t="n">
        <f aca="false">1+N107</f>
        <v>1.04463089598895</v>
      </c>
    </row>
    <row r="108" customFormat="false" ht="12" hidden="false" customHeight="false" outlineLevel="0" collapsed="false">
      <c r="A108" s="416" t="n">
        <f aca="false">A107+1</f>
        <v>1968</v>
      </c>
      <c r="B108" s="819" t="n">
        <f aca="false">TableDE3b!H108</f>
        <v>874.33692386071</v>
      </c>
      <c r="C108" s="384" t="n">
        <f aca="false">B108*F108</f>
        <v>2100.05465421833</v>
      </c>
      <c r="D108" s="382" t="n">
        <f aca="false">B108/B107-1</f>
        <v>0.0584373684817543</v>
      </c>
      <c r="E108" s="418" t="n">
        <f aca="false">(1+D108)*F108/F107-1</f>
        <v>0.0763056491994314</v>
      </c>
      <c r="F108" s="845" t="n">
        <f aca="false">TableDE6c!B27</f>
        <v>2.40188261173434</v>
      </c>
      <c r="G108" s="418" t="n">
        <f aca="false">TableDE12c!C108</f>
        <v>0.163465948328095</v>
      </c>
      <c r="H108" s="418" t="n">
        <f aca="false">G107/F107</f>
        <v>0.0642762948265842</v>
      </c>
      <c r="I108" s="418" t="n">
        <f aca="false">O108/F108</f>
        <v>0</v>
      </c>
      <c r="J108" s="418" t="n">
        <f aca="false">(1+$E108)/((1+H108)*(1+I107))-1</f>
        <v>0.0113028491110077</v>
      </c>
      <c r="K108" s="839" t="n">
        <f aca="false">TableDE12c!D108</f>
        <v>0.0931137083855779</v>
      </c>
      <c r="L108" s="418" t="n">
        <f aca="false">K107/F107</f>
        <v>0.0354092300876206</v>
      </c>
      <c r="M108" s="387" t="n">
        <f aca="false">O108/F108</f>
        <v>0</v>
      </c>
      <c r="N108" s="418" t="n">
        <f aca="false">(1+E108)/((1+L108))-1</f>
        <v>0.0394978313148222</v>
      </c>
      <c r="O108" s="840" t="n">
        <v>0</v>
      </c>
      <c r="P108" s="418"/>
      <c r="Q108" s="123"/>
      <c r="R108" s="832"/>
      <c r="S108" s="830"/>
      <c r="T108" s="29"/>
      <c r="U108" s="831"/>
      <c r="V108" s="816"/>
      <c r="W108" s="817"/>
      <c r="X108" s="817"/>
      <c r="Y108" s="817" t="n">
        <f aca="false">1+$D108</f>
        <v>1.05843736848175</v>
      </c>
      <c r="Z108" s="818" t="n">
        <f aca="false">1+E108</f>
        <v>1.07630564919943</v>
      </c>
      <c r="AA108" s="818" t="n">
        <f aca="false">1+H108</f>
        <v>1.06427629482658</v>
      </c>
      <c r="AB108" s="818" t="n">
        <f aca="false">1+J108</f>
        <v>1.01130284911101</v>
      </c>
      <c r="AC108" s="818" t="n">
        <f aca="false">1+I107</f>
        <v>1</v>
      </c>
      <c r="AD108" s="818" t="n">
        <f aca="false">1+L108</f>
        <v>1.03540923008762</v>
      </c>
      <c r="AE108" s="818" t="n">
        <f aca="false">1+N108</f>
        <v>1.03949783131482</v>
      </c>
    </row>
    <row r="109" customFormat="false" ht="12" hidden="false" customHeight="false" outlineLevel="0" collapsed="false">
      <c r="A109" s="436" t="n">
        <f aca="false">A108+1</f>
        <v>1969</v>
      </c>
      <c r="B109" s="823" t="n">
        <f aca="false">TableDE3b!H109</f>
        <v>943.251480634596</v>
      </c>
      <c r="C109" s="410" t="n">
        <f aca="false">B109*F109</f>
        <v>2209.85951582742</v>
      </c>
      <c r="D109" s="407" t="n">
        <f aca="false">B109/B108-1</f>
        <v>0.078819222765508</v>
      </c>
      <c r="E109" s="437" t="n">
        <f aca="false">(1+D109)*F109/F108-1</f>
        <v>0.0522866685343331</v>
      </c>
      <c r="F109" s="841" t="n">
        <f aca="false">TableDE6c!B28</f>
        <v>2.34281054543449</v>
      </c>
      <c r="G109" s="437" t="n">
        <f aca="false">TableDE12c!C109</f>
        <v>0.155456095789605</v>
      </c>
      <c r="H109" s="437" t="n">
        <f aca="false">G108/F108</f>
        <v>0.068057426091303</v>
      </c>
      <c r="I109" s="437" t="n">
        <f aca="false">O109/F109</f>
        <v>0</v>
      </c>
      <c r="J109" s="437" t="n">
        <f aca="false">(1+$E109)/((1+H109)*(1+I108))-1</f>
        <v>-0.0147658329708779</v>
      </c>
      <c r="K109" s="843" t="n">
        <f aca="false">TableDE12c!D109</f>
        <v>0.0964638492315008</v>
      </c>
      <c r="L109" s="437" t="n">
        <f aca="false">K108/F108</f>
        <v>0.0387669688479667</v>
      </c>
      <c r="M109" s="406" t="n">
        <f aca="false">O109/F109</f>
        <v>0</v>
      </c>
      <c r="N109" s="437" t="n">
        <f aca="false">(1+E109)/((1+L109))-1</f>
        <v>0.013015142078844</v>
      </c>
      <c r="O109" s="844" t="n">
        <v>0</v>
      </c>
      <c r="P109" s="418"/>
      <c r="Q109" s="123"/>
      <c r="R109" s="870"/>
      <c r="S109" s="871"/>
      <c r="T109" s="29"/>
      <c r="U109" s="831"/>
      <c r="V109" s="816"/>
      <c r="W109" s="817"/>
      <c r="X109" s="817"/>
      <c r="Y109" s="817" t="n">
        <f aca="false">1+$D109</f>
        <v>1.07881922276551</v>
      </c>
      <c r="Z109" s="818" t="n">
        <f aca="false">1+E109</f>
        <v>1.05228666853433</v>
      </c>
      <c r="AA109" s="818" t="n">
        <f aca="false">1+H109</f>
        <v>1.0680574260913</v>
      </c>
      <c r="AB109" s="818" t="n">
        <f aca="false">1+J109</f>
        <v>0.985234167029122</v>
      </c>
      <c r="AC109" s="818" t="n">
        <f aca="false">1+I108</f>
        <v>1</v>
      </c>
      <c r="AD109" s="818" t="n">
        <f aca="false">1+L109</f>
        <v>1.03876696884797</v>
      </c>
      <c r="AE109" s="818" t="n">
        <f aca="false">1+N109</f>
        <v>1.01301514207884</v>
      </c>
    </row>
    <row r="110" customFormat="false" ht="12" hidden="false" customHeight="false" outlineLevel="0" collapsed="false">
      <c r="A110" s="416" t="n">
        <f aca="false">A109+1</f>
        <v>1970</v>
      </c>
      <c r="B110" s="819" t="n">
        <f aca="false">TableDE3b!H110</f>
        <v>987.979706433215</v>
      </c>
      <c r="C110" s="384" t="n">
        <f aca="false">B110*F110</f>
        <v>2223.23405594337</v>
      </c>
      <c r="D110" s="382" t="n">
        <f aca="false">B110/B109-1</f>
        <v>0.0474191948986147</v>
      </c>
      <c r="E110" s="418" t="n">
        <f aca="false">(1+D110)*F110/F109-1</f>
        <v>0.0060522128307936</v>
      </c>
      <c r="F110" s="845" t="n">
        <f aca="false">TableDE6c!B29</f>
        <v>2.25028311964994</v>
      </c>
      <c r="G110" s="418" t="n">
        <f aca="false">TableDE12c!C110</f>
        <v>0.163334591429995</v>
      </c>
      <c r="H110" s="418" t="n">
        <f aca="false">G109/F109</f>
        <v>0.0663545313523313</v>
      </c>
      <c r="I110" s="418" t="n">
        <f aca="false">O110/F110</f>
        <v>0</v>
      </c>
      <c r="J110" s="418" t="n">
        <f aca="false">(1+$E110)/((1+H110)*(1+I109))-1</f>
        <v>-0.056549971654421</v>
      </c>
      <c r="K110" s="839" t="n">
        <f aca="false">TableDE12c!D110</f>
        <v>0.102508295242015</v>
      </c>
      <c r="L110" s="418" t="n">
        <f aca="false">K109/F109</f>
        <v>0.0411744131080011</v>
      </c>
      <c r="M110" s="387" t="n">
        <f aca="false">O110/F110</f>
        <v>0</v>
      </c>
      <c r="N110" s="418" t="n">
        <f aca="false">(1+E110)/((1+L110))-1</f>
        <v>-0.033733253367574</v>
      </c>
      <c r="O110" s="840" t="n">
        <v>0</v>
      </c>
      <c r="P110" s="418"/>
      <c r="Q110" s="123"/>
      <c r="R110" s="872" t="n">
        <f aca="false">F110</f>
        <v>2.25028311964994</v>
      </c>
      <c r="S110" s="873"/>
      <c r="T110" s="874" t="n">
        <f aca="false">F110</f>
        <v>2.25028311964994</v>
      </c>
      <c r="U110" s="875"/>
      <c r="V110" s="816"/>
      <c r="W110" s="817"/>
      <c r="X110" s="817"/>
      <c r="Y110" s="817" t="n">
        <f aca="false">1+$D110</f>
        <v>1.04741919489861</v>
      </c>
      <c r="Z110" s="818" t="n">
        <f aca="false">1+E110</f>
        <v>1.00605221283079</v>
      </c>
      <c r="AA110" s="818" t="n">
        <f aca="false">1+H110</f>
        <v>1.06635453135233</v>
      </c>
      <c r="AB110" s="818" t="n">
        <f aca="false">1+J110</f>
        <v>0.943450028345579</v>
      </c>
      <c r="AC110" s="818" t="n">
        <f aca="false">1+I109</f>
        <v>1</v>
      </c>
      <c r="AD110" s="818" t="n">
        <f aca="false">1+L110</f>
        <v>1.041174413108</v>
      </c>
      <c r="AE110" s="818" t="n">
        <f aca="false">1+N110</f>
        <v>0.966266746632426</v>
      </c>
    </row>
    <row r="111" customFormat="false" ht="12" hidden="false" customHeight="false" outlineLevel="0" collapsed="false">
      <c r="A111" s="416" t="n">
        <v>1971</v>
      </c>
      <c r="B111" s="819" t="n">
        <f aca="false">TableDE3b!H111</f>
        <v>1013.5760890425</v>
      </c>
      <c r="C111" s="384" t="n">
        <f aca="false">B111*F111</f>
        <v>2229.84072424991</v>
      </c>
      <c r="D111" s="382" t="n">
        <f aca="false">B111/B110-1</f>
        <v>0.0259078019949348</v>
      </c>
      <c r="E111" s="418" t="n">
        <f aca="false">(1+D111)*F111/F110-1</f>
        <v>0.00297164767195035</v>
      </c>
      <c r="F111" s="845" t="n">
        <f aca="false">TableDE6c!B30</f>
        <v>2.19997368560301</v>
      </c>
      <c r="G111" s="418" t="n">
        <f aca="false">TableDE12c!C111</f>
        <v>0.152056196762001</v>
      </c>
      <c r="H111" s="418" t="n">
        <f aca="false">G110/F110</f>
        <v>0.0725840184302693</v>
      </c>
      <c r="I111" s="418" t="n">
        <f aca="false">O111/F111</f>
        <v>0</v>
      </c>
      <c r="J111" s="418" t="n">
        <f aca="false">(1+$E111)/((1+H111)*(1+I110))-1</f>
        <v>-0.0649015550876815</v>
      </c>
      <c r="K111" s="839" t="n">
        <f aca="false">TableDE12c!D111</f>
        <v>0.100607094066776</v>
      </c>
      <c r="L111" s="418" t="n">
        <f aca="false">K110/F110</f>
        <v>0.0455535102880573</v>
      </c>
      <c r="M111" s="387" t="n">
        <f aca="false">O111/F111</f>
        <v>0</v>
      </c>
      <c r="N111" s="418" t="n">
        <f aca="false">(1+E111)/((1+L111))-1</f>
        <v>-0.040726622020881</v>
      </c>
      <c r="O111" s="840" t="n">
        <v>0</v>
      </c>
      <c r="P111" s="418"/>
      <c r="Q111" s="123"/>
      <c r="R111" s="876" t="n">
        <f aca="false">R110*(1+S111)*(1+G110/R110)/(1+D111)</f>
        <v>2.3412692481513</v>
      </c>
      <c r="S111" s="877" t="n">
        <f aca="false">S$157</f>
        <v>-0.0048439</v>
      </c>
      <c r="T111" s="878" t="n">
        <f aca="false">T110*(1+U111)*(1+K110/T110)/(1+D111)</f>
        <v>2.30176083280451</v>
      </c>
      <c r="U111" s="879" t="n">
        <f aca="false">T$157</f>
        <v>0.0036565</v>
      </c>
      <c r="V111" s="816"/>
      <c r="W111" s="817"/>
      <c r="X111" s="817"/>
      <c r="Y111" s="817" t="n">
        <f aca="false">1+$D111</f>
        <v>1.02590780199493</v>
      </c>
      <c r="Z111" s="818" t="n">
        <f aca="false">1+E111</f>
        <v>1.00297164767195</v>
      </c>
      <c r="AA111" s="818" t="n">
        <f aca="false">1+H111</f>
        <v>1.07258401843027</v>
      </c>
      <c r="AB111" s="818" t="n">
        <f aca="false">1+J111</f>
        <v>0.935098444912319</v>
      </c>
      <c r="AC111" s="818" t="n">
        <f aca="false">1+I110</f>
        <v>1</v>
      </c>
      <c r="AD111" s="818" t="n">
        <f aca="false">1+L111</f>
        <v>1.04555351028806</v>
      </c>
      <c r="AE111" s="818" t="n">
        <f aca="false">1+N111</f>
        <v>0.959273377979119</v>
      </c>
    </row>
    <row r="112" customFormat="false" ht="12" hidden="false" customHeight="false" outlineLevel="0" collapsed="false">
      <c r="A112" s="416" t="n">
        <v>1972</v>
      </c>
      <c r="B112" s="819" t="n">
        <f aca="false">TableDE3b!H112</f>
        <v>1054.09684746279</v>
      </c>
      <c r="C112" s="384" t="n">
        <f aca="false">B112*F112</f>
        <v>2337.81750755355</v>
      </c>
      <c r="D112" s="382" t="n">
        <f aca="false">B112/B111-1</f>
        <v>0.0399780133512939</v>
      </c>
      <c r="E112" s="418" t="n">
        <f aca="false">(1+D112)*F112/F111-1</f>
        <v>0.0484235408069171</v>
      </c>
      <c r="F112" s="845" t="n">
        <f aca="false">TableDE6c!B31</f>
        <v>2.21783938845911</v>
      </c>
      <c r="G112" s="418" t="n">
        <f aca="false">TableDE12c!C112</f>
        <v>0.149517444997924</v>
      </c>
      <c r="H112" s="418" t="n">
        <f aca="false">G111/F111</f>
        <v>0.0691172797916095</v>
      </c>
      <c r="I112" s="418" t="n">
        <f aca="false">O112/F112</f>
        <v>0</v>
      </c>
      <c r="J112" s="418" t="n">
        <f aca="false">(1+$E112)/((1+H112)*(1+I111))-1</f>
        <v>-0.0193559110640565</v>
      </c>
      <c r="K112" s="839" t="n">
        <f aca="false">TableDE12c!D112</f>
        <v>0.109649013963338</v>
      </c>
      <c r="L112" s="418" t="n">
        <f aca="false">K111/F111</f>
        <v>0.0457310442961957</v>
      </c>
      <c r="M112" s="387" t="n">
        <f aca="false">O112/F112</f>
        <v>0</v>
      </c>
      <c r="N112" s="418" t="n">
        <f aca="false">(1+E112)/((1+L112))-1</f>
        <v>0.00257475048236078</v>
      </c>
      <c r="O112" s="840" t="n">
        <v>0</v>
      </c>
      <c r="P112" s="418"/>
      <c r="Q112" s="123"/>
      <c r="R112" s="876" t="n">
        <f aca="false">R111*(1+S112)*(1+G111/R111)/(1+D112)</f>
        <v>2.38586584902401</v>
      </c>
      <c r="S112" s="877" t="n">
        <f aca="false">S$157</f>
        <v>-0.0048439</v>
      </c>
      <c r="T112" s="878" t="n">
        <f aca="false">T111*(1+U112)*(1+K111/T111)/(1+D112)</f>
        <v>2.3184645773674</v>
      </c>
      <c r="U112" s="879" t="n">
        <f aca="false">T$157</f>
        <v>0.0036565</v>
      </c>
      <c r="V112" s="816"/>
      <c r="W112" s="817"/>
      <c r="X112" s="817"/>
      <c r="Y112" s="817" t="n">
        <f aca="false">1+$D112</f>
        <v>1.03997801335129</v>
      </c>
      <c r="Z112" s="818" t="n">
        <f aca="false">1+E112</f>
        <v>1.04842354080692</v>
      </c>
      <c r="AA112" s="818" t="n">
        <f aca="false">1+H112</f>
        <v>1.06911727979161</v>
      </c>
      <c r="AB112" s="818" t="n">
        <f aca="false">1+J112</f>
        <v>0.980644088935944</v>
      </c>
      <c r="AC112" s="818" t="n">
        <f aca="false">1+I111</f>
        <v>1</v>
      </c>
      <c r="AD112" s="818" t="n">
        <f aca="false">1+L112</f>
        <v>1.0457310442962</v>
      </c>
      <c r="AE112" s="818" t="n">
        <f aca="false">1+N112</f>
        <v>1.00257475048236</v>
      </c>
    </row>
    <row r="113" customFormat="false" ht="12" hidden="false" customHeight="false" outlineLevel="0" collapsed="false">
      <c r="A113" s="416" t="n">
        <v>1973</v>
      </c>
      <c r="B113" s="819" t="n">
        <f aca="false">TableDE3b!H113</f>
        <v>1105.10702888404</v>
      </c>
      <c r="C113" s="384" t="n">
        <f aca="false">B113*F113</f>
        <v>2414.43686604343</v>
      </c>
      <c r="D113" s="382" t="n">
        <f aca="false">B113/B112-1</f>
        <v>0.0483923100083512</v>
      </c>
      <c r="E113" s="418" t="n">
        <f aca="false">(1+D113)*F113/F112-1</f>
        <v>0.0327738834371447</v>
      </c>
      <c r="F113" s="845" t="n">
        <f aca="false">TableDE6c!B32</f>
        <v>2.18479912165755</v>
      </c>
      <c r="G113" s="418" t="n">
        <f aca="false">TableDE12c!C113</f>
        <v>0.133445090096382</v>
      </c>
      <c r="H113" s="418" t="n">
        <f aca="false">G112/F112</f>
        <v>0.0674158127842635</v>
      </c>
      <c r="I113" s="418" t="n">
        <f aca="false">O113/F113</f>
        <v>0</v>
      </c>
      <c r="J113" s="418" t="n">
        <f aca="false">(1+$E113)/((1+H113)*(1+I112))-1</f>
        <v>-0.0324540155131843</v>
      </c>
      <c r="K113" s="839" t="n">
        <f aca="false">TableDE12c!D113</f>
        <v>0.10322653893987</v>
      </c>
      <c r="L113" s="418" t="n">
        <f aca="false">K112/F112</f>
        <v>0.0494395647105533</v>
      </c>
      <c r="M113" s="387" t="n">
        <f aca="false">O113/F113</f>
        <v>0</v>
      </c>
      <c r="N113" s="418" t="n">
        <f aca="false">(1+E113)/((1+L113))-1</f>
        <v>-0.0158805536153054</v>
      </c>
      <c r="O113" s="840" t="n">
        <v>0</v>
      </c>
      <c r="P113" s="418"/>
      <c r="Q113" s="123"/>
      <c r="R113" s="876" t="n">
        <f aca="false">R112*(1+S113)*(1+G112/R112)/(1+D113)</f>
        <v>2.40663931507083</v>
      </c>
      <c r="S113" s="877" t="n">
        <f aca="false">S$157</f>
        <v>-0.0048439</v>
      </c>
      <c r="T113" s="878" t="n">
        <f aca="false">T112*(1+U113)*(1+K112/T112)/(1+D113)</f>
        <v>2.32450387647161</v>
      </c>
      <c r="U113" s="879" t="n">
        <f aca="false">T$157</f>
        <v>0.0036565</v>
      </c>
      <c r="V113" s="816"/>
      <c r="W113" s="817"/>
      <c r="X113" s="817"/>
      <c r="Y113" s="817" t="n">
        <f aca="false">1+$D113</f>
        <v>1.04839231000835</v>
      </c>
      <c r="Z113" s="818" t="n">
        <f aca="false">1+E113</f>
        <v>1.03277388343714</v>
      </c>
      <c r="AA113" s="818" t="n">
        <f aca="false">1+H113</f>
        <v>1.06741581278426</v>
      </c>
      <c r="AB113" s="818" t="n">
        <f aca="false">1+J113</f>
        <v>0.967545984486816</v>
      </c>
      <c r="AC113" s="818" t="n">
        <f aca="false">1+I112</f>
        <v>1</v>
      </c>
      <c r="AD113" s="818" t="n">
        <f aca="false">1+L113</f>
        <v>1.04943956471055</v>
      </c>
      <c r="AE113" s="818" t="n">
        <f aca="false">1+N113</f>
        <v>0.984119446384695</v>
      </c>
    </row>
    <row r="114" customFormat="false" ht="12" hidden="false" customHeight="false" outlineLevel="0" collapsed="false">
      <c r="A114" s="416" t="n">
        <v>1974</v>
      </c>
      <c r="B114" s="819" t="n">
        <f aca="false">TableDE3b!H114</f>
        <v>1108.89535968749</v>
      </c>
      <c r="C114" s="384" t="n">
        <f aca="false">B114*F114</f>
        <v>2440.9747405837</v>
      </c>
      <c r="D114" s="382" t="n">
        <f aca="false">B114/B113-1</f>
        <v>0.00342802163449707</v>
      </c>
      <c r="E114" s="418" t="n">
        <f aca="false">(1+D114)*F114/F113-1</f>
        <v>0.0109913309034926</v>
      </c>
      <c r="F114" s="845" t="n">
        <f aca="false">TableDE6c!B33</f>
        <v>2.20126698092742</v>
      </c>
      <c r="G114" s="418" t="n">
        <f aca="false">TableDE12c!C114</f>
        <v>0.141769587127192</v>
      </c>
      <c r="H114" s="418" t="n">
        <f aca="false">G113/F113</f>
        <v>0.0610788830760519</v>
      </c>
      <c r="I114" s="418" t="n">
        <f aca="false">O114/F114</f>
        <v>0</v>
      </c>
      <c r="J114" s="418" t="n">
        <f aca="false">(1+$E114)/((1+H114)*(1+I113))-1</f>
        <v>-0.0472043624384986</v>
      </c>
      <c r="K114" s="839" t="n">
        <f aca="false">TableDE12c!D114</f>
        <v>0.111056441089748</v>
      </c>
      <c r="L114" s="418" t="n">
        <f aca="false">K113/F113</f>
        <v>0.0472476109664284</v>
      </c>
      <c r="M114" s="387" t="n">
        <f aca="false">O114/F114</f>
        <v>0</v>
      </c>
      <c r="N114" s="418" t="n">
        <f aca="false">(1+E114)/((1+L114))-1</f>
        <v>-0.0346205421557158</v>
      </c>
      <c r="O114" s="840" t="n">
        <v>0</v>
      </c>
      <c r="P114" s="418"/>
      <c r="Q114" s="123"/>
      <c r="R114" s="876" t="n">
        <f aca="false">R113*(1+S114)*(1+G113/R113)/(1+D114)</f>
        <v>2.51914480741676</v>
      </c>
      <c r="S114" s="877" t="n">
        <f aca="false">S$157</f>
        <v>-0.0048439</v>
      </c>
      <c r="T114" s="878" t="n">
        <f aca="false">T113*(1+U114)*(1+K113/T113)/(1+D114)</f>
        <v>2.42828320431635</v>
      </c>
      <c r="U114" s="879" t="n">
        <f aca="false">T$157</f>
        <v>0.0036565</v>
      </c>
      <c r="V114" s="816"/>
      <c r="W114" s="817"/>
      <c r="X114" s="817"/>
      <c r="Y114" s="817" t="n">
        <f aca="false">1+$D114</f>
        <v>1.0034280216345</v>
      </c>
      <c r="Z114" s="818" t="n">
        <f aca="false">1+E114</f>
        <v>1.01099133090349</v>
      </c>
      <c r="AA114" s="818" t="n">
        <f aca="false">1+H114</f>
        <v>1.06107888307605</v>
      </c>
      <c r="AB114" s="818" t="n">
        <f aca="false">1+J114</f>
        <v>0.952795637561501</v>
      </c>
      <c r="AC114" s="818" t="n">
        <f aca="false">1+I113</f>
        <v>1</v>
      </c>
      <c r="AD114" s="818" t="n">
        <f aca="false">1+L114</f>
        <v>1.04724761096643</v>
      </c>
      <c r="AE114" s="818" t="n">
        <f aca="false">1+N114</f>
        <v>0.965379457844284</v>
      </c>
    </row>
    <row r="115" customFormat="false" ht="12" hidden="false" customHeight="false" outlineLevel="0" collapsed="false">
      <c r="A115" s="416" t="n">
        <v>1975</v>
      </c>
      <c r="B115" s="819" t="n">
        <f aca="false">TableDE3b!H115</f>
        <v>1095.39871502593</v>
      </c>
      <c r="C115" s="384" t="n">
        <f aca="false">B115*F115</f>
        <v>2513.56139182451</v>
      </c>
      <c r="D115" s="382" t="n">
        <f aca="false">B115/B114-1</f>
        <v>-0.0121712518170902</v>
      </c>
      <c r="E115" s="418" t="n">
        <f aca="false">(1+D115)*F115/F114-1</f>
        <v>0.0297367482071726</v>
      </c>
      <c r="F115" s="845" t="n">
        <f aca="false">TableDE6c!B34</f>
        <v>2.29465431841867</v>
      </c>
      <c r="G115" s="418" t="n">
        <f aca="false">TableDE12c!C115</f>
        <v>0.147137448457347</v>
      </c>
      <c r="H115" s="418" t="n">
        <f aca="false">G114/F114</f>
        <v>0.064403631343011</v>
      </c>
      <c r="I115" s="418" t="n">
        <f aca="false">O115/F115</f>
        <v>0</v>
      </c>
      <c r="J115" s="418" t="n">
        <f aca="false">(1+$E115)/((1+H115)*(1+I114))-1</f>
        <v>-0.0325693018278201</v>
      </c>
      <c r="K115" s="839" t="n">
        <f aca="false">TableDE12c!D115</f>
        <v>0.121352825172545</v>
      </c>
      <c r="L115" s="418" t="n">
        <f aca="false">K114/F114</f>
        <v>0.0504511456592868</v>
      </c>
      <c r="M115" s="387" t="n">
        <f aca="false">O115/F115</f>
        <v>0</v>
      </c>
      <c r="N115" s="418" t="n">
        <f aca="false">(1+E115)/((1+L115))-1</f>
        <v>-0.0197195248324596</v>
      </c>
      <c r="O115" s="840" t="n">
        <v>0</v>
      </c>
      <c r="P115" s="418"/>
      <c r="Q115" s="123"/>
      <c r="R115" s="876" t="n">
        <f aca="false">R114*(1+S115)*(1+G114/R114)/(1+D115)</f>
        <v>2.68065208284251</v>
      </c>
      <c r="S115" s="877" t="n">
        <f aca="false">S$157</f>
        <v>-0.0048439</v>
      </c>
      <c r="T115" s="878" t="n">
        <f aca="false">T114*(1+U115)*(1+K114/T114)/(1+D115)</f>
        <v>2.58002689788859</v>
      </c>
      <c r="U115" s="879" t="n">
        <f aca="false">T$157</f>
        <v>0.0036565</v>
      </c>
      <c r="V115" s="816"/>
      <c r="W115" s="817"/>
      <c r="X115" s="817"/>
      <c r="Y115" s="817" t="n">
        <f aca="false">1+$D115</f>
        <v>0.98782874818291</v>
      </c>
      <c r="Z115" s="818" t="n">
        <f aca="false">1+E115</f>
        <v>1.02973674820717</v>
      </c>
      <c r="AA115" s="818" t="n">
        <f aca="false">1+H115</f>
        <v>1.06440363134301</v>
      </c>
      <c r="AB115" s="818" t="n">
        <f aca="false">1+J115</f>
        <v>0.96743069817218</v>
      </c>
      <c r="AC115" s="818" t="n">
        <f aca="false">1+I114</f>
        <v>1</v>
      </c>
      <c r="AD115" s="818" t="n">
        <f aca="false">1+L115</f>
        <v>1.05045114565929</v>
      </c>
      <c r="AE115" s="818" t="n">
        <f aca="false">1+N115</f>
        <v>0.98028047516754</v>
      </c>
    </row>
    <row r="116" customFormat="false" ht="12" hidden="false" customHeight="false" outlineLevel="0" collapsed="false">
      <c r="A116" s="416" t="n">
        <v>1976</v>
      </c>
      <c r="B116" s="819" t="n">
        <f aca="false">TableDE3b!H116</f>
        <v>1153.11079471715</v>
      </c>
      <c r="C116" s="384" t="n">
        <f aca="false">B116*F116</f>
        <v>2636.89788136012</v>
      </c>
      <c r="D116" s="382" t="n">
        <f aca="false">B116/B115-1</f>
        <v>0.0526859114398899</v>
      </c>
      <c r="E116" s="418" t="n">
        <f aca="false">(1+D116)*F116/F115-1</f>
        <v>0.0490684213788328</v>
      </c>
      <c r="F116" s="845" t="n">
        <f aca="false">TableDE6c!B35</f>
        <v>2.28676888070146</v>
      </c>
      <c r="G116" s="418" t="n">
        <f aca="false">TableDE12c!C116</f>
        <v>0.136920534268239</v>
      </c>
      <c r="H116" s="418" t="n">
        <f aca="false">G115/F115</f>
        <v>0.064121836250588</v>
      </c>
      <c r="I116" s="418" t="n">
        <f aca="false">O116/F116</f>
        <v>0</v>
      </c>
      <c r="J116" s="418" t="n">
        <f aca="false">(1+$E116)/((1+H116)*(1+I115))-1</f>
        <v>-0.0141463264439677</v>
      </c>
      <c r="K116" s="839" t="n">
        <f aca="false">TableDE12c!D116</f>
        <v>0.105951699473701</v>
      </c>
      <c r="L116" s="418" t="n">
        <f aca="false">K115/F115</f>
        <v>0.0528850137462854</v>
      </c>
      <c r="M116" s="387" t="n">
        <f aca="false">O116/F116</f>
        <v>0</v>
      </c>
      <c r="N116" s="418" t="n">
        <f aca="false">(1+E116)/((1+L116))-1</f>
        <v>-0.00362489000947297</v>
      </c>
      <c r="O116" s="840" t="n">
        <v>0</v>
      </c>
      <c r="P116" s="418"/>
      <c r="Q116" s="123"/>
      <c r="R116" s="876" t="n">
        <f aca="false">R115*(1+S116)*(1+G115/R115)/(1+D116)</f>
        <v>2.67324941942085</v>
      </c>
      <c r="S116" s="877" t="n">
        <f aca="false">S$157</f>
        <v>-0.0048439</v>
      </c>
      <c r="T116" s="878" t="n">
        <f aca="false">T115*(1+U116)*(1+K115/T115)/(1+D116)</f>
        <v>2.57556151227481</v>
      </c>
      <c r="U116" s="879" t="n">
        <f aca="false">T$157</f>
        <v>0.0036565</v>
      </c>
      <c r="V116" s="816"/>
      <c r="W116" s="817"/>
      <c r="X116" s="817"/>
      <c r="Y116" s="817" t="n">
        <f aca="false">1+$D116</f>
        <v>1.05268591143989</v>
      </c>
      <c r="Z116" s="818" t="n">
        <f aca="false">1+E116</f>
        <v>1.04906842137883</v>
      </c>
      <c r="AA116" s="818" t="n">
        <f aca="false">1+H116</f>
        <v>1.06412183625059</v>
      </c>
      <c r="AB116" s="818" t="n">
        <f aca="false">1+J116</f>
        <v>0.985853673556032</v>
      </c>
      <c r="AC116" s="818" t="n">
        <f aca="false">1+I115</f>
        <v>1</v>
      </c>
      <c r="AD116" s="818" t="n">
        <f aca="false">1+L116</f>
        <v>1.05288501374629</v>
      </c>
      <c r="AE116" s="818" t="n">
        <f aca="false">1+N116</f>
        <v>0.996375109990527</v>
      </c>
    </row>
    <row r="117" customFormat="false" ht="12" hidden="false" customHeight="false" outlineLevel="0" collapsed="false">
      <c r="A117" s="416" t="n">
        <v>1977</v>
      </c>
      <c r="B117" s="819" t="n">
        <f aca="false">TableDE3b!H117</f>
        <v>1189.42391763973</v>
      </c>
      <c r="C117" s="384" t="n">
        <f aca="false">B117*F117</f>
        <v>2812.3924952253</v>
      </c>
      <c r="D117" s="382" t="n">
        <f aca="false">B117/B116-1</f>
        <v>0.0314914430503441</v>
      </c>
      <c r="E117" s="418" t="n">
        <f aca="false">(1+D117)*F117/F116-1</f>
        <v>0.0665534358026245</v>
      </c>
      <c r="F117" s="845" t="n">
        <f aca="false">TableDE6c!B36</f>
        <v>2.36449969898551</v>
      </c>
      <c r="G117" s="418" t="n">
        <f aca="false">TableDE12c!C117</f>
        <v>0.1262473423028</v>
      </c>
      <c r="H117" s="418" t="n">
        <f aca="false">G116/F116</f>
        <v>0.059875108247161</v>
      </c>
      <c r="I117" s="418" t="n">
        <f aca="false">O117/F117</f>
        <v>0</v>
      </c>
      <c r="J117" s="418" t="n">
        <f aca="false">(1+$E117)/((1+H117)*(1+I116))-1</f>
        <v>0.00630105141964155</v>
      </c>
      <c r="K117" s="839" t="n">
        <f aca="false">TableDE12c!D117</f>
        <v>0.0966430447686635</v>
      </c>
      <c r="L117" s="418" t="n">
        <f aca="false">K116/F116</f>
        <v>0.0463324913889858</v>
      </c>
      <c r="M117" s="387" t="n">
        <f aca="false">O117/F117</f>
        <v>0</v>
      </c>
      <c r="N117" s="418" t="n">
        <f aca="false">(1+E117)/((1+L117))-1</f>
        <v>0.0193255438209663</v>
      </c>
      <c r="O117" s="840" t="n">
        <v>0</v>
      </c>
      <c r="P117" s="418"/>
      <c r="Q117" s="123"/>
      <c r="R117" s="876" t="n">
        <f aca="false">R116*(1+S117)*(1+G116/R116)/(1+D117)</f>
        <v>2.71117883749029</v>
      </c>
      <c r="S117" s="877" t="n">
        <f aca="false">S$157</f>
        <v>-0.0048439</v>
      </c>
      <c r="T117" s="878" t="n">
        <f aca="false">T116*(1+U117)*(1+K116/T116)/(1+D117)</f>
        <v>2.6091521969862</v>
      </c>
      <c r="U117" s="879" t="n">
        <f aca="false">T$157</f>
        <v>0.0036565</v>
      </c>
      <c r="V117" s="816"/>
      <c r="W117" s="817"/>
      <c r="X117" s="817"/>
      <c r="Y117" s="817" t="n">
        <f aca="false">1+$D117</f>
        <v>1.03149144305034</v>
      </c>
      <c r="Z117" s="818" t="n">
        <f aca="false">1+E117</f>
        <v>1.06655343580262</v>
      </c>
      <c r="AA117" s="818" t="n">
        <f aca="false">1+H117</f>
        <v>1.05987510824716</v>
      </c>
      <c r="AB117" s="818" t="n">
        <f aca="false">1+J117</f>
        <v>1.00630105141964</v>
      </c>
      <c r="AC117" s="818" t="n">
        <f aca="false">1+I116</f>
        <v>1</v>
      </c>
      <c r="AD117" s="818" t="n">
        <f aca="false">1+L117</f>
        <v>1.04633249138899</v>
      </c>
      <c r="AE117" s="818" t="n">
        <f aca="false">1+N117</f>
        <v>1.01932554382097</v>
      </c>
    </row>
    <row r="118" customFormat="false" ht="12" hidden="false" customHeight="false" outlineLevel="0" collapsed="false">
      <c r="A118" s="416" t="n">
        <v>1978</v>
      </c>
      <c r="B118" s="819" t="n">
        <f aca="false">TableDE3b!H118</f>
        <v>1227.98418781201</v>
      </c>
      <c r="C118" s="384" t="n">
        <f aca="false">B118*F118</f>
        <v>3017.79279819374</v>
      </c>
      <c r="D118" s="382" t="n">
        <f aca="false">B118/B117-1</f>
        <v>0.0324192826463412</v>
      </c>
      <c r="E118" s="418" t="n">
        <f aca="false">(1+D118)*F118/F117-1</f>
        <v>0.0730340104793894</v>
      </c>
      <c r="F118" s="845" t="n">
        <f aca="false">TableDE6c!B37</f>
        <v>2.45751763593208</v>
      </c>
      <c r="G118" s="418" t="n">
        <f aca="false">TableDE12c!C118</f>
        <v>0.133395904276713</v>
      </c>
      <c r="H118" s="418" t="n">
        <f aca="false">G117/F117</f>
        <v>0.0533928350073238</v>
      </c>
      <c r="I118" s="418" t="n">
        <f aca="false">O118/F118</f>
        <v>0</v>
      </c>
      <c r="J118" s="418" t="n">
        <f aca="false">(1+$E118)/((1+H118)*(1+I117))-1</f>
        <v>0.0186456323029092</v>
      </c>
      <c r="K118" s="839" t="n">
        <f aca="false">TableDE12c!D118</f>
        <v>0.0966675191530123</v>
      </c>
      <c r="L118" s="418" t="n">
        <f aca="false">K117/F117</f>
        <v>0.0408725130352642</v>
      </c>
      <c r="M118" s="387" t="n">
        <f aca="false">O118/F118</f>
        <v>0</v>
      </c>
      <c r="N118" s="418" t="n">
        <f aca="false">(1+E118)/((1+L118))-1</f>
        <v>0.0308985942479543</v>
      </c>
      <c r="O118" s="840" t="n">
        <v>0</v>
      </c>
      <c r="P118" s="418"/>
      <c r="Q118" s="123"/>
      <c r="R118" s="876" t="n">
        <f aca="false">R117*(1+S118)*(1+G117/R117)/(1+D118)</f>
        <v>2.7350147547448</v>
      </c>
      <c r="S118" s="877" t="n">
        <f aca="false">S$157</f>
        <v>-0.0048439</v>
      </c>
      <c r="T118" s="878" t="n">
        <f aca="false">T117*(1+U118)*(1+K117/T117)/(1+D118)</f>
        <v>2.63041288331555</v>
      </c>
      <c r="U118" s="879" t="n">
        <f aca="false">T$157</f>
        <v>0.0036565</v>
      </c>
      <c r="V118" s="816"/>
      <c r="W118" s="817"/>
      <c r="X118" s="817"/>
      <c r="Y118" s="817" t="n">
        <f aca="false">1+$D118</f>
        <v>1.03241928264634</v>
      </c>
      <c r="Z118" s="818" t="n">
        <f aca="false">1+E118</f>
        <v>1.07303401047939</v>
      </c>
      <c r="AA118" s="818" t="n">
        <f aca="false">1+H118</f>
        <v>1.05339283500732</v>
      </c>
      <c r="AB118" s="818" t="n">
        <f aca="false">1+J118</f>
        <v>1.01864563230291</v>
      </c>
      <c r="AC118" s="818" t="n">
        <f aca="false">1+I117</f>
        <v>1</v>
      </c>
      <c r="AD118" s="818" t="n">
        <f aca="false">1+L118</f>
        <v>1.04087251303526</v>
      </c>
      <c r="AE118" s="818" t="n">
        <f aca="false">1+N118</f>
        <v>1.03089859424795</v>
      </c>
    </row>
    <row r="119" customFormat="false" ht="12.75" hidden="false" customHeight="true" outlineLevel="0" collapsed="false">
      <c r="A119" s="416" t="n">
        <v>1979</v>
      </c>
      <c r="B119" s="823" t="n">
        <f aca="false">TableDE3b!H119</f>
        <v>1272.90238653352</v>
      </c>
      <c r="C119" s="384" t="n">
        <f aca="false">B119*F119</f>
        <v>3164.47997770543</v>
      </c>
      <c r="D119" s="382" t="n">
        <f aca="false">B119/B118-1</f>
        <v>0.0365788087235408</v>
      </c>
      <c r="E119" s="418" t="n">
        <f aca="false">(1+D119)*F119/F118-1</f>
        <v>0.0486074390526368</v>
      </c>
      <c r="F119" s="845" t="n">
        <f aca="false">TableDE6c!B38</f>
        <v>2.48603507321817</v>
      </c>
      <c r="G119" s="418" t="n">
        <f aca="false">TableDE12c!C119</f>
        <v>0.126895296269883</v>
      </c>
      <c r="H119" s="418" t="n">
        <f aca="false">G118/F118</f>
        <v>0.0542807515707283</v>
      </c>
      <c r="I119" s="418" t="n">
        <f aca="false">O119/F119</f>
        <v>0</v>
      </c>
      <c r="J119" s="418" t="n">
        <f aca="false">(1+$E119)/((1+H119)*(1+I118))-1</f>
        <v>-0.00538121606568176</v>
      </c>
      <c r="K119" s="839" t="n">
        <f aca="false">TableDE12c!D119</f>
        <v>0.101583525777653</v>
      </c>
      <c r="L119" s="418" t="n">
        <f aca="false">K118/F118</f>
        <v>0.0393354325273636</v>
      </c>
      <c r="M119" s="387" t="n">
        <f aca="false">O119/F119</f>
        <v>0</v>
      </c>
      <c r="N119" s="437" t="n">
        <f aca="false">(1+E119)/((1+L119))-1</f>
        <v>0.00892109153127429</v>
      </c>
      <c r="O119" s="844" t="n">
        <v>0</v>
      </c>
      <c r="P119" s="418"/>
      <c r="Q119" s="123"/>
      <c r="R119" s="876" t="n">
        <f aca="false">R118*(1+S119)*(1+G118/R118)/(1+D119)</f>
        <v>2.7537861478621</v>
      </c>
      <c r="S119" s="877" t="n">
        <f aca="false">S$157</f>
        <v>-0.0048439</v>
      </c>
      <c r="T119" s="878" t="n">
        <f aca="false">T118*(1+U119)*(1+K118/T118)/(1+D119)</f>
        <v>2.64046684046208</v>
      </c>
      <c r="U119" s="879" t="n">
        <f aca="false">T$157</f>
        <v>0.0036565</v>
      </c>
      <c r="V119" s="816"/>
      <c r="W119" s="817"/>
      <c r="X119" s="817"/>
      <c r="Y119" s="817" t="n">
        <f aca="false">1+$D119</f>
        <v>1.03657880872354</v>
      </c>
      <c r="Z119" s="818" t="n">
        <f aca="false">1+E119</f>
        <v>1.04860743905264</v>
      </c>
      <c r="AA119" s="818" t="n">
        <f aca="false">1+H119</f>
        <v>1.05428075157073</v>
      </c>
      <c r="AB119" s="818" t="n">
        <f aca="false">1+J119</f>
        <v>0.994618783934318</v>
      </c>
      <c r="AC119" s="818" t="n">
        <f aca="false">1+I118</f>
        <v>1</v>
      </c>
      <c r="AD119" s="818" t="n">
        <f aca="false">1+L119</f>
        <v>1.03933543252736</v>
      </c>
      <c r="AE119" s="818" t="n">
        <f aca="false">1+N119</f>
        <v>1.00892109153127</v>
      </c>
    </row>
    <row r="120" customFormat="false" ht="12" hidden="false" customHeight="false" outlineLevel="0" collapsed="false">
      <c r="A120" s="864" t="n">
        <v>1980</v>
      </c>
      <c r="B120" s="819" t="n">
        <f aca="false">TableDE3b!H120</f>
        <v>1283.62831050316</v>
      </c>
      <c r="C120" s="865" t="n">
        <f aca="false">B120*F120</f>
        <v>3247.12268242259</v>
      </c>
      <c r="D120" s="866" t="n">
        <f aca="false">B120/B119-1</f>
        <v>0.00842635231351685</v>
      </c>
      <c r="E120" s="867" t="n">
        <f aca="false">(1+D120)*F120/F119-1</f>
        <v>0.026115730009165</v>
      </c>
      <c r="F120" s="868" t="n">
        <f aca="false">TableDE6c!B39</f>
        <v>2.5296440222246</v>
      </c>
      <c r="G120" s="867" t="n">
        <f aca="false">TableDE12c!C120</f>
        <v>0.111277982066049</v>
      </c>
      <c r="H120" s="867" t="n">
        <f aca="false">G119/F119</f>
        <v>0.0510432445772446</v>
      </c>
      <c r="I120" s="867" t="n">
        <f aca="false">O120/F120</f>
        <v>0</v>
      </c>
      <c r="J120" s="867" t="n">
        <f aca="false">(1+$E120)/((1+H120)*(1+I119))-1</f>
        <v>-0.023716925727548</v>
      </c>
      <c r="K120" s="869" t="n">
        <f aca="false">TableDE12c!D120</f>
        <v>0.104468907195451</v>
      </c>
      <c r="L120" s="867" t="n">
        <f aca="false">K119/F119</f>
        <v>0.0408616623602792</v>
      </c>
      <c r="M120" s="448" t="n">
        <f aca="false">O120/F120</f>
        <v>0</v>
      </c>
      <c r="N120" s="867" t="n">
        <f aca="false">(1+E120)/((1+L120))-1</f>
        <v>-0.0141670434067828</v>
      </c>
      <c r="O120" s="880" t="n">
        <v>0</v>
      </c>
      <c r="P120" s="418"/>
      <c r="Q120" s="123"/>
      <c r="R120" s="876" t="n">
        <f aca="false">R119*(1+S120)*(1+G119/R119)/(1+D120)</f>
        <v>2.84277350022433</v>
      </c>
      <c r="S120" s="877" t="n">
        <f aca="false">S$157</f>
        <v>-0.0048439</v>
      </c>
      <c r="T120" s="878" t="n">
        <f aca="false">T119*(1+U120)*(1+K119/T119)/(1+D120)</f>
        <v>2.72908047978924</v>
      </c>
      <c r="U120" s="879" t="n">
        <f aca="false">T$157</f>
        <v>0.0036565</v>
      </c>
      <c r="V120" s="816"/>
      <c r="W120" s="817"/>
      <c r="X120" s="817"/>
      <c r="Y120" s="817" t="n">
        <f aca="false">1+$D120</f>
        <v>1.00842635231352</v>
      </c>
      <c r="Z120" s="818" t="n">
        <f aca="false">1+E120</f>
        <v>1.02611573000917</v>
      </c>
      <c r="AA120" s="818" t="n">
        <f aca="false">1+H120</f>
        <v>1.05104324457724</v>
      </c>
      <c r="AB120" s="818" t="n">
        <f aca="false">1+J120</f>
        <v>0.976283074272452</v>
      </c>
      <c r="AC120" s="818" t="n">
        <f aca="false">1+I119</f>
        <v>1</v>
      </c>
      <c r="AD120" s="818" t="n">
        <f aca="false">1+L120</f>
        <v>1.04086166236028</v>
      </c>
      <c r="AE120" s="818" t="n">
        <f aca="false">1+N120</f>
        <v>0.985832956593217</v>
      </c>
    </row>
    <row r="121" customFormat="false" ht="12" hidden="false" customHeight="false" outlineLevel="0" collapsed="false">
      <c r="A121" s="416" t="n">
        <v>1981</v>
      </c>
      <c r="B121" s="819" t="n">
        <f aca="false">TableDE3b!H121</f>
        <v>1280.24661681225</v>
      </c>
      <c r="C121" s="384" t="n">
        <f aca="false">B121*F121</f>
        <v>3354.41549586107</v>
      </c>
      <c r="D121" s="382" t="n">
        <f aca="false">B121/B120-1</f>
        <v>-0.00263448045142589</v>
      </c>
      <c r="E121" s="418" t="n">
        <f aca="false">(1+D121)*F121/F120-1</f>
        <v>0.0330424267673284</v>
      </c>
      <c r="F121" s="845" t="n">
        <f aca="false">TableDE6c!B40</f>
        <v>2.62013228686627</v>
      </c>
      <c r="G121" s="418" t="n">
        <f aca="false">TableDE12c!C121</f>
        <v>0.108758494696077</v>
      </c>
      <c r="H121" s="418" t="n">
        <f aca="false">G120/F120</f>
        <v>0.0439895815729006</v>
      </c>
      <c r="I121" s="418" t="n">
        <f aca="false">O121/F121</f>
        <v>0</v>
      </c>
      <c r="J121" s="418" t="n">
        <f aca="false">(1+$E121)/((1+H121)*(1+I120))-1</f>
        <v>-0.0104858851072813</v>
      </c>
      <c r="K121" s="839" t="n">
        <f aca="false">TableDE12c!D121</f>
        <v>0.110091485659763</v>
      </c>
      <c r="L121" s="418" t="n">
        <f aca="false">K120/F120</f>
        <v>0.0412978689007711</v>
      </c>
      <c r="M121" s="387" t="n">
        <f aca="false">O121/F121</f>
        <v>0</v>
      </c>
      <c r="N121" s="418" t="n">
        <f aca="false">(1+E121)/((1+L121))-1</f>
        <v>-0.00792803133473941</v>
      </c>
      <c r="O121" s="840" t="n">
        <v>0</v>
      </c>
      <c r="P121" s="418"/>
      <c r="Q121" s="123"/>
      <c r="R121" s="876" t="n">
        <f aca="false">R120*(1+S121)*(1+G120/R120)/(1+D121)</f>
        <v>2.94750750321296</v>
      </c>
      <c r="S121" s="877" t="n">
        <f aca="false">S$157</f>
        <v>-0.0048439</v>
      </c>
      <c r="T121" s="878" t="n">
        <f aca="false">T120*(1+U121)*(1+K120/T120)/(1+D121)</f>
        <v>2.85142227656457</v>
      </c>
      <c r="U121" s="879" t="n">
        <f aca="false">T$157</f>
        <v>0.0036565</v>
      </c>
      <c r="V121" s="816"/>
      <c r="W121" s="817"/>
      <c r="X121" s="817"/>
      <c r="Y121" s="817" t="n">
        <f aca="false">1+$D121</f>
        <v>0.997365519548574</v>
      </c>
      <c r="Z121" s="818" t="n">
        <f aca="false">1+E121</f>
        <v>1.03304242676733</v>
      </c>
      <c r="AA121" s="818" t="n">
        <f aca="false">1+H121</f>
        <v>1.0439895815729</v>
      </c>
      <c r="AB121" s="818" t="n">
        <f aca="false">1+J121</f>
        <v>0.989514114892719</v>
      </c>
      <c r="AC121" s="818" t="n">
        <f aca="false">1+I120</f>
        <v>1</v>
      </c>
      <c r="AD121" s="818" t="n">
        <f aca="false">1+L121</f>
        <v>1.04129786890077</v>
      </c>
      <c r="AE121" s="818" t="n">
        <f aca="false">1+N121</f>
        <v>0.992071968665261</v>
      </c>
    </row>
    <row r="122" customFormat="false" ht="12" hidden="false" customHeight="false" outlineLevel="0" collapsed="false">
      <c r="A122" s="416" t="n">
        <v>1982</v>
      </c>
      <c r="B122" s="819" t="n">
        <f aca="false">TableDE3b!H122</f>
        <v>1268.93056625048</v>
      </c>
      <c r="C122" s="384" t="n">
        <f aca="false">B122*F122</f>
        <v>3460.93508184857</v>
      </c>
      <c r="D122" s="382" t="n">
        <f aca="false">B122/B121-1</f>
        <v>-0.00883896150410413</v>
      </c>
      <c r="E122" s="418" t="n">
        <f aca="false">(1+D122)*F122/F121-1</f>
        <v>0.0317550363450596</v>
      </c>
      <c r="F122" s="845" t="n">
        <f aca="false">TableDE6c!B41</f>
        <v>2.72744244161063</v>
      </c>
      <c r="G122" s="418" t="n">
        <f aca="false">TableDE12c!C122</f>
        <v>0.108824848722773</v>
      </c>
      <c r="H122" s="418" t="n">
        <f aca="false">G121/F121</f>
        <v>0.0415087800113155</v>
      </c>
      <c r="I122" s="418" t="n">
        <f aca="false">O122/F122</f>
        <v>0</v>
      </c>
      <c r="J122" s="418" t="n">
        <f aca="false">(1+$E122)/((1+H122)*(1+I121))-1</f>
        <v>-0.00936501338582074</v>
      </c>
      <c r="K122" s="839" t="n">
        <f aca="false">TableDE12c!D122</f>
        <v>0.104371133462387</v>
      </c>
      <c r="L122" s="418" t="n">
        <f aca="false">K121/F121</f>
        <v>0.0420175295009379</v>
      </c>
      <c r="M122" s="387" t="n">
        <f aca="false">O122/F122</f>
        <v>0</v>
      </c>
      <c r="N122" s="418" t="n">
        <f aca="false">(1+E122)/((1+L122))-1</f>
        <v>-0.00984867611660378</v>
      </c>
      <c r="O122" s="840" t="n">
        <v>0</v>
      </c>
      <c r="P122" s="418"/>
      <c r="Q122" s="123"/>
      <c r="R122" s="876" t="n">
        <f aca="false">R121*(1+S122)*(1+G121/R121)/(1+D122)</f>
        <v>3.06858485444226</v>
      </c>
      <c r="S122" s="877" t="n">
        <f aca="false">S$157</f>
        <v>-0.0048439</v>
      </c>
      <c r="T122" s="878" t="n">
        <f aca="false">T121*(1+U122)*(1+K121/T121)/(1+D122)</f>
        <v>2.9988492503766</v>
      </c>
      <c r="U122" s="879" t="n">
        <f aca="false">T$157</f>
        <v>0.0036565</v>
      </c>
      <c r="V122" s="816"/>
      <c r="W122" s="817"/>
      <c r="X122" s="817"/>
      <c r="Y122" s="817" t="n">
        <f aca="false">1+$D122</f>
        <v>0.991161038495896</v>
      </c>
      <c r="Z122" s="818" t="n">
        <f aca="false">1+E122</f>
        <v>1.03175503634506</v>
      </c>
      <c r="AA122" s="818" t="n">
        <f aca="false">1+H122</f>
        <v>1.04150878001132</v>
      </c>
      <c r="AB122" s="818" t="n">
        <f aca="false">1+J122</f>
        <v>0.990634986614179</v>
      </c>
      <c r="AC122" s="818" t="n">
        <f aca="false">1+I121</f>
        <v>1</v>
      </c>
      <c r="AD122" s="818" t="n">
        <f aca="false">1+L122</f>
        <v>1.04201752950094</v>
      </c>
      <c r="AE122" s="818" t="n">
        <f aca="false">1+N122</f>
        <v>0.990151323883396</v>
      </c>
    </row>
    <row r="123" customFormat="false" ht="12" hidden="false" customHeight="false" outlineLevel="0" collapsed="false">
      <c r="A123" s="416" t="n">
        <v>1983</v>
      </c>
      <c r="B123" s="819" t="n">
        <f aca="false">TableDE3b!H123</f>
        <v>1292.27637407554</v>
      </c>
      <c r="C123" s="384" t="n">
        <f aca="false">B123*F123</f>
        <v>3613.99621728944</v>
      </c>
      <c r="D123" s="382" t="n">
        <f aca="false">B123/B122-1</f>
        <v>0.018398018336053</v>
      </c>
      <c r="E123" s="418" t="n">
        <f aca="false">(1+D123)*F123/F122-1</f>
        <v>0.0442253702600846</v>
      </c>
      <c r="F123" s="845" t="n">
        <f aca="false">TableDE6c!B42</f>
        <v>2.79661246602516</v>
      </c>
      <c r="G123" s="418" t="n">
        <f aca="false">TableDE12c!C123</f>
        <v>0.109380055595061</v>
      </c>
      <c r="H123" s="418" t="n">
        <f aca="false">G122/F122</f>
        <v>0.0398999616133089</v>
      </c>
      <c r="I123" s="418" t="n">
        <f aca="false">O123/F123</f>
        <v>0</v>
      </c>
      <c r="J123" s="418" t="n">
        <f aca="false">(1+$E123)/((1+H123)*(1+I122))-1</f>
        <v>0.00415944687608727</v>
      </c>
      <c r="K123" s="839" t="n">
        <f aca="false">TableDE12c!D123</f>
        <v>0.0903872260650334</v>
      </c>
      <c r="L123" s="418" t="n">
        <f aca="false">K122/F122</f>
        <v>0.0382670342992658</v>
      </c>
      <c r="M123" s="387" t="n">
        <f aca="false">O123/F123</f>
        <v>0</v>
      </c>
      <c r="N123" s="418" t="n">
        <f aca="false">(1+E123)/((1+L123))-1</f>
        <v>0.00573873171735628</v>
      </c>
      <c r="O123" s="840" t="n">
        <v>0</v>
      </c>
      <c r="P123" s="418"/>
      <c r="Q123" s="123"/>
      <c r="R123" s="876" t="n">
        <f aca="false">R122*(1+S123)*(1+G122/R122)/(1+D123)</f>
        <v>3.10489473798295</v>
      </c>
      <c r="S123" s="877" t="n">
        <f aca="false">S$157</f>
        <v>-0.0048439</v>
      </c>
      <c r="T123" s="878" t="n">
        <f aca="false">T122*(1+U123)*(1+K122/T122)/(1+D123)</f>
        <v>3.05830063795817</v>
      </c>
      <c r="U123" s="879" t="n">
        <f aca="false">T$157</f>
        <v>0.0036565</v>
      </c>
      <c r="V123" s="816"/>
      <c r="W123" s="817"/>
      <c r="X123" s="817"/>
      <c r="Y123" s="817" t="n">
        <f aca="false">1+$D123</f>
        <v>1.01839801833605</v>
      </c>
      <c r="Z123" s="818" t="n">
        <f aca="false">1+E123</f>
        <v>1.04422537026008</v>
      </c>
      <c r="AA123" s="818" t="n">
        <f aca="false">1+H123</f>
        <v>1.03989996161331</v>
      </c>
      <c r="AB123" s="818" t="n">
        <f aca="false">1+J123</f>
        <v>1.00415944687609</v>
      </c>
      <c r="AC123" s="818" t="n">
        <f aca="false">1+I122</f>
        <v>1</v>
      </c>
      <c r="AD123" s="818" t="n">
        <f aca="false">1+L123</f>
        <v>1.03826703429927</v>
      </c>
      <c r="AE123" s="818" t="n">
        <f aca="false">1+N123</f>
        <v>1.00573873171736</v>
      </c>
    </row>
    <row r="124" customFormat="false" ht="12" hidden="false" customHeight="false" outlineLevel="0" collapsed="false">
      <c r="A124" s="416" t="n">
        <v>1984</v>
      </c>
      <c r="B124" s="819" t="n">
        <f aca="false">TableDE3b!H124</f>
        <v>1333.40857624787</v>
      </c>
      <c r="C124" s="384" t="n">
        <f aca="false">B124*F124</f>
        <v>3782.51733915519</v>
      </c>
      <c r="D124" s="382" t="n">
        <f aca="false">B124/B123-1</f>
        <v>0.0318292611375461</v>
      </c>
      <c r="E124" s="418" t="n">
        <f aca="false">(1+D124)*F124/F123-1</f>
        <v>0.0466301323337148</v>
      </c>
      <c r="F124" s="845" t="n">
        <f aca="false">TableDE6c!B43</f>
        <v>2.83672792160897</v>
      </c>
      <c r="G124" s="418" t="n">
        <f aca="false">TableDE12c!C124</f>
        <v>0.105785656890811</v>
      </c>
      <c r="H124" s="418" t="n">
        <f aca="false">G123/F123</f>
        <v>0.039111624125213</v>
      </c>
      <c r="I124" s="418" t="n">
        <f aca="false">O124/F124</f>
        <v>0</v>
      </c>
      <c r="J124" s="418" t="n">
        <f aca="false">(1+$E124)/((1+H124)*(1+I123))-1</f>
        <v>0.00723551544794954</v>
      </c>
      <c r="K124" s="839" t="n">
        <f aca="false">TableDE12c!D124</f>
        <v>0.0936958631789755</v>
      </c>
      <c r="L124" s="418" t="n">
        <f aca="false">K123/F123</f>
        <v>0.0323202542944755</v>
      </c>
      <c r="M124" s="387" t="n">
        <f aca="false">O124/F124</f>
        <v>0</v>
      </c>
      <c r="N124" s="418" t="n">
        <f aca="false">(1+E124)/((1+L124))-1</f>
        <v>0.0138618592241213</v>
      </c>
      <c r="O124" s="840" t="n">
        <v>0</v>
      </c>
      <c r="P124" s="418"/>
      <c r="Q124" s="123"/>
      <c r="R124" s="876" t="n">
        <f aca="false">R123*(1+S124)*(1+G123/R123)/(1+D124)</f>
        <v>3.10003339542723</v>
      </c>
      <c r="S124" s="877" t="n">
        <f aca="false">S$157</f>
        <v>-0.0048439</v>
      </c>
      <c r="T124" s="878" t="n">
        <f aca="false">T123*(1+U124)*(1+K123/T123)/(1+D124)</f>
        <v>3.06271702133551</v>
      </c>
      <c r="U124" s="879" t="n">
        <f aca="false">T$157</f>
        <v>0.0036565</v>
      </c>
      <c r="V124" s="816"/>
      <c r="W124" s="817"/>
      <c r="X124" s="817"/>
      <c r="Y124" s="817" t="n">
        <f aca="false">1+$D124</f>
        <v>1.03182926113755</v>
      </c>
      <c r="Z124" s="818" t="n">
        <f aca="false">1+E124</f>
        <v>1.04663013233371</v>
      </c>
      <c r="AA124" s="818" t="n">
        <f aca="false">1+H124</f>
        <v>1.03911162412521</v>
      </c>
      <c r="AB124" s="818" t="n">
        <f aca="false">1+J124</f>
        <v>1.00723551544795</v>
      </c>
      <c r="AC124" s="818" t="n">
        <f aca="false">1+I123</f>
        <v>1</v>
      </c>
      <c r="AD124" s="818" t="n">
        <f aca="false">1+L124</f>
        <v>1.03232025429448</v>
      </c>
      <c r="AE124" s="818" t="n">
        <f aca="false">1+N124</f>
        <v>1.01386185922412</v>
      </c>
    </row>
    <row r="125" customFormat="false" ht="12" hidden="false" customHeight="false" outlineLevel="0" collapsed="false">
      <c r="A125" s="416" t="n">
        <v>1985</v>
      </c>
      <c r="B125" s="819" t="n">
        <f aca="false">TableDE3b!H125</f>
        <v>1365.03233867622</v>
      </c>
      <c r="C125" s="384" t="n">
        <f aca="false">B125*F125</f>
        <v>3963.27367847151</v>
      </c>
      <c r="D125" s="382" t="n">
        <f aca="false">B125/B124-1</f>
        <v>0.0237164834482584</v>
      </c>
      <c r="E125" s="418" t="n">
        <f aca="false">(1+D125)*F125/F124-1</f>
        <v>0.0477873128155164</v>
      </c>
      <c r="F125" s="845" t="n">
        <f aca="false">TableDE6c!B44</f>
        <v>2.90342841424184</v>
      </c>
      <c r="G125" s="418" t="n">
        <f aca="false">TableDE12c!C125</f>
        <v>0.105322541749421</v>
      </c>
      <c r="H125" s="418" t="n">
        <f aca="false">G124/F124</f>
        <v>0.0372914357013168</v>
      </c>
      <c r="I125" s="418" t="n">
        <f aca="false">O125/F125</f>
        <v>0</v>
      </c>
      <c r="J125" s="418" t="n">
        <f aca="false">(1+$E125)/((1+H125)*(1+I124))-1</f>
        <v>0.0101185421502139</v>
      </c>
      <c r="K125" s="839" t="n">
        <f aca="false">TableDE12c!D125</f>
        <v>0.0916900729806913</v>
      </c>
      <c r="L125" s="418" t="n">
        <f aca="false">K124/F124</f>
        <v>0.0330295558009779</v>
      </c>
      <c r="M125" s="387" t="n">
        <f aca="false">O125/F125</f>
        <v>0</v>
      </c>
      <c r="N125" s="418" t="n">
        <f aca="false">(1+E125)/((1+L125))-1</f>
        <v>0.0142859000806572</v>
      </c>
      <c r="O125" s="840" t="n">
        <v>0</v>
      </c>
      <c r="P125" s="418"/>
      <c r="R125" s="876" t="n">
        <f aca="false">R124*(1+S125)*(1+G124/R124)/(1+D125)</f>
        <v>3.11638079194</v>
      </c>
      <c r="S125" s="877" t="n">
        <f aca="false">S$157</f>
        <v>-0.0048439</v>
      </c>
      <c r="T125" s="878" t="n">
        <f aca="false">T124*(1+U125)*(1+K124/T124)/(1+D125)</f>
        <v>3.09456217560927</v>
      </c>
      <c r="U125" s="879" t="n">
        <f aca="false">T$157</f>
        <v>0.0036565</v>
      </c>
      <c r="V125" s="816"/>
      <c r="W125" s="817"/>
      <c r="X125" s="817"/>
      <c r="Y125" s="817" t="n">
        <f aca="false">1+$D125</f>
        <v>1.02371648344826</v>
      </c>
      <c r="Z125" s="818" t="n">
        <f aca="false">1+E125</f>
        <v>1.04778731281552</v>
      </c>
      <c r="AA125" s="818" t="n">
        <f aca="false">1+H125</f>
        <v>1.03729143570132</v>
      </c>
      <c r="AB125" s="818" t="n">
        <f aca="false">1+J125</f>
        <v>1.01011854215021</v>
      </c>
      <c r="AC125" s="818" t="n">
        <f aca="false">1+I124</f>
        <v>1</v>
      </c>
      <c r="AD125" s="818" t="n">
        <f aca="false">1+L125</f>
        <v>1.03302955580098</v>
      </c>
      <c r="AE125" s="818" t="n">
        <f aca="false">1+N125</f>
        <v>1.01428590008066</v>
      </c>
    </row>
    <row r="126" customFormat="false" ht="12" hidden="false" customHeight="false" outlineLevel="0" collapsed="false">
      <c r="A126" s="416" t="n">
        <v>1986</v>
      </c>
      <c r="B126" s="819" t="n">
        <f aca="false">TableDE3b!H126</f>
        <v>1395.2218625527</v>
      </c>
      <c r="C126" s="384" t="n">
        <f aca="false">B126*F126</f>
        <v>4110.92753652394</v>
      </c>
      <c r="D126" s="382" t="n">
        <f aca="false">B126/B125-1</f>
        <v>0.0221163433430156</v>
      </c>
      <c r="E126" s="418" t="n">
        <f aca="false">(1+D126)*F126/F125-1</f>
        <v>0.0372555291486643</v>
      </c>
      <c r="F126" s="845" t="n">
        <f aca="false">TableDE6c!B45</f>
        <v>2.94643285549051</v>
      </c>
      <c r="G126" s="418" t="n">
        <f aca="false">TableDE12c!C126</f>
        <v>0.122774315408745</v>
      </c>
      <c r="H126" s="418" t="n">
        <f aca="false">G125/F125</f>
        <v>0.0362752328360484</v>
      </c>
      <c r="I126" s="418" t="n">
        <f aca="false">O126/F126</f>
        <v>0</v>
      </c>
      <c r="J126" s="418" t="n">
        <f aca="false">(1+$E126)/((1+H126)*(1+I125))-1</f>
        <v>0.000945980644478928</v>
      </c>
      <c r="K126" s="839" t="n">
        <f aca="false">TableDE12c!D126</f>
        <v>0.0955246207258399</v>
      </c>
      <c r="L126" s="418" t="n">
        <f aca="false">K125/F125</f>
        <v>0.0315799323761299</v>
      </c>
      <c r="M126" s="387" t="n">
        <f aca="false">O126/F126</f>
        <v>0</v>
      </c>
      <c r="N126" s="418" t="n">
        <f aca="false">(1+E126)/((1+L126))-1</f>
        <v>0.00550184876072701</v>
      </c>
      <c r="O126" s="840" t="n">
        <v>0</v>
      </c>
      <c r="P126" s="418"/>
      <c r="R126" s="876" t="n">
        <f aca="false">R125*(1+S126)*(1+G125/R125)/(1+D126)</f>
        <v>3.13672484134755</v>
      </c>
      <c r="S126" s="877" t="n">
        <f aca="false">S$157</f>
        <v>-0.0048439</v>
      </c>
      <c r="T126" s="878" t="n">
        <f aca="false">T125*(1+U126)*(1+K125/T125)/(1+D126)</f>
        <v>3.12870721690802</v>
      </c>
      <c r="U126" s="879" t="n">
        <f aca="false">T$157</f>
        <v>0.0036565</v>
      </c>
      <c r="V126" s="816"/>
      <c r="W126" s="817"/>
      <c r="X126" s="817"/>
      <c r="Y126" s="817" t="n">
        <f aca="false">1+$D126</f>
        <v>1.02211634334302</v>
      </c>
      <c r="Z126" s="818" t="n">
        <f aca="false">1+E126</f>
        <v>1.03725552914866</v>
      </c>
      <c r="AA126" s="818" t="n">
        <f aca="false">1+H126</f>
        <v>1.03627523283605</v>
      </c>
      <c r="AB126" s="818" t="n">
        <f aca="false">1+J126</f>
        <v>1.00094598064448</v>
      </c>
      <c r="AC126" s="818" t="n">
        <f aca="false">1+I125</f>
        <v>1</v>
      </c>
      <c r="AD126" s="818" t="n">
        <f aca="false">1+L126</f>
        <v>1.03157993237613</v>
      </c>
      <c r="AE126" s="818" t="n">
        <f aca="false">1+N126</f>
        <v>1.00550184876073</v>
      </c>
    </row>
    <row r="127" customFormat="false" ht="12" hidden="false" customHeight="false" outlineLevel="0" collapsed="false">
      <c r="A127" s="416" t="n">
        <v>1987</v>
      </c>
      <c r="B127" s="819" t="n">
        <f aca="false">TableDE3b!H127</f>
        <v>1410.01234124384</v>
      </c>
      <c r="C127" s="384" t="n">
        <f aca="false">B127*F127</f>
        <v>4289.89155888016</v>
      </c>
      <c r="D127" s="382" t="n">
        <f aca="false">B127/B126-1</f>
        <v>0.0106008077196225</v>
      </c>
      <c r="E127" s="418" t="n">
        <f aca="false">(1+D127)*F127/F126-1</f>
        <v>0.0435337331456691</v>
      </c>
      <c r="F127" s="845" t="n">
        <f aca="false">TableDE6c!B46</f>
        <v>3.04244965338094</v>
      </c>
      <c r="G127" s="418" t="n">
        <f aca="false">TableDE12c!C127</f>
        <v>0.121608361324376</v>
      </c>
      <c r="H127" s="418" t="n">
        <f aca="false">G126/F126</f>
        <v>0.0416687979771751</v>
      </c>
      <c r="I127" s="418" t="n">
        <f aca="false">O127/F127</f>
        <v>0</v>
      </c>
      <c r="J127" s="418" t="n">
        <f aca="false">(1+$E127)/((1+H127)*(1+I126))-1</f>
        <v>0.00179033409862672</v>
      </c>
      <c r="K127" s="839" t="n">
        <f aca="false">TableDE12c!D127</f>
        <v>0.0971034723433956</v>
      </c>
      <c r="L127" s="418" t="n">
        <f aca="false">K126/F126</f>
        <v>0.0324204301984466</v>
      </c>
      <c r="M127" s="387" t="n">
        <f aca="false">O127/F127</f>
        <v>0</v>
      </c>
      <c r="N127" s="418" t="n">
        <f aca="false">(1+E127)/((1+L127))-1</f>
        <v>0.0107643190914832</v>
      </c>
      <c r="O127" s="840" t="n">
        <v>0</v>
      </c>
      <c r="P127" s="418"/>
      <c r="R127" s="876" t="n">
        <f aca="false">R126*(1+S127)*(1+G126/R126)/(1+D127)</f>
        <v>3.20968521300728</v>
      </c>
      <c r="S127" s="877" t="n">
        <f aca="false">S$157</f>
        <v>-0.0048439</v>
      </c>
      <c r="T127" s="878" t="n">
        <f aca="false">T126*(1+U127)*(1+K126/T126)/(1+D127)</f>
        <v>3.20207664255693</v>
      </c>
      <c r="U127" s="879" t="n">
        <f aca="false">T$157</f>
        <v>0.0036565</v>
      </c>
      <c r="V127" s="816"/>
      <c r="W127" s="817"/>
      <c r="X127" s="817"/>
      <c r="Y127" s="817" t="n">
        <f aca="false">1+$D127</f>
        <v>1.01060080771962</v>
      </c>
      <c r="Z127" s="818" t="n">
        <f aca="false">1+E127</f>
        <v>1.04353373314567</v>
      </c>
      <c r="AA127" s="818" t="n">
        <f aca="false">1+H127</f>
        <v>1.04166879797718</v>
      </c>
      <c r="AB127" s="818" t="n">
        <f aca="false">1+J127</f>
        <v>1.00179033409863</v>
      </c>
      <c r="AC127" s="818" t="n">
        <f aca="false">1+I126</f>
        <v>1</v>
      </c>
      <c r="AD127" s="818" t="n">
        <f aca="false">1+L127</f>
        <v>1.03242043019845</v>
      </c>
      <c r="AE127" s="818" t="n">
        <f aca="false">1+N127</f>
        <v>1.01076431909148</v>
      </c>
    </row>
    <row r="128" customFormat="false" ht="12" hidden="false" customHeight="false" outlineLevel="0" collapsed="false">
      <c r="A128" s="416" t="n">
        <v>1988</v>
      </c>
      <c r="B128" s="819" t="n">
        <f aca="false">TableDE3b!H128</f>
        <v>1472.69847374004</v>
      </c>
      <c r="C128" s="384" t="n">
        <f aca="false">B128*F128</f>
        <v>4466.65706724065</v>
      </c>
      <c r="D128" s="382" t="n">
        <f aca="false">B128/B127-1</f>
        <v>0.04445786087298</v>
      </c>
      <c r="E128" s="418" t="n">
        <f aca="false">(1+D128)*F128/F127-1</f>
        <v>0.0412051227715953</v>
      </c>
      <c r="F128" s="845" t="n">
        <f aca="false">TableDE6c!B47</f>
        <v>3.03297460198842</v>
      </c>
      <c r="G128" s="418" t="n">
        <f aca="false">TableDE12c!C128</f>
        <v>0.138125067255365</v>
      </c>
      <c r="H128" s="418" t="n">
        <f aca="false">G127/F127</f>
        <v>0.0399705418918726</v>
      </c>
      <c r="I128" s="418" t="n">
        <f aca="false">O128/F128</f>
        <v>0</v>
      </c>
      <c r="J128" s="418" t="n">
        <f aca="false">(1+$E128)/((1+H128)*(1+I127))-1</f>
        <v>0.00118713062533171</v>
      </c>
      <c r="K128" s="839" t="n">
        <f aca="false">TableDE12c!D128</f>
        <v>0.0992504363897731</v>
      </c>
      <c r="L128" s="418" t="n">
        <f aca="false">K127/F127</f>
        <v>0.0319162133826894</v>
      </c>
      <c r="M128" s="387" t="n">
        <f aca="false">O128/F128</f>
        <v>0</v>
      </c>
      <c r="N128" s="418" t="n">
        <f aca="false">(1+E128)/((1+L128))-1</f>
        <v>0.0090016120189218</v>
      </c>
      <c r="O128" s="840" t="n">
        <v>0</v>
      </c>
      <c r="P128" s="418"/>
      <c r="R128" s="876" t="n">
        <f aca="false">R127*(1+S128)*(1+G127/R127)/(1+D128)</f>
        <v>3.17404583332455</v>
      </c>
      <c r="S128" s="877" t="n">
        <f aca="false">S$157</f>
        <v>-0.0048439</v>
      </c>
      <c r="T128" s="878" t="n">
        <f aca="false">T127*(1+U128)*(1+K127/T127)/(1+D128)</f>
        <v>3.17029886128949</v>
      </c>
      <c r="U128" s="879" t="n">
        <f aca="false">T$157</f>
        <v>0.0036565</v>
      </c>
      <c r="V128" s="816"/>
      <c r="W128" s="817"/>
      <c r="X128" s="817"/>
      <c r="Y128" s="817" t="n">
        <f aca="false">1+$D128</f>
        <v>1.04445786087298</v>
      </c>
      <c r="Z128" s="818" t="n">
        <f aca="false">1+E128</f>
        <v>1.0412051227716</v>
      </c>
      <c r="AA128" s="818" t="n">
        <f aca="false">1+H128</f>
        <v>1.03997054189187</v>
      </c>
      <c r="AB128" s="818" t="n">
        <f aca="false">1+J128</f>
        <v>1.00118713062533</v>
      </c>
      <c r="AC128" s="818" t="n">
        <f aca="false">1+I127</f>
        <v>1</v>
      </c>
      <c r="AD128" s="818" t="n">
        <f aca="false">1+L128</f>
        <v>1.03191621338269</v>
      </c>
      <c r="AE128" s="818" t="n">
        <f aca="false">1+N128</f>
        <v>1.00900161201892</v>
      </c>
    </row>
    <row r="129" customFormat="false" ht="12" hidden="false" customHeight="false" outlineLevel="0" collapsed="false">
      <c r="A129" s="436" t="n">
        <v>1989</v>
      </c>
      <c r="B129" s="823" t="n">
        <f aca="false">TableDE3b!H129</f>
        <v>1533.8950285176</v>
      </c>
      <c r="C129" s="410" t="n">
        <f aca="false">B129*F129</f>
        <v>4619.99825775659</v>
      </c>
      <c r="D129" s="407" t="n">
        <f aca="false">B129/B128-1</f>
        <v>0.0415540287905278</v>
      </c>
      <c r="E129" s="437" t="n">
        <f aca="false">(1+D129)*F129/F128-1</f>
        <v>0.0343301910595679</v>
      </c>
      <c r="F129" s="841" t="n">
        <f aca="false">TableDE6c!B48</f>
        <v>3.01193899964686</v>
      </c>
      <c r="G129" s="437" t="n">
        <f aca="false">TableDE12c!C129</f>
        <v>0.126085292764734</v>
      </c>
      <c r="H129" s="437" t="n">
        <f aca="false">G128/F128</f>
        <v>0.0455411222912352</v>
      </c>
      <c r="I129" s="437" t="n">
        <f aca="false">O129/F129</f>
        <v>0</v>
      </c>
      <c r="J129" s="437" t="n">
        <f aca="false">(1+$E129)/((1+H129)*(1+I128))-1</f>
        <v>-0.0107226114713683</v>
      </c>
      <c r="K129" s="843" t="n">
        <f aca="false">TableDE12c!D129</f>
        <v>0.0943076185912793</v>
      </c>
      <c r="L129" s="437" t="n">
        <f aca="false">K128/F128</f>
        <v>0.0327237941012445</v>
      </c>
      <c r="M129" s="406" t="n">
        <f aca="false">O129/F129</f>
        <v>0</v>
      </c>
      <c r="N129" s="437" t="n">
        <f aca="false">(1+E129)/((1+L129))-1</f>
        <v>0.00155549525197229</v>
      </c>
      <c r="O129" s="844" t="n">
        <v>0</v>
      </c>
      <c r="P129" s="418"/>
      <c r="R129" s="876" t="n">
        <f aca="false">R128*(1+S129)*(1+G128/R128)/(1+D129)</f>
        <v>3.16462419120218</v>
      </c>
      <c r="S129" s="877" t="n">
        <f aca="false">S$157</f>
        <v>-0.0048439</v>
      </c>
      <c r="T129" s="878" t="n">
        <f aca="false">T128*(1+U129)*(1+K128/T128)/(1+D129)</f>
        <v>3.15058490868377</v>
      </c>
      <c r="U129" s="879" t="n">
        <f aca="false">T$157</f>
        <v>0.0036565</v>
      </c>
      <c r="V129" s="816"/>
      <c r="W129" s="817"/>
      <c r="X129" s="817"/>
      <c r="Y129" s="817" t="n">
        <f aca="false">1+$D129</f>
        <v>1.04155402879053</v>
      </c>
      <c r="Z129" s="818" t="n">
        <f aca="false">1+E129</f>
        <v>1.03433019105957</v>
      </c>
      <c r="AA129" s="818" t="n">
        <f aca="false">1+H129</f>
        <v>1.04554112229124</v>
      </c>
      <c r="AB129" s="818" t="n">
        <f aca="false">1+J129</f>
        <v>0.989277388528632</v>
      </c>
      <c r="AC129" s="818" t="n">
        <f aca="false">1+I128</f>
        <v>1</v>
      </c>
      <c r="AD129" s="818" t="n">
        <f aca="false">1+L129</f>
        <v>1.03272379410124</v>
      </c>
      <c r="AE129" s="818" t="n">
        <f aca="false">1+N129</f>
        <v>1.00155549525197</v>
      </c>
    </row>
    <row r="130" customFormat="false" ht="12" hidden="false" customHeight="false" outlineLevel="0" collapsed="false">
      <c r="A130" s="439" t="n">
        <v>1990</v>
      </c>
      <c r="B130" s="819" t="n">
        <f aca="false">TableDE3b!H130</f>
        <v>1615.71808458809</v>
      </c>
      <c r="C130" s="384" t="n">
        <f aca="false">B130*F130</f>
        <v>4739.50648109783</v>
      </c>
      <c r="D130" s="382" t="n">
        <f aca="false">B130/B129-1</f>
        <v>0.0533433217718748</v>
      </c>
      <c r="E130" s="418" t="n">
        <f aca="false">(1+D130)*F130/F129-1</f>
        <v>0.025867590564693</v>
      </c>
      <c r="F130" s="845" t="n">
        <f aca="false">TableDE6c!B49</f>
        <v>2.93337465632571</v>
      </c>
      <c r="G130" s="418" t="n">
        <f aca="false">TableDE12c!C130</f>
        <v>0.144549055873295</v>
      </c>
      <c r="H130" s="418" t="n">
        <f aca="false">G129/F129</f>
        <v>0.0418618347780341</v>
      </c>
      <c r="I130" s="418" t="n">
        <f aca="false">O130/F130</f>
        <v>0</v>
      </c>
      <c r="J130" s="418" t="n">
        <f aca="false">(1+$E130)/((1+H130)*(1+I129))-1</f>
        <v>-0.015351598148087</v>
      </c>
      <c r="K130" s="839" t="n">
        <f aca="false">TableDE12c!D130</f>
        <v>0.100175978882534</v>
      </c>
      <c r="L130" s="418" t="n">
        <f aca="false">K129/F129</f>
        <v>0.0313112644719354</v>
      </c>
      <c r="M130" s="387" t="n">
        <f aca="false">O130/F130</f>
        <v>0</v>
      </c>
      <c r="N130" s="418" t="n">
        <f aca="false">(1+E130)/((1+L130))-1</f>
        <v>-0.00527840051279738</v>
      </c>
      <c r="O130" s="840" t="n">
        <v>0</v>
      </c>
      <c r="P130" s="418"/>
      <c r="R130" s="876" t="n">
        <f aca="false">R129*(1+S130)*(1+G129/R129)/(1+D130)</f>
        <v>3.10892901545993</v>
      </c>
      <c r="S130" s="877" t="n">
        <f aca="false">S$157</f>
        <v>-0.0048439</v>
      </c>
      <c r="T130" s="878" t="n">
        <f aca="false">T129*(1+U130)*(1+K129/T129)/(1+D130)</f>
        <v>3.09182904518035</v>
      </c>
      <c r="U130" s="879" t="n">
        <f aca="false">T$157</f>
        <v>0.0036565</v>
      </c>
      <c r="V130" s="816"/>
      <c r="W130" s="817"/>
      <c r="X130" s="817"/>
      <c r="Y130" s="817" t="n">
        <f aca="false">1+$D130</f>
        <v>1.05334332177187</v>
      </c>
      <c r="Z130" s="818" t="n">
        <f aca="false">1+E130</f>
        <v>1.02586759056469</v>
      </c>
      <c r="AA130" s="818" t="n">
        <f aca="false">1+H130</f>
        <v>1.04186183477803</v>
      </c>
      <c r="AB130" s="818" t="n">
        <f aca="false">1+J130</f>
        <v>0.984648401851913</v>
      </c>
      <c r="AC130" s="818" t="n">
        <f aca="false">1+I129</f>
        <v>1</v>
      </c>
      <c r="AD130" s="818" t="n">
        <f aca="false">1+L130</f>
        <v>1.03131126447194</v>
      </c>
      <c r="AE130" s="818" t="n">
        <f aca="false">1+N130</f>
        <v>0.994721599487203</v>
      </c>
    </row>
    <row r="131" customFormat="false" ht="12" hidden="false" customHeight="false" outlineLevel="0" collapsed="false">
      <c r="A131" s="441" t="n">
        <v>1991</v>
      </c>
      <c r="B131" s="853" t="n">
        <f aca="false">TableDE3b!H131</f>
        <v>1698.19795186175</v>
      </c>
      <c r="C131" s="395" t="n">
        <f aca="false">B131*F131</f>
        <v>4871.81500548264</v>
      </c>
      <c r="D131" s="393" t="n">
        <f aca="false">B131/B130-1</f>
        <v>0.0510484273589613</v>
      </c>
      <c r="E131" s="433" t="n">
        <f aca="false">(1+D131)*F131/F130-1</f>
        <v>0.0279160973642472</v>
      </c>
      <c r="F131" s="861" t="n">
        <f aca="false">TableDE6c!B50</f>
        <v>2.86881455730272</v>
      </c>
      <c r="G131" s="433" t="n">
        <f aca="false">TableDE12c!C131</f>
        <v>0.125600306635502</v>
      </c>
      <c r="H131" s="433" t="n">
        <f aca="false">G130/F130</f>
        <v>0.0492773930399858</v>
      </c>
      <c r="I131" s="433" t="n">
        <f aca="false">O131/F131</f>
        <v>0</v>
      </c>
      <c r="J131" s="433" t="n">
        <f aca="false">(1+$E131)/((1+H131)*(1+I130))-1</f>
        <v>-0.0203581015062665</v>
      </c>
      <c r="K131" s="836" t="n">
        <f aca="false">TableDE12c!D131</f>
        <v>0.102970907205183</v>
      </c>
      <c r="L131" s="433" t="n">
        <f aca="false">K130/F130</f>
        <v>0.0341504208016894</v>
      </c>
      <c r="M131" s="392" t="n">
        <f aca="false">O131/F131</f>
        <v>0</v>
      </c>
      <c r="N131" s="433" t="n">
        <f aca="false">(1+E131)/((1+L131))-1</f>
        <v>-0.0060284493551811</v>
      </c>
      <c r="O131" s="837" t="n">
        <v>0</v>
      </c>
      <c r="P131" s="433"/>
      <c r="R131" s="876" t="n">
        <f aca="false">R130*(1+S131)*(1+G130/R130)/(1+D131)</f>
        <v>3.08046562330065</v>
      </c>
      <c r="S131" s="877" t="n">
        <f aca="false">S$157</f>
        <v>-0.0048439</v>
      </c>
      <c r="T131" s="878" t="n">
        <f aca="false">T130*(1+U131)*(1+K130/T130)/(1+D131)</f>
        <v>3.04807705053464</v>
      </c>
      <c r="U131" s="879" t="n">
        <f aca="false">T$157</f>
        <v>0.0036565</v>
      </c>
      <c r="V131" s="816"/>
      <c r="W131" s="817"/>
      <c r="X131" s="817"/>
      <c r="Y131" s="817" t="n">
        <f aca="false">1+$D131</f>
        <v>1.05104842735896</v>
      </c>
      <c r="Z131" s="818" t="n">
        <f aca="false">1+E131</f>
        <v>1.02791609736425</v>
      </c>
      <c r="AA131" s="818" t="n">
        <f aca="false">1+H131</f>
        <v>1.04927739303999</v>
      </c>
      <c r="AB131" s="818" t="n">
        <f aca="false">1+J131</f>
        <v>0.979641898493734</v>
      </c>
      <c r="AC131" s="818" t="n">
        <f aca="false">1+I130</f>
        <v>1</v>
      </c>
      <c r="AD131" s="818" t="n">
        <f aca="false">1+L131</f>
        <v>1.03415042080169</v>
      </c>
      <c r="AE131" s="818" t="n">
        <f aca="false">1+N131</f>
        <v>0.993971550644819</v>
      </c>
    </row>
    <row r="132" customFormat="false" ht="12" hidden="false" customHeight="false" outlineLevel="0" collapsed="false">
      <c r="A132" s="416" t="n">
        <v>1992</v>
      </c>
      <c r="B132" s="819" t="n">
        <f aca="false">TableDE3b!H132</f>
        <v>1724.2721202782</v>
      </c>
      <c r="C132" s="384" t="n">
        <f aca="false">B132*F132</f>
        <v>4996.10983079709</v>
      </c>
      <c r="D132" s="382" t="n">
        <f aca="false">B132/B131-1</f>
        <v>0.0153540218252324</v>
      </c>
      <c r="E132" s="418" t="n">
        <f aca="false">(1+D132)*F132/F131-1</f>
        <v>0.0255130429161567</v>
      </c>
      <c r="F132" s="845" t="n">
        <f aca="false">TableDE6c!B51</f>
        <v>2.89751818871317</v>
      </c>
      <c r="G132" s="418" t="n">
        <f aca="false">TableDE12c!C132</f>
        <v>0.115733588022135</v>
      </c>
      <c r="H132" s="418" t="n">
        <f aca="false">G131/F131</f>
        <v>0.0437812567270269</v>
      </c>
      <c r="I132" s="418" t="n">
        <f aca="false">O132/F132</f>
        <v>0</v>
      </c>
      <c r="J132" s="418" t="n">
        <f aca="false">(1+$E132)/((1+H132)*(1+I131))-1</f>
        <v>-0.0175019561743746</v>
      </c>
      <c r="K132" s="839" t="n">
        <f aca="false">TableDE12c!D132</f>
        <v>0.102727604707997</v>
      </c>
      <c r="L132" s="418" t="n">
        <f aca="false">K131/F131</f>
        <v>0.0358931904270581</v>
      </c>
      <c r="M132" s="387" t="n">
        <f aca="false">O132/F132</f>
        <v>0</v>
      </c>
      <c r="N132" s="418" t="n">
        <f aca="false">(1+E132)/((1+L132))-1</f>
        <v>-0.0100204804962778</v>
      </c>
      <c r="O132" s="840" t="n">
        <v>0</v>
      </c>
      <c r="P132" s="418"/>
      <c r="R132" s="876" t="n">
        <f aca="false">R131*(1+S132)*(1+G131/R131)/(1+D132)</f>
        <v>3.14228928885585</v>
      </c>
      <c r="S132" s="877" t="n">
        <f aca="false">S$157</f>
        <v>-0.0048439</v>
      </c>
      <c r="T132" s="878" t="n">
        <f aca="false">T131*(1+U132)*(1+K131/T131)/(1+D132)</f>
        <v>3.11474588824907</v>
      </c>
      <c r="U132" s="879" t="n">
        <f aca="false">T$157</f>
        <v>0.0036565</v>
      </c>
      <c r="V132" s="816"/>
      <c r="W132" s="817"/>
      <c r="X132" s="817"/>
      <c r="Y132" s="817" t="n">
        <f aca="false">1+$D132</f>
        <v>1.01535402182523</v>
      </c>
      <c r="Z132" s="818" t="n">
        <f aca="false">1+E132</f>
        <v>1.02551304291616</v>
      </c>
      <c r="AA132" s="818" t="n">
        <f aca="false">1+H132</f>
        <v>1.04378125672703</v>
      </c>
      <c r="AB132" s="818" t="n">
        <f aca="false">1+J132</f>
        <v>0.982498043825625</v>
      </c>
      <c r="AC132" s="818" t="n">
        <f aca="false">1+I131</f>
        <v>1</v>
      </c>
      <c r="AD132" s="818" t="n">
        <f aca="false">1+L132</f>
        <v>1.03589319042706</v>
      </c>
      <c r="AE132" s="818" t="n">
        <f aca="false">1+N132</f>
        <v>0.989979519503722</v>
      </c>
    </row>
    <row r="133" customFormat="false" ht="12" hidden="false" customHeight="false" outlineLevel="0" collapsed="false">
      <c r="A133" s="416" t="n">
        <v>1993</v>
      </c>
      <c r="B133" s="819" t="n">
        <f aca="false">TableDE3b!H133</f>
        <v>1693.86181557471</v>
      </c>
      <c r="C133" s="384" t="n">
        <f aca="false">B133*F133</f>
        <v>5144.01441723998</v>
      </c>
      <c r="D133" s="382" t="n">
        <f aca="false">B133/B132-1</f>
        <v>-0.0176366040753381</v>
      </c>
      <c r="E133" s="418" t="n">
        <f aca="false">(1+D133)*F133/F132-1</f>
        <v>0.0296039501636198</v>
      </c>
      <c r="F133" s="845" t="n">
        <f aca="false">TableDE6c!B52</f>
        <v>3.03685599967001</v>
      </c>
      <c r="G133" s="418" t="n">
        <f aca="false">TableDE12c!C133</f>
        <v>0.107158072965504</v>
      </c>
      <c r="H133" s="418" t="n">
        <f aca="false">G132/F132</f>
        <v>0.0399423163150304</v>
      </c>
      <c r="I133" s="418" t="n">
        <f aca="false">O133/F133</f>
        <v>0</v>
      </c>
      <c r="J133" s="418" t="n">
        <f aca="false">(1+$E133)/((1+H133)*(1+I132))-1</f>
        <v>-0.00994128807840422</v>
      </c>
      <c r="K133" s="839" t="n">
        <f aca="false">TableDE12c!D133</f>
        <v>0.0991007713566803</v>
      </c>
      <c r="L133" s="418" t="n">
        <f aca="false">K132/F132</f>
        <v>0.0354536530980744</v>
      </c>
      <c r="M133" s="387" t="n">
        <f aca="false">O133/F133</f>
        <v>0</v>
      </c>
      <c r="N133" s="418" t="n">
        <f aca="false">(1+E133)/((1+L133))-1</f>
        <v>-0.00564941068772351</v>
      </c>
      <c r="O133" s="840" t="n">
        <v>0</v>
      </c>
      <c r="P133" s="418"/>
      <c r="R133" s="876" t="n">
        <f aca="false">R132*(1+S133)*(1+G132/R132)/(1+D133)</f>
        <v>3.30045007103799</v>
      </c>
      <c r="S133" s="877" t="n">
        <f aca="false">S$157</f>
        <v>-0.0048439</v>
      </c>
      <c r="T133" s="878" t="n">
        <f aca="false">T132*(1+U133)*(1+K132/T132)/(1+D133)</f>
        <v>3.28721346721648</v>
      </c>
      <c r="U133" s="879" t="n">
        <f aca="false">T$157</f>
        <v>0.0036565</v>
      </c>
      <c r="V133" s="816"/>
      <c r="W133" s="817"/>
      <c r="X133" s="817"/>
      <c r="Y133" s="817" t="n">
        <f aca="false">1+$D133</f>
        <v>0.982363395924662</v>
      </c>
      <c r="Z133" s="818" t="n">
        <f aca="false">1+E133</f>
        <v>1.02960395016362</v>
      </c>
      <c r="AA133" s="818" t="n">
        <f aca="false">1+H133</f>
        <v>1.03994231631503</v>
      </c>
      <c r="AB133" s="818" t="n">
        <f aca="false">1+J133</f>
        <v>0.990058711921596</v>
      </c>
      <c r="AC133" s="818" t="n">
        <f aca="false">1+I132</f>
        <v>1</v>
      </c>
      <c r="AD133" s="818" t="n">
        <f aca="false">1+L133</f>
        <v>1.03545365309807</v>
      </c>
      <c r="AE133" s="818" t="n">
        <f aca="false">1+N133</f>
        <v>0.994350589312277</v>
      </c>
    </row>
    <row r="134" customFormat="false" ht="12" hidden="false" customHeight="false" outlineLevel="0" collapsed="false">
      <c r="A134" s="416" t="n">
        <v>1994</v>
      </c>
      <c r="B134" s="819" t="n">
        <f aca="false">TableDE3b!H134</f>
        <v>1724.164738671</v>
      </c>
      <c r="C134" s="384" t="n">
        <f aca="false">B134*F134</f>
        <v>5296.15524859048</v>
      </c>
      <c r="D134" s="382" t="n">
        <f aca="false">B134/B133-1</f>
        <v>0.0178898436800854</v>
      </c>
      <c r="E134" s="418" t="n">
        <f aca="false">(1+D134)*F134/F133-1</f>
        <v>0.029576284008964</v>
      </c>
      <c r="F134" s="845" t="n">
        <f aca="false">TableDE6c!B53</f>
        <v>3.07172228372608</v>
      </c>
      <c r="G134" s="418" t="n">
        <f aca="false">TableDE12c!C134</f>
        <v>0.101824002319574</v>
      </c>
      <c r="H134" s="418" t="n">
        <f aca="false">G133/F133</f>
        <v>0.0352858591178336</v>
      </c>
      <c r="I134" s="418" t="n">
        <f aca="false">O134/F134</f>
        <v>0</v>
      </c>
      <c r="J134" s="418" t="n">
        <f aca="false">(1+$E134)/((1+H134)*(1+I133))-1</f>
        <v>-0.00551497449577332</v>
      </c>
      <c r="K134" s="839" t="n">
        <f aca="false">TableDE12c!D134</f>
        <v>0.0917944804681322</v>
      </c>
      <c r="L134" s="418" t="n">
        <f aca="false">K133/F133</f>
        <v>0.0326326870182349</v>
      </c>
      <c r="M134" s="387" t="n">
        <f aca="false">O134/F134</f>
        <v>0</v>
      </c>
      <c r="N134" s="418" t="n">
        <f aca="false">(1+E134)/((1+L134))-1</f>
        <v>-0.00295981625189157</v>
      </c>
      <c r="O134" s="840" t="n">
        <v>0</v>
      </c>
      <c r="P134" s="418"/>
      <c r="R134" s="876" t="n">
        <f aca="false">R133*(1+S134)*(1+G133/R133)/(1+D134)</f>
        <v>3.3315019812503</v>
      </c>
      <c r="S134" s="877" t="n">
        <f aca="false">S$157</f>
        <v>-0.0048439</v>
      </c>
      <c r="T134" s="878" t="n">
        <f aca="false">T133*(1+U134)*(1+K133/T133)/(1+D134)</f>
        <v>3.33896277449712</v>
      </c>
      <c r="U134" s="879" t="n">
        <f aca="false">T$157</f>
        <v>0.0036565</v>
      </c>
      <c r="V134" s="816"/>
      <c r="W134" s="817"/>
      <c r="X134" s="817"/>
      <c r="Y134" s="817" t="n">
        <f aca="false">1+$D134</f>
        <v>1.01788984368009</v>
      </c>
      <c r="Z134" s="818" t="n">
        <f aca="false">1+E134</f>
        <v>1.02957628400896</v>
      </c>
      <c r="AA134" s="818" t="n">
        <f aca="false">1+H134</f>
        <v>1.03528585911783</v>
      </c>
      <c r="AB134" s="818" t="n">
        <f aca="false">1+J134</f>
        <v>0.994485025504227</v>
      </c>
      <c r="AC134" s="818" t="n">
        <f aca="false">1+I133</f>
        <v>1</v>
      </c>
      <c r="AD134" s="818" t="n">
        <f aca="false">1+L134</f>
        <v>1.03263268701824</v>
      </c>
      <c r="AE134" s="818" t="n">
        <f aca="false">1+N134</f>
        <v>0.997040183748108</v>
      </c>
    </row>
    <row r="135" customFormat="false" ht="12" hidden="false" customHeight="false" outlineLevel="0" collapsed="false">
      <c r="A135" s="416" t="n">
        <v>1995</v>
      </c>
      <c r="B135" s="819" t="n">
        <f aca="false">TableDE3b!H135</f>
        <v>1747.95162281849</v>
      </c>
      <c r="C135" s="384" t="n">
        <f aca="false">B135*F135</f>
        <v>5423.49836695767</v>
      </c>
      <c r="D135" s="382" t="n">
        <f aca="false">B135/B134-1</f>
        <v>0.0137961782966414</v>
      </c>
      <c r="E135" s="418" t="n">
        <f aca="false">(1+D135)*F135/F134-1</f>
        <v>0.0240444459027305</v>
      </c>
      <c r="F135" s="845" t="n">
        <f aca="false">TableDE6c!B54</f>
        <v>3.10277372448817</v>
      </c>
      <c r="G135" s="418" t="n">
        <f aca="false">TableDE12c!C135</f>
        <v>0.189247882908428</v>
      </c>
      <c r="H135" s="418" t="n">
        <f aca="false">G134/F134</f>
        <v>0.0331488308233578</v>
      </c>
      <c r="I135" s="418" t="n">
        <f aca="false">O135/F135</f>
        <v>0</v>
      </c>
      <c r="J135" s="418" t="n">
        <f aca="false">(1+$E135)/((1+H135)*(1+I134))-1</f>
        <v>-0.00881226852221451</v>
      </c>
      <c r="K135" s="839" t="n">
        <f aca="false">TableDE12c!D135</f>
        <v>0.0895964304147525</v>
      </c>
      <c r="L135" s="418" t="n">
        <f aca="false">K134/F134</f>
        <v>0.0298837173381388</v>
      </c>
      <c r="M135" s="387" t="n">
        <f aca="false">O135/F135</f>
        <v>0</v>
      </c>
      <c r="N135" s="418" t="n">
        <f aca="false">(1+E135)/((1+L135))-1</f>
        <v>-0.00566983566892443</v>
      </c>
      <c r="O135" s="840" t="n">
        <v>0</v>
      </c>
      <c r="P135" s="418"/>
      <c r="R135" s="876" t="n">
        <f aca="false">R134*(1+S135)*(1+G134/R134)/(1+D135)</f>
        <v>3.37019942369354</v>
      </c>
      <c r="S135" s="877" t="n">
        <f aca="false">S$157</f>
        <v>-0.0048439</v>
      </c>
      <c r="T135" s="878" t="n">
        <f aca="false">T134*(1+U135)*(1+K134/T134)/(1+D135)</f>
        <v>3.39644387361313</v>
      </c>
      <c r="U135" s="879" t="n">
        <f aca="false">T$157</f>
        <v>0.0036565</v>
      </c>
      <c r="V135" s="816"/>
      <c r="W135" s="817"/>
      <c r="X135" s="817"/>
      <c r="Y135" s="817" t="n">
        <f aca="false">1+$D135</f>
        <v>1.01379617829664</v>
      </c>
      <c r="Z135" s="818" t="n">
        <f aca="false">1+E135</f>
        <v>1.02404444590273</v>
      </c>
      <c r="AA135" s="818" t="n">
        <f aca="false">1+H135</f>
        <v>1.03314883082336</v>
      </c>
      <c r="AB135" s="818" t="n">
        <f aca="false">1+J135</f>
        <v>0.991187731477786</v>
      </c>
      <c r="AC135" s="818" t="n">
        <f aca="false">1+I134</f>
        <v>1</v>
      </c>
      <c r="AD135" s="818" t="n">
        <f aca="false">1+L135</f>
        <v>1.02988371733814</v>
      </c>
      <c r="AE135" s="818" t="n">
        <f aca="false">1+N135</f>
        <v>0.994330164331076</v>
      </c>
    </row>
    <row r="136" customFormat="false" ht="12" hidden="false" customHeight="false" outlineLevel="0" collapsed="false">
      <c r="A136" s="416" t="n">
        <v>1996</v>
      </c>
      <c r="B136" s="819" t="n">
        <f aca="false">TableDE3b!H136</f>
        <v>1763.88972937868</v>
      </c>
      <c r="C136" s="384" t="n">
        <f aca="false">B136*F136</f>
        <v>5657.67702635891</v>
      </c>
      <c r="D136" s="382" t="n">
        <f aca="false">B136/B135-1</f>
        <v>0.00911816228328677</v>
      </c>
      <c r="E136" s="418" t="n">
        <f aca="false">(1+D136)*F136/F135-1</f>
        <v>0.0431785249218395</v>
      </c>
      <c r="F136" s="845" t="n">
        <f aca="false">TableDE6c!B55</f>
        <v>3.20750040783546</v>
      </c>
      <c r="G136" s="418" t="n">
        <f aca="false">TableDE12c!C136</f>
        <v>0.110818255970084</v>
      </c>
      <c r="H136" s="418" t="n">
        <f aca="false">G135/F135</f>
        <v>0.0609931305705015</v>
      </c>
      <c r="I136" s="418" t="n">
        <f aca="false">O136/F136</f>
        <v>0</v>
      </c>
      <c r="J136" s="418" t="n">
        <f aca="false">(1+$E136)/((1+H136)*(1+I135))-1</f>
        <v>-0.01679050046166</v>
      </c>
      <c r="K136" s="839" t="n">
        <f aca="false">TableDE12c!D136</f>
        <v>0.0871261529194745</v>
      </c>
      <c r="L136" s="418" t="n">
        <f aca="false">K135/F135</f>
        <v>0.0288762373187662</v>
      </c>
      <c r="M136" s="387" t="n">
        <f aca="false">O136/F136</f>
        <v>0</v>
      </c>
      <c r="N136" s="418" t="n">
        <f aca="false">(1+E136)/((1+L136))-1</f>
        <v>0.0139008824232785</v>
      </c>
      <c r="O136" s="840" t="n">
        <v>0</v>
      </c>
      <c r="P136" s="418"/>
      <c r="R136" s="876" t="n">
        <f aca="false">R135*(1+S136)*(1+G135/R135)/(1+D136)</f>
        <v>3.51019913443905</v>
      </c>
      <c r="S136" s="877" t="n">
        <f aca="false">S$157</f>
        <v>-0.0048439</v>
      </c>
      <c r="T136" s="878" t="n">
        <f aca="false">T135*(1+U136)*(1+K135/T135)/(1+D136)</f>
        <v>3.46717276645087</v>
      </c>
      <c r="U136" s="879" t="n">
        <f aca="false">T$157</f>
        <v>0.0036565</v>
      </c>
      <c r="V136" s="816"/>
      <c r="W136" s="817"/>
      <c r="X136" s="817"/>
      <c r="Y136" s="817" t="n">
        <f aca="false">1+$D136</f>
        <v>1.00911816228329</v>
      </c>
      <c r="Z136" s="818" t="n">
        <f aca="false">1+E136</f>
        <v>1.04317852492184</v>
      </c>
      <c r="AA136" s="818" t="n">
        <f aca="false">1+H136</f>
        <v>1.0609931305705</v>
      </c>
      <c r="AB136" s="818" t="n">
        <f aca="false">1+J136</f>
        <v>0.98320949953834</v>
      </c>
      <c r="AC136" s="818" t="n">
        <f aca="false">1+I135</f>
        <v>1</v>
      </c>
      <c r="AD136" s="818" t="n">
        <f aca="false">1+L136</f>
        <v>1.02887623731877</v>
      </c>
      <c r="AE136" s="818" t="n">
        <f aca="false">1+N136</f>
        <v>1.01390088242328</v>
      </c>
    </row>
    <row r="137" customFormat="false" ht="12" hidden="false" customHeight="false" outlineLevel="0" collapsed="false">
      <c r="A137" s="416" t="n">
        <v>1997</v>
      </c>
      <c r="B137" s="819" t="n">
        <f aca="false">TableDE3b!H137</f>
        <v>1789.41099594195</v>
      </c>
      <c r="C137" s="384" t="n">
        <f aca="false">B137*F137</f>
        <v>5925.4991289037</v>
      </c>
      <c r="D137" s="382" t="n">
        <f aca="false">B137/B136-1</f>
        <v>0.0144687426533505</v>
      </c>
      <c r="E137" s="418" t="n">
        <f aca="false">(1+D137)*F137/F136-1</f>
        <v>0.0473378210345024</v>
      </c>
      <c r="F137" s="845" t="n">
        <f aca="false">TableDE6c!B56</f>
        <v>3.31142434149651</v>
      </c>
      <c r="G137" s="418" t="n">
        <f aca="false">TableDE12c!C137</f>
        <v>0.108068546048979</v>
      </c>
      <c r="H137" s="418" t="n">
        <f aca="false">G136/F136</f>
        <v>0.0345497246701421</v>
      </c>
      <c r="I137" s="418" t="n">
        <f aca="false">O137/F137</f>
        <v>0</v>
      </c>
      <c r="J137" s="418" t="n">
        <f aca="false">(1+$E137)/((1+H137)*(1+I136))-1</f>
        <v>0.0123610263087526</v>
      </c>
      <c r="K137" s="839" t="n">
        <f aca="false">TableDE12c!D137</f>
        <v>0.0850039602738881</v>
      </c>
      <c r="L137" s="418" t="n">
        <f aca="false">K136/F136</f>
        <v>0.0271632554454671</v>
      </c>
      <c r="M137" s="387" t="n">
        <f aca="false">O137/F137</f>
        <v>0</v>
      </c>
      <c r="N137" s="418" t="n">
        <f aca="false">(1+E137)/((1+L137))-1</f>
        <v>0.0196410507113456</v>
      </c>
      <c r="O137" s="840" t="n">
        <v>0</v>
      </c>
      <c r="P137" s="418"/>
      <c r="R137" s="876" t="n">
        <f aca="false">R136*(1+S137)*(1+G136/R136)/(1+D137)</f>
        <v>3.55208336419199</v>
      </c>
      <c r="S137" s="877" t="n">
        <f aca="false">S$157</f>
        <v>-0.0048439</v>
      </c>
      <c r="T137" s="878" t="n">
        <f aca="false">T136*(1+U137)*(1+K136/T136)/(1+D137)</f>
        <v>3.5164170795827</v>
      </c>
      <c r="U137" s="879" t="n">
        <f aca="false">T$157</f>
        <v>0.0036565</v>
      </c>
      <c r="V137" s="816"/>
      <c r="W137" s="817"/>
      <c r="X137" s="817"/>
      <c r="Y137" s="817" t="n">
        <f aca="false">1+$D137</f>
        <v>1.01446874265335</v>
      </c>
      <c r="Z137" s="818" t="n">
        <f aca="false">1+E137</f>
        <v>1.0473378210345</v>
      </c>
      <c r="AA137" s="818" t="n">
        <f aca="false">1+H137</f>
        <v>1.03454972467014</v>
      </c>
      <c r="AB137" s="818" t="n">
        <f aca="false">1+J137</f>
        <v>1.01236102630875</v>
      </c>
      <c r="AC137" s="818" t="n">
        <f aca="false">1+I136</f>
        <v>1</v>
      </c>
      <c r="AD137" s="818" t="n">
        <f aca="false">1+L137</f>
        <v>1.02716325544547</v>
      </c>
      <c r="AE137" s="818" t="n">
        <f aca="false">1+N137</f>
        <v>1.01964105071135</v>
      </c>
    </row>
    <row r="138" customFormat="false" ht="12" hidden="false" customHeight="false" outlineLevel="0" collapsed="false">
      <c r="A138" s="416" t="n">
        <v>1998</v>
      </c>
      <c r="B138" s="819" t="n">
        <f aca="false">TableDE3b!H138</f>
        <v>1816.55837858552</v>
      </c>
      <c r="C138" s="384" t="n">
        <f aca="false">B138*F138</f>
        <v>6188.79733939089</v>
      </c>
      <c r="D138" s="382" t="n">
        <f aca="false">B138/B137-1</f>
        <v>0.0151711276532507</v>
      </c>
      <c r="E138" s="418" t="n">
        <f aca="false">(1+D138)*F138/F137-1</f>
        <v>0.0444347733008446</v>
      </c>
      <c r="F138" s="845" t="n">
        <f aca="false">TableDE6c!B57</f>
        <v>3.4068805122629</v>
      </c>
      <c r="G138" s="418" t="n">
        <f aca="false">TableDE12c!C138</f>
        <v>0.106675123837139</v>
      </c>
      <c r="H138" s="418" t="n">
        <f aca="false">G137/F137</f>
        <v>0.0326350642213798</v>
      </c>
      <c r="I138" s="418" t="n">
        <f aca="false">O138/F138</f>
        <v>0</v>
      </c>
      <c r="J138" s="418" t="n">
        <f aca="false">(1+$E138)/((1+H138)*(1+I137))-1</f>
        <v>0.0114267948942466</v>
      </c>
      <c r="K138" s="839" t="n">
        <f aca="false">TableDE12c!D138</f>
        <v>0.0867766098828078</v>
      </c>
      <c r="L138" s="418" t="n">
        <f aca="false">K137/F137</f>
        <v>0.0256699086277395</v>
      </c>
      <c r="M138" s="387" t="n">
        <f aca="false">O138/F138</f>
        <v>0</v>
      </c>
      <c r="N138" s="418" t="n">
        <f aca="false">(1+E138)/((1+L138))-1</f>
        <v>0.0182952278459754</v>
      </c>
      <c r="O138" s="840" t="n">
        <v>0</v>
      </c>
      <c r="P138" s="418"/>
      <c r="R138" s="876" t="n">
        <f aca="false">R137*(1+S138)*(1+G137/R137)/(1+D138)</f>
        <v>3.58798866632768</v>
      </c>
      <c r="S138" s="877" t="n">
        <f aca="false">S$157</f>
        <v>-0.0048439</v>
      </c>
      <c r="T138" s="878" t="n">
        <f aca="false">T137*(1+U138)*(1+K137/T137)/(1+D138)</f>
        <v>3.5605717473906</v>
      </c>
      <c r="U138" s="879" t="n">
        <f aca="false">T$157</f>
        <v>0.0036565</v>
      </c>
      <c r="V138" s="816"/>
      <c r="W138" s="817"/>
      <c r="X138" s="817"/>
      <c r="Y138" s="817" t="n">
        <f aca="false">1+$D138</f>
        <v>1.01517112765325</v>
      </c>
      <c r="Z138" s="818" t="n">
        <f aca="false">1+E138</f>
        <v>1.04443477330084</v>
      </c>
      <c r="AA138" s="818" t="n">
        <f aca="false">1+H138</f>
        <v>1.03263506422138</v>
      </c>
      <c r="AB138" s="818" t="n">
        <f aca="false">1+J138</f>
        <v>1.01142679489425</v>
      </c>
      <c r="AC138" s="818" t="n">
        <f aca="false">1+I137</f>
        <v>1</v>
      </c>
      <c r="AD138" s="818" t="n">
        <f aca="false">1+L138</f>
        <v>1.02566990862774</v>
      </c>
      <c r="AE138" s="818" t="n">
        <f aca="false">1+N138</f>
        <v>1.01829522784598</v>
      </c>
    </row>
    <row r="139" customFormat="false" ht="12" hidden="false" customHeight="false" outlineLevel="0" collapsed="false">
      <c r="A139" s="445" t="n">
        <f aca="false">A138+1</f>
        <v>1999</v>
      </c>
      <c r="B139" s="823" t="n">
        <f aca="false">TableDE3b!H139</f>
        <v>1847.76437085111</v>
      </c>
      <c r="C139" s="410" t="n">
        <f aca="false">B139*F139</f>
        <v>6481.96665686047</v>
      </c>
      <c r="D139" s="407" t="n">
        <f aca="false">B139/B138-1</f>
        <v>0.0171786344074958</v>
      </c>
      <c r="E139" s="437" t="n">
        <f aca="false">(1+D139)*F139/F138-1</f>
        <v>0.0473709674743421</v>
      </c>
      <c r="F139" s="841" t="n">
        <f aca="false">TableDE6c!B58</f>
        <v>3.50800500275626</v>
      </c>
      <c r="G139" s="437" t="n">
        <f aca="false">TableDE12c!C139</f>
        <v>0.0891901343749814</v>
      </c>
      <c r="H139" s="437" t="n">
        <f aca="false">G138/F138</f>
        <v>0.0313116716166497</v>
      </c>
      <c r="I139" s="437" t="n">
        <f aca="false">O139/F139</f>
        <v>0</v>
      </c>
      <c r="J139" s="437" t="n">
        <f aca="false">(1+$E139)/((1+H139)*(1+I138))-1</f>
        <v>0.0155717192965714</v>
      </c>
      <c r="K139" s="843" t="n">
        <f aca="false">TableDE12c!D139</f>
        <v>0.0842762896619583</v>
      </c>
      <c r="L139" s="437" t="n">
        <f aca="false">K138/F138</f>
        <v>0.0254709871891485</v>
      </c>
      <c r="M139" s="406" t="n">
        <f aca="false">O139/F139</f>
        <v>0</v>
      </c>
      <c r="N139" s="437" t="n">
        <f aca="false">(1+E139)/((1+L139))-1</f>
        <v>0.0213560213392503</v>
      </c>
      <c r="O139" s="844" t="n">
        <v>0</v>
      </c>
      <c r="P139" s="418"/>
      <c r="R139" s="876" t="n">
        <f aca="false">R138*(1+S139)*(1+G138/R138)/(1+D139)</f>
        <v>3.61467207809899</v>
      </c>
      <c r="S139" s="877" t="n">
        <f aca="false">S$157</f>
        <v>-0.0048439</v>
      </c>
      <c r="T139" s="878" t="n">
        <f aca="false">T138*(1+U139)*(1+K138/T138)/(1+D139)</f>
        <v>3.59886136290517</v>
      </c>
      <c r="U139" s="879" t="n">
        <f aca="false">T$157</f>
        <v>0.0036565</v>
      </c>
      <c r="V139" s="816"/>
      <c r="W139" s="817"/>
      <c r="X139" s="817"/>
      <c r="Y139" s="817" t="n">
        <f aca="false">1+$D139</f>
        <v>1.0171786344075</v>
      </c>
      <c r="Z139" s="818" t="n">
        <f aca="false">1+E139</f>
        <v>1.04737096747434</v>
      </c>
      <c r="AA139" s="818" t="n">
        <f aca="false">1+H139</f>
        <v>1.03131167161665</v>
      </c>
      <c r="AB139" s="818" t="n">
        <f aca="false">1+J139</f>
        <v>1.01557171929657</v>
      </c>
      <c r="AC139" s="818" t="n">
        <f aca="false">1+I138</f>
        <v>1</v>
      </c>
      <c r="AD139" s="818" t="n">
        <f aca="false">1+L139</f>
        <v>1.02547098718915</v>
      </c>
      <c r="AE139" s="818" t="n">
        <f aca="false">1+N139</f>
        <v>1.02135602133925</v>
      </c>
    </row>
    <row r="140" customFormat="false" ht="12" hidden="false" customHeight="false" outlineLevel="0" collapsed="false">
      <c r="A140" s="446" t="n">
        <f aca="false">A139+1</f>
        <v>2000</v>
      </c>
      <c r="B140" s="819" t="n">
        <f aca="false">TableDE3b!H140</f>
        <v>1901.57730243133</v>
      </c>
      <c r="C140" s="384" t="n">
        <f aca="false">B140*F140</f>
        <v>6778.62749079262</v>
      </c>
      <c r="D140" s="382" t="n">
        <f aca="false">B140/B139-1</f>
        <v>0.0291232650813749</v>
      </c>
      <c r="E140" s="418" t="n">
        <f aca="false">(1+D140)*F140/F139-1</f>
        <v>0.0457671027385131</v>
      </c>
      <c r="F140" s="845" t="n">
        <f aca="false">TableDE6c!B59</f>
        <v>3.56473937826538</v>
      </c>
      <c r="G140" s="418" t="n">
        <f aca="false">TableDE12c!C140</f>
        <v>0.0831762857126289</v>
      </c>
      <c r="H140" s="418" t="n">
        <f aca="false">G139/F139</f>
        <v>0.0254247454906433</v>
      </c>
      <c r="I140" s="418" t="n">
        <f aca="false">O140/F140</f>
        <v>0</v>
      </c>
      <c r="J140" s="418" t="n">
        <f aca="false">(1+$E140)/((1+H140)*(1+I139))-1</f>
        <v>0.0198379816142786</v>
      </c>
      <c r="K140" s="839" t="n">
        <f aca="false">TableDE12c!D140</f>
        <v>0.0809553907441448</v>
      </c>
      <c r="L140" s="418" t="n">
        <f aca="false">K139/F139</f>
        <v>0.024023993579183</v>
      </c>
      <c r="M140" s="387" t="n">
        <f aca="false">O140/F140</f>
        <v>0</v>
      </c>
      <c r="N140" s="418" t="n">
        <f aca="false">(1+E140)/((1+L140))-1</f>
        <v>0.0212330075229323</v>
      </c>
      <c r="O140" s="840" t="n">
        <v>0</v>
      </c>
      <c r="P140" s="418"/>
      <c r="R140" s="876" t="n">
        <f aca="false">R139*(1+S140)*(1+G139/R139)/(1+D140)</f>
        <v>3.58161281487648</v>
      </c>
      <c r="S140" s="877" t="n">
        <f aca="false">S$157</f>
        <v>-0.0048439</v>
      </c>
      <c r="T140" s="878" t="n">
        <f aca="false">T139*(1+U140)*(1+K139/T139)/(1+D140)</f>
        <v>3.59199443917094</v>
      </c>
      <c r="U140" s="879" t="n">
        <f aca="false">T$157</f>
        <v>0.0036565</v>
      </c>
      <c r="V140" s="816"/>
      <c r="W140" s="817"/>
      <c r="X140" s="817"/>
      <c r="Y140" s="817" t="n">
        <f aca="false">1+$D140</f>
        <v>1.02912326508137</v>
      </c>
      <c r="Z140" s="818" t="n">
        <f aca="false">1+E140</f>
        <v>1.04576710273851</v>
      </c>
      <c r="AA140" s="818" t="n">
        <f aca="false">1+H140</f>
        <v>1.02542474549064</v>
      </c>
      <c r="AB140" s="818" t="n">
        <f aca="false">1+J140</f>
        <v>1.01983798161428</v>
      </c>
      <c r="AC140" s="818" t="n">
        <f aca="false">1+I139</f>
        <v>1</v>
      </c>
      <c r="AD140" s="818" t="n">
        <f aca="false">1+L140</f>
        <v>1.02402399357918</v>
      </c>
      <c r="AE140" s="818" t="n">
        <f aca="false">1+N140</f>
        <v>1.02123300752293</v>
      </c>
    </row>
    <row r="141" customFormat="false" ht="12" hidden="false" customHeight="false" outlineLevel="0" collapsed="false">
      <c r="A141" s="446" t="n">
        <f aca="false">A140+1</f>
        <v>2001</v>
      </c>
      <c r="B141" s="819" t="n">
        <f aca="false">TableDE3b!H141</f>
        <v>1927.24588892589</v>
      </c>
      <c r="C141" s="384" t="n">
        <f aca="false">B141*F141</f>
        <v>6908.88668563027</v>
      </c>
      <c r="D141" s="382" t="n">
        <f aca="false">B141/B140-1</f>
        <v>0.0134985763985209</v>
      </c>
      <c r="E141" s="418" t="n">
        <f aca="false">(1+D141)*F141/F140-1</f>
        <v>0.0192161606482402</v>
      </c>
      <c r="F141" s="845" t="n">
        <f aca="false">TableDE6c!B60</f>
        <v>3.58484961640301</v>
      </c>
      <c r="G141" s="418" t="n">
        <f aca="false">TableDE12c!C141</f>
        <v>0.0996107452418132</v>
      </c>
      <c r="H141" s="418" t="n">
        <f aca="false">G140/F140</f>
        <v>0.0233330622204148</v>
      </c>
      <c r="I141" s="418" t="n">
        <f aca="false">O141/F141</f>
        <v>0</v>
      </c>
      <c r="J141" s="418" t="n">
        <f aca="false">(1+$E141)/((1+H141)*(1+I140))-1</f>
        <v>-0.0040230319181146</v>
      </c>
      <c r="K141" s="839" t="n">
        <f aca="false">TableDE12c!D141</f>
        <v>0.0803912915563401</v>
      </c>
      <c r="L141" s="418" t="n">
        <f aca="false">K140/F140</f>
        <v>0.0227100447336316</v>
      </c>
      <c r="M141" s="387" t="n">
        <f aca="false">O141/F141</f>
        <v>0</v>
      </c>
      <c r="N141" s="418" t="n">
        <f aca="false">(1+E141)/((1+L141))-1</f>
        <v>-0.00341629976490676</v>
      </c>
      <c r="O141" s="840" t="n">
        <v>0</v>
      </c>
      <c r="P141" s="418"/>
      <c r="R141" s="876" t="n">
        <f aca="false">R140*(1+S141)*(1+G140/R140)/(1+D141)</f>
        <v>3.59846309959759</v>
      </c>
      <c r="S141" s="877" t="n">
        <f aca="false">S$157</f>
        <v>-0.0048439</v>
      </c>
      <c r="T141" s="878" t="n">
        <f aca="false">T140*(1+U141)*(1+K140/T140)/(1+D141)</f>
        <v>3.63728184411246</v>
      </c>
      <c r="U141" s="879" t="n">
        <f aca="false">T$157</f>
        <v>0.0036565</v>
      </c>
      <c r="V141" s="816"/>
      <c r="W141" s="817"/>
      <c r="X141" s="817"/>
      <c r="Y141" s="817" t="n">
        <f aca="false">1+$D141</f>
        <v>1.01349857639852</v>
      </c>
      <c r="Z141" s="818" t="n">
        <f aca="false">1+E141</f>
        <v>1.01921616064824</v>
      </c>
      <c r="AA141" s="818" t="n">
        <f aca="false">1+H141</f>
        <v>1.02333306222041</v>
      </c>
      <c r="AB141" s="818" t="n">
        <f aca="false">1+J141</f>
        <v>0.995976968081885</v>
      </c>
      <c r="AC141" s="818" t="n">
        <f aca="false">1+I140</f>
        <v>1</v>
      </c>
      <c r="AD141" s="818" t="n">
        <f aca="false">1+L141</f>
        <v>1.02271004473363</v>
      </c>
      <c r="AE141" s="818" t="n">
        <f aca="false">1+N141</f>
        <v>0.996583700235093</v>
      </c>
    </row>
    <row r="142" customFormat="false" ht="12" hidden="false" customHeight="false" outlineLevel="0" collapsed="false">
      <c r="A142" s="446" t="n">
        <f aca="false">A141+1</f>
        <v>2002</v>
      </c>
      <c r="B142" s="819" t="n">
        <f aca="false">TableDE3b!H142</f>
        <v>1921.47609110833</v>
      </c>
      <c r="C142" s="384" t="n">
        <f aca="false">B142*F142</f>
        <v>6975.28253996872</v>
      </c>
      <c r="D142" s="382" t="n">
        <f aca="false">B142/B141-1</f>
        <v>-0.00299380470894706</v>
      </c>
      <c r="E142" s="418" t="n">
        <f aca="false">(1+D142)*F142/F141-1</f>
        <v>0.00961021035075738</v>
      </c>
      <c r="F142" s="845" t="n">
        <f aca="false">TableDE6c!B61</f>
        <v>3.63016879171539</v>
      </c>
      <c r="G142" s="418" t="n">
        <f aca="false">TableDE12c!C142</f>
        <v>0.108167683967305</v>
      </c>
      <c r="H142" s="418" t="n">
        <f aca="false">G141/F141</f>
        <v>0.027786589648288</v>
      </c>
      <c r="I142" s="418" t="n">
        <f aca="false">O142/F142</f>
        <v>0</v>
      </c>
      <c r="J142" s="418" t="n">
        <f aca="false">(1+$E142)/((1+H142)*(1+I141))-1</f>
        <v>-0.0176849741771302</v>
      </c>
      <c r="K142" s="839" t="n">
        <f aca="false">TableDE12c!D142</f>
        <v>0.0781409973089554</v>
      </c>
      <c r="L142" s="418" t="n">
        <f aca="false">K141/F141</f>
        <v>0.0224252898053234</v>
      </c>
      <c r="M142" s="387" t="n">
        <f aca="false">O142/F142</f>
        <v>0</v>
      </c>
      <c r="N142" s="418" t="n">
        <f aca="false">(1+E142)/((1+L142))-1</f>
        <v>-0.012534000853017</v>
      </c>
      <c r="O142" s="840" t="n">
        <v>0</v>
      </c>
      <c r="P142" s="418"/>
      <c r="R142" s="876" t="n">
        <f aca="false">R141*(1+S142)*(1+G141/R141)/(1+D142)</f>
        <v>3.69121151134677</v>
      </c>
      <c r="S142" s="877" t="n">
        <f aca="false">S$157</f>
        <v>-0.0048439</v>
      </c>
      <c r="T142" s="878" t="n">
        <f aca="false">T141*(1+U142)*(1+K141/T141)/(1+D142)</f>
        <v>3.74247103489674</v>
      </c>
      <c r="U142" s="879" t="n">
        <f aca="false">T$157</f>
        <v>0.0036565</v>
      </c>
      <c r="V142" s="816"/>
      <c r="W142" s="817"/>
      <c r="X142" s="817"/>
      <c r="Y142" s="817" t="n">
        <f aca="false">1+$D142</f>
        <v>0.997006195291053</v>
      </c>
      <c r="Z142" s="818" t="n">
        <f aca="false">1+E142</f>
        <v>1.00961021035076</v>
      </c>
      <c r="AA142" s="818" t="n">
        <f aca="false">1+H142</f>
        <v>1.02778658964829</v>
      </c>
      <c r="AB142" s="818" t="n">
        <f aca="false">1+J142</f>
        <v>0.98231502582287</v>
      </c>
      <c r="AC142" s="818" t="n">
        <f aca="false">1+I141</f>
        <v>1</v>
      </c>
      <c r="AD142" s="818" t="n">
        <f aca="false">1+L142</f>
        <v>1.02242528980532</v>
      </c>
      <c r="AE142" s="818" t="n">
        <f aca="false">1+N142</f>
        <v>0.987465999146983</v>
      </c>
    </row>
    <row r="143" customFormat="false" ht="12" hidden="false" customHeight="false" outlineLevel="0" collapsed="false">
      <c r="A143" s="446" t="n">
        <f aca="false">A142+1</f>
        <v>2003</v>
      </c>
      <c r="B143" s="819" t="n">
        <f aca="false">TableDE3b!H143</f>
        <v>1926.23959411821</v>
      </c>
      <c r="C143" s="384" t="n">
        <f aca="false">B143*F143</f>
        <v>7137.61355977853</v>
      </c>
      <c r="D143" s="382" t="n">
        <f aca="false">B143/B142-1</f>
        <v>0.00247908523656948</v>
      </c>
      <c r="E143" s="418" t="n">
        <f aca="false">(1+D143)*F143/F142-1</f>
        <v>0.0232723217847657</v>
      </c>
      <c r="F143" s="845" t="n">
        <f aca="false">TableDE6c!B62</f>
        <v>3.70546508418438</v>
      </c>
      <c r="G143" s="418" t="n">
        <f aca="false">TableDE12c!C143</f>
        <v>0.109213359094673</v>
      </c>
      <c r="H143" s="418" t="n">
        <f aca="false">G142/F142</f>
        <v>0.0297968745183861</v>
      </c>
      <c r="I143" s="418" t="n">
        <f aca="false">O143/F143</f>
        <v>0</v>
      </c>
      <c r="J143" s="418" t="n">
        <f aca="false">(1+$E143)/((1+H143)*(1+I142))-1</f>
        <v>-0.00633576668862179</v>
      </c>
      <c r="K143" s="839" t="n">
        <f aca="false">TableDE12c!D143</f>
        <v>0.0897929892354402</v>
      </c>
      <c r="L143" s="418" t="n">
        <f aca="false">K142/F142</f>
        <v>0.0215254446259594</v>
      </c>
      <c r="M143" s="387" t="n">
        <f aca="false">O143/F143</f>
        <v>0</v>
      </c>
      <c r="N143" s="418" t="n">
        <f aca="false">(1+E143)/((1+L143))-1</f>
        <v>0.00171006720194411</v>
      </c>
      <c r="O143" s="840" t="n">
        <v>0</v>
      </c>
      <c r="P143" s="418"/>
      <c r="R143" s="876" t="n">
        <f aca="false">R142*(1+S143)*(1+G142/R142)/(1+D143)</f>
        <v>3.77162520207356</v>
      </c>
      <c r="S143" s="877" t="n">
        <f aca="false">S$157</f>
        <v>-0.0048439</v>
      </c>
      <c r="T143" s="878" t="n">
        <f aca="false">T142*(1+U143)*(1+K142/T142)/(1+D143)</f>
        <v>3.8250993527676</v>
      </c>
      <c r="U143" s="879" t="n">
        <f aca="false">T$157</f>
        <v>0.0036565</v>
      </c>
      <c r="V143" s="816"/>
      <c r="W143" s="817"/>
      <c r="X143" s="817"/>
      <c r="Y143" s="817" t="n">
        <f aca="false">1+$D143</f>
        <v>1.00247908523657</v>
      </c>
      <c r="Z143" s="818" t="n">
        <f aca="false">1+E143</f>
        <v>1.02327232178477</v>
      </c>
      <c r="AA143" s="818" t="n">
        <f aca="false">1+H143</f>
        <v>1.02979687451839</v>
      </c>
      <c r="AB143" s="818" t="n">
        <f aca="false">1+J143</f>
        <v>0.993664233311378</v>
      </c>
      <c r="AC143" s="818" t="n">
        <f aca="false">1+I142</f>
        <v>1</v>
      </c>
      <c r="AD143" s="818" t="n">
        <f aca="false">1+L143</f>
        <v>1.02152544462596</v>
      </c>
      <c r="AE143" s="818" t="n">
        <f aca="false">1+N143</f>
        <v>1.00171006720194</v>
      </c>
    </row>
    <row r="144" customFormat="false" ht="12" hidden="false" customHeight="false" outlineLevel="0" collapsed="false">
      <c r="A144" s="446" t="n">
        <f aca="false">A143+1</f>
        <v>2004</v>
      </c>
      <c r="B144" s="819" t="n">
        <f aca="false">TableDE3b!H144</f>
        <v>1990.07999695766</v>
      </c>
      <c r="C144" s="384" t="n">
        <f aca="false">B144*F144</f>
        <v>7408.74974496226</v>
      </c>
      <c r="D144" s="382" t="n">
        <f aca="false">B144/B143-1</f>
        <v>0.0331425036814659</v>
      </c>
      <c r="E144" s="418" t="n">
        <f aca="false">(1+D144)*F144/F143-1</f>
        <v>0.0379869522092955</v>
      </c>
      <c r="F144" s="845" t="n">
        <f aca="false">TableDE6c!B63</f>
        <v>3.7228401653644</v>
      </c>
      <c r="G144" s="418" t="n">
        <f aca="false">TableDE12c!C144</f>
        <v>0.134675773691834</v>
      </c>
      <c r="H144" s="418" t="n">
        <f aca="false">G143/F143</f>
        <v>0.0294735901198519</v>
      </c>
      <c r="I144" s="418" t="n">
        <f aca="false">O144/F144</f>
        <v>0</v>
      </c>
      <c r="J144" s="418" t="n">
        <f aca="false">(1+$E144)/((1+H144)*(1+I143))-1</f>
        <v>0.00826962650732255</v>
      </c>
      <c r="K144" s="839" t="n">
        <f aca="false">TableDE12c!D144</f>
        <v>0.0883705685194388</v>
      </c>
      <c r="L144" s="418" t="n">
        <f aca="false">K143/F143</f>
        <v>0.0242325827380465</v>
      </c>
      <c r="M144" s="387" t="n">
        <f aca="false">O144/F144</f>
        <v>0</v>
      </c>
      <c r="N144" s="418" t="n">
        <f aca="false">(1+E144)/((1+L144))-1</f>
        <v>0.0134289512978389</v>
      </c>
      <c r="O144" s="840" t="n">
        <v>0</v>
      </c>
      <c r="P144" s="418"/>
      <c r="R144" s="876" t="n">
        <f aca="false">R143*(1+S144)*(1+G143/R143)/(1+D144)</f>
        <v>3.73814856469453</v>
      </c>
      <c r="S144" s="877" t="n">
        <f aca="false">S$157</f>
        <v>-0.0048439</v>
      </c>
      <c r="T144" s="878" t="n">
        <f aca="false">T143*(1+U144)*(1+K143/T143)/(1+D144)</f>
        <v>3.80316087262925</v>
      </c>
      <c r="U144" s="879" t="n">
        <f aca="false">T$157</f>
        <v>0.0036565</v>
      </c>
      <c r="V144" s="816"/>
      <c r="W144" s="817"/>
      <c r="X144" s="817"/>
      <c r="Y144" s="817" t="n">
        <f aca="false">1+$D144</f>
        <v>1.03314250368147</v>
      </c>
      <c r="Z144" s="818" t="n">
        <f aca="false">1+E144</f>
        <v>1.0379869522093</v>
      </c>
      <c r="AA144" s="818" t="n">
        <f aca="false">1+H144</f>
        <v>1.02947359011985</v>
      </c>
      <c r="AB144" s="818" t="n">
        <f aca="false">1+J144</f>
        <v>1.00826962650732</v>
      </c>
      <c r="AC144" s="818" t="n">
        <f aca="false">1+I143</f>
        <v>1</v>
      </c>
      <c r="AD144" s="818" t="n">
        <f aca="false">1+L144</f>
        <v>1.02423258273805</v>
      </c>
      <c r="AE144" s="818" t="n">
        <f aca="false">1+N144</f>
        <v>1.01342895129784</v>
      </c>
    </row>
    <row r="145" customFormat="false" ht="12" hidden="false" customHeight="false" outlineLevel="0" collapsed="false">
      <c r="A145" s="446" t="n">
        <f aca="false">A144+1</f>
        <v>2005</v>
      </c>
      <c r="B145" s="819" t="n">
        <f aca="false">TableDE3b!H145</f>
        <v>2009.27321931616</v>
      </c>
      <c r="C145" s="384" t="n">
        <f aca="false">B145*F145</f>
        <v>7709.48273115111</v>
      </c>
      <c r="D145" s="382" t="n">
        <f aca="false">B145/B144-1</f>
        <v>0.00964444765428429</v>
      </c>
      <c r="E145" s="418" t="n">
        <f aca="false">(1+D145)*F145/F144-1</f>
        <v>0.0405915973060556</v>
      </c>
      <c r="F145" s="845" t="n">
        <f aca="false">TableDE6c!B64</f>
        <v>3.83695092187362</v>
      </c>
      <c r="G145" s="418" t="n">
        <f aca="false">TableDE12c!C145</f>
        <v>0.130134313057144</v>
      </c>
      <c r="H145" s="418" t="n">
        <f aca="false">G144/F144</f>
        <v>0.0361755454732642</v>
      </c>
      <c r="I145" s="418" t="n">
        <f aca="false">O145/F145</f>
        <v>0</v>
      </c>
      <c r="J145" s="418" t="n">
        <f aca="false">(1+$E145)/((1+H145)*(1+I144))-1</f>
        <v>0.00426187613873319</v>
      </c>
      <c r="K145" s="839" t="n">
        <f aca="false">TableDE12c!D145</f>
        <v>0.0912194335017667</v>
      </c>
      <c r="L145" s="418" t="n">
        <f aca="false">K144/F144</f>
        <v>0.0237374060110337</v>
      </c>
      <c r="M145" s="387" t="n">
        <f aca="false">O145/F145</f>
        <v>0</v>
      </c>
      <c r="N145" s="418" t="n">
        <f aca="false">(1+E145)/((1+L145))-1</f>
        <v>0.0164633930498777</v>
      </c>
      <c r="O145" s="840" t="n">
        <v>0</v>
      </c>
      <c r="P145" s="418"/>
      <c r="R145" s="876" t="n">
        <f aca="false">R144*(1+S145)*(1+G144/R144)/(1+D145)</f>
        <v>3.8172495015724</v>
      </c>
      <c r="S145" s="877" t="n">
        <f aca="false">S$157</f>
        <v>-0.0048439</v>
      </c>
      <c r="T145" s="878" t="n">
        <f aca="false">T144*(1+U145)*(1+K144/T144)/(1+D145)</f>
        <v>3.86845174550065</v>
      </c>
      <c r="U145" s="879" t="n">
        <f aca="false">T$157</f>
        <v>0.0036565</v>
      </c>
      <c r="V145" s="816"/>
      <c r="W145" s="817"/>
      <c r="X145" s="817"/>
      <c r="Y145" s="817" t="n">
        <f aca="false">1+$D145</f>
        <v>1.00964444765428</v>
      </c>
      <c r="Z145" s="818" t="n">
        <f aca="false">1+E145</f>
        <v>1.04059159730606</v>
      </c>
      <c r="AA145" s="818" t="n">
        <f aca="false">1+H145</f>
        <v>1.03617554547326</v>
      </c>
      <c r="AB145" s="818" t="n">
        <f aca="false">1+J145</f>
        <v>1.00426187613873</v>
      </c>
      <c r="AC145" s="818" t="n">
        <f aca="false">1+I144</f>
        <v>1</v>
      </c>
      <c r="AD145" s="818" t="n">
        <f aca="false">1+L145</f>
        <v>1.02373740601103</v>
      </c>
      <c r="AE145" s="818" t="n">
        <f aca="false">1+N145</f>
        <v>1.01646339304988</v>
      </c>
    </row>
    <row r="146" customFormat="false" ht="12" hidden="false" customHeight="false" outlineLevel="0" collapsed="false">
      <c r="A146" s="446" t="n">
        <f aca="false">A145+1</f>
        <v>2006</v>
      </c>
      <c r="B146" s="819" t="n">
        <f aca="false">TableDE3b!H146</f>
        <v>2110.9803999689</v>
      </c>
      <c r="C146" s="384" t="n">
        <f aca="false">B146*F146</f>
        <v>7975.06964258445</v>
      </c>
      <c r="D146" s="382" t="n">
        <f aca="false">B146/B145-1</f>
        <v>0.0506188902907654</v>
      </c>
      <c r="E146" s="418" t="n">
        <f aca="false">(1+D146)*F146/F145-1</f>
        <v>0.0344493814559321</v>
      </c>
      <c r="F146" s="845" t="n">
        <f aca="false">TableDE6c!B65</f>
        <v>3.77789847916255</v>
      </c>
      <c r="G146" s="418" t="n">
        <f aca="false">TableDE12c!C146</f>
        <v>0.137240766344065</v>
      </c>
      <c r="H146" s="418" t="n">
        <f aca="false">G145/F145</f>
        <v>0.0339160744317257</v>
      </c>
      <c r="I146" s="418" t="n">
        <f aca="false">O146/F146</f>
        <v>0</v>
      </c>
      <c r="J146" s="418" t="n">
        <f aca="false">(1+$E146)/((1+H146)*(1+I145))-1</f>
        <v>0.000515812682861716</v>
      </c>
      <c r="K146" s="839" t="n">
        <f aca="false">TableDE12c!D146</f>
        <v>0.0868704325498712</v>
      </c>
      <c r="L146" s="418" t="n">
        <f aca="false">K145/F145</f>
        <v>0.0237739380458959</v>
      </c>
      <c r="M146" s="387" t="n">
        <f aca="false">O146/F146</f>
        <v>0</v>
      </c>
      <c r="N146" s="418" t="n">
        <f aca="false">(1+E146)/((1+L146))-1</f>
        <v>0.0104275397266047</v>
      </c>
      <c r="O146" s="840" t="n">
        <v>0</v>
      </c>
      <c r="P146" s="418"/>
      <c r="R146" s="876" t="n">
        <f aca="false">R145*(1+S146)*(1+G145/R145)/(1+D146)</f>
        <v>3.73899909707762</v>
      </c>
      <c r="S146" s="877" t="n">
        <f aca="false">S$157</f>
        <v>-0.0048439</v>
      </c>
      <c r="T146" s="878" t="n">
        <f aca="false">T145*(1+U146)*(1+K145/T145)/(1+D146)</f>
        <v>3.78267491037456</v>
      </c>
      <c r="U146" s="879" t="n">
        <f aca="false">T$157</f>
        <v>0.0036565</v>
      </c>
      <c r="V146" s="816"/>
      <c r="W146" s="817"/>
      <c r="X146" s="817"/>
      <c r="Y146" s="817" t="n">
        <f aca="false">1+$D146</f>
        <v>1.05061889029077</v>
      </c>
      <c r="Z146" s="818" t="n">
        <f aca="false">1+E146</f>
        <v>1.03444938145593</v>
      </c>
      <c r="AA146" s="818" t="n">
        <f aca="false">1+H146</f>
        <v>1.03391607443173</v>
      </c>
      <c r="AB146" s="818" t="n">
        <f aca="false">1+J146</f>
        <v>1.00051581268286</v>
      </c>
      <c r="AC146" s="818" t="n">
        <f aca="false">1+I145</f>
        <v>1</v>
      </c>
      <c r="AD146" s="818" t="n">
        <f aca="false">1+L146</f>
        <v>1.0237739380459</v>
      </c>
      <c r="AE146" s="818" t="n">
        <f aca="false">1+N146</f>
        <v>1.0104275397266</v>
      </c>
    </row>
    <row r="147" customFormat="false" ht="12" hidden="false" customHeight="false" outlineLevel="0" collapsed="false">
      <c r="A147" s="446" t="n">
        <f aca="false">A146+1</f>
        <v>2007</v>
      </c>
      <c r="B147" s="819" t="n">
        <f aca="false">TableDE3b!H147</f>
        <v>2172.29537972607</v>
      </c>
      <c r="C147" s="384" t="n">
        <f aca="false">B147*F147</f>
        <v>8234.05589343051</v>
      </c>
      <c r="D147" s="382" t="n">
        <f aca="false">B147/B146-1</f>
        <v>0.0290457361698271</v>
      </c>
      <c r="E147" s="418" t="n">
        <f aca="false">(1+D147)*F147/F146-1</f>
        <v>0.032474481409309</v>
      </c>
      <c r="F147" s="845" t="n">
        <f aca="false">TableDE6c!B66</f>
        <v>3.79048630783758</v>
      </c>
      <c r="G147" s="418" t="n">
        <f aca="false">TableDE12c!C147</f>
        <v>0.140882908404155</v>
      </c>
      <c r="H147" s="418" t="n">
        <f aca="false">G146/F146</f>
        <v>0.036327277480068</v>
      </c>
      <c r="I147" s="418" t="n">
        <f aca="false">O147/F147</f>
        <v>0</v>
      </c>
      <c r="J147" s="418" t="n">
        <f aca="false">(1+$E147)/((1+H147)*(1+I146))-1</f>
        <v>-0.00371774067370634</v>
      </c>
      <c r="K147" s="839" t="n">
        <f aca="false">TableDE12c!D147</f>
        <v>0.0835080264400378</v>
      </c>
      <c r="L147" s="418" t="n">
        <f aca="false">K146/F146</f>
        <v>0.0229943798196313</v>
      </c>
      <c r="M147" s="387" t="n">
        <f aca="false">O147/F147</f>
        <v>0</v>
      </c>
      <c r="N147" s="418" t="n">
        <f aca="false">(1+E147)/((1+L147))-1</f>
        <v>0.00926701238705641</v>
      </c>
      <c r="O147" s="840" t="n">
        <v>0</v>
      </c>
      <c r="P147" s="418"/>
      <c r="R147" s="876" t="n">
        <f aca="false">R146*(1+S147)*(1+G146/R146)/(1+D147)</f>
        <v>3.74858338124501</v>
      </c>
      <c r="S147" s="877" t="n">
        <f aca="false">S$157</f>
        <v>-0.0048439</v>
      </c>
      <c r="T147" s="878" t="n">
        <f aca="false">T146*(1+U147)*(1+K146/T146)/(1+D147)</f>
        <v>3.77407358969892</v>
      </c>
      <c r="U147" s="879" t="n">
        <f aca="false">T$157</f>
        <v>0.0036565</v>
      </c>
      <c r="V147" s="816"/>
      <c r="W147" s="817"/>
      <c r="X147" s="817"/>
      <c r="Y147" s="817" t="n">
        <f aca="false">1+$D147</f>
        <v>1.02904573616983</v>
      </c>
      <c r="Z147" s="818" t="n">
        <f aca="false">1+E147</f>
        <v>1.03247448140931</v>
      </c>
      <c r="AA147" s="818" t="n">
        <f aca="false">1+H147</f>
        <v>1.03632727748007</v>
      </c>
      <c r="AB147" s="818" t="n">
        <f aca="false">1+J147</f>
        <v>0.996282259326294</v>
      </c>
      <c r="AC147" s="818" t="n">
        <f aca="false">1+I146</f>
        <v>1</v>
      </c>
      <c r="AD147" s="818" t="n">
        <f aca="false">1+L147</f>
        <v>1.02299437981963</v>
      </c>
      <c r="AE147" s="818" t="n">
        <f aca="false">1+N147</f>
        <v>1.00926701238706</v>
      </c>
    </row>
    <row r="148" customFormat="false" ht="12" hidden="false" customHeight="false" outlineLevel="0" collapsed="false">
      <c r="A148" s="446" t="n">
        <f aca="false">A147+1</f>
        <v>2008</v>
      </c>
      <c r="B148" s="819" t="n">
        <f aca="false">TableDE3b!H148</f>
        <v>2177.40619020797</v>
      </c>
      <c r="C148" s="384" t="n">
        <f aca="false">B148*F148</f>
        <v>8484.35373464211</v>
      </c>
      <c r="D148" s="382" t="n">
        <f aca="false">B148/B147-1</f>
        <v>0.00235272354284577</v>
      </c>
      <c r="E148" s="418" t="n">
        <f aca="false">(1+D148)*F148/F147-1</f>
        <v>0.0303978797874442</v>
      </c>
      <c r="F148" s="845" t="n">
        <f aca="false">TableDE6c!B67</f>
        <v>3.89654156987207</v>
      </c>
      <c r="G148" s="418" t="n">
        <f aca="false">TableDE12c!C148</f>
        <v>0.127165900879214</v>
      </c>
      <c r="H148" s="418" t="n">
        <f aca="false">G147/F147</f>
        <v>0.0371675022576527</v>
      </c>
      <c r="I148" s="418" t="n">
        <f aca="false">O148/F148</f>
        <v>0</v>
      </c>
      <c r="J148" s="418" t="n">
        <f aca="false">(1+$E148)/((1+H148)*(1+I147))-1</f>
        <v>-0.00652702910134839</v>
      </c>
      <c r="K148" s="839" t="n">
        <f aca="false">TableDE12c!D148</f>
        <v>0.0826956964770661</v>
      </c>
      <c r="L148" s="418" t="n">
        <f aca="false">K147/F147</f>
        <v>0.0220309531965248</v>
      </c>
      <c r="M148" s="387" t="n">
        <f aca="false">O148/F148</f>
        <v>0</v>
      </c>
      <c r="N148" s="418" t="n">
        <f aca="false">(1+E148)/((1+L148))-1</f>
        <v>0.00818656867950129</v>
      </c>
      <c r="O148" s="840" t="n">
        <v>0</v>
      </c>
      <c r="P148" s="418"/>
      <c r="R148" s="876" t="n">
        <f aca="false">R147*(1+S148)*(1+G147/R147)/(1+D148)</f>
        <v>3.86154096554743</v>
      </c>
      <c r="S148" s="877" t="n">
        <f aca="false">S$157</f>
        <v>-0.0048439</v>
      </c>
      <c r="T148" s="878" t="n">
        <f aca="false">T147*(1+U148)*(1+K147/T147)/(1+D148)</f>
        <v>3.86259923516123</v>
      </c>
      <c r="U148" s="879" t="n">
        <f aca="false">T$157</f>
        <v>0.0036565</v>
      </c>
      <c r="V148" s="816"/>
      <c r="W148" s="817"/>
      <c r="X148" s="817"/>
      <c r="Y148" s="817" t="n">
        <f aca="false">1+$D148</f>
        <v>1.00235272354285</v>
      </c>
      <c r="Z148" s="818" t="n">
        <f aca="false">1+E148</f>
        <v>1.03039787978744</v>
      </c>
      <c r="AA148" s="818" t="n">
        <f aca="false">1+H148</f>
        <v>1.03716750225765</v>
      </c>
      <c r="AB148" s="818" t="n">
        <f aca="false">1+J148</f>
        <v>0.993472970898652</v>
      </c>
      <c r="AC148" s="818" t="n">
        <f aca="false">1+I147</f>
        <v>1</v>
      </c>
      <c r="AD148" s="818" t="n">
        <f aca="false">1+L148</f>
        <v>1.02203095319652</v>
      </c>
      <c r="AE148" s="818" t="n">
        <f aca="false">1+N148</f>
        <v>1.0081865686795</v>
      </c>
    </row>
    <row r="149" customFormat="false" ht="12" hidden="false" customHeight="false" outlineLevel="0" collapsed="false">
      <c r="A149" s="446" t="n">
        <f aca="false">A148+1</f>
        <v>2009</v>
      </c>
      <c r="B149" s="819" t="n">
        <f aca="false">TableDE3b!H149</f>
        <v>2063.58453491818</v>
      </c>
      <c r="C149" s="384" t="n">
        <f aca="false">B149*F149</f>
        <v>8567.90569260312</v>
      </c>
      <c r="D149" s="382" t="n">
        <f aca="false">B149/B148-1</f>
        <v>-0.0522739651433245</v>
      </c>
      <c r="E149" s="418" t="n">
        <f aca="false">(1+D149)*F149/F148-1</f>
        <v>0.00984776926731246</v>
      </c>
      <c r="F149" s="845" t="n">
        <f aca="false">TableDE6c!B68</f>
        <v>4.15195285079167</v>
      </c>
      <c r="G149" s="418" t="n">
        <f aca="false">TableDE12c!C149</f>
        <v>0.114280282349271</v>
      </c>
      <c r="H149" s="418" t="n">
        <f aca="false">G148/F148</f>
        <v>0.0326355817329031</v>
      </c>
      <c r="I149" s="418" t="n">
        <f aca="false">O149/F149</f>
        <v>0</v>
      </c>
      <c r="J149" s="418" t="n">
        <f aca="false">(1+$E149)/((1+H149)*(1+I148))-1</f>
        <v>-0.0220676227593762</v>
      </c>
      <c r="K149" s="839" t="n">
        <f aca="false">TableDE12c!D149</f>
        <v>0.0880391545121285</v>
      </c>
      <c r="L149" s="418" t="n">
        <f aca="false">K148/F148</f>
        <v>0.0212228446672984</v>
      </c>
      <c r="M149" s="387" t="n">
        <f aca="false">O149/F149</f>
        <v>0</v>
      </c>
      <c r="N149" s="418" t="n">
        <f aca="false">(1+E149)/((1+L149))-1</f>
        <v>-0.0111386809053334</v>
      </c>
      <c r="O149" s="840" t="n">
        <v>0</v>
      </c>
      <c r="P149" s="418"/>
      <c r="R149" s="876" t="n">
        <f aca="false">R148*(1+S149)*(1+G148/R148)/(1+D149)</f>
        <v>4.18832639733977</v>
      </c>
      <c r="S149" s="877" t="n">
        <f aca="false">S$157</f>
        <v>-0.0048439</v>
      </c>
      <c r="T149" s="878" t="n">
        <f aca="false">T148*(1+U149)*(1+K148/T148)/(1+D149)</f>
        <v>4.17812823212635</v>
      </c>
      <c r="U149" s="879" t="n">
        <f aca="false">T$157</f>
        <v>0.0036565</v>
      </c>
      <c r="V149" s="816"/>
      <c r="W149" s="817"/>
      <c r="X149" s="817"/>
      <c r="Y149" s="817" t="n">
        <f aca="false">1+$D149</f>
        <v>0.947726034856676</v>
      </c>
      <c r="Z149" s="818" t="n">
        <f aca="false">1+E149</f>
        <v>1.00984776926731</v>
      </c>
      <c r="AA149" s="818" t="n">
        <f aca="false">1+H149</f>
        <v>1.0326355817329</v>
      </c>
      <c r="AB149" s="818" t="n">
        <f aca="false">1+J149</f>
        <v>0.977932377240624</v>
      </c>
      <c r="AC149" s="818" t="n">
        <f aca="false">1+I148</f>
        <v>1</v>
      </c>
      <c r="AD149" s="818" t="n">
        <f aca="false">1+L149</f>
        <v>1.0212228446673</v>
      </c>
      <c r="AE149" s="818" t="n">
        <f aca="false">1+N149</f>
        <v>0.988861319094667</v>
      </c>
    </row>
    <row r="150" customFormat="false" ht="13" hidden="false" customHeight="false" outlineLevel="0" collapsed="false">
      <c r="A150" s="881" t="n">
        <f aca="false">A149+1</f>
        <v>2010</v>
      </c>
      <c r="B150" s="882" t="n">
        <f aca="false">TableDE3b!H150</f>
        <v>2146.06</v>
      </c>
      <c r="C150" s="865" t="n">
        <f aca="false">B150*F150</f>
        <v>8835.75</v>
      </c>
      <c r="D150" s="866" t="n">
        <f aca="false">B150/B149-1</f>
        <v>0.0399670881838112</v>
      </c>
      <c r="E150" s="867" t="n">
        <f aca="false">(1+D150)*F150/F149-1</f>
        <v>0.0312613510239863</v>
      </c>
      <c r="F150" s="868" t="n">
        <f aca="false">TableDE6c!B69</f>
        <v>4.11719616413334</v>
      </c>
      <c r="G150" s="867" t="n">
        <f aca="false">TableDE12c!C150</f>
        <v>0.144474059439158</v>
      </c>
      <c r="H150" s="867" t="n">
        <f aca="false">G149/F149</f>
        <v>0.0275244653434541</v>
      </c>
      <c r="I150" s="867" t="n">
        <f aca="false">O150/F150</f>
        <v>0</v>
      </c>
      <c r="J150" s="867" t="n">
        <f aca="false">(1+$E150)/((1+H150)*(1+I149))-1</f>
        <v>0.00363678511468146</v>
      </c>
      <c r="K150" s="869" t="n">
        <f aca="false">TableDE12c!D150</f>
        <v>0.0871876834757649</v>
      </c>
      <c r="L150" s="867" t="n">
        <f aca="false">K149/F149</f>
        <v>0.0212042760782656</v>
      </c>
      <c r="M150" s="448" t="n">
        <f aca="false">O150/F150</f>
        <v>0</v>
      </c>
      <c r="N150" s="867" t="n">
        <f aca="false">(1+E150)/((1+L150))-1</f>
        <v>0.00984824993520683</v>
      </c>
      <c r="O150" s="880" t="n">
        <v>0</v>
      </c>
      <c r="P150" s="418"/>
      <c r="R150" s="883" t="n">
        <f aca="false">R149*(1+S150)*(1+G149/R149)/(1+D150)</f>
        <v>4.11721229627654</v>
      </c>
      <c r="S150" s="884" t="n">
        <f aca="false">S$157</f>
        <v>-0.0048439</v>
      </c>
      <c r="T150" s="885" t="n">
        <f aca="false">T149*(1+U150)*(1+K149/T149)/(1+D150)</f>
        <v>4.11721358910055</v>
      </c>
      <c r="U150" s="886" t="n">
        <f aca="false">T$157</f>
        <v>0.0036565</v>
      </c>
      <c r="V150" s="816"/>
      <c r="W150" s="817"/>
      <c r="X150" s="817"/>
      <c r="Y150" s="817" t="n">
        <f aca="false">1+$D150</f>
        <v>1.03996708818381</v>
      </c>
      <c r="Z150" s="818" t="n">
        <f aca="false">1+E150</f>
        <v>1.03126135102399</v>
      </c>
      <c r="AA150" s="818" t="n">
        <f aca="false">1+H150</f>
        <v>1.02752446534345</v>
      </c>
      <c r="AB150" s="818" t="n">
        <f aca="false">1+J150</f>
        <v>1.00363678511468</v>
      </c>
      <c r="AC150" s="818" t="n">
        <f aca="false">1+I149</f>
        <v>1</v>
      </c>
      <c r="AD150" s="818" t="n">
        <f aca="false">1+L150</f>
        <v>1.02120427607827</v>
      </c>
      <c r="AE150" s="818" t="n">
        <f aca="false">1+N150</f>
        <v>1.00984824993521</v>
      </c>
    </row>
    <row r="151" customFormat="false" ht="13" hidden="false" customHeight="false" outlineLevel="0" collapsed="false">
      <c r="A151" s="449" t="n">
        <f aca="false">A150+1</f>
        <v>2011</v>
      </c>
      <c r="B151" s="887" t="n">
        <f aca="false">TableDE3b!H151</f>
        <v>2211.53020629425</v>
      </c>
      <c r="C151" s="454" t="n">
        <f aca="false">B151*F151</f>
        <v>9102.87742807493</v>
      </c>
      <c r="D151" s="451" t="n">
        <f aca="false">B151/B150-1</f>
        <v>0.0305071648948529</v>
      </c>
      <c r="E151" s="458" t="n">
        <f aca="false">(1+D151)*F151/F150-1</f>
        <v>0.0302325697394028</v>
      </c>
      <c r="F151" s="888" t="n">
        <f aca="false">TableDE6c!B70</f>
        <v>4.11609907120743</v>
      </c>
      <c r="G151" s="458" t="n">
        <f aca="false">TableDE12c!C151</f>
        <v>0.108543096872616</v>
      </c>
      <c r="H151" s="458" t="n">
        <f aca="false">G150/F150</f>
        <v>0.0350903997962822</v>
      </c>
      <c r="I151" s="458" t="n">
        <f aca="false">O151/F151</f>
        <v>0</v>
      </c>
      <c r="J151" s="458" t="n">
        <f aca="false">(1+$E151)/((1+H151)*(1+I150))-1</f>
        <v>-0.00469314569803314</v>
      </c>
      <c r="K151" s="889" t="n">
        <f aca="false">TableDE12c!D151</f>
        <v>0.0837663211737787</v>
      </c>
      <c r="L151" s="458" t="n">
        <f aca="false">K150/F150</f>
        <v>0.0211764705882353</v>
      </c>
      <c r="M151" s="450" t="n">
        <f aca="false">O151/F151</f>
        <v>0</v>
      </c>
      <c r="N151" s="458" t="n">
        <f aca="false">(1+E151)/((1+L151))-1</f>
        <v>0.00886829986001425</v>
      </c>
      <c r="O151" s="890" t="n">
        <v>0</v>
      </c>
      <c r="P151" s="418"/>
      <c r="U151" s="846"/>
      <c r="V151" s="846"/>
      <c r="W151" s="817"/>
      <c r="X151" s="817"/>
      <c r="Y151" s="817" t="n">
        <f aca="false">1+$D151</f>
        <v>1.03050716489485</v>
      </c>
      <c r="AB151" s="818" t="n">
        <f aca="false">1+J151</f>
        <v>0.995306854301967</v>
      </c>
    </row>
    <row r="152" customFormat="false" ht="14" hidden="false" customHeight="false" outlineLevel="0" collapsed="false">
      <c r="A152" s="446"/>
      <c r="B152" s="819"/>
      <c r="C152" s="384"/>
      <c r="D152" s="393"/>
      <c r="E152" s="839"/>
      <c r="F152" s="861"/>
      <c r="G152" s="891"/>
      <c r="H152" s="433"/>
      <c r="I152" s="433"/>
      <c r="J152" s="433"/>
      <c r="K152" s="892"/>
      <c r="L152" s="418"/>
      <c r="M152" s="418"/>
      <c r="N152" s="418"/>
      <c r="O152" s="893"/>
      <c r="P152" s="418"/>
      <c r="U152" s="846"/>
      <c r="V152" s="846"/>
      <c r="W152" s="817"/>
      <c r="X152" s="817"/>
      <c r="Y152" s="846"/>
      <c r="AB152" s="818"/>
    </row>
    <row r="153" customFormat="false" ht="13.75" hidden="false" customHeight="true" outlineLevel="0" collapsed="false">
      <c r="A153" s="446"/>
      <c r="B153" s="894"/>
      <c r="C153" s="114"/>
      <c r="D153" s="845" t="s">
        <v>258</v>
      </c>
      <c r="E153" s="892" t="s">
        <v>259</v>
      </c>
      <c r="F153" s="895"/>
      <c r="G153" s="891" t="s">
        <v>147</v>
      </c>
      <c r="H153" s="418" t="s">
        <v>260</v>
      </c>
      <c r="I153" s="802" t="s">
        <v>158</v>
      </c>
      <c r="J153" s="418" t="s">
        <v>157</v>
      </c>
      <c r="K153" s="892" t="s">
        <v>147</v>
      </c>
      <c r="L153" s="418" t="s">
        <v>260</v>
      </c>
      <c r="M153" s="418"/>
      <c r="N153" s="418" t="s">
        <v>157</v>
      </c>
      <c r="O153" s="893"/>
      <c r="P153" s="32" t="s">
        <v>198</v>
      </c>
      <c r="R153" s="896" t="s">
        <v>261</v>
      </c>
      <c r="S153" s="896"/>
      <c r="T153" s="896"/>
      <c r="U153" s="897"/>
      <c r="V153" s="846"/>
      <c r="W153" s="846"/>
      <c r="X153" s="846"/>
      <c r="Y153" s="846"/>
    </row>
    <row r="154" customFormat="false" ht="12" hidden="false" customHeight="false" outlineLevel="0" collapsed="false">
      <c r="A154" s="446" t="s">
        <v>72</v>
      </c>
      <c r="B154" s="898"/>
      <c r="C154" s="899"/>
      <c r="D154" s="900" t="n">
        <f aca="false">(((1+D157)^79)*((1+D160)^61))^(1/140)-1</f>
        <v>0.0247172608432522</v>
      </c>
      <c r="E154" s="901" t="n">
        <f aca="false">(((1+E157)^79)*((1+E160)^61))^(1/140)-1</f>
        <v>0.0208013538264391</v>
      </c>
      <c r="F154" s="902"/>
      <c r="G154" s="903" t="n">
        <f aca="false">SUMPRODUCT(B10:B149,G10:G149)/SUM(B10:B149)</f>
        <v>0.128200010358653</v>
      </c>
      <c r="H154" s="904" t="n">
        <f aca="false">(((1+H157)^79)*((1+H160)^61))^(1/140)-1</f>
        <v>0.0406282875678352</v>
      </c>
      <c r="I154" s="904" t="n">
        <f aca="false">(((1+I157)^79)*((1+I160)^61))^(1/140)-1</f>
        <v>-0.0015834596606924</v>
      </c>
      <c r="J154" s="904" t="n">
        <f aca="false">(((1+J157)^79)*((1+J160)^61))^(1/140)-1</f>
        <v>-0.0174971089144034</v>
      </c>
      <c r="K154" s="905"/>
      <c r="L154" s="906"/>
      <c r="M154" s="906"/>
      <c r="N154" s="906"/>
      <c r="O154" s="907"/>
      <c r="P154" s="684" t="n">
        <f aca="false">(1+H154)*(1+J154)*(1+I154)-1-E154</f>
        <v>-1.40486218214164E-008</v>
      </c>
      <c r="R154" s="908"/>
      <c r="S154" s="909"/>
      <c r="T154" s="909"/>
      <c r="U154" s="832"/>
      <c r="X154" s="846"/>
      <c r="Y154" s="846"/>
    </row>
    <row r="155" customFormat="false" ht="12" hidden="false" customHeight="false" outlineLevel="0" collapsed="false">
      <c r="A155" s="446"/>
      <c r="B155" s="894"/>
      <c r="C155" s="32"/>
      <c r="D155" s="845"/>
      <c r="E155" s="910"/>
      <c r="F155" s="911"/>
      <c r="G155" s="891"/>
      <c r="H155" s="912" t="n">
        <f aca="false">H154/($H154+$I154+$J154)</f>
        <v>1.88550294263282</v>
      </c>
      <c r="I155" s="912" t="n">
        <f aca="false">I154/($H154+$I154+$J154)</f>
        <v>-0.0734861848358961</v>
      </c>
      <c r="J155" s="912" t="n">
        <f aca="false">J154/($H154+$I154+$J154)</f>
        <v>-0.812016757796919</v>
      </c>
      <c r="K155" s="892"/>
      <c r="L155" s="418"/>
      <c r="M155" s="418"/>
      <c r="N155" s="418"/>
      <c r="O155" s="893"/>
      <c r="P155" s="913"/>
      <c r="R155" s="914"/>
      <c r="S155" s="915" t="s">
        <v>262</v>
      </c>
      <c r="T155" s="915" t="s">
        <v>263</v>
      </c>
      <c r="U155" s="832"/>
      <c r="X155" s="846"/>
      <c r="Y155" s="846"/>
    </row>
    <row r="156" customFormat="false" ht="12" hidden="false" customHeight="false" outlineLevel="0" collapsed="false">
      <c r="A156" s="446"/>
      <c r="B156" s="894"/>
      <c r="C156" s="32"/>
      <c r="D156" s="845"/>
      <c r="E156" s="892"/>
      <c r="F156" s="911"/>
      <c r="G156" s="891"/>
      <c r="H156" s="418"/>
      <c r="I156" s="418"/>
      <c r="J156" s="418"/>
      <c r="K156" s="892"/>
      <c r="L156" s="418"/>
      <c r="M156" s="418"/>
      <c r="N156" s="418"/>
      <c r="O156" s="893"/>
      <c r="P156" s="913"/>
      <c r="R156" s="914"/>
      <c r="S156" s="915"/>
      <c r="T156" s="915"/>
      <c r="U156" s="832"/>
      <c r="X156" s="846"/>
      <c r="Y156" s="846"/>
    </row>
    <row r="157" customFormat="false" ht="12" hidden="false" customHeight="false" outlineLevel="0" collapsed="false">
      <c r="A157" s="446" t="s">
        <v>264</v>
      </c>
      <c r="B157" s="916"/>
      <c r="C157" s="32"/>
      <c r="D157" s="393" t="n">
        <f aca="false">(((1+D163)^43)*((1+D166)^36))^(1/79)-1</f>
        <v>0.0171165883425006</v>
      </c>
      <c r="E157" s="836" t="n">
        <f aca="false">(((1+E163)^43)*((1+E166)^36))^(1/79)-1</f>
        <v>-7.15558460775423E-005</v>
      </c>
      <c r="F157" s="911"/>
      <c r="G157" s="387" t="n">
        <f aca="false">SUMPRODUCT(B10:B88,G10:G88)/SUM(B10:B88)</f>
        <v>0.128262397604818</v>
      </c>
      <c r="H157" s="392" t="n">
        <f aca="false">(((1+H163)^43)*((1+H166)^36))^(1/79)-1</f>
        <v>0.028242785892177</v>
      </c>
      <c r="I157" s="392" t="n">
        <f aca="false">(((1+I163)^43)*((1+I166)^36))^(1/79)-1</f>
        <v>-0.00280441534979214</v>
      </c>
      <c r="J157" s="392" t="n">
        <f aca="false">(((1+J163)^43)*((1+J166)^36))^(1/79)-1</f>
        <v>-0.0248017696905154</v>
      </c>
      <c r="K157" s="892"/>
      <c r="L157" s="418"/>
      <c r="M157" s="418"/>
      <c r="N157" s="418"/>
      <c r="O157" s="893"/>
      <c r="P157" s="684" t="n">
        <f aca="false">(1+H157)*(1+J157)*(1+I157)-1-E157</f>
        <v>-1.11022302462516E-016</v>
      </c>
      <c r="R157" s="917" t="s">
        <v>80</v>
      </c>
      <c r="S157" s="918" t="n">
        <v>-0.0048439</v>
      </c>
      <c r="T157" s="918" t="n">
        <v>0.0036565</v>
      </c>
      <c r="U157" s="832"/>
      <c r="X157" s="846"/>
      <c r="Y157" s="846"/>
    </row>
    <row r="158" customFormat="false" ht="12" hidden="false" customHeight="false" outlineLevel="0" collapsed="false">
      <c r="A158" s="446"/>
      <c r="B158" s="919"/>
      <c r="C158" s="32"/>
      <c r="D158" s="920"/>
      <c r="E158" s="892"/>
      <c r="F158" s="911"/>
      <c r="G158" s="891"/>
      <c r="H158" s="912" t="n">
        <f aca="false">H157/($H157+$I157+$J157)</f>
        <v>44.3649828762227</v>
      </c>
      <c r="I158" s="912" t="n">
        <f aca="false">I157/($H157+$I157+$J157)</f>
        <v>-4.40529625676224</v>
      </c>
      <c r="J158" s="912" t="n">
        <f aca="false">J157/($H157+$I157+$J157)</f>
        <v>-38.9596866194605</v>
      </c>
      <c r="K158" s="892"/>
      <c r="L158" s="418"/>
      <c r="M158" s="418"/>
      <c r="N158" s="418"/>
      <c r="O158" s="893"/>
      <c r="P158" s="913"/>
      <c r="R158" s="921" t="s">
        <v>265</v>
      </c>
      <c r="S158" s="922" t="n">
        <f aca="false">R150/F150</f>
        <v>1.00000391823526</v>
      </c>
      <c r="T158" s="922" t="n">
        <f aca="false">T150/F150</f>
        <v>1.00000423224119</v>
      </c>
      <c r="U158" s="832"/>
      <c r="X158" s="846"/>
      <c r="Y158" s="846"/>
    </row>
    <row r="159" customFormat="false" ht="12" hidden="false" customHeight="false" outlineLevel="0" collapsed="false">
      <c r="A159" s="446"/>
      <c r="B159" s="894"/>
      <c r="C159" s="32"/>
      <c r="D159" s="845"/>
      <c r="E159" s="892"/>
      <c r="F159" s="911"/>
      <c r="G159" s="891"/>
      <c r="H159" s="418"/>
      <c r="I159" s="418"/>
      <c r="J159" s="418"/>
      <c r="K159" s="892"/>
      <c r="L159" s="418"/>
      <c r="M159" s="418"/>
      <c r="N159" s="418"/>
      <c r="O159" s="893"/>
      <c r="P159" s="913"/>
      <c r="R159" s="921"/>
      <c r="S159" s="922"/>
      <c r="T159" s="831"/>
      <c r="V159" s="922" t="s">
        <v>266</v>
      </c>
      <c r="X159" s="846"/>
      <c r="Y159" s="846"/>
    </row>
    <row r="160" s="20" customFormat="true" ht="12" hidden="false" customHeight="false" outlineLevel="0" collapsed="false">
      <c r="A160" s="923" t="s">
        <v>267</v>
      </c>
      <c r="B160" s="916"/>
      <c r="C160" s="32"/>
      <c r="D160" s="398" t="n">
        <f aca="false">PRODUCT(Y90:Y150)^(1/61)-1</f>
        <v>0.0346452276457068</v>
      </c>
      <c r="E160" s="397" t="n">
        <f aca="false">PRODUCT(Z90:Z150)^(1/61)-1</f>
        <v>0.0484823413441751</v>
      </c>
      <c r="F160" s="911"/>
      <c r="G160" s="387" t="n">
        <f aca="false">SUMPRODUCT(B89:B149,G89:G149)/SUM(B89:B149)</f>
        <v>0.12818839767415</v>
      </c>
      <c r="H160" s="924" t="n">
        <f aca="false">(((1+H169)^42)*((1+H172)^19))^(1/61)-1</f>
        <v>0.0568905055527869</v>
      </c>
      <c r="I160" s="924" t="n">
        <f aca="false">(((1+I169)^42)*((1+I172)^19))^(1/61)-1</f>
        <v>0</v>
      </c>
      <c r="J160" s="924" t="n">
        <f aca="false">(((1+J169)^42)*((1+J172)^19))^(1/61)-1</f>
        <v>-0.00795559926170031</v>
      </c>
      <c r="K160" s="892"/>
      <c r="L160" s="418"/>
      <c r="M160" s="418"/>
      <c r="N160" s="418"/>
      <c r="O160" s="893"/>
      <c r="P160" s="684" t="n">
        <f aca="false">(1+H160)*(1+J160)*(1+I160)-1-E160</f>
        <v>-3.31170619816135E-008</v>
      </c>
      <c r="R160" s="917" t="s">
        <v>268</v>
      </c>
      <c r="S160" s="918" t="n">
        <v>-0.139281</v>
      </c>
      <c r="T160" s="925"/>
      <c r="V160" s="418" t="n">
        <f aca="false">(TableDE15a!I63/TableDE15a!I52)^(1/11)-1</f>
        <v>-0.110842654021655</v>
      </c>
      <c r="X160" s="926"/>
      <c r="Y160" s="926"/>
    </row>
    <row r="161" customFormat="false" ht="12" hidden="false" customHeight="false" outlineLevel="0" collapsed="false">
      <c r="A161" s="446"/>
      <c r="B161" s="894"/>
      <c r="C161" s="32"/>
      <c r="D161" s="845"/>
      <c r="E161" s="892"/>
      <c r="F161" s="911"/>
      <c r="G161" s="891"/>
      <c r="H161" s="912" t="n">
        <f aca="false">H160/($H160+$I160+$J160)</f>
        <v>1.16257514041974</v>
      </c>
      <c r="I161" s="912" t="n">
        <f aca="false">I160/($H160+$I160+$J160)</f>
        <v>0</v>
      </c>
      <c r="J161" s="912" t="n">
        <f aca="false">J160/($H160+$I160+$J160)</f>
        <v>-0.162575140419742</v>
      </c>
      <c r="K161" s="892"/>
      <c r="L161" s="418"/>
      <c r="M161" s="418"/>
      <c r="N161" s="418"/>
      <c r="O161" s="893"/>
      <c r="P161" s="913"/>
      <c r="R161" s="921" t="s">
        <v>265</v>
      </c>
      <c r="S161" s="922" t="n">
        <f aca="false">(F66*(1+E67)/(1+D67))/F67</f>
        <v>1.00000476851423</v>
      </c>
      <c r="T161" s="831"/>
      <c r="V161" s="927"/>
      <c r="X161" s="846"/>
      <c r="Y161" s="846"/>
    </row>
    <row r="162" customFormat="false" ht="12" hidden="false" customHeight="false" outlineLevel="0" collapsed="false">
      <c r="A162" s="446"/>
      <c r="B162" s="894"/>
      <c r="C162" s="32"/>
      <c r="D162" s="845"/>
      <c r="E162" s="892"/>
      <c r="F162" s="911"/>
      <c r="G162" s="891"/>
      <c r="H162" s="418"/>
      <c r="I162" s="418"/>
      <c r="J162" s="418"/>
      <c r="K162" s="892"/>
      <c r="L162" s="418"/>
      <c r="M162" s="418"/>
      <c r="N162" s="418"/>
      <c r="O162" s="893"/>
      <c r="P162" s="913"/>
      <c r="R162" s="921"/>
      <c r="S162" s="465"/>
      <c r="T162" s="831"/>
      <c r="V162" s="465"/>
      <c r="X162" s="846"/>
      <c r="Y162" s="846"/>
    </row>
    <row r="163" customFormat="false" ht="12" hidden="false" customHeight="false" outlineLevel="0" collapsed="false">
      <c r="A163" s="923" t="s">
        <v>269</v>
      </c>
      <c r="B163" s="928"/>
      <c r="C163" s="32"/>
      <c r="D163" s="393" t="n">
        <f aca="false">PRODUCT(Y11:Y53)^(1/43)-1</f>
        <v>0.0258883260646161</v>
      </c>
      <c r="E163" s="836" t="n">
        <f aca="false">PRODUCT(Z11:Z53)^(1/43)-1</f>
        <v>0.0229918609407696</v>
      </c>
      <c r="F163" s="911"/>
      <c r="G163" s="929" t="n">
        <f aca="false">SUMPRODUCT(B10:B52,G10:G52)/SUM(B10:B52)</f>
        <v>0.149385331791495</v>
      </c>
      <c r="H163" s="433" t="n">
        <f aca="false">PRODUCT(AA11:AA53)^(1/43)-1</f>
        <v>0.0234831529169677</v>
      </c>
      <c r="I163" s="433" t="n">
        <f aca="false">PRODUCT(AC11:AC53)^(1/43)-1</f>
        <v>0</v>
      </c>
      <c r="J163" s="433" t="n">
        <f aca="false">PRODUCT(AB11:AB53)^(1/43)-1</f>
        <v>-0.00048001960247035</v>
      </c>
      <c r="K163" s="578"/>
      <c r="L163" s="433"/>
      <c r="M163" s="433"/>
      <c r="N163" s="433"/>
      <c r="O163" s="930"/>
      <c r="P163" s="684" t="n">
        <f aca="false">(1+H163)*(1+J163)*(1+I163)-1-E163</f>
        <v>-2.22044604925031E-016</v>
      </c>
      <c r="R163" s="931" t="s">
        <v>270</v>
      </c>
      <c r="S163" s="387" t="n">
        <v>0.0372715</v>
      </c>
      <c r="T163" s="831"/>
      <c r="U163" s="387" t="n">
        <f aca="false">PRODUCT(AB68:AB90)^(1/23)-1</f>
        <v>-0.0305187716312384</v>
      </c>
      <c r="V163" s="387" t="n">
        <f aca="false">(TableDE15a!I89/TableDE15a!I66)^(1/23)-1</f>
        <v>-0.03383571244999</v>
      </c>
      <c r="Z163" s="387"/>
    </row>
    <row r="164" customFormat="false" ht="12" hidden="false" customHeight="true" outlineLevel="0" collapsed="false">
      <c r="A164" s="923"/>
      <c r="B164" s="894"/>
      <c r="C164" s="32"/>
      <c r="D164" s="932"/>
      <c r="E164" s="933"/>
      <c r="F164" s="911"/>
      <c r="G164" s="418"/>
      <c r="H164" s="912" t="n">
        <f aca="false">H163/($H163+$I163+$J163)</f>
        <v>1.02086757468679</v>
      </c>
      <c r="I164" s="912" t="n">
        <f aca="false">I163/($H163+$I163+$J163)</f>
        <v>0</v>
      </c>
      <c r="J164" s="912" t="n">
        <f aca="false">J163/($H163+$I163+$J163)</f>
        <v>-0.0208675746867852</v>
      </c>
      <c r="K164" s="839"/>
      <c r="L164" s="912"/>
      <c r="M164" s="912"/>
      <c r="N164" s="912"/>
      <c r="O164" s="934"/>
      <c r="P164" s="913"/>
      <c r="R164" s="921" t="s">
        <v>265</v>
      </c>
      <c r="S164" s="922" t="n">
        <f aca="false">(F89*(1+H90)*(1+J90)*(1+I89)/(1+D90))/F90</f>
        <v>0.999998073273345</v>
      </c>
      <c r="T164" s="831"/>
      <c r="V164" s="935"/>
      <c r="X164" s="846"/>
      <c r="Y164" s="846"/>
    </row>
    <row r="165" customFormat="false" ht="12" hidden="false" customHeight="false" outlineLevel="0" collapsed="false">
      <c r="A165" s="923"/>
      <c r="B165" s="894"/>
      <c r="C165" s="32"/>
      <c r="D165" s="932"/>
      <c r="E165" s="933"/>
      <c r="F165" s="911"/>
      <c r="G165" s="418"/>
      <c r="H165" s="912"/>
      <c r="I165" s="912"/>
      <c r="J165" s="912"/>
      <c r="K165" s="839"/>
      <c r="L165" s="912"/>
      <c r="M165" s="912"/>
      <c r="N165" s="912"/>
      <c r="O165" s="934"/>
      <c r="P165" s="913"/>
      <c r="R165" s="914"/>
      <c r="S165" s="29"/>
      <c r="T165" s="831"/>
      <c r="X165" s="846"/>
      <c r="Y165" s="846"/>
    </row>
    <row r="166" customFormat="false" ht="12" hidden="false" customHeight="false" outlineLevel="0" collapsed="false">
      <c r="A166" s="446" t="s">
        <v>271</v>
      </c>
      <c r="B166" s="916"/>
      <c r="C166" s="936"/>
      <c r="D166" s="398" t="n">
        <f aca="false">PRODUCT(Y54:Y89)^(1/36)-1</f>
        <v>0.00673747545400016</v>
      </c>
      <c r="E166" s="937" t="n">
        <f aca="false">PRODUCT(Z54:Z89)^(1/36)-1</f>
        <v>-0.0269390736103059</v>
      </c>
      <c r="F166" s="911"/>
      <c r="G166" s="929" t="n">
        <f aca="false">SUMPRODUCT(B53:B88,G53:G88)/SUM(B53:B88)</f>
        <v>0.114947423917958</v>
      </c>
      <c r="H166" s="938" t="n">
        <f aca="false">PRODUCT(AA54:AA89)^(1/36)-1</f>
        <v>0.0339569203932515</v>
      </c>
      <c r="I166" s="938" t="n">
        <f aca="false">PRODUCT(AC54:AC89)^(1/36)-1</f>
        <v>-0.00614382825164295</v>
      </c>
      <c r="J166" s="938" t="n">
        <f aca="false">PRODUCT(AB54:AB89)^(1/36)-1</f>
        <v>-0.0530783409716226</v>
      </c>
      <c r="K166" s="578"/>
      <c r="L166" s="912"/>
      <c r="M166" s="912"/>
      <c r="N166" s="912"/>
      <c r="O166" s="934"/>
      <c r="P166" s="684" t="n">
        <f aca="false">(1+H166)*(1+J166)*(1+I166)-1-E166</f>
        <v>0</v>
      </c>
      <c r="R166" s="931" t="s">
        <v>272</v>
      </c>
      <c r="S166" s="387" t="n">
        <v>0.1</v>
      </c>
      <c r="T166" s="939"/>
      <c r="V166" s="387" t="n">
        <f aca="false">(TableDE15a!I66/TableDE15a!I63)^(1/3)-1</f>
        <v>0.24608835051629</v>
      </c>
      <c r="X166" s="846"/>
      <c r="Y166" s="846"/>
    </row>
    <row r="167" customFormat="false" ht="13" hidden="false" customHeight="false" outlineLevel="0" collapsed="false">
      <c r="A167" s="446"/>
      <c r="B167" s="894"/>
      <c r="C167" s="32"/>
      <c r="D167" s="932"/>
      <c r="E167" s="933"/>
      <c r="F167" s="911"/>
      <c r="G167" s="418"/>
      <c r="H167" s="912" t="n">
        <f aca="false">H166/($H166+$I166+$J166)</f>
        <v>-1.34401685974738</v>
      </c>
      <c r="I167" s="912" t="n">
        <f aca="false">I166/($H166+$I166+$J166)</f>
        <v>0.243173075119068</v>
      </c>
      <c r="J167" s="912" t="n">
        <f aca="false">J166/($H166+$I166+$J166)</f>
        <v>2.10084378462831</v>
      </c>
      <c r="K167" s="839"/>
      <c r="L167" s="912"/>
      <c r="M167" s="912"/>
      <c r="N167" s="912"/>
      <c r="O167" s="934"/>
      <c r="P167" s="913"/>
      <c r="R167" s="940" t="s">
        <v>265</v>
      </c>
      <c r="S167" s="941" t="n">
        <f aca="false">(F66*(1+H67)*(1+J67)*(1+I67)/(1+D67))/F67</f>
        <v>1.00000476851423</v>
      </c>
      <c r="T167" s="942"/>
      <c r="U167" s="846"/>
      <c r="X167" s="846"/>
      <c r="Y167" s="846"/>
    </row>
    <row r="168" customFormat="false" ht="12" hidden="false" customHeight="false" outlineLevel="0" collapsed="false">
      <c r="A168" s="446"/>
      <c r="B168" s="894"/>
      <c r="C168" s="32"/>
      <c r="D168" s="932"/>
      <c r="E168" s="933"/>
      <c r="F168" s="911"/>
      <c r="G168" s="418"/>
      <c r="H168" s="912"/>
      <c r="I168" s="912"/>
      <c r="J168" s="912"/>
      <c r="K168" s="839"/>
      <c r="L168" s="912"/>
      <c r="M168" s="912"/>
      <c r="N168" s="912"/>
      <c r="O168" s="934"/>
      <c r="P168" s="913"/>
      <c r="U168" s="846"/>
      <c r="X168" s="846"/>
      <c r="Y168" s="846"/>
    </row>
    <row r="169" customFormat="false" ht="12" hidden="false" customHeight="false" outlineLevel="0" collapsed="false">
      <c r="A169" s="446" t="s">
        <v>273</v>
      </c>
      <c r="B169" s="916"/>
      <c r="C169" s="32"/>
      <c r="D169" s="398" t="n">
        <f aca="false">PRODUCT(Y90:Y131)^(1/42)-1</f>
        <v>0.0448706028512567</v>
      </c>
      <c r="E169" s="397" t="n">
        <f aca="false">PRODUCT(Z90:Z131)^(1/42)-1</f>
        <v>0.0561037012196102</v>
      </c>
      <c r="F169" s="911"/>
      <c r="G169" s="418" t="n">
        <f aca="false">SUMPRODUCT(B89:B130,G89:G130)/SUM(B89:B130)</f>
        <v>0.137427763840581</v>
      </c>
      <c r="H169" s="392" t="n">
        <f aca="false">PRODUCT(AA90:AA131)^(1/42)-1</f>
        <v>0.0672976299152033</v>
      </c>
      <c r="I169" s="392" t="n">
        <f aca="false">PRODUCT(AC90:AC131)^(1/42)-1</f>
        <v>0</v>
      </c>
      <c r="J169" s="392" t="n">
        <f aca="false">PRODUCT(AB90:AB131)^(1/42)-1</f>
        <v>-0.010488149537724</v>
      </c>
      <c r="K169" s="839"/>
      <c r="L169" s="924"/>
      <c r="M169" s="924"/>
      <c r="N169" s="924"/>
      <c r="O169" s="943"/>
      <c r="P169" s="684" t="n">
        <f aca="false">(1+H169)*(1+J169)*(1+I169)-1-E169</f>
        <v>-4.84482158835675E-008</v>
      </c>
      <c r="U169" s="846"/>
      <c r="X169" s="846"/>
      <c r="Y169" s="846"/>
    </row>
    <row r="170" customFormat="false" ht="12" hidden="false" customHeight="false" outlineLevel="0" collapsed="false">
      <c r="A170" s="446"/>
      <c r="B170" s="894"/>
      <c r="C170" s="32"/>
      <c r="D170" s="932"/>
      <c r="E170" s="933"/>
      <c r="F170" s="911"/>
      <c r="G170" s="418"/>
      <c r="H170" s="912" t="n">
        <f aca="false">H169/($H169+$I169+$J169)</f>
        <v>1.18461970551454</v>
      </c>
      <c r="I170" s="912" t="n">
        <f aca="false">I169/($H169+$I169+$J169)</f>
        <v>0</v>
      </c>
      <c r="J170" s="912" t="n">
        <f aca="false">J169/($H169+$I169+$J169)</f>
        <v>-0.184619705514536</v>
      </c>
      <c r="K170" s="839"/>
      <c r="L170" s="912"/>
      <c r="M170" s="912"/>
      <c r="N170" s="912"/>
      <c r="O170" s="934"/>
      <c r="P170" s="913"/>
      <c r="U170" s="846"/>
      <c r="X170" s="846"/>
      <c r="Y170" s="846"/>
    </row>
    <row r="171" customFormat="false" ht="12" hidden="false" customHeight="false" outlineLevel="0" collapsed="false">
      <c r="A171" s="446"/>
      <c r="B171" s="894"/>
      <c r="C171" s="32"/>
      <c r="D171" s="932"/>
      <c r="E171" s="933"/>
      <c r="F171" s="911"/>
      <c r="G171" s="418"/>
      <c r="H171" s="912"/>
      <c r="I171" s="912"/>
      <c r="J171" s="912"/>
      <c r="K171" s="255"/>
      <c r="L171" s="912"/>
      <c r="M171" s="912"/>
      <c r="N171" s="912"/>
      <c r="O171" s="934"/>
      <c r="P171" s="913"/>
      <c r="U171" s="846"/>
      <c r="X171" s="846"/>
      <c r="Y171" s="846"/>
    </row>
    <row r="172" customFormat="false" ht="12" hidden="false" customHeight="false" outlineLevel="0" collapsed="false">
      <c r="A172" s="446" t="s">
        <v>274</v>
      </c>
      <c r="B172" s="691"/>
      <c r="C172" s="32"/>
      <c r="D172" s="398" t="n">
        <f aca="false">PRODUCT(Y132:Y150)^(1/19)-1</f>
        <v>0.012395454771408</v>
      </c>
      <c r="E172" s="937" t="n">
        <f aca="false">PRODUCT(Z132:Z150)^(1/19)-1</f>
        <v>0.031829720957075</v>
      </c>
      <c r="F172" s="911"/>
      <c r="G172" s="929" t="n">
        <f aca="false">SUMPRODUCT(B131:B149,G131:G149)/SUM(B131:B149)</f>
        <v>0.11815921545945</v>
      </c>
      <c r="H172" s="924" t="n">
        <f aca="false">PRODUCT(AA132:AA150)^(1/19)-1</f>
        <v>0.0342439628287123</v>
      </c>
      <c r="I172" s="924" t="n">
        <f aca="false">PRODUCT(AC132:AC150)^(1/19)-1</f>
        <v>0</v>
      </c>
      <c r="J172" s="924" t="n">
        <f aca="false">PRODUCT(AB132:AB150)^(1/19)-1</f>
        <v>-0.00233430598428086</v>
      </c>
      <c r="K172" s="916" t="n">
        <f aca="false">SUMPRODUCT(B131:B149,K131:K149)/SUM(B131:B149)</f>
        <v>0.088083142547156</v>
      </c>
      <c r="L172" s="938" t="n">
        <f aca="false">PRODUCT(AD132:AD150)^(1/19)-1</f>
        <v>0.0258282454669299</v>
      </c>
      <c r="M172" s="938"/>
      <c r="N172" s="938" t="n">
        <f aca="false">PRODUCT(AE132:AE150)^(1/19)-1</f>
        <v>0.00585037068014582</v>
      </c>
      <c r="O172" s="944"/>
      <c r="P172" s="684" t="n">
        <f aca="false">(1+H172)*(1+J172)*(1+I172)-1-E172</f>
        <v>-2.22044604925031E-016</v>
      </c>
      <c r="Q172" s="945" t="n">
        <f aca="false">(1+L172)*(1+N172)-1-E172</f>
        <v>0</v>
      </c>
      <c r="U172" s="846"/>
      <c r="X172" s="846"/>
      <c r="Y172" s="846"/>
    </row>
    <row r="173" customFormat="false" ht="12" hidden="false" customHeight="false" outlineLevel="0" collapsed="false">
      <c r="A173" s="446"/>
      <c r="B173" s="894"/>
      <c r="C173" s="32"/>
      <c r="D173" s="932"/>
      <c r="E173" s="933"/>
      <c r="F173" s="911"/>
      <c r="G173" s="418"/>
      <c r="H173" s="912" t="n">
        <f aca="false">H172/($H172+$I172+$J172)</f>
        <v>1.07315359095403</v>
      </c>
      <c r="I173" s="912" t="n">
        <f aca="false">I172/($H172+$I172+$J172)</f>
        <v>0</v>
      </c>
      <c r="J173" s="912" t="n">
        <f aca="false">J172/($H172+$I172+$J172)</f>
        <v>-0.0731535909540255</v>
      </c>
      <c r="K173" s="894"/>
      <c r="L173" s="912" t="n">
        <f aca="false">(L172)/($L172+$N172)</f>
        <v>0.815321141145053</v>
      </c>
      <c r="M173" s="912"/>
      <c r="N173" s="912" t="n">
        <f aca="false">N172/($L172+$N172)</f>
        <v>0.184678858854947</v>
      </c>
      <c r="O173" s="934"/>
      <c r="P173" s="913"/>
      <c r="Q173" s="20"/>
      <c r="U173" s="846"/>
      <c r="X173" s="846"/>
      <c r="Y173" s="846"/>
    </row>
    <row r="174" customFormat="false" ht="12" hidden="false" customHeight="false" outlineLevel="0" collapsed="false">
      <c r="A174" s="446"/>
      <c r="B174" s="894"/>
      <c r="C174" s="32"/>
      <c r="D174" s="932"/>
      <c r="E174" s="933"/>
      <c r="F174" s="911"/>
      <c r="G174" s="418"/>
      <c r="H174" s="912"/>
      <c r="I174" s="912"/>
      <c r="J174" s="912"/>
      <c r="K174" s="839"/>
      <c r="L174" s="912"/>
      <c r="M174" s="912"/>
      <c r="N174" s="912"/>
      <c r="O174" s="934"/>
      <c r="P174" s="913"/>
      <c r="Q174" s="20"/>
      <c r="U174" s="846"/>
      <c r="X174" s="846"/>
      <c r="Y174" s="846"/>
    </row>
    <row r="175" customFormat="false" ht="12" hidden="false" customHeight="false" outlineLevel="0" collapsed="false">
      <c r="A175" s="446" t="s">
        <v>275</v>
      </c>
      <c r="B175" s="916"/>
      <c r="C175" s="32"/>
      <c r="D175" s="393" t="n">
        <f aca="false">PRODUCT(Y91:Y130)^(1/40)-1</f>
        <v>0.0427988396734282</v>
      </c>
      <c r="E175" s="836" t="n">
        <f aca="false">PRODUCT(Z91:Z130)^(1/40)-1</f>
        <v>0.0554483292352521</v>
      </c>
      <c r="F175" s="911"/>
      <c r="G175" s="929" t="n">
        <f aca="false">SUMPRODUCT(B90:B129,G90:G129)/SUM(B90:B129)</f>
        <v>0.137154039458138</v>
      </c>
      <c r="H175" s="938" t="n">
        <f aca="false">PRODUCT(AA91:AA130)^(1/40)-1</f>
        <v>0.0676254599198887</v>
      </c>
      <c r="I175" s="938" t="n">
        <f aca="false">PRODUCT(AC91:AC130)^(1/40)-1</f>
        <v>0</v>
      </c>
      <c r="J175" s="938" t="n">
        <f aca="false">PRODUCT(AB91:AB130)^(1/40)-1</f>
        <v>-0.0114058076935991</v>
      </c>
      <c r="K175" s="578" t="n">
        <f aca="false">SUMPRODUCT(B90:B129,K90:K129)/SUM(B90:B129)</f>
        <v>0.0907365829756637</v>
      </c>
      <c r="L175" s="462" t="n">
        <f aca="false">PRODUCT(AD91:AD130)^(1/40)-1</f>
        <v>0.0370645617654481</v>
      </c>
      <c r="M175" s="462"/>
      <c r="N175" s="462" t="n">
        <f aca="false">PRODUCT(AE91:AE130)^(1/40)-1</f>
        <v>0.0177267338481881</v>
      </c>
      <c r="O175" s="946"/>
      <c r="P175" s="684" t="n">
        <f aca="false">(1+H175)*(1+J175)*(1+I175)-1-E175</f>
        <v>0</v>
      </c>
      <c r="Q175" s="945" t="n">
        <f aca="false">(1+L175)*(1+N175)-1-E175</f>
        <v>0</v>
      </c>
      <c r="U175" s="846"/>
      <c r="X175" s="846"/>
      <c r="Y175" s="846"/>
    </row>
    <row r="176" customFormat="false" ht="12" hidden="false" customHeight="true" outlineLevel="0" collapsed="false">
      <c r="A176" s="446"/>
      <c r="B176" s="894"/>
      <c r="C176" s="947"/>
      <c r="D176" s="911"/>
      <c r="E176" s="933"/>
      <c r="F176" s="911"/>
      <c r="G176" s="418"/>
      <c r="H176" s="912" t="n">
        <f aca="false">H175/($H175+$I175+$J175)</f>
        <v>1.20287937121506</v>
      </c>
      <c r="I176" s="912" t="n">
        <f aca="false">I175/($H175+$I175+$J175)</f>
        <v>0</v>
      </c>
      <c r="J176" s="912" t="n">
        <f aca="false">J175/($H175+$I175+$J175)</f>
        <v>-0.202879371215063</v>
      </c>
      <c r="K176" s="255"/>
      <c r="L176" s="912" t="n">
        <f aca="false">(L175)/($L175+$N175)</f>
        <v>0.676468065782034</v>
      </c>
      <c r="M176" s="912"/>
      <c r="N176" s="912" t="n">
        <f aca="false">N175/($L175+$N175)</f>
        <v>0.323531934217967</v>
      </c>
      <c r="O176" s="934"/>
      <c r="P176" s="948"/>
      <c r="Q176" s="20"/>
      <c r="U176" s="846"/>
      <c r="X176" s="846"/>
      <c r="Y176" s="935"/>
      <c r="Z176" s="29"/>
      <c r="AA176" s="29"/>
      <c r="AB176" s="29"/>
      <c r="AC176" s="29"/>
    </row>
    <row r="177" customFormat="false" ht="12" hidden="false" customHeight="false" outlineLevel="0" collapsed="false">
      <c r="A177" s="446"/>
      <c r="B177" s="32"/>
      <c r="C177" s="32"/>
      <c r="D177" s="393"/>
      <c r="E177" s="836"/>
      <c r="F177" s="911"/>
      <c r="G177" s="32"/>
      <c r="H177" s="32"/>
      <c r="I177" s="32"/>
      <c r="J177" s="32"/>
      <c r="K177" s="933"/>
      <c r="L177" s="32"/>
      <c r="M177" s="32"/>
      <c r="N177" s="32"/>
      <c r="O177" s="949"/>
      <c r="P177" s="684"/>
      <c r="Q177" s="20"/>
      <c r="U177" s="846"/>
      <c r="X177" s="846"/>
      <c r="Y177" s="935"/>
      <c r="Z177" s="29"/>
      <c r="AA177" s="29"/>
      <c r="AB177" s="29"/>
      <c r="AC177" s="29"/>
    </row>
    <row r="178" customFormat="false" ht="12" hidden="false" customHeight="false" outlineLevel="0" collapsed="false">
      <c r="A178" s="446" t="s">
        <v>80</v>
      </c>
      <c r="B178" s="916"/>
      <c r="C178" s="32"/>
      <c r="D178" s="393" t="n">
        <f aca="false">PRODUCT(Y111:Y150)^(1/40)-1</f>
        <v>0.0195824371209541</v>
      </c>
      <c r="E178" s="397" t="n">
        <f aca="false">PRODUCT(Z111:Z150)^(1/40)-1</f>
        <v>0.0350979675248244</v>
      </c>
      <c r="F178" s="911"/>
      <c r="G178" s="929" t="n">
        <f aca="false">SUMPRODUCT(B110:B149,G110:G149)/SUM(B110:B149)</f>
        <v>0.122407437530772</v>
      </c>
      <c r="H178" s="938" t="n">
        <f aca="false">PRODUCT(AA111:AA150)^(1/40)-1</f>
        <v>0.0430422199546972</v>
      </c>
      <c r="I178" s="938" t="n">
        <f aca="false">PRODUCT(AC111:AC150)^(1/40)-1</f>
        <v>0</v>
      </c>
      <c r="J178" s="938" t="n">
        <f aca="false">PRODUCT(AB111:AB150)^(1/40)-1</f>
        <v>-0.00761642460668333</v>
      </c>
      <c r="K178" s="578" t="n">
        <f aca="false">SUMPRODUCT(B110:B149,K110:K149)/SUM(B110:B149)</f>
        <v>0.0935379739585909</v>
      </c>
      <c r="L178" s="462" t="n">
        <f aca="false">PRODUCT(AD111:AD150)^(1/40)-1</f>
        <v>0.0332259446631091</v>
      </c>
      <c r="M178" s="462"/>
      <c r="N178" s="462" t="n">
        <f aca="false">PRODUCT(AE111:AE150)^(1/40)-1</f>
        <v>0.00181182332033458</v>
      </c>
      <c r="O178" s="946"/>
      <c r="P178" s="684" t="n">
        <f aca="false">(1+H178)*(1+J178)*(1+I178)-1-E178</f>
        <v>2.22044604925031E-016</v>
      </c>
      <c r="Q178" s="945" t="n">
        <f aca="false">(1+L178)*(1+N178)-1-E178</f>
        <v>0</v>
      </c>
      <c r="U178" s="846"/>
      <c r="X178" s="846"/>
      <c r="Y178" s="935"/>
      <c r="Z178" s="29"/>
      <c r="AA178" s="29"/>
      <c r="AB178" s="29"/>
      <c r="AC178" s="29"/>
    </row>
    <row r="179" customFormat="false" ht="13" hidden="false" customHeight="false" outlineLevel="0" collapsed="false">
      <c r="A179" s="449"/>
      <c r="B179" s="950"/>
      <c r="C179" s="951"/>
      <c r="D179" s="952"/>
      <c r="E179" s="953"/>
      <c r="F179" s="954"/>
      <c r="G179" s="458"/>
      <c r="H179" s="955" t="n">
        <f aca="false">H178/($H178+$I178+$J178)</f>
        <v>1.21499657331223</v>
      </c>
      <c r="I179" s="955" t="n">
        <f aca="false">I178/($H178+$I178+$J178)</f>
        <v>0</v>
      </c>
      <c r="J179" s="955" t="n">
        <f aca="false">J178/($H178+$I178+$J178)</f>
        <v>-0.21499657331223</v>
      </c>
      <c r="K179" s="956"/>
      <c r="L179" s="955" t="n">
        <f aca="false">(L178)/($L178+$N178)</f>
        <v>0.948289419543199</v>
      </c>
      <c r="M179" s="955"/>
      <c r="N179" s="955" t="n">
        <f aca="false">N178/($L178+$N178)</f>
        <v>0.0517105804568007</v>
      </c>
      <c r="O179" s="957"/>
      <c r="P179" s="912"/>
      <c r="Q179" s="20"/>
      <c r="U179" s="846"/>
      <c r="X179" s="846"/>
      <c r="Y179" s="935"/>
      <c r="Z179" s="29"/>
      <c r="AA179" s="29"/>
      <c r="AB179" s="29"/>
      <c r="AC179" s="29"/>
    </row>
    <row r="180" customFormat="false" ht="13" hidden="false" customHeight="false" outlineLevel="0" collapsed="false">
      <c r="A180" s="31"/>
      <c r="B180" s="461"/>
      <c r="C180" s="461"/>
      <c r="D180" s="114"/>
      <c r="E180" s="114"/>
      <c r="F180" s="114"/>
      <c r="G180" s="418"/>
      <c r="H180" s="912"/>
      <c r="I180" s="912"/>
      <c r="J180" s="912"/>
      <c r="K180" s="466"/>
      <c r="L180" s="912"/>
      <c r="M180" s="912"/>
      <c r="N180" s="912"/>
      <c r="O180" s="912"/>
      <c r="P180" s="912"/>
      <c r="Q180" s="20"/>
      <c r="U180" s="846"/>
      <c r="V180" s="948"/>
      <c r="W180" s="846"/>
      <c r="X180" s="846"/>
      <c r="Y180" s="935"/>
      <c r="Z180" s="29"/>
      <c r="AA180" s="29"/>
      <c r="AB180" s="29"/>
      <c r="AC180" s="29"/>
    </row>
    <row r="181" customFormat="false" ht="12" hidden="false" customHeight="false" outlineLevel="0" collapsed="false">
      <c r="A181" s="31"/>
      <c r="B181" s="462"/>
      <c r="C181" s="462"/>
      <c r="D181" s="433"/>
      <c r="E181" s="433"/>
      <c r="F181" s="891"/>
      <c r="G181" s="418"/>
      <c r="H181" s="433"/>
      <c r="I181" s="433"/>
      <c r="J181" s="433"/>
      <c r="K181" s="418"/>
      <c r="L181" s="433"/>
      <c r="M181" s="433"/>
      <c r="N181" s="433"/>
      <c r="O181" s="433"/>
      <c r="P181" s="433"/>
      <c r="Q181" s="20"/>
      <c r="U181" s="158"/>
      <c r="W181" s="846"/>
      <c r="X181" s="846"/>
      <c r="Y181" s="935"/>
      <c r="Z181" s="918"/>
      <c r="AA181" s="918"/>
      <c r="AB181" s="918"/>
      <c r="AC181" s="918"/>
    </row>
    <row r="182" customFormat="false" ht="12" hidden="false" customHeight="false" outlineLevel="0" collapsed="false">
      <c r="A182" s="31"/>
      <c r="B182" s="464"/>
      <c r="C182" s="464"/>
      <c r="D182" s="25"/>
      <c r="E182" s="958"/>
      <c r="F182" s="114"/>
      <c r="G182" s="113"/>
      <c r="H182" s="912"/>
      <c r="I182" s="912"/>
      <c r="J182" s="912"/>
      <c r="K182" s="461"/>
      <c r="L182" s="912"/>
      <c r="M182" s="912"/>
      <c r="N182" s="912"/>
      <c r="O182" s="912"/>
      <c r="P182" s="912"/>
      <c r="Q182" s="20"/>
      <c r="U182" s="158"/>
      <c r="W182" s="197"/>
      <c r="X182" s="197"/>
      <c r="Y182" s="465"/>
      <c r="Z182" s="465"/>
      <c r="AA182" s="922"/>
      <c r="AB182" s="922"/>
      <c r="AC182" s="922"/>
    </row>
    <row r="183" customFormat="false" ht="12" hidden="false" customHeight="false" outlineLevel="0" collapsed="false">
      <c r="B183" s="130"/>
      <c r="C183" s="130"/>
      <c r="D183" s="25"/>
      <c r="E183" s="130"/>
      <c r="F183" s="130"/>
      <c r="G183" s="25"/>
      <c r="H183" s="130"/>
      <c r="I183" s="130"/>
      <c r="J183" s="130"/>
      <c r="K183" s="130"/>
      <c r="L183" s="130"/>
      <c r="M183" s="130"/>
      <c r="N183" s="466"/>
      <c r="O183" s="466"/>
      <c r="P183" s="466"/>
      <c r="Q183" s="20"/>
      <c r="R183" s="29"/>
      <c r="S183" s="29"/>
      <c r="T183" s="29"/>
      <c r="W183" s="197"/>
      <c r="X183" s="197"/>
      <c r="Y183" s="465"/>
      <c r="Z183" s="465"/>
      <c r="AA183" s="922"/>
      <c r="AB183" s="922"/>
      <c r="AC183" s="922"/>
    </row>
    <row r="184" customFormat="false" ht="12" hidden="false" customHeight="false" outlineLevel="0" collapsed="false">
      <c r="B184" s="130"/>
      <c r="C184" s="130"/>
      <c r="D184" s="25"/>
      <c r="E184" s="130"/>
      <c r="F184" s="130"/>
      <c r="G184" s="25"/>
      <c r="H184" s="130"/>
      <c r="I184" s="130"/>
      <c r="J184" s="130"/>
      <c r="K184" s="130"/>
      <c r="L184" s="130"/>
      <c r="M184" s="130"/>
      <c r="N184" s="466"/>
      <c r="O184" s="466"/>
      <c r="P184" s="466"/>
      <c r="Q184" s="20"/>
      <c r="R184" s="29"/>
      <c r="S184" s="29"/>
      <c r="T184" s="29"/>
      <c r="U184" s="846"/>
      <c r="V184" s="846"/>
      <c r="W184" s="846"/>
      <c r="X184" s="846"/>
      <c r="Y184" s="935"/>
      <c r="Z184" s="29"/>
      <c r="AA184" s="29"/>
      <c r="AB184" s="29"/>
      <c r="AC184" s="29"/>
    </row>
    <row r="185" customFormat="false" ht="12" hidden="false" customHeight="false" outlineLevel="0" collapsed="false">
      <c r="B185" s="130"/>
      <c r="C185" s="130"/>
      <c r="D185" s="130"/>
      <c r="E185" s="130"/>
      <c r="F185" s="130"/>
      <c r="G185" s="158"/>
      <c r="H185" s="130"/>
      <c r="I185" s="130"/>
      <c r="J185" s="130"/>
      <c r="K185" s="130"/>
      <c r="L185" s="130"/>
      <c r="M185" s="130"/>
      <c r="N185" s="466"/>
      <c r="O185" s="466"/>
      <c r="P185" s="466"/>
      <c r="R185" s="918"/>
      <c r="S185" s="918"/>
      <c r="T185" s="918"/>
      <c r="U185" s="846"/>
      <c r="V185" s="846"/>
      <c r="W185" s="846"/>
      <c r="X185" s="846"/>
      <c r="Y185" s="935"/>
      <c r="Z185" s="29"/>
      <c r="AA185" s="29"/>
      <c r="AB185" s="29"/>
      <c r="AC185" s="29"/>
    </row>
    <row r="186" customFormat="false" ht="12" hidden="false" customHeight="false" outlineLevel="0" collapsed="false">
      <c r="B186" s="130"/>
      <c r="C186" s="130"/>
      <c r="D186" s="130"/>
      <c r="E186" s="130"/>
      <c r="F186" s="130"/>
      <c r="G186" s="130"/>
      <c r="H186" s="130"/>
      <c r="I186" s="130"/>
      <c r="J186" s="130"/>
      <c r="K186" s="130"/>
      <c r="L186" s="130"/>
      <c r="M186" s="130"/>
      <c r="N186" s="466"/>
      <c r="O186" s="466"/>
      <c r="P186" s="466"/>
      <c r="R186" s="465"/>
      <c r="S186" s="922"/>
      <c r="T186" s="922"/>
      <c r="U186" s="846"/>
      <c r="V186" s="846"/>
      <c r="W186" s="846"/>
      <c r="X186" s="846"/>
      <c r="Y186" s="935"/>
      <c r="Z186" s="29"/>
      <c r="AA186" s="29"/>
      <c r="AB186" s="29"/>
      <c r="AC186" s="29"/>
    </row>
    <row r="187" customFormat="false" ht="12" hidden="false" customHeight="false" outlineLevel="0" collapsed="false">
      <c r="B187" s="130"/>
      <c r="C187" s="130"/>
      <c r="D187" s="130"/>
      <c r="E187" s="130"/>
      <c r="F187" s="130"/>
      <c r="G187" s="130"/>
      <c r="H187" s="130"/>
      <c r="I187" s="130"/>
      <c r="J187" s="130"/>
      <c r="K187" s="130"/>
      <c r="L187" s="130"/>
      <c r="M187" s="130"/>
      <c r="N187" s="466"/>
      <c r="O187" s="466"/>
      <c r="P187" s="466"/>
      <c r="R187" s="465"/>
      <c r="S187" s="959"/>
      <c r="T187" s="465"/>
      <c r="W187" s="197"/>
      <c r="X187" s="197"/>
      <c r="Y187" s="465"/>
      <c r="Z187" s="465"/>
      <c r="AA187" s="922"/>
      <c r="AB187" s="922"/>
      <c r="AC187" s="922"/>
    </row>
    <row r="188" customFormat="false" ht="12" hidden="false" customHeight="false" outlineLevel="0" collapsed="false">
      <c r="B188" s="130"/>
      <c r="C188" s="130"/>
      <c r="D188" s="130"/>
      <c r="E188" s="130"/>
      <c r="F188" s="130"/>
      <c r="G188" s="130"/>
      <c r="H188" s="130"/>
      <c r="I188" s="130"/>
      <c r="J188" s="130"/>
      <c r="K188" s="130"/>
      <c r="L188" s="130"/>
      <c r="M188" s="130"/>
      <c r="N188" s="130"/>
      <c r="O188" s="130"/>
      <c r="P188" s="130"/>
      <c r="W188" s="197"/>
      <c r="X188" s="197"/>
      <c r="Y188" s="465"/>
      <c r="Z188" s="465"/>
      <c r="AA188" s="922"/>
      <c r="AB188" s="922"/>
      <c r="AC188" s="922"/>
    </row>
    <row r="189" customFormat="false" ht="12" hidden="false" customHeight="false" outlineLevel="0" collapsed="false">
      <c r="B189" s="130"/>
      <c r="C189" s="130"/>
      <c r="D189" s="130"/>
      <c r="E189" s="130"/>
      <c r="F189" s="130"/>
      <c r="G189" s="960"/>
      <c r="H189" s="130"/>
      <c r="I189" s="130"/>
      <c r="J189" s="130"/>
      <c r="K189" s="130"/>
      <c r="L189" s="130"/>
      <c r="M189" s="130"/>
      <c r="N189" s="130"/>
      <c r="O189" s="130"/>
      <c r="P189" s="130"/>
      <c r="W189" s="197"/>
      <c r="X189" s="197"/>
      <c r="Y189" s="465"/>
      <c r="Z189" s="465"/>
      <c r="AA189" s="922"/>
      <c r="AB189" s="922"/>
      <c r="AC189" s="922"/>
    </row>
    <row r="190" customFormat="false" ht="12" hidden="false" customHeight="false" outlineLevel="0" collapsed="false">
      <c r="H190" s="130"/>
      <c r="I190" s="130"/>
      <c r="J190" s="130"/>
      <c r="K190" s="130"/>
      <c r="L190" s="130"/>
      <c r="M190" s="130"/>
      <c r="N190" s="130"/>
      <c r="O190" s="130"/>
      <c r="P190" s="130"/>
      <c r="W190" s="197"/>
      <c r="X190" s="197"/>
      <c r="Y190" s="465"/>
      <c r="Z190" s="465"/>
      <c r="AA190" s="922"/>
      <c r="AB190" s="922"/>
      <c r="AC190" s="922"/>
    </row>
    <row r="191" customFormat="false" ht="12" hidden="false" customHeight="false" outlineLevel="0" collapsed="false">
      <c r="B191" s="130"/>
      <c r="C191" s="130"/>
      <c r="D191" s="25"/>
      <c r="E191" s="130"/>
      <c r="F191" s="130"/>
      <c r="G191" s="25"/>
      <c r="H191" s="25"/>
      <c r="I191" s="25"/>
      <c r="J191" s="130"/>
      <c r="K191" s="130"/>
      <c r="L191" s="130"/>
      <c r="M191" s="130"/>
      <c r="N191" s="130"/>
      <c r="O191" s="130"/>
      <c r="P191" s="130"/>
      <c r="W191" s="197"/>
      <c r="X191" s="197"/>
      <c r="Y191" s="465"/>
      <c r="Z191" s="465"/>
      <c r="AA191" s="922"/>
      <c r="AB191" s="922"/>
      <c r="AC191" s="922"/>
    </row>
    <row r="192" customFormat="false" ht="12" hidden="false" customHeight="false" outlineLevel="0" collapsed="false">
      <c r="B192" s="130"/>
      <c r="C192" s="130"/>
      <c r="D192" s="25"/>
      <c r="E192" s="130"/>
      <c r="F192" s="130"/>
      <c r="G192" s="158"/>
      <c r="H192" s="25"/>
      <c r="I192" s="25"/>
      <c r="J192" s="130"/>
      <c r="K192" s="130"/>
      <c r="L192" s="130"/>
      <c r="M192" s="130"/>
      <c r="N192" s="130"/>
      <c r="O192" s="130"/>
      <c r="P192" s="130"/>
      <c r="W192" s="197"/>
      <c r="X192" s="197"/>
      <c r="Y192" s="465"/>
      <c r="Z192" s="465"/>
      <c r="AA192" s="922"/>
      <c r="AB192" s="922"/>
      <c r="AC192" s="922"/>
    </row>
    <row r="193" customFormat="false" ht="12" hidden="false" customHeight="false" outlineLevel="0" collapsed="false">
      <c r="B193" s="130"/>
      <c r="C193" s="130"/>
      <c r="D193" s="130"/>
      <c r="F193" s="130"/>
      <c r="G193" s="130"/>
      <c r="H193" s="130"/>
      <c r="I193" s="130"/>
      <c r="J193" s="130"/>
      <c r="K193" s="130"/>
      <c r="L193" s="130"/>
      <c r="M193" s="130"/>
      <c r="N193" s="130"/>
      <c r="O193" s="130"/>
      <c r="P193" s="130"/>
      <c r="W193" s="197"/>
      <c r="X193" s="197"/>
      <c r="Y193" s="465"/>
      <c r="Z193" s="465"/>
      <c r="AA193" s="465"/>
      <c r="AB193" s="465"/>
      <c r="AC193" s="465"/>
    </row>
    <row r="194" customFormat="false" ht="12" hidden="false" customHeight="false" outlineLevel="0" collapsed="false">
      <c r="B194" s="130"/>
      <c r="C194" s="130"/>
      <c r="D194" s="130"/>
      <c r="E194" s="130"/>
      <c r="F194" s="130"/>
      <c r="G194" s="130"/>
      <c r="H194" s="130"/>
      <c r="I194" s="130"/>
      <c r="J194" s="130"/>
      <c r="K194" s="130"/>
      <c r="L194" s="130"/>
      <c r="M194" s="130"/>
      <c r="N194" s="130"/>
      <c r="O194" s="130"/>
      <c r="P194" s="130"/>
      <c r="W194" s="197"/>
      <c r="X194" s="197"/>
      <c r="Y194" s="465"/>
      <c r="Z194" s="918"/>
      <c r="AA194" s="918"/>
      <c r="AB194" s="918"/>
      <c r="AC194" s="918"/>
    </row>
    <row r="195" customFormat="false" ht="12" hidden="false" customHeight="false" outlineLevel="0" collapsed="false">
      <c r="B195" s="130"/>
      <c r="C195" s="130"/>
      <c r="D195" s="25"/>
      <c r="E195" s="130"/>
      <c r="F195" s="130"/>
      <c r="G195" s="25"/>
      <c r="H195" s="130"/>
      <c r="I195" s="130"/>
      <c r="J195" s="130"/>
      <c r="K195" s="130"/>
      <c r="L195" s="130"/>
      <c r="M195" s="130"/>
      <c r="N195" s="130"/>
      <c r="O195" s="130"/>
      <c r="P195" s="130"/>
      <c r="W195" s="197"/>
      <c r="X195" s="197"/>
      <c r="Y195" s="465"/>
      <c r="Z195" s="465"/>
      <c r="AA195" s="922"/>
      <c r="AB195" s="922"/>
      <c r="AC195" s="922"/>
    </row>
    <row r="196" customFormat="false" ht="12" hidden="false" customHeight="false" outlineLevel="0" collapsed="false">
      <c r="B196" s="130"/>
      <c r="C196" s="130"/>
      <c r="D196" s="130"/>
      <c r="E196" s="130"/>
      <c r="F196" s="130"/>
      <c r="G196" s="158"/>
      <c r="H196" s="130"/>
      <c r="I196" s="130"/>
      <c r="J196" s="130"/>
      <c r="K196" s="130"/>
      <c r="L196" s="130"/>
      <c r="M196" s="130"/>
      <c r="N196" s="130"/>
      <c r="O196" s="130"/>
      <c r="P196" s="130"/>
      <c r="W196" s="197"/>
      <c r="X196" s="197"/>
      <c r="Y196" s="465"/>
      <c r="Z196" s="465"/>
      <c r="AA196" s="959"/>
      <c r="AB196" s="465"/>
      <c r="AC196" s="959"/>
    </row>
    <row r="197" customFormat="false" ht="12" hidden="false" customHeight="false" outlineLevel="0" collapsed="false">
      <c r="B197" s="130"/>
      <c r="C197" s="130"/>
      <c r="D197" s="130"/>
      <c r="E197" s="130"/>
      <c r="F197" s="130"/>
      <c r="G197" s="130"/>
      <c r="H197" s="130"/>
      <c r="I197" s="130"/>
      <c r="J197" s="130"/>
      <c r="K197" s="130"/>
      <c r="L197" s="130"/>
      <c r="M197" s="130"/>
      <c r="N197" s="130"/>
      <c r="O197" s="130"/>
      <c r="P197" s="130"/>
      <c r="W197" s="197"/>
      <c r="X197" s="197"/>
      <c r="Y197" s="465"/>
      <c r="Z197" s="918"/>
      <c r="AA197" s="918"/>
      <c r="AB197" s="918"/>
      <c r="AC197" s="918"/>
    </row>
    <row r="198" customFormat="false" ht="12" hidden="false" customHeight="false" outlineLevel="0" collapsed="false">
      <c r="A198" s="32"/>
      <c r="B198" s="461"/>
      <c r="C198" s="461"/>
      <c r="D198" s="466"/>
      <c r="E198" s="466"/>
      <c r="F198" s="114"/>
      <c r="G198" s="466"/>
      <c r="H198" s="912"/>
      <c r="I198" s="912"/>
      <c r="J198" s="912"/>
      <c r="K198" s="466"/>
      <c r="L198" s="912"/>
      <c r="M198" s="912"/>
      <c r="N198" s="912"/>
      <c r="O198" s="912"/>
      <c r="P198" s="912"/>
      <c r="W198" s="197"/>
      <c r="X198" s="197"/>
      <c r="Y198" s="465"/>
      <c r="Z198" s="465"/>
      <c r="AA198" s="922"/>
      <c r="AB198" s="922"/>
      <c r="AC198" s="922"/>
    </row>
    <row r="199" customFormat="false" ht="12" hidden="false" customHeight="false" outlineLevel="0" collapsed="false">
      <c r="R199" s="29"/>
      <c r="S199" s="29"/>
      <c r="T199" s="29"/>
      <c r="U199" s="197"/>
      <c r="V199" s="197"/>
      <c r="W199" s="197"/>
      <c r="X199" s="197"/>
      <c r="Y199" s="465"/>
      <c r="Z199" s="29"/>
      <c r="AA199" s="29"/>
      <c r="AB199" s="29"/>
      <c r="AC199" s="29"/>
    </row>
    <row r="200" customFormat="false" ht="12" hidden="false" customHeight="false" outlineLevel="0" collapsed="false">
      <c r="U200" s="197"/>
      <c r="V200" s="197"/>
      <c r="W200" s="197"/>
      <c r="X200" s="197"/>
      <c r="Y200" s="465"/>
      <c r="Z200" s="29"/>
      <c r="AA200" s="29"/>
      <c r="AB200" s="29"/>
      <c r="AC200" s="29"/>
    </row>
    <row r="201" customFormat="false" ht="12" hidden="false" customHeight="false" outlineLevel="0" collapsed="false">
      <c r="U201" s="197"/>
      <c r="V201" s="197"/>
      <c r="W201" s="197"/>
      <c r="X201" s="197"/>
      <c r="Y201" s="465"/>
      <c r="Z201" s="29"/>
      <c r="AA201" s="29"/>
      <c r="AB201" s="29"/>
      <c r="AC201" s="29"/>
    </row>
    <row r="202" customFormat="false" ht="12" hidden="false" customHeight="false" outlineLevel="0" collapsed="false">
      <c r="U202" s="197"/>
      <c r="V202" s="197"/>
      <c r="W202" s="197"/>
      <c r="X202" s="197"/>
      <c r="Y202" s="465"/>
      <c r="Z202" s="29"/>
      <c r="AA202" s="29"/>
      <c r="AB202" s="29"/>
      <c r="AC202" s="29"/>
    </row>
    <row r="203" customFormat="false" ht="12" hidden="false" customHeight="false" outlineLevel="0" collapsed="false">
      <c r="U203" s="197"/>
      <c r="V203" s="197"/>
      <c r="W203" s="197"/>
      <c r="X203" s="197"/>
      <c r="Y203" s="197"/>
    </row>
    <row r="204" customFormat="false" ht="12" hidden="false" customHeight="false" outlineLevel="0" collapsed="false">
      <c r="R204" s="197"/>
      <c r="S204" s="197"/>
      <c r="T204" s="197"/>
      <c r="U204" s="197"/>
      <c r="V204" s="197"/>
      <c r="W204" s="197"/>
      <c r="X204" s="197"/>
      <c r="Y204" s="197"/>
    </row>
    <row r="205" customFormat="false" ht="12" hidden="false" customHeight="false" outlineLevel="0" collapsed="false">
      <c r="R205" s="197"/>
      <c r="S205" s="197"/>
      <c r="T205" s="197"/>
      <c r="U205" s="197"/>
      <c r="V205" s="197"/>
      <c r="W205" s="197"/>
      <c r="X205" s="197"/>
      <c r="Y205" s="197"/>
    </row>
    <row r="206" customFormat="false" ht="12" hidden="false" customHeight="false" outlineLevel="0" collapsed="false">
      <c r="R206" s="197"/>
      <c r="S206" s="197"/>
      <c r="T206" s="197"/>
      <c r="U206" s="197"/>
      <c r="V206" s="197"/>
      <c r="W206" s="197"/>
      <c r="X206" s="197"/>
      <c r="Y206" s="197"/>
    </row>
    <row r="207" customFormat="false" ht="12" hidden="false" customHeight="false" outlineLevel="0" collapsed="false">
      <c r="R207" s="197"/>
      <c r="S207" s="197"/>
      <c r="T207" s="197"/>
      <c r="U207" s="197"/>
      <c r="V207" s="197"/>
      <c r="W207" s="197"/>
      <c r="X207" s="197"/>
      <c r="Y207" s="197"/>
    </row>
    <row r="208" customFormat="false" ht="12" hidden="false" customHeight="false" outlineLevel="0" collapsed="false">
      <c r="R208" s="197"/>
      <c r="S208" s="197"/>
      <c r="T208" s="197"/>
      <c r="U208" s="197"/>
      <c r="V208" s="197"/>
      <c r="W208" s="197"/>
      <c r="X208" s="197"/>
      <c r="Y208" s="197"/>
    </row>
    <row r="209" customFormat="false" ht="12" hidden="false" customHeight="false" outlineLevel="0" collapsed="false">
      <c r="R209" s="197"/>
      <c r="S209" s="197"/>
      <c r="T209" s="197"/>
      <c r="U209" s="197"/>
      <c r="V209" s="197"/>
      <c r="W209" s="197"/>
      <c r="X209" s="197"/>
      <c r="Y209" s="197"/>
    </row>
    <row r="210" customFormat="false" ht="12" hidden="false" customHeight="false" outlineLevel="0" collapsed="false">
      <c r="R210" s="197"/>
      <c r="S210" s="197"/>
      <c r="T210" s="197"/>
      <c r="U210" s="197"/>
      <c r="V210" s="197"/>
      <c r="W210" s="197"/>
      <c r="X210" s="197"/>
      <c r="Y210" s="197"/>
    </row>
    <row r="211" customFormat="false" ht="12" hidden="false" customHeight="false" outlineLevel="0" collapsed="false">
      <c r="R211" s="197"/>
      <c r="S211" s="197"/>
      <c r="T211" s="197"/>
      <c r="U211" s="197"/>
      <c r="V211" s="197"/>
      <c r="W211" s="197"/>
      <c r="X211" s="197"/>
      <c r="Y211" s="197"/>
    </row>
    <row r="212" customFormat="false" ht="12" hidden="false" customHeight="false" outlineLevel="0" collapsed="false">
      <c r="R212" s="197"/>
      <c r="S212" s="197"/>
      <c r="T212" s="197"/>
      <c r="U212" s="197"/>
      <c r="V212" s="197"/>
      <c r="W212" s="197"/>
      <c r="X212" s="197"/>
      <c r="Y212" s="197"/>
    </row>
    <row r="213" customFormat="false" ht="12" hidden="false" customHeight="false" outlineLevel="0" collapsed="false">
      <c r="R213" s="197"/>
      <c r="S213" s="197"/>
      <c r="T213" s="197"/>
      <c r="U213" s="197"/>
      <c r="V213" s="197"/>
      <c r="W213" s="197"/>
      <c r="X213" s="197"/>
      <c r="Y213" s="197"/>
    </row>
    <row r="214" customFormat="false" ht="12" hidden="false" customHeight="false" outlineLevel="0" collapsed="false">
      <c r="B214" s="130"/>
      <c r="C214" s="130"/>
      <c r="D214" s="130"/>
      <c r="E214" s="130"/>
      <c r="F214" s="130"/>
      <c r="G214" s="130"/>
      <c r="H214" s="130"/>
      <c r="I214" s="130"/>
      <c r="J214" s="130"/>
      <c r="K214" s="130"/>
      <c r="L214" s="130"/>
      <c r="M214" s="130"/>
      <c r="N214" s="130"/>
      <c r="O214" s="130"/>
      <c r="P214" s="130"/>
      <c r="R214" s="197"/>
      <c r="S214" s="197"/>
      <c r="T214" s="197"/>
      <c r="U214" s="197"/>
      <c r="V214" s="197"/>
      <c r="W214" s="197"/>
      <c r="X214" s="197"/>
      <c r="Y214" s="197"/>
    </row>
    <row r="215" customFormat="false" ht="12" hidden="false" customHeight="false" outlineLevel="0" collapsed="false">
      <c r="B215" s="130"/>
      <c r="C215" s="130"/>
      <c r="D215" s="130"/>
      <c r="E215" s="130"/>
      <c r="F215" s="130"/>
      <c r="G215" s="130"/>
      <c r="H215" s="130"/>
      <c r="I215" s="130"/>
      <c r="J215" s="130"/>
      <c r="K215" s="130"/>
      <c r="L215" s="130"/>
      <c r="M215" s="130"/>
      <c r="N215" s="130"/>
      <c r="O215" s="130"/>
      <c r="P215" s="130"/>
      <c r="R215" s="197"/>
      <c r="S215" s="197"/>
      <c r="T215" s="197"/>
      <c r="U215" s="197"/>
      <c r="V215" s="197"/>
      <c r="W215" s="197"/>
      <c r="X215" s="197"/>
      <c r="Y215" s="197"/>
    </row>
    <row r="216" customFormat="false" ht="12" hidden="false" customHeight="false" outlineLevel="0" collapsed="false">
      <c r="B216" s="130"/>
      <c r="C216" s="130"/>
      <c r="D216" s="130"/>
      <c r="E216" s="130"/>
      <c r="F216" s="130"/>
      <c r="G216" s="130"/>
      <c r="H216" s="130"/>
      <c r="I216" s="130"/>
      <c r="J216" s="130"/>
      <c r="K216" s="130"/>
      <c r="L216" s="130"/>
      <c r="M216" s="130"/>
      <c r="N216" s="130"/>
      <c r="O216" s="130"/>
      <c r="P216" s="130"/>
      <c r="R216" s="197"/>
      <c r="S216" s="197"/>
      <c r="T216" s="197"/>
      <c r="U216" s="197"/>
      <c r="V216" s="197"/>
      <c r="W216" s="197"/>
      <c r="X216" s="197"/>
      <c r="Y216" s="197"/>
    </row>
    <row r="217" customFormat="false" ht="12" hidden="false" customHeight="false" outlineLevel="0" collapsed="false">
      <c r="B217" s="130"/>
      <c r="C217" s="130"/>
      <c r="D217" s="130"/>
      <c r="E217" s="130"/>
      <c r="F217" s="130"/>
      <c r="G217" s="130"/>
      <c r="H217" s="130"/>
      <c r="I217" s="130"/>
      <c r="J217" s="130"/>
      <c r="K217" s="130"/>
      <c r="L217" s="130"/>
      <c r="M217" s="130"/>
      <c r="N217" s="130"/>
      <c r="O217" s="130"/>
      <c r="P217" s="130"/>
      <c r="R217" s="197"/>
      <c r="S217" s="197"/>
      <c r="T217" s="197"/>
      <c r="U217" s="197"/>
      <c r="V217" s="197"/>
      <c r="W217" s="197"/>
      <c r="X217" s="197"/>
      <c r="Y217" s="197"/>
    </row>
    <row r="218" customFormat="false" ht="12" hidden="false" customHeight="false" outlineLevel="0" collapsed="false">
      <c r="B218" s="130"/>
      <c r="C218" s="130"/>
      <c r="D218" s="130"/>
      <c r="E218" s="130"/>
      <c r="F218" s="130"/>
      <c r="G218" s="130"/>
      <c r="H218" s="130"/>
      <c r="I218" s="130"/>
      <c r="J218" s="130"/>
      <c r="K218" s="130"/>
      <c r="L218" s="130"/>
      <c r="M218" s="130"/>
      <c r="N218" s="130"/>
      <c r="O218" s="130"/>
      <c r="P218" s="130"/>
      <c r="R218" s="197"/>
      <c r="S218" s="197"/>
      <c r="T218" s="197"/>
      <c r="U218" s="197"/>
      <c r="V218" s="197"/>
      <c r="W218" s="197"/>
      <c r="X218" s="197"/>
      <c r="Y218" s="197"/>
    </row>
    <row r="219" customFormat="false" ht="12" hidden="false" customHeight="false" outlineLevel="0" collapsed="false">
      <c r="B219" s="130"/>
      <c r="C219" s="130"/>
      <c r="D219" s="130"/>
      <c r="E219" s="130"/>
      <c r="F219" s="130"/>
      <c r="G219" s="130"/>
      <c r="H219" s="130"/>
      <c r="I219" s="130"/>
      <c r="J219" s="130"/>
      <c r="K219" s="130"/>
      <c r="L219" s="130"/>
      <c r="M219" s="130"/>
      <c r="N219" s="130"/>
      <c r="O219" s="130"/>
      <c r="P219" s="130"/>
      <c r="R219" s="197"/>
      <c r="S219" s="197"/>
      <c r="T219" s="197"/>
      <c r="U219" s="197"/>
      <c r="V219" s="197"/>
      <c r="W219" s="197"/>
      <c r="X219" s="197"/>
      <c r="Y219" s="197"/>
    </row>
    <row r="220" customFormat="false" ht="12" hidden="false" customHeight="false" outlineLevel="0" collapsed="false">
      <c r="B220" s="130"/>
      <c r="C220" s="130"/>
      <c r="D220" s="130"/>
      <c r="E220" s="130"/>
      <c r="F220" s="130"/>
      <c r="G220" s="130"/>
      <c r="H220" s="130"/>
      <c r="I220" s="130"/>
      <c r="J220" s="130"/>
      <c r="K220" s="130"/>
      <c r="L220" s="130"/>
      <c r="M220" s="130"/>
      <c r="N220" s="130"/>
      <c r="O220" s="130"/>
      <c r="P220" s="130"/>
      <c r="R220" s="197"/>
      <c r="S220" s="197"/>
      <c r="T220" s="197"/>
      <c r="U220" s="197"/>
      <c r="V220" s="197"/>
      <c r="W220" s="197"/>
      <c r="X220" s="197"/>
      <c r="Y220" s="197"/>
    </row>
    <row r="221" customFormat="false" ht="12" hidden="false" customHeight="false" outlineLevel="0" collapsed="false">
      <c r="B221" s="130"/>
      <c r="C221" s="130"/>
      <c r="D221" s="130"/>
      <c r="E221" s="130"/>
      <c r="F221" s="130"/>
      <c r="G221" s="130"/>
      <c r="H221" s="130"/>
      <c r="I221" s="130"/>
      <c r="J221" s="130"/>
      <c r="K221" s="130"/>
      <c r="L221" s="130"/>
      <c r="M221" s="130"/>
      <c r="N221" s="130"/>
      <c r="O221" s="130"/>
      <c r="P221" s="130"/>
      <c r="R221" s="197"/>
      <c r="S221" s="197"/>
      <c r="T221" s="197"/>
      <c r="U221" s="197"/>
      <c r="V221" s="197"/>
      <c r="W221" s="197"/>
      <c r="X221" s="197"/>
      <c r="Y221" s="197"/>
    </row>
    <row r="222" customFormat="false" ht="12" hidden="false" customHeight="false" outlineLevel="0" collapsed="false">
      <c r="B222" s="130"/>
      <c r="C222" s="130"/>
      <c r="D222" s="130"/>
      <c r="E222" s="130"/>
      <c r="F222" s="130"/>
      <c r="G222" s="130"/>
      <c r="H222" s="130"/>
      <c r="I222" s="130"/>
      <c r="J222" s="130"/>
      <c r="K222" s="130"/>
      <c r="L222" s="130"/>
      <c r="M222" s="130"/>
      <c r="N222" s="130"/>
      <c r="O222" s="130"/>
      <c r="P222" s="130"/>
      <c r="R222" s="197"/>
      <c r="S222" s="197"/>
      <c r="T222" s="197"/>
      <c r="U222" s="197"/>
      <c r="V222" s="197"/>
      <c r="W222" s="197"/>
      <c r="X222" s="197"/>
      <c r="Y222" s="197"/>
    </row>
    <row r="223" customFormat="false" ht="12" hidden="false" customHeight="false" outlineLevel="0" collapsed="false">
      <c r="B223" s="130"/>
      <c r="C223" s="130"/>
      <c r="D223" s="130"/>
      <c r="E223" s="130"/>
      <c r="F223" s="130"/>
      <c r="G223" s="130"/>
      <c r="H223" s="130"/>
      <c r="I223" s="130"/>
      <c r="J223" s="130"/>
      <c r="K223" s="130"/>
      <c r="L223" s="130"/>
      <c r="M223" s="130"/>
      <c r="N223" s="130"/>
      <c r="O223" s="130"/>
      <c r="P223" s="130"/>
      <c r="R223" s="197"/>
      <c r="S223" s="197"/>
      <c r="T223" s="197"/>
      <c r="U223" s="197"/>
      <c r="V223" s="197"/>
      <c r="W223" s="197"/>
      <c r="X223" s="197"/>
      <c r="Y223" s="197"/>
    </row>
    <row r="224" customFormat="false" ht="12" hidden="false" customHeight="false" outlineLevel="0" collapsed="false">
      <c r="B224" s="130"/>
      <c r="C224" s="130"/>
      <c r="D224" s="130"/>
      <c r="E224" s="130"/>
      <c r="F224" s="130"/>
      <c r="G224" s="130"/>
      <c r="H224" s="130"/>
      <c r="I224" s="130"/>
      <c r="J224" s="130"/>
      <c r="K224" s="130"/>
      <c r="L224" s="130"/>
      <c r="M224" s="130"/>
      <c r="N224" s="130"/>
      <c r="O224" s="130"/>
      <c r="P224" s="130"/>
      <c r="R224" s="197"/>
      <c r="S224" s="197"/>
      <c r="T224" s="197"/>
      <c r="U224" s="197"/>
      <c r="V224" s="197"/>
      <c r="W224" s="197"/>
      <c r="X224" s="197"/>
      <c r="Y224" s="197"/>
    </row>
    <row r="225" customFormat="false" ht="12" hidden="false" customHeight="false" outlineLevel="0" collapsed="false">
      <c r="B225" s="130"/>
      <c r="C225" s="130"/>
      <c r="D225" s="130"/>
      <c r="E225" s="130"/>
      <c r="F225" s="130"/>
      <c r="G225" s="130"/>
      <c r="H225" s="130"/>
      <c r="I225" s="130"/>
      <c r="J225" s="130"/>
      <c r="K225" s="130"/>
      <c r="L225" s="130"/>
      <c r="M225" s="130"/>
      <c r="N225" s="130"/>
      <c r="O225" s="130"/>
      <c r="P225" s="130"/>
      <c r="R225" s="197"/>
      <c r="S225" s="197"/>
      <c r="T225" s="197"/>
      <c r="U225" s="197"/>
      <c r="V225" s="197"/>
      <c r="W225" s="197"/>
      <c r="X225" s="197"/>
      <c r="Y225" s="197"/>
    </row>
    <row r="226" customFormat="false" ht="12" hidden="false" customHeight="false" outlineLevel="0" collapsed="false">
      <c r="B226" s="130"/>
      <c r="C226" s="130"/>
      <c r="D226" s="130"/>
      <c r="E226" s="130"/>
      <c r="F226" s="130"/>
      <c r="G226" s="130"/>
      <c r="H226" s="130"/>
      <c r="I226" s="130"/>
      <c r="J226" s="130"/>
      <c r="K226" s="130"/>
      <c r="L226" s="130"/>
      <c r="M226" s="130"/>
      <c r="N226" s="130"/>
      <c r="O226" s="130"/>
      <c r="P226" s="130"/>
      <c r="R226" s="197"/>
      <c r="S226" s="197"/>
      <c r="T226" s="197"/>
      <c r="U226" s="197"/>
      <c r="V226" s="197"/>
      <c r="W226" s="197"/>
      <c r="X226" s="197"/>
      <c r="Y226" s="197"/>
    </row>
    <row r="227" customFormat="false" ht="12" hidden="false" customHeight="false" outlineLevel="0" collapsed="false">
      <c r="B227" s="130"/>
      <c r="C227" s="130"/>
      <c r="D227" s="130"/>
      <c r="E227" s="130"/>
      <c r="F227" s="130"/>
      <c r="G227" s="130"/>
      <c r="H227" s="130"/>
      <c r="I227" s="130"/>
      <c r="J227" s="130"/>
      <c r="K227" s="130"/>
      <c r="L227" s="130"/>
      <c r="M227" s="130"/>
      <c r="N227" s="130"/>
      <c r="O227" s="130"/>
      <c r="P227" s="130"/>
      <c r="R227" s="197"/>
      <c r="S227" s="197"/>
      <c r="T227" s="197"/>
      <c r="U227" s="197"/>
      <c r="V227" s="197"/>
      <c r="W227" s="197"/>
      <c r="X227" s="197"/>
      <c r="Y227" s="197"/>
    </row>
    <row r="228" customFormat="false" ht="12" hidden="false" customHeight="false" outlineLevel="0" collapsed="false">
      <c r="B228" s="130"/>
      <c r="C228" s="130"/>
      <c r="D228" s="130"/>
      <c r="E228" s="130"/>
      <c r="F228" s="130"/>
      <c r="G228" s="130"/>
      <c r="H228" s="130"/>
      <c r="I228" s="130"/>
      <c r="J228" s="130"/>
      <c r="K228" s="130"/>
      <c r="L228" s="130"/>
      <c r="M228" s="130"/>
      <c r="N228" s="130"/>
      <c r="O228" s="130"/>
      <c r="P228" s="130"/>
      <c r="R228" s="197"/>
      <c r="S228" s="197"/>
      <c r="T228" s="197"/>
      <c r="U228" s="197"/>
      <c r="V228" s="197"/>
      <c r="W228" s="197"/>
      <c r="X228" s="197"/>
      <c r="Y228" s="197"/>
    </row>
    <row r="229" customFormat="false" ht="12" hidden="false" customHeight="false" outlineLevel="0" collapsed="false">
      <c r="B229" s="130"/>
      <c r="C229" s="130"/>
      <c r="D229" s="130"/>
      <c r="E229" s="130"/>
      <c r="F229" s="130"/>
      <c r="G229" s="130"/>
      <c r="H229" s="130"/>
      <c r="I229" s="130"/>
      <c r="J229" s="130"/>
      <c r="K229" s="130"/>
      <c r="L229" s="130"/>
      <c r="M229" s="130"/>
      <c r="N229" s="130"/>
      <c r="O229" s="130"/>
      <c r="P229" s="130"/>
      <c r="R229" s="197"/>
      <c r="S229" s="197"/>
      <c r="T229" s="197"/>
      <c r="U229" s="197"/>
      <c r="V229" s="197"/>
      <c r="W229" s="197"/>
      <c r="X229" s="197"/>
      <c r="Y229" s="197"/>
    </row>
    <row r="230" customFormat="false" ht="12" hidden="false" customHeight="false" outlineLevel="0" collapsed="false">
      <c r="B230" s="130"/>
      <c r="C230" s="130"/>
      <c r="D230" s="130"/>
      <c r="E230" s="130"/>
      <c r="F230" s="130"/>
      <c r="G230" s="130"/>
      <c r="H230" s="130"/>
      <c r="I230" s="130"/>
      <c r="J230" s="130"/>
      <c r="K230" s="130"/>
      <c r="L230" s="130"/>
      <c r="M230" s="130"/>
      <c r="N230" s="130"/>
      <c r="O230" s="130"/>
      <c r="P230" s="130"/>
      <c r="R230" s="197"/>
      <c r="S230" s="197"/>
      <c r="T230" s="197"/>
      <c r="U230" s="197"/>
      <c r="V230" s="197"/>
      <c r="W230" s="197"/>
      <c r="X230" s="197"/>
      <c r="Y230" s="197"/>
    </row>
    <row r="231" customFormat="false" ht="12" hidden="false" customHeight="false" outlineLevel="0" collapsed="false">
      <c r="B231" s="130"/>
      <c r="C231" s="130"/>
      <c r="D231" s="130"/>
      <c r="E231" s="130"/>
      <c r="F231" s="130"/>
      <c r="G231" s="130"/>
      <c r="H231" s="130"/>
      <c r="I231" s="130"/>
      <c r="J231" s="130"/>
      <c r="K231" s="130"/>
      <c r="L231" s="130"/>
      <c r="M231" s="130"/>
      <c r="N231" s="130"/>
      <c r="O231" s="130"/>
      <c r="P231" s="130"/>
      <c r="R231" s="197"/>
      <c r="S231" s="197"/>
      <c r="T231" s="197"/>
      <c r="U231" s="197"/>
      <c r="V231" s="197"/>
      <c r="W231" s="197"/>
      <c r="X231" s="197"/>
      <c r="Y231" s="197"/>
    </row>
    <row r="232" customFormat="false" ht="12" hidden="false" customHeight="false" outlineLevel="0" collapsed="false">
      <c r="B232" s="130"/>
      <c r="C232" s="130"/>
      <c r="D232" s="130"/>
      <c r="E232" s="130"/>
      <c r="F232" s="130"/>
      <c r="G232" s="130"/>
      <c r="H232" s="130"/>
      <c r="I232" s="130"/>
      <c r="J232" s="130"/>
      <c r="K232" s="130"/>
      <c r="L232" s="130"/>
      <c r="M232" s="130"/>
      <c r="N232" s="130"/>
      <c r="O232" s="130"/>
      <c r="P232" s="130"/>
      <c r="R232" s="197"/>
      <c r="S232" s="197"/>
      <c r="T232" s="197"/>
      <c r="U232" s="197"/>
      <c r="V232" s="197"/>
      <c r="W232" s="197"/>
      <c r="X232" s="197"/>
      <c r="Y232" s="197"/>
    </row>
    <row r="233" customFormat="false" ht="12" hidden="false" customHeight="false" outlineLevel="0" collapsed="false">
      <c r="B233" s="130"/>
      <c r="C233" s="130"/>
      <c r="D233" s="130"/>
      <c r="E233" s="130"/>
      <c r="F233" s="130"/>
      <c r="G233" s="130"/>
      <c r="H233" s="130"/>
      <c r="I233" s="130"/>
      <c r="J233" s="130"/>
      <c r="K233" s="130"/>
      <c r="L233" s="130"/>
      <c r="M233" s="130"/>
      <c r="N233" s="130"/>
      <c r="O233" s="130"/>
      <c r="P233" s="130"/>
      <c r="R233" s="197"/>
      <c r="S233" s="197"/>
      <c r="T233" s="197"/>
      <c r="U233" s="197"/>
      <c r="V233" s="197"/>
      <c r="W233" s="197"/>
      <c r="X233" s="197"/>
      <c r="Y233" s="197"/>
    </row>
    <row r="234" customFormat="false" ht="12" hidden="false" customHeight="false" outlineLevel="0" collapsed="false">
      <c r="B234" s="130"/>
      <c r="C234" s="130"/>
      <c r="D234" s="130"/>
      <c r="E234" s="130"/>
      <c r="F234" s="130"/>
      <c r="G234" s="130"/>
      <c r="H234" s="130"/>
      <c r="I234" s="130"/>
      <c r="J234" s="130"/>
      <c r="K234" s="130"/>
      <c r="L234" s="130"/>
      <c r="M234" s="130"/>
      <c r="N234" s="130"/>
      <c r="O234" s="130"/>
      <c r="P234" s="130"/>
      <c r="R234" s="197"/>
      <c r="S234" s="197"/>
      <c r="T234" s="197"/>
      <c r="U234" s="197"/>
      <c r="V234" s="197"/>
      <c r="W234" s="197"/>
      <c r="X234" s="197"/>
      <c r="Y234" s="197"/>
    </row>
    <row r="235" customFormat="false" ht="12" hidden="false" customHeight="false" outlineLevel="0" collapsed="false">
      <c r="B235" s="130"/>
      <c r="C235" s="130"/>
      <c r="D235" s="130"/>
      <c r="E235" s="130"/>
      <c r="F235" s="130"/>
      <c r="G235" s="130"/>
      <c r="H235" s="130"/>
      <c r="I235" s="130"/>
      <c r="J235" s="130"/>
      <c r="K235" s="130"/>
      <c r="L235" s="130"/>
      <c r="M235" s="130"/>
      <c r="N235" s="130"/>
      <c r="O235" s="130"/>
      <c r="P235" s="130"/>
      <c r="R235" s="197"/>
      <c r="S235" s="197"/>
      <c r="T235" s="197"/>
      <c r="U235" s="197"/>
      <c r="V235" s="197"/>
      <c r="W235" s="197"/>
      <c r="X235" s="197"/>
      <c r="Y235" s="197"/>
    </row>
    <row r="236" customFormat="false" ht="12" hidden="false" customHeight="false" outlineLevel="0" collapsed="false">
      <c r="B236" s="130"/>
      <c r="C236" s="130"/>
      <c r="D236" s="130"/>
      <c r="E236" s="130"/>
      <c r="F236" s="130"/>
      <c r="G236" s="130"/>
      <c r="H236" s="130"/>
      <c r="I236" s="130"/>
      <c r="J236" s="130"/>
      <c r="K236" s="130"/>
      <c r="L236" s="130"/>
      <c r="M236" s="130"/>
      <c r="N236" s="130"/>
      <c r="O236" s="130"/>
      <c r="P236" s="130"/>
      <c r="R236" s="197"/>
      <c r="S236" s="197"/>
      <c r="T236" s="197"/>
      <c r="U236" s="197"/>
      <c r="V236" s="197"/>
      <c r="W236" s="197"/>
      <c r="X236" s="197"/>
      <c r="Y236" s="197"/>
    </row>
    <row r="237" customFormat="false" ht="12" hidden="false" customHeight="false" outlineLevel="0" collapsed="false">
      <c r="B237" s="130"/>
      <c r="C237" s="130"/>
      <c r="D237" s="130"/>
      <c r="E237" s="130"/>
      <c r="F237" s="130"/>
      <c r="G237" s="130"/>
      <c r="H237" s="130"/>
      <c r="I237" s="130"/>
      <c r="J237" s="130"/>
      <c r="K237" s="130"/>
      <c r="L237" s="130"/>
      <c r="M237" s="130"/>
      <c r="N237" s="130"/>
      <c r="O237" s="130"/>
      <c r="P237" s="130"/>
      <c r="R237" s="197"/>
      <c r="S237" s="197"/>
      <c r="T237" s="197"/>
      <c r="U237" s="197"/>
      <c r="V237" s="197"/>
      <c r="W237" s="197"/>
      <c r="X237" s="197"/>
      <c r="Y237" s="197"/>
    </row>
    <row r="238" customFormat="false" ht="12" hidden="false" customHeight="false" outlineLevel="0" collapsed="false">
      <c r="B238" s="130"/>
      <c r="C238" s="130"/>
      <c r="D238" s="130"/>
      <c r="E238" s="130"/>
      <c r="F238" s="130"/>
      <c r="G238" s="130"/>
      <c r="H238" s="130"/>
      <c r="I238" s="130"/>
      <c r="J238" s="130"/>
      <c r="K238" s="130"/>
      <c r="L238" s="130"/>
      <c r="M238" s="130"/>
      <c r="N238" s="130"/>
      <c r="O238" s="130"/>
      <c r="P238" s="130"/>
      <c r="R238" s="197"/>
      <c r="S238" s="197"/>
      <c r="T238" s="197"/>
      <c r="U238" s="197"/>
      <c r="V238" s="197"/>
      <c r="W238" s="197"/>
      <c r="X238" s="197"/>
      <c r="Y238" s="197"/>
    </row>
    <row r="239" customFormat="false" ht="12" hidden="false" customHeight="false" outlineLevel="0" collapsed="false">
      <c r="B239" s="130"/>
      <c r="C239" s="130"/>
      <c r="D239" s="130"/>
      <c r="E239" s="130"/>
      <c r="F239" s="130"/>
      <c r="G239" s="130"/>
      <c r="H239" s="130"/>
      <c r="I239" s="130"/>
      <c r="J239" s="130"/>
      <c r="K239" s="130"/>
      <c r="L239" s="130"/>
      <c r="M239" s="130"/>
      <c r="N239" s="130"/>
      <c r="O239" s="130"/>
      <c r="P239" s="130"/>
      <c r="R239" s="197"/>
      <c r="S239" s="197"/>
      <c r="T239" s="197"/>
      <c r="U239" s="197"/>
      <c r="V239" s="197"/>
      <c r="W239" s="197"/>
      <c r="X239" s="197"/>
      <c r="Y239" s="197"/>
    </row>
    <row r="240" customFormat="false" ht="12" hidden="false" customHeight="false" outlineLevel="0" collapsed="false">
      <c r="B240" s="130"/>
      <c r="C240" s="130"/>
      <c r="D240" s="130"/>
      <c r="E240" s="130"/>
      <c r="F240" s="130"/>
      <c r="G240" s="130"/>
      <c r="H240" s="130"/>
      <c r="I240" s="130"/>
      <c r="J240" s="130"/>
      <c r="K240" s="130"/>
      <c r="L240" s="130"/>
      <c r="M240" s="130"/>
      <c r="N240" s="130"/>
      <c r="O240" s="130"/>
      <c r="P240" s="130"/>
      <c r="R240" s="197"/>
      <c r="S240" s="197"/>
      <c r="T240" s="197"/>
      <c r="U240" s="197"/>
      <c r="V240" s="197"/>
      <c r="W240" s="197"/>
      <c r="X240" s="197"/>
      <c r="Y240" s="197"/>
    </row>
    <row r="241" customFormat="false" ht="12" hidden="false" customHeight="false" outlineLevel="0" collapsed="false">
      <c r="B241" s="130"/>
      <c r="C241" s="130"/>
      <c r="D241" s="130"/>
      <c r="E241" s="130"/>
      <c r="F241" s="130"/>
      <c r="G241" s="130"/>
      <c r="H241" s="130"/>
      <c r="I241" s="130"/>
      <c r="J241" s="130"/>
      <c r="K241" s="130"/>
      <c r="L241" s="130"/>
      <c r="M241" s="130"/>
      <c r="N241" s="130"/>
      <c r="O241" s="130"/>
      <c r="P241" s="130"/>
      <c r="R241" s="197"/>
      <c r="S241" s="197"/>
      <c r="T241" s="197"/>
      <c r="U241" s="197"/>
      <c r="V241" s="197"/>
      <c r="W241" s="197"/>
      <c r="X241" s="197"/>
      <c r="Y241" s="197"/>
    </row>
    <row r="242" customFormat="false" ht="12" hidden="false" customHeight="false" outlineLevel="0" collapsed="false">
      <c r="B242" s="130"/>
      <c r="C242" s="130"/>
      <c r="D242" s="130"/>
      <c r="E242" s="130"/>
      <c r="F242" s="130"/>
      <c r="G242" s="130"/>
      <c r="H242" s="130"/>
      <c r="I242" s="130"/>
      <c r="J242" s="130"/>
      <c r="K242" s="130"/>
      <c r="L242" s="130"/>
      <c r="M242" s="130"/>
      <c r="N242" s="130"/>
      <c r="O242" s="130"/>
      <c r="P242" s="130"/>
      <c r="R242" s="197"/>
      <c r="S242" s="197"/>
      <c r="T242" s="197"/>
      <c r="U242" s="197"/>
      <c r="V242" s="197"/>
      <c r="W242" s="197"/>
      <c r="X242" s="197"/>
      <c r="Y242" s="197"/>
    </row>
    <row r="243" customFormat="false" ht="12" hidden="false" customHeight="false" outlineLevel="0" collapsed="false">
      <c r="B243" s="130"/>
      <c r="C243" s="130"/>
      <c r="D243" s="130"/>
      <c r="E243" s="130"/>
      <c r="F243" s="130"/>
      <c r="G243" s="130"/>
      <c r="H243" s="130"/>
      <c r="I243" s="130"/>
      <c r="J243" s="130"/>
      <c r="K243" s="130"/>
      <c r="L243" s="130"/>
      <c r="M243" s="130"/>
      <c r="N243" s="130"/>
      <c r="O243" s="130"/>
      <c r="P243" s="130"/>
      <c r="R243" s="197"/>
      <c r="S243" s="197"/>
      <c r="T243" s="197"/>
      <c r="U243" s="197"/>
      <c r="V243" s="197"/>
      <c r="W243" s="197"/>
      <c r="X243" s="197"/>
      <c r="Y243" s="197"/>
    </row>
    <row r="244" customFormat="false" ht="12" hidden="false" customHeight="false" outlineLevel="0" collapsed="false">
      <c r="B244" s="130"/>
      <c r="C244" s="130"/>
      <c r="D244" s="130"/>
      <c r="E244" s="130"/>
      <c r="F244" s="130"/>
      <c r="G244" s="130"/>
      <c r="H244" s="130"/>
      <c r="I244" s="130"/>
      <c r="J244" s="130"/>
      <c r="K244" s="130"/>
      <c r="L244" s="130"/>
      <c r="M244" s="130"/>
      <c r="N244" s="130"/>
      <c r="O244" s="130"/>
      <c r="P244" s="130"/>
      <c r="R244" s="197"/>
      <c r="S244" s="197"/>
      <c r="T244" s="197"/>
      <c r="U244" s="197"/>
      <c r="V244" s="197"/>
      <c r="W244" s="197"/>
      <c r="X244" s="197"/>
      <c r="Y244" s="197"/>
    </row>
    <row r="245" customFormat="false" ht="12" hidden="false" customHeight="false" outlineLevel="0" collapsed="false">
      <c r="B245" s="130"/>
      <c r="C245" s="130"/>
      <c r="D245" s="130"/>
      <c r="E245" s="130"/>
      <c r="F245" s="130"/>
      <c r="G245" s="130"/>
      <c r="H245" s="130"/>
      <c r="I245" s="130"/>
      <c r="J245" s="130"/>
      <c r="K245" s="130"/>
      <c r="L245" s="130"/>
      <c r="M245" s="130"/>
      <c r="N245" s="130"/>
      <c r="O245" s="130"/>
      <c r="P245" s="130"/>
      <c r="R245" s="197"/>
      <c r="S245" s="197"/>
      <c r="T245" s="197"/>
      <c r="U245" s="197"/>
      <c r="V245" s="197"/>
      <c r="W245" s="197"/>
      <c r="X245" s="197"/>
      <c r="Y245" s="197"/>
    </row>
    <row r="246" customFormat="false" ht="12" hidden="false" customHeight="false" outlineLevel="0" collapsed="false">
      <c r="B246" s="130"/>
      <c r="C246" s="130"/>
      <c r="D246" s="130"/>
      <c r="E246" s="130"/>
      <c r="F246" s="130"/>
      <c r="G246" s="130"/>
      <c r="H246" s="130"/>
      <c r="I246" s="130"/>
      <c r="J246" s="130"/>
      <c r="K246" s="130"/>
      <c r="L246" s="130"/>
      <c r="M246" s="130"/>
      <c r="N246" s="130"/>
      <c r="O246" s="130"/>
      <c r="P246" s="130"/>
      <c r="R246" s="197"/>
      <c r="S246" s="197"/>
      <c r="T246" s="197"/>
      <c r="U246" s="197"/>
      <c r="V246" s="197"/>
      <c r="W246" s="197"/>
      <c r="X246" s="197"/>
      <c r="Y246" s="197"/>
    </row>
    <row r="247" customFormat="false" ht="12" hidden="false" customHeight="false" outlineLevel="0" collapsed="false">
      <c r="B247" s="130"/>
      <c r="C247" s="130"/>
      <c r="D247" s="130"/>
      <c r="E247" s="130"/>
      <c r="F247" s="130"/>
      <c r="G247" s="130"/>
      <c r="H247" s="130"/>
      <c r="I247" s="130"/>
      <c r="J247" s="130"/>
      <c r="K247" s="130"/>
      <c r="L247" s="130"/>
      <c r="M247" s="130"/>
      <c r="N247" s="130"/>
      <c r="O247" s="130"/>
      <c r="P247" s="130"/>
      <c r="R247" s="197"/>
      <c r="S247" s="197"/>
      <c r="T247" s="197"/>
      <c r="U247" s="197"/>
      <c r="V247" s="197"/>
      <c r="W247" s="197"/>
      <c r="X247" s="197"/>
      <c r="Y247" s="197"/>
    </row>
    <row r="248" customFormat="false" ht="12" hidden="false" customHeight="false" outlineLevel="0" collapsed="false">
      <c r="B248" s="130"/>
      <c r="C248" s="130"/>
      <c r="D248" s="130"/>
      <c r="E248" s="130"/>
      <c r="F248" s="130"/>
      <c r="G248" s="130"/>
      <c r="H248" s="130"/>
      <c r="I248" s="130"/>
      <c r="J248" s="130"/>
      <c r="K248" s="130"/>
      <c r="L248" s="130"/>
      <c r="M248" s="130"/>
      <c r="N248" s="130"/>
      <c r="O248" s="130"/>
      <c r="P248" s="130"/>
      <c r="R248" s="197"/>
      <c r="S248" s="197"/>
      <c r="T248" s="197"/>
      <c r="U248" s="197"/>
      <c r="V248" s="197"/>
      <c r="W248" s="197"/>
      <c r="X248" s="197"/>
      <c r="Y248" s="197"/>
    </row>
    <row r="249" customFormat="false" ht="12" hidden="false" customHeight="false" outlineLevel="0" collapsed="false">
      <c r="B249" s="130"/>
      <c r="C249" s="130"/>
      <c r="D249" s="130"/>
      <c r="E249" s="130"/>
      <c r="F249" s="130"/>
      <c r="G249" s="130"/>
      <c r="H249" s="130"/>
      <c r="I249" s="130"/>
      <c r="J249" s="130"/>
      <c r="K249" s="130"/>
      <c r="L249" s="130"/>
      <c r="M249" s="130"/>
      <c r="N249" s="130"/>
      <c r="O249" s="130"/>
      <c r="P249" s="130"/>
      <c r="R249" s="197"/>
      <c r="S249" s="197"/>
      <c r="T249" s="197"/>
      <c r="U249" s="197"/>
      <c r="V249" s="197"/>
      <c r="W249" s="197"/>
      <c r="X249" s="197"/>
      <c r="Y249" s="197"/>
    </row>
    <row r="250" customFormat="false" ht="12" hidden="false" customHeight="false" outlineLevel="0" collapsed="false">
      <c r="B250" s="130"/>
      <c r="C250" s="130"/>
      <c r="D250" s="130"/>
      <c r="E250" s="130"/>
      <c r="F250" s="130"/>
      <c r="G250" s="130"/>
      <c r="H250" s="130"/>
      <c r="I250" s="130"/>
      <c r="J250" s="130"/>
      <c r="K250" s="130"/>
      <c r="L250" s="130"/>
      <c r="M250" s="130"/>
      <c r="N250" s="130"/>
      <c r="O250" s="130"/>
      <c r="P250" s="130"/>
      <c r="R250" s="197"/>
      <c r="S250" s="197"/>
      <c r="T250" s="197"/>
      <c r="U250" s="197"/>
      <c r="V250" s="197"/>
      <c r="W250" s="197"/>
      <c r="X250" s="197"/>
      <c r="Y250" s="197"/>
    </row>
    <row r="251" customFormat="false" ht="12" hidden="false" customHeight="false" outlineLevel="0" collapsed="false">
      <c r="B251" s="130"/>
      <c r="C251" s="130"/>
      <c r="D251" s="130"/>
      <c r="E251" s="130"/>
      <c r="F251" s="130"/>
      <c r="G251" s="130"/>
      <c r="H251" s="130"/>
      <c r="I251" s="130"/>
      <c r="J251" s="130"/>
      <c r="K251" s="130"/>
      <c r="L251" s="130"/>
      <c r="M251" s="130"/>
      <c r="N251" s="130"/>
      <c r="O251" s="130"/>
      <c r="P251" s="130"/>
      <c r="R251" s="197"/>
      <c r="S251" s="197"/>
      <c r="T251" s="197"/>
      <c r="U251" s="197"/>
      <c r="V251" s="197"/>
      <c r="W251" s="197"/>
      <c r="X251" s="197"/>
      <c r="Y251" s="197"/>
    </row>
    <row r="252" customFormat="false" ht="12" hidden="false" customHeight="false" outlineLevel="0" collapsed="false">
      <c r="B252" s="130"/>
      <c r="C252" s="130"/>
      <c r="D252" s="130"/>
      <c r="E252" s="130"/>
      <c r="F252" s="130"/>
      <c r="G252" s="130"/>
      <c r="H252" s="130"/>
      <c r="I252" s="130"/>
      <c r="J252" s="130"/>
      <c r="K252" s="130"/>
      <c r="L252" s="130"/>
      <c r="M252" s="130"/>
      <c r="N252" s="130"/>
      <c r="O252" s="130"/>
      <c r="P252" s="130"/>
      <c r="R252" s="197"/>
      <c r="S252" s="197"/>
      <c r="T252" s="197"/>
      <c r="U252" s="197"/>
      <c r="V252" s="197"/>
      <c r="W252" s="197"/>
      <c r="X252" s="197"/>
      <c r="Y252" s="197"/>
    </row>
    <row r="253" customFormat="false" ht="12" hidden="false" customHeight="false" outlineLevel="0" collapsed="false">
      <c r="B253" s="130"/>
      <c r="C253" s="130"/>
      <c r="D253" s="130"/>
      <c r="E253" s="130"/>
      <c r="F253" s="130"/>
      <c r="G253" s="130"/>
      <c r="H253" s="130"/>
      <c r="I253" s="130"/>
      <c r="J253" s="130"/>
      <c r="K253" s="130"/>
      <c r="L253" s="130"/>
      <c r="M253" s="130"/>
      <c r="N253" s="130"/>
      <c r="O253" s="130"/>
      <c r="P253" s="130"/>
      <c r="R253" s="197"/>
      <c r="S253" s="197"/>
      <c r="T253" s="197"/>
      <c r="U253" s="197"/>
      <c r="V253" s="197"/>
      <c r="W253" s="197"/>
      <c r="X253" s="197"/>
      <c r="Y253" s="197"/>
    </row>
    <row r="254" customFormat="false" ht="12" hidden="false" customHeight="false" outlineLevel="0" collapsed="false">
      <c r="B254" s="130"/>
      <c r="C254" s="130"/>
      <c r="D254" s="130"/>
      <c r="E254" s="130"/>
      <c r="F254" s="130"/>
      <c r="G254" s="130"/>
      <c r="H254" s="130"/>
      <c r="I254" s="130"/>
      <c r="J254" s="130"/>
      <c r="K254" s="130"/>
      <c r="L254" s="130"/>
      <c r="M254" s="130"/>
      <c r="N254" s="130"/>
      <c r="O254" s="130"/>
      <c r="P254" s="130"/>
      <c r="R254" s="197"/>
      <c r="S254" s="197"/>
      <c r="T254" s="197"/>
      <c r="U254" s="197"/>
      <c r="V254" s="197"/>
      <c r="W254" s="197"/>
      <c r="X254" s="197"/>
      <c r="Y254" s="197"/>
    </row>
    <row r="255" customFormat="false" ht="12" hidden="false" customHeight="false" outlineLevel="0" collapsed="false">
      <c r="B255" s="130"/>
      <c r="C255" s="130"/>
      <c r="D255" s="130"/>
      <c r="E255" s="130"/>
      <c r="F255" s="130"/>
      <c r="G255" s="130"/>
      <c r="H255" s="130"/>
      <c r="I255" s="130"/>
      <c r="J255" s="130"/>
      <c r="K255" s="130"/>
      <c r="L255" s="130"/>
      <c r="M255" s="130"/>
      <c r="N255" s="130"/>
      <c r="O255" s="130"/>
      <c r="P255" s="130"/>
      <c r="R255" s="197"/>
      <c r="S255" s="197"/>
      <c r="T255" s="197"/>
      <c r="U255" s="197"/>
      <c r="V255" s="197"/>
      <c r="W255" s="197"/>
      <c r="X255" s="197"/>
      <c r="Y255" s="197"/>
    </row>
    <row r="256" customFormat="false" ht="12" hidden="false" customHeight="false" outlineLevel="0" collapsed="false">
      <c r="B256" s="130"/>
      <c r="C256" s="130"/>
      <c r="D256" s="130"/>
      <c r="E256" s="130"/>
      <c r="F256" s="130"/>
      <c r="G256" s="130"/>
      <c r="H256" s="130"/>
      <c r="I256" s="130"/>
      <c r="J256" s="130"/>
      <c r="K256" s="130"/>
      <c r="L256" s="130"/>
      <c r="M256" s="130"/>
      <c r="N256" s="130"/>
      <c r="O256" s="130"/>
      <c r="P256" s="130"/>
      <c r="R256" s="197"/>
      <c r="S256" s="197"/>
      <c r="T256" s="197"/>
      <c r="U256" s="197"/>
      <c r="V256" s="197"/>
      <c r="W256" s="197"/>
      <c r="X256" s="197"/>
      <c r="Y256" s="197"/>
    </row>
    <row r="257" customFormat="false" ht="12" hidden="false" customHeight="false" outlineLevel="0" collapsed="false">
      <c r="B257" s="130"/>
      <c r="C257" s="130"/>
      <c r="D257" s="130"/>
      <c r="E257" s="130"/>
      <c r="F257" s="130"/>
      <c r="G257" s="130"/>
      <c r="H257" s="130"/>
      <c r="I257" s="130"/>
      <c r="J257" s="130"/>
      <c r="K257" s="130"/>
      <c r="L257" s="130"/>
      <c r="M257" s="130"/>
      <c r="N257" s="130"/>
      <c r="O257" s="130"/>
      <c r="P257" s="130"/>
      <c r="R257" s="197"/>
      <c r="S257" s="197"/>
      <c r="T257" s="197"/>
      <c r="U257" s="197"/>
      <c r="V257" s="197"/>
      <c r="W257" s="197"/>
      <c r="X257" s="197"/>
      <c r="Y257" s="197"/>
    </row>
    <row r="258" customFormat="false" ht="12" hidden="false" customHeight="false" outlineLevel="0" collapsed="false">
      <c r="B258" s="130"/>
      <c r="C258" s="130"/>
      <c r="D258" s="130"/>
      <c r="E258" s="130"/>
      <c r="F258" s="130"/>
      <c r="G258" s="130"/>
      <c r="H258" s="130"/>
      <c r="I258" s="130"/>
      <c r="J258" s="130"/>
      <c r="K258" s="130"/>
      <c r="L258" s="130"/>
      <c r="M258" s="130"/>
      <c r="N258" s="130"/>
      <c r="O258" s="130"/>
      <c r="P258" s="130"/>
      <c r="R258" s="197"/>
      <c r="S258" s="197"/>
      <c r="T258" s="197"/>
      <c r="U258" s="197"/>
      <c r="V258" s="197"/>
      <c r="W258" s="197"/>
      <c r="X258" s="197"/>
      <c r="Y258" s="197"/>
    </row>
    <row r="259" customFormat="false" ht="12" hidden="false" customHeight="false" outlineLevel="0" collapsed="false">
      <c r="B259" s="130"/>
      <c r="C259" s="130"/>
      <c r="D259" s="130"/>
      <c r="E259" s="130"/>
      <c r="F259" s="130"/>
      <c r="G259" s="130"/>
      <c r="H259" s="130"/>
      <c r="I259" s="130"/>
      <c r="J259" s="130"/>
      <c r="K259" s="130"/>
      <c r="L259" s="130"/>
      <c r="M259" s="130"/>
      <c r="N259" s="130"/>
      <c r="O259" s="130"/>
      <c r="P259" s="130"/>
      <c r="R259" s="197"/>
      <c r="S259" s="197"/>
      <c r="T259" s="197"/>
      <c r="U259" s="197"/>
      <c r="V259" s="197"/>
      <c r="W259" s="197"/>
      <c r="X259" s="197"/>
      <c r="Y259" s="197"/>
    </row>
    <row r="260" customFormat="false" ht="12" hidden="false" customHeight="false" outlineLevel="0" collapsed="false">
      <c r="B260" s="130"/>
      <c r="C260" s="130"/>
      <c r="D260" s="130"/>
      <c r="E260" s="130"/>
      <c r="F260" s="130"/>
      <c r="G260" s="130"/>
      <c r="H260" s="130"/>
      <c r="I260" s="130"/>
      <c r="J260" s="130"/>
      <c r="K260" s="130"/>
      <c r="L260" s="130"/>
      <c r="M260" s="130"/>
      <c r="N260" s="130"/>
      <c r="O260" s="130"/>
      <c r="P260" s="130"/>
      <c r="R260" s="197"/>
      <c r="S260" s="197"/>
      <c r="T260" s="197"/>
      <c r="U260" s="197"/>
      <c r="V260" s="197"/>
      <c r="W260" s="197"/>
      <c r="X260" s="197"/>
      <c r="Y260" s="197"/>
    </row>
    <row r="261" customFormat="false" ht="12" hidden="false" customHeight="false" outlineLevel="0" collapsed="false">
      <c r="B261" s="130"/>
      <c r="C261" s="130"/>
      <c r="D261" s="130"/>
      <c r="E261" s="130"/>
      <c r="F261" s="130"/>
      <c r="G261" s="130"/>
      <c r="H261" s="130"/>
      <c r="I261" s="130"/>
      <c r="J261" s="130"/>
      <c r="K261" s="130"/>
      <c r="L261" s="130"/>
      <c r="M261" s="130"/>
      <c r="N261" s="130"/>
      <c r="O261" s="130"/>
      <c r="P261" s="130"/>
      <c r="R261" s="197"/>
      <c r="S261" s="197"/>
      <c r="T261" s="197"/>
      <c r="U261" s="197"/>
      <c r="V261" s="197"/>
      <c r="W261" s="197"/>
      <c r="X261" s="197"/>
      <c r="Y261" s="197"/>
    </row>
    <row r="262" customFormat="false" ht="12" hidden="false" customHeight="false" outlineLevel="0" collapsed="false">
      <c r="B262" s="130"/>
      <c r="C262" s="130"/>
      <c r="D262" s="130"/>
      <c r="E262" s="130"/>
      <c r="F262" s="130"/>
      <c r="G262" s="130"/>
      <c r="H262" s="130"/>
      <c r="I262" s="130"/>
      <c r="J262" s="130"/>
      <c r="K262" s="130"/>
      <c r="L262" s="130"/>
      <c r="M262" s="130"/>
      <c r="N262" s="130"/>
      <c r="O262" s="130"/>
      <c r="P262" s="130"/>
      <c r="R262" s="197"/>
      <c r="S262" s="197"/>
      <c r="T262" s="197"/>
      <c r="U262" s="197"/>
      <c r="V262" s="197"/>
      <c r="W262" s="197"/>
      <c r="X262" s="197"/>
      <c r="Y262" s="197"/>
    </row>
    <row r="263" customFormat="false" ht="12" hidden="false" customHeight="false" outlineLevel="0" collapsed="false">
      <c r="B263" s="130"/>
      <c r="C263" s="130"/>
      <c r="D263" s="130"/>
      <c r="E263" s="130"/>
      <c r="F263" s="130"/>
      <c r="G263" s="130"/>
      <c r="H263" s="130"/>
      <c r="I263" s="130"/>
      <c r="J263" s="130"/>
      <c r="K263" s="130"/>
      <c r="L263" s="130"/>
      <c r="M263" s="130"/>
      <c r="N263" s="130"/>
      <c r="O263" s="130"/>
      <c r="P263" s="130"/>
      <c r="R263" s="197"/>
      <c r="S263" s="197"/>
      <c r="T263" s="197"/>
      <c r="U263" s="197"/>
      <c r="V263" s="197"/>
      <c r="W263" s="197"/>
      <c r="X263" s="197"/>
      <c r="Y263" s="197"/>
    </row>
    <row r="264" customFormat="false" ht="12" hidden="false" customHeight="false" outlineLevel="0" collapsed="false">
      <c r="B264" s="130"/>
      <c r="C264" s="130"/>
      <c r="D264" s="130"/>
      <c r="E264" s="130"/>
      <c r="F264" s="130"/>
      <c r="G264" s="130"/>
      <c r="H264" s="130"/>
      <c r="I264" s="130"/>
      <c r="J264" s="130"/>
      <c r="K264" s="130"/>
      <c r="L264" s="130"/>
      <c r="M264" s="130"/>
      <c r="N264" s="130"/>
      <c r="O264" s="130"/>
      <c r="P264" s="130"/>
      <c r="R264" s="197"/>
      <c r="S264" s="197"/>
      <c r="T264" s="197"/>
      <c r="U264" s="197"/>
      <c r="V264" s="197"/>
      <c r="W264" s="197"/>
      <c r="X264" s="197"/>
      <c r="Y264" s="197"/>
    </row>
    <row r="265" customFormat="false" ht="12" hidden="false" customHeight="false" outlineLevel="0" collapsed="false">
      <c r="B265" s="130"/>
      <c r="C265" s="130"/>
      <c r="D265" s="130"/>
      <c r="E265" s="130"/>
      <c r="F265" s="130"/>
      <c r="G265" s="130"/>
      <c r="H265" s="130"/>
      <c r="I265" s="130"/>
      <c r="J265" s="130"/>
      <c r="K265" s="130"/>
      <c r="L265" s="130"/>
      <c r="M265" s="130"/>
      <c r="N265" s="130"/>
      <c r="O265" s="130"/>
      <c r="P265" s="130"/>
      <c r="R265" s="197"/>
      <c r="S265" s="197"/>
      <c r="T265" s="197"/>
      <c r="U265" s="197"/>
      <c r="V265" s="197"/>
      <c r="W265" s="197"/>
      <c r="X265" s="197"/>
      <c r="Y265" s="197"/>
    </row>
    <row r="266" customFormat="false" ht="12" hidden="false" customHeight="false" outlineLevel="0" collapsed="false">
      <c r="B266" s="130"/>
      <c r="C266" s="130"/>
      <c r="D266" s="130"/>
      <c r="E266" s="130"/>
      <c r="F266" s="130"/>
      <c r="G266" s="130"/>
      <c r="H266" s="130"/>
      <c r="I266" s="130"/>
      <c r="J266" s="130"/>
      <c r="K266" s="130"/>
      <c r="L266" s="130"/>
      <c r="M266" s="130"/>
      <c r="N266" s="130"/>
      <c r="O266" s="130"/>
      <c r="P266" s="130"/>
      <c r="R266" s="197"/>
      <c r="S266" s="197"/>
      <c r="T266" s="197"/>
      <c r="U266" s="197"/>
      <c r="V266" s="197"/>
      <c r="W266" s="197"/>
      <c r="X266" s="197"/>
      <c r="Y266" s="197"/>
    </row>
    <row r="267" customFormat="false" ht="12" hidden="false" customHeight="false" outlineLevel="0" collapsed="false">
      <c r="B267" s="130"/>
      <c r="C267" s="130"/>
      <c r="D267" s="130"/>
      <c r="E267" s="130"/>
      <c r="F267" s="130"/>
      <c r="G267" s="130"/>
      <c r="H267" s="130"/>
      <c r="I267" s="130"/>
      <c r="J267" s="130"/>
      <c r="K267" s="130"/>
      <c r="L267" s="130"/>
      <c r="M267" s="130"/>
      <c r="N267" s="130"/>
      <c r="O267" s="130"/>
      <c r="P267" s="130"/>
      <c r="R267" s="197"/>
      <c r="S267" s="197"/>
      <c r="T267" s="197"/>
      <c r="U267" s="197"/>
      <c r="V267" s="197"/>
      <c r="W267" s="197"/>
      <c r="X267" s="197"/>
      <c r="Y267" s="197"/>
      <c r="Z267" s="197"/>
      <c r="AA267" s="197"/>
      <c r="AB267" s="197"/>
      <c r="AC267" s="197"/>
    </row>
    <row r="268" customFormat="false" ht="12" hidden="false" customHeight="false" outlineLevel="0" collapsed="false">
      <c r="B268" s="130"/>
      <c r="C268" s="130"/>
      <c r="D268" s="130"/>
      <c r="E268" s="130"/>
      <c r="F268" s="130"/>
      <c r="G268" s="130"/>
      <c r="H268" s="130"/>
      <c r="I268" s="130"/>
      <c r="J268" s="130"/>
      <c r="K268" s="130"/>
      <c r="L268" s="130"/>
      <c r="M268" s="130"/>
      <c r="N268" s="130"/>
      <c r="O268" s="130"/>
      <c r="P268" s="130"/>
      <c r="R268" s="197"/>
      <c r="S268" s="197"/>
      <c r="T268" s="197"/>
      <c r="U268" s="197"/>
      <c r="V268" s="197"/>
      <c r="W268" s="197"/>
      <c r="X268" s="197"/>
      <c r="Y268" s="197"/>
      <c r="Z268" s="197"/>
      <c r="AA268" s="197"/>
      <c r="AB268" s="197"/>
      <c r="AC268" s="197"/>
    </row>
    <row r="269" customFormat="false" ht="12" hidden="false" customHeight="false" outlineLevel="0" collapsed="false">
      <c r="B269" s="130"/>
      <c r="C269" s="130"/>
      <c r="D269" s="130"/>
      <c r="E269" s="130"/>
      <c r="F269" s="130"/>
      <c r="G269" s="130"/>
      <c r="H269" s="130"/>
      <c r="I269" s="130"/>
      <c r="J269" s="130"/>
      <c r="K269" s="130"/>
      <c r="L269" s="130"/>
      <c r="M269" s="130"/>
      <c r="N269" s="130"/>
      <c r="O269" s="130"/>
      <c r="P269" s="130"/>
      <c r="R269" s="197"/>
      <c r="S269" s="197"/>
      <c r="T269" s="197"/>
      <c r="U269" s="197"/>
      <c r="V269" s="197"/>
      <c r="W269" s="197"/>
      <c r="X269" s="197"/>
      <c r="Y269" s="197"/>
      <c r="Z269" s="197"/>
      <c r="AA269" s="197"/>
      <c r="AB269" s="197"/>
      <c r="AC269" s="197"/>
    </row>
    <row r="270" customFormat="false" ht="12" hidden="false" customHeight="false" outlineLevel="0" collapsed="false">
      <c r="B270" s="130"/>
      <c r="C270" s="130"/>
      <c r="D270" s="130"/>
      <c r="E270" s="130"/>
      <c r="F270" s="130"/>
      <c r="G270" s="130"/>
      <c r="H270" s="130"/>
      <c r="I270" s="130"/>
      <c r="J270" s="130"/>
      <c r="K270" s="130"/>
      <c r="L270" s="130"/>
      <c r="M270" s="130"/>
      <c r="N270" s="130"/>
      <c r="O270" s="130"/>
      <c r="P270" s="130"/>
      <c r="R270" s="197"/>
      <c r="S270" s="197"/>
      <c r="T270" s="197"/>
      <c r="U270" s="197"/>
      <c r="V270" s="197"/>
      <c r="W270" s="197"/>
      <c r="X270" s="197"/>
      <c r="Y270" s="197"/>
      <c r="Z270" s="197"/>
      <c r="AA270" s="197"/>
      <c r="AB270" s="197"/>
      <c r="AC270" s="197"/>
    </row>
    <row r="271" customFormat="false" ht="12" hidden="false" customHeight="false" outlineLevel="0" collapsed="false">
      <c r="B271" s="130"/>
      <c r="C271" s="130"/>
      <c r="D271" s="130"/>
      <c r="E271" s="130"/>
      <c r="F271" s="130"/>
      <c r="G271" s="130"/>
      <c r="H271" s="130"/>
      <c r="I271" s="130"/>
      <c r="J271" s="130"/>
      <c r="K271" s="130"/>
      <c r="L271" s="130"/>
      <c r="M271" s="130"/>
      <c r="N271" s="130"/>
      <c r="O271" s="130"/>
      <c r="P271" s="130"/>
      <c r="R271" s="197"/>
      <c r="S271" s="197"/>
      <c r="T271" s="197"/>
      <c r="U271" s="197"/>
      <c r="V271" s="197"/>
      <c r="W271" s="197"/>
      <c r="X271" s="197"/>
      <c r="Y271" s="197"/>
      <c r="Z271" s="197"/>
      <c r="AA271" s="197"/>
      <c r="AB271" s="197"/>
      <c r="AC271" s="197"/>
    </row>
    <row r="272" customFormat="false" ht="12" hidden="false" customHeight="false" outlineLevel="0" collapsed="false">
      <c r="B272" s="130"/>
      <c r="C272" s="130"/>
      <c r="D272" s="130"/>
      <c r="E272" s="130"/>
      <c r="F272" s="130"/>
      <c r="G272" s="130"/>
      <c r="H272" s="130"/>
      <c r="I272" s="130"/>
      <c r="J272" s="130"/>
      <c r="K272" s="130"/>
      <c r="L272" s="130"/>
      <c r="M272" s="130"/>
      <c r="N272" s="130"/>
      <c r="O272" s="130"/>
      <c r="P272" s="130"/>
      <c r="R272" s="197"/>
      <c r="S272" s="197"/>
      <c r="T272" s="197"/>
      <c r="U272" s="197"/>
      <c r="V272" s="197"/>
      <c r="W272" s="197"/>
      <c r="X272" s="197"/>
      <c r="Y272" s="197"/>
      <c r="Z272" s="197"/>
      <c r="AA272" s="197"/>
      <c r="AB272" s="197"/>
      <c r="AC272" s="197"/>
    </row>
    <row r="273" customFormat="false" ht="12" hidden="false" customHeight="false" outlineLevel="0" collapsed="false">
      <c r="B273" s="130"/>
      <c r="C273" s="130"/>
      <c r="D273" s="130"/>
      <c r="E273" s="130"/>
      <c r="F273" s="130"/>
      <c r="G273" s="130"/>
      <c r="H273" s="130"/>
      <c r="I273" s="130"/>
      <c r="J273" s="130"/>
      <c r="K273" s="130"/>
      <c r="L273" s="130"/>
      <c r="M273" s="130"/>
      <c r="N273" s="130"/>
      <c r="O273" s="130"/>
      <c r="P273" s="130"/>
      <c r="R273" s="197"/>
      <c r="S273" s="197"/>
      <c r="T273" s="197"/>
      <c r="U273" s="197"/>
      <c r="V273" s="197"/>
      <c r="W273" s="197"/>
      <c r="X273" s="197"/>
      <c r="Y273" s="197"/>
      <c r="Z273" s="197"/>
      <c r="AA273" s="197"/>
      <c r="AB273" s="197"/>
      <c r="AC273" s="197"/>
    </row>
    <row r="274" customFormat="false" ht="12" hidden="false" customHeight="false" outlineLevel="0" collapsed="false">
      <c r="B274" s="130"/>
      <c r="C274" s="130"/>
      <c r="D274" s="130"/>
      <c r="E274" s="130"/>
      <c r="F274" s="130"/>
      <c r="G274" s="130"/>
      <c r="H274" s="130"/>
      <c r="I274" s="130"/>
      <c r="J274" s="130"/>
      <c r="K274" s="130"/>
      <c r="L274" s="130"/>
      <c r="M274" s="130"/>
      <c r="N274" s="130"/>
      <c r="O274" s="130"/>
      <c r="P274" s="130"/>
      <c r="R274" s="197"/>
      <c r="S274" s="197"/>
      <c r="T274" s="197"/>
      <c r="U274" s="197"/>
      <c r="V274" s="197"/>
      <c r="W274" s="197"/>
      <c r="X274" s="197"/>
      <c r="Y274" s="197"/>
      <c r="Z274" s="197"/>
      <c r="AA274" s="197"/>
      <c r="AB274" s="197"/>
      <c r="AC274" s="197"/>
    </row>
    <row r="275" customFormat="false" ht="12" hidden="false" customHeight="false" outlineLevel="0" collapsed="false">
      <c r="B275" s="130"/>
      <c r="C275" s="130"/>
      <c r="D275" s="130"/>
      <c r="E275" s="130"/>
      <c r="F275" s="130"/>
      <c r="G275" s="130"/>
      <c r="H275" s="130"/>
      <c r="I275" s="130"/>
      <c r="J275" s="130"/>
      <c r="K275" s="130"/>
      <c r="L275" s="130"/>
      <c r="M275" s="130"/>
      <c r="N275" s="130"/>
      <c r="O275" s="130"/>
      <c r="P275" s="130"/>
      <c r="R275" s="197"/>
      <c r="S275" s="197"/>
      <c r="T275" s="197"/>
      <c r="U275" s="197"/>
      <c r="V275" s="197"/>
      <c r="W275" s="197"/>
      <c r="X275" s="197"/>
      <c r="Y275" s="197"/>
      <c r="Z275" s="197"/>
      <c r="AA275" s="197"/>
      <c r="AB275" s="197"/>
      <c r="AC275" s="197"/>
    </row>
    <row r="276" customFormat="false" ht="12" hidden="false" customHeight="false" outlineLevel="0" collapsed="false">
      <c r="B276" s="130"/>
      <c r="C276" s="130"/>
      <c r="D276" s="130"/>
      <c r="E276" s="130"/>
      <c r="F276" s="130"/>
      <c r="G276" s="130"/>
      <c r="H276" s="130"/>
      <c r="I276" s="130"/>
      <c r="J276" s="130"/>
      <c r="K276" s="130"/>
      <c r="L276" s="130"/>
      <c r="M276" s="130"/>
      <c r="N276" s="130"/>
      <c r="O276" s="130"/>
      <c r="P276" s="130"/>
      <c r="R276" s="197"/>
      <c r="S276" s="197"/>
      <c r="T276" s="197"/>
      <c r="U276" s="197"/>
      <c r="V276" s="197"/>
      <c r="W276" s="197"/>
      <c r="X276" s="197"/>
      <c r="Y276" s="197"/>
      <c r="Z276" s="197"/>
      <c r="AA276" s="197"/>
      <c r="AB276" s="197"/>
      <c r="AC276" s="197"/>
    </row>
    <row r="277" customFormat="false" ht="12" hidden="false" customHeight="false" outlineLevel="0" collapsed="false">
      <c r="B277" s="130"/>
      <c r="C277" s="130"/>
      <c r="D277" s="130"/>
      <c r="E277" s="130"/>
      <c r="F277" s="130"/>
      <c r="G277" s="130"/>
      <c r="H277" s="130"/>
      <c r="I277" s="130"/>
      <c r="J277" s="130"/>
      <c r="K277" s="130"/>
      <c r="L277" s="130"/>
      <c r="M277" s="130"/>
      <c r="N277" s="130"/>
      <c r="O277" s="130"/>
      <c r="P277" s="130"/>
      <c r="R277" s="197"/>
      <c r="S277" s="197"/>
      <c r="T277" s="197"/>
      <c r="U277" s="197"/>
      <c r="V277" s="197"/>
      <c r="W277" s="197"/>
      <c r="X277" s="197"/>
      <c r="Y277" s="197"/>
      <c r="Z277" s="197"/>
      <c r="AA277" s="197"/>
      <c r="AB277" s="197"/>
      <c r="AC277" s="197"/>
    </row>
    <row r="278" customFormat="false" ht="12" hidden="false" customHeight="false" outlineLevel="0" collapsed="false">
      <c r="B278" s="130"/>
      <c r="C278" s="130"/>
      <c r="D278" s="130"/>
      <c r="E278" s="130"/>
      <c r="F278" s="130"/>
      <c r="G278" s="130"/>
      <c r="H278" s="130"/>
      <c r="I278" s="130"/>
      <c r="J278" s="130"/>
      <c r="K278" s="130"/>
      <c r="L278" s="130"/>
      <c r="M278" s="130"/>
      <c r="N278" s="130"/>
      <c r="O278" s="130"/>
      <c r="P278" s="130"/>
      <c r="R278" s="197"/>
      <c r="S278" s="197"/>
      <c r="T278" s="197"/>
      <c r="U278" s="197"/>
      <c r="V278" s="197"/>
      <c r="W278" s="197"/>
      <c r="X278" s="197"/>
      <c r="Y278" s="197"/>
      <c r="Z278" s="197"/>
      <c r="AA278" s="197"/>
      <c r="AB278" s="197"/>
      <c r="AC278" s="197"/>
    </row>
    <row r="279" customFormat="false" ht="12" hidden="false" customHeight="false" outlineLevel="0" collapsed="false">
      <c r="B279" s="130"/>
      <c r="C279" s="130"/>
      <c r="D279" s="130"/>
      <c r="E279" s="130"/>
      <c r="F279" s="130"/>
      <c r="G279" s="130"/>
      <c r="H279" s="130"/>
      <c r="I279" s="130"/>
      <c r="J279" s="130"/>
      <c r="K279" s="130"/>
      <c r="L279" s="130"/>
      <c r="M279" s="130"/>
      <c r="N279" s="130"/>
      <c r="O279" s="130"/>
      <c r="P279" s="130"/>
      <c r="R279" s="197"/>
      <c r="S279" s="197"/>
      <c r="T279" s="197"/>
      <c r="U279" s="197"/>
      <c r="V279" s="197"/>
      <c r="W279" s="197"/>
      <c r="X279" s="197"/>
      <c r="Y279" s="197"/>
      <c r="Z279" s="197"/>
      <c r="AA279" s="197"/>
      <c r="AB279" s="197"/>
      <c r="AC279" s="197"/>
    </row>
    <row r="280" customFormat="false" ht="12" hidden="false" customHeight="false" outlineLevel="0" collapsed="false">
      <c r="B280" s="130"/>
      <c r="C280" s="130"/>
      <c r="D280" s="130"/>
      <c r="E280" s="130"/>
      <c r="F280" s="130"/>
      <c r="G280" s="130"/>
      <c r="H280" s="130"/>
      <c r="I280" s="130"/>
      <c r="J280" s="130"/>
      <c r="K280" s="130"/>
      <c r="L280" s="130"/>
      <c r="M280" s="130"/>
      <c r="N280" s="130"/>
      <c r="O280" s="130"/>
      <c r="P280" s="130"/>
      <c r="R280" s="197"/>
      <c r="S280" s="197"/>
      <c r="T280" s="197"/>
      <c r="U280" s="197"/>
      <c r="V280" s="197"/>
      <c r="W280" s="197"/>
      <c r="X280" s="197"/>
      <c r="Y280" s="197"/>
      <c r="Z280" s="197"/>
      <c r="AA280" s="197"/>
      <c r="AB280" s="197"/>
      <c r="AC280" s="197"/>
    </row>
    <row r="281" customFormat="false" ht="12" hidden="false" customHeight="false" outlineLevel="0" collapsed="false">
      <c r="B281" s="130"/>
      <c r="C281" s="130"/>
      <c r="D281" s="130"/>
      <c r="E281" s="130"/>
      <c r="F281" s="130"/>
      <c r="G281" s="130"/>
      <c r="H281" s="130"/>
      <c r="I281" s="130"/>
      <c r="J281" s="130"/>
      <c r="K281" s="130"/>
      <c r="L281" s="130"/>
      <c r="M281" s="130"/>
      <c r="N281" s="130"/>
      <c r="O281" s="130"/>
      <c r="P281" s="130"/>
      <c r="R281" s="197"/>
      <c r="S281" s="197"/>
      <c r="T281" s="197"/>
      <c r="U281" s="197"/>
      <c r="V281" s="197"/>
      <c r="W281" s="197"/>
      <c r="X281" s="197"/>
      <c r="Y281" s="197"/>
      <c r="Z281" s="197"/>
      <c r="AA281" s="197"/>
      <c r="AB281" s="197"/>
      <c r="AC281" s="197"/>
    </row>
    <row r="282" customFormat="false" ht="12" hidden="false" customHeight="false" outlineLevel="0" collapsed="false">
      <c r="B282" s="130"/>
      <c r="C282" s="130"/>
      <c r="D282" s="130"/>
      <c r="E282" s="130"/>
      <c r="F282" s="130"/>
      <c r="G282" s="130"/>
      <c r="H282" s="130"/>
      <c r="I282" s="130"/>
      <c r="J282" s="130"/>
      <c r="K282" s="130"/>
      <c r="L282" s="130"/>
      <c r="M282" s="130"/>
      <c r="N282" s="130"/>
      <c r="O282" s="130"/>
      <c r="P282" s="130"/>
      <c r="R282" s="197"/>
      <c r="S282" s="197"/>
      <c r="T282" s="197"/>
      <c r="U282" s="197"/>
      <c r="V282" s="197"/>
      <c r="W282" s="197"/>
      <c r="X282" s="197"/>
      <c r="Y282" s="197"/>
      <c r="Z282" s="197"/>
      <c r="AA282" s="197"/>
      <c r="AB282" s="197"/>
      <c r="AC282" s="197"/>
    </row>
    <row r="283" customFormat="false" ht="12" hidden="false" customHeight="false" outlineLevel="0" collapsed="false">
      <c r="B283" s="130"/>
      <c r="C283" s="130"/>
      <c r="D283" s="130"/>
      <c r="E283" s="130"/>
      <c r="F283" s="130"/>
      <c r="G283" s="130"/>
      <c r="H283" s="130"/>
      <c r="I283" s="130"/>
      <c r="J283" s="130"/>
      <c r="K283" s="130"/>
      <c r="L283" s="130"/>
      <c r="M283" s="130"/>
      <c r="N283" s="130"/>
      <c r="O283" s="130"/>
      <c r="P283" s="130"/>
      <c r="R283" s="197"/>
      <c r="S283" s="197"/>
      <c r="T283" s="197"/>
      <c r="U283" s="197"/>
      <c r="V283" s="197"/>
      <c r="W283" s="197"/>
      <c r="X283" s="197"/>
      <c r="Y283" s="197"/>
      <c r="Z283" s="197"/>
      <c r="AA283" s="197"/>
      <c r="AB283" s="197"/>
      <c r="AC283" s="197"/>
    </row>
    <row r="284" customFormat="false" ht="12" hidden="false" customHeight="false" outlineLevel="0" collapsed="false">
      <c r="B284" s="130"/>
      <c r="C284" s="130"/>
      <c r="D284" s="130"/>
      <c r="E284" s="130"/>
      <c r="F284" s="130"/>
      <c r="G284" s="130"/>
      <c r="H284" s="130"/>
      <c r="I284" s="130"/>
      <c r="J284" s="130"/>
      <c r="K284" s="130"/>
      <c r="L284" s="130"/>
      <c r="M284" s="130"/>
      <c r="N284" s="130"/>
      <c r="O284" s="130"/>
      <c r="P284" s="130"/>
      <c r="R284" s="197"/>
      <c r="S284" s="197"/>
      <c r="T284" s="197"/>
      <c r="U284" s="197"/>
      <c r="V284" s="197"/>
      <c r="W284" s="197"/>
      <c r="X284" s="197"/>
      <c r="Y284" s="197"/>
      <c r="Z284" s="197"/>
      <c r="AA284" s="197"/>
      <c r="AB284" s="197"/>
      <c r="AC284" s="197"/>
    </row>
    <row r="285" customFormat="false" ht="12" hidden="false" customHeight="false" outlineLevel="0" collapsed="false">
      <c r="B285" s="130"/>
      <c r="C285" s="130"/>
      <c r="D285" s="130"/>
      <c r="E285" s="130"/>
      <c r="F285" s="130"/>
      <c r="G285" s="130"/>
      <c r="H285" s="130"/>
      <c r="I285" s="130"/>
      <c r="J285" s="130"/>
      <c r="K285" s="130"/>
      <c r="L285" s="130"/>
      <c r="M285" s="130"/>
      <c r="N285" s="130"/>
      <c r="O285" s="130"/>
      <c r="P285" s="130"/>
      <c r="R285" s="197"/>
      <c r="S285" s="197"/>
      <c r="T285" s="197"/>
      <c r="U285" s="197"/>
      <c r="V285" s="197"/>
      <c r="W285" s="197"/>
      <c r="X285" s="197"/>
      <c r="Y285" s="197"/>
      <c r="Z285" s="197"/>
      <c r="AA285" s="197"/>
      <c r="AB285" s="197"/>
      <c r="AC285" s="197"/>
    </row>
    <row r="286" customFormat="false" ht="12" hidden="false" customHeight="false" outlineLevel="0" collapsed="false">
      <c r="B286" s="130"/>
      <c r="C286" s="130"/>
      <c r="D286" s="130"/>
      <c r="E286" s="130"/>
      <c r="F286" s="130"/>
      <c r="G286" s="130"/>
      <c r="H286" s="130"/>
      <c r="I286" s="130"/>
      <c r="J286" s="130"/>
      <c r="K286" s="130"/>
      <c r="L286" s="130"/>
      <c r="M286" s="130"/>
      <c r="N286" s="130"/>
      <c r="O286" s="130"/>
      <c r="P286" s="130"/>
      <c r="R286" s="197"/>
      <c r="S286" s="197"/>
      <c r="T286" s="197"/>
      <c r="U286" s="197"/>
      <c r="V286" s="197"/>
      <c r="W286" s="197"/>
      <c r="X286" s="197"/>
      <c r="Y286" s="197"/>
      <c r="Z286" s="197"/>
      <c r="AA286" s="197"/>
      <c r="AB286" s="197"/>
      <c r="AC286" s="197"/>
    </row>
    <row r="287" customFormat="false" ht="12" hidden="false" customHeight="false" outlineLevel="0" collapsed="false">
      <c r="B287" s="130"/>
      <c r="C287" s="130"/>
      <c r="D287" s="130"/>
      <c r="E287" s="130"/>
      <c r="F287" s="130"/>
      <c r="G287" s="130"/>
      <c r="H287" s="130"/>
      <c r="I287" s="130"/>
      <c r="J287" s="130"/>
      <c r="K287" s="130"/>
      <c r="L287" s="130"/>
      <c r="M287" s="130"/>
      <c r="N287" s="130"/>
      <c r="O287" s="130"/>
      <c r="P287" s="130"/>
      <c r="R287" s="197"/>
      <c r="S287" s="197"/>
      <c r="T287" s="197"/>
      <c r="U287" s="197"/>
      <c r="V287" s="197"/>
      <c r="W287" s="197"/>
      <c r="X287" s="197"/>
      <c r="Y287" s="197"/>
      <c r="Z287" s="197"/>
      <c r="AA287" s="197"/>
      <c r="AB287" s="197"/>
      <c r="AC287" s="197"/>
    </row>
    <row r="288" customFormat="false" ht="12" hidden="false" customHeight="false" outlineLevel="0" collapsed="false">
      <c r="B288" s="130"/>
      <c r="C288" s="130"/>
      <c r="D288" s="130"/>
      <c r="E288" s="130"/>
      <c r="F288" s="130"/>
      <c r="G288" s="130"/>
      <c r="H288" s="130"/>
      <c r="I288" s="130"/>
      <c r="J288" s="130"/>
      <c r="K288" s="130"/>
      <c r="L288" s="130"/>
      <c r="M288" s="130"/>
      <c r="N288" s="130"/>
      <c r="O288" s="130"/>
      <c r="P288" s="130"/>
      <c r="R288" s="197"/>
      <c r="S288" s="197"/>
      <c r="T288" s="197"/>
      <c r="U288" s="197"/>
      <c r="V288" s="197"/>
      <c r="W288" s="197"/>
      <c r="X288" s="197"/>
      <c r="Y288" s="197"/>
      <c r="Z288" s="197"/>
      <c r="AA288" s="197"/>
      <c r="AB288" s="197"/>
      <c r="AC288" s="197"/>
    </row>
    <row r="289" customFormat="false" ht="12" hidden="false" customHeight="false" outlineLevel="0" collapsed="false">
      <c r="B289" s="130"/>
      <c r="C289" s="130"/>
      <c r="D289" s="130"/>
      <c r="E289" s="130"/>
      <c r="F289" s="130"/>
      <c r="G289" s="130"/>
      <c r="H289" s="130"/>
      <c r="I289" s="130"/>
      <c r="J289" s="130"/>
      <c r="K289" s="130"/>
      <c r="L289" s="130"/>
      <c r="M289" s="130"/>
      <c r="N289" s="130"/>
      <c r="O289" s="130"/>
      <c r="P289" s="130"/>
      <c r="R289" s="197"/>
      <c r="S289" s="197"/>
      <c r="T289" s="197"/>
      <c r="U289" s="197"/>
      <c r="V289" s="197"/>
      <c r="W289" s="197"/>
      <c r="X289" s="197"/>
      <c r="Y289" s="197"/>
      <c r="Z289" s="197"/>
      <c r="AA289" s="197"/>
      <c r="AB289" s="197"/>
      <c r="AC289" s="197"/>
    </row>
    <row r="290" customFormat="false" ht="12" hidden="false" customHeight="false" outlineLevel="0" collapsed="false">
      <c r="B290" s="130"/>
      <c r="C290" s="130"/>
      <c r="D290" s="130"/>
      <c r="E290" s="130"/>
      <c r="F290" s="130"/>
      <c r="G290" s="130"/>
      <c r="H290" s="130"/>
      <c r="I290" s="130"/>
      <c r="J290" s="130"/>
      <c r="K290" s="130"/>
      <c r="L290" s="130"/>
      <c r="M290" s="130"/>
      <c r="N290" s="130"/>
      <c r="O290" s="130"/>
      <c r="P290" s="130"/>
      <c r="R290" s="197"/>
      <c r="S290" s="197"/>
      <c r="T290" s="197"/>
      <c r="U290" s="197"/>
      <c r="V290" s="197"/>
      <c r="W290" s="197"/>
      <c r="X290" s="197"/>
      <c r="Y290" s="197"/>
      <c r="Z290" s="197"/>
      <c r="AA290" s="197"/>
      <c r="AB290" s="197"/>
      <c r="AC290" s="197"/>
    </row>
    <row r="291" customFormat="false" ht="12" hidden="false" customHeight="false" outlineLevel="0" collapsed="false">
      <c r="B291" s="130"/>
      <c r="C291" s="130"/>
      <c r="D291" s="130"/>
      <c r="E291" s="130"/>
      <c r="F291" s="130"/>
      <c r="G291" s="130"/>
      <c r="H291" s="130"/>
      <c r="I291" s="130"/>
      <c r="J291" s="130"/>
      <c r="K291" s="130"/>
      <c r="L291" s="130"/>
      <c r="M291" s="130"/>
      <c r="N291" s="130"/>
      <c r="O291" s="130"/>
      <c r="P291" s="130"/>
      <c r="R291" s="197"/>
      <c r="S291" s="197"/>
      <c r="T291" s="197"/>
      <c r="U291" s="197"/>
      <c r="V291" s="197"/>
      <c r="W291" s="197"/>
      <c r="X291" s="197"/>
      <c r="Y291" s="197"/>
      <c r="Z291" s="197"/>
      <c r="AA291" s="197"/>
      <c r="AB291" s="197"/>
      <c r="AC291" s="197"/>
    </row>
    <row r="292" customFormat="false" ht="12" hidden="false" customHeight="false" outlineLevel="0" collapsed="false">
      <c r="B292" s="130"/>
      <c r="C292" s="130"/>
      <c r="D292" s="130"/>
      <c r="E292" s="130"/>
      <c r="F292" s="130"/>
      <c r="G292" s="130"/>
      <c r="H292" s="130"/>
      <c r="I292" s="130"/>
      <c r="J292" s="130"/>
      <c r="K292" s="130"/>
      <c r="L292" s="130"/>
      <c r="M292" s="130"/>
      <c r="N292" s="130"/>
      <c r="O292" s="130"/>
      <c r="P292" s="130"/>
      <c r="R292" s="197"/>
      <c r="S292" s="197"/>
      <c r="T292" s="197"/>
      <c r="U292" s="197"/>
      <c r="V292" s="197"/>
      <c r="W292" s="197"/>
      <c r="X292" s="197"/>
      <c r="Y292" s="197"/>
      <c r="Z292" s="197"/>
      <c r="AA292" s="197"/>
      <c r="AB292" s="197"/>
      <c r="AC292" s="197"/>
    </row>
    <row r="293" customFormat="false" ht="12" hidden="false" customHeight="false" outlineLevel="0" collapsed="false">
      <c r="B293" s="130"/>
      <c r="C293" s="130"/>
      <c r="D293" s="130"/>
      <c r="E293" s="130"/>
      <c r="F293" s="130"/>
      <c r="G293" s="130"/>
      <c r="H293" s="130"/>
      <c r="I293" s="130"/>
      <c r="J293" s="130"/>
      <c r="K293" s="130"/>
      <c r="L293" s="130"/>
      <c r="M293" s="130"/>
      <c r="N293" s="130"/>
      <c r="O293" s="130"/>
      <c r="P293" s="130"/>
      <c r="R293" s="197"/>
      <c r="S293" s="197"/>
      <c r="T293" s="197"/>
      <c r="U293" s="197"/>
      <c r="V293" s="197"/>
      <c r="W293" s="197"/>
      <c r="X293" s="197"/>
      <c r="Y293" s="197"/>
      <c r="Z293" s="197"/>
      <c r="AA293" s="197"/>
      <c r="AB293" s="197"/>
      <c r="AC293" s="197"/>
    </row>
    <row r="294" customFormat="false" ht="12" hidden="false" customHeight="false" outlineLevel="0" collapsed="false">
      <c r="B294" s="130"/>
      <c r="C294" s="130"/>
      <c r="D294" s="130"/>
      <c r="E294" s="130"/>
      <c r="F294" s="130"/>
      <c r="G294" s="130"/>
      <c r="H294" s="130"/>
      <c r="I294" s="130"/>
      <c r="J294" s="130"/>
      <c r="K294" s="130"/>
      <c r="L294" s="130"/>
      <c r="M294" s="130"/>
      <c r="N294" s="130"/>
      <c r="O294" s="130"/>
      <c r="P294" s="130"/>
      <c r="R294" s="197"/>
      <c r="S294" s="197"/>
      <c r="T294" s="197"/>
      <c r="U294" s="197"/>
      <c r="V294" s="197"/>
      <c r="W294" s="197"/>
      <c r="X294" s="197"/>
      <c r="Y294" s="197"/>
      <c r="Z294" s="197"/>
      <c r="AA294" s="197"/>
      <c r="AB294" s="197"/>
      <c r="AC294" s="197"/>
    </row>
    <row r="295" customFormat="false" ht="12" hidden="false" customHeight="false" outlineLevel="0" collapsed="false">
      <c r="B295" s="130"/>
      <c r="C295" s="130"/>
      <c r="D295" s="130"/>
      <c r="E295" s="130"/>
      <c r="F295" s="130"/>
      <c r="G295" s="130"/>
      <c r="H295" s="130"/>
      <c r="I295" s="130"/>
      <c r="J295" s="130"/>
      <c r="K295" s="130"/>
      <c r="L295" s="130"/>
      <c r="M295" s="130"/>
      <c r="N295" s="130"/>
      <c r="O295" s="130"/>
      <c r="P295" s="130"/>
      <c r="R295" s="197"/>
      <c r="S295" s="197"/>
      <c r="T295" s="197"/>
      <c r="U295" s="197"/>
      <c r="V295" s="197"/>
      <c r="W295" s="197"/>
      <c r="X295" s="197"/>
      <c r="Y295" s="197"/>
      <c r="Z295" s="197"/>
      <c r="AA295" s="197"/>
      <c r="AB295" s="197"/>
      <c r="AC295" s="197"/>
    </row>
    <row r="296" customFormat="false" ht="12" hidden="false" customHeight="false" outlineLevel="0" collapsed="false">
      <c r="B296" s="130"/>
      <c r="C296" s="130"/>
      <c r="D296" s="130"/>
      <c r="E296" s="130"/>
      <c r="F296" s="130"/>
      <c r="G296" s="130"/>
      <c r="H296" s="130"/>
      <c r="I296" s="130"/>
      <c r="J296" s="130"/>
      <c r="K296" s="130"/>
      <c r="L296" s="130"/>
      <c r="M296" s="130"/>
      <c r="N296" s="130"/>
      <c r="O296" s="130"/>
      <c r="P296" s="130"/>
      <c r="R296" s="197"/>
      <c r="S296" s="197"/>
      <c r="T296" s="197"/>
      <c r="U296" s="197"/>
      <c r="V296" s="197"/>
      <c r="W296" s="197"/>
      <c r="X296" s="197"/>
      <c r="Y296" s="197"/>
      <c r="Z296" s="197"/>
      <c r="AA296" s="197"/>
      <c r="AB296" s="197"/>
      <c r="AC296" s="197"/>
    </row>
    <row r="297" customFormat="false" ht="12" hidden="false" customHeight="false" outlineLevel="0" collapsed="false">
      <c r="B297" s="130"/>
      <c r="C297" s="130"/>
      <c r="D297" s="130"/>
      <c r="E297" s="130"/>
      <c r="F297" s="130"/>
      <c r="G297" s="130"/>
      <c r="H297" s="130"/>
      <c r="I297" s="130"/>
      <c r="J297" s="130"/>
      <c r="K297" s="130"/>
      <c r="L297" s="130"/>
      <c r="M297" s="130"/>
      <c r="N297" s="130"/>
      <c r="O297" s="130"/>
      <c r="P297" s="130"/>
      <c r="R297" s="197"/>
      <c r="S297" s="197"/>
      <c r="T297" s="197"/>
      <c r="U297" s="197"/>
      <c r="V297" s="197"/>
      <c r="W297" s="197"/>
      <c r="X297" s="197"/>
      <c r="Y297" s="197"/>
      <c r="Z297" s="197"/>
      <c r="AA297" s="197"/>
      <c r="AB297" s="197"/>
      <c r="AC297" s="197"/>
    </row>
    <row r="298" customFormat="false" ht="12" hidden="false" customHeight="false" outlineLevel="0" collapsed="false">
      <c r="B298" s="130"/>
      <c r="C298" s="130"/>
      <c r="D298" s="130"/>
      <c r="E298" s="130"/>
      <c r="F298" s="130"/>
      <c r="G298" s="130"/>
      <c r="H298" s="130"/>
      <c r="I298" s="130"/>
      <c r="J298" s="130"/>
      <c r="K298" s="130"/>
      <c r="L298" s="130"/>
      <c r="M298" s="130"/>
      <c r="N298" s="130"/>
      <c r="O298" s="130"/>
      <c r="P298" s="130"/>
      <c r="R298" s="197"/>
      <c r="S298" s="197"/>
      <c r="T298" s="197"/>
      <c r="U298" s="197"/>
      <c r="V298" s="197"/>
      <c r="W298" s="197"/>
      <c r="X298" s="197"/>
      <c r="Y298" s="197"/>
      <c r="Z298" s="197"/>
      <c r="AA298" s="197"/>
      <c r="AB298" s="197"/>
      <c r="AC298" s="197"/>
    </row>
    <row r="299" customFormat="false" ht="12" hidden="false" customHeight="false" outlineLevel="0" collapsed="false">
      <c r="B299" s="130"/>
      <c r="C299" s="130"/>
      <c r="D299" s="130"/>
      <c r="E299" s="130"/>
      <c r="F299" s="130"/>
      <c r="G299" s="130"/>
      <c r="H299" s="130"/>
      <c r="I299" s="130"/>
      <c r="J299" s="130"/>
      <c r="K299" s="130"/>
      <c r="L299" s="130"/>
      <c r="M299" s="130"/>
      <c r="N299" s="130"/>
      <c r="O299" s="130"/>
      <c r="P299" s="130"/>
      <c r="R299" s="197"/>
      <c r="S299" s="197"/>
      <c r="T299" s="197"/>
      <c r="U299" s="197"/>
      <c r="V299" s="197"/>
      <c r="W299" s="197"/>
      <c r="X299" s="197"/>
      <c r="Y299" s="197"/>
      <c r="Z299" s="197"/>
      <c r="AA299" s="197"/>
      <c r="AB299" s="197"/>
      <c r="AC299" s="197"/>
    </row>
    <row r="300" customFormat="false" ht="12" hidden="false" customHeight="false" outlineLevel="0" collapsed="false">
      <c r="B300" s="130"/>
      <c r="C300" s="130"/>
      <c r="D300" s="130"/>
      <c r="E300" s="130"/>
      <c r="F300" s="130"/>
      <c r="G300" s="130"/>
      <c r="H300" s="130"/>
      <c r="I300" s="130"/>
      <c r="J300" s="130"/>
      <c r="K300" s="130"/>
      <c r="L300" s="130"/>
      <c r="M300" s="130"/>
      <c r="N300" s="130"/>
      <c r="O300" s="130"/>
      <c r="P300" s="130"/>
      <c r="R300" s="197"/>
      <c r="S300" s="197"/>
      <c r="T300" s="197"/>
      <c r="U300" s="197"/>
      <c r="V300" s="197"/>
      <c r="W300" s="197"/>
      <c r="X300" s="197"/>
      <c r="Y300" s="197"/>
      <c r="Z300" s="197"/>
      <c r="AA300" s="197"/>
      <c r="AB300" s="197"/>
      <c r="AC300" s="197"/>
    </row>
    <row r="301" customFormat="false" ht="12" hidden="false" customHeight="false" outlineLevel="0" collapsed="false">
      <c r="B301" s="130"/>
      <c r="C301" s="130"/>
      <c r="D301" s="130"/>
      <c r="E301" s="130"/>
      <c r="F301" s="130"/>
      <c r="G301" s="130"/>
      <c r="H301" s="130"/>
      <c r="I301" s="130"/>
      <c r="J301" s="130"/>
      <c r="K301" s="130"/>
      <c r="L301" s="130"/>
      <c r="M301" s="130"/>
      <c r="N301" s="130"/>
      <c r="O301" s="130"/>
      <c r="P301" s="130"/>
      <c r="R301" s="197"/>
      <c r="S301" s="197"/>
      <c r="T301" s="197"/>
      <c r="U301" s="197"/>
      <c r="V301" s="197"/>
      <c r="W301" s="197"/>
      <c r="X301" s="197"/>
      <c r="Y301" s="197"/>
      <c r="Z301" s="197"/>
      <c r="AA301" s="197"/>
      <c r="AB301" s="197"/>
      <c r="AC301" s="197"/>
    </row>
    <row r="302" customFormat="false" ht="12" hidden="false" customHeight="false" outlineLevel="0" collapsed="false">
      <c r="B302" s="130"/>
      <c r="C302" s="130"/>
      <c r="D302" s="130"/>
      <c r="E302" s="130"/>
      <c r="F302" s="130"/>
      <c r="G302" s="130"/>
      <c r="H302" s="130"/>
      <c r="I302" s="130"/>
      <c r="J302" s="130"/>
      <c r="K302" s="130"/>
      <c r="L302" s="130"/>
      <c r="M302" s="130"/>
      <c r="N302" s="130"/>
      <c r="O302" s="130"/>
      <c r="P302" s="130"/>
      <c r="R302" s="197"/>
      <c r="S302" s="197"/>
      <c r="T302" s="197"/>
      <c r="U302" s="197"/>
      <c r="V302" s="197"/>
      <c r="W302" s="197"/>
      <c r="X302" s="197"/>
      <c r="Y302" s="197"/>
      <c r="Z302" s="197"/>
      <c r="AA302" s="197"/>
      <c r="AB302" s="197"/>
      <c r="AC302" s="197"/>
    </row>
    <row r="303" customFormat="false" ht="12" hidden="false" customHeight="false" outlineLevel="0" collapsed="false">
      <c r="B303" s="130"/>
      <c r="C303" s="130"/>
      <c r="D303" s="130"/>
      <c r="E303" s="130"/>
      <c r="F303" s="130"/>
      <c r="G303" s="130"/>
      <c r="H303" s="130"/>
      <c r="I303" s="130"/>
      <c r="J303" s="130"/>
      <c r="K303" s="130"/>
      <c r="L303" s="130"/>
      <c r="M303" s="130"/>
      <c r="N303" s="130"/>
      <c r="O303" s="130"/>
      <c r="P303" s="130"/>
      <c r="R303" s="197"/>
      <c r="S303" s="197"/>
      <c r="T303" s="197"/>
      <c r="U303" s="197"/>
      <c r="V303" s="197"/>
      <c r="W303" s="197"/>
      <c r="X303" s="197"/>
      <c r="Y303" s="197"/>
      <c r="Z303" s="197"/>
      <c r="AA303" s="197"/>
      <c r="AB303" s="197"/>
      <c r="AC303" s="197"/>
    </row>
    <row r="304" customFormat="false" ht="12" hidden="false" customHeight="false" outlineLevel="0" collapsed="false">
      <c r="B304" s="130"/>
      <c r="C304" s="130"/>
      <c r="D304" s="130"/>
      <c r="E304" s="130"/>
      <c r="F304" s="130"/>
      <c r="G304" s="130"/>
      <c r="H304" s="130"/>
      <c r="I304" s="130"/>
      <c r="J304" s="130"/>
      <c r="K304" s="130"/>
      <c r="L304" s="130"/>
      <c r="M304" s="130"/>
      <c r="N304" s="130"/>
      <c r="O304" s="130"/>
      <c r="P304" s="130"/>
      <c r="R304" s="197"/>
      <c r="S304" s="197"/>
      <c r="T304" s="197"/>
      <c r="U304" s="197"/>
      <c r="V304" s="197"/>
      <c r="W304" s="197"/>
      <c r="X304" s="197"/>
      <c r="Y304" s="197"/>
      <c r="Z304" s="197"/>
      <c r="AA304" s="197"/>
      <c r="AB304" s="197"/>
      <c r="AC304" s="197"/>
    </row>
    <row r="305" customFormat="false" ht="12" hidden="false" customHeight="false" outlineLevel="0" collapsed="false">
      <c r="B305" s="130"/>
      <c r="C305" s="130"/>
      <c r="D305" s="130"/>
      <c r="E305" s="130"/>
      <c r="F305" s="130"/>
      <c r="G305" s="130"/>
      <c r="H305" s="130"/>
      <c r="I305" s="130"/>
      <c r="J305" s="130"/>
      <c r="K305" s="130"/>
      <c r="L305" s="130"/>
      <c r="M305" s="130"/>
      <c r="N305" s="130"/>
      <c r="O305" s="130"/>
      <c r="P305" s="130"/>
      <c r="R305" s="197"/>
      <c r="S305" s="197"/>
      <c r="T305" s="197"/>
      <c r="U305" s="197"/>
      <c r="V305" s="197"/>
      <c r="W305" s="197"/>
      <c r="X305" s="197"/>
      <c r="Y305" s="197"/>
      <c r="Z305" s="197"/>
      <c r="AA305" s="197"/>
      <c r="AB305" s="197"/>
      <c r="AC305" s="197"/>
    </row>
    <row r="306" customFormat="false" ht="12" hidden="false" customHeight="false" outlineLevel="0" collapsed="false">
      <c r="B306" s="130"/>
      <c r="C306" s="130"/>
      <c r="D306" s="130"/>
      <c r="E306" s="130"/>
      <c r="F306" s="130"/>
      <c r="G306" s="130"/>
      <c r="H306" s="130"/>
      <c r="I306" s="130"/>
      <c r="J306" s="130"/>
      <c r="K306" s="130"/>
      <c r="L306" s="130"/>
      <c r="M306" s="130"/>
      <c r="N306" s="130"/>
      <c r="O306" s="130"/>
      <c r="P306" s="130"/>
      <c r="R306" s="197"/>
      <c r="S306" s="197"/>
      <c r="T306" s="197"/>
      <c r="U306" s="197"/>
      <c r="V306" s="197"/>
      <c r="W306" s="197"/>
      <c r="X306" s="197"/>
      <c r="Y306" s="197"/>
      <c r="Z306" s="197"/>
      <c r="AA306" s="197"/>
      <c r="AB306" s="197"/>
      <c r="AC306" s="197"/>
    </row>
    <row r="307" customFormat="false" ht="12" hidden="false" customHeight="false" outlineLevel="0" collapsed="false">
      <c r="B307" s="130"/>
      <c r="C307" s="130"/>
      <c r="D307" s="130"/>
      <c r="E307" s="130"/>
      <c r="F307" s="130"/>
      <c r="G307" s="130"/>
      <c r="H307" s="130"/>
      <c r="I307" s="130"/>
      <c r="J307" s="130"/>
      <c r="K307" s="130"/>
      <c r="L307" s="130"/>
      <c r="M307" s="130"/>
      <c r="N307" s="130"/>
      <c r="O307" s="130"/>
      <c r="P307" s="130"/>
      <c r="R307" s="197"/>
      <c r="S307" s="197"/>
      <c r="T307" s="197"/>
      <c r="U307" s="197"/>
      <c r="V307" s="197"/>
      <c r="W307" s="197"/>
      <c r="X307" s="197"/>
      <c r="Y307" s="197"/>
      <c r="Z307" s="197"/>
      <c r="AA307" s="197"/>
      <c r="AB307" s="197"/>
      <c r="AC307" s="197"/>
    </row>
    <row r="308" customFormat="false" ht="12" hidden="false" customHeight="false" outlineLevel="0" collapsed="false">
      <c r="B308" s="130"/>
      <c r="C308" s="130"/>
      <c r="D308" s="130"/>
      <c r="E308" s="130"/>
      <c r="F308" s="130"/>
      <c r="G308" s="130"/>
      <c r="H308" s="130"/>
      <c r="I308" s="130"/>
      <c r="J308" s="130"/>
      <c r="K308" s="130"/>
      <c r="L308" s="130"/>
      <c r="M308" s="130"/>
      <c r="N308" s="130"/>
      <c r="O308" s="130"/>
      <c r="P308" s="130"/>
      <c r="R308" s="197"/>
      <c r="S308" s="197"/>
      <c r="T308" s="197"/>
      <c r="U308" s="197"/>
      <c r="V308" s="197"/>
      <c r="W308" s="197"/>
      <c r="X308" s="197"/>
      <c r="Y308" s="197"/>
      <c r="Z308" s="197"/>
      <c r="AA308" s="197"/>
      <c r="AB308" s="197"/>
      <c r="AC308" s="197"/>
    </row>
    <row r="309" customFormat="false" ht="12" hidden="false" customHeight="false" outlineLevel="0" collapsed="false">
      <c r="B309" s="130"/>
      <c r="C309" s="130"/>
      <c r="D309" s="130"/>
      <c r="E309" s="130"/>
      <c r="F309" s="130"/>
      <c r="G309" s="130"/>
      <c r="H309" s="130"/>
      <c r="I309" s="130"/>
      <c r="J309" s="130"/>
      <c r="K309" s="130"/>
      <c r="L309" s="130"/>
      <c r="M309" s="130"/>
      <c r="N309" s="130"/>
      <c r="O309" s="130"/>
      <c r="P309" s="130"/>
      <c r="R309" s="197"/>
      <c r="S309" s="197"/>
      <c r="T309" s="197"/>
      <c r="U309" s="197"/>
      <c r="V309" s="197"/>
      <c r="W309" s="197"/>
      <c r="X309" s="197"/>
      <c r="Y309" s="197"/>
      <c r="Z309" s="197"/>
      <c r="AA309" s="197"/>
      <c r="AB309" s="197"/>
      <c r="AC309" s="197"/>
    </row>
    <row r="310" customFormat="false" ht="12" hidden="false" customHeight="false" outlineLevel="0" collapsed="false">
      <c r="B310" s="130"/>
      <c r="C310" s="130"/>
      <c r="D310" s="130"/>
      <c r="E310" s="130"/>
      <c r="F310" s="130"/>
      <c r="G310" s="130"/>
      <c r="H310" s="130"/>
      <c r="I310" s="130"/>
      <c r="J310" s="130"/>
      <c r="K310" s="130"/>
      <c r="L310" s="130"/>
      <c r="M310" s="130"/>
      <c r="N310" s="130"/>
      <c r="O310" s="130"/>
      <c r="P310" s="130"/>
      <c r="R310" s="197"/>
      <c r="S310" s="197"/>
      <c r="T310" s="197"/>
      <c r="U310" s="197"/>
      <c r="V310" s="197"/>
      <c r="W310" s="197"/>
      <c r="X310" s="197"/>
      <c r="Y310" s="197"/>
      <c r="Z310" s="197"/>
      <c r="AA310" s="197"/>
      <c r="AB310" s="197"/>
      <c r="AC310" s="197"/>
    </row>
    <row r="311" customFormat="false" ht="12" hidden="false" customHeight="false" outlineLevel="0" collapsed="false">
      <c r="B311" s="130"/>
      <c r="C311" s="130"/>
      <c r="D311" s="130"/>
      <c r="E311" s="130"/>
      <c r="F311" s="130"/>
      <c r="G311" s="130"/>
      <c r="H311" s="130"/>
      <c r="I311" s="130"/>
      <c r="J311" s="130"/>
      <c r="K311" s="130"/>
      <c r="L311" s="130"/>
      <c r="M311" s="130"/>
      <c r="N311" s="130"/>
      <c r="O311" s="130"/>
      <c r="P311" s="130"/>
      <c r="R311" s="197"/>
      <c r="S311" s="197"/>
      <c r="T311" s="197"/>
      <c r="U311" s="197"/>
      <c r="V311" s="197"/>
      <c r="W311" s="197"/>
      <c r="X311" s="197"/>
      <c r="Y311" s="197"/>
      <c r="Z311" s="197"/>
      <c r="AA311" s="197"/>
      <c r="AB311" s="197"/>
      <c r="AC311" s="197"/>
    </row>
    <row r="312" customFormat="false" ht="12" hidden="false" customHeight="false" outlineLevel="0" collapsed="false">
      <c r="B312" s="130"/>
      <c r="C312" s="130"/>
      <c r="D312" s="130"/>
      <c r="E312" s="130"/>
      <c r="F312" s="130"/>
      <c r="G312" s="130"/>
      <c r="H312" s="130"/>
      <c r="I312" s="130"/>
      <c r="J312" s="130"/>
      <c r="K312" s="130"/>
      <c r="L312" s="130"/>
      <c r="M312" s="130"/>
      <c r="N312" s="130"/>
      <c r="O312" s="130"/>
      <c r="P312" s="130"/>
      <c r="R312" s="197"/>
      <c r="S312" s="197"/>
      <c r="T312" s="197"/>
      <c r="U312" s="197"/>
      <c r="V312" s="197"/>
      <c r="W312" s="197"/>
      <c r="X312" s="197"/>
      <c r="Y312" s="197"/>
      <c r="Z312" s="197"/>
      <c r="AA312" s="197"/>
      <c r="AB312" s="197"/>
      <c r="AC312" s="197"/>
    </row>
    <row r="313" customFormat="false" ht="12" hidden="false" customHeight="false" outlineLevel="0" collapsed="false">
      <c r="B313" s="130"/>
      <c r="C313" s="130"/>
      <c r="D313" s="130"/>
      <c r="E313" s="130"/>
      <c r="F313" s="130"/>
      <c r="G313" s="130"/>
      <c r="H313" s="130"/>
      <c r="I313" s="130"/>
      <c r="J313" s="130"/>
      <c r="K313" s="130"/>
      <c r="L313" s="130"/>
      <c r="M313" s="130"/>
      <c r="N313" s="130"/>
      <c r="O313" s="130"/>
      <c r="P313" s="130"/>
      <c r="R313" s="197"/>
      <c r="S313" s="197"/>
      <c r="T313" s="197"/>
      <c r="U313" s="197"/>
      <c r="V313" s="197"/>
      <c r="W313" s="197"/>
      <c r="X313" s="197"/>
      <c r="Y313" s="197"/>
      <c r="Z313" s="197"/>
      <c r="AA313" s="197"/>
      <c r="AB313" s="197"/>
      <c r="AC313" s="197"/>
    </row>
    <row r="314" customFormat="false" ht="12" hidden="false" customHeight="false" outlineLevel="0" collapsed="false">
      <c r="B314" s="130"/>
      <c r="C314" s="130"/>
      <c r="D314" s="130"/>
      <c r="E314" s="130"/>
      <c r="F314" s="130"/>
      <c r="G314" s="130"/>
      <c r="H314" s="130"/>
      <c r="I314" s="130"/>
      <c r="J314" s="130"/>
      <c r="K314" s="130"/>
      <c r="L314" s="130"/>
      <c r="M314" s="130"/>
      <c r="N314" s="130"/>
      <c r="O314" s="130"/>
      <c r="P314" s="130"/>
      <c r="R314" s="197"/>
      <c r="S314" s="197"/>
      <c r="T314" s="197"/>
      <c r="U314" s="197"/>
      <c r="V314" s="197"/>
      <c r="W314" s="197"/>
      <c r="X314" s="197"/>
      <c r="Y314" s="197"/>
      <c r="Z314" s="197"/>
      <c r="AA314" s="197"/>
      <c r="AB314" s="197"/>
      <c r="AC314" s="197"/>
    </row>
    <row r="315" customFormat="false" ht="12" hidden="false" customHeight="false" outlineLevel="0" collapsed="false">
      <c r="B315" s="130"/>
      <c r="C315" s="130"/>
      <c r="D315" s="130"/>
      <c r="E315" s="130"/>
      <c r="F315" s="130"/>
      <c r="G315" s="130"/>
      <c r="H315" s="130"/>
      <c r="I315" s="130"/>
      <c r="J315" s="130"/>
      <c r="K315" s="130"/>
      <c r="L315" s="130"/>
      <c r="M315" s="130"/>
      <c r="N315" s="130"/>
      <c r="O315" s="130"/>
      <c r="P315" s="130"/>
      <c r="R315" s="197"/>
      <c r="S315" s="197"/>
      <c r="T315" s="197"/>
      <c r="U315" s="197"/>
      <c r="V315" s="197"/>
      <c r="W315" s="197"/>
      <c r="X315" s="197"/>
      <c r="Y315" s="197"/>
      <c r="Z315" s="197"/>
      <c r="AA315" s="197"/>
      <c r="AB315" s="197"/>
      <c r="AC315" s="197"/>
    </row>
    <row r="316" customFormat="false" ht="12" hidden="false" customHeight="false" outlineLevel="0" collapsed="false">
      <c r="B316" s="130"/>
      <c r="C316" s="130"/>
      <c r="D316" s="130"/>
      <c r="E316" s="130"/>
      <c r="F316" s="130"/>
      <c r="G316" s="130"/>
      <c r="H316" s="130"/>
      <c r="I316" s="130"/>
      <c r="J316" s="130"/>
      <c r="K316" s="130"/>
      <c r="L316" s="130"/>
      <c r="M316" s="130"/>
      <c r="N316" s="130"/>
      <c r="O316" s="130"/>
      <c r="P316" s="130"/>
      <c r="R316" s="197"/>
      <c r="S316" s="197"/>
      <c r="T316" s="197"/>
      <c r="U316" s="197"/>
      <c r="V316" s="197"/>
      <c r="W316" s="197"/>
      <c r="X316" s="197"/>
      <c r="Y316" s="197"/>
      <c r="Z316" s="197"/>
      <c r="AA316" s="197"/>
      <c r="AB316" s="197"/>
      <c r="AC316" s="197"/>
    </row>
    <row r="317" customFormat="false" ht="12" hidden="false" customHeight="false" outlineLevel="0" collapsed="false">
      <c r="B317" s="130"/>
      <c r="C317" s="130"/>
      <c r="D317" s="130"/>
      <c r="E317" s="130"/>
      <c r="F317" s="130"/>
      <c r="G317" s="130"/>
      <c r="H317" s="130"/>
      <c r="I317" s="130"/>
      <c r="J317" s="130"/>
      <c r="K317" s="130"/>
      <c r="L317" s="130"/>
      <c r="M317" s="130"/>
      <c r="N317" s="130"/>
      <c r="O317" s="130"/>
      <c r="P317" s="130"/>
      <c r="R317" s="197"/>
      <c r="S317" s="197"/>
      <c r="T317" s="197"/>
      <c r="U317" s="197"/>
      <c r="V317" s="197"/>
      <c r="W317" s="197"/>
      <c r="X317" s="197"/>
      <c r="Y317" s="197"/>
      <c r="Z317" s="197"/>
      <c r="AA317" s="197"/>
      <c r="AB317" s="197"/>
      <c r="AC317" s="197"/>
    </row>
    <row r="318" customFormat="false" ht="12" hidden="false" customHeight="false" outlineLevel="0" collapsed="false">
      <c r="B318" s="130"/>
      <c r="C318" s="130"/>
      <c r="D318" s="130"/>
      <c r="E318" s="130"/>
      <c r="F318" s="130"/>
      <c r="G318" s="130"/>
      <c r="H318" s="130"/>
      <c r="I318" s="130"/>
      <c r="J318" s="130"/>
      <c r="K318" s="130"/>
      <c r="L318" s="130"/>
      <c r="M318" s="130"/>
      <c r="N318" s="130"/>
      <c r="O318" s="130"/>
      <c r="P318" s="130"/>
      <c r="R318" s="197"/>
      <c r="S318" s="197"/>
      <c r="T318" s="197"/>
      <c r="U318" s="197"/>
      <c r="V318" s="197"/>
      <c r="W318" s="197"/>
      <c r="X318" s="197"/>
      <c r="Y318" s="197"/>
      <c r="Z318" s="197"/>
      <c r="AA318" s="197"/>
      <c r="AB318" s="197"/>
      <c r="AC318" s="197"/>
    </row>
    <row r="319" customFormat="false" ht="12" hidden="false" customHeight="false" outlineLevel="0" collapsed="false">
      <c r="B319" s="130"/>
      <c r="C319" s="130"/>
      <c r="D319" s="130"/>
      <c r="E319" s="130"/>
      <c r="F319" s="130"/>
      <c r="G319" s="130"/>
      <c r="H319" s="130"/>
      <c r="I319" s="130"/>
      <c r="J319" s="130"/>
      <c r="K319" s="130"/>
      <c r="L319" s="130"/>
      <c r="M319" s="130"/>
      <c r="N319" s="130"/>
      <c r="O319" s="130"/>
      <c r="P319" s="130"/>
      <c r="R319" s="197"/>
      <c r="S319" s="197"/>
      <c r="T319" s="197"/>
      <c r="U319" s="197"/>
      <c r="V319" s="197"/>
      <c r="W319" s="197"/>
      <c r="X319" s="197"/>
      <c r="Y319" s="197"/>
      <c r="Z319" s="197"/>
      <c r="AA319" s="197"/>
      <c r="AB319" s="197"/>
      <c r="AC319" s="197"/>
    </row>
    <row r="320" customFormat="false" ht="12" hidden="false" customHeight="false" outlineLevel="0" collapsed="false">
      <c r="B320" s="130"/>
      <c r="C320" s="130"/>
      <c r="D320" s="130"/>
      <c r="E320" s="130"/>
      <c r="F320" s="130"/>
      <c r="G320" s="130"/>
      <c r="H320" s="130"/>
      <c r="I320" s="130"/>
      <c r="J320" s="130"/>
      <c r="K320" s="130"/>
      <c r="L320" s="130"/>
      <c r="M320" s="130"/>
      <c r="N320" s="130"/>
      <c r="O320" s="130"/>
      <c r="P320" s="130"/>
      <c r="R320" s="197"/>
      <c r="S320" s="197"/>
      <c r="T320" s="197"/>
      <c r="U320" s="197"/>
      <c r="V320" s="197"/>
      <c r="W320" s="197"/>
      <c r="X320" s="197"/>
      <c r="Y320" s="197"/>
      <c r="Z320" s="197"/>
      <c r="AA320" s="197"/>
      <c r="AB320" s="197"/>
      <c r="AC320" s="197"/>
    </row>
    <row r="321" customFormat="false" ht="12" hidden="false" customHeight="false" outlineLevel="0" collapsed="false">
      <c r="B321" s="130"/>
      <c r="C321" s="130"/>
      <c r="D321" s="130"/>
      <c r="E321" s="130"/>
      <c r="F321" s="130"/>
      <c r="G321" s="130"/>
      <c r="H321" s="130"/>
      <c r="I321" s="130"/>
      <c r="J321" s="130"/>
      <c r="K321" s="130"/>
      <c r="L321" s="130"/>
      <c r="M321" s="130"/>
      <c r="N321" s="130"/>
      <c r="O321" s="130"/>
      <c r="P321" s="130"/>
      <c r="R321" s="197"/>
      <c r="S321" s="197"/>
      <c r="T321" s="197"/>
      <c r="U321" s="197"/>
      <c r="V321" s="197"/>
      <c r="W321" s="197"/>
      <c r="X321" s="197"/>
      <c r="Y321" s="197"/>
      <c r="Z321" s="197"/>
      <c r="AA321" s="197"/>
      <c r="AB321" s="197"/>
      <c r="AC321" s="197"/>
    </row>
    <row r="322" customFormat="false" ht="12" hidden="false" customHeight="false" outlineLevel="0" collapsed="false">
      <c r="B322" s="130"/>
      <c r="C322" s="130"/>
      <c r="D322" s="130"/>
      <c r="E322" s="130"/>
      <c r="F322" s="130"/>
      <c r="G322" s="130"/>
      <c r="H322" s="130"/>
      <c r="I322" s="130"/>
      <c r="J322" s="130"/>
      <c r="K322" s="130"/>
      <c r="L322" s="130"/>
      <c r="M322" s="130"/>
      <c r="N322" s="130"/>
      <c r="O322" s="130"/>
      <c r="P322" s="130"/>
      <c r="R322" s="197"/>
      <c r="S322" s="197"/>
      <c r="T322" s="197"/>
      <c r="U322" s="197"/>
      <c r="V322" s="197"/>
      <c r="W322" s="197"/>
      <c r="X322" s="197"/>
      <c r="Y322" s="197"/>
      <c r="Z322" s="197"/>
      <c r="AA322" s="197"/>
      <c r="AB322" s="197"/>
      <c r="AC322" s="197"/>
    </row>
    <row r="323" customFormat="false" ht="12" hidden="false" customHeight="false" outlineLevel="0" collapsed="false">
      <c r="B323" s="130"/>
      <c r="C323" s="130"/>
      <c r="D323" s="130"/>
      <c r="E323" s="130"/>
      <c r="F323" s="130"/>
      <c r="G323" s="130"/>
      <c r="H323" s="130"/>
      <c r="I323" s="130"/>
      <c r="J323" s="130"/>
      <c r="K323" s="130"/>
      <c r="L323" s="130"/>
      <c r="M323" s="130"/>
      <c r="N323" s="130"/>
      <c r="O323" s="130"/>
      <c r="P323" s="130"/>
      <c r="R323" s="197"/>
      <c r="S323" s="197"/>
      <c r="T323" s="197"/>
      <c r="U323" s="197"/>
      <c r="V323" s="197"/>
      <c r="W323" s="197"/>
      <c r="X323" s="197"/>
      <c r="Y323" s="197"/>
      <c r="Z323" s="197"/>
      <c r="AA323" s="197"/>
      <c r="AB323" s="197"/>
      <c r="AC323" s="197"/>
    </row>
    <row r="324" customFormat="false" ht="12" hidden="false" customHeight="false" outlineLevel="0" collapsed="false">
      <c r="B324" s="130"/>
      <c r="C324" s="130"/>
      <c r="D324" s="130"/>
      <c r="E324" s="130"/>
      <c r="F324" s="130"/>
      <c r="G324" s="130"/>
      <c r="H324" s="130"/>
      <c r="I324" s="130"/>
      <c r="J324" s="130"/>
      <c r="K324" s="130"/>
      <c r="L324" s="130"/>
      <c r="M324" s="130"/>
      <c r="N324" s="130"/>
      <c r="O324" s="130"/>
      <c r="P324" s="130"/>
      <c r="R324" s="197"/>
      <c r="S324" s="197"/>
      <c r="T324" s="197"/>
      <c r="U324" s="197"/>
      <c r="V324" s="197"/>
      <c r="W324" s="197"/>
      <c r="X324" s="197"/>
      <c r="Y324" s="197"/>
      <c r="Z324" s="197"/>
      <c r="AA324" s="197"/>
      <c r="AB324" s="197"/>
      <c r="AC324" s="197"/>
    </row>
    <row r="325" customFormat="false" ht="12" hidden="false" customHeight="false" outlineLevel="0" collapsed="false">
      <c r="B325" s="130"/>
      <c r="C325" s="130"/>
      <c r="D325" s="130"/>
      <c r="E325" s="130"/>
      <c r="F325" s="130"/>
      <c r="G325" s="130"/>
      <c r="H325" s="130"/>
      <c r="I325" s="130"/>
      <c r="J325" s="130"/>
      <c r="K325" s="130"/>
      <c r="L325" s="130"/>
      <c r="M325" s="130"/>
      <c r="N325" s="130"/>
      <c r="O325" s="130"/>
      <c r="P325" s="130"/>
      <c r="R325" s="197"/>
      <c r="S325" s="197"/>
      <c r="T325" s="197"/>
      <c r="U325" s="197"/>
      <c r="V325" s="197"/>
      <c r="W325" s="197"/>
      <c r="X325" s="197"/>
      <c r="Y325" s="197"/>
      <c r="Z325" s="197"/>
      <c r="AA325" s="197"/>
      <c r="AB325" s="197"/>
      <c r="AC325" s="197"/>
    </row>
    <row r="326" customFormat="false" ht="12" hidden="false" customHeight="false" outlineLevel="0" collapsed="false">
      <c r="B326" s="130"/>
      <c r="C326" s="130"/>
      <c r="D326" s="130"/>
      <c r="E326" s="130"/>
      <c r="F326" s="130"/>
      <c r="G326" s="130"/>
      <c r="H326" s="130"/>
      <c r="I326" s="130"/>
      <c r="J326" s="130"/>
      <c r="K326" s="130"/>
      <c r="L326" s="130"/>
      <c r="M326" s="130"/>
      <c r="N326" s="130"/>
      <c r="O326" s="130"/>
      <c r="P326" s="130"/>
      <c r="R326" s="197"/>
      <c r="S326" s="197"/>
      <c r="T326" s="197"/>
      <c r="U326" s="197"/>
      <c r="V326" s="197"/>
      <c r="W326" s="197"/>
      <c r="X326" s="197"/>
      <c r="Y326" s="197"/>
      <c r="Z326" s="197"/>
      <c r="AA326" s="197"/>
      <c r="AB326" s="197"/>
      <c r="AC326" s="197"/>
    </row>
    <row r="327" customFormat="false" ht="12" hidden="false" customHeight="false" outlineLevel="0" collapsed="false">
      <c r="B327" s="130"/>
      <c r="C327" s="130"/>
      <c r="D327" s="130"/>
      <c r="E327" s="130"/>
      <c r="F327" s="130"/>
      <c r="G327" s="130"/>
      <c r="H327" s="130"/>
      <c r="I327" s="130"/>
      <c r="J327" s="130"/>
      <c r="K327" s="130"/>
      <c r="L327" s="130"/>
      <c r="M327" s="130"/>
      <c r="N327" s="130"/>
      <c r="O327" s="130"/>
      <c r="P327" s="130"/>
      <c r="R327" s="197"/>
      <c r="S327" s="197"/>
      <c r="T327" s="197"/>
      <c r="U327" s="197"/>
      <c r="V327" s="197"/>
      <c r="W327" s="197"/>
      <c r="X327" s="197"/>
      <c r="Y327" s="197"/>
      <c r="Z327" s="197"/>
      <c r="AA327" s="197"/>
      <c r="AB327" s="197"/>
      <c r="AC327" s="197"/>
    </row>
    <row r="328" customFormat="false" ht="12" hidden="false" customHeight="false" outlineLevel="0" collapsed="false">
      <c r="B328" s="130"/>
      <c r="C328" s="130"/>
      <c r="D328" s="130"/>
      <c r="E328" s="130"/>
      <c r="F328" s="130"/>
      <c r="G328" s="130"/>
      <c r="H328" s="130"/>
      <c r="I328" s="130"/>
      <c r="J328" s="130"/>
      <c r="K328" s="130"/>
      <c r="L328" s="130"/>
      <c r="M328" s="130"/>
      <c r="N328" s="130"/>
      <c r="O328" s="130"/>
      <c r="P328" s="130"/>
      <c r="R328" s="197"/>
      <c r="S328" s="197"/>
      <c r="T328" s="197"/>
      <c r="U328" s="197"/>
      <c r="V328" s="197"/>
      <c r="W328" s="197"/>
      <c r="X328" s="197"/>
      <c r="Y328" s="197"/>
      <c r="Z328" s="197"/>
      <c r="AA328" s="197"/>
      <c r="AB328" s="197"/>
      <c r="AC328" s="197"/>
    </row>
    <row r="329" customFormat="false" ht="12" hidden="false" customHeight="false" outlineLevel="0" collapsed="false">
      <c r="B329" s="130"/>
      <c r="C329" s="130"/>
      <c r="D329" s="130"/>
      <c r="E329" s="130"/>
      <c r="F329" s="130"/>
      <c r="G329" s="130"/>
      <c r="H329" s="130"/>
      <c r="I329" s="130"/>
      <c r="J329" s="130"/>
      <c r="K329" s="130"/>
      <c r="L329" s="130"/>
      <c r="M329" s="130"/>
      <c r="N329" s="130"/>
      <c r="O329" s="130"/>
      <c r="P329" s="130"/>
      <c r="R329" s="197"/>
      <c r="S329" s="197"/>
      <c r="T329" s="197"/>
      <c r="U329" s="197"/>
      <c r="V329" s="197"/>
      <c r="W329" s="197"/>
      <c r="X329" s="197"/>
      <c r="Y329" s="197"/>
      <c r="Z329" s="197"/>
      <c r="AA329" s="197"/>
      <c r="AB329" s="197"/>
      <c r="AC329" s="197"/>
    </row>
    <row r="330" customFormat="false" ht="12" hidden="false" customHeight="false" outlineLevel="0" collapsed="false">
      <c r="B330" s="130"/>
      <c r="C330" s="130"/>
      <c r="D330" s="130"/>
      <c r="E330" s="130"/>
      <c r="F330" s="130"/>
      <c r="G330" s="130"/>
      <c r="H330" s="130"/>
      <c r="I330" s="130"/>
      <c r="J330" s="130"/>
      <c r="K330" s="130"/>
      <c r="L330" s="130"/>
      <c r="M330" s="130"/>
      <c r="N330" s="130"/>
      <c r="O330" s="130"/>
      <c r="P330" s="130"/>
      <c r="R330" s="197"/>
      <c r="S330" s="197"/>
      <c r="T330" s="197"/>
      <c r="U330" s="197"/>
      <c r="V330" s="197"/>
      <c r="W330" s="197"/>
      <c r="X330" s="197"/>
      <c r="Y330" s="197"/>
      <c r="Z330" s="197"/>
      <c r="AA330" s="197"/>
      <c r="AB330" s="197"/>
      <c r="AC330" s="197"/>
    </row>
    <row r="331" customFormat="false" ht="12" hidden="false" customHeight="false" outlineLevel="0" collapsed="false">
      <c r="B331" s="130"/>
      <c r="C331" s="130"/>
      <c r="D331" s="130"/>
      <c r="E331" s="130"/>
      <c r="F331" s="130"/>
      <c r="G331" s="130"/>
      <c r="H331" s="130"/>
      <c r="I331" s="130"/>
      <c r="J331" s="130"/>
      <c r="K331" s="130"/>
      <c r="L331" s="130"/>
      <c r="M331" s="130"/>
      <c r="N331" s="130"/>
      <c r="O331" s="130"/>
      <c r="P331" s="130"/>
      <c r="R331" s="197"/>
      <c r="S331" s="197"/>
      <c r="T331" s="197"/>
      <c r="U331" s="197"/>
      <c r="V331" s="197"/>
      <c r="W331" s="197"/>
      <c r="X331" s="197"/>
      <c r="Y331" s="197"/>
      <c r="Z331" s="197"/>
      <c r="AA331" s="197"/>
      <c r="AB331" s="197"/>
      <c r="AC331" s="197"/>
    </row>
    <row r="332" customFormat="false" ht="12" hidden="false" customHeight="false" outlineLevel="0" collapsed="false">
      <c r="B332" s="130"/>
      <c r="C332" s="130"/>
      <c r="D332" s="130"/>
      <c r="E332" s="130"/>
      <c r="F332" s="130"/>
      <c r="G332" s="130"/>
      <c r="H332" s="130"/>
      <c r="I332" s="130"/>
      <c r="J332" s="130"/>
      <c r="K332" s="130"/>
      <c r="L332" s="130"/>
      <c r="M332" s="130"/>
      <c r="N332" s="130"/>
      <c r="O332" s="130"/>
      <c r="P332" s="130"/>
      <c r="R332" s="197"/>
      <c r="S332" s="197"/>
      <c r="T332" s="197"/>
      <c r="U332" s="197"/>
      <c r="V332" s="197"/>
      <c r="W332" s="197"/>
      <c r="X332" s="197"/>
      <c r="Y332" s="197"/>
      <c r="Z332" s="197"/>
      <c r="AA332" s="197"/>
      <c r="AB332" s="197"/>
      <c r="AC332" s="197"/>
    </row>
    <row r="333" customFormat="false" ht="12" hidden="false" customHeight="false" outlineLevel="0" collapsed="false">
      <c r="B333" s="130"/>
      <c r="C333" s="130"/>
      <c r="D333" s="130"/>
      <c r="E333" s="130"/>
      <c r="F333" s="130"/>
      <c r="G333" s="130"/>
      <c r="H333" s="130"/>
      <c r="I333" s="130"/>
      <c r="J333" s="130"/>
      <c r="K333" s="130"/>
      <c r="L333" s="130"/>
      <c r="M333" s="130"/>
      <c r="N333" s="130"/>
      <c r="O333" s="130"/>
      <c r="P333" s="130"/>
      <c r="R333" s="197"/>
      <c r="S333" s="197"/>
      <c r="T333" s="197"/>
      <c r="U333" s="197"/>
      <c r="V333" s="197"/>
      <c r="W333" s="197"/>
      <c r="X333" s="197"/>
      <c r="Y333" s="197"/>
      <c r="Z333" s="197"/>
      <c r="AA333" s="197"/>
      <c r="AB333" s="197"/>
      <c r="AC333" s="197"/>
    </row>
    <row r="334" customFormat="false" ht="12" hidden="false" customHeight="false" outlineLevel="0" collapsed="false">
      <c r="B334" s="130"/>
      <c r="C334" s="130"/>
      <c r="D334" s="130"/>
      <c r="E334" s="130"/>
      <c r="F334" s="130"/>
      <c r="G334" s="130"/>
      <c r="H334" s="130"/>
      <c r="I334" s="130"/>
      <c r="J334" s="130"/>
      <c r="K334" s="130"/>
      <c r="L334" s="130"/>
      <c r="M334" s="130"/>
      <c r="N334" s="130"/>
      <c r="O334" s="130"/>
      <c r="P334" s="130"/>
      <c r="R334" s="197"/>
      <c r="S334" s="197"/>
      <c r="T334" s="197"/>
      <c r="U334" s="197"/>
      <c r="V334" s="197"/>
      <c r="W334" s="197"/>
      <c r="X334" s="197"/>
      <c r="Y334" s="197"/>
      <c r="Z334" s="197"/>
      <c r="AA334" s="197"/>
      <c r="AB334" s="197"/>
      <c r="AC334" s="197"/>
    </row>
    <row r="335" customFormat="false" ht="12" hidden="false" customHeight="false" outlineLevel="0" collapsed="false">
      <c r="B335" s="130"/>
      <c r="C335" s="130"/>
      <c r="D335" s="130"/>
      <c r="E335" s="130"/>
      <c r="F335" s="130"/>
      <c r="G335" s="130"/>
      <c r="H335" s="130"/>
      <c r="I335" s="130"/>
      <c r="J335" s="130"/>
      <c r="K335" s="130"/>
      <c r="L335" s="130"/>
      <c r="M335" s="130"/>
      <c r="N335" s="130"/>
      <c r="O335" s="130"/>
      <c r="P335" s="130"/>
      <c r="R335" s="197"/>
      <c r="S335" s="197"/>
      <c r="T335" s="197"/>
      <c r="U335" s="197"/>
      <c r="V335" s="197"/>
      <c r="W335" s="197"/>
      <c r="X335" s="197"/>
      <c r="Y335" s="197"/>
      <c r="Z335" s="197"/>
      <c r="AA335" s="197"/>
      <c r="AB335" s="197"/>
      <c r="AC335" s="197"/>
    </row>
    <row r="336" customFormat="false" ht="12" hidden="false" customHeight="false" outlineLevel="0" collapsed="false">
      <c r="B336" s="130"/>
      <c r="C336" s="130"/>
      <c r="D336" s="130"/>
      <c r="E336" s="130"/>
      <c r="F336" s="130"/>
      <c r="G336" s="130"/>
      <c r="H336" s="130"/>
      <c r="I336" s="130"/>
      <c r="J336" s="130"/>
      <c r="K336" s="130"/>
      <c r="L336" s="130"/>
      <c r="M336" s="130"/>
      <c r="N336" s="130"/>
      <c r="O336" s="130"/>
      <c r="P336" s="130"/>
      <c r="R336" s="197"/>
      <c r="S336" s="197"/>
      <c r="T336" s="197"/>
      <c r="U336" s="197"/>
      <c r="V336" s="197"/>
      <c r="W336" s="197"/>
      <c r="X336" s="197"/>
      <c r="Y336" s="197"/>
      <c r="Z336" s="197"/>
      <c r="AA336" s="197"/>
      <c r="AB336" s="197"/>
      <c r="AC336" s="197"/>
    </row>
    <row r="337" customFormat="false" ht="12" hidden="false" customHeight="false" outlineLevel="0" collapsed="false">
      <c r="B337" s="130"/>
      <c r="C337" s="130"/>
      <c r="D337" s="130"/>
      <c r="E337" s="130"/>
      <c r="F337" s="130"/>
      <c r="G337" s="130"/>
      <c r="H337" s="130"/>
      <c r="I337" s="130"/>
      <c r="J337" s="130"/>
      <c r="K337" s="130"/>
      <c r="L337" s="130"/>
      <c r="M337" s="130"/>
      <c r="N337" s="130"/>
      <c r="O337" s="130"/>
      <c r="P337" s="130"/>
      <c r="R337" s="197"/>
      <c r="S337" s="197"/>
      <c r="T337" s="197"/>
      <c r="U337" s="197"/>
      <c r="V337" s="197"/>
      <c r="W337" s="197"/>
      <c r="X337" s="197"/>
      <c r="Y337" s="197"/>
      <c r="Z337" s="197"/>
      <c r="AA337" s="197"/>
      <c r="AB337" s="197"/>
      <c r="AC337" s="197"/>
    </row>
    <row r="338" customFormat="false" ht="12" hidden="false" customHeight="false" outlineLevel="0" collapsed="false">
      <c r="B338" s="130"/>
      <c r="C338" s="130"/>
      <c r="D338" s="130"/>
      <c r="E338" s="130"/>
      <c r="F338" s="130"/>
      <c r="G338" s="130"/>
      <c r="H338" s="130"/>
      <c r="I338" s="130"/>
      <c r="J338" s="130"/>
      <c r="K338" s="130"/>
      <c r="L338" s="130"/>
      <c r="M338" s="130"/>
      <c r="N338" s="130"/>
      <c r="O338" s="130"/>
      <c r="P338" s="130"/>
      <c r="R338" s="197"/>
      <c r="S338" s="197"/>
      <c r="T338" s="197"/>
      <c r="U338" s="197"/>
      <c r="V338" s="197"/>
      <c r="W338" s="197"/>
      <c r="X338" s="197"/>
      <c r="Y338" s="197"/>
      <c r="Z338" s="197"/>
      <c r="AA338" s="197"/>
      <c r="AB338" s="197"/>
      <c r="AC338" s="197"/>
    </row>
    <row r="339" customFormat="false" ht="12" hidden="false" customHeight="false" outlineLevel="0" collapsed="false">
      <c r="B339" s="130"/>
      <c r="C339" s="130"/>
      <c r="D339" s="130"/>
      <c r="E339" s="130"/>
      <c r="F339" s="130"/>
      <c r="G339" s="130"/>
      <c r="H339" s="130"/>
      <c r="I339" s="130"/>
      <c r="J339" s="130"/>
      <c r="K339" s="130"/>
      <c r="L339" s="130"/>
      <c r="M339" s="130"/>
      <c r="N339" s="130"/>
      <c r="O339" s="130"/>
      <c r="P339" s="130"/>
      <c r="R339" s="197"/>
      <c r="S339" s="197"/>
      <c r="T339" s="197"/>
      <c r="U339" s="197"/>
      <c r="V339" s="197"/>
      <c r="W339" s="197"/>
      <c r="X339" s="197"/>
      <c r="Y339" s="197"/>
      <c r="Z339" s="197"/>
      <c r="AA339" s="197"/>
      <c r="AB339" s="197"/>
      <c r="AC339" s="197"/>
    </row>
    <row r="340" customFormat="false" ht="12" hidden="false" customHeight="false" outlineLevel="0" collapsed="false">
      <c r="B340" s="130"/>
      <c r="C340" s="130"/>
      <c r="D340" s="130"/>
      <c r="E340" s="130"/>
      <c r="F340" s="130"/>
      <c r="G340" s="130"/>
      <c r="H340" s="130"/>
      <c r="I340" s="130"/>
      <c r="J340" s="130"/>
      <c r="K340" s="130"/>
      <c r="L340" s="130"/>
      <c r="M340" s="130"/>
      <c r="N340" s="130"/>
      <c r="O340" s="130"/>
      <c r="P340" s="130"/>
      <c r="R340" s="197"/>
      <c r="S340" s="197"/>
      <c r="T340" s="197"/>
      <c r="U340" s="197"/>
      <c r="V340" s="197"/>
      <c r="W340" s="197"/>
      <c r="X340" s="197"/>
      <c r="Y340" s="197"/>
      <c r="Z340" s="197"/>
      <c r="AA340" s="197"/>
      <c r="AB340" s="197"/>
      <c r="AC340" s="197"/>
    </row>
    <row r="341" customFormat="false" ht="12" hidden="false" customHeight="false" outlineLevel="0" collapsed="false">
      <c r="B341" s="130"/>
      <c r="C341" s="130"/>
      <c r="D341" s="130"/>
      <c r="E341" s="130"/>
      <c r="F341" s="130"/>
      <c r="G341" s="130"/>
      <c r="H341" s="130"/>
      <c r="I341" s="130"/>
      <c r="J341" s="130"/>
      <c r="K341" s="130"/>
      <c r="L341" s="130"/>
      <c r="M341" s="130"/>
      <c r="N341" s="130"/>
      <c r="O341" s="130"/>
      <c r="P341" s="130"/>
      <c r="R341" s="197"/>
      <c r="S341" s="197"/>
      <c r="T341" s="197"/>
      <c r="U341" s="197"/>
      <c r="V341" s="197"/>
      <c r="W341" s="197"/>
      <c r="X341" s="197"/>
      <c r="Y341" s="197"/>
      <c r="Z341" s="197"/>
      <c r="AA341" s="197"/>
      <c r="AB341" s="197"/>
      <c r="AC341" s="197"/>
    </row>
    <row r="342" customFormat="false" ht="12" hidden="false" customHeight="false" outlineLevel="0" collapsed="false">
      <c r="B342" s="130"/>
      <c r="C342" s="130"/>
      <c r="D342" s="130"/>
      <c r="E342" s="130"/>
      <c r="F342" s="130"/>
      <c r="G342" s="130"/>
      <c r="H342" s="130"/>
      <c r="I342" s="130"/>
      <c r="J342" s="130"/>
      <c r="K342" s="130"/>
      <c r="L342" s="130"/>
      <c r="M342" s="130"/>
      <c r="N342" s="130"/>
      <c r="O342" s="130"/>
      <c r="P342" s="130"/>
      <c r="R342" s="197"/>
      <c r="S342" s="197"/>
      <c r="T342" s="197"/>
      <c r="U342" s="197"/>
      <c r="V342" s="197"/>
      <c r="W342" s="197"/>
      <c r="X342" s="197"/>
      <c r="Y342" s="197"/>
      <c r="Z342" s="197"/>
      <c r="AA342" s="197"/>
      <c r="AB342" s="197"/>
      <c r="AC342" s="197"/>
    </row>
    <row r="343" customFormat="false" ht="12" hidden="false" customHeight="false" outlineLevel="0" collapsed="false">
      <c r="B343" s="130"/>
      <c r="C343" s="130"/>
      <c r="D343" s="130"/>
      <c r="E343" s="130"/>
      <c r="F343" s="130"/>
      <c r="G343" s="130"/>
      <c r="H343" s="130"/>
      <c r="I343" s="130"/>
      <c r="J343" s="130"/>
      <c r="K343" s="130"/>
      <c r="L343" s="130"/>
      <c r="M343" s="130"/>
      <c r="N343" s="130"/>
      <c r="O343" s="130"/>
      <c r="P343" s="130"/>
      <c r="R343" s="197"/>
      <c r="S343" s="197"/>
      <c r="T343" s="197"/>
      <c r="U343" s="197"/>
      <c r="V343" s="197"/>
      <c r="W343" s="197"/>
      <c r="X343" s="197"/>
      <c r="Y343" s="197"/>
      <c r="Z343" s="197"/>
      <c r="AA343" s="197"/>
      <c r="AB343" s="197"/>
      <c r="AC343" s="197"/>
    </row>
    <row r="344" customFormat="false" ht="12" hidden="false" customHeight="false" outlineLevel="0" collapsed="false">
      <c r="B344" s="130"/>
      <c r="C344" s="130"/>
      <c r="D344" s="130"/>
      <c r="E344" s="130"/>
      <c r="F344" s="130"/>
      <c r="G344" s="130"/>
      <c r="H344" s="130"/>
      <c r="I344" s="130"/>
      <c r="J344" s="130"/>
      <c r="K344" s="130"/>
      <c r="L344" s="130"/>
      <c r="M344" s="130"/>
      <c r="N344" s="130"/>
      <c r="O344" s="130"/>
      <c r="P344" s="130"/>
      <c r="R344" s="197"/>
      <c r="S344" s="197"/>
      <c r="T344" s="197"/>
      <c r="U344" s="197"/>
      <c r="V344" s="197"/>
      <c r="W344" s="197"/>
      <c r="X344" s="197"/>
      <c r="Y344" s="197"/>
      <c r="Z344" s="197"/>
      <c r="AA344" s="197"/>
      <c r="AB344" s="197"/>
      <c r="AC344" s="197"/>
    </row>
    <row r="345" customFormat="false" ht="12" hidden="false" customHeight="false" outlineLevel="0" collapsed="false">
      <c r="B345" s="130"/>
      <c r="C345" s="130"/>
      <c r="D345" s="130"/>
      <c r="E345" s="130"/>
      <c r="F345" s="130"/>
      <c r="G345" s="130"/>
      <c r="H345" s="130"/>
      <c r="I345" s="130"/>
      <c r="J345" s="130"/>
      <c r="K345" s="130"/>
      <c r="L345" s="130"/>
      <c r="M345" s="130"/>
      <c r="N345" s="130"/>
      <c r="O345" s="130"/>
      <c r="P345" s="130"/>
      <c r="R345" s="197"/>
      <c r="S345" s="197"/>
      <c r="T345" s="197"/>
      <c r="U345" s="197"/>
      <c r="V345" s="197"/>
      <c r="W345" s="197"/>
      <c r="X345" s="197"/>
      <c r="Y345" s="197"/>
      <c r="Z345" s="197"/>
      <c r="AA345" s="197"/>
      <c r="AB345" s="197"/>
      <c r="AC345" s="197"/>
    </row>
    <row r="346" customFormat="false" ht="12" hidden="false" customHeight="false" outlineLevel="0" collapsed="false">
      <c r="B346" s="130"/>
      <c r="C346" s="130"/>
      <c r="D346" s="130"/>
      <c r="E346" s="130"/>
      <c r="F346" s="130"/>
      <c r="G346" s="130"/>
      <c r="H346" s="130"/>
      <c r="I346" s="130"/>
      <c r="J346" s="130"/>
      <c r="K346" s="130"/>
      <c r="L346" s="130"/>
      <c r="M346" s="130"/>
      <c r="N346" s="130"/>
      <c r="O346" s="130"/>
      <c r="P346" s="130"/>
      <c r="R346" s="197"/>
      <c r="S346" s="197"/>
      <c r="T346" s="197"/>
      <c r="U346" s="197"/>
      <c r="V346" s="197"/>
      <c r="W346" s="197"/>
      <c r="X346" s="197"/>
      <c r="Y346" s="197"/>
      <c r="Z346" s="197"/>
      <c r="AA346" s="197"/>
      <c r="AB346" s="197"/>
      <c r="AC346" s="197"/>
    </row>
    <row r="347" customFormat="false" ht="12" hidden="false" customHeight="false" outlineLevel="0" collapsed="false">
      <c r="B347" s="130"/>
      <c r="C347" s="130"/>
      <c r="D347" s="130"/>
      <c r="E347" s="130"/>
      <c r="F347" s="130"/>
      <c r="G347" s="130"/>
      <c r="H347" s="130"/>
      <c r="I347" s="130"/>
      <c r="J347" s="130"/>
      <c r="K347" s="130"/>
      <c r="L347" s="130"/>
      <c r="M347" s="130"/>
      <c r="N347" s="130"/>
      <c r="O347" s="130"/>
      <c r="P347" s="130"/>
      <c r="R347" s="197"/>
      <c r="S347" s="197"/>
      <c r="T347" s="197"/>
      <c r="U347" s="197"/>
      <c r="V347" s="197"/>
      <c r="W347" s="197"/>
      <c r="X347" s="197"/>
      <c r="Y347" s="197"/>
      <c r="Z347" s="197"/>
      <c r="AA347" s="197"/>
      <c r="AB347" s="197"/>
      <c r="AC347" s="197"/>
    </row>
    <row r="348" customFormat="false" ht="12" hidden="false" customHeight="false" outlineLevel="0" collapsed="false">
      <c r="B348" s="130"/>
      <c r="C348" s="130"/>
      <c r="D348" s="130"/>
      <c r="E348" s="130"/>
      <c r="F348" s="130"/>
      <c r="G348" s="130"/>
      <c r="H348" s="130"/>
      <c r="I348" s="130"/>
      <c r="J348" s="130"/>
      <c r="K348" s="130"/>
      <c r="L348" s="130"/>
      <c r="M348" s="130"/>
      <c r="N348" s="130"/>
      <c r="O348" s="130"/>
      <c r="P348" s="130"/>
      <c r="R348" s="197"/>
      <c r="S348" s="197"/>
      <c r="T348" s="197"/>
      <c r="U348" s="197"/>
      <c r="V348" s="197"/>
      <c r="W348" s="197"/>
      <c r="X348" s="197"/>
      <c r="Y348" s="197"/>
      <c r="Z348" s="197"/>
      <c r="AA348" s="197"/>
      <c r="AB348" s="197"/>
      <c r="AC348" s="197"/>
    </row>
    <row r="349" customFormat="false" ht="12" hidden="false" customHeight="false" outlineLevel="0" collapsed="false">
      <c r="B349" s="130"/>
      <c r="C349" s="130"/>
      <c r="D349" s="130"/>
      <c r="E349" s="130"/>
      <c r="F349" s="130"/>
      <c r="G349" s="130"/>
      <c r="H349" s="130"/>
      <c r="I349" s="130"/>
      <c r="J349" s="130"/>
      <c r="K349" s="130"/>
      <c r="L349" s="130"/>
      <c r="M349" s="130"/>
      <c r="N349" s="130"/>
      <c r="O349" s="130"/>
      <c r="P349" s="130"/>
      <c r="R349" s="197"/>
      <c r="S349" s="197"/>
      <c r="T349" s="197"/>
      <c r="U349" s="197"/>
      <c r="V349" s="197"/>
      <c r="W349" s="197"/>
      <c r="X349" s="197"/>
      <c r="Y349" s="197"/>
      <c r="Z349" s="197"/>
      <c r="AA349" s="197"/>
      <c r="AB349" s="197"/>
      <c r="AC349" s="197"/>
    </row>
    <row r="350" customFormat="false" ht="12" hidden="false" customHeight="false" outlineLevel="0" collapsed="false">
      <c r="B350" s="130"/>
      <c r="C350" s="130"/>
      <c r="D350" s="130"/>
      <c r="E350" s="130"/>
      <c r="F350" s="130"/>
      <c r="G350" s="130"/>
      <c r="H350" s="130"/>
      <c r="I350" s="130"/>
      <c r="J350" s="130"/>
      <c r="K350" s="130"/>
      <c r="L350" s="130"/>
      <c r="M350" s="130"/>
      <c r="N350" s="130"/>
      <c r="O350" s="130"/>
      <c r="P350" s="130"/>
      <c r="R350" s="197"/>
      <c r="S350" s="197"/>
      <c r="T350" s="197"/>
      <c r="U350" s="197"/>
      <c r="V350" s="197"/>
      <c r="W350" s="197"/>
      <c r="X350" s="197"/>
      <c r="Y350" s="197"/>
      <c r="Z350" s="197"/>
      <c r="AA350" s="197"/>
      <c r="AB350" s="197"/>
      <c r="AC350" s="197"/>
    </row>
    <row r="351" customFormat="false" ht="12" hidden="false" customHeight="false" outlineLevel="0" collapsed="false">
      <c r="B351" s="130"/>
      <c r="C351" s="130"/>
      <c r="D351" s="130"/>
      <c r="E351" s="130"/>
      <c r="F351" s="130"/>
      <c r="G351" s="130"/>
      <c r="H351" s="130"/>
      <c r="I351" s="130"/>
      <c r="J351" s="130"/>
      <c r="K351" s="130"/>
      <c r="L351" s="130"/>
      <c r="M351" s="130"/>
      <c r="N351" s="130"/>
      <c r="O351" s="130"/>
      <c r="P351" s="130"/>
      <c r="R351" s="197"/>
      <c r="S351" s="197"/>
      <c r="T351" s="197"/>
      <c r="U351" s="197"/>
      <c r="V351" s="197"/>
      <c r="W351" s="197"/>
      <c r="X351" s="197"/>
      <c r="Y351" s="197"/>
      <c r="Z351" s="197"/>
      <c r="AA351" s="197"/>
      <c r="AB351" s="197"/>
      <c r="AC351" s="197"/>
    </row>
    <row r="352" customFormat="false" ht="12" hidden="false" customHeight="false" outlineLevel="0" collapsed="false">
      <c r="B352" s="130"/>
      <c r="C352" s="130"/>
      <c r="D352" s="130"/>
      <c r="E352" s="130"/>
      <c r="F352" s="130"/>
      <c r="G352" s="130"/>
      <c r="H352" s="130"/>
      <c r="I352" s="130"/>
      <c r="J352" s="130"/>
      <c r="K352" s="130"/>
      <c r="L352" s="130"/>
      <c r="M352" s="130"/>
      <c r="N352" s="130"/>
      <c r="O352" s="130"/>
      <c r="P352" s="130"/>
      <c r="R352" s="197"/>
      <c r="S352" s="197"/>
      <c r="T352" s="197"/>
      <c r="U352" s="197"/>
      <c r="V352" s="197"/>
      <c r="W352" s="197"/>
      <c r="X352" s="197"/>
      <c r="Y352" s="197"/>
      <c r="Z352" s="197"/>
      <c r="AA352" s="197"/>
      <c r="AB352" s="197"/>
      <c r="AC352" s="197"/>
    </row>
    <row r="353" customFormat="false" ht="12" hidden="false" customHeight="false" outlineLevel="0" collapsed="false">
      <c r="B353" s="130"/>
      <c r="C353" s="130"/>
      <c r="D353" s="130"/>
      <c r="E353" s="130"/>
      <c r="F353" s="130"/>
      <c r="G353" s="130"/>
      <c r="H353" s="130"/>
      <c r="I353" s="130"/>
      <c r="J353" s="130"/>
      <c r="K353" s="130"/>
      <c r="L353" s="130"/>
      <c r="M353" s="130"/>
      <c r="N353" s="130"/>
      <c r="O353" s="130"/>
      <c r="P353" s="130"/>
      <c r="R353" s="197"/>
      <c r="S353" s="197"/>
      <c r="T353" s="197"/>
      <c r="U353" s="197"/>
      <c r="V353" s="197"/>
      <c r="W353" s="197"/>
      <c r="X353" s="197"/>
      <c r="Y353" s="197"/>
      <c r="Z353" s="197"/>
      <c r="AA353" s="197"/>
      <c r="AB353" s="197"/>
      <c r="AC353" s="197"/>
    </row>
    <row r="354" customFormat="false" ht="12" hidden="false" customHeight="false" outlineLevel="0" collapsed="false">
      <c r="B354" s="130"/>
      <c r="C354" s="130"/>
      <c r="D354" s="130"/>
      <c r="E354" s="130"/>
      <c r="F354" s="130"/>
      <c r="G354" s="130"/>
      <c r="H354" s="130"/>
      <c r="I354" s="130"/>
      <c r="J354" s="130"/>
      <c r="K354" s="130"/>
      <c r="L354" s="130"/>
      <c r="M354" s="130"/>
      <c r="N354" s="130"/>
      <c r="O354" s="130"/>
      <c r="P354" s="130"/>
      <c r="R354" s="197"/>
      <c r="S354" s="197"/>
      <c r="T354" s="197"/>
      <c r="U354" s="197"/>
      <c r="V354" s="197"/>
      <c r="W354" s="197"/>
      <c r="X354" s="197"/>
      <c r="Y354" s="197"/>
      <c r="Z354" s="197"/>
      <c r="AA354" s="197"/>
      <c r="AB354" s="197"/>
      <c r="AC354" s="197"/>
    </row>
    <row r="355" customFormat="false" ht="12" hidden="false" customHeight="false" outlineLevel="0" collapsed="false">
      <c r="B355" s="130"/>
      <c r="C355" s="130"/>
      <c r="D355" s="130"/>
      <c r="E355" s="130"/>
      <c r="F355" s="130"/>
      <c r="G355" s="130"/>
      <c r="H355" s="130"/>
      <c r="I355" s="130"/>
      <c r="J355" s="130"/>
      <c r="K355" s="130"/>
      <c r="L355" s="130"/>
      <c r="M355" s="130"/>
      <c r="N355" s="130"/>
      <c r="O355" s="130"/>
      <c r="P355" s="130"/>
      <c r="R355" s="197"/>
      <c r="S355" s="197"/>
      <c r="T355" s="197"/>
      <c r="U355" s="197"/>
      <c r="V355" s="197"/>
      <c r="W355" s="197"/>
      <c r="X355" s="197"/>
      <c r="Y355" s="197"/>
      <c r="Z355" s="197"/>
      <c r="AA355" s="197"/>
      <c r="AB355" s="197"/>
      <c r="AC355" s="197"/>
    </row>
    <row r="356" customFormat="false" ht="12" hidden="false" customHeight="false" outlineLevel="0" collapsed="false">
      <c r="B356" s="130"/>
      <c r="C356" s="130"/>
      <c r="D356" s="130"/>
      <c r="E356" s="130"/>
      <c r="F356" s="130"/>
      <c r="G356" s="130"/>
      <c r="H356" s="130"/>
      <c r="I356" s="130"/>
      <c r="J356" s="130"/>
      <c r="K356" s="130"/>
      <c r="L356" s="130"/>
      <c r="M356" s="130"/>
      <c r="N356" s="130"/>
      <c r="O356" s="130"/>
      <c r="P356" s="130"/>
      <c r="R356" s="197"/>
      <c r="S356" s="197"/>
      <c r="T356" s="197"/>
      <c r="U356" s="197"/>
      <c r="V356" s="197"/>
      <c r="W356" s="197"/>
      <c r="X356" s="197"/>
      <c r="Y356" s="197"/>
      <c r="Z356" s="197"/>
      <c r="AA356" s="197"/>
      <c r="AB356" s="197"/>
      <c r="AC356" s="197"/>
    </row>
    <row r="357" customFormat="false" ht="12" hidden="false" customHeight="false" outlineLevel="0" collapsed="false">
      <c r="B357" s="130"/>
      <c r="C357" s="130"/>
      <c r="D357" s="130"/>
      <c r="E357" s="130"/>
      <c r="F357" s="130"/>
      <c r="G357" s="130"/>
      <c r="H357" s="130"/>
      <c r="I357" s="130"/>
      <c r="J357" s="130"/>
      <c r="K357" s="130"/>
      <c r="L357" s="130"/>
      <c r="M357" s="130"/>
      <c r="N357" s="130"/>
      <c r="O357" s="130"/>
      <c r="P357" s="130"/>
      <c r="R357" s="197"/>
      <c r="S357" s="197"/>
      <c r="T357" s="197"/>
      <c r="U357" s="197"/>
      <c r="V357" s="197"/>
      <c r="W357" s="197"/>
      <c r="X357" s="197"/>
      <c r="Y357" s="197"/>
      <c r="Z357" s="197"/>
      <c r="AA357" s="197"/>
      <c r="AB357" s="197"/>
      <c r="AC357" s="197"/>
    </row>
    <row r="358" customFormat="false" ht="12" hidden="false" customHeight="false" outlineLevel="0" collapsed="false">
      <c r="B358" s="130"/>
      <c r="C358" s="130"/>
      <c r="D358" s="130"/>
      <c r="E358" s="130"/>
      <c r="F358" s="130"/>
      <c r="G358" s="130"/>
      <c r="H358" s="130"/>
      <c r="I358" s="130"/>
      <c r="J358" s="130"/>
      <c r="K358" s="130"/>
      <c r="L358" s="130"/>
      <c r="M358" s="130"/>
      <c r="N358" s="130"/>
      <c r="O358" s="130"/>
      <c r="P358" s="130"/>
      <c r="R358" s="197"/>
      <c r="S358" s="197"/>
      <c r="T358" s="197"/>
      <c r="U358" s="197"/>
      <c r="V358" s="197"/>
      <c r="W358" s="197"/>
      <c r="X358" s="197"/>
      <c r="Y358" s="197"/>
      <c r="Z358" s="197"/>
      <c r="AA358" s="197"/>
      <c r="AB358" s="197"/>
      <c r="AC358" s="197"/>
    </row>
    <row r="359" customFormat="false" ht="12" hidden="false" customHeight="false" outlineLevel="0" collapsed="false">
      <c r="B359" s="130"/>
      <c r="C359" s="130"/>
      <c r="D359" s="130"/>
      <c r="E359" s="130"/>
      <c r="F359" s="130"/>
      <c r="G359" s="130"/>
      <c r="H359" s="130"/>
      <c r="I359" s="130"/>
      <c r="J359" s="130"/>
      <c r="K359" s="130"/>
      <c r="L359" s="130"/>
      <c r="M359" s="130"/>
      <c r="N359" s="130"/>
      <c r="O359" s="130"/>
      <c r="P359" s="130"/>
      <c r="R359" s="197"/>
      <c r="S359" s="197"/>
      <c r="T359" s="197"/>
      <c r="U359" s="197"/>
      <c r="V359" s="197"/>
      <c r="W359" s="197"/>
      <c r="X359" s="197"/>
      <c r="Y359" s="197"/>
      <c r="Z359" s="197"/>
      <c r="AA359" s="197"/>
      <c r="AB359" s="197"/>
      <c r="AC359" s="197"/>
    </row>
    <row r="360" customFormat="false" ht="12" hidden="false" customHeight="false" outlineLevel="0" collapsed="false">
      <c r="B360" s="130"/>
      <c r="C360" s="130"/>
      <c r="D360" s="130"/>
      <c r="E360" s="130"/>
      <c r="F360" s="130"/>
      <c r="G360" s="130"/>
      <c r="H360" s="130"/>
      <c r="I360" s="130"/>
      <c r="J360" s="130"/>
      <c r="K360" s="130"/>
      <c r="L360" s="130"/>
      <c r="M360" s="130"/>
      <c r="N360" s="130"/>
      <c r="O360" s="130"/>
      <c r="P360" s="130"/>
      <c r="R360" s="197"/>
      <c r="S360" s="197"/>
      <c r="T360" s="197"/>
      <c r="U360" s="197"/>
      <c r="V360" s="197"/>
      <c r="W360" s="197"/>
      <c r="X360" s="197"/>
      <c r="Y360" s="197"/>
      <c r="Z360" s="197"/>
      <c r="AA360" s="197"/>
      <c r="AB360" s="197"/>
      <c r="AC360" s="197"/>
    </row>
    <row r="361" customFormat="false" ht="12" hidden="false" customHeight="false" outlineLevel="0" collapsed="false">
      <c r="B361" s="130"/>
      <c r="C361" s="130"/>
      <c r="D361" s="130"/>
      <c r="E361" s="130"/>
      <c r="F361" s="130"/>
      <c r="G361" s="130"/>
      <c r="H361" s="130"/>
      <c r="I361" s="130"/>
      <c r="J361" s="130"/>
      <c r="K361" s="130"/>
      <c r="L361" s="130"/>
      <c r="M361" s="130"/>
      <c r="N361" s="130"/>
      <c r="O361" s="130"/>
      <c r="P361" s="130"/>
      <c r="R361" s="197"/>
      <c r="S361" s="197"/>
      <c r="T361" s="197"/>
      <c r="U361" s="197"/>
      <c r="V361" s="197"/>
      <c r="W361" s="197"/>
      <c r="X361" s="197"/>
      <c r="Y361" s="197"/>
      <c r="Z361" s="197"/>
      <c r="AA361" s="197"/>
      <c r="AB361" s="197"/>
      <c r="AC361" s="197"/>
    </row>
    <row r="362" customFormat="false" ht="12" hidden="false" customHeight="false" outlineLevel="0" collapsed="false">
      <c r="B362" s="130"/>
      <c r="C362" s="130"/>
      <c r="D362" s="130"/>
      <c r="E362" s="130"/>
      <c r="F362" s="130"/>
      <c r="G362" s="130"/>
      <c r="H362" s="130"/>
      <c r="I362" s="130"/>
      <c r="J362" s="130"/>
      <c r="K362" s="130"/>
      <c r="L362" s="130"/>
      <c r="M362" s="130"/>
      <c r="N362" s="130"/>
      <c r="O362" s="130"/>
      <c r="P362" s="130"/>
      <c r="R362" s="197"/>
      <c r="S362" s="197"/>
      <c r="T362" s="197"/>
      <c r="U362" s="197"/>
      <c r="V362" s="197"/>
      <c r="W362" s="197"/>
      <c r="X362" s="197"/>
      <c r="Y362" s="197"/>
      <c r="Z362" s="197"/>
      <c r="AA362" s="197"/>
      <c r="AB362" s="197"/>
      <c r="AC362" s="197"/>
    </row>
    <row r="363" customFormat="false" ht="12" hidden="false" customHeight="false" outlineLevel="0" collapsed="false">
      <c r="B363" s="130"/>
      <c r="C363" s="130"/>
      <c r="D363" s="130"/>
      <c r="E363" s="130"/>
      <c r="F363" s="130"/>
      <c r="G363" s="130"/>
      <c r="H363" s="130"/>
      <c r="I363" s="130"/>
      <c r="J363" s="130"/>
      <c r="K363" s="130"/>
      <c r="L363" s="130"/>
      <c r="M363" s="130"/>
      <c r="N363" s="130"/>
      <c r="O363" s="130"/>
      <c r="P363" s="130"/>
      <c r="R363" s="197"/>
      <c r="S363" s="197"/>
      <c r="T363" s="197"/>
      <c r="U363" s="197"/>
      <c r="V363" s="197"/>
      <c r="W363" s="197"/>
      <c r="X363" s="197"/>
      <c r="Y363" s="197"/>
      <c r="Z363" s="197"/>
      <c r="AA363" s="197"/>
      <c r="AB363" s="197"/>
      <c r="AC363" s="197"/>
    </row>
    <row r="364" customFormat="false" ht="12" hidden="false" customHeight="false" outlineLevel="0" collapsed="false">
      <c r="B364" s="130"/>
      <c r="C364" s="130"/>
      <c r="D364" s="130"/>
      <c r="E364" s="130"/>
      <c r="F364" s="130"/>
      <c r="G364" s="130"/>
      <c r="H364" s="130"/>
      <c r="I364" s="130"/>
      <c r="J364" s="130"/>
      <c r="K364" s="130"/>
      <c r="L364" s="130"/>
      <c r="M364" s="130"/>
      <c r="N364" s="130"/>
      <c r="O364" s="130"/>
      <c r="P364" s="130"/>
      <c r="R364" s="197"/>
      <c r="S364" s="197"/>
      <c r="T364" s="197"/>
      <c r="U364" s="197"/>
      <c r="V364" s="197"/>
      <c r="W364" s="197"/>
      <c r="X364" s="197"/>
      <c r="Y364" s="197"/>
      <c r="Z364" s="197"/>
      <c r="AA364" s="197"/>
      <c r="AB364" s="197"/>
      <c r="AC364" s="197"/>
    </row>
    <row r="365" customFormat="false" ht="12" hidden="false" customHeight="false" outlineLevel="0" collapsed="false">
      <c r="B365" s="130"/>
      <c r="C365" s="130"/>
      <c r="D365" s="130"/>
      <c r="E365" s="130"/>
      <c r="F365" s="130"/>
      <c r="G365" s="130"/>
      <c r="H365" s="130"/>
      <c r="I365" s="130"/>
      <c r="J365" s="130"/>
      <c r="K365" s="130"/>
      <c r="L365" s="130"/>
      <c r="M365" s="130"/>
      <c r="N365" s="130"/>
      <c r="O365" s="130"/>
      <c r="P365" s="130"/>
      <c r="R365" s="197"/>
      <c r="S365" s="197"/>
      <c r="T365" s="197"/>
      <c r="U365" s="197"/>
      <c r="V365" s="197"/>
      <c r="W365" s="197"/>
      <c r="X365" s="197"/>
      <c r="Y365" s="197"/>
      <c r="Z365" s="197"/>
      <c r="AA365" s="197"/>
      <c r="AB365" s="197"/>
      <c r="AC365" s="197"/>
    </row>
    <row r="366" customFormat="false" ht="12" hidden="false" customHeight="false" outlineLevel="0" collapsed="false">
      <c r="B366" s="130"/>
      <c r="C366" s="130"/>
      <c r="D366" s="130"/>
      <c r="E366" s="130"/>
      <c r="F366" s="130"/>
      <c r="G366" s="130"/>
      <c r="H366" s="130"/>
      <c r="I366" s="130"/>
      <c r="J366" s="130"/>
      <c r="K366" s="130"/>
      <c r="L366" s="130"/>
      <c r="M366" s="130"/>
      <c r="N366" s="130"/>
      <c r="O366" s="130"/>
      <c r="P366" s="130"/>
      <c r="R366" s="197"/>
      <c r="S366" s="197"/>
      <c r="T366" s="197"/>
      <c r="U366" s="197"/>
      <c r="V366" s="197"/>
      <c r="W366" s="197"/>
      <c r="X366" s="197"/>
      <c r="Y366" s="197"/>
      <c r="Z366" s="197"/>
      <c r="AA366" s="197"/>
      <c r="AB366" s="197"/>
      <c r="AC366" s="197"/>
    </row>
    <row r="367" customFormat="false" ht="12" hidden="false" customHeight="false" outlineLevel="0" collapsed="false">
      <c r="B367" s="130"/>
      <c r="C367" s="130"/>
      <c r="D367" s="130"/>
      <c r="E367" s="130"/>
      <c r="F367" s="130"/>
      <c r="G367" s="130"/>
      <c r="H367" s="130"/>
      <c r="I367" s="130"/>
      <c r="J367" s="130"/>
      <c r="K367" s="130"/>
      <c r="L367" s="130"/>
      <c r="M367" s="130"/>
      <c r="N367" s="130"/>
      <c r="O367" s="130"/>
      <c r="P367" s="130"/>
      <c r="R367" s="197"/>
      <c r="S367" s="197"/>
      <c r="T367" s="197"/>
      <c r="U367" s="197"/>
      <c r="V367" s="197"/>
      <c r="W367" s="197"/>
      <c r="X367" s="197"/>
      <c r="Y367" s="197"/>
      <c r="Z367" s="197"/>
      <c r="AA367" s="197"/>
      <c r="AB367" s="197"/>
      <c r="AC367" s="197"/>
    </row>
    <row r="368" customFormat="false" ht="12" hidden="false" customHeight="false" outlineLevel="0" collapsed="false">
      <c r="B368" s="130"/>
      <c r="C368" s="130"/>
      <c r="D368" s="130"/>
      <c r="E368" s="130"/>
      <c r="F368" s="130"/>
      <c r="G368" s="130"/>
      <c r="H368" s="130"/>
      <c r="I368" s="130"/>
      <c r="J368" s="130"/>
      <c r="K368" s="130"/>
      <c r="L368" s="130"/>
      <c r="M368" s="130"/>
      <c r="N368" s="130"/>
      <c r="O368" s="130"/>
      <c r="P368" s="130"/>
      <c r="R368" s="197"/>
      <c r="S368" s="197"/>
      <c r="T368" s="197"/>
      <c r="U368" s="197"/>
      <c r="V368" s="197"/>
      <c r="W368" s="197"/>
      <c r="X368" s="197"/>
      <c r="Y368" s="197"/>
      <c r="Z368" s="197"/>
      <c r="AA368" s="197"/>
      <c r="AB368" s="197"/>
      <c r="AC368" s="197"/>
    </row>
    <row r="369" customFormat="false" ht="12" hidden="false" customHeight="false" outlineLevel="0" collapsed="false">
      <c r="B369" s="130"/>
      <c r="C369" s="130"/>
      <c r="D369" s="130"/>
      <c r="E369" s="130"/>
      <c r="F369" s="130"/>
      <c r="G369" s="130"/>
      <c r="H369" s="130"/>
      <c r="I369" s="130"/>
      <c r="J369" s="130"/>
      <c r="K369" s="130"/>
      <c r="L369" s="130"/>
      <c r="M369" s="130"/>
      <c r="N369" s="130"/>
      <c r="O369" s="130"/>
      <c r="P369" s="130"/>
      <c r="R369" s="197"/>
      <c r="S369" s="197"/>
      <c r="T369" s="197"/>
      <c r="U369" s="197"/>
      <c r="V369" s="197"/>
      <c r="W369" s="197"/>
      <c r="X369" s="197"/>
      <c r="Y369" s="197"/>
      <c r="Z369" s="197"/>
      <c r="AA369" s="197"/>
      <c r="AB369" s="197"/>
      <c r="AC369" s="197"/>
    </row>
    <row r="370" customFormat="false" ht="12" hidden="false" customHeight="false" outlineLevel="0" collapsed="false">
      <c r="B370" s="130"/>
      <c r="C370" s="130"/>
      <c r="D370" s="130"/>
      <c r="E370" s="130"/>
      <c r="F370" s="130"/>
      <c r="G370" s="130"/>
      <c r="H370" s="130"/>
      <c r="I370" s="130"/>
      <c r="J370" s="130"/>
      <c r="K370" s="130"/>
      <c r="L370" s="130"/>
      <c r="M370" s="130"/>
      <c r="N370" s="130"/>
      <c r="O370" s="130"/>
      <c r="P370" s="130"/>
      <c r="R370" s="197"/>
      <c r="S370" s="197"/>
      <c r="T370" s="197"/>
      <c r="U370" s="197"/>
      <c r="V370" s="197"/>
      <c r="W370" s="197"/>
      <c r="X370" s="197"/>
      <c r="Y370" s="197"/>
      <c r="Z370" s="197"/>
      <c r="AA370" s="197"/>
      <c r="AB370" s="197"/>
      <c r="AC370" s="197"/>
    </row>
    <row r="371" customFormat="false" ht="12" hidden="false" customHeight="false" outlineLevel="0" collapsed="false">
      <c r="B371" s="130"/>
      <c r="C371" s="130"/>
      <c r="D371" s="130"/>
      <c r="E371" s="130"/>
      <c r="F371" s="130"/>
      <c r="G371" s="130"/>
      <c r="H371" s="130"/>
      <c r="I371" s="130"/>
      <c r="J371" s="130"/>
      <c r="K371" s="130"/>
      <c r="L371" s="130"/>
      <c r="M371" s="130"/>
      <c r="N371" s="130"/>
      <c r="O371" s="130"/>
      <c r="P371" s="130"/>
      <c r="R371" s="197"/>
      <c r="S371" s="197"/>
      <c r="T371" s="197"/>
      <c r="U371" s="197"/>
      <c r="V371" s="197"/>
      <c r="W371" s="197"/>
      <c r="X371" s="197"/>
      <c r="Y371" s="197"/>
      <c r="Z371" s="197"/>
      <c r="AA371" s="197"/>
      <c r="AB371" s="197"/>
      <c r="AC371" s="197"/>
    </row>
    <row r="372" customFormat="false" ht="12" hidden="false" customHeight="false" outlineLevel="0" collapsed="false">
      <c r="B372" s="130"/>
      <c r="C372" s="130"/>
      <c r="D372" s="130"/>
      <c r="E372" s="130"/>
      <c r="F372" s="130"/>
      <c r="G372" s="130"/>
      <c r="H372" s="130"/>
      <c r="I372" s="130"/>
      <c r="J372" s="130"/>
      <c r="K372" s="130"/>
      <c r="L372" s="130"/>
      <c r="M372" s="130"/>
      <c r="N372" s="130"/>
      <c r="O372" s="130"/>
      <c r="P372" s="130"/>
      <c r="R372" s="197"/>
      <c r="S372" s="197"/>
      <c r="T372" s="197"/>
      <c r="U372" s="197"/>
      <c r="V372" s="197"/>
      <c r="W372" s="197"/>
      <c r="X372" s="197"/>
      <c r="Y372" s="197"/>
      <c r="Z372" s="197"/>
      <c r="AA372" s="197"/>
      <c r="AB372" s="197"/>
      <c r="AC372" s="197"/>
    </row>
    <row r="373" customFormat="false" ht="12" hidden="false" customHeight="false" outlineLevel="0" collapsed="false">
      <c r="B373" s="130"/>
      <c r="C373" s="130"/>
      <c r="D373" s="130"/>
      <c r="E373" s="130"/>
      <c r="F373" s="130"/>
      <c r="G373" s="130"/>
      <c r="H373" s="130"/>
      <c r="I373" s="130"/>
      <c r="J373" s="130"/>
      <c r="K373" s="130"/>
      <c r="L373" s="130"/>
      <c r="M373" s="130"/>
      <c r="N373" s="130"/>
      <c r="O373" s="130"/>
      <c r="P373" s="130"/>
      <c r="R373" s="197"/>
      <c r="S373" s="197"/>
      <c r="T373" s="197"/>
      <c r="U373" s="197"/>
      <c r="V373" s="197"/>
      <c r="W373" s="197"/>
      <c r="X373" s="197"/>
      <c r="Y373" s="197"/>
      <c r="Z373" s="197"/>
      <c r="AA373" s="197"/>
      <c r="AB373" s="197"/>
      <c r="AC373" s="197"/>
    </row>
    <row r="374" customFormat="false" ht="12" hidden="false" customHeight="false" outlineLevel="0" collapsed="false">
      <c r="B374" s="130"/>
      <c r="C374" s="130"/>
      <c r="D374" s="130"/>
      <c r="E374" s="130"/>
      <c r="F374" s="130"/>
      <c r="G374" s="130"/>
      <c r="H374" s="130"/>
      <c r="I374" s="130"/>
      <c r="J374" s="130"/>
      <c r="K374" s="130"/>
      <c r="L374" s="130"/>
      <c r="M374" s="130"/>
      <c r="N374" s="130"/>
      <c r="O374" s="130"/>
      <c r="P374" s="130"/>
      <c r="R374" s="197"/>
      <c r="S374" s="197"/>
      <c r="T374" s="197"/>
      <c r="U374" s="197"/>
      <c r="V374" s="197"/>
      <c r="W374" s="197"/>
      <c r="X374" s="197"/>
      <c r="Y374" s="197"/>
      <c r="Z374" s="197"/>
      <c r="AA374" s="197"/>
      <c r="AB374" s="197"/>
      <c r="AC374" s="197"/>
    </row>
    <row r="375" customFormat="false" ht="12" hidden="false" customHeight="false" outlineLevel="0" collapsed="false">
      <c r="B375" s="130"/>
      <c r="C375" s="130"/>
      <c r="D375" s="130"/>
      <c r="E375" s="130"/>
      <c r="F375" s="130"/>
      <c r="G375" s="130"/>
      <c r="H375" s="130"/>
      <c r="I375" s="130"/>
      <c r="J375" s="130"/>
      <c r="K375" s="130"/>
      <c r="L375" s="130"/>
      <c r="M375" s="130"/>
      <c r="N375" s="130"/>
      <c r="O375" s="130"/>
      <c r="P375" s="130"/>
      <c r="R375" s="197"/>
      <c r="S375" s="197"/>
      <c r="T375" s="197"/>
      <c r="U375" s="197"/>
      <c r="V375" s="197"/>
      <c r="W375" s="197"/>
      <c r="X375" s="197"/>
      <c r="Y375" s="197"/>
      <c r="Z375" s="197"/>
      <c r="AA375" s="197"/>
      <c r="AB375" s="197"/>
      <c r="AC375" s="197"/>
    </row>
    <row r="376" customFormat="false" ht="12" hidden="false" customHeight="false" outlineLevel="0" collapsed="false">
      <c r="B376" s="130"/>
      <c r="C376" s="130"/>
      <c r="D376" s="130"/>
      <c r="E376" s="130"/>
      <c r="F376" s="130"/>
      <c r="G376" s="130"/>
      <c r="H376" s="130"/>
      <c r="I376" s="130"/>
      <c r="J376" s="130"/>
      <c r="K376" s="130"/>
      <c r="L376" s="130"/>
      <c r="M376" s="130"/>
      <c r="N376" s="130"/>
      <c r="O376" s="130"/>
      <c r="P376" s="130"/>
      <c r="R376" s="197"/>
      <c r="S376" s="197"/>
      <c r="T376" s="197"/>
      <c r="U376" s="197"/>
      <c r="V376" s="197"/>
      <c r="W376" s="197"/>
      <c r="X376" s="197"/>
      <c r="Y376" s="197"/>
      <c r="Z376" s="197"/>
      <c r="AA376" s="197"/>
      <c r="AB376" s="197"/>
      <c r="AC376" s="197"/>
    </row>
    <row r="377" customFormat="false" ht="12" hidden="false" customHeight="false" outlineLevel="0" collapsed="false">
      <c r="B377" s="130"/>
      <c r="C377" s="130"/>
      <c r="D377" s="130"/>
      <c r="E377" s="130"/>
      <c r="F377" s="130"/>
      <c r="G377" s="130"/>
      <c r="H377" s="130"/>
      <c r="I377" s="130"/>
      <c r="J377" s="130"/>
      <c r="K377" s="130"/>
      <c r="L377" s="130"/>
      <c r="M377" s="130"/>
      <c r="N377" s="130"/>
      <c r="O377" s="130"/>
      <c r="P377" s="130"/>
      <c r="R377" s="197"/>
      <c r="S377" s="197"/>
      <c r="T377" s="197"/>
      <c r="U377" s="197"/>
      <c r="V377" s="197"/>
      <c r="W377" s="197"/>
      <c r="X377" s="197"/>
      <c r="Y377" s="197"/>
      <c r="Z377" s="197"/>
      <c r="AA377" s="197"/>
      <c r="AB377" s="197"/>
      <c r="AC377" s="197"/>
    </row>
    <row r="378" customFormat="false" ht="12" hidden="false" customHeight="false" outlineLevel="0" collapsed="false">
      <c r="B378" s="130"/>
      <c r="C378" s="130"/>
      <c r="D378" s="130"/>
      <c r="E378" s="130"/>
      <c r="F378" s="130"/>
      <c r="G378" s="130"/>
      <c r="H378" s="130"/>
      <c r="I378" s="130"/>
      <c r="J378" s="130"/>
      <c r="K378" s="130"/>
      <c r="L378" s="130"/>
      <c r="M378" s="130"/>
      <c r="N378" s="130"/>
      <c r="O378" s="130"/>
      <c r="P378" s="130"/>
      <c r="R378" s="197"/>
      <c r="S378" s="197"/>
      <c r="T378" s="197"/>
      <c r="U378" s="197"/>
      <c r="V378" s="197"/>
      <c r="W378" s="197"/>
      <c r="X378" s="197"/>
      <c r="Y378" s="197"/>
      <c r="Z378" s="197"/>
      <c r="AA378" s="197"/>
      <c r="AB378" s="197"/>
      <c r="AC378" s="197"/>
    </row>
    <row r="379" customFormat="false" ht="12" hidden="false" customHeight="false" outlineLevel="0" collapsed="false">
      <c r="B379" s="130"/>
      <c r="C379" s="130"/>
      <c r="D379" s="130"/>
      <c r="E379" s="130"/>
      <c r="F379" s="130"/>
      <c r="G379" s="130"/>
      <c r="H379" s="130"/>
      <c r="I379" s="130"/>
      <c r="J379" s="130"/>
      <c r="K379" s="130"/>
      <c r="L379" s="130"/>
      <c r="M379" s="130"/>
      <c r="N379" s="130"/>
      <c r="O379" s="130"/>
      <c r="P379" s="130"/>
      <c r="R379" s="197"/>
      <c r="S379" s="197"/>
      <c r="T379" s="197"/>
      <c r="U379" s="197"/>
      <c r="V379" s="197"/>
      <c r="W379" s="197"/>
      <c r="X379" s="197"/>
      <c r="Y379" s="197"/>
      <c r="Z379" s="197"/>
      <c r="AA379" s="197"/>
      <c r="AB379" s="197"/>
      <c r="AC379" s="197"/>
    </row>
    <row r="380" customFormat="false" ht="12" hidden="false" customHeight="false" outlineLevel="0" collapsed="false">
      <c r="B380" s="130"/>
      <c r="C380" s="130"/>
      <c r="D380" s="130"/>
      <c r="E380" s="130"/>
      <c r="F380" s="130"/>
      <c r="G380" s="130"/>
      <c r="H380" s="130"/>
      <c r="I380" s="130"/>
      <c r="J380" s="130"/>
      <c r="K380" s="130"/>
      <c r="L380" s="130"/>
      <c r="M380" s="130"/>
      <c r="N380" s="130"/>
      <c r="O380" s="130"/>
      <c r="P380" s="130"/>
      <c r="R380" s="197"/>
      <c r="S380" s="197"/>
      <c r="T380" s="197"/>
      <c r="U380" s="197"/>
      <c r="V380" s="197"/>
      <c r="W380" s="197"/>
      <c r="X380" s="197"/>
      <c r="Y380" s="197"/>
      <c r="Z380" s="197"/>
      <c r="AA380" s="197"/>
      <c r="AB380" s="197"/>
      <c r="AC380" s="197"/>
    </row>
    <row r="381" customFormat="false" ht="12" hidden="false" customHeight="false" outlineLevel="0" collapsed="false">
      <c r="B381" s="130"/>
      <c r="C381" s="130"/>
      <c r="D381" s="130"/>
      <c r="E381" s="130"/>
      <c r="F381" s="130"/>
      <c r="G381" s="130"/>
      <c r="H381" s="130"/>
      <c r="I381" s="130"/>
      <c r="J381" s="130"/>
      <c r="K381" s="130"/>
      <c r="L381" s="130"/>
      <c r="M381" s="130"/>
      <c r="N381" s="130"/>
      <c r="O381" s="130"/>
      <c r="P381" s="130"/>
      <c r="R381" s="197"/>
      <c r="S381" s="197"/>
      <c r="T381" s="197"/>
      <c r="U381" s="197"/>
      <c r="V381" s="197"/>
      <c r="W381" s="197"/>
      <c r="X381" s="197"/>
      <c r="Y381" s="197"/>
      <c r="Z381" s="197"/>
      <c r="AA381" s="197"/>
      <c r="AB381" s="197"/>
      <c r="AC381" s="197"/>
    </row>
    <row r="382" customFormat="false" ht="12" hidden="false" customHeight="false" outlineLevel="0" collapsed="false">
      <c r="B382" s="130"/>
      <c r="C382" s="130"/>
      <c r="D382" s="130"/>
      <c r="E382" s="130"/>
      <c r="F382" s="130"/>
      <c r="G382" s="130"/>
      <c r="H382" s="130"/>
      <c r="I382" s="130"/>
      <c r="J382" s="130"/>
      <c r="K382" s="130"/>
      <c r="L382" s="130"/>
      <c r="M382" s="130"/>
      <c r="N382" s="130"/>
      <c r="O382" s="130"/>
      <c r="P382" s="130"/>
      <c r="R382" s="197"/>
      <c r="S382" s="197"/>
      <c r="T382" s="197"/>
      <c r="U382" s="197"/>
      <c r="V382" s="197"/>
      <c r="W382" s="197"/>
      <c r="X382" s="197"/>
      <c r="Y382" s="197"/>
      <c r="Z382" s="197"/>
      <c r="AA382" s="197"/>
      <c r="AB382" s="197"/>
      <c r="AC382" s="197"/>
    </row>
    <row r="383" customFormat="false" ht="12" hidden="false" customHeight="false" outlineLevel="0" collapsed="false">
      <c r="B383" s="130"/>
      <c r="C383" s="130"/>
      <c r="D383" s="130"/>
      <c r="E383" s="130"/>
      <c r="F383" s="130"/>
      <c r="G383" s="130"/>
      <c r="H383" s="130"/>
      <c r="I383" s="130"/>
      <c r="J383" s="130"/>
      <c r="K383" s="130"/>
      <c r="L383" s="130"/>
      <c r="M383" s="130"/>
      <c r="N383" s="130"/>
      <c r="O383" s="130"/>
      <c r="P383" s="130"/>
      <c r="R383" s="197"/>
      <c r="S383" s="197"/>
      <c r="T383" s="197"/>
      <c r="U383" s="197"/>
      <c r="V383" s="197"/>
      <c r="W383" s="197"/>
      <c r="X383" s="197"/>
      <c r="Y383" s="197"/>
      <c r="Z383" s="197"/>
      <c r="AA383" s="197"/>
      <c r="AB383" s="197"/>
      <c r="AC383" s="197"/>
    </row>
    <row r="384" customFormat="false" ht="12" hidden="false" customHeight="false" outlineLevel="0" collapsed="false">
      <c r="B384" s="130"/>
      <c r="C384" s="130"/>
      <c r="D384" s="130"/>
      <c r="E384" s="130"/>
      <c r="F384" s="130"/>
      <c r="G384" s="130"/>
      <c r="H384" s="130"/>
      <c r="I384" s="130"/>
      <c r="J384" s="130"/>
      <c r="K384" s="130"/>
      <c r="L384" s="130"/>
      <c r="M384" s="130"/>
      <c r="N384" s="130"/>
      <c r="O384" s="130"/>
      <c r="P384" s="130"/>
      <c r="R384" s="197"/>
      <c r="S384" s="197"/>
      <c r="T384" s="197"/>
      <c r="U384" s="197"/>
      <c r="V384" s="197"/>
      <c r="W384" s="197"/>
      <c r="X384" s="197"/>
      <c r="Y384" s="197"/>
      <c r="Z384" s="197"/>
      <c r="AA384" s="197"/>
      <c r="AB384" s="197"/>
      <c r="AC384" s="197"/>
    </row>
    <row r="385" customFormat="false" ht="12" hidden="false" customHeight="false" outlineLevel="0" collapsed="false">
      <c r="B385" s="130"/>
      <c r="C385" s="130"/>
      <c r="D385" s="130"/>
      <c r="E385" s="130"/>
      <c r="F385" s="130"/>
      <c r="G385" s="130"/>
      <c r="H385" s="130"/>
      <c r="I385" s="130"/>
      <c r="J385" s="130"/>
      <c r="K385" s="130"/>
      <c r="L385" s="130"/>
      <c r="M385" s="130"/>
      <c r="N385" s="130"/>
      <c r="O385" s="130"/>
      <c r="P385" s="130"/>
      <c r="R385" s="197"/>
      <c r="S385" s="197"/>
      <c r="T385" s="197"/>
      <c r="U385" s="197"/>
      <c r="V385" s="197"/>
      <c r="W385" s="197"/>
      <c r="X385" s="197"/>
      <c r="Y385" s="197"/>
      <c r="Z385" s="197"/>
      <c r="AA385" s="197"/>
      <c r="AB385" s="197"/>
      <c r="AC385" s="197"/>
    </row>
    <row r="386" customFormat="false" ht="12" hidden="false" customHeight="false" outlineLevel="0" collapsed="false">
      <c r="B386" s="130"/>
      <c r="C386" s="130"/>
      <c r="D386" s="130"/>
      <c r="E386" s="130"/>
      <c r="F386" s="130"/>
      <c r="G386" s="130"/>
      <c r="H386" s="130"/>
      <c r="I386" s="130"/>
      <c r="J386" s="130"/>
      <c r="K386" s="130"/>
      <c r="L386" s="130"/>
      <c r="M386" s="130"/>
      <c r="N386" s="130"/>
      <c r="O386" s="130"/>
      <c r="P386" s="130"/>
      <c r="R386" s="197"/>
      <c r="S386" s="197"/>
      <c r="T386" s="197"/>
      <c r="U386" s="197"/>
      <c r="V386" s="197"/>
      <c r="W386" s="197"/>
      <c r="X386" s="197"/>
      <c r="Y386" s="197"/>
      <c r="Z386" s="197"/>
      <c r="AA386" s="197"/>
      <c r="AB386" s="197"/>
      <c r="AC386" s="197"/>
    </row>
    <row r="387" customFormat="false" ht="12" hidden="false" customHeight="false" outlineLevel="0" collapsed="false">
      <c r="B387" s="130"/>
      <c r="C387" s="130"/>
      <c r="D387" s="130"/>
      <c r="E387" s="130"/>
      <c r="F387" s="130"/>
      <c r="G387" s="130"/>
      <c r="H387" s="130"/>
      <c r="I387" s="130"/>
      <c r="J387" s="130"/>
      <c r="K387" s="130"/>
      <c r="L387" s="130"/>
      <c r="M387" s="130"/>
      <c r="N387" s="130"/>
      <c r="O387" s="130"/>
      <c r="P387" s="130"/>
      <c r="R387" s="197"/>
      <c r="S387" s="197"/>
      <c r="T387" s="197"/>
      <c r="U387" s="197"/>
      <c r="V387" s="197"/>
      <c r="W387" s="197"/>
      <c r="X387" s="197"/>
      <c r="Y387" s="197"/>
      <c r="Z387" s="197"/>
      <c r="AA387" s="197"/>
      <c r="AB387" s="197"/>
      <c r="AC387" s="197"/>
    </row>
    <row r="388" customFormat="false" ht="12" hidden="false" customHeight="false" outlineLevel="0" collapsed="false">
      <c r="B388" s="130"/>
      <c r="C388" s="130"/>
      <c r="D388" s="130"/>
      <c r="E388" s="130"/>
      <c r="F388" s="130"/>
      <c r="G388" s="130"/>
      <c r="H388" s="130"/>
      <c r="I388" s="130"/>
      <c r="J388" s="130"/>
      <c r="K388" s="130"/>
      <c r="L388" s="130"/>
      <c r="M388" s="130"/>
      <c r="N388" s="130"/>
      <c r="O388" s="130"/>
      <c r="P388" s="130"/>
      <c r="R388" s="197"/>
      <c r="S388" s="197"/>
      <c r="T388" s="197"/>
      <c r="U388" s="197"/>
      <c r="V388" s="197"/>
      <c r="W388" s="197"/>
      <c r="X388" s="197"/>
      <c r="Y388" s="197"/>
      <c r="Z388" s="197"/>
      <c r="AA388" s="197"/>
      <c r="AB388" s="197"/>
      <c r="AC388" s="197"/>
    </row>
  </sheetData>
  <mergeCells count="17">
    <mergeCell ref="A3:O3"/>
    <mergeCell ref="B6:O6"/>
    <mergeCell ref="A7:A9"/>
    <mergeCell ref="B7:B8"/>
    <mergeCell ref="C7:C8"/>
    <mergeCell ref="D7:D8"/>
    <mergeCell ref="E7:J7"/>
    <mergeCell ref="K7:N7"/>
    <mergeCell ref="R7:S7"/>
    <mergeCell ref="T7:U7"/>
    <mergeCell ref="O8:O9"/>
    <mergeCell ref="R8:R9"/>
    <mergeCell ref="S8:S9"/>
    <mergeCell ref="T8:T9"/>
    <mergeCell ref="U8:U9"/>
    <mergeCell ref="B9:C9"/>
    <mergeCell ref="R153:T153"/>
  </mergeCells>
  <hyperlinks>
    <hyperlink ref="B1" location="Index!A1" display="Back to index"/>
  </hyperlinks>
  <printOptions headings="false" gridLines="false" gridLinesSet="true" horizontalCentered="true" verticalCentered="true"/>
  <pageMargins left="0.790277777777778" right="0.790277777777778" top="0.979861111111111" bottom="0.979861111111111" header="0.511811023622047" footer="0.511811023622047"/>
  <pageSetup paperSize="9" scale="100" fitToWidth="1" fitToHeight="2"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C0C0"/>
    <pageSetUpPr fitToPage="true"/>
  </sheetPr>
  <dimension ref="A1:AF3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A3" activeCellId="0" sqref="A3"/>
    </sheetView>
  </sheetViews>
  <sheetFormatPr defaultColWidth="11.0546875" defaultRowHeight="12" zeroHeight="false" outlineLevelRow="0" outlineLevelCol="0"/>
  <cols>
    <col collapsed="false" customWidth="true" hidden="false" outlineLevel="0" max="1" min="1" style="0" width="10.66"/>
    <col collapsed="false" customWidth="true" hidden="false" outlineLevel="0" max="9" min="2" style="20" width="8.49"/>
    <col collapsed="false" customWidth="true" hidden="false" outlineLevel="0" max="14" min="10" style="20" width="7.82"/>
    <col collapsed="false" customWidth="true" hidden="false" outlineLevel="0" max="21" min="15" style="0" width="9.33"/>
    <col collapsed="false" customWidth="true" hidden="false" outlineLevel="0" max="24" min="22" style="0" width="9.66"/>
    <col collapsed="false" customWidth="true" hidden="false" outlineLevel="0" max="31" min="29" style="0" width="9.66"/>
    <col collapsed="false" customWidth="true" hidden="false" outlineLevel="0" max="32" min="32" style="0" width="19.15"/>
  </cols>
  <sheetData>
    <row r="1" customFormat="false" ht="12" hidden="false" customHeight="false" outlineLevel="0" collapsed="false">
      <c r="A1" s="20"/>
      <c r="B1" s="21" t="s">
        <v>9</v>
      </c>
      <c r="C1" s="356"/>
      <c r="D1" s="356"/>
      <c r="E1" s="356"/>
      <c r="F1" s="356"/>
      <c r="G1" s="356"/>
      <c r="H1" s="356"/>
      <c r="I1" s="356"/>
      <c r="J1" s="356"/>
      <c r="K1" s="356"/>
      <c r="L1" s="356"/>
      <c r="M1" s="356"/>
      <c r="N1" s="356"/>
      <c r="O1" s="198"/>
      <c r="P1" s="198"/>
      <c r="Q1" s="198"/>
      <c r="R1" s="198"/>
      <c r="S1" s="198"/>
      <c r="T1" s="198"/>
      <c r="U1" s="198"/>
      <c r="V1" s="198"/>
      <c r="W1" s="198"/>
      <c r="X1" s="198"/>
      <c r="AC1" s="198"/>
      <c r="AD1" s="198"/>
      <c r="AE1" s="198"/>
    </row>
    <row r="2" customFormat="false" ht="13" hidden="false" customHeight="false" outlineLevel="0" collapsed="false">
      <c r="A2" s="20"/>
    </row>
    <row r="3" customFormat="false" ht="19" hidden="false" customHeight="true" outlineLevel="0" collapsed="false">
      <c r="A3" s="357" t="s">
        <v>276</v>
      </c>
      <c r="B3" s="357"/>
      <c r="C3" s="357"/>
      <c r="D3" s="357"/>
      <c r="E3" s="357"/>
      <c r="F3" s="357"/>
      <c r="G3" s="357"/>
      <c r="H3" s="357"/>
      <c r="I3" s="357"/>
      <c r="J3" s="357"/>
      <c r="K3" s="357"/>
      <c r="L3" s="357"/>
      <c r="M3" s="357"/>
      <c r="N3" s="357"/>
      <c r="O3" s="357"/>
      <c r="P3" s="191"/>
      <c r="Q3" s="191"/>
      <c r="R3" s="191"/>
      <c r="S3" s="191"/>
      <c r="T3" s="191"/>
      <c r="U3" s="191"/>
      <c r="V3" s="191"/>
      <c r="W3" s="191"/>
      <c r="X3" s="191"/>
      <c r="AC3" s="191"/>
      <c r="AD3" s="191"/>
      <c r="AE3" s="191"/>
    </row>
    <row r="4" customFormat="false" ht="12" hidden="false" customHeight="false" outlineLevel="0" collapsed="false">
      <c r="A4" s="358"/>
      <c r="B4" s="114"/>
      <c r="C4" s="114"/>
      <c r="D4" s="114"/>
      <c r="E4" s="114"/>
      <c r="F4" s="114"/>
      <c r="G4" s="114"/>
      <c r="H4" s="114"/>
      <c r="I4" s="114"/>
      <c r="J4" s="114"/>
      <c r="K4" s="114"/>
      <c r="L4" s="114"/>
      <c r="M4" s="114"/>
      <c r="N4" s="114"/>
      <c r="O4" s="199"/>
    </row>
    <row r="5" customFormat="false" ht="12" hidden="false" customHeight="false" outlineLevel="0" collapsed="false">
      <c r="A5" s="358"/>
      <c r="B5" s="554" t="s">
        <v>11</v>
      </c>
      <c r="C5" s="554" t="s">
        <v>12</v>
      </c>
      <c r="D5" s="554" t="s">
        <v>13</v>
      </c>
      <c r="E5" s="554" t="s">
        <v>14</v>
      </c>
      <c r="F5" s="554" t="s">
        <v>15</v>
      </c>
      <c r="G5" s="554" t="s">
        <v>16</v>
      </c>
      <c r="H5" s="554" t="s">
        <v>17</v>
      </c>
      <c r="I5" s="554" t="s">
        <v>18</v>
      </c>
      <c r="J5" s="32" t="s">
        <v>19</v>
      </c>
      <c r="K5" s="32" t="s">
        <v>20</v>
      </c>
      <c r="L5" s="554" t="s">
        <v>21</v>
      </c>
      <c r="M5" s="32" t="s">
        <v>22</v>
      </c>
      <c r="N5" s="554" t="s">
        <v>23</v>
      </c>
      <c r="O5" s="486" t="s">
        <v>24</v>
      </c>
      <c r="P5" s="31"/>
      <c r="Q5" s="31"/>
      <c r="R5" s="31"/>
      <c r="S5" s="31"/>
      <c r="T5" s="31"/>
      <c r="U5" s="31"/>
      <c r="V5" s="31"/>
      <c r="W5" s="31"/>
      <c r="X5" s="31"/>
      <c r="AC5" s="31"/>
      <c r="AD5" s="31"/>
      <c r="AE5" s="31"/>
    </row>
    <row r="6" customFormat="false" ht="28.75" hidden="false" customHeight="true" outlineLevel="0" collapsed="false">
      <c r="A6" s="358"/>
      <c r="B6" s="620" t="s">
        <v>90</v>
      </c>
      <c r="C6" s="620"/>
      <c r="D6" s="620"/>
      <c r="E6" s="620"/>
      <c r="F6" s="620"/>
      <c r="G6" s="620"/>
      <c r="H6" s="620"/>
      <c r="I6" s="620"/>
      <c r="J6" s="620"/>
      <c r="K6" s="620"/>
      <c r="L6" s="620"/>
      <c r="M6" s="620"/>
      <c r="N6" s="620"/>
      <c r="O6" s="620"/>
      <c r="P6" s="31"/>
      <c r="Q6" s="31"/>
      <c r="R6" s="31"/>
      <c r="S6" s="31"/>
      <c r="T6" s="31"/>
      <c r="U6" s="31"/>
      <c r="V6" s="31"/>
      <c r="W6" s="31"/>
      <c r="X6" s="31"/>
      <c r="AC6" s="31"/>
      <c r="AD6" s="31"/>
      <c r="AE6" s="31"/>
    </row>
    <row r="7" customFormat="false" ht="39.75" hidden="false" customHeight="true" outlineLevel="0" collapsed="false">
      <c r="A7" s="364"/>
      <c r="B7" s="783" t="s">
        <v>277</v>
      </c>
      <c r="C7" s="785" t="s">
        <v>189</v>
      </c>
      <c r="D7" s="366" t="s">
        <v>278</v>
      </c>
      <c r="E7" s="366"/>
      <c r="F7" s="366"/>
      <c r="G7" s="366"/>
      <c r="H7" s="366"/>
      <c r="I7" s="366"/>
      <c r="J7" s="961" t="s">
        <v>279</v>
      </c>
      <c r="K7" s="961"/>
      <c r="L7" s="961"/>
      <c r="M7" s="961"/>
      <c r="N7" s="961"/>
      <c r="O7" s="962"/>
      <c r="P7" s="963"/>
      <c r="Q7" s="963"/>
      <c r="R7" s="963"/>
      <c r="S7" s="789" t="s">
        <v>280</v>
      </c>
      <c r="T7" s="789"/>
      <c r="U7" s="790" t="s">
        <v>281</v>
      </c>
      <c r="V7" s="790"/>
      <c r="W7" s="191"/>
      <c r="X7" s="191"/>
      <c r="AC7" s="818"/>
      <c r="AD7" s="191"/>
      <c r="AE7" s="191"/>
    </row>
    <row r="8" customFormat="false" ht="79.75" hidden="false" customHeight="true" outlineLevel="0" collapsed="false">
      <c r="A8" s="364"/>
      <c r="B8" s="783"/>
      <c r="C8" s="785"/>
      <c r="D8" s="964" t="s">
        <v>282</v>
      </c>
      <c r="E8" s="965" t="s">
        <v>283</v>
      </c>
      <c r="F8" s="802" t="s">
        <v>210</v>
      </c>
      <c r="G8" s="788" t="s">
        <v>193</v>
      </c>
      <c r="H8" s="792" t="s">
        <v>241</v>
      </c>
      <c r="I8" s="788" t="s">
        <v>195</v>
      </c>
      <c r="J8" s="966" t="s">
        <v>284</v>
      </c>
      <c r="K8" s="967" t="s">
        <v>285</v>
      </c>
      <c r="L8" s="967" t="s">
        <v>286</v>
      </c>
      <c r="M8" s="967" t="s">
        <v>193</v>
      </c>
      <c r="N8" s="967" t="s">
        <v>195</v>
      </c>
      <c r="O8" s="968" t="s">
        <v>287</v>
      </c>
      <c r="Q8" s="814"/>
      <c r="R8" s="814"/>
      <c r="S8" s="794" t="s">
        <v>288</v>
      </c>
      <c r="T8" s="795" t="s">
        <v>245</v>
      </c>
      <c r="U8" s="796" t="s">
        <v>289</v>
      </c>
      <c r="V8" s="797" t="s">
        <v>245</v>
      </c>
      <c r="X8" s="377"/>
      <c r="Y8" s="798" t="s">
        <v>290</v>
      </c>
      <c r="AC8" s="798" t="s">
        <v>291</v>
      </c>
    </row>
    <row r="9" customFormat="false" ht="39.75" hidden="false" customHeight="true" outlineLevel="0" collapsed="false">
      <c r="A9" s="364"/>
      <c r="B9" s="969" t="s">
        <v>112</v>
      </c>
      <c r="C9" s="378" t="s">
        <v>111</v>
      </c>
      <c r="D9" s="970" t="s">
        <v>134</v>
      </c>
      <c r="E9" s="970" t="s">
        <v>292</v>
      </c>
      <c r="F9" s="970" t="s">
        <v>249</v>
      </c>
      <c r="G9" s="970" t="s">
        <v>250</v>
      </c>
      <c r="H9" s="971" t="s">
        <v>293</v>
      </c>
      <c r="I9" s="970" t="s">
        <v>157</v>
      </c>
      <c r="J9" s="972" t="s">
        <v>292</v>
      </c>
      <c r="K9" s="973" t="s">
        <v>134</v>
      </c>
      <c r="L9" s="973" t="s">
        <v>249</v>
      </c>
      <c r="M9" s="973" t="s">
        <v>250</v>
      </c>
      <c r="N9" s="973" t="s">
        <v>157</v>
      </c>
      <c r="O9" s="968"/>
      <c r="Q9" s="814"/>
      <c r="R9" s="814"/>
      <c r="S9" s="794"/>
      <c r="T9" s="795"/>
      <c r="U9" s="796"/>
      <c r="V9" s="797"/>
      <c r="X9" s="377" t="s">
        <v>253</v>
      </c>
      <c r="Y9" s="377" t="s">
        <v>254</v>
      </c>
      <c r="Z9" s="804" t="s">
        <v>255</v>
      </c>
      <c r="AA9" s="804" t="s">
        <v>257</v>
      </c>
      <c r="AB9" s="804" t="s">
        <v>256</v>
      </c>
      <c r="AC9" s="377" t="s">
        <v>254</v>
      </c>
      <c r="AD9" s="804" t="s">
        <v>255</v>
      </c>
      <c r="AE9" s="804" t="s">
        <v>256</v>
      </c>
    </row>
    <row r="10" customFormat="false" ht="12" hidden="false" customHeight="true" outlineLevel="0" collapsed="false">
      <c r="A10" s="380" t="n">
        <v>1870</v>
      </c>
      <c r="B10" s="819" t="n">
        <f aca="false">TableDE3b!H10</f>
        <v>70.3193125668467</v>
      </c>
      <c r="C10" s="382"/>
      <c r="D10" s="974" t="n">
        <f aca="false">TableDE6a!J10</f>
        <v>7.45111835973905</v>
      </c>
      <c r="E10" s="821"/>
      <c r="F10" s="514" t="n">
        <f aca="false">TableDE12c!B10</f>
        <v>0.12892202547375</v>
      </c>
      <c r="G10" s="801"/>
      <c r="H10" s="821" t="n">
        <f aca="false">O10/D10</f>
        <v>0</v>
      </c>
      <c r="I10" s="801"/>
      <c r="J10" s="783"/>
      <c r="K10" s="784"/>
      <c r="L10" s="975" t="n">
        <f aca="false">F10</f>
        <v>0.12892202547375</v>
      </c>
      <c r="M10" s="976"/>
      <c r="N10" s="976"/>
      <c r="O10" s="811" t="n">
        <f aca="false">TableDE5a!O10+TableDE5c!O10</f>
        <v>0</v>
      </c>
      <c r="Q10" s="25"/>
      <c r="R10" s="25"/>
      <c r="S10" s="812"/>
      <c r="T10" s="813"/>
      <c r="U10" s="814"/>
      <c r="V10" s="815"/>
      <c r="W10" s="816"/>
      <c r="X10" s="817"/>
      <c r="Y10" s="804"/>
      <c r="Z10" s="804"/>
      <c r="AA10" s="804"/>
      <c r="AC10" s="818"/>
      <c r="AD10" s="818"/>
      <c r="AE10" s="818"/>
    </row>
    <row r="11" customFormat="false" ht="12" hidden="false" customHeight="true" outlineLevel="0" collapsed="false">
      <c r="A11" s="380" t="n">
        <v>1871</v>
      </c>
      <c r="B11" s="819" t="n">
        <f aca="false">TableDE3b!H11</f>
        <v>70.4198465449712</v>
      </c>
      <c r="C11" s="382" t="n">
        <f aca="false">B11/B10-1</f>
        <v>0.00142967805649263</v>
      </c>
      <c r="D11" s="974" t="n">
        <f aca="false">TableDE6a!J11</f>
        <v>7.32803825019625</v>
      </c>
      <c r="E11" s="977" t="n">
        <f aca="false">(D11/D10)*(1+C11)-1</f>
        <v>-0.0151122782678899</v>
      </c>
      <c r="F11" s="514" t="n">
        <f aca="false">TableDE12c!B11</f>
        <v>0.141440091343752</v>
      </c>
      <c r="G11" s="403" t="n">
        <f aca="false">F10/D10</f>
        <v>0.017302372509657</v>
      </c>
      <c r="H11" s="403" t="n">
        <f aca="false">O11/D11</f>
        <v>0</v>
      </c>
      <c r="I11" s="403" t="n">
        <f aca="false">(1+E11)/((1+G11)*(1+H10))-1</f>
        <v>-0.031863339409679</v>
      </c>
      <c r="J11" s="803"/>
      <c r="K11" s="801"/>
      <c r="L11" s="978" t="n">
        <f aca="false">F11</f>
        <v>0.141440091343752</v>
      </c>
      <c r="M11" s="389"/>
      <c r="N11" s="389"/>
      <c r="O11" s="822" t="n">
        <f aca="false">TableDE5a!O11+TableDE5c!O11</f>
        <v>0</v>
      </c>
      <c r="Q11" s="25"/>
      <c r="R11" s="195"/>
      <c r="S11" s="812"/>
      <c r="T11" s="813"/>
      <c r="U11" s="814"/>
      <c r="V11" s="815"/>
      <c r="W11" s="816"/>
      <c r="X11" s="817" t="n">
        <f aca="false">1+C11</f>
        <v>1.00142967805649</v>
      </c>
      <c r="Y11" s="818" t="n">
        <f aca="false">1+E11</f>
        <v>0.98488772173211</v>
      </c>
      <c r="Z11" s="818" t="n">
        <f aca="false">1+G11</f>
        <v>1.01730237250966</v>
      </c>
      <c r="AA11" s="818" t="n">
        <f aca="false">1+H10</f>
        <v>1</v>
      </c>
      <c r="AB11" s="818" t="n">
        <f aca="false">1+I11</f>
        <v>0.968136660590321</v>
      </c>
      <c r="AC11" s="818"/>
      <c r="AD11" s="818"/>
      <c r="AE11" s="818"/>
      <c r="AF11" s="25"/>
    </row>
    <row r="12" customFormat="false" ht="12" hidden="false" customHeight="true" outlineLevel="0" collapsed="false">
      <c r="A12" s="380" t="n">
        <v>1872</v>
      </c>
      <c r="B12" s="819" t="n">
        <f aca="false">TableDE3b!H12</f>
        <v>77.856841894839</v>
      </c>
      <c r="C12" s="382" t="n">
        <f aca="false">B12/B11-1</f>
        <v>0.105609366034594</v>
      </c>
      <c r="D12" s="974" t="n">
        <f aca="false">TableDE6a!J12</f>
        <v>6.81209839417814</v>
      </c>
      <c r="E12" s="977" t="n">
        <f aca="false">(D12/D11)*(1+C12)-1</f>
        <v>0.0277675320200304</v>
      </c>
      <c r="F12" s="514" t="n">
        <f aca="false">TableDE12c!B12</f>
        <v>0.235460395741866</v>
      </c>
      <c r="G12" s="403" t="n">
        <f aca="false">F11/D11</f>
        <v>0.0193012217614946</v>
      </c>
      <c r="H12" s="403" t="n">
        <f aca="false">O12/D12</f>
        <v>0</v>
      </c>
      <c r="I12" s="403" t="n">
        <f aca="false">(1+E12)/((1+G12)*(1+H11))-1</f>
        <v>0.00830599441831814</v>
      </c>
      <c r="J12" s="803"/>
      <c r="K12" s="801"/>
      <c r="L12" s="978" t="n">
        <f aca="false">F12</f>
        <v>0.235460395741866</v>
      </c>
      <c r="M12" s="389"/>
      <c r="N12" s="389"/>
      <c r="O12" s="822" t="n">
        <f aca="false">TableDE5a!O12+TableDE5c!O12</f>
        <v>0</v>
      </c>
      <c r="Q12" s="25"/>
      <c r="R12" s="195"/>
      <c r="S12" s="812"/>
      <c r="T12" s="813"/>
      <c r="U12" s="814"/>
      <c r="V12" s="815"/>
      <c r="W12" s="816"/>
      <c r="X12" s="817" t="n">
        <f aca="false">1+$C12</f>
        <v>1.10560936603459</v>
      </c>
      <c r="Y12" s="818" t="n">
        <f aca="false">1+E12</f>
        <v>1.02776753202003</v>
      </c>
      <c r="Z12" s="818" t="n">
        <f aca="false">1+G12</f>
        <v>1.01930122176149</v>
      </c>
      <c r="AA12" s="818" t="n">
        <f aca="false">1+H11</f>
        <v>1</v>
      </c>
      <c r="AB12" s="818" t="n">
        <f aca="false">1+I12</f>
        <v>1.00830599441832</v>
      </c>
      <c r="AC12" s="818"/>
      <c r="AD12" s="818"/>
      <c r="AE12" s="818"/>
      <c r="AF12" s="25"/>
    </row>
    <row r="13" customFormat="false" ht="12" hidden="false" customHeight="true" outlineLevel="0" collapsed="false">
      <c r="A13" s="380" t="n">
        <v>1873</v>
      </c>
      <c r="B13" s="819" t="n">
        <f aca="false">TableDE3b!H13</f>
        <v>79.720242063657</v>
      </c>
      <c r="C13" s="382" t="n">
        <f aca="false">B13/B12-1</f>
        <v>0.0239336726672639</v>
      </c>
      <c r="D13" s="974" t="n">
        <f aca="false">TableDE6a!J13</f>
        <v>6.93485986325652</v>
      </c>
      <c r="E13" s="977" t="n">
        <f aca="false">(D13/D12)*(1+C13)-1</f>
        <v>0.0423860781702257</v>
      </c>
      <c r="F13" s="514" t="n">
        <f aca="false">TableDE12c!B13</f>
        <v>0.244623955431755</v>
      </c>
      <c r="G13" s="403" t="n">
        <f aca="false">F12/D12</f>
        <v>0.0345650315243682</v>
      </c>
      <c r="H13" s="403" t="n">
        <f aca="false">O13/D13</f>
        <v>0</v>
      </c>
      <c r="I13" s="403" t="n">
        <f aca="false">(1+E13)/((1+G13)*(1+H12))-1</f>
        <v>0.00755974386098623</v>
      </c>
      <c r="J13" s="803"/>
      <c r="K13" s="801"/>
      <c r="L13" s="978" t="n">
        <f aca="false">F13</f>
        <v>0.244623955431755</v>
      </c>
      <c r="M13" s="389"/>
      <c r="N13" s="389"/>
      <c r="O13" s="822" t="n">
        <f aca="false">TableDE5a!O13+TableDE5c!O13</f>
        <v>0</v>
      </c>
      <c r="Q13" s="25"/>
      <c r="R13" s="195"/>
      <c r="S13" s="812"/>
      <c r="T13" s="813"/>
      <c r="U13" s="814"/>
      <c r="V13" s="815"/>
      <c r="W13" s="816"/>
      <c r="X13" s="817" t="n">
        <f aca="false">1+$C13</f>
        <v>1.02393367266726</v>
      </c>
      <c r="Y13" s="818" t="n">
        <f aca="false">1+E13</f>
        <v>1.04238607817023</v>
      </c>
      <c r="Z13" s="818" t="n">
        <f aca="false">1+G13</f>
        <v>1.03456503152437</v>
      </c>
      <c r="AA13" s="818" t="n">
        <f aca="false">1+H12</f>
        <v>1</v>
      </c>
      <c r="AB13" s="818" t="n">
        <f aca="false">1+I13</f>
        <v>1.00755974386099</v>
      </c>
      <c r="AC13" s="818"/>
      <c r="AD13" s="818"/>
      <c r="AE13" s="818"/>
      <c r="AF13" s="25"/>
    </row>
    <row r="14" customFormat="false" ht="12" hidden="false" customHeight="true" outlineLevel="0" collapsed="false">
      <c r="A14" s="380" t="n">
        <v>1874</v>
      </c>
      <c r="B14" s="819" t="n">
        <f aca="false">TableDE3b!H14</f>
        <v>86.3262970710235</v>
      </c>
      <c r="C14" s="382" t="n">
        <f aca="false">B14/B13-1</f>
        <v>0.0828654659890706</v>
      </c>
      <c r="D14" s="974" t="n">
        <f aca="false">TableDE6a!J14</f>
        <v>6.61880232947568</v>
      </c>
      <c r="E14" s="977" t="n">
        <f aca="false">(D14/D13)*(1+C14)-1</f>
        <v>0.0335136700846861</v>
      </c>
      <c r="F14" s="514" t="n">
        <f aca="false">TableDE12c!B14</f>
        <v>0.208503888661482</v>
      </c>
      <c r="G14" s="403" t="n">
        <f aca="false">F13/D13</f>
        <v>0.0352745347786859</v>
      </c>
      <c r="H14" s="403" t="n">
        <f aca="false">O14/D14</f>
        <v>0</v>
      </c>
      <c r="I14" s="403" t="n">
        <f aca="false">(1+E14)/((1+G14)*(1+H13))-1</f>
        <v>-0.00170086738816211</v>
      </c>
      <c r="J14" s="803"/>
      <c r="K14" s="801"/>
      <c r="L14" s="978" t="n">
        <f aca="false">F14</f>
        <v>0.208503888661482</v>
      </c>
      <c r="M14" s="389"/>
      <c r="N14" s="389"/>
      <c r="O14" s="822" t="n">
        <f aca="false">TableDE5a!O14+TableDE5c!O14</f>
        <v>0</v>
      </c>
      <c r="Q14" s="25"/>
      <c r="R14" s="195"/>
      <c r="S14" s="812"/>
      <c r="T14" s="813"/>
      <c r="U14" s="814"/>
      <c r="V14" s="815"/>
      <c r="W14" s="816"/>
      <c r="X14" s="817" t="n">
        <f aca="false">1+$C14</f>
        <v>1.08286546598907</v>
      </c>
      <c r="Y14" s="818" t="n">
        <f aca="false">1+E14</f>
        <v>1.03351367008469</v>
      </c>
      <c r="Z14" s="818" t="n">
        <f aca="false">1+G14</f>
        <v>1.03527453477869</v>
      </c>
      <c r="AA14" s="818" t="n">
        <f aca="false">1+H13</f>
        <v>1</v>
      </c>
      <c r="AB14" s="818" t="n">
        <f aca="false">1+I14</f>
        <v>0.998299132611838</v>
      </c>
      <c r="AC14" s="818"/>
      <c r="AD14" s="818"/>
      <c r="AE14" s="818"/>
      <c r="AF14" s="25"/>
    </row>
    <row r="15" customFormat="false" ht="12" hidden="false" customHeight="true" outlineLevel="0" collapsed="false">
      <c r="A15" s="380" t="n">
        <v>1875</v>
      </c>
      <c r="B15" s="819" t="n">
        <f aca="false">TableDE3b!H15</f>
        <v>85.2221228403524</v>
      </c>
      <c r="C15" s="382" t="n">
        <f aca="false">B15/B14-1</f>
        <v>-0.0127907053601823</v>
      </c>
      <c r="D15" s="974" t="n">
        <f aca="false">TableDE6a!J15</f>
        <v>7.01634440003588</v>
      </c>
      <c r="E15" s="977" t="n">
        <f aca="false">(D15/D14)*(1+C15)-1</f>
        <v>0.046503591029309</v>
      </c>
      <c r="F15" s="514" t="n">
        <f aca="false">TableDE12c!B15</f>
        <v>0.156397324854731</v>
      </c>
      <c r="G15" s="403" t="n">
        <f aca="false">F14/D14</f>
        <v>0.0315017548919608</v>
      </c>
      <c r="H15" s="403" t="n">
        <f aca="false">O15/D15</f>
        <v>0</v>
      </c>
      <c r="I15" s="403" t="n">
        <f aca="false">(1+E15)/((1+G15)*(1+H14))-1</f>
        <v>0.0145436845513847</v>
      </c>
      <c r="J15" s="803"/>
      <c r="K15" s="801"/>
      <c r="L15" s="978" t="n">
        <f aca="false">F15</f>
        <v>0.156397324854731</v>
      </c>
      <c r="M15" s="389"/>
      <c r="N15" s="389"/>
      <c r="O15" s="822" t="n">
        <f aca="false">TableDE5a!O15+TableDE5c!O15</f>
        <v>0</v>
      </c>
      <c r="Q15" s="25"/>
      <c r="R15" s="195"/>
      <c r="S15" s="812"/>
      <c r="T15" s="813"/>
      <c r="U15" s="814"/>
      <c r="V15" s="815"/>
      <c r="W15" s="816"/>
      <c r="X15" s="817" t="n">
        <f aca="false">1+$C15</f>
        <v>0.987209294639818</v>
      </c>
      <c r="Y15" s="818" t="n">
        <f aca="false">1+E15</f>
        <v>1.04650359102931</v>
      </c>
      <c r="Z15" s="818" t="n">
        <f aca="false">1+G15</f>
        <v>1.03150175489196</v>
      </c>
      <c r="AA15" s="818" t="n">
        <f aca="false">1+H14</f>
        <v>1</v>
      </c>
      <c r="AB15" s="818" t="n">
        <f aca="false">1+I15</f>
        <v>1.01454368455138</v>
      </c>
      <c r="AC15" s="818"/>
      <c r="AD15" s="818"/>
      <c r="AE15" s="818"/>
      <c r="AF15" s="25"/>
    </row>
    <row r="16" customFormat="false" ht="12" hidden="false" customHeight="true" outlineLevel="0" collapsed="false">
      <c r="A16" s="380" t="n">
        <v>1876</v>
      </c>
      <c r="B16" s="819" t="n">
        <f aca="false">TableDE3b!H16</f>
        <v>84.3615641620738</v>
      </c>
      <c r="C16" s="382" t="n">
        <f aca="false">B16/B15-1</f>
        <v>-0.0100978319900662</v>
      </c>
      <c r="D16" s="974" t="n">
        <f aca="false">TableDE6a!J16</f>
        <v>6.97999949246823</v>
      </c>
      <c r="E16" s="977" t="n">
        <f aca="false">(D16/D15)*(1+C16)-1</f>
        <v>-0.015225559585245</v>
      </c>
      <c r="F16" s="514" t="n">
        <f aca="false">TableDE12c!B16</f>
        <v>0.15514738722644</v>
      </c>
      <c r="G16" s="403" t="n">
        <f aca="false">F15/D15</f>
        <v>0.0222904287386365</v>
      </c>
      <c r="H16" s="403" t="n">
        <f aca="false">O16/D16</f>
        <v>0</v>
      </c>
      <c r="I16" s="403" t="n">
        <f aca="false">(1+E16)/((1+G16)*(1+H15))-1</f>
        <v>-0.036697974733238</v>
      </c>
      <c r="J16" s="803"/>
      <c r="K16" s="801"/>
      <c r="L16" s="978" t="n">
        <f aca="false">F16</f>
        <v>0.15514738722644</v>
      </c>
      <c r="M16" s="389"/>
      <c r="N16" s="389"/>
      <c r="O16" s="822" t="n">
        <f aca="false">TableDE5a!O16+TableDE5c!O16</f>
        <v>0</v>
      </c>
      <c r="Q16" s="25"/>
      <c r="R16" s="195"/>
      <c r="S16" s="812"/>
      <c r="T16" s="813"/>
      <c r="U16" s="814"/>
      <c r="V16" s="815"/>
      <c r="W16" s="816"/>
      <c r="X16" s="817" t="n">
        <f aca="false">1+$C16</f>
        <v>0.989902168009934</v>
      </c>
      <c r="Y16" s="818" t="n">
        <f aca="false">1+E16</f>
        <v>0.984774440414755</v>
      </c>
      <c r="Z16" s="818" t="n">
        <f aca="false">1+G16</f>
        <v>1.02229042873864</v>
      </c>
      <c r="AA16" s="818" t="n">
        <f aca="false">1+H15</f>
        <v>1</v>
      </c>
      <c r="AB16" s="818" t="n">
        <f aca="false">1+I16</f>
        <v>0.963302025266762</v>
      </c>
      <c r="AC16" s="818"/>
      <c r="AD16" s="818"/>
      <c r="AE16" s="818"/>
      <c r="AF16" s="25"/>
    </row>
    <row r="17" customFormat="false" ht="12" hidden="false" customHeight="true" outlineLevel="0" collapsed="false">
      <c r="A17" s="380" t="n">
        <v>1877</v>
      </c>
      <c r="B17" s="819" t="n">
        <f aca="false">TableDE3b!H17</f>
        <v>83.8690142263607</v>
      </c>
      <c r="C17" s="382" t="n">
        <f aca="false">B17/B16-1</f>
        <v>-0.00583855859721627</v>
      </c>
      <c r="D17" s="974" t="n">
        <f aca="false">TableDE6a!J17</f>
        <v>6.9843801225764</v>
      </c>
      <c r="E17" s="977" t="n">
        <f aca="false">(D17/D16)*(1+C17)-1</f>
        <v>-0.00521462537955708</v>
      </c>
      <c r="F17" s="514" t="n">
        <f aca="false">TableDE12c!B17</f>
        <v>0.124440105662111</v>
      </c>
      <c r="G17" s="403" t="n">
        <f aca="false">F16/D16</f>
        <v>0.0222274209896222</v>
      </c>
      <c r="H17" s="403" t="n">
        <f aca="false">O17/D17</f>
        <v>0</v>
      </c>
      <c r="I17" s="403" t="n">
        <f aca="false">(1+E17)/((1+G17)*(1+H16))-1</f>
        <v>-0.0268453436150369</v>
      </c>
      <c r="J17" s="803"/>
      <c r="K17" s="801"/>
      <c r="L17" s="978" t="n">
        <f aca="false">F17</f>
        <v>0.124440105662111</v>
      </c>
      <c r="M17" s="389"/>
      <c r="N17" s="389"/>
      <c r="O17" s="822" t="n">
        <f aca="false">TableDE5a!O17+TableDE5c!O17</f>
        <v>0</v>
      </c>
      <c r="Q17" s="25"/>
      <c r="R17" s="195"/>
      <c r="S17" s="812"/>
      <c r="T17" s="813"/>
      <c r="U17" s="814"/>
      <c r="V17" s="815"/>
      <c r="W17" s="816"/>
      <c r="X17" s="817" t="n">
        <f aca="false">1+$C17</f>
        <v>0.994161441402784</v>
      </c>
      <c r="Y17" s="818" t="n">
        <f aca="false">1+E17</f>
        <v>0.994785374620443</v>
      </c>
      <c r="Z17" s="818" t="n">
        <f aca="false">1+G17</f>
        <v>1.02222742098962</v>
      </c>
      <c r="AA17" s="818" t="n">
        <f aca="false">1+H16</f>
        <v>1</v>
      </c>
      <c r="AB17" s="818" t="n">
        <f aca="false">1+I17</f>
        <v>0.973154656384963</v>
      </c>
      <c r="AC17" s="818"/>
      <c r="AD17" s="818"/>
      <c r="AE17" s="818"/>
      <c r="AF17" s="25"/>
    </row>
    <row r="18" customFormat="false" ht="12" hidden="false" customHeight="true" outlineLevel="0" collapsed="false">
      <c r="A18" s="380" t="n">
        <v>1878</v>
      </c>
      <c r="B18" s="819" t="n">
        <f aca="false">TableDE3b!H18</f>
        <v>88.2890604837947</v>
      </c>
      <c r="C18" s="382" t="n">
        <f aca="false">B18/B17-1</f>
        <v>0.0527017790563802</v>
      </c>
      <c r="D18" s="974" t="n">
        <f aca="false">TableDE6a!J18</f>
        <v>6.67518508346303</v>
      </c>
      <c r="E18" s="977" t="n">
        <f aca="false">(D18/D17)*(1+C18)-1</f>
        <v>0.00609919414008431</v>
      </c>
      <c r="F18" s="514" t="n">
        <f aca="false">TableDE12c!B18</f>
        <v>0.127503636567081</v>
      </c>
      <c r="G18" s="403" t="n">
        <f aca="false">F17/D17</f>
        <v>0.017816914812507</v>
      </c>
      <c r="H18" s="403" t="n">
        <f aca="false">O18/D18</f>
        <v>0</v>
      </c>
      <c r="I18" s="403" t="n">
        <f aca="false">(1+E18)/((1+G18)*(1+H17))-1</f>
        <v>-0.0115126016299121</v>
      </c>
      <c r="J18" s="803"/>
      <c r="K18" s="801"/>
      <c r="L18" s="978" t="n">
        <f aca="false">F18</f>
        <v>0.127503636567081</v>
      </c>
      <c r="M18" s="389"/>
      <c r="N18" s="389"/>
      <c r="O18" s="822" t="n">
        <f aca="false">TableDE5a!O18+TableDE5c!O18</f>
        <v>0</v>
      </c>
      <c r="Q18" s="25"/>
      <c r="R18" s="195"/>
      <c r="S18" s="812"/>
      <c r="T18" s="813"/>
      <c r="U18" s="814"/>
      <c r="V18" s="815"/>
      <c r="W18" s="816"/>
      <c r="X18" s="817" t="n">
        <f aca="false">1+$C18</f>
        <v>1.05270177905638</v>
      </c>
      <c r="Y18" s="818" t="n">
        <f aca="false">1+E18</f>
        <v>1.00609919414008</v>
      </c>
      <c r="Z18" s="818" t="n">
        <f aca="false">1+G18</f>
        <v>1.01781691481251</v>
      </c>
      <c r="AA18" s="818" t="n">
        <f aca="false">1+H17</f>
        <v>1</v>
      </c>
      <c r="AB18" s="818" t="n">
        <f aca="false">1+I18</f>
        <v>0.988487398370088</v>
      </c>
      <c r="AC18" s="818"/>
      <c r="AD18" s="818"/>
      <c r="AE18" s="818"/>
      <c r="AF18" s="25"/>
    </row>
    <row r="19" customFormat="false" ht="12" hidden="false" customHeight="true" outlineLevel="0" collapsed="false">
      <c r="A19" s="405" t="n">
        <v>1879</v>
      </c>
      <c r="B19" s="823" t="n">
        <f aca="false">TableDE3b!H19</f>
        <v>85.8357549588584</v>
      </c>
      <c r="C19" s="407" t="n">
        <f aca="false">B19/B18-1</f>
        <v>-0.0277871970943293</v>
      </c>
      <c r="D19" s="979" t="n">
        <f aca="false">TableDE6a!J19</f>
        <v>7.02092746023613</v>
      </c>
      <c r="E19" s="980" t="n">
        <f aca="false">(D19/D18)*(1+C19)-1</f>
        <v>0.0225687347641865</v>
      </c>
      <c r="F19" s="842" t="n">
        <f aca="false">TableDE12c!B19</f>
        <v>0.0943758244393812</v>
      </c>
      <c r="G19" s="414" t="n">
        <f aca="false">F18/D18</f>
        <v>0.0191011387658682</v>
      </c>
      <c r="H19" s="414" t="n">
        <f aca="false">O19/D19</f>
        <v>0</v>
      </c>
      <c r="I19" s="414" t="n">
        <f aca="false">(1+E19)/((1+G19)*(1+H18))-1</f>
        <v>0.003402602417379</v>
      </c>
      <c r="J19" s="826"/>
      <c r="K19" s="827"/>
      <c r="L19" s="981" t="n">
        <f aca="false">F19</f>
        <v>0.0943758244393812</v>
      </c>
      <c r="M19" s="982"/>
      <c r="N19" s="982"/>
      <c r="O19" s="828" t="n">
        <f aca="false">TableDE5a!O19+TableDE5c!O19</f>
        <v>0</v>
      </c>
      <c r="Q19" s="25"/>
      <c r="R19" s="195"/>
      <c r="S19" s="812"/>
      <c r="T19" s="813"/>
      <c r="U19" s="814"/>
      <c r="V19" s="815"/>
      <c r="W19" s="816"/>
      <c r="X19" s="817" t="n">
        <f aca="false">1+$C19</f>
        <v>0.972212802905671</v>
      </c>
      <c r="Y19" s="818" t="n">
        <f aca="false">1+E19</f>
        <v>1.02256873476419</v>
      </c>
      <c r="Z19" s="818" t="n">
        <f aca="false">1+G19</f>
        <v>1.01910113876587</v>
      </c>
      <c r="AA19" s="818" t="n">
        <f aca="false">1+H18</f>
        <v>1</v>
      </c>
      <c r="AB19" s="818" t="n">
        <f aca="false">1+I19</f>
        <v>1.00340260241738</v>
      </c>
      <c r="AC19" s="818"/>
      <c r="AD19" s="818"/>
      <c r="AE19" s="818"/>
      <c r="AF19" s="25"/>
    </row>
    <row r="20" customFormat="false" ht="12" hidden="false" customHeight="true" outlineLevel="0" collapsed="false">
      <c r="A20" s="380" t="n">
        <v>1880</v>
      </c>
      <c r="B20" s="819" t="n">
        <f aca="false">TableDE3b!H20</f>
        <v>83.3438393299447</v>
      </c>
      <c r="C20" s="382" t="n">
        <f aca="false">B20/B19-1</f>
        <v>-0.0290312076838846</v>
      </c>
      <c r="D20" s="974" t="n">
        <f aca="false">TableDE6a!J20</f>
        <v>6.93955572038226</v>
      </c>
      <c r="E20" s="977" t="n">
        <f aca="false">(D20/D19)*(1+C20)-1</f>
        <v>-0.0402846240483258</v>
      </c>
      <c r="F20" s="514" t="n">
        <f aca="false">TableDE12c!B20</f>
        <v>0.0963698711126877</v>
      </c>
      <c r="G20" s="403" t="n">
        <f aca="false">F19/D19</f>
        <v>0.0134420737109007</v>
      </c>
      <c r="H20" s="403" t="n">
        <f aca="false">O20/D20</f>
        <v>0</v>
      </c>
      <c r="I20" s="403" t="n">
        <f aca="false">(1+E20)/((1+G20)*(1+H19))-1</f>
        <v>-0.0530140786068773</v>
      </c>
      <c r="J20" s="803"/>
      <c r="K20" s="801"/>
      <c r="L20" s="978" t="n">
        <f aca="false">F20</f>
        <v>0.0963698711126877</v>
      </c>
      <c r="M20" s="389"/>
      <c r="N20" s="389"/>
      <c r="O20" s="822" t="n">
        <f aca="false">TableDE5a!O20+TableDE5c!O20</f>
        <v>0</v>
      </c>
      <c r="Q20" s="25"/>
      <c r="R20" s="195"/>
      <c r="S20" s="812"/>
      <c r="T20" s="813"/>
      <c r="U20" s="814"/>
      <c r="V20" s="815"/>
      <c r="W20" s="816"/>
      <c r="X20" s="817" t="n">
        <f aca="false">1+$C20</f>
        <v>0.970968792316115</v>
      </c>
      <c r="Y20" s="818" t="n">
        <f aca="false">1+E20</f>
        <v>0.959715375951674</v>
      </c>
      <c r="Z20" s="818" t="n">
        <f aca="false">1+G20</f>
        <v>1.0134420737109</v>
      </c>
      <c r="AA20" s="818" t="n">
        <f aca="false">1+H19</f>
        <v>1</v>
      </c>
      <c r="AB20" s="818" t="n">
        <f aca="false">1+I20</f>
        <v>0.946985921393123</v>
      </c>
      <c r="AC20" s="818"/>
      <c r="AD20" s="818"/>
      <c r="AE20" s="818"/>
      <c r="AF20" s="25"/>
    </row>
    <row r="21" customFormat="false" ht="12" hidden="false" customHeight="true" outlineLevel="0" collapsed="false">
      <c r="A21" s="380" t="n">
        <v>1881</v>
      </c>
      <c r="B21" s="819" t="n">
        <f aca="false">TableDE3b!H21</f>
        <v>86.8487927174507</v>
      </c>
      <c r="C21" s="382" t="n">
        <f aca="false">B21/B20-1</f>
        <v>0.042054138802395</v>
      </c>
      <c r="D21" s="974" t="n">
        <f aca="false">TableDE6a!J21</f>
        <v>6.85608265985512</v>
      </c>
      <c r="E21" s="977" t="n">
        <f aca="false">(D21/D20)*(1+C21)-1</f>
        <v>0.0295196983128794</v>
      </c>
      <c r="F21" s="514" t="n">
        <f aca="false">TableDE12c!B21</f>
        <v>0.11429064947029</v>
      </c>
      <c r="G21" s="403" t="n">
        <f aca="false">F20/D20</f>
        <v>0.0138870375850775</v>
      </c>
      <c r="H21" s="403" t="n">
        <f aca="false">O21/D21</f>
        <v>0</v>
      </c>
      <c r="I21" s="403" t="n">
        <f aca="false">(1+E21)/((1+G21)*(1+H20))-1</f>
        <v>0.0154185428438227</v>
      </c>
      <c r="J21" s="803"/>
      <c r="K21" s="801"/>
      <c r="L21" s="978" t="n">
        <f aca="false">F21</f>
        <v>0.11429064947029</v>
      </c>
      <c r="M21" s="389"/>
      <c r="N21" s="389"/>
      <c r="O21" s="822" t="n">
        <f aca="false">TableDE5a!O21+TableDE5c!O21</f>
        <v>0</v>
      </c>
      <c r="Q21" s="25"/>
      <c r="R21" s="195"/>
      <c r="S21" s="812"/>
      <c r="T21" s="813"/>
      <c r="U21" s="814"/>
      <c r="V21" s="815"/>
      <c r="W21" s="816"/>
      <c r="X21" s="817" t="n">
        <f aca="false">1+$C21</f>
        <v>1.0420541388024</v>
      </c>
      <c r="Y21" s="818" t="n">
        <f aca="false">1+E21</f>
        <v>1.02951969831288</v>
      </c>
      <c r="Z21" s="818" t="n">
        <f aca="false">1+G21</f>
        <v>1.01388703758508</v>
      </c>
      <c r="AA21" s="818" t="n">
        <f aca="false">1+H20</f>
        <v>1</v>
      </c>
      <c r="AB21" s="818" t="n">
        <f aca="false">1+I21</f>
        <v>1.01541854284382</v>
      </c>
      <c r="AC21" s="818"/>
      <c r="AD21" s="818"/>
      <c r="AE21" s="818"/>
      <c r="AF21" s="25"/>
    </row>
    <row r="22" customFormat="false" ht="12" hidden="false" customHeight="true" outlineLevel="0" collapsed="false">
      <c r="A22" s="380" t="n">
        <v>1882</v>
      </c>
      <c r="B22" s="819" t="n">
        <f aca="false">TableDE3b!H22</f>
        <v>87.0167238295076</v>
      </c>
      <c r="C22" s="382" t="n">
        <f aca="false">B22/B21-1</f>
        <v>0.00193360329835857</v>
      </c>
      <c r="D22" s="974" t="n">
        <f aca="false">TableDE6a!J22</f>
        <v>6.92905207192145</v>
      </c>
      <c r="E22" s="977" t="n">
        <f aca="false">(D22/D21)*(1+C22)-1</f>
        <v>0.0125972008057629</v>
      </c>
      <c r="F22" s="514" t="n">
        <f aca="false">TableDE12c!B22</f>
        <v>0.114512536409846</v>
      </c>
      <c r="G22" s="403" t="n">
        <f aca="false">F21/D21</f>
        <v>0.0166699637592621</v>
      </c>
      <c r="H22" s="403" t="n">
        <f aca="false">O22/D22</f>
        <v>0</v>
      </c>
      <c r="I22" s="403" t="n">
        <f aca="false">(1+E22)/((1+G22)*(1+H21))-1</f>
        <v>-0.00400598335613245</v>
      </c>
      <c r="J22" s="803"/>
      <c r="K22" s="801"/>
      <c r="L22" s="978" t="n">
        <f aca="false">F22</f>
        <v>0.114512536409846</v>
      </c>
      <c r="M22" s="389"/>
      <c r="N22" s="389"/>
      <c r="O22" s="822" t="n">
        <f aca="false">TableDE5a!O22+TableDE5c!O22</f>
        <v>0</v>
      </c>
      <c r="Q22" s="25"/>
      <c r="R22" s="195"/>
      <c r="S22" s="812"/>
      <c r="T22" s="813"/>
      <c r="U22" s="814"/>
      <c r="V22" s="815"/>
      <c r="W22" s="816"/>
      <c r="X22" s="817" t="n">
        <f aca="false">1+$C22</f>
        <v>1.00193360329836</v>
      </c>
      <c r="Y22" s="818" t="n">
        <f aca="false">1+E22</f>
        <v>1.01259720080576</v>
      </c>
      <c r="Z22" s="818" t="n">
        <f aca="false">1+G22</f>
        <v>1.01666996375926</v>
      </c>
      <c r="AA22" s="818" t="n">
        <f aca="false">1+H21</f>
        <v>1</v>
      </c>
      <c r="AB22" s="818" t="n">
        <f aca="false">1+I22</f>
        <v>0.995994016643868</v>
      </c>
      <c r="AC22" s="818"/>
      <c r="AD22" s="818"/>
      <c r="AE22" s="818"/>
      <c r="AF22" s="25"/>
    </row>
    <row r="23" customFormat="false" ht="12" hidden="false" customHeight="true" outlineLevel="0" collapsed="false">
      <c r="A23" s="380" t="n">
        <v>1883</v>
      </c>
      <c r="B23" s="819" t="n">
        <f aca="false">TableDE3b!H23</f>
        <v>92.08306319793</v>
      </c>
      <c r="C23" s="382" t="n">
        <f aca="false">B23/B22-1</f>
        <v>0.0582225938355128</v>
      </c>
      <c r="D23" s="974" t="n">
        <f aca="false">TableDE6a!J23</f>
        <v>6.83684671209351</v>
      </c>
      <c r="E23" s="977" t="n">
        <f aca="false">(D23/D22)*(1+C23)-1</f>
        <v>0.0441407549302957</v>
      </c>
      <c r="F23" s="514" t="n">
        <f aca="false">TableDE12c!B23</f>
        <v>0.116891030967813</v>
      </c>
      <c r="G23" s="403" t="n">
        <f aca="false">F22/D22</f>
        <v>0.0165264361158267</v>
      </c>
      <c r="H23" s="403" t="n">
        <f aca="false">O23/D23</f>
        <v>0</v>
      </c>
      <c r="I23" s="403" t="n">
        <f aca="false">(1+E23)/((1+G23)*(1+H22))-1</f>
        <v>0.0271653720290681</v>
      </c>
      <c r="J23" s="803"/>
      <c r="K23" s="801"/>
      <c r="L23" s="978" t="n">
        <f aca="false">F23</f>
        <v>0.116891030967813</v>
      </c>
      <c r="M23" s="389"/>
      <c r="N23" s="389"/>
      <c r="O23" s="822" t="n">
        <f aca="false">TableDE5a!O23+TableDE5c!O23</f>
        <v>0</v>
      </c>
      <c r="Q23" s="25"/>
      <c r="R23" s="195"/>
      <c r="S23" s="812"/>
      <c r="T23" s="813"/>
      <c r="U23" s="814"/>
      <c r="V23" s="815"/>
      <c r="W23" s="816"/>
      <c r="X23" s="817" t="n">
        <f aca="false">1+$C23</f>
        <v>1.05822259383551</v>
      </c>
      <c r="Y23" s="818" t="n">
        <f aca="false">1+E23</f>
        <v>1.0441407549303</v>
      </c>
      <c r="Z23" s="818" t="n">
        <f aca="false">1+G23</f>
        <v>1.01652643611583</v>
      </c>
      <c r="AA23" s="818" t="n">
        <f aca="false">1+H22</f>
        <v>1</v>
      </c>
      <c r="AB23" s="818" t="n">
        <f aca="false">1+I23</f>
        <v>1.02716537202907</v>
      </c>
      <c r="AC23" s="818"/>
      <c r="AD23" s="818"/>
      <c r="AE23" s="818"/>
      <c r="AF23" s="25"/>
    </row>
    <row r="24" customFormat="false" ht="12" hidden="false" customHeight="true" outlineLevel="0" collapsed="false">
      <c r="A24" s="380" t="n">
        <v>1884</v>
      </c>
      <c r="B24" s="819" t="n">
        <f aca="false">TableDE3b!H24</f>
        <v>95.7514879343772</v>
      </c>
      <c r="C24" s="382" t="n">
        <f aca="false">B24/B23-1</f>
        <v>0.0398382135546682</v>
      </c>
      <c r="D24" s="974" t="n">
        <f aca="false">TableDE6a!J24</f>
        <v>6.68953124159087</v>
      </c>
      <c r="E24" s="977" t="n">
        <f aca="false">(D24/D23)*(1+C24)-1</f>
        <v>0.0174325253584609</v>
      </c>
      <c r="F24" s="514" t="n">
        <f aca="false">TableDE12c!B24</f>
        <v>0.134007857488833</v>
      </c>
      <c r="G24" s="403" t="n">
        <f aca="false">F23/D23</f>
        <v>0.017097213948215</v>
      </c>
      <c r="H24" s="403" t="n">
        <f aca="false">O24/D24</f>
        <v>0</v>
      </c>
      <c r="I24" s="403" t="n">
        <f aca="false">(1+E24)/((1+G24)*(1+H23))-1</f>
        <v>0.000329674888149834</v>
      </c>
      <c r="J24" s="803"/>
      <c r="K24" s="801"/>
      <c r="L24" s="978" t="n">
        <f aca="false">F24</f>
        <v>0.134007857488833</v>
      </c>
      <c r="M24" s="389"/>
      <c r="N24" s="389"/>
      <c r="O24" s="822" t="n">
        <f aca="false">TableDE5a!O24+TableDE5c!O24</f>
        <v>0</v>
      </c>
      <c r="Q24" s="25"/>
      <c r="R24" s="195"/>
      <c r="S24" s="812"/>
      <c r="T24" s="813"/>
      <c r="U24" s="814"/>
      <c r="V24" s="815"/>
      <c r="W24" s="816"/>
      <c r="X24" s="817" t="n">
        <f aca="false">1+$C24</f>
        <v>1.03983821355467</v>
      </c>
      <c r="Y24" s="818" t="n">
        <f aca="false">1+E24</f>
        <v>1.01743252535846</v>
      </c>
      <c r="Z24" s="818" t="n">
        <f aca="false">1+G24</f>
        <v>1.01709721394822</v>
      </c>
      <c r="AA24" s="818" t="n">
        <f aca="false">1+H23</f>
        <v>1</v>
      </c>
      <c r="AB24" s="818" t="n">
        <f aca="false">1+I24</f>
        <v>1.00032967488815</v>
      </c>
      <c r="AC24" s="818"/>
      <c r="AD24" s="818"/>
      <c r="AE24" s="818"/>
      <c r="AF24" s="25"/>
    </row>
    <row r="25" customFormat="false" ht="12" hidden="false" customHeight="true" outlineLevel="0" collapsed="false">
      <c r="A25" s="380" t="n">
        <v>1885</v>
      </c>
      <c r="B25" s="819" t="n">
        <f aca="false">TableDE3b!H25</f>
        <v>98.8025810640336</v>
      </c>
      <c r="C25" s="382" t="n">
        <f aca="false">B25/B24-1</f>
        <v>0.0318647072278135</v>
      </c>
      <c r="D25" s="974" t="n">
        <f aca="false">TableDE6a!J25</f>
        <v>6.78950571154052</v>
      </c>
      <c r="E25" s="977" t="n">
        <f aca="false">(D25/D24)*(1+C25)-1</f>
        <v>0.0472858366671181</v>
      </c>
      <c r="F25" s="514" t="n">
        <f aca="false">TableDE12c!B25</f>
        <v>0.13184584178499</v>
      </c>
      <c r="G25" s="403" t="n">
        <f aca="false">F24/D24</f>
        <v>0.020032473524552</v>
      </c>
      <c r="H25" s="403" t="n">
        <f aca="false">O25/D25</f>
        <v>0</v>
      </c>
      <c r="I25" s="403" t="n">
        <f aca="false">(1+E25)/((1+G25)*(1+H24))-1</f>
        <v>0.0267181328535517</v>
      </c>
      <c r="J25" s="803"/>
      <c r="K25" s="801"/>
      <c r="L25" s="978" t="n">
        <f aca="false">F25</f>
        <v>0.13184584178499</v>
      </c>
      <c r="M25" s="389"/>
      <c r="N25" s="389"/>
      <c r="O25" s="822" t="n">
        <f aca="false">TableDE5a!O25+TableDE5c!O25</f>
        <v>0</v>
      </c>
      <c r="Q25" s="25"/>
      <c r="R25" s="195"/>
      <c r="S25" s="812"/>
      <c r="T25" s="813"/>
      <c r="U25" s="814"/>
      <c r="V25" s="815"/>
      <c r="W25" s="816"/>
      <c r="X25" s="817" t="n">
        <f aca="false">1+$C25</f>
        <v>1.03186470722781</v>
      </c>
      <c r="Y25" s="818" t="n">
        <f aca="false">1+E25</f>
        <v>1.04728583666712</v>
      </c>
      <c r="Z25" s="818" t="n">
        <f aca="false">1+G25</f>
        <v>1.02003247352455</v>
      </c>
      <c r="AA25" s="818" t="n">
        <f aca="false">1+H24</f>
        <v>1</v>
      </c>
      <c r="AB25" s="818" t="n">
        <f aca="false">1+I25</f>
        <v>1.02671813285355</v>
      </c>
      <c r="AC25" s="818"/>
      <c r="AD25" s="818"/>
      <c r="AE25" s="818"/>
      <c r="AF25" s="25"/>
    </row>
    <row r="26" customFormat="false" ht="12" hidden="false" customHeight="true" outlineLevel="0" collapsed="false">
      <c r="A26" s="380" t="n">
        <v>1886</v>
      </c>
      <c r="B26" s="819" t="n">
        <f aca="false">TableDE3b!H26</f>
        <v>100.511748717221</v>
      </c>
      <c r="C26" s="382" t="n">
        <f aca="false">B26/B25-1</f>
        <v>0.0172988158283014</v>
      </c>
      <c r="D26" s="974" t="n">
        <f aca="false">TableDE6a!J26</f>
        <v>6.91972853068554</v>
      </c>
      <c r="E26" s="977" t="n">
        <f aca="false">(D26/D25)*(1+C26)-1</f>
        <v>0.0368106220390065</v>
      </c>
      <c r="F26" s="514" t="n">
        <f aca="false">TableDE12c!B26</f>
        <v>0.130189077849371</v>
      </c>
      <c r="G26" s="403" t="n">
        <f aca="false">F25/D25</f>
        <v>0.0194190633879111</v>
      </c>
      <c r="H26" s="403" t="n">
        <f aca="false">O26/D26</f>
        <v>0</v>
      </c>
      <c r="I26" s="403" t="n">
        <f aca="false">(1+E26)/((1+G26)*(1+H25))-1</f>
        <v>0.0170602642972917</v>
      </c>
      <c r="J26" s="803"/>
      <c r="K26" s="801"/>
      <c r="L26" s="978" t="n">
        <f aca="false">F26</f>
        <v>0.130189077849371</v>
      </c>
      <c r="M26" s="389"/>
      <c r="N26" s="389"/>
      <c r="O26" s="822" t="n">
        <f aca="false">TableDE5a!O26+TableDE5c!O26</f>
        <v>0</v>
      </c>
      <c r="Q26" s="25"/>
      <c r="R26" s="195"/>
      <c r="S26" s="812"/>
      <c r="T26" s="813"/>
      <c r="U26" s="814"/>
      <c r="V26" s="815"/>
      <c r="W26" s="816"/>
      <c r="X26" s="817" t="n">
        <f aca="false">1+$C26</f>
        <v>1.0172988158283</v>
      </c>
      <c r="Y26" s="818" t="n">
        <f aca="false">1+E26</f>
        <v>1.03681062203901</v>
      </c>
      <c r="Z26" s="818" t="n">
        <f aca="false">1+G26</f>
        <v>1.01941906338791</v>
      </c>
      <c r="AA26" s="818" t="n">
        <f aca="false">1+H25</f>
        <v>1</v>
      </c>
      <c r="AB26" s="818" t="n">
        <f aca="false">1+I26</f>
        <v>1.01706026429729</v>
      </c>
      <c r="AC26" s="818"/>
      <c r="AD26" s="818"/>
      <c r="AE26" s="818"/>
      <c r="AF26" s="25"/>
    </row>
    <row r="27" customFormat="false" ht="12" hidden="false" customHeight="true" outlineLevel="0" collapsed="false">
      <c r="A27" s="380" t="n">
        <v>1887</v>
      </c>
      <c r="B27" s="819" t="n">
        <f aca="false">TableDE3b!H27</f>
        <v>101.703842951878</v>
      </c>
      <c r="C27" s="382" t="n">
        <f aca="false">B27/B26-1</f>
        <v>0.0118602476811991</v>
      </c>
      <c r="D27" s="974" t="n">
        <f aca="false">TableDE6a!J27</f>
        <v>7.05373280024924</v>
      </c>
      <c r="E27" s="977" t="n">
        <f aca="false">(D27/D26)*(1+C27)-1</f>
        <v>0.0314554663071571</v>
      </c>
      <c r="F27" s="514" t="n">
        <f aca="false">TableDE12c!B27</f>
        <v>0.137078768368036</v>
      </c>
      <c r="G27" s="403" t="n">
        <f aca="false">F26/D26</f>
        <v>0.0188141886306736</v>
      </c>
      <c r="H27" s="403" t="n">
        <f aca="false">O27/D27</f>
        <v>0</v>
      </c>
      <c r="I27" s="403" t="n">
        <f aca="false">(1+E27)/((1+G27)*(1+H26))-1</f>
        <v>0.0124078343406995</v>
      </c>
      <c r="J27" s="803"/>
      <c r="K27" s="801"/>
      <c r="L27" s="978" t="n">
        <f aca="false">F27</f>
        <v>0.137078768368036</v>
      </c>
      <c r="M27" s="389"/>
      <c r="N27" s="389"/>
      <c r="O27" s="822" t="n">
        <f aca="false">TableDE5a!O27+TableDE5c!O27</f>
        <v>0</v>
      </c>
      <c r="Q27" s="25"/>
      <c r="R27" s="195"/>
      <c r="S27" s="812"/>
      <c r="T27" s="813"/>
      <c r="U27" s="814"/>
      <c r="V27" s="815"/>
      <c r="W27" s="816"/>
      <c r="X27" s="817" t="n">
        <f aca="false">1+$C27</f>
        <v>1.0118602476812</v>
      </c>
      <c r="Y27" s="818" t="n">
        <f aca="false">1+E27</f>
        <v>1.03145546630716</v>
      </c>
      <c r="Z27" s="818" t="n">
        <f aca="false">1+G27</f>
        <v>1.01881418863067</v>
      </c>
      <c r="AA27" s="818" t="n">
        <f aca="false">1+H26</f>
        <v>1</v>
      </c>
      <c r="AB27" s="818" t="n">
        <f aca="false">1+I27</f>
        <v>1.0124078343407</v>
      </c>
      <c r="AC27" s="818"/>
      <c r="AD27" s="818"/>
      <c r="AE27" s="818"/>
      <c r="AF27" s="25"/>
    </row>
    <row r="28" customFormat="false" ht="12" hidden="false" customHeight="true" outlineLevel="0" collapsed="false">
      <c r="A28" s="380" t="n">
        <v>1888</v>
      </c>
      <c r="B28" s="819" t="n">
        <f aca="false">TableDE3b!H28</f>
        <v>107.079806456458</v>
      </c>
      <c r="C28" s="382" t="n">
        <f aca="false">B28/B27-1</f>
        <v>0.0528590006881389</v>
      </c>
      <c r="D28" s="974" t="n">
        <f aca="false">TableDE6a!J28</f>
        <v>6.8780193236715</v>
      </c>
      <c r="E28" s="977" t="n">
        <f aca="false">(D28/D27)*(1+C28)-1</f>
        <v>0.0266315377835986</v>
      </c>
      <c r="F28" s="514" t="n">
        <f aca="false">TableDE12c!B28</f>
        <v>0.148309178743961</v>
      </c>
      <c r="G28" s="403" t="n">
        <f aca="false">F27/D27</f>
        <v>0.0194335073711882</v>
      </c>
      <c r="H28" s="403" t="n">
        <f aca="false">O28/D28</f>
        <v>0</v>
      </c>
      <c r="I28" s="403" t="n">
        <f aca="false">(1+E28)/((1+G28)*(1+H27))-1</f>
        <v>0.00706081403089454</v>
      </c>
      <c r="J28" s="803"/>
      <c r="K28" s="801"/>
      <c r="L28" s="978" t="n">
        <f aca="false">F28</f>
        <v>0.148309178743961</v>
      </c>
      <c r="M28" s="389"/>
      <c r="N28" s="389"/>
      <c r="O28" s="822" t="n">
        <f aca="false">TableDE5a!O28+TableDE5c!O28</f>
        <v>0</v>
      </c>
      <c r="Q28" s="25"/>
      <c r="R28" s="195"/>
      <c r="S28" s="812"/>
      <c r="T28" s="813"/>
      <c r="U28" s="814"/>
      <c r="V28" s="815"/>
      <c r="W28" s="816"/>
      <c r="X28" s="817" t="n">
        <f aca="false">1+$C28</f>
        <v>1.05285900068814</v>
      </c>
      <c r="Y28" s="818" t="n">
        <f aca="false">1+E28</f>
        <v>1.0266315377836</v>
      </c>
      <c r="Z28" s="818" t="n">
        <f aca="false">1+G28</f>
        <v>1.01943350737119</v>
      </c>
      <c r="AA28" s="818" t="n">
        <f aca="false">1+H27</f>
        <v>1</v>
      </c>
      <c r="AB28" s="818" t="n">
        <f aca="false">1+I28</f>
        <v>1.00706081403089</v>
      </c>
      <c r="AC28" s="818"/>
      <c r="AD28" s="818"/>
      <c r="AE28" s="818"/>
      <c r="AF28" s="25"/>
    </row>
    <row r="29" customFormat="false" ht="12" hidden="false" customHeight="true" outlineLevel="0" collapsed="false">
      <c r="A29" s="405" t="n">
        <v>1889</v>
      </c>
      <c r="B29" s="823" t="n">
        <f aca="false">TableDE3b!H29</f>
        <v>111.639741256374</v>
      </c>
      <c r="C29" s="407" t="n">
        <f aca="false">B29/B28-1</f>
        <v>0.0425844512687894</v>
      </c>
      <c r="D29" s="979" t="n">
        <f aca="false">TableDE6a!J29</f>
        <v>6.72046936114733</v>
      </c>
      <c r="E29" s="980" t="n">
        <f aca="false">(D29/D28)*(1+C29)-1</f>
        <v>0.0187027007973473</v>
      </c>
      <c r="F29" s="842" t="n">
        <f aca="false">TableDE12c!B29</f>
        <v>0.158431866205098</v>
      </c>
      <c r="G29" s="414" t="n">
        <f aca="false">F28/D28</f>
        <v>0.0215627743634767</v>
      </c>
      <c r="H29" s="414" t="n">
        <f aca="false">O29/D29</f>
        <v>0</v>
      </c>
      <c r="I29" s="414" t="n">
        <f aca="false">(1+E29)/((1+G29)*(1+H28))-1</f>
        <v>-0.00279970417668318</v>
      </c>
      <c r="J29" s="826"/>
      <c r="K29" s="827"/>
      <c r="L29" s="981" t="n">
        <f aca="false">F29</f>
        <v>0.158431866205098</v>
      </c>
      <c r="M29" s="982"/>
      <c r="N29" s="982"/>
      <c r="O29" s="828" t="n">
        <f aca="false">TableDE5a!O29+TableDE5c!O29</f>
        <v>0</v>
      </c>
      <c r="Q29" s="25"/>
      <c r="R29" s="195"/>
      <c r="S29" s="812"/>
      <c r="T29" s="813"/>
      <c r="U29" s="814"/>
      <c r="V29" s="815"/>
      <c r="W29" s="816"/>
      <c r="X29" s="817" t="n">
        <f aca="false">1+$C29</f>
        <v>1.04258445126879</v>
      </c>
      <c r="Y29" s="818" t="n">
        <f aca="false">1+E29</f>
        <v>1.01870270079735</v>
      </c>
      <c r="Z29" s="818" t="n">
        <f aca="false">1+G29</f>
        <v>1.02156277436348</v>
      </c>
      <c r="AA29" s="818" t="n">
        <f aca="false">1+H28</f>
        <v>1</v>
      </c>
      <c r="AB29" s="818" t="n">
        <f aca="false">1+I29</f>
        <v>0.997200295823317</v>
      </c>
      <c r="AC29" s="818"/>
      <c r="AD29" s="818"/>
      <c r="AE29" s="818"/>
      <c r="AF29" s="25"/>
    </row>
    <row r="30" customFormat="false" ht="12" hidden="false" customHeight="true" outlineLevel="0" collapsed="false">
      <c r="A30" s="380" t="n">
        <v>1890</v>
      </c>
      <c r="B30" s="819" t="n">
        <f aca="false">TableDE3b!H30</f>
        <v>115.603008190282</v>
      </c>
      <c r="C30" s="382" t="n">
        <f aca="false">B30/B29-1</f>
        <v>0.0355005026821664</v>
      </c>
      <c r="D30" s="974" t="n">
        <f aca="false">TableDE6a!J30</f>
        <v>6.56580060934326</v>
      </c>
      <c r="E30" s="977" t="n">
        <f aca="false">(D30/D29)*(1+C30)-1</f>
        <v>0.0116688978290509</v>
      </c>
      <c r="F30" s="514" t="n">
        <f aca="false">TableDE12c!B30</f>
        <v>0.158513879485443</v>
      </c>
      <c r="G30" s="403" t="n">
        <f aca="false">F29/D29</f>
        <v>0.0235745239939686</v>
      </c>
      <c r="H30" s="403" t="n">
        <f aca="false">O30/D30</f>
        <v>0</v>
      </c>
      <c r="I30" s="403" t="n">
        <f aca="false">(1+E30)/((1+G30)*(1+H29))-1</f>
        <v>-0.0116314209525871</v>
      </c>
      <c r="J30" s="803"/>
      <c r="K30" s="801"/>
      <c r="L30" s="978" t="n">
        <f aca="false">F30</f>
        <v>0.158513879485443</v>
      </c>
      <c r="M30" s="389"/>
      <c r="N30" s="389"/>
      <c r="O30" s="822" t="n">
        <f aca="false">TableDE5a!O30+TableDE5c!O30</f>
        <v>0</v>
      </c>
      <c r="Q30" s="25"/>
      <c r="R30" s="195"/>
      <c r="S30" s="812"/>
      <c r="T30" s="813"/>
      <c r="U30" s="814"/>
      <c r="V30" s="815"/>
      <c r="W30" s="816"/>
      <c r="X30" s="817" t="n">
        <f aca="false">1+$C30</f>
        <v>1.03550050268217</v>
      </c>
      <c r="Y30" s="818" t="n">
        <f aca="false">1+E30</f>
        <v>1.01166889782905</v>
      </c>
      <c r="Z30" s="818" t="n">
        <f aca="false">1+G30</f>
        <v>1.02357452399397</v>
      </c>
      <c r="AA30" s="818" t="n">
        <f aca="false">1+H29</f>
        <v>1</v>
      </c>
      <c r="AB30" s="818" t="n">
        <f aca="false">1+I30</f>
        <v>0.988368579047413</v>
      </c>
      <c r="AC30" s="818"/>
      <c r="AD30" s="818"/>
      <c r="AE30" s="818"/>
      <c r="AF30" s="25"/>
    </row>
    <row r="31" customFormat="false" ht="12" hidden="false" customHeight="true" outlineLevel="0" collapsed="false">
      <c r="A31" s="380" t="n">
        <v>1891</v>
      </c>
      <c r="B31" s="819" t="n">
        <f aca="false">TableDE3b!H31</f>
        <v>111.130046612761</v>
      </c>
      <c r="C31" s="382" t="n">
        <f aca="false">B31/B30-1</f>
        <v>-0.0386924323816773</v>
      </c>
      <c r="D31" s="974" t="n">
        <f aca="false">TableDE6a!J31</f>
        <v>6.89051124018977</v>
      </c>
      <c r="E31" s="977" t="n">
        <f aca="false">(D31/D30)*(1+C31)-1</f>
        <v>0.0088488813576828</v>
      </c>
      <c r="F31" s="514" t="n">
        <f aca="false">TableDE12c!B31</f>
        <v>0.103888617922228</v>
      </c>
      <c r="G31" s="403" t="n">
        <f aca="false">F30/D30</f>
        <v>0.0241423535250027</v>
      </c>
      <c r="H31" s="403" t="n">
        <f aca="false">O31/D31</f>
        <v>0</v>
      </c>
      <c r="I31" s="403" t="n">
        <f aca="false">(1+E31)/((1+G31)*(1+H30))-1</f>
        <v>-0.0149329554770206</v>
      </c>
      <c r="J31" s="803"/>
      <c r="K31" s="801"/>
      <c r="L31" s="978" t="n">
        <f aca="false">F31</f>
        <v>0.103888617922228</v>
      </c>
      <c r="M31" s="389"/>
      <c r="N31" s="389"/>
      <c r="O31" s="822" t="n">
        <f aca="false">TableDE5a!O31+TableDE5c!O31</f>
        <v>0</v>
      </c>
      <c r="Q31" s="25"/>
      <c r="R31" s="195"/>
      <c r="S31" s="812"/>
      <c r="T31" s="813"/>
      <c r="U31" s="814"/>
      <c r="V31" s="815"/>
      <c r="W31" s="816"/>
      <c r="X31" s="817" t="n">
        <f aca="false">1+$C31</f>
        <v>0.961307567618323</v>
      </c>
      <c r="Y31" s="818" t="n">
        <f aca="false">1+E31</f>
        <v>1.00884888135768</v>
      </c>
      <c r="Z31" s="818" t="n">
        <f aca="false">1+G31</f>
        <v>1.024142353525</v>
      </c>
      <c r="AA31" s="818" t="n">
        <f aca="false">1+H30</f>
        <v>1</v>
      </c>
      <c r="AB31" s="818" t="n">
        <f aca="false">1+I31</f>
        <v>0.985067044522979</v>
      </c>
      <c r="AC31" s="818"/>
      <c r="AD31" s="818"/>
      <c r="AE31" s="818"/>
      <c r="AF31" s="25"/>
    </row>
    <row r="32" customFormat="false" ht="12" hidden="false" customHeight="true" outlineLevel="0" collapsed="false">
      <c r="A32" s="380" t="n">
        <v>1892</v>
      </c>
      <c r="B32" s="819" t="n">
        <f aca="false">TableDE3b!H32</f>
        <v>117.780243495529</v>
      </c>
      <c r="C32" s="382" t="n">
        <f aca="false">B32/B31-1</f>
        <v>0.0598415737729388</v>
      </c>
      <c r="D32" s="974" t="n">
        <f aca="false">TableDE6a!J32</f>
        <v>6.32728293413174</v>
      </c>
      <c r="E32" s="977" t="n">
        <f aca="false">(D32/D31)*(1+C32)-1</f>
        <v>-0.0267895561212165</v>
      </c>
      <c r="F32" s="514" t="n">
        <f aca="false">TableDE12c!B32</f>
        <v>0.137724550898204</v>
      </c>
      <c r="G32" s="403" t="n">
        <f aca="false">F31/D31</f>
        <v>0.0150770551416104</v>
      </c>
      <c r="H32" s="403" t="n">
        <f aca="false">O32/D32</f>
        <v>0</v>
      </c>
      <c r="I32" s="403" t="n">
        <f aca="false">(1+E32)/((1+G32)*(1+H31))-1</f>
        <v>-0.0412447617161302</v>
      </c>
      <c r="J32" s="803"/>
      <c r="K32" s="801"/>
      <c r="L32" s="978" t="n">
        <f aca="false">F32</f>
        <v>0.137724550898204</v>
      </c>
      <c r="M32" s="389"/>
      <c r="N32" s="389"/>
      <c r="O32" s="822" t="n">
        <f aca="false">TableDE5a!O32+TableDE5c!O32</f>
        <v>0</v>
      </c>
      <c r="Q32" s="25"/>
      <c r="R32" s="195"/>
      <c r="S32" s="812"/>
      <c r="T32" s="813"/>
      <c r="U32" s="814"/>
      <c r="V32" s="815"/>
      <c r="W32" s="816"/>
      <c r="X32" s="817" t="n">
        <f aca="false">1+$C32</f>
        <v>1.05984157377294</v>
      </c>
      <c r="Y32" s="818" t="n">
        <f aca="false">1+E32</f>
        <v>0.973210443878784</v>
      </c>
      <c r="Z32" s="818" t="n">
        <f aca="false">1+G32</f>
        <v>1.01507705514161</v>
      </c>
      <c r="AA32" s="818" t="n">
        <f aca="false">1+H31</f>
        <v>1</v>
      </c>
      <c r="AB32" s="818" t="n">
        <f aca="false">1+I32</f>
        <v>0.95875523828387</v>
      </c>
      <c r="AC32" s="818"/>
      <c r="AD32" s="818"/>
      <c r="AE32" s="818"/>
      <c r="AF32" s="25"/>
    </row>
    <row r="33" customFormat="false" ht="12" hidden="false" customHeight="true" outlineLevel="0" collapsed="false">
      <c r="A33" s="380" t="n">
        <v>1893</v>
      </c>
      <c r="B33" s="819" t="n">
        <f aca="false">TableDE3b!H33</f>
        <v>126.708072353717</v>
      </c>
      <c r="C33" s="382" t="n">
        <f aca="false">B33/B32-1</f>
        <v>0.0758007335799695</v>
      </c>
      <c r="D33" s="974" t="n">
        <f aca="false">TableDE6a!J33</f>
        <v>6.17538170761772</v>
      </c>
      <c r="E33" s="977" t="n">
        <f aca="false">(D33/D32)*(1+C33)-1</f>
        <v>0.0499736206443437</v>
      </c>
      <c r="F33" s="514" t="n">
        <f aca="false">TableDE12c!B33</f>
        <v>0.134439970416632</v>
      </c>
      <c r="G33" s="403" t="n">
        <f aca="false">F32/D32</f>
        <v>0.0217667760920356</v>
      </c>
      <c r="H33" s="403" t="n">
        <f aca="false">O33/D33</f>
        <v>0</v>
      </c>
      <c r="I33" s="403" t="n">
        <f aca="false">(1+E33)/((1+G33)*(1+H32))-1</f>
        <v>0.027605951976821</v>
      </c>
      <c r="J33" s="803"/>
      <c r="K33" s="801"/>
      <c r="L33" s="978" t="n">
        <f aca="false">F33</f>
        <v>0.134439970416632</v>
      </c>
      <c r="M33" s="389"/>
      <c r="N33" s="389"/>
      <c r="O33" s="822" t="n">
        <f aca="false">TableDE5a!O33+TableDE5c!O33</f>
        <v>0</v>
      </c>
      <c r="Q33" s="25"/>
      <c r="R33" s="195"/>
      <c r="S33" s="812"/>
      <c r="T33" s="813"/>
      <c r="U33" s="814"/>
      <c r="V33" s="815"/>
      <c r="W33" s="816"/>
      <c r="X33" s="817" t="n">
        <f aca="false">1+$C33</f>
        <v>1.07580073357997</v>
      </c>
      <c r="Y33" s="818" t="n">
        <f aca="false">1+E33</f>
        <v>1.04997362064434</v>
      </c>
      <c r="Z33" s="818" t="n">
        <f aca="false">1+G33</f>
        <v>1.02176677609204</v>
      </c>
      <c r="AA33" s="818" t="n">
        <f aca="false">1+H32</f>
        <v>1</v>
      </c>
      <c r="AB33" s="818" t="n">
        <f aca="false">1+I33</f>
        <v>1.02760595197682</v>
      </c>
      <c r="AC33" s="818"/>
      <c r="AD33" s="818"/>
      <c r="AE33" s="818"/>
      <c r="AF33" s="25"/>
    </row>
    <row r="34" customFormat="false" ht="12" hidden="false" customHeight="true" outlineLevel="0" collapsed="false">
      <c r="A34" s="380" t="n">
        <v>1894</v>
      </c>
      <c r="B34" s="819" t="n">
        <f aca="false">TableDE3b!H34</f>
        <v>127.123807727526</v>
      </c>
      <c r="C34" s="382" t="n">
        <f aca="false">B34/B33-1</f>
        <v>0.00328104883994862</v>
      </c>
      <c r="D34" s="974" t="n">
        <f aca="false">TableDE6a!J34</f>
        <v>6.23548871556588</v>
      </c>
      <c r="E34" s="977" t="n">
        <f aca="false">(D34/D33)*(1+C34)-1</f>
        <v>0.0130463111074577</v>
      </c>
      <c r="F34" s="514" t="n">
        <f aca="false">TableDE12c!B34</f>
        <v>0.120892797875871</v>
      </c>
      <c r="G34" s="403" t="n">
        <f aca="false">F33/D33</f>
        <v>0.0217703093965499</v>
      </c>
      <c r="H34" s="403" t="n">
        <f aca="false">O34/D34</f>
        <v>0</v>
      </c>
      <c r="I34" s="403" t="n">
        <f aca="false">(1+E34)/((1+G34)*(1+H33))-1</f>
        <v>-0.00853812075851435</v>
      </c>
      <c r="J34" s="803"/>
      <c r="K34" s="801"/>
      <c r="L34" s="978" t="n">
        <f aca="false">F34</f>
        <v>0.120892797875871</v>
      </c>
      <c r="M34" s="389"/>
      <c r="N34" s="389"/>
      <c r="O34" s="822" t="n">
        <f aca="false">TableDE5a!O34+TableDE5c!O34</f>
        <v>0</v>
      </c>
      <c r="Q34" s="25"/>
      <c r="R34" s="195"/>
      <c r="S34" s="812"/>
      <c r="T34" s="813"/>
      <c r="U34" s="814"/>
      <c r="V34" s="815"/>
      <c r="W34" s="816"/>
      <c r="X34" s="817" t="n">
        <f aca="false">1+$C34</f>
        <v>1.00328104883995</v>
      </c>
      <c r="Y34" s="818" t="n">
        <f aca="false">1+E34</f>
        <v>1.01304631110746</v>
      </c>
      <c r="Z34" s="818" t="n">
        <f aca="false">1+G34</f>
        <v>1.02177030939655</v>
      </c>
      <c r="AA34" s="818" t="n">
        <f aca="false">1+H33</f>
        <v>1</v>
      </c>
      <c r="AB34" s="818" t="n">
        <f aca="false">1+I34</f>
        <v>0.991461879241486</v>
      </c>
      <c r="AC34" s="818"/>
      <c r="AD34" s="818"/>
      <c r="AE34" s="818"/>
      <c r="AF34" s="25"/>
    </row>
    <row r="35" customFormat="false" ht="12" hidden="false" customHeight="true" outlineLevel="0" collapsed="false">
      <c r="A35" s="380" t="n">
        <v>1895</v>
      </c>
      <c r="B35" s="819" t="n">
        <f aca="false">TableDE3b!H35</f>
        <v>132.570814687756</v>
      </c>
      <c r="C35" s="382" t="n">
        <f aca="false">B35/B34-1</f>
        <v>0.0428480475656072</v>
      </c>
      <c r="D35" s="974" t="n">
        <f aca="false">TableDE6a!J35</f>
        <v>6.04918565484446</v>
      </c>
      <c r="E35" s="977" t="n">
        <f aca="false">(D35/D34)*(1+C35)-1</f>
        <v>0.0116899792904095</v>
      </c>
      <c r="F35" s="514" t="n">
        <f aca="false">TableDE12c!B35</f>
        <v>0.124747374678027</v>
      </c>
      <c r="G35" s="403" t="n">
        <f aca="false">F34/D34</f>
        <v>0.0193878625061227</v>
      </c>
      <c r="H35" s="403" t="n">
        <f aca="false">O35/D35</f>
        <v>0</v>
      </c>
      <c r="I35" s="403" t="n">
        <f aca="false">(1+E35)/((1+G35)*(1+H34))-1</f>
        <v>-0.00755147623279362</v>
      </c>
      <c r="J35" s="803"/>
      <c r="K35" s="801"/>
      <c r="L35" s="978" t="n">
        <f aca="false">F35</f>
        <v>0.124747374678027</v>
      </c>
      <c r="M35" s="389"/>
      <c r="N35" s="389"/>
      <c r="O35" s="822" t="n">
        <f aca="false">TableDE5a!O35+TableDE5c!O35</f>
        <v>0</v>
      </c>
      <c r="Q35" s="25"/>
      <c r="R35" s="195"/>
      <c r="S35" s="812"/>
      <c r="T35" s="813"/>
      <c r="U35" s="814"/>
      <c r="V35" s="815"/>
      <c r="W35" s="816"/>
      <c r="X35" s="817" t="n">
        <f aca="false">1+$C35</f>
        <v>1.04284804756561</v>
      </c>
      <c r="Y35" s="818" t="n">
        <f aca="false">1+E35</f>
        <v>1.01168997929041</v>
      </c>
      <c r="Z35" s="818" t="n">
        <f aca="false">1+G35</f>
        <v>1.01938786250612</v>
      </c>
      <c r="AA35" s="818" t="n">
        <f aca="false">1+H34</f>
        <v>1</v>
      </c>
      <c r="AB35" s="818" t="n">
        <f aca="false">1+I35</f>
        <v>0.992448523767206</v>
      </c>
      <c r="AC35" s="818"/>
      <c r="AD35" s="818"/>
      <c r="AE35" s="818"/>
      <c r="AF35" s="25"/>
    </row>
    <row r="36" customFormat="false" ht="12" hidden="false" customHeight="true" outlineLevel="0" collapsed="false">
      <c r="A36" s="380" t="n">
        <v>1896</v>
      </c>
      <c r="B36" s="819" t="n">
        <f aca="false">TableDE3b!H36</f>
        <v>139.446876456364</v>
      </c>
      <c r="C36" s="382" t="n">
        <f aca="false">B36/B35-1</f>
        <v>0.0518670854124488</v>
      </c>
      <c r="D36" s="974" t="n">
        <f aca="false">TableDE6a!J36</f>
        <v>5.90605631190414</v>
      </c>
      <c r="E36" s="977" t="n">
        <f aca="false">(D36/D35)*(1+C36)-1</f>
        <v>0.0269789346123386</v>
      </c>
      <c r="F36" s="514" t="n">
        <f aca="false">TableDE12c!B36</f>
        <v>0.154245650480395</v>
      </c>
      <c r="G36" s="403" t="n">
        <f aca="false">F35/D35</f>
        <v>0.0206221765698534</v>
      </c>
      <c r="H36" s="403" t="n">
        <f aca="false">O36/D36</f>
        <v>0</v>
      </c>
      <c r="I36" s="403" t="n">
        <f aca="false">(1+E36)/((1+G36)*(1+H35))-1</f>
        <v>0.00622831659787093</v>
      </c>
      <c r="J36" s="803"/>
      <c r="K36" s="801"/>
      <c r="L36" s="978" t="n">
        <f aca="false">F36</f>
        <v>0.154245650480395</v>
      </c>
      <c r="M36" s="389"/>
      <c r="N36" s="389"/>
      <c r="O36" s="822" t="n">
        <f aca="false">TableDE5a!O36+TableDE5c!O36</f>
        <v>0</v>
      </c>
      <c r="Q36" s="25"/>
      <c r="R36" s="195"/>
      <c r="S36" s="829"/>
      <c r="T36" s="830"/>
      <c r="U36" s="29"/>
      <c r="V36" s="831"/>
      <c r="W36" s="816"/>
      <c r="X36" s="817" t="n">
        <f aca="false">1+$C36</f>
        <v>1.05186708541245</v>
      </c>
      <c r="Y36" s="818" t="n">
        <f aca="false">1+E36</f>
        <v>1.02697893461234</v>
      </c>
      <c r="Z36" s="818" t="n">
        <f aca="false">1+G36</f>
        <v>1.02062217656985</v>
      </c>
      <c r="AA36" s="818" t="n">
        <f aca="false">1+H35</f>
        <v>1</v>
      </c>
      <c r="AB36" s="818" t="n">
        <f aca="false">1+I36</f>
        <v>1.00622831659787</v>
      </c>
      <c r="AC36" s="818"/>
      <c r="AD36" s="818"/>
      <c r="AE36" s="818"/>
      <c r="AF36" s="25"/>
    </row>
    <row r="37" customFormat="false" ht="12" hidden="false" customHeight="true" outlineLevel="0" collapsed="false">
      <c r="A37" s="380" t="n">
        <v>1897</v>
      </c>
      <c r="B37" s="819" t="n">
        <f aca="false">TableDE3b!H37</f>
        <v>144.850138686467</v>
      </c>
      <c r="C37" s="382" t="n">
        <f aca="false">B37/B36-1</f>
        <v>0.0387478182904573</v>
      </c>
      <c r="D37" s="974" t="n">
        <f aca="false">TableDE6a!J37</f>
        <v>5.90432341968551</v>
      </c>
      <c r="E37" s="977" t="n">
        <f aca="false">(D37/D36)*(1+C37)-1</f>
        <v>0.0384430399550704</v>
      </c>
      <c r="F37" s="514" t="n">
        <f aca="false">TableDE12c!B37</f>
        <v>0.166765454482061</v>
      </c>
      <c r="G37" s="403" t="n">
        <f aca="false">F36/D36</f>
        <v>0.0261165221485443</v>
      </c>
      <c r="H37" s="403" t="n">
        <f aca="false">O37/D37</f>
        <v>0</v>
      </c>
      <c r="I37" s="403" t="n">
        <f aca="false">(1+E37)/((1+G37)*(1+H36))-1</f>
        <v>0.012012785624693</v>
      </c>
      <c r="J37" s="803"/>
      <c r="K37" s="801"/>
      <c r="L37" s="978" t="n">
        <f aca="false">F37</f>
        <v>0.166765454482061</v>
      </c>
      <c r="M37" s="389"/>
      <c r="N37" s="389"/>
      <c r="O37" s="822" t="n">
        <f aca="false">TableDE5a!O37+TableDE5c!O37</f>
        <v>0</v>
      </c>
      <c r="Q37" s="25"/>
      <c r="R37" s="195"/>
      <c r="S37" s="829"/>
      <c r="T37" s="830"/>
      <c r="U37" s="29"/>
      <c r="V37" s="831"/>
      <c r="W37" s="816"/>
      <c r="X37" s="817" t="n">
        <f aca="false">1+$C37</f>
        <v>1.03874781829046</v>
      </c>
      <c r="Y37" s="818" t="n">
        <f aca="false">1+E37</f>
        <v>1.03844303995507</v>
      </c>
      <c r="Z37" s="818" t="n">
        <f aca="false">1+G37</f>
        <v>1.02611652214854</v>
      </c>
      <c r="AA37" s="818" t="n">
        <f aca="false">1+H36</f>
        <v>1</v>
      </c>
      <c r="AB37" s="818" t="n">
        <f aca="false">1+I37</f>
        <v>1.01201278562469</v>
      </c>
      <c r="AC37" s="818"/>
      <c r="AD37" s="818"/>
      <c r="AE37" s="818"/>
      <c r="AF37" s="25"/>
    </row>
    <row r="38" customFormat="false" ht="12" hidden="false" customHeight="true" outlineLevel="0" collapsed="false">
      <c r="A38" s="380" t="n">
        <v>1898</v>
      </c>
      <c r="B38" s="819" t="n">
        <f aca="false">TableDE3b!H38</f>
        <v>155.398052858784</v>
      </c>
      <c r="C38" s="382" t="n">
        <f aca="false">B38/B37-1</f>
        <v>0.0728194965359956</v>
      </c>
      <c r="D38" s="974" t="n">
        <f aca="false">TableDE6a!J38</f>
        <v>5.84650907091809</v>
      </c>
      <c r="E38" s="977" t="n">
        <f aca="false">(D38/D37)*(1+C38)-1</f>
        <v>0.0623145908713727</v>
      </c>
      <c r="F38" s="514" t="n">
        <f aca="false">TableDE12c!B38</f>
        <v>0.195323868964848</v>
      </c>
      <c r="G38" s="403" t="n">
        <f aca="false">F37/D37</f>
        <v>0.0282446340805199</v>
      </c>
      <c r="H38" s="403" t="n">
        <f aca="false">O38/D38</f>
        <v>0</v>
      </c>
      <c r="I38" s="403" t="n">
        <f aca="false">(1+E38)/((1+G38)*(1+H37))-1</f>
        <v>0.0331340963634776</v>
      </c>
      <c r="J38" s="803"/>
      <c r="K38" s="801"/>
      <c r="L38" s="978" t="n">
        <f aca="false">F38</f>
        <v>0.195323868964848</v>
      </c>
      <c r="M38" s="389"/>
      <c r="N38" s="389"/>
      <c r="O38" s="822" t="n">
        <f aca="false">TableDE5a!O38+TableDE5c!O38</f>
        <v>0</v>
      </c>
      <c r="Q38" s="25"/>
      <c r="R38" s="195"/>
      <c r="S38" s="829"/>
      <c r="T38" s="830"/>
      <c r="U38" s="29"/>
      <c r="V38" s="831"/>
      <c r="W38" s="816"/>
      <c r="X38" s="817" t="n">
        <f aca="false">1+$C38</f>
        <v>1.072819496536</v>
      </c>
      <c r="Y38" s="818" t="n">
        <f aca="false">1+E38</f>
        <v>1.06231459087137</v>
      </c>
      <c r="Z38" s="818" t="n">
        <f aca="false">1+G38</f>
        <v>1.02824463408052</v>
      </c>
      <c r="AA38" s="818" t="n">
        <f aca="false">1+H37</f>
        <v>1</v>
      </c>
      <c r="AB38" s="818" t="n">
        <f aca="false">1+I38</f>
        <v>1.03313409636348</v>
      </c>
      <c r="AC38" s="818"/>
      <c r="AD38" s="818"/>
      <c r="AE38" s="818"/>
      <c r="AF38" s="25"/>
    </row>
    <row r="39" customFormat="false" ht="12" hidden="false" customHeight="true" outlineLevel="0" collapsed="false">
      <c r="A39" s="405" t="n">
        <v>1899</v>
      </c>
      <c r="B39" s="823" t="n">
        <f aca="false">TableDE3b!H39</f>
        <v>153.020330744631</v>
      </c>
      <c r="C39" s="407" t="n">
        <f aca="false">B39/B38-1</f>
        <v>-0.0153008488228229</v>
      </c>
      <c r="D39" s="979" t="n">
        <f aca="false">TableDE6a!J39</f>
        <v>6.16619967742956</v>
      </c>
      <c r="E39" s="980" t="n">
        <f aca="false">(D39/D38)*(1+C39)-1</f>
        <v>0.0385430886538238</v>
      </c>
      <c r="F39" s="842" t="n">
        <f aca="false">TableDE12c!B39</f>
        <v>0.17785648777711</v>
      </c>
      <c r="G39" s="414" t="n">
        <f aca="false">F38/D38</f>
        <v>0.033408631816965</v>
      </c>
      <c r="H39" s="414" t="n">
        <f aca="false">O39/D39</f>
        <v>0</v>
      </c>
      <c r="I39" s="414" t="n">
        <f aca="false">(1+E39)/((1+G39)*(1+H38))-1</f>
        <v>0.00496846714724208</v>
      </c>
      <c r="J39" s="826"/>
      <c r="K39" s="827"/>
      <c r="L39" s="981" t="n">
        <f aca="false">F39</f>
        <v>0.17785648777711</v>
      </c>
      <c r="M39" s="982"/>
      <c r="N39" s="982"/>
      <c r="O39" s="828" t="n">
        <f aca="false">TableDE5a!O39+TableDE5c!O39</f>
        <v>0</v>
      </c>
      <c r="Q39" s="25"/>
      <c r="R39" s="195"/>
      <c r="S39" s="829"/>
      <c r="T39" s="830"/>
      <c r="U39" s="29"/>
      <c r="V39" s="831"/>
      <c r="W39" s="816"/>
      <c r="X39" s="817" t="n">
        <f aca="false">1+$C39</f>
        <v>0.984699151177177</v>
      </c>
      <c r="Y39" s="818" t="n">
        <f aca="false">1+E39</f>
        <v>1.03854308865382</v>
      </c>
      <c r="Z39" s="818" t="n">
        <f aca="false">1+G39</f>
        <v>1.03340863181696</v>
      </c>
      <c r="AA39" s="818" t="n">
        <f aca="false">1+H38</f>
        <v>1</v>
      </c>
      <c r="AB39" s="818" t="n">
        <f aca="false">1+I39</f>
        <v>1.00496846714724</v>
      </c>
      <c r="AC39" s="818"/>
      <c r="AD39" s="818"/>
      <c r="AE39" s="818"/>
      <c r="AF39" s="25"/>
    </row>
    <row r="40" customFormat="false" ht="12" hidden="false" customHeight="true" outlineLevel="0" collapsed="false">
      <c r="A40" s="380" t="n">
        <v>1900</v>
      </c>
      <c r="B40" s="819" t="n">
        <f aca="false">TableDE3b!H40</f>
        <v>151.302716984786</v>
      </c>
      <c r="C40" s="382" t="n">
        <f aca="false">B40/B39-1</f>
        <v>-0.0112247421730602</v>
      </c>
      <c r="D40" s="974" t="n">
        <f aca="false">TableDE6a!J40</f>
        <v>6.52706424857638</v>
      </c>
      <c r="E40" s="977" t="n">
        <f aca="false">(D40/D39)*(1+C40)-1</f>
        <v>0.0466413630525577</v>
      </c>
      <c r="F40" s="514" t="n">
        <f aca="false">TableDE12c!B40</f>
        <v>0.166346868036643</v>
      </c>
      <c r="G40" s="403" t="n">
        <f aca="false">F39/D39</f>
        <v>0.0288437768935909</v>
      </c>
      <c r="H40" s="403" t="n">
        <f aca="false">O40/D40</f>
        <v>0</v>
      </c>
      <c r="I40" s="403" t="n">
        <f aca="false">(1+E40)/((1+G40)*(1+H39))-1</f>
        <v>0.0172986283813694</v>
      </c>
      <c r="J40" s="803"/>
      <c r="K40" s="801"/>
      <c r="L40" s="978" t="n">
        <f aca="false">F40</f>
        <v>0.166346868036643</v>
      </c>
      <c r="M40" s="389"/>
      <c r="N40" s="389"/>
      <c r="O40" s="822" t="n">
        <f aca="false">TableDE5a!O40+TableDE5c!O40</f>
        <v>0</v>
      </c>
      <c r="Q40" s="25"/>
      <c r="R40" s="195"/>
      <c r="S40" s="829"/>
      <c r="T40" s="830"/>
      <c r="U40" s="29"/>
      <c r="V40" s="831"/>
      <c r="W40" s="816"/>
      <c r="X40" s="817" t="n">
        <f aca="false">1+$C40</f>
        <v>0.98877525782694</v>
      </c>
      <c r="Y40" s="818" t="n">
        <f aca="false">1+E40</f>
        <v>1.04664136305256</v>
      </c>
      <c r="Z40" s="818" t="n">
        <f aca="false">1+G40</f>
        <v>1.02884377689359</v>
      </c>
      <c r="AA40" s="818" t="n">
        <f aca="false">1+H39</f>
        <v>1</v>
      </c>
      <c r="AB40" s="818" t="n">
        <f aca="false">1+I40</f>
        <v>1.01729862838137</v>
      </c>
      <c r="AC40" s="818"/>
      <c r="AD40" s="818"/>
      <c r="AE40" s="818"/>
      <c r="AF40" s="25"/>
    </row>
    <row r="41" customFormat="false" ht="12" hidden="false" customHeight="true" outlineLevel="0" collapsed="false">
      <c r="A41" s="380" t="n">
        <v>1901</v>
      </c>
      <c r="B41" s="819" t="n">
        <f aca="false">TableDE3b!H41</f>
        <v>150.199917235361</v>
      </c>
      <c r="C41" s="382" t="n">
        <f aca="false">B41/B40-1</f>
        <v>-0.00728869759514139</v>
      </c>
      <c r="D41" s="974" t="n">
        <f aca="false">TableDE6a!J41</f>
        <v>6.86694406551772</v>
      </c>
      <c r="E41" s="977" t="n">
        <f aca="false">(D41/D40)*(1+C41)-1</f>
        <v>0.0444041497382606</v>
      </c>
      <c r="F41" s="514" t="n">
        <f aca="false">TableDE12c!B41</f>
        <v>0.130535833678245</v>
      </c>
      <c r="G41" s="403" t="n">
        <f aca="false">F40/D40</f>
        <v>0.0254857102215479</v>
      </c>
      <c r="H41" s="403" t="n">
        <f aca="false">O41/D41</f>
        <v>0</v>
      </c>
      <c r="I41" s="403" t="n">
        <f aca="false">(1+E41)/((1+G41)*(1+H40))-1</f>
        <v>0.0184482721974015</v>
      </c>
      <c r="J41" s="803"/>
      <c r="K41" s="801"/>
      <c r="L41" s="978" t="n">
        <f aca="false">F41</f>
        <v>0.130535833678245</v>
      </c>
      <c r="M41" s="389"/>
      <c r="N41" s="389"/>
      <c r="O41" s="822" t="n">
        <f aca="false">TableDE5a!O41+TableDE5c!O41</f>
        <v>0</v>
      </c>
      <c r="Q41" s="25"/>
      <c r="R41" s="195"/>
      <c r="S41" s="832"/>
      <c r="T41" s="830"/>
      <c r="U41" s="29"/>
      <c r="V41" s="831"/>
      <c r="W41" s="816"/>
      <c r="X41" s="817" t="n">
        <f aca="false">1+$C41</f>
        <v>0.992711302404859</v>
      </c>
      <c r="Y41" s="818" t="n">
        <f aca="false">1+E41</f>
        <v>1.04440414973826</v>
      </c>
      <c r="Z41" s="818" t="n">
        <f aca="false">1+G41</f>
        <v>1.02548571022155</v>
      </c>
      <c r="AA41" s="818" t="n">
        <f aca="false">1+H40</f>
        <v>1</v>
      </c>
      <c r="AB41" s="818" t="n">
        <f aca="false">1+I41</f>
        <v>1.0184482721974</v>
      </c>
      <c r="AC41" s="818"/>
      <c r="AD41" s="818"/>
      <c r="AE41" s="818"/>
      <c r="AF41" s="25"/>
    </row>
    <row r="42" customFormat="false" ht="12" hidden="false" customHeight="true" outlineLevel="0" collapsed="false">
      <c r="A42" s="380" t="n">
        <v>1902</v>
      </c>
      <c r="B42" s="819" t="n">
        <f aca="false">TableDE3b!H42</f>
        <v>152.31070320994</v>
      </c>
      <c r="C42" s="382" t="n">
        <f aca="false">B42/B41-1</f>
        <v>0.0140531766823233</v>
      </c>
      <c r="D42" s="974" t="n">
        <f aca="false">TableDE6a!J42</f>
        <v>6.68709714770929</v>
      </c>
      <c r="E42" s="977" t="n">
        <f aca="false">(D42/D41)*(1+C42)-1</f>
        <v>-0.0125051200767775</v>
      </c>
      <c r="F42" s="514" t="n">
        <f aca="false">TableDE12c!B42</f>
        <v>0.124623682890115</v>
      </c>
      <c r="G42" s="403" t="n">
        <f aca="false">F41/D41</f>
        <v>0.0190093049299366</v>
      </c>
      <c r="H42" s="403" t="n">
        <f aca="false">O42/D42</f>
        <v>0</v>
      </c>
      <c r="I42" s="403" t="n">
        <f aca="false">(1+E42)/((1+G42)*(1+H41))-1</f>
        <v>-0.0309265331084303</v>
      </c>
      <c r="J42" s="803"/>
      <c r="K42" s="801"/>
      <c r="L42" s="978" t="n">
        <f aca="false">F42</f>
        <v>0.124623682890115</v>
      </c>
      <c r="M42" s="389"/>
      <c r="N42" s="389"/>
      <c r="O42" s="822" t="n">
        <f aca="false">TableDE5a!O42+TableDE5c!O42</f>
        <v>0</v>
      </c>
      <c r="Q42" s="25"/>
      <c r="R42" s="195"/>
      <c r="S42" s="833"/>
      <c r="T42" s="830"/>
      <c r="U42" s="29"/>
      <c r="V42" s="831"/>
      <c r="W42" s="816"/>
      <c r="X42" s="817" t="n">
        <f aca="false">1+$C42</f>
        <v>1.01405317668232</v>
      </c>
      <c r="Y42" s="818" t="n">
        <f aca="false">1+E42</f>
        <v>0.987494879923223</v>
      </c>
      <c r="Z42" s="818" t="n">
        <f aca="false">1+G42</f>
        <v>1.01900930492994</v>
      </c>
      <c r="AA42" s="818" t="n">
        <f aca="false">1+H41</f>
        <v>1</v>
      </c>
      <c r="AB42" s="818" t="n">
        <f aca="false">1+I42</f>
        <v>0.96907346689157</v>
      </c>
      <c r="AC42" s="818"/>
      <c r="AD42" s="818"/>
      <c r="AE42" s="818"/>
      <c r="AF42" s="25"/>
    </row>
    <row r="43" customFormat="false" ht="12" hidden="false" customHeight="true" outlineLevel="0" collapsed="false">
      <c r="A43" s="380" t="n">
        <v>1903</v>
      </c>
      <c r="B43" s="819" t="n">
        <f aca="false">TableDE3b!H43</f>
        <v>162.777937020663</v>
      </c>
      <c r="C43" s="382" t="n">
        <f aca="false">B43/B42-1</f>
        <v>0.068722903841471</v>
      </c>
      <c r="D43" s="974" t="n">
        <f aca="false">TableDE6a!J43</f>
        <v>6.36627305443095</v>
      </c>
      <c r="E43" s="977" t="n">
        <f aca="false">(D43/D42)*(1+C43)-1</f>
        <v>0.0174492272345463</v>
      </c>
      <c r="F43" s="514" t="n">
        <f aca="false">TableDE12c!B43</f>
        <v>0.152105263157895</v>
      </c>
      <c r="G43" s="403" t="n">
        <f aca="false">F42/D42</f>
        <v>0.0186364397192594</v>
      </c>
      <c r="H43" s="403" t="n">
        <f aca="false">O43/D43</f>
        <v>0</v>
      </c>
      <c r="I43" s="403" t="n">
        <f aca="false">(1+E43)/((1+G43)*(1+H42))-1</f>
        <v>-0.0011654918658125</v>
      </c>
      <c r="J43" s="803"/>
      <c r="K43" s="801"/>
      <c r="L43" s="978" t="n">
        <f aca="false">F43</f>
        <v>0.152105263157895</v>
      </c>
      <c r="M43" s="389"/>
      <c r="N43" s="389"/>
      <c r="O43" s="822" t="n">
        <f aca="false">TableDE5a!O43+TableDE5c!O43</f>
        <v>0</v>
      </c>
      <c r="Q43" s="25"/>
      <c r="R43" s="195"/>
      <c r="S43" s="833"/>
      <c r="T43" s="830"/>
      <c r="U43" s="29"/>
      <c r="V43" s="831"/>
      <c r="W43" s="816"/>
      <c r="X43" s="817" t="n">
        <f aca="false">1+$C43</f>
        <v>1.06872290384147</v>
      </c>
      <c r="Y43" s="818" t="n">
        <f aca="false">1+E43</f>
        <v>1.01744922723455</v>
      </c>
      <c r="Z43" s="818" t="n">
        <f aca="false">1+G43</f>
        <v>1.01863643971926</v>
      </c>
      <c r="AA43" s="818" t="n">
        <f aca="false">1+H42</f>
        <v>1</v>
      </c>
      <c r="AB43" s="818" t="n">
        <f aca="false">1+I43</f>
        <v>0.998834508134188</v>
      </c>
      <c r="AC43" s="818"/>
      <c r="AD43" s="818"/>
      <c r="AE43" s="818"/>
      <c r="AF43" s="25"/>
    </row>
    <row r="44" customFormat="false" ht="12" hidden="false" customHeight="true" outlineLevel="0" collapsed="false">
      <c r="A44" s="380" t="n">
        <v>1904</v>
      </c>
      <c r="B44" s="819" t="n">
        <f aca="false">TableDE3b!H44</f>
        <v>169.96089133625</v>
      </c>
      <c r="C44" s="382" t="n">
        <f aca="false">B44/B43-1</f>
        <v>0.0441273212270443</v>
      </c>
      <c r="D44" s="974" t="n">
        <f aca="false">TableDE6a!J44</f>
        <v>6.31261725425117</v>
      </c>
      <c r="E44" s="977" t="n">
        <f aca="false">(D44/D43)*(1+C44)-1</f>
        <v>0.0353272766120845</v>
      </c>
      <c r="F44" s="514" t="n">
        <f aca="false">TableDE12c!B44</f>
        <v>0.163391587925412</v>
      </c>
      <c r="G44" s="403" t="n">
        <f aca="false">F43/D43</f>
        <v>0.0238923561489448</v>
      </c>
      <c r="H44" s="403" t="n">
        <f aca="false">O44/D44</f>
        <v>0</v>
      </c>
      <c r="I44" s="403" t="n">
        <f aca="false">(1+E44)/((1+G44)*(1+H43))-1</f>
        <v>0.0111680885148402</v>
      </c>
      <c r="J44" s="803"/>
      <c r="K44" s="801"/>
      <c r="L44" s="978" t="n">
        <f aca="false">F44</f>
        <v>0.163391587925412</v>
      </c>
      <c r="M44" s="389"/>
      <c r="N44" s="389"/>
      <c r="O44" s="822" t="n">
        <f aca="false">TableDE5a!O44+TableDE5c!O44</f>
        <v>0</v>
      </c>
      <c r="Q44" s="25"/>
      <c r="R44" s="195"/>
      <c r="S44" s="833"/>
      <c r="T44" s="830"/>
      <c r="U44" s="29"/>
      <c r="V44" s="831"/>
      <c r="W44" s="816"/>
      <c r="X44" s="817" t="n">
        <f aca="false">1+$C44</f>
        <v>1.04412732122704</v>
      </c>
      <c r="Y44" s="818" t="n">
        <f aca="false">1+E44</f>
        <v>1.03532727661208</v>
      </c>
      <c r="Z44" s="818" t="n">
        <f aca="false">1+G44</f>
        <v>1.02389235614894</v>
      </c>
      <c r="AA44" s="818" t="n">
        <f aca="false">1+H43</f>
        <v>1</v>
      </c>
      <c r="AB44" s="818" t="n">
        <f aca="false">1+I44</f>
        <v>1.01116808851484</v>
      </c>
      <c r="AC44" s="818"/>
      <c r="AD44" s="818"/>
      <c r="AE44" s="818"/>
      <c r="AF44" s="25"/>
    </row>
    <row r="45" customFormat="false" ht="12" hidden="false" customHeight="true" outlineLevel="0" collapsed="false">
      <c r="A45" s="380" t="n">
        <v>1905</v>
      </c>
      <c r="B45" s="819" t="n">
        <f aca="false">TableDE3b!H45</f>
        <v>177.634820781906</v>
      </c>
      <c r="C45" s="382" t="n">
        <f aca="false">B45/B44-1</f>
        <v>0.0451511485102443</v>
      </c>
      <c r="D45" s="974" t="n">
        <f aca="false">TableDE6a!J45</f>
        <v>6.18009835876489</v>
      </c>
      <c r="E45" s="977" t="n">
        <f aca="false">(D45/D44)*(1+C45)-1</f>
        <v>0.0232106014695501</v>
      </c>
      <c r="F45" s="514" t="n">
        <f aca="false">TableDE12c!B45</f>
        <v>0.185052092758719</v>
      </c>
      <c r="G45" s="403" t="n">
        <f aca="false">F44/D44</f>
        <v>0.0258833351278152</v>
      </c>
      <c r="H45" s="403" t="n">
        <f aca="false">O45/D45</f>
        <v>0</v>
      </c>
      <c r="I45" s="403" t="n">
        <f aca="false">(1+E45)/((1+G45)*(1+H44))-1</f>
        <v>-0.00260529981016999</v>
      </c>
      <c r="J45" s="803"/>
      <c r="K45" s="801"/>
      <c r="L45" s="978" t="n">
        <f aca="false">F45</f>
        <v>0.185052092758719</v>
      </c>
      <c r="M45" s="389"/>
      <c r="N45" s="389"/>
      <c r="O45" s="822" t="n">
        <f aca="false">TableDE5a!O45+TableDE5c!O45</f>
        <v>0</v>
      </c>
      <c r="Q45" s="25"/>
      <c r="R45" s="195"/>
      <c r="S45" s="833"/>
      <c r="T45" s="830"/>
      <c r="U45" s="29"/>
      <c r="V45" s="831"/>
      <c r="W45" s="816"/>
      <c r="X45" s="817" t="n">
        <f aca="false">1+$C45</f>
        <v>1.04515114851024</v>
      </c>
      <c r="Y45" s="818" t="n">
        <f aca="false">1+E45</f>
        <v>1.02321060146955</v>
      </c>
      <c r="Z45" s="818" t="n">
        <f aca="false">1+G45</f>
        <v>1.02588333512782</v>
      </c>
      <c r="AA45" s="818" t="n">
        <f aca="false">1+H44</f>
        <v>1</v>
      </c>
      <c r="AB45" s="818" t="n">
        <f aca="false">1+I45</f>
        <v>0.99739470018983</v>
      </c>
      <c r="AC45" s="818"/>
      <c r="AD45" s="818"/>
      <c r="AE45" s="818"/>
      <c r="AF45" s="25"/>
    </row>
    <row r="46" customFormat="false" ht="12" hidden="false" customHeight="true" outlineLevel="0" collapsed="false">
      <c r="A46" s="380" t="n">
        <v>1906</v>
      </c>
      <c r="B46" s="819" t="n">
        <f aca="false">TableDE3b!H46</f>
        <v>176.477154100115</v>
      </c>
      <c r="C46" s="382" t="n">
        <f aca="false">B46/B45-1</f>
        <v>-0.00651711571354829</v>
      </c>
      <c r="D46" s="974" t="n">
        <f aca="false">TableDE6a!J46</f>
        <v>6.34939408729871</v>
      </c>
      <c r="E46" s="977" t="n">
        <f aca="false">(D46/D45)*(1+C46)-1</f>
        <v>0.0206980512493886</v>
      </c>
      <c r="F46" s="514" t="n">
        <f aca="false">TableDE12c!B46</f>
        <v>0.171045456798691</v>
      </c>
      <c r="G46" s="403" t="n">
        <f aca="false">F45/D45</f>
        <v>0.0299432277637248</v>
      </c>
      <c r="H46" s="403" t="n">
        <f aca="false">O46/D46</f>
        <v>0</v>
      </c>
      <c r="I46" s="403" t="n">
        <f aca="false">(1+E46)/((1+G46)*(1+H45))-1</f>
        <v>-0.0089763942954505</v>
      </c>
      <c r="J46" s="803"/>
      <c r="K46" s="801"/>
      <c r="L46" s="978" t="n">
        <f aca="false">F46</f>
        <v>0.171045456798691</v>
      </c>
      <c r="M46" s="389"/>
      <c r="N46" s="389"/>
      <c r="O46" s="822" t="n">
        <f aca="false">TableDE5a!O46+TableDE5c!O46</f>
        <v>0</v>
      </c>
      <c r="Q46" s="25"/>
      <c r="R46" s="195"/>
      <c r="S46" s="833"/>
      <c r="T46" s="830"/>
      <c r="U46" s="29"/>
      <c r="V46" s="831"/>
      <c r="W46" s="816"/>
      <c r="X46" s="817" t="n">
        <f aca="false">1+$C46</f>
        <v>0.993482884286452</v>
      </c>
      <c r="Y46" s="818" t="n">
        <f aca="false">1+E46</f>
        <v>1.02069805124939</v>
      </c>
      <c r="Z46" s="818" t="n">
        <f aca="false">1+G46</f>
        <v>1.02994322776372</v>
      </c>
      <c r="AA46" s="818" t="n">
        <f aca="false">1+H45</f>
        <v>1</v>
      </c>
      <c r="AB46" s="818" t="n">
        <f aca="false">1+I46</f>
        <v>0.99102360570455</v>
      </c>
      <c r="AC46" s="818"/>
      <c r="AD46" s="818"/>
      <c r="AE46" s="818"/>
      <c r="AF46" s="25"/>
    </row>
    <row r="47" customFormat="false" ht="12" hidden="false" customHeight="true" outlineLevel="0" collapsed="false">
      <c r="A47" s="380" t="n">
        <v>1907</v>
      </c>
      <c r="B47" s="819" t="n">
        <f aca="false">TableDE3b!H47</f>
        <v>186.757802522971</v>
      </c>
      <c r="C47" s="382" t="n">
        <f aca="false">B47/B46-1</f>
        <v>0.0582548402668845</v>
      </c>
      <c r="D47" s="974" t="n">
        <f aca="false">TableDE6a!J47</f>
        <v>6.3506137127248</v>
      </c>
      <c r="E47" s="977" t="n">
        <f aca="false">(D47/D46)*(1+C47)-1</f>
        <v>0.0584581154916901</v>
      </c>
      <c r="F47" s="514" t="n">
        <f aca="false">TableDE12c!B47</f>
        <v>0.180648314057664</v>
      </c>
      <c r="G47" s="403" t="n">
        <f aca="false">F46/D46</f>
        <v>0.0269388628973038</v>
      </c>
      <c r="H47" s="403" t="n">
        <f aca="false">O47/D47</f>
        <v>0</v>
      </c>
      <c r="I47" s="403" t="n">
        <f aca="false">(1+E47)/((1+G47)*(1+H46))-1</f>
        <v>0.0306924333406382</v>
      </c>
      <c r="J47" s="803"/>
      <c r="K47" s="801"/>
      <c r="L47" s="978" t="n">
        <f aca="false">F47</f>
        <v>0.180648314057664</v>
      </c>
      <c r="M47" s="389"/>
      <c r="N47" s="389"/>
      <c r="O47" s="822" t="n">
        <f aca="false">TableDE5a!O47+TableDE5c!O47</f>
        <v>0</v>
      </c>
      <c r="Q47" s="25"/>
      <c r="R47" s="195"/>
      <c r="S47" s="833"/>
      <c r="T47" s="830"/>
      <c r="U47" s="29"/>
      <c r="V47" s="831"/>
      <c r="W47" s="816"/>
      <c r="X47" s="817" t="n">
        <f aca="false">1+$C47</f>
        <v>1.05825484026688</v>
      </c>
      <c r="Y47" s="818" t="n">
        <f aca="false">1+E47</f>
        <v>1.05845811549169</v>
      </c>
      <c r="Z47" s="818" t="n">
        <f aca="false">1+G47</f>
        <v>1.0269388628973</v>
      </c>
      <c r="AA47" s="818" t="n">
        <f aca="false">1+H46</f>
        <v>1</v>
      </c>
      <c r="AB47" s="818" t="n">
        <f aca="false">1+I47</f>
        <v>1.03069243334064</v>
      </c>
      <c r="AC47" s="818"/>
      <c r="AD47" s="818"/>
      <c r="AE47" s="818"/>
      <c r="AF47" s="25"/>
    </row>
    <row r="48" customFormat="false" ht="12" hidden="false" customHeight="true" outlineLevel="0" collapsed="false">
      <c r="A48" s="380" t="n">
        <v>1908</v>
      </c>
      <c r="B48" s="819" t="n">
        <f aca="false">TableDE3b!H48</f>
        <v>185.807046711191</v>
      </c>
      <c r="C48" s="382" t="n">
        <f aca="false">B48/B47-1</f>
        <v>-0.00509084921185021</v>
      </c>
      <c r="D48" s="974" t="n">
        <f aca="false">TableDE6a!J48</f>
        <v>6.60746069090484</v>
      </c>
      <c r="E48" s="977" t="n">
        <f aca="false">(D48/D47)*(1+C48)-1</f>
        <v>0.0351476884324051</v>
      </c>
      <c r="F48" s="514" t="n">
        <f aca="false">TableDE12c!B48</f>
        <v>0.138630319148936</v>
      </c>
      <c r="G48" s="403" t="n">
        <f aca="false">F47/D47</f>
        <v>0.0284458041741221</v>
      </c>
      <c r="H48" s="403" t="n">
        <f aca="false">O48/D48</f>
        <v>0</v>
      </c>
      <c r="I48" s="403" t="n">
        <f aca="false">(1+E48)/((1+G48)*(1+H47))-1</f>
        <v>0.00651651670032827</v>
      </c>
      <c r="J48" s="803"/>
      <c r="K48" s="801"/>
      <c r="L48" s="978" t="n">
        <f aca="false">F48</f>
        <v>0.138630319148936</v>
      </c>
      <c r="M48" s="389"/>
      <c r="N48" s="389"/>
      <c r="O48" s="822" t="n">
        <f aca="false">TableDE5a!O48+TableDE5c!O48</f>
        <v>0</v>
      </c>
      <c r="Q48" s="25"/>
      <c r="R48" s="195"/>
      <c r="S48" s="833"/>
      <c r="T48" s="830"/>
      <c r="U48" s="29"/>
      <c r="V48" s="831"/>
      <c r="W48" s="816"/>
      <c r="X48" s="817" t="n">
        <f aca="false">1+$C48</f>
        <v>0.99490915078815</v>
      </c>
      <c r="Y48" s="818" t="n">
        <f aca="false">1+E48</f>
        <v>1.03514768843241</v>
      </c>
      <c r="Z48" s="818" t="n">
        <f aca="false">1+G48</f>
        <v>1.02844580417412</v>
      </c>
      <c r="AA48" s="818" t="n">
        <f aca="false">1+H47</f>
        <v>1</v>
      </c>
      <c r="AB48" s="818" t="n">
        <f aca="false">1+I48</f>
        <v>1.00651651670033</v>
      </c>
      <c r="AC48" s="818"/>
      <c r="AD48" s="818"/>
      <c r="AE48" s="818"/>
      <c r="AF48" s="25"/>
    </row>
    <row r="49" customFormat="false" ht="12" hidden="false" customHeight="true" outlineLevel="0" collapsed="false">
      <c r="A49" s="405" t="n">
        <v>1909</v>
      </c>
      <c r="B49" s="823" t="n">
        <f aca="false">TableDE3b!H49</f>
        <v>191.042184881722</v>
      </c>
      <c r="C49" s="407" t="n">
        <f aca="false">B49/B48-1</f>
        <v>0.0281751325538713</v>
      </c>
      <c r="D49" s="979" t="n">
        <f aca="false">TableDE6a!J49</f>
        <v>6.3164199479989</v>
      </c>
      <c r="E49" s="980" t="n">
        <f aca="false">(D49/D48)*(1+C49)-1</f>
        <v>-0.0171131965659372</v>
      </c>
      <c r="F49" s="842" t="n">
        <f aca="false">TableDE12c!B49</f>
        <v>0.144234460023934</v>
      </c>
      <c r="G49" s="414" t="n">
        <f aca="false">F48/D48</f>
        <v>0.0209808768654138</v>
      </c>
      <c r="H49" s="414" t="n">
        <f aca="false">O49/D49</f>
        <v>0</v>
      </c>
      <c r="I49" s="414" t="n">
        <f aca="false">(1+E49)/((1+G49)*(1+H48))-1</f>
        <v>-0.0373112506752393</v>
      </c>
      <c r="J49" s="826"/>
      <c r="K49" s="827"/>
      <c r="L49" s="981" t="n">
        <f aca="false">F49</f>
        <v>0.144234460023934</v>
      </c>
      <c r="M49" s="982"/>
      <c r="N49" s="982"/>
      <c r="O49" s="828" t="n">
        <f aca="false">TableDE5a!O49+TableDE5c!O49</f>
        <v>0</v>
      </c>
      <c r="Q49" s="25"/>
      <c r="R49" s="195"/>
      <c r="S49" s="833"/>
      <c r="T49" s="830"/>
      <c r="U49" s="29"/>
      <c r="V49" s="831"/>
      <c r="W49" s="816"/>
      <c r="X49" s="817" t="n">
        <f aca="false">1+$C49</f>
        <v>1.02817513255387</v>
      </c>
      <c r="Y49" s="818" t="n">
        <f aca="false">1+E49</f>
        <v>0.982886803434063</v>
      </c>
      <c r="Z49" s="818" t="n">
        <f aca="false">1+G49</f>
        <v>1.02098087686541</v>
      </c>
      <c r="AA49" s="818" t="n">
        <f aca="false">1+H48</f>
        <v>1</v>
      </c>
      <c r="AB49" s="818" t="n">
        <f aca="false">1+I49</f>
        <v>0.962688749324761</v>
      </c>
      <c r="AC49" s="818"/>
      <c r="AD49" s="818"/>
      <c r="AE49" s="818"/>
      <c r="AF49" s="25"/>
    </row>
    <row r="50" customFormat="false" ht="12" hidden="false" customHeight="true" outlineLevel="0" collapsed="false">
      <c r="A50" s="380" t="n">
        <v>1910</v>
      </c>
      <c r="B50" s="819" t="n">
        <f aca="false">TableDE3b!H50</f>
        <v>189.736526818742</v>
      </c>
      <c r="C50" s="382" t="n">
        <f aca="false">B50/B49-1</f>
        <v>-0.0068343966218144</v>
      </c>
      <c r="D50" s="974" t="n">
        <f aca="false">TableDE6a!J50</f>
        <v>6.36670396454508</v>
      </c>
      <c r="E50" s="977" t="n">
        <f aca="false">(D50/D49)*(1+C50)-1</f>
        <v>0.0010720370929338</v>
      </c>
      <c r="F50" s="514" t="n">
        <f aca="false">TableDE12c!B50</f>
        <v>0.145812764650387</v>
      </c>
      <c r="G50" s="403" t="n">
        <f aca="false">F49/D49</f>
        <v>0.0228348433466063</v>
      </c>
      <c r="H50" s="403" t="n">
        <f aca="false">O50/D50</f>
        <v>0</v>
      </c>
      <c r="I50" s="403" t="n">
        <f aca="false">(1+E50)/((1+G50)*(1+H49))-1</f>
        <v>-0.0212769504238505</v>
      </c>
      <c r="J50" s="803"/>
      <c r="K50" s="801"/>
      <c r="L50" s="978" t="n">
        <f aca="false">F50</f>
        <v>0.145812764650387</v>
      </c>
      <c r="M50" s="389"/>
      <c r="N50" s="389"/>
      <c r="O50" s="822" t="n">
        <f aca="false">TableDE5a!O50+TableDE5c!O50</f>
        <v>0</v>
      </c>
      <c r="Q50" s="25"/>
      <c r="R50" s="195"/>
      <c r="S50" s="833"/>
      <c r="T50" s="830"/>
      <c r="U50" s="29"/>
      <c r="V50" s="831"/>
      <c r="W50" s="816"/>
      <c r="X50" s="817" t="n">
        <f aca="false">1+$C50</f>
        <v>0.993165603378186</v>
      </c>
      <c r="Y50" s="818" t="n">
        <f aca="false">1+E50</f>
        <v>1.00107203709293</v>
      </c>
      <c r="Z50" s="818" t="n">
        <f aca="false">1+G50</f>
        <v>1.02283484334661</v>
      </c>
      <c r="AA50" s="818" t="n">
        <f aca="false">1+H49</f>
        <v>1</v>
      </c>
      <c r="AB50" s="818" t="n">
        <f aca="false">1+I50</f>
        <v>0.97872304957615</v>
      </c>
      <c r="AC50" s="818"/>
      <c r="AD50" s="818"/>
      <c r="AE50" s="818"/>
      <c r="AF50" s="25"/>
    </row>
    <row r="51" customFormat="false" ht="12" hidden="false" customHeight="true" outlineLevel="0" collapsed="false">
      <c r="A51" s="380" t="n">
        <v>1911</v>
      </c>
      <c r="B51" s="819" t="n">
        <f aca="false">TableDE3b!H51</f>
        <v>200.111135875713</v>
      </c>
      <c r="C51" s="382" t="n">
        <f aca="false">B51/B50-1</f>
        <v>0.0546790290247157</v>
      </c>
      <c r="D51" s="974" t="n">
        <f aca="false">TableDE6a!J51</f>
        <v>6.35064903795993</v>
      </c>
      <c r="E51" s="977" t="n">
        <f aca="false">(D51/D50)*(1+C51)-1</f>
        <v>0.0520194433935668</v>
      </c>
      <c r="F51" s="514" t="n">
        <f aca="false">TableDE12c!B51</f>
        <v>0.161300419422824</v>
      </c>
      <c r="G51" s="403" t="n">
        <f aca="false">F50/D50</f>
        <v>0.0229023943098956</v>
      </c>
      <c r="H51" s="403" t="n">
        <f aca="false">O51/D51</f>
        <v>0</v>
      </c>
      <c r="I51" s="403" t="n">
        <f aca="false">(1+E51)/((1+G51)*(1+H50))-1</f>
        <v>0.0284651294645908</v>
      </c>
      <c r="J51" s="803"/>
      <c r="K51" s="801"/>
      <c r="L51" s="978" t="n">
        <f aca="false">F51</f>
        <v>0.161300419422824</v>
      </c>
      <c r="M51" s="389"/>
      <c r="N51" s="389"/>
      <c r="O51" s="822" t="n">
        <f aca="false">TableDE5a!O51+TableDE5c!O51</f>
        <v>0</v>
      </c>
      <c r="Q51" s="25"/>
      <c r="R51" s="195"/>
      <c r="S51" s="833"/>
      <c r="T51" s="830"/>
      <c r="U51" s="29"/>
      <c r="V51" s="831"/>
      <c r="W51" s="816"/>
      <c r="X51" s="817" t="n">
        <f aca="false">1+$C51</f>
        <v>1.05467902902472</v>
      </c>
      <c r="Y51" s="818" t="n">
        <f aca="false">1+E51</f>
        <v>1.05201944339357</v>
      </c>
      <c r="Z51" s="818" t="n">
        <f aca="false">1+G51</f>
        <v>1.0229023943099</v>
      </c>
      <c r="AA51" s="818" t="n">
        <f aca="false">1+H50</f>
        <v>1</v>
      </c>
      <c r="AB51" s="818" t="n">
        <f aca="false">1+I51</f>
        <v>1.02846512946459</v>
      </c>
      <c r="AC51" s="818"/>
      <c r="AD51" s="818"/>
      <c r="AE51" s="818"/>
      <c r="AF51" s="25"/>
    </row>
    <row r="52" customFormat="false" ht="12" hidden="false" customHeight="true" outlineLevel="0" collapsed="false">
      <c r="A52" s="380" t="n">
        <v>1912</v>
      </c>
      <c r="B52" s="819" t="n">
        <f aca="false">TableDE3b!H52</f>
        <v>209.366267014589</v>
      </c>
      <c r="C52" s="382" t="n">
        <f aca="false">B52/B51-1</f>
        <v>0.0462499555478224</v>
      </c>
      <c r="D52" s="974" t="n">
        <f aca="false">TableDE6a!J52</f>
        <v>6.28648980447346</v>
      </c>
      <c r="E52" s="977" t="n">
        <f aca="false">(D52/D51)*(1+C52)-1</f>
        <v>0.0356799185670396</v>
      </c>
      <c r="F52" s="514" t="n">
        <f aca="false">TableDE12c!B52</f>
        <v>0.172051381860646</v>
      </c>
      <c r="G52" s="403" t="n">
        <f aca="false">F51/D51</f>
        <v>0.02539904479978</v>
      </c>
      <c r="H52" s="403" t="n">
        <f aca="false">O52/D52</f>
        <v>0</v>
      </c>
      <c r="I52" s="403" t="n">
        <f aca="false">(1+E52)/((1+G52)*(1+H51))-1</f>
        <v>0.0100262174217911</v>
      </c>
      <c r="J52" s="803"/>
      <c r="K52" s="801"/>
      <c r="L52" s="978" t="n">
        <f aca="false">F52</f>
        <v>0.172051381860646</v>
      </c>
      <c r="M52" s="389"/>
      <c r="N52" s="389"/>
      <c r="O52" s="822" t="n">
        <f aca="false">TableDE5a!O52+TableDE5c!O52</f>
        <v>0</v>
      </c>
      <c r="Q52" s="25"/>
      <c r="R52" s="195"/>
      <c r="S52" s="834"/>
      <c r="T52" s="830"/>
      <c r="U52" s="29"/>
      <c r="V52" s="831"/>
      <c r="W52" s="816"/>
      <c r="X52" s="817" t="n">
        <f aca="false">1+$C52</f>
        <v>1.04624995554782</v>
      </c>
      <c r="Y52" s="818" t="n">
        <f aca="false">1+E52</f>
        <v>1.03567991856704</v>
      </c>
      <c r="Z52" s="818" t="n">
        <f aca="false">1+G52</f>
        <v>1.02539904479978</v>
      </c>
      <c r="AA52" s="818" t="n">
        <f aca="false">1+H51</f>
        <v>1</v>
      </c>
      <c r="AB52" s="818" t="n">
        <f aca="false">1+I52</f>
        <v>1.01002621742179</v>
      </c>
      <c r="AC52" s="818"/>
      <c r="AD52" s="818"/>
      <c r="AE52" s="818"/>
      <c r="AF52" s="25"/>
    </row>
    <row r="53" s="983" customFormat="true" ht="12" hidden="false" customHeight="false" outlineLevel="0" collapsed="false">
      <c r="A53" s="416" t="n">
        <v>1913</v>
      </c>
      <c r="B53" s="819" t="n">
        <f aca="false">TableDE3b!H53</f>
        <v>211.046616713476</v>
      </c>
      <c r="C53" s="382" t="n">
        <f aca="false">B53/B52-1</f>
        <v>0.0080258855585833</v>
      </c>
      <c r="D53" s="974" t="n">
        <f aca="false">TableDE6a!J53</f>
        <v>6.55979272622589</v>
      </c>
      <c r="E53" s="977" t="n">
        <f aca="false">(D53/D52)*(1+C53)-1</f>
        <v>0.0518494545603501</v>
      </c>
      <c r="F53" s="514" t="n">
        <f aca="false">TableDE12c!B53</f>
        <v>0.16839074944823</v>
      </c>
      <c r="G53" s="387" t="n">
        <f aca="false">F52/D52</f>
        <v>0.027368434088323</v>
      </c>
      <c r="H53" s="387" t="n">
        <f aca="false">O53/D53</f>
        <v>0</v>
      </c>
      <c r="I53" s="387" t="n">
        <f aca="false">(1+E53)/((1+G53)*(1+H52))-1</f>
        <v>0.0238288618374296</v>
      </c>
      <c r="J53" s="839"/>
      <c r="K53" s="418"/>
      <c r="L53" s="514" t="n">
        <f aca="false">F53</f>
        <v>0.16839074944823</v>
      </c>
      <c r="M53" s="387"/>
      <c r="N53" s="387"/>
      <c r="O53" s="837" t="n">
        <f aca="false">TableDE5a!O53+TableDE5c!O53</f>
        <v>0</v>
      </c>
      <c r="Q53" s="25"/>
      <c r="R53" s="195"/>
      <c r="S53" s="833"/>
      <c r="T53" s="984"/>
      <c r="U53" s="985"/>
      <c r="V53" s="986"/>
      <c r="W53" s="987"/>
      <c r="X53" s="817" t="n">
        <f aca="false">1+$C53</f>
        <v>1.00802588555858</v>
      </c>
      <c r="Y53" s="817" t="n">
        <f aca="false">1+E53</f>
        <v>1.05184945456035</v>
      </c>
      <c r="Z53" s="817" t="n">
        <f aca="false">1+G53</f>
        <v>1.02736843408832</v>
      </c>
      <c r="AA53" s="818" t="n">
        <f aca="false">1+H52</f>
        <v>1</v>
      </c>
      <c r="AB53" s="817" t="n">
        <f aca="false">1+I53</f>
        <v>1.02382886183743</v>
      </c>
      <c r="AC53" s="817"/>
      <c r="AD53" s="817"/>
      <c r="AE53" s="817"/>
      <c r="AF53" s="25"/>
    </row>
    <row r="54" customFormat="false" ht="12" hidden="false" customHeight="false" outlineLevel="0" collapsed="false">
      <c r="A54" s="416" t="n">
        <f aca="false">A53+1</f>
        <v>1914</v>
      </c>
      <c r="B54" s="819" t="n">
        <f aca="false">TableDE3b!H54</f>
        <v>194.857852426736</v>
      </c>
      <c r="C54" s="382" t="n">
        <f aca="false">B54/B53-1</f>
        <v>-0.0767070542936876</v>
      </c>
      <c r="D54" s="974" t="n">
        <f aca="false">TableDE6a!J54</f>
        <v>6.37834802775416</v>
      </c>
      <c r="E54" s="977" t="n">
        <f aca="false">(D54/D53)*(1+C54)-1</f>
        <v>-0.102245454228946</v>
      </c>
      <c r="F54" s="514" t="n">
        <f aca="false">TableDE12c!B54</f>
        <v>-0.0221834010862901</v>
      </c>
      <c r="G54" s="387" t="n">
        <f aca="false">F53/D53</f>
        <v>0.0256701326514491</v>
      </c>
      <c r="H54" s="387" t="n">
        <f aca="false">O54/D54</f>
        <v>0</v>
      </c>
      <c r="I54" s="418" t="n">
        <f aca="false">(1+E54)/((1+G54)*(1+H53))-1</f>
        <v>-0.124714157903499</v>
      </c>
      <c r="J54" s="839"/>
      <c r="K54" s="418"/>
      <c r="L54" s="514" t="n">
        <f aca="false">F54</f>
        <v>-0.0221834010862901</v>
      </c>
      <c r="M54" s="418"/>
      <c r="N54" s="418"/>
      <c r="O54" s="840" t="n">
        <f aca="false">TableDE5a!O54+TableDE5c!O54</f>
        <v>0</v>
      </c>
      <c r="Q54" s="25"/>
      <c r="R54" s="195"/>
      <c r="S54" s="833"/>
      <c r="T54" s="830"/>
      <c r="U54" s="29"/>
      <c r="V54" s="831"/>
      <c r="W54" s="816"/>
      <c r="X54" s="817" t="n">
        <f aca="false">1+$C54</f>
        <v>0.923292945706312</v>
      </c>
      <c r="Y54" s="818" t="n">
        <f aca="false">1+E54</f>
        <v>0.897754545771054</v>
      </c>
      <c r="Z54" s="818" t="n">
        <f aca="false">1+G54</f>
        <v>1.02567013265145</v>
      </c>
      <c r="AA54" s="818" t="n">
        <f aca="false">1+H53</f>
        <v>1</v>
      </c>
      <c r="AB54" s="818" t="n">
        <f aca="false">1+I54</f>
        <v>0.875285842096501</v>
      </c>
      <c r="AC54" s="818"/>
      <c r="AD54" s="818"/>
      <c r="AE54" s="818"/>
      <c r="AF54" s="25"/>
    </row>
    <row r="55" customFormat="false" ht="12" hidden="false" customHeight="false" outlineLevel="0" collapsed="false">
      <c r="A55" s="416" t="n">
        <f aca="false">A54+1</f>
        <v>1915</v>
      </c>
      <c r="B55" s="819" t="n">
        <f aca="false">TableDE3b!H55</f>
        <v>179.004567943313</v>
      </c>
      <c r="C55" s="382" t="n">
        <f aca="false">B55/B54-1</f>
        <v>-0.0813582018173124</v>
      </c>
      <c r="D55" s="974" t="n">
        <f aca="false">TableDE6a!J55</f>
        <v>6.11284614004299</v>
      </c>
      <c r="E55" s="977" t="n">
        <f aca="false">(D55/D54)*(1+C55)-1</f>
        <v>-0.119597120497604</v>
      </c>
      <c r="F55" s="514" t="n">
        <f aca="false">TableDE12c!B55</f>
        <v>-0.0701227424942381</v>
      </c>
      <c r="G55" s="387" t="n">
        <f aca="false">F54/D54</f>
        <v>-0.00347792265172161</v>
      </c>
      <c r="H55" s="387" t="n">
        <f aca="false">O55/D55</f>
        <v>0</v>
      </c>
      <c r="I55" s="418" t="n">
        <f aca="false">(1+E55)/((1+G55)*(1+H54))-1</f>
        <v>-0.116524460907954</v>
      </c>
      <c r="J55" s="839"/>
      <c r="K55" s="418"/>
      <c r="L55" s="514" t="n">
        <f aca="false">F55</f>
        <v>-0.0701227424942381</v>
      </c>
      <c r="M55" s="418"/>
      <c r="N55" s="418"/>
      <c r="O55" s="840" t="n">
        <f aca="false">TableDE5a!O55+TableDE5c!O55</f>
        <v>0</v>
      </c>
      <c r="Q55" s="25"/>
      <c r="R55" s="195"/>
      <c r="S55" s="833"/>
      <c r="T55" s="830"/>
      <c r="U55" s="29"/>
      <c r="V55" s="831"/>
      <c r="W55" s="816"/>
      <c r="X55" s="817" t="n">
        <f aca="false">1+$C55</f>
        <v>0.918641798182688</v>
      </c>
      <c r="Y55" s="818" t="n">
        <f aca="false">1+E55</f>
        <v>0.880402879502396</v>
      </c>
      <c r="Z55" s="818" t="n">
        <f aca="false">1+G55</f>
        <v>0.996522077348278</v>
      </c>
      <c r="AA55" s="818" t="n">
        <f aca="false">1+H54</f>
        <v>1</v>
      </c>
      <c r="AB55" s="818" t="n">
        <f aca="false">1+I55</f>
        <v>0.883475539092046</v>
      </c>
      <c r="AC55" s="818"/>
      <c r="AD55" s="818"/>
      <c r="AE55" s="818"/>
      <c r="AF55" s="25"/>
    </row>
    <row r="56" customFormat="false" ht="12" hidden="false" customHeight="false" outlineLevel="0" collapsed="false">
      <c r="A56" s="416" t="n">
        <f aca="false">A55+1</f>
        <v>1916</v>
      </c>
      <c r="B56" s="819" t="n">
        <f aca="false">TableDE3b!H56</f>
        <v>170.710761694638</v>
      </c>
      <c r="C56" s="382" t="n">
        <f aca="false">B56/B55-1</f>
        <v>-0.0463329307400776</v>
      </c>
      <c r="D56" s="974" t="n">
        <f aca="false">TableDE6a!J56</f>
        <v>5.67711069436168</v>
      </c>
      <c r="E56" s="977" t="n">
        <f aca="false">(D56/D55)*(1+C56)-1</f>
        <v>-0.114312156118166</v>
      </c>
      <c r="F56" s="514" t="n">
        <f aca="false">TableDE12c!B56</f>
        <v>-0.0648907105370445</v>
      </c>
      <c r="G56" s="387" t="n">
        <f aca="false">F55/D55</f>
        <v>-0.0114713737083762</v>
      </c>
      <c r="H56" s="387" t="n">
        <f aca="false">O56/D56</f>
        <v>0</v>
      </c>
      <c r="I56" s="418" t="n">
        <f aca="false">(1+E56)/((1+G56)*(1+H55))-1</f>
        <v>-0.104034197568549</v>
      </c>
      <c r="J56" s="839"/>
      <c r="K56" s="418"/>
      <c r="L56" s="514" t="n">
        <f aca="false">F56</f>
        <v>-0.0648907105370445</v>
      </c>
      <c r="M56" s="418"/>
      <c r="N56" s="418"/>
      <c r="O56" s="840" t="n">
        <f aca="false">TableDE5a!O56+TableDE5c!O56</f>
        <v>0</v>
      </c>
      <c r="Q56" s="25"/>
      <c r="R56" s="195"/>
      <c r="S56" s="833"/>
      <c r="T56" s="830"/>
      <c r="U56" s="29"/>
      <c r="V56" s="831"/>
      <c r="W56" s="816"/>
      <c r="X56" s="817" t="n">
        <f aca="false">1+$C56</f>
        <v>0.953667069259922</v>
      </c>
      <c r="Y56" s="818" t="n">
        <f aca="false">1+E56</f>
        <v>0.885687843881834</v>
      </c>
      <c r="Z56" s="818" t="n">
        <f aca="false">1+G56</f>
        <v>0.988528626291624</v>
      </c>
      <c r="AA56" s="818" t="n">
        <f aca="false">1+H55</f>
        <v>1</v>
      </c>
      <c r="AB56" s="818" t="n">
        <f aca="false">1+I56</f>
        <v>0.895965802431451</v>
      </c>
      <c r="AC56" s="818"/>
      <c r="AD56" s="818"/>
      <c r="AE56" s="818"/>
      <c r="AF56" s="25"/>
    </row>
    <row r="57" customFormat="false" ht="12" hidden="false" customHeight="false" outlineLevel="0" collapsed="false">
      <c r="A57" s="416" t="n">
        <f aca="false">A56+1</f>
        <v>1917</v>
      </c>
      <c r="B57" s="819" t="n">
        <f aca="false">TableDE3b!H57</f>
        <v>166.614180540798</v>
      </c>
      <c r="C57" s="382" t="n">
        <f aca="false">B57/B56-1</f>
        <v>-0.0239972050571</v>
      </c>
      <c r="D57" s="974" t="n">
        <f aca="false">TableDE6a!J57</f>
        <v>5.34924729030668</v>
      </c>
      <c r="E57" s="977" t="n">
        <f aca="false">(D57/D56)*(1+C57)-1</f>
        <v>-0.0803631306035197</v>
      </c>
      <c r="F57" s="514" t="n">
        <f aca="false">TableDE12c!B57</f>
        <v>-0.0349247920391921</v>
      </c>
      <c r="G57" s="387" t="n">
        <f aca="false">F56/D56</f>
        <v>-0.0114302352077601</v>
      </c>
      <c r="H57" s="387" t="n">
        <f aca="false">O57/D57</f>
        <v>0</v>
      </c>
      <c r="I57" s="418" t="n">
        <f aca="false">(1+E57)/((1+G57)*(1+H56))-1</f>
        <v>-0.0697299248376737</v>
      </c>
      <c r="J57" s="839"/>
      <c r="K57" s="418"/>
      <c r="L57" s="514" t="n">
        <f aca="false">F57</f>
        <v>-0.0349247920391921</v>
      </c>
      <c r="M57" s="418"/>
      <c r="N57" s="418"/>
      <c r="O57" s="840" t="n">
        <f aca="false">TableDE5a!O57+TableDE5c!O57</f>
        <v>0</v>
      </c>
      <c r="Q57" s="25"/>
      <c r="R57" s="195"/>
      <c r="S57" s="833"/>
      <c r="T57" s="830"/>
      <c r="U57" s="29"/>
      <c r="V57" s="831"/>
      <c r="W57" s="816"/>
      <c r="X57" s="817" t="n">
        <f aca="false">1+$C57</f>
        <v>0.9760027949429</v>
      </c>
      <c r="Y57" s="818" t="n">
        <f aca="false">1+E57</f>
        <v>0.91963686939648</v>
      </c>
      <c r="Z57" s="818" t="n">
        <f aca="false">1+G57</f>
        <v>0.98856976479224</v>
      </c>
      <c r="AA57" s="818" t="n">
        <f aca="false">1+H56</f>
        <v>1</v>
      </c>
      <c r="AB57" s="818" t="n">
        <f aca="false">1+I57</f>
        <v>0.930270075162326</v>
      </c>
      <c r="AC57" s="818"/>
      <c r="AD57" s="818"/>
      <c r="AE57" s="818"/>
      <c r="AF57" s="25"/>
    </row>
    <row r="58" customFormat="false" ht="12" hidden="false" customHeight="false" outlineLevel="0" collapsed="false">
      <c r="A58" s="416" t="n">
        <f aca="false">A57+1</f>
        <v>1918</v>
      </c>
      <c r="B58" s="819" t="n">
        <f aca="false">TableDE3b!H58</f>
        <v>162.15602671005</v>
      </c>
      <c r="C58" s="382" t="n">
        <f aca="false">B58/B57-1</f>
        <v>-0.0267573493221174</v>
      </c>
      <c r="D58" s="974" t="n">
        <f aca="false">TableDE6a!J58</f>
        <v>4.92629890583262</v>
      </c>
      <c r="E58" s="977" t="n">
        <f aca="false">(D58/D57)*(1+C58)-1</f>
        <v>-0.103708625729058</v>
      </c>
      <c r="F58" s="514" t="n">
        <f aca="false">TableDE12c!B58</f>
        <v>-0.0199568189780009</v>
      </c>
      <c r="G58" s="387" t="n">
        <f aca="false">F57/D57</f>
        <v>-0.00652891708754595</v>
      </c>
      <c r="H58" s="387" t="n">
        <f aca="false">O58/D58</f>
        <v>0</v>
      </c>
      <c r="I58" s="418" t="n">
        <f aca="false">(1+E58)/((1+G58)*(1+H57))-1</f>
        <v>-0.097818356581271</v>
      </c>
      <c r="J58" s="839"/>
      <c r="K58" s="418"/>
      <c r="L58" s="514" t="n">
        <f aca="false">F58</f>
        <v>-0.0199568189780009</v>
      </c>
      <c r="M58" s="418"/>
      <c r="N58" s="418"/>
      <c r="O58" s="840" t="n">
        <f aca="false">TableDE5a!O58+TableDE5c!O58</f>
        <v>0</v>
      </c>
      <c r="Q58" s="25"/>
      <c r="R58" s="195"/>
      <c r="S58" s="833"/>
      <c r="T58" s="830"/>
      <c r="U58" s="29"/>
      <c r="V58" s="831"/>
      <c r="W58" s="816"/>
      <c r="X58" s="817" t="n">
        <f aca="false">1+$C58</f>
        <v>0.973242650677883</v>
      </c>
      <c r="Y58" s="818" t="n">
        <f aca="false">1+E58</f>
        <v>0.896291374270942</v>
      </c>
      <c r="Z58" s="818" t="n">
        <f aca="false">1+G58</f>
        <v>0.993471082912454</v>
      </c>
      <c r="AA58" s="818" t="n">
        <f aca="false">1+H57</f>
        <v>1</v>
      </c>
      <c r="AB58" s="818" t="n">
        <f aca="false">1+I58</f>
        <v>0.902181643418729</v>
      </c>
      <c r="AC58" s="818"/>
      <c r="AD58" s="818"/>
      <c r="AE58" s="818"/>
      <c r="AF58" s="25"/>
    </row>
    <row r="59" customFormat="false" ht="12" hidden="false" customHeight="false" outlineLevel="0" collapsed="false">
      <c r="A59" s="436" t="n">
        <f aca="false">A58+1</f>
        <v>1919</v>
      </c>
      <c r="B59" s="823" t="n">
        <f aca="false">TableDE3b!H59</f>
        <v>154.066505274229</v>
      </c>
      <c r="C59" s="407" t="n">
        <f aca="false">B59/B58-1</f>
        <v>-0.0498872696867829</v>
      </c>
      <c r="D59" s="979" t="n">
        <f aca="false">TableDE6a!J59</f>
        <v>4.73580919617881</v>
      </c>
      <c r="E59" s="980" t="n">
        <f aca="false">(D59/D58)*(1+C59)-1</f>
        <v>-0.0866261484262492</v>
      </c>
      <c r="F59" s="842" t="n">
        <f aca="false">TableDE12c!B59</f>
        <v>0</v>
      </c>
      <c r="G59" s="406" t="n">
        <f aca="false">F58/D58</f>
        <v>-0.00405107756542594</v>
      </c>
      <c r="H59" s="406" t="n">
        <f aca="false">O59/D59</f>
        <v>0</v>
      </c>
      <c r="I59" s="437" t="n">
        <f aca="false">(1+E59)/((1+G59)*(1+H58))-1</f>
        <v>-0.0829109495484672</v>
      </c>
      <c r="J59" s="843"/>
      <c r="K59" s="437"/>
      <c r="L59" s="842" t="n">
        <f aca="false">F59</f>
        <v>0</v>
      </c>
      <c r="M59" s="437"/>
      <c r="N59" s="437"/>
      <c r="O59" s="844" t="n">
        <f aca="false">TableDE5a!O59+TableDE5c!O59</f>
        <v>0</v>
      </c>
      <c r="Q59" s="25"/>
      <c r="R59" s="195"/>
      <c r="S59" s="833"/>
      <c r="T59" s="830"/>
      <c r="U59" s="29"/>
      <c r="V59" s="831"/>
      <c r="W59" s="816"/>
      <c r="X59" s="817" t="n">
        <f aca="false">1+$C59</f>
        <v>0.950112730313217</v>
      </c>
      <c r="Y59" s="818" t="n">
        <f aca="false">1+E59</f>
        <v>0.913373851573751</v>
      </c>
      <c r="Z59" s="818" t="n">
        <f aca="false">1+G59</f>
        <v>0.995948922434574</v>
      </c>
      <c r="AA59" s="818" t="n">
        <f aca="false">1+H58</f>
        <v>1</v>
      </c>
      <c r="AB59" s="818" t="n">
        <f aca="false">1+I59</f>
        <v>0.917089050451533</v>
      </c>
      <c r="AC59" s="818"/>
      <c r="AD59" s="818"/>
      <c r="AE59" s="818"/>
      <c r="AF59" s="25"/>
    </row>
    <row r="60" customFormat="false" ht="12" hidden="false" customHeight="false" outlineLevel="0" collapsed="false">
      <c r="A60" s="416" t="n">
        <f aca="false">A59+1</f>
        <v>1920</v>
      </c>
      <c r="B60" s="819" t="n">
        <f aca="false">TableDE3b!H60</f>
        <v>178.511034773275</v>
      </c>
      <c r="C60" s="382" t="n">
        <f aca="false">B60/B59-1</f>
        <v>0.158662192379435</v>
      </c>
      <c r="D60" s="974" t="n">
        <f aca="false">TableDE6a!J60</f>
        <v>4.03243790882016</v>
      </c>
      <c r="E60" s="977" t="n">
        <f aca="false">(D60/D59)*(1+C60)-1</f>
        <v>-0.0134244952610411</v>
      </c>
      <c r="F60" s="514" t="n">
        <f aca="false">TableDE12c!B60</f>
        <v>0.0888666896014685</v>
      </c>
      <c r="G60" s="387" t="n">
        <f aca="false">F59/D59</f>
        <v>0</v>
      </c>
      <c r="H60" s="387" t="n">
        <f aca="false">O60/D60</f>
        <v>0</v>
      </c>
      <c r="I60" s="418" t="n">
        <f aca="false">(1+E60)/((1+G60)*(1+H59))-1</f>
        <v>-0.0134244952610411</v>
      </c>
      <c r="J60" s="839"/>
      <c r="K60" s="418"/>
      <c r="L60" s="514" t="n">
        <f aca="false">F60</f>
        <v>0.0888666896014685</v>
      </c>
      <c r="M60" s="418"/>
      <c r="N60" s="418"/>
      <c r="O60" s="840" t="n">
        <f aca="false">TableDE5a!O60+TableDE5c!O60</f>
        <v>0</v>
      </c>
      <c r="Q60" s="25"/>
      <c r="R60" s="195"/>
      <c r="S60" s="833"/>
      <c r="T60" s="830"/>
      <c r="U60" s="29"/>
      <c r="V60" s="831"/>
      <c r="W60" s="816"/>
      <c r="X60" s="817" t="n">
        <f aca="false">1+$C60</f>
        <v>1.15866219237943</v>
      </c>
      <c r="Y60" s="818" t="n">
        <f aca="false">1+E60</f>
        <v>0.986575504738959</v>
      </c>
      <c r="Z60" s="818" t="n">
        <f aca="false">1+G60</f>
        <v>1</v>
      </c>
      <c r="AA60" s="818" t="n">
        <f aca="false">1+H59</f>
        <v>1</v>
      </c>
      <c r="AB60" s="818" t="n">
        <f aca="false">1+I60</f>
        <v>0.986575504738959</v>
      </c>
      <c r="AC60" s="818"/>
      <c r="AD60" s="818"/>
      <c r="AE60" s="818"/>
      <c r="AF60" s="25"/>
    </row>
    <row r="61" customFormat="false" ht="12" hidden="false" customHeight="false" outlineLevel="0" collapsed="false">
      <c r="A61" s="416" t="n">
        <f aca="false">A60+1</f>
        <v>1921</v>
      </c>
      <c r="B61" s="819" t="n">
        <f aca="false">TableDE3b!H61</f>
        <v>189.281783104149</v>
      </c>
      <c r="C61" s="382" t="n">
        <f aca="false">B61/B60-1</f>
        <v>0.0603365968078833</v>
      </c>
      <c r="D61" s="974" t="n">
        <f aca="false">TableDE6a!J61</f>
        <v>3.52335183365976</v>
      </c>
      <c r="E61" s="977" t="n">
        <f aca="false">(D61/D60)*(1+C61)-1</f>
        <v>-0.0735284765357506</v>
      </c>
      <c r="F61" s="514" t="n">
        <f aca="false">TableDE12c!B61</f>
        <v>0.0388666896014685</v>
      </c>
      <c r="G61" s="387" t="n">
        <f aca="false">F60/D60</f>
        <v>0.0220379560977468</v>
      </c>
      <c r="H61" s="387" t="n">
        <f aca="false">O61/D61</f>
        <v>0</v>
      </c>
      <c r="I61" s="418" t="n">
        <f aca="false">(1+E61)/((1+G61)*(1+H60))-1</f>
        <v>-0.0935057568687375</v>
      </c>
      <c r="J61" s="839"/>
      <c r="K61" s="418"/>
      <c r="L61" s="514" t="n">
        <f aca="false">F61</f>
        <v>0.0388666896014685</v>
      </c>
      <c r="M61" s="418"/>
      <c r="N61" s="418"/>
      <c r="O61" s="840" t="n">
        <f aca="false">TableDE5a!O61+TableDE5c!O61</f>
        <v>0</v>
      </c>
      <c r="Q61" s="25"/>
      <c r="R61" s="195"/>
      <c r="S61" s="833"/>
      <c r="T61" s="830"/>
      <c r="U61" s="29"/>
      <c r="V61" s="831"/>
      <c r="W61" s="816"/>
      <c r="X61" s="817" t="n">
        <f aca="false">1+$C61</f>
        <v>1.06033659680788</v>
      </c>
      <c r="Y61" s="818" t="n">
        <f aca="false">1+E61</f>
        <v>0.926471523464249</v>
      </c>
      <c r="Z61" s="818" t="n">
        <f aca="false">1+G61</f>
        <v>1.02203795609775</v>
      </c>
      <c r="AA61" s="818" t="n">
        <f aca="false">1+H60</f>
        <v>1</v>
      </c>
      <c r="AB61" s="818" t="n">
        <f aca="false">1+I61</f>
        <v>0.906494243131263</v>
      </c>
      <c r="AC61" s="818"/>
      <c r="AD61" s="818"/>
      <c r="AE61" s="818"/>
      <c r="AF61" s="25"/>
    </row>
    <row r="62" customFormat="false" ht="12" hidden="false" customHeight="false" outlineLevel="0" collapsed="false">
      <c r="A62" s="416" t="n">
        <f aca="false">A61+1</f>
        <v>1922</v>
      </c>
      <c r="B62" s="819" t="n">
        <f aca="false">TableDE3b!H62</f>
        <v>203.7369916016</v>
      </c>
      <c r="C62" s="382" t="n">
        <f aca="false">B62/B61-1</f>
        <v>0.07636872529618</v>
      </c>
      <c r="D62" s="974" t="n">
        <f aca="false">TableDE6a!J62</f>
        <v>3.26235978781421</v>
      </c>
      <c r="E62" s="977" t="n">
        <f aca="false">(D62/D61)*(1+C62)-1</f>
        <v>-0.0033632143345621</v>
      </c>
      <c r="F62" s="514" t="n">
        <f aca="false">TableDE12c!B62</f>
        <v>0.0388666896014685</v>
      </c>
      <c r="G62" s="387" t="n">
        <f aca="false">F61/D61</f>
        <v>0.0110311690221118</v>
      </c>
      <c r="H62" s="387" t="n">
        <f aca="false">O62/D62</f>
        <v>0</v>
      </c>
      <c r="I62" s="418" t="n">
        <f aca="false">(1+E62)/((1+G62)*(1+H61))-1</f>
        <v>-0.0142373289743347</v>
      </c>
      <c r="J62" s="839"/>
      <c r="K62" s="418"/>
      <c r="L62" s="514" t="n">
        <f aca="false">F62</f>
        <v>0.0388666896014685</v>
      </c>
      <c r="M62" s="418"/>
      <c r="N62" s="418"/>
      <c r="O62" s="840" t="n">
        <f aca="false">TableDE5a!O62+TableDE5c!O62</f>
        <v>0</v>
      </c>
      <c r="Q62" s="25"/>
      <c r="R62" s="195"/>
      <c r="S62" s="833"/>
      <c r="T62" s="830"/>
      <c r="U62" s="29"/>
      <c r="V62" s="831"/>
      <c r="W62" s="816"/>
      <c r="X62" s="817" t="n">
        <f aca="false">1+$C62</f>
        <v>1.07636872529618</v>
      </c>
      <c r="Y62" s="818" t="n">
        <f aca="false">1+E62</f>
        <v>0.996636785665438</v>
      </c>
      <c r="Z62" s="818" t="n">
        <f aca="false">1+G62</f>
        <v>1.01103116902211</v>
      </c>
      <c r="AA62" s="818" t="n">
        <f aca="false">1+H61</f>
        <v>1</v>
      </c>
      <c r="AB62" s="818" t="n">
        <f aca="false">1+I62</f>
        <v>0.985762671025665</v>
      </c>
      <c r="AC62" s="818"/>
      <c r="AD62" s="818"/>
      <c r="AE62" s="818"/>
      <c r="AF62" s="25"/>
    </row>
    <row r="63" customFormat="false" ht="12" hidden="false" customHeight="false" outlineLevel="0" collapsed="false">
      <c r="A63" s="416" t="n">
        <f aca="false">A62+1</f>
        <v>1923</v>
      </c>
      <c r="B63" s="819" t="n">
        <f aca="false">TableDE3b!H63</f>
        <v>177.178583108415</v>
      </c>
      <c r="C63" s="382" t="n">
        <f aca="false">B63/B62-1</f>
        <v>-0.130356339731958</v>
      </c>
      <c r="D63" s="974" t="n">
        <f aca="false">TableDE6a!J63</f>
        <v>3.36118951344257</v>
      </c>
      <c r="E63" s="977" t="n">
        <f aca="false">(D63/D62)*(1+C63)-1</f>
        <v>-0.104011408477053</v>
      </c>
      <c r="F63" s="514" t="n">
        <f aca="false">TableDE12c!B63</f>
        <v>0.0388666896014685</v>
      </c>
      <c r="G63" s="387" t="n">
        <f aca="false">F62/D62</f>
        <v>0.0119136735766074</v>
      </c>
      <c r="H63" s="387" t="n">
        <f aca="false">O63/D63</f>
        <v>0</v>
      </c>
      <c r="I63" s="418" t="n">
        <f aca="false">(1+E63)/((1+G63)*(1+H62))-1</f>
        <v>-0.114560248646431</v>
      </c>
      <c r="J63" s="839"/>
      <c r="K63" s="418"/>
      <c r="L63" s="514" t="n">
        <f aca="false">F63</f>
        <v>0.0388666896014685</v>
      </c>
      <c r="M63" s="418"/>
      <c r="N63" s="418"/>
      <c r="O63" s="840" t="n">
        <f aca="false">TableDE5a!O63+TableDE5c!O63</f>
        <v>0</v>
      </c>
      <c r="Q63" s="25"/>
      <c r="R63" s="195"/>
      <c r="S63" s="833"/>
      <c r="T63" s="830"/>
      <c r="U63" s="29"/>
      <c r="V63" s="831"/>
      <c r="W63" s="816"/>
      <c r="X63" s="817" t="n">
        <f aca="false">1+$C63</f>
        <v>0.869643660268042</v>
      </c>
      <c r="Y63" s="818" t="n">
        <f aca="false">1+E63</f>
        <v>0.895988591522947</v>
      </c>
      <c r="Z63" s="818" t="n">
        <f aca="false">1+G63</f>
        <v>1.01191367357661</v>
      </c>
      <c r="AA63" s="818" t="n">
        <f aca="false">1+H62</f>
        <v>1</v>
      </c>
      <c r="AB63" s="818" t="n">
        <f aca="false">1+I63</f>
        <v>0.885439751353569</v>
      </c>
      <c r="AC63" s="818"/>
      <c r="AD63" s="818"/>
      <c r="AE63" s="818"/>
      <c r="AF63" s="25"/>
    </row>
    <row r="64" customFormat="false" ht="12" hidden="false" customHeight="false" outlineLevel="0" collapsed="false">
      <c r="A64" s="416" t="n">
        <f aca="false">A63+1</f>
        <v>1924</v>
      </c>
      <c r="B64" s="819" t="n">
        <f aca="false">TableDE3b!H64</f>
        <v>197.408293654368</v>
      </c>
      <c r="C64" s="382" t="n">
        <f aca="false">B64/B63-1</f>
        <v>0.114176951813496</v>
      </c>
      <c r="D64" s="974" t="n">
        <f aca="false">TableDE6a!J64</f>
        <v>2.97883293692238</v>
      </c>
      <c r="E64" s="977" t="n">
        <f aca="false">(D64/D63)*(1+C64)-1</f>
        <v>-0.0125677268871037</v>
      </c>
      <c r="F64" s="514" t="n">
        <f aca="false">TableDE12c!B64</f>
        <v>0.0388666896014685</v>
      </c>
      <c r="G64" s="387" t="n">
        <f aca="false">F63/D63</f>
        <v>0.0115633734563395</v>
      </c>
      <c r="H64" s="387" t="n">
        <f aca="false">O64/D64</f>
        <v>0</v>
      </c>
      <c r="I64" s="418" t="n">
        <f aca="false">(1+E64)/((1+G64)*(1+H63))-1</f>
        <v>-0.0238552531424615</v>
      </c>
      <c r="J64" s="839"/>
      <c r="K64" s="418"/>
      <c r="L64" s="514" t="n">
        <f aca="false">F64</f>
        <v>0.0388666896014685</v>
      </c>
      <c r="M64" s="418"/>
      <c r="N64" s="418"/>
      <c r="O64" s="840" t="n">
        <f aca="false">TableDE5a!O64+TableDE5c!O64</f>
        <v>0</v>
      </c>
      <c r="Q64" s="25"/>
      <c r="R64" s="195"/>
      <c r="S64" s="834"/>
      <c r="T64" s="830"/>
      <c r="U64" s="29"/>
      <c r="V64" s="831"/>
      <c r="W64" s="816"/>
      <c r="X64" s="817" t="n">
        <f aca="false">1+$C64</f>
        <v>1.1141769518135</v>
      </c>
      <c r="Y64" s="818" t="n">
        <f aca="false">1+E64</f>
        <v>0.987432273112896</v>
      </c>
      <c r="Z64" s="818" t="n">
        <f aca="false">1+G64</f>
        <v>1.01156337345634</v>
      </c>
      <c r="AA64" s="818" t="n">
        <f aca="false">1+H63</f>
        <v>1</v>
      </c>
      <c r="AB64" s="818" t="n">
        <f aca="false">1+I64</f>
        <v>0.976144746857539</v>
      </c>
      <c r="AC64" s="818"/>
      <c r="AD64" s="818"/>
      <c r="AE64" s="818"/>
      <c r="AF64" s="25"/>
    </row>
    <row r="65" s="435" customFormat="true" ht="12" hidden="false" customHeight="false" outlineLevel="0" collapsed="false">
      <c r="A65" s="416" t="n">
        <f aca="false">A64+1</f>
        <v>1925</v>
      </c>
      <c r="B65" s="988" t="n">
        <f aca="false">TableDE3b!H65</f>
        <v>214.736930413913</v>
      </c>
      <c r="C65" s="382" t="n">
        <f aca="false">B65/B64-1</f>
        <v>0.0877806926890565</v>
      </c>
      <c r="D65" s="974" t="n">
        <f aca="false">TableDE6a!J65</f>
        <v>2.96582581092598</v>
      </c>
      <c r="E65" s="977" t="n">
        <f aca="false">(D65/D64)*(1+C65)-1</f>
        <v>0.0830308793138632</v>
      </c>
      <c r="F65" s="514" t="n">
        <f aca="false">TableDE12c!B65</f>
        <v>0.0451201958668313</v>
      </c>
      <c r="G65" s="387" t="n">
        <f aca="false">F64/D64</f>
        <v>0.0130476231545983</v>
      </c>
      <c r="H65" s="387" t="n">
        <f aca="false">O65/D65</f>
        <v>0</v>
      </c>
      <c r="I65" s="418" t="n">
        <f aca="false">(1+E65)/((1+G65)*(1+H64))-1</f>
        <v>0.0690819015411528</v>
      </c>
      <c r="J65" s="839"/>
      <c r="K65" s="418"/>
      <c r="L65" s="514" t="n">
        <f aca="false">F65</f>
        <v>0.0451201958668313</v>
      </c>
      <c r="M65" s="418"/>
      <c r="N65" s="418"/>
      <c r="O65" s="837" t="n">
        <f aca="false">TableDE5a!O65+TableDE5c!O65</f>
        <v>0</v>
      </c>
      <c r="Q65" s="25"/>
      <c r="R65" s="195"/>
      <c r="S65" s="848"/>
      <c r="T65" s="849"/>
      <c r="U65" s="850"/>
      <c r="V65" s="851"/>
      <c r="W65" s="987"/>
      <c r="X65" s="817" t="n">
        <f aca="false">1+$C65</f>
        <v>1.08778069268906</v>
      </c>
      <c r="Y65" s="817" t="n">
        <f aca="false">1+E65</f>
        <v>1.08303087931386</v>
      </c>
      <c r="Z65" s="817" t="n">
        <f aca="false">1+G65</f>
        <v>1.0130476231546</v>
      </c>
      <c r="AA65" s="818" t="n">
        <f aca="false">1+H64</f>
        <v>1</v>
      </c>
      <c r="AB65" s="817" t="n">
        <f aca="false">1+I65</f>
        <v>1.06908190154115</v>
      </c>
      <c r="AC65" s="817"/>
      <c r="AD65" s="817"/>
      <c r="AE65" s="817"/>
      <c r="AF65" s="25"/>
    </row>
    <row r="66" customFormat="false" ht="12" hidden="false" customHeight="false" outlineLevel="0" collapsed="false">
      <c r="A66" s="416" t="n">
        <f aca="false">A65+1</f>
        <v>1926</v>
      </c>
      <c r="B66" s="819" t="n">
        <f aca="false">TableDE3b!H66</f>
        <v>216.277482704078</v>
      </c>
      <c r="C66" s="382" t="n">
        <f aca="false">B66/B65-1</f>
        <v>0.0071741376166421</v>
      </c>
      <c r="D66" s="974" t="n">
        <f aca="false">TableDE6a!J66</f>
        <v>3.25118155612391</v>
      </c>
      <c r="E66" s="977" t="n">
        <f aca="false">(D66/D65)*(1+C66)-1</f>
        <v>0.104078994781515</v>
      </c>
      <c r="F66" s="514" t="n">
        <f aca="false">TableDE12c!B66</f>
        <v>0.0579539806565743</v>
      </c>
      <c r="G66" s="387" t="n">
        <f aca="false">F65/D65</f>
        <v>0.0152133667798731</v>
      </c>
      <c r="H66" s="387" t="n">
        <f aca="false">O66/D66</f>
        <v>0</v>
      </c>
      <c r="I66" s="418" t="n">
        <f aca="false">(1+E66)/((1+G66)*(1+H65))-1</f>
        <v>0.0875339420357639</v>
      </c>
      <c r="J66" s="839"/>
      <c r="K66" s="418"/>
      <c r="L66" s="514" t="n">
        <f aca="false">F66</f>
        <v>0.0579539806565743</v>
      </c>
      <c r="M66" s="418"/>
      <c r="N66" s="418"/>
      <c r="O66" s="840" t="n">
        <f aca="false">TableDE5a!O66+TableDE5c!O66</f>
        <v>0</v>
      </c>
      <c r="Q66" s="25"/>
      <c r="R66" s="195"/>
      <c r="S66" s="833"/>
      <c r="T66" s="830"/>
      <c r="U66" s="29"/>
      <c r="V66" s="831"/>
      <c r="W66" s="816"/>
      <c r="X66" s="817" t="n">
        <f aca="false">1+$C66</f>
        <v>1.00717413761664</v>
      </c>
      <c r="Y66" s="818" t="n">
        <f aca="false">1+E66</f>
        <v>1.10407899478152</v>
      </c>
      <c r="Z66" s="818" t="n">
        <f aca="false">1+G66</f>
        <v>1.01521336677987</v>
      </c>
      <c r="AA66" s="818" t="n">
        <f aca="false">1+H65</f>
        <v>1</v>
      </c>
      <c r="AB66" s="818" t="n">
        <f aca="false">1+I66</f>
        <v>1.08753394203576</v>
      </c>
      <c r="AC66" s="818"/>
      <c r="AD66" s="818"/>
      <c r="AE66" s="818"/>
      <c r="AF66" s="25"/>
    </row>
    <row r="67" customFormat="false" ht="12" hidden="false" customHeight="false" outlineLevel="0" collapsed="false">
      <c r="A67" s="416" t="n">
        <f aca="false">A66+1</f>
        <v>1927</v>
      </c>
      <c r="B67" s="819" t="n">
        <f aca="false">TableDE3b!H67</f>
        <v>238.262757885558</v>
      </c>
      <c r="C67" s="382" t="n">
        <f aca="false">B67/B66-1</f>
        <v>0.101653093547244</v>
      </c>
      <c r="D67" s="974" t="n">
        <f aca="false">TableDE6a!J67</f>
        <v>3.34975691035834</v>
      </c>
      <c r="E67" s="977" t="n">
        <f aca="false">(D67/D66)*(1+C67)-1</f>
        <v>0.135055055900077</v>
      </c>
      <c r="F67" s="514" t="n">
        <f aca="false">TableDE12c!B67</f>
        <v>0.0611962869495276</v>
      </c>
      <c r="G67" s="387" t="n">
        <f aca="false">F66/D66</f>
        <v>0.0178255134806029</v>
      </c>
      <c r="H67" s="387" t="n">
        <f aca="false">O67/D67</f>
        <v>0</v>
      </c>
      <c r="I67" s="418" t="n">
        <f aca="false">(1+E67)/((1+G67)*(1+H66))-1</f>
        <v>0.115176462828673</v>
      </c>
      <c r="J67" s="839"/>
      <c r="K67" s="418"/>
      <c r="L67" s="514" t="n">
        <f aca="false">F67</f>
        <v>0.0611962869495276</v>
      </c>
      <c r="M67" s="418"/>
      <c r="N67" s="418"/>
      <c r="O67" s="837" t="n">
        <f aca="false">TableDE5a!O67+TableDE5c!O67</f>
        <v>0</v>
      </c>
      <c r="Q67" s="25"/>
      <c r="R67" s="195"/>
      <c r="S67" s="833"/>
      <c r="T67" s="830"/>
      <c r="U67" s="29"/>
      <c r="V67" s="831"/>
      <c r="W67" s="816"/>
      <c r="X67" s="817" t="n">
        <f aca="false">1+$C67</f>
        <v>1.10165309354724</v>
      </c>
      <c r="Y67" s="818" t="n">
        <f aca="false">1+E67</f>
        <v>1.13505505590008</v>
      </c>
      <c r="Z67" s="818" t="n">
        <f aca="false">1+G67</f>
        <v>1.0178255134806</v>
      </c>
      <c r="AA67" s="818" t="n">
        <f aca="false">1+H66</f>
        <v>1</v>
      </c>
      <c r="AB67" s="818" t="n">
        <f aca="false">1+I67</f>
        <v>1.11517646282867</v>
      </c>
      <c r="AC67" s="818"/>
      <c r="AD67" s="818"/>
      <c r="AE67" s="818"/>
      <c r="AF67" s="25"/>
    </row>
    <row r="68" customFormat="false" ht="12" hidden="false" customHeight="false" outlineLevel="0" collapsed="false">
      <c r="A68" s="416" t="n">
        <f aca="false">A67+1</f>
        <v>1928</v>
      </c>
      <c r="B68" s="819" t="n">
        <f aca="false">TableDE3b!H68</f>
        <v>246.18861413123</v>
      </c>
      <c r="C68" s="382" t="n">
        <f aca="false">B68/B67-1</f>
        <v>0.0332651914046873</v>
      </c>
      <c r="D68" s="974" t="n">
        <f aca="false">TableDE6a!J68</f>
        <v>3.4019834280075</v>
      </c>
      <c r="E68" s="977" t="n">
        <f aca="false">(D68/D67)*(1+C68)-1</f>
        <v>0.0493749701734956</v>
      </c>
      <c r="F68" s="514" t="n">
        <f aca="false">TableDE12c!B68</f>
        <v>0.0622618543222576</v>
      </c>
      <c r="G68" s="387" t="n">
        <f aca="false">F67/D67</f>
        <v>0.0182688740070339</v>
      </c>
      <c r="H68" s="387" t="n">
        <f aca="false">O68/D68</f>
        <v>0</v>
      </c>
      <c r="I68" s="418" t="n">
        <f aca="false">(1+E68)/((1+G68)*(1+H67))-1</f>
        <v>0.030548018269531</v>
      </c>
      <c r="J68" s="839"/>
      <c r="K68" s="418"/>
      <c r="L68" s="514" t="n">
        <f aca="false">F68</f>
        <v>0.0622618543222576</v>
      </c>
      <c r="M68" s="418"/>
      <c r="N68" s="418"/>
      <c r="O68" s="840" t="n">
        <f aca="false">TableDE5a!O68+TableDE5c!O68</f>
        <v>0</v>
      </c>
      <c r="Q68" s="25"/>
      <c r="R68" s="195"/>
      <c r="S68" s="833"/>
      <c r="T68" s="830"/>
      <c r="U68" s="29"/>
      <c r="V68" s="831"/>
      <c r="W68" s="816"/>
      <c r="X68" s="817" t="n">
        <f aca="false">1+$C68</f>
        <v>1.03326519140469</v>
      </c>
      <c r="Y68" s="818" t="n">
        <f aca="false">1+E68</f>
        <v>1.0493749701735</v>
      </c>
      <c r="Z68" s="818" t="n">
        <f aca="false">1+G68</f>
        <v>1.01826887400703</v>
      </c>
      <c r="AA68" s="818" t="n">
        <f aca="false">1+H67</f>
        <v>1</v>
      </c>
      <c r="AB68" s="818" t="n">
        <f aca="false">1+I68</f>
        <v>1.03054801826953</v>
      </c>
      <c r="AC68" s="818"/>
      <c r="AD68" s="818"/>
      <c r="AE68" s="818"/>
      <c r="AF68" s="25"/>
    </row>
    <row r="69" customFormat="false" ht="12" hidden="false" customHeight="false" outlineLevel="0" collapsed="false">
      <c r="A69" s="436" t="n">
        <f aca="false">A68+1</f>
        <v>1929</v>
      </c>
      <c r="B69" s="823" t="n">
        <f aca="false">TableDE3b!H69</f>
        <v>241.111613118797</v>
      </c>
      <c r="C69" s="407" t="n">
        <f aca="false">B69/B68-1</f>
        <v>-0.0206224038034756</v>
      </c>
      <c r="D69" s="979" t="n">
        <f aca="false">TableDE6a!J69</f>
        <v>3.64146710310912</v>
      </c>
      <c r="E69" s="980" t="n">
        <f aca="false">(D69/D68)*(1+C69)-1</f>
        <v>0.0483211848449583</v>
      </c>
      <c r="F69" s="842" t="n">
        <f aca="false">TableDE12c!B69</f>
        <v>0.0458718737796153</v>
      </c>
      <c r="G69" s="406" t="n">
        <f aca="false">F68/D68</f>
        <v>0.0183016336322143</v>
      </c>
      <c r="H69" s="406" t="n">
        <f aca="false">O69/D69</f>
        <v>0</v>
      </c>
      <c r="I69" s="437" t="n">
        <f aca="false">(1+E69)/((1+G69)*(1+H68))-1</f>
        <v>0.0294800187108275</v>
      </c>
      <c r="J69" s="843"/>
      <c r="K69" s="437"/>
      <c r="L69" s="842" t="n">
        <f aca="false">F69</f>
        <v>0.0458718737796153</v>
      </c>
      <c r="M69" s="437"/>
      <c r="N69" s="437"/>
      <c r="O69" s="844" t="n">
        <f aca="false">TableDE5a!O69+TableDE5c!O69</f>
        <v>0</v>
      </c>
      <c r="Q69" s="25"/>
      <c r="R69" s="195"/>
      <c r="S69" s="833"/>
      <c r="T69" s="830"/>
      <c r="U69" s="29"/>
      <c r="V69" s="831"/>
      <c r="W69" s="816"/>
      <c r="X69" s="817" t="n">
        <f aca="false">1+$C69</f>
        <v>0.979377596196524</v>
      </c>
      <c r="Y69" s="818" t="n">
        <f aca="false">1+E69</f>
        <v>1.04832118484496</v>
      </c>
      <c r="Z69" s="818" t="n">
        <f aca="false">1+G69</f>
        <v>1.01830163363221</v>
      </c>
      <c r="AA69" s="818" t="n">
        <f aca="false">1+H68</f>
        <v>1</v>
      </c>
      <c r="AB69" s="818" t="n">
        <f aca="false">1+I69</f>
        <v>1.02948001871083</v>
      </c>
      <c r="AC69" s="818"/>
      <c r="AD69" s="818"/>
      <c r="AE69" s="818"/>
      <c r="AF69" s="25"/>
    </row>
    <row r="70" customFormat="false" ht="12" hidden="false" customHeight="false" outlineLevel="0" collapsed="false">
      <c r="A70" s="416" t="n">
        <f aca="false">A69+1</f>
        <v>1930</v>
      </c>
      <c r="B70" s="819" t="n">
        <f aca="false">TableDE3b!H70</f>
        <v>222.583843289498</v>
      </c>
      <c r="C70" s="382" t="n">
        <f aca="false">B70/B69-1</f>
        <v>-0.0768431250143496</v>
      </c>
      <c r="D70" s="974" t="n">
        <f aca="false">TableDE6a!J70</f>
        <v>3.80707057991429</v>
      </c>
      <c r="E70" s="977" t="n">
        <f aca="false">(D70/D69)*(1+C70)-1</f>
        <v>-0.0348605987947145</v>
      </c>
      <c r="F70" s="514" t="n">
        <f aca="false">TableDE12c!B70</f>
        <v>0.0152024705750238</v>
      </c>
      <c r="G70" s="387" t="n">
        <f aca="false">F69/D69</f>
        <v>0.0125970858669709</v>
      </c>
      <c r="H70" s="387" t="n">
        <f aca="false">O70/D70</f>
        <v>0</v>
      </c>
      <c r="I70" s="418" t="n">
        <f aca="false">(1+E70)/((1+G70)*(1+H69))-1</f>
        <v>-0.0468672933430899</v>
      </c>
      <c r="J70" s="839"/>
      <c r="K70" s="418"/>
      <c r="L70" s="514" t="n">
        <f aca="false">F70</f>
        <v>0.0152024705750238</v>
      </c>
      <c r="M70" s="418"/>
      <c r="N70" s="418"/>
      <c r="O70" s="840" t="n">
        <f aca="false">TableDE5a!O70+TableDE5c!O70</f>
        <v>0</v>
      </c>
      <c r="Q70" s="25"/>
      <c r="R70" s="195"/>
      <c r="S70" s="833"/>
      <c r="T70" s="830"/>
      <c r="U70" s="29"/>
      <c r="V70" s="831"/>
      <c r="W70" s="816"/>
      <c r="X70" s="817" t="n">
        <f aca="false">1+$C70</f>
        <v>0.92315687498565</v>
      </c>
      <c r="Y70" s="818" t="n">
        <f aca="false">1+E70</f>
        <v>0.965139401205286</v>
      </c>
      <c r="Z70" s="818" t="n">
        <f aca="false">1+G70</f>
        <v>1.01259708586697</v>
      </c>
      <c r="AA70" s="818" t="n">
        <f aca="false">1+H69</f>
        <v>1</v>
      </c>
      <c r="AB70" s="818" t="n">
        <f aca="false">1+I70</f>
        <v>0.95313270665691</v>
      </c>
      <c r="AC70" s="818"/>
      <c r="AD70" s="818"/>
      <c r="AE70" s="818"/>
      <c r="AF70" s="25"/>
    </row>
    <row r="71" customFormat="false" ht="12" hidden="false" customHeight="false" outlineLevel="0" collapsed="false">
      <c r="A71" s="416" t="n">
        <f aca="false">A70+1</f>
        <v>1931</v>
      </c>
      <c r="B71" s="819" t="n">
        <f aca="false">TableDE3b!H71</f>
        <v>193.352035529746</v>
      </c>
      <c r="C71" s="382" t="n">
        <f aca="false">B71/B70-1</f>
        <v>-0.131329423231014</v>
      </c>
      <c r="D71" s="974" t="n">
        <f aca="false">TableDE6a!J71</f>
        <v>3.95661291046095</v>
      </c>
      <c r="E71" s="977" t="n">
        <f aca="false">(D71/D70)*(1+C71)-1</f>
        <v>-0.0972079064898469</v>
      </c>
      <c r="F71" s="514" t="n">
        <f aca="false">TableDE12c!B71</f>
        <v>-0.0327163688422254</v>
      </c>
      <c r="G71" s="387" t="n">
        <f aca="false">F70/D70</f>
        <v>0.00399322005093114</v>
      </c>
      <c r="H71" s="387" t="n">
        <f aca="false">O71/D71</f>
        <v>0</v>
      </c>
      <c r="I71" s="418" t="n">
        <f aca="false">(1+E71)/((1+G71)*(1+H70))-1</f>
        <v>-0.100798615488304</v>
      </c>
      <c r="J71" s="839"/>
      <c r="K71" s="418"/>
      <c r="L71" s="514" t="n">
        <f aca="false">F71</f>
        <v>-0.0327163688422254</v>
      </c>
      <c r="M71" s="418"/>
      <c r="N71" s="418"/>
      <c r="O71" s="840" t="n">
        <f aca="false">TableDE5a!O71+TableDE5c!O71</f>
        <v>0</v>
      </c>
      <c r="Q71" s="25"/>
      <c r="R71" s="195"/>
      <c r="S71" s="833"/>
      <c r="T71" s="830"/>
      <c r="U71" s="29"/>
      <c r="V71" s="831"/>
      <c r="W71" s="816"/>
      <c r="X71" s="817" t="n">
        <f aca="false">1+$C71</f>
        <v>0.868670576768987</v>
      </c>
      <c r="Y71" s="818" t="n">
        <f aca="false">1+E71</f>
        <v>0.902792093510153</v>
      </c>
      <c r="Z71" s="818" t="n">
        <f aca="false">1+G71</f>
        <v>1.00399322005093</v>
      </c>
      <c r="AA71" s="818" t="n">
        <f aca="false">1+H70</f>
        <v>1</v>
      </c>
      <c r="AB71" s="818" t="n">
        <f aca="false">1+I71</f>
        <v>0.899201384511696</v>
      </c>
      <c r="AC71" s="818"/>
      <c r="AD71" s="818"/>
      <c r="AE71" s="818"/>
      <c r="AF71" s="25"/>
    </row>
    <row r="72" customFormat="false" ht="12" hidden="false" customHeight="false" outlineLevel="0" collapsed="false">
      <c r="A72" s="416" t="n">
        <f aca="false">A71+1</f>
        <v>1932</v>
      </c>
      <c r="B72" s="819" t="n">
        <f aca="false">TableDE3b!H72</f>
        <v>176.40359763024</v>
      </c>
      <c r="C72" s="382" t="n">
        <f aca="false">B72/B71-1</f>
        <v>-0.0876558545301615</v>
      </c>
      <c r="D72" s="974" t="n">
        <f aca="false">TableDE6a!J72</f>
        <v>4.04306362850669</v>
      </c>
      <c r="E72" s="977" t="n">
        <f aca="false">(D72/D71)*(1+C72)-1</f>
        <v>-0.0677214287307205</v>
      </c>
      <c r="F72" s="514" t="n">
        <f aca="false">TableDE12c!B72</f>
        <v>-0.0576264486516479</v>
      </c>
      <c r="G72" s="387" t="n">
        <f aca="false">F71/D71</f>
        <v>-0.0082687818046911</v>
      </c>
      <c r="H72" s="387" t="n">
        <f aca="false">O72/D72</f>
        <v>0</v>
      </c>
      <c r="I72" s="418" t="n">
        <f aca="false">(1+E72)/((1+G72)*(1+H71))-1</f>
        <v>-0.0599483467246474</v>
      </c>
      <c r="J72" s="839"/>
      <c r="K72" s="418"/>
      <c r="L72" s="514" t="n">
        <f aca="false">F72</f>
        <v>-0.0576264486516479</v>
      </c>
      <c r="M72" s="418"/>
      <c r="N72" s="418"/>
      <c r="O72" s="840" t="n">
        <f aca="false">TableDE5a!O72+TableDE5c!O72</f>
        <v>0</v>
      </c>
      <c r="Q72" s="25"/>
      <c r="R72" s="195"/>
      <c r="S72" s="833"/>
      <c r="T72" s="830"/>
      <c r="U72" s="29"/>
      <c r="V72" s="831"/>
      <c r="W72" s="816"/>
      <c r="X72" s="817" t="n">
        <f aca="false">1+$C72</f>
        <v>0.912344145469839</v>
      </c>
      <c r="Y72" s="818" t="n">
        <f aca="false">1+E72</f>
        <v>0.93227857126928</v>
      </c>
      <c r="Z72" s="818" t="n">
        <f aca="false">1+G72</f>
        <v>0.991731218195309</v>
      </c>
      <c r="AA72" s="818" t="n">
        <f aca="false">1+H71</f>
        <v>1</v>
      </c>
      <c r="AB72" s="818" t="n">
        <f aca="false">1+I72</f>
        <v>0.940051653275353</v>
      </c>
      <c r="AC72" s="818"/>
      <c r="AD72" s="818"/>
      <c r="AE72" s="818"/>
      <c r="AF72" s="25"/>
    </row>
    <row r="73" customFormat="false" ht="12" hidden="false" customHeight="false" outlineLevel="0" collapsed="false">
      <c r="A73" s="416" t="n">
        <f aca="false">A72+1</f>
        <v>1933</v>
      </c>
      <c r="B73" s="819" t="n">
        <f aca="false">TableDE3b!H73</f>
        <v>190.125238518917</v>
      </c>
      <c r="C73" s="382" t="n">
        <f aca="false">B73/B72-1</f>
        <v>0.0777854934537023</v>
      </c>
      <c r="D73" s="974" t="n">
        <f aca="false">TableDE6a!J73</f>
        <v>3.80052849173866</v>
      </c>
      <c r="E73" s="977" t="n">
        <f aca="false">(D73/D72)*(1+C73)-1</f>
        <v>0.01313134103861</v>
      </c>
      <c r="F73" s="514" t="n">
        <f aca="false">TableDE12c!B73</f>
        <v>-0.00353454874731658</v>
      </c>
      <c r="G73" s="387" t="n">
        <f aca="false">F72/D72</f>
        <v>-0.0142531639238466</v>
      </c>
      <c r="H73" s="387" t="n">
        <f aca="false">O73/D73</f>
        <v>0</v>
      </c>
      <c r="I73" s="418" t="n">
        <f aca="false">(1+E73)/((1+G73)*(1+H72))-1</f>
        <v>0.0277804644765209</v>
      </c>
      <c r="J73" s="839"/>
      <c r="K73" s="418"/>
      <c r="L73" s="514" t="n">
        <f aca="false">F73</f>
        <v>-0.00353454874731658</v>
      </c>
      <c r="M73" s="418"/>
      <c r="N73" s="418"/>
      <c r="O73" s="840" t="n">
        <f aca="false">TableDE5a!O73+TableDE5c!O73</f>
        <v>0</v>
      </c>
      <c r="Q73" s="25"/>
      <c r="R73" s="195"/>
      <c r="S73" s="833"/>
      <c r="T73" s="830"/>
      <c r="U73" s="29"/>
      <c r="V73" s="831"/>
      <c r="W73" s="816"/>
      <c r="X73" s="817" t="n">
        <f aca="false">1+$C73</f>
        <v>1.0777854934537</v>
      </c>
      <c r="Y73" s="818" t="n">
        <f aca="false">1+E73</f>
        <v>1.01313134103861</v>
      </c>
      <c r="Z73" s="818" t="n">
        <f aca="false">1+G73</f>
        <v>0.985746836076153</v>
      </c>
      <c r="AA73" s="818" t="n">
        <f aca="false">1+H72</f>
        <v>1</v>
      </c>
      <c r="AB73" s="818" t="n">
        <f aca="false">1+I73</f>
        <v>1.02778046447652</v>
      </c>
      <c r="AC73" s="818"/>
      <c r="AD73" s="818"/>
      <c r="AE73" s="818"/>
      <c r="AF73" s="25"/>
    </row>
    <row r="74" customFormat="false" ht="12" hidden="false" customHeight="false" outlineLevel="0" collapsed="false">
      <c r="A74" s="416" t="n">
        <f aca="false">A73+1</f>
        <v>1934</v>
      </c>
      <c r="B74" s="819" t="n">
        <f aca="false">TableDE3b!H74</f>
        <v>214.48511971879</v>
      </c>
      <c r="C74" s="382" t="n">
        <f aca="false">B74/B73-1</f>
        <v>0.12812544715072</v>
      </c>
      <c r="D74" s="974" t="n">
        <f aca="false">TableDE6a!J74</f>
        <v>3.52091055490673</v>
      </c>
      <c r="E74" s="977" t="n">
        <f aca="false">(D74/D73)*(1+C74)-1</f>
        <v>0.0451253826319098</v>
      </c>
      <c r="F74" s="514" t="n">
        <f aca="false">TableDE12c!B74</f>
        <v>0.0494941304795976</v>
      </c>
      <c r="G74" s="387" t="n">
        <f aca="false">F73/D73</f>
        <v>-0.000930015063694364</v>
      </c>
      <c r="H74" s="387" t="n">
        <f aca="false">O74/D74</f>
        <v>0</v>
      </c>
      <c r="I74" s="418" t="n">
        <f aca="false">(1+E74)/((1+G74)*(1+H73))-1</f>
        <v>0.0460982697809107</v>
      </c>
      <c r="J74" s="839"/>
      <c r="K74" s="418"/>
      <c r="L74" s="514" t="n">
        <f aca="false">F74</f>
        <v>0.0494941304795976</v>
      </c>
      <c r="M74" s="418"/>
      <c r="N74" s="418"/>
      <c r="O74" s="840" t="n">
        <f aca="false">TableDE5a!O74+TableDE5c!O74</f>
        <v>0</v>
      </c>
      <c r="Q74" s="25"/>
      <c r="R74" s="195"/>
      <c r="S74" s="833"/>
      <c r="T74" s="830"/>
      <c r="U74" s="29"/>
      <c r="V74" s="831"/>
      <c r="W74" s="816"/>
      <c r="X74" s="817" t="n">
        <f aca="false">1+$C74</f>
        <v>1.12812544715072</v>
      </c>
      <c r="Y74" s="818" t="n">
        <f aca="false">1+E74</f>
        <v>1.04512538263191</v>
      </c>
      <c r="Z74" s="818" t="n">
        <f aca="false">1+G74</f>
        <v>0.999069984936306</v>
      </c>
      <c r="AA74" s="818" t="n">
        <f aca="false">1+H73</f>
        <v>1</v>
      </c>
      <c r="AB74" s="818" t="n">
        <f aca="false">1+I74</f>
        <v>1.04609826978091</v>
      </c>
      <c r="AC74" s="818"/>
      <c r="AD74" s="818"/>
      <c r="AE74" s="818"/>
      <c r="AF74" s="25"/>
    </row>
    <row r="75" s="435" customFormat="true" ht="12" hidden="false" customHeight="false" outlineLevel="0" collapsed="false">
      <c r="A75" s="416" t="n">
        <f aca="false">A74+1</f>
        <v>1935</v>
      </c>
      <c r="B75" s="819" t="n">
        <f aca="false">TableDE3b!H75</f>
        <v>236.75894333132</v>
      </c>
      <c r="C75" s="382" t="n">
        <f aca="false">B75/B74-1</f>
        <v>0.103847873650785</v>
      </c>
      <c r="D75" s="974" t="n">
        <f aca="false">TableDE6a!J75</f>
        <v>3.40436347960572</v>
      </c>
      <c r="E75" s="977" t="n">
        <f aca="false">(D75/D74)*(1+C75)-1</f>
        <v>0.0673089615582982</v>
      </c>
      <c r="F75" s="514" t="n">
        <f aca="false">TableDE12c!B75</f>
        <v>0.0977358491975398</v>
      </c>
      <c r="G75" s="387" t="n">
        <f aca="false">F74/D74</f>
        <v>0.014057196201881</v>
      </c>
      <c r="H75" s="387" t="n">
        <f aca="false">O75/D75</f>
        <v>0</v>
      </c>
      <c r="I75" s="418" t="n">
        <f aca="false">(1+E75)/((1+G75)*(1+H74))-1</f>
        <v>0.0525135717747185</v>
      </c>
      <c r="J75" s="839"/>
      <c r="K75" s="418"/>
      <c r="L75" s="514" t="n">
        <f aca="false">F75</f>
        <v>0.0977358491975398</v>
      </c>
      <c r="M75" s="418"/>
      <c r="N75" s="418"/>
      <c r="O75" s="840" t="n">
        <f aca="false">TableDE5a!O75+TableDE5c!O75</f>
        <v>0</v>
      </c>
      <c r="Q75" s="25"/>
      <c r="R75" s="195"/>
      <c r="S75" s="848"/>
      <c r="T75" s="849"/>
      <c r="U75" s="850"/>
      <c r="V75" s="851"/>
      <c r="W75" s="816"/>
      <c r="X75" s="817" t="n">
        <f aca="false">1+$C75</f>
        <v>1.10384787365078</v>
      </c>
      <c r="Y75" s="818" t="n">
        <f aca="false">1+E75</f>
        <v>1.0673089615583</v>
      </c>
      <c r="Z75" s="818" t="n">
        <f aca="false">1+G75</f>
        <v>1.01405719620188</v>
      </c>
      <c r="AA75" s="818" t="n">
        <f aca="false">1+H74</f>
        <v>1</v>
      </c>
      <c r="AB75" s="818" t="n">
        <f aca="false">1+I75</f>
        <v>1.05251357177472</v>
      </c>
      <c r="AC75" s="818"/>
      <c r="AD75" s="818"/>
      <c r="AE75" s="818"/>
      <c r="AF75" s="25"/>
    </row>
    <row r="76" customFormat="false" ht="12" hidden="false" customHeight="false" outlineLevel="0" collapsed="false">
      <c r="A76" s="416" t="n">
        <f aca="false">A75+1</f>
        <v>1936</v>
      </c>
      <c r="B76" s="819" t="n">
        <f aca="false">TableDE3b!H76</f>
        <v>264.874404178517</v>
      </c>
      <c r="C76" s="382" t="n">
        <f aca="false">B76/B75-1</f>
        <v>0.118751420544446</v>
      </c>
      <c r="D76" s="974" t="n">
        <f aca="false">TableDE6a!J76</f>
        <v>3.2668234844224</v>
      </c>
      <c r="E76" s="977" t="n">
        <f aca="false">(D76/D75)*(1+C76)-1</f>
        <v>0.0735526437643503</v>
      </c>
      <c r="F76" s="514" t="n">
        <f aca="false">TableDE12c!B76</f>
        <v>0.122417159593455</v>
      </c>
      <c r="G76" s="387" t="n">
        <f aca="false">F75/D75</f>
        <v>0.0287089935557819</v>
      </c>
      <c r="H76" s="387" t="n">
        <f aca="false">O76/D76</f>
        <v>0</v>
      </c>
      <c r="I76" s="418" t="n">
        <f aca="false">(1+E76)/((1+G76)*(1+H75))-1</f>
        <v>0.0435921630796328</v>
      </c>
      <c r="J76" s="839"/>
      <c r="K76" s="418"/>
      <c r="L76" s="514" t="n">
        <f aca="false">F76</f>
        <v>0.122417159593455</v>
      </c>
      <c r="M76" s="418"/>
      <c r="N76" s="418"/>
      <c r="O76" s="837" t="n">
        <f aca="false">TableDE5a!O76+TableDE5c!O76</f>
        <v>0</v>
      </c>
      <c r="Q76" s="25"/>
      <c r="R76" s="195"/>
      <c r="S76" s="833"/>
      <c r="T76" s="830"/>
      <c r="U76" s="29"/>
      <c r="V76" s="831"/>
      <c r="W76" s="816"/>
      <c r="X76" s="817" t="n">
        <f aca="false">1+$C76</f>
        <v>1.11875142054445</v>
      </c>
      <c r="Y76" s="818" t="n">
        <f aca="false">1+E76</f>
        <v>1.07355264376435</v>
      </c>
      <c r="Z76" s="818" t="n">
        <f aca="false">1+G76</f>
        <v>1.02870899355578</v>
      </c>
      <c r="AA76" s="818" t="n">
        <f aca="false">1+H75</f>
        <v>1</v>
      </c>
      <c r="AB76" s="818" t="n">
        <f aca="false">1+I76</f>
        <v>1.04359216307963</v>
      </c>
      <c r="AC76" s="818"/>
      <c r="AD76" s="818"/>
      <c r="AE76" s="818"/>
      <c r="AF76" s="25"/>
    </row>
    <row r="77" customFormat="false" ht="12" hidden="false" customHeight="false" outlineLevel="0" collapsed="false">
      <c r="A77" s="416" t="n">
        <f aca="false">A76+1</f>
        <v>1937</v>
      </c>
      <c r="B77" s="819" t="n">
        <f aca="false">TableDE3b!H77</f>
        <v>295.735192595547</v>
      </c>
      <c r="C77" s="382" t="n">
        <f aca="false">B77/B76-1</f>
        <v>0.116511025339508</v>
      </c>
      <c r="D77" s="974" t="n">
        <f aca="false">TableDE6a!J77</f>
        <v>3.17174999214885</v>
      </c>
      <c r="E77" s="977" t="n">
        <f aca="false">(D77/D76)*(1+C77)-1</f>
        <v>0.0840175028559327</v>
      </c>
      <c r="F77" s="514" t="n">
        <f aca="false">TableDE12c!B77</f>
        <v>0.128653933063967</v>
      </c>
      <c r="G77" s="387" t="n">
        <f aca="false">F76/D76</f>
        <v>0.0374728417917869</v>
      </c>
      <c r="H77" s="387" t="n">
        <f aca="false">O77/D77</f>
        <v>0</v>
      </c>
      <c r="I77" s="418" t="n">
        <f aca="false">(1+E77)/((1+G77)*(1+H76))-1</f>
        <v>0.0448634982904805</v>
      </c>
      <c r="J77" s="839"/>
      <c r="K77" s="418"/>
      <c r="L77" s="514" t="n">
        <f aca="false">F77</f>
        <v>0.128653933063967</v>
      </c>
      <c r="M77" s="418"/>
      <c r="N77" s="418"/>
      <c r="O77" s="840" t="n">
        <f aca="false">TableDE5a!O77+TableDE5c!O77</f>
        <v>0</v>
      </c>
      <c r="Q77" s="25"/>
      <c r="R77" s="195"/>
      <c r="S77" s="833"/>
      <c r="T77" s="830"/>
      <c r="U77" s="29"/>
      <c r="V77" s="831"/>
      <c r="W77" s="816"/>
      <c r="X77" s="817" t="n">
        <f aca="false">1+$C77</f>
        <v>1.11651102533951</v>
      </c>
      <c r="Y77" s="818" t="n">
        <f aca="false">1+E77</f>
        <v>1.08401750285593</v>
      </c>
      <c r="Z77" s="818" t="n">
        <f aca="false">1+G77</f>
        <v>1.03747284179179</v>
      </c>
      <c r="AA77" s="818" t="n">
        <f aca="false">1+H76</f>
        <v>1</v>
      </c>
      <c r="AB77" s="818" t="n">
        <f aca="false">1+I77</f>
        <v>1.04486349829048</v>
      </c>
      <c r="AC77" s="818"/>
      <c r="AD77" s="818"/>
      <c r="AE77" s="818"/>
      <c r="AF77" s="25"/>
    </row>
    <row r="78" customFormat="false" ht="12" hidden="false" customHeight="false" outlineLevel="0" collapsed="false">
      <c r="A78" s="439" t="n">
        <f aca="false">A77+1</f>
        <v>1938</v>
      </c>
      <c r="B78" s="819" t="n">
        <f aca="false">TableDE3b!H78</f>
        <v>322.614296220089</v>
      </c>
      <c r="C78" s="382" t="n">
        <f aca="false">B78/B77-1</f>
        <v>0.0908890936808535</v>
      </c>
      <c r="D78" s="974" t="n">
        <f aca="false">TableDE6a!J78</f>
        <v>3.11704779854446</v>
      </c>
      <c r="E78" s="977" t="n">
        <f aca="false">(D78/D77)*(1+C78)-1</f>
        <v>0.0720748660301365</v>
      </c>
      <c r="F78" s="514" t="n">
        <f aca="false">TableDE12c!B78</f>
        <v>0.136427754826469</v>
      </c>
      <c r="G78" s="387" t="n">
        <f aca="false">F77/D77</f>
        <v>0.0405624445124706</v>
      </c>
      <c r="H78" s="387" t="n">
        <f aca="false">O78/D78</f>
        <v>0</v>
      </c>
      <c r="I78" s="418" t="n">
        <f aca="false">(1+E78)/((1+G78)*(1+H77))-1</f>
        <v>0.0302840273391092</v>
      </c>
      <c r="J78" s="839"/>
      <c r="K78" s="418"/>
      <c r="L78" s="514" t="n">
        <f aca="false">F78</f>
        <v>0.136427754826469</v>
      </c>
      <c r="M78" s="418"/>
      <c r="N78" s="418"/>
      <c r="O78" s="840" t="n">
        <f aca="false">TableDE5a!O78+TableDE5c!O78</f>
        <v>0</v>
      </c>
      <c r="Q78" s="25"/>
      <c r="R78" s="195"/>
      <c r="S78" s="833"/>
      <c r="T78" s="830"/>
      <c r="U78" s="29"/>
      <c r="V78" s="831"/>
      <c r="W78" s="816"/>
      <c r="X78" s="817" t="n">
        <f aca="false">1+$C78</f>
        <v>1.09088909368085</v>
      </c>
      <c r="Y78" s="818" t="n">
        <f aca="false">1+E78</f>
        <v>1.07207486603014</v>
      </c>
      <c r="Z78" s="818" t="n">
        <f aca="false">1+G78</f>
        <v>1.04056244451247</v>
      </c>
      <c r="AA78" s="818" t="n">
        <f aca="false">1+H77</f>
        <v>1</v>
      </c>
      <c r="AB78" s="818" t="n">
        <f aca="false">1+I78</f>
        <v>1.03028402733911</v>
      </c>
      <c r="AC78" s="818"/>
      <c r="AD78" s="818"/>
      <c r="AE78" s="818"/>
      <c r="AF78" s="25"/>
    </row>
    <row r="79" customFormat="false" ht="12" hidden="false" customHeight="false" outlineLevel="0" collapsed="false">
      <c r="A79" s="436" t="n">
        <f aca="false">A78+1</f>
        <v>1939</v>
      </c>
      <c r="B79" s="823" t="n">
        <f aca="false">TableDE3b!H79</f>
        <v>336.272792514232</v>
      </c>
      <c r="C79" s="407" t="n">
        <f aca="false">B79/B78-1</f>
        <v>0.0423369219968661</v>
      </c>
      <c r="D79" s="979" t="n">
        <f aca="false">TableDE6a!J79</f>
        <v>3.13896092396286</v>
      </c>
      <c r="E79" s="980" t="n">
        <f aca="false">(D79/D78)*(1+C79)-1</f>
        <v>0.0496646439877222</v>
      </c>
      <c r="F79" s="842" t="n">
        <f aca="false">TableDE12c!B79</f>
        <v>-0.05</v>
      </c>
      <c r="G79" s="406" t="n">
        <f aca="false">F78/D78</f>
        <v>0.0437682588281693</v>
      </c>
      <c r="H79" s="406" t="n">
        <f aca="false">O79/D79</f>
        <v>0</v>
      </c>
      <c r="I79" s="437" t="n">
        <f aca="false">(1+E79)/((1+G79)*(1+H78))-1</f>
        <v>0.00564913246755805</v>
      </c>
      <c r="J79" s="843"/>
      <c r="K79" s="437"/>
      <c r="L79" s="842" t="n">
        <f aca="false">F79</f>
        <v>-0.05</v>
      </c>
      <c r="M79" s="437"/>
      <c r="N79" s="437"/>
      <c r="O79" s="858" t="n">
        <f aca="false">TableDE5a!O79+TableDE5c!O79</f>
        <v>0</v>
      </c>
      <c r="Q79" s="25"/>
      <c r="R79" s="195"/>
      <c r="S79" s="833"/>
      <c r="T79" s="830"/>
      <c r="U79" s="29"/>
      <c r="V79" s="831"/>
      <c r="W79" s="816"/>
      <c r="X79" s="817" t="n">
        <f aca="false">1+$C79</f>
        <v>1.04233692199687</v>
      </c>
      <c r="Y79" s="818" t="n">
        <f aca="false">1+E79</f>
        <v>1.04966464398772</v>
      </c>
      <c r="Z79" s="818" t="n">
        <f aca="false">1+G79</f>
        <v>1.04376825882817</v>
      </c>
      <c r="AA79" s="818" t="n">
        <f aca="false">1+H78</f>
        <v>1</v>
      </c>
      <c r="AB79" s="818" t="n">
        <f aca="false">1+I79</f>
        <v>1.00564913246756</v>
      </c>
      <c r="AC79" s="818"/>
      <c r="AD79" s="818"/>
      <c r="AE79" s="818"/>
      <c r="AF79" s="25"/>
    </row>
    <row r="80" customFormat="false" ht="12" hidden="false" customHeight="false" outlineLevel="0" collapsed="false">
      <c r="A80" s="416" t="n">
        <f aca="false">A79+1</f>
        <v>1940</v>
      </c>
      <c r="B80" s="819" t="n">
        <f aca="false">TableDE3b!H80</f>
        <v>348.409152047813</v>
      </c>
      <c r="C80" s="382" t="n">
        <f aca="false">B80/B79-1</f>
        <v>0.0360908161580349</v>
      </c>
      <c r="D80" s="974" t="n">
        <f aca="false">TableDE6a!J80</f>
        <v>3.16884659682359</v>
      </c>
      <c r="E80" s="977" t="n">
        <f aca="false">(D80/D79)*(1+C80)-1</f>
        <v>0.0459553133390378</v>
      </c>
      <c r="F80" s="514" t="n">
        <f aca="false">TableDE12c!B80</f>
        <v>-0.05</v>
      </c>
      <c r="G80" s="387" t="n">
        <f aca="false">F79/D79</f>
        <v>-0.0159288379853026</v>
      </c>
      <c r="H80" s="387" t="n">
        <f aca="false">O80/D80</f>
        <v>-0.0280285191139242</v>
      </c>
      <c r="I80" s="418" t="n">
        <f aca="false">(1+E80)/((1+G80)*(1+H79))-1</f>
        <v>0.0628858498379776</v>
      </c>
      <c r="J80" s="839"/>
      <c r="K80" s="418"/>
      <c r="L80" s="514" t="n">
        <f aca="false">F80</f>
        <v>-0.05</v>
      </c>
      <c r="M80" s="418"/>
      <c r="N80" s="418"/>
      <c r="O80" s="840" t="n">
        <f aca="false">TableDE5a!O80+TableDE5c!O80</f>
        <v>-0.0888180774081637</v>
      </c>
      <c r="Q80" s="25"/>
      <c r="R80" s="195"/>
      <c r="S80" s="833"/>
      <c r="T80" s="830"/>
      <c r="U80" s="29"/>
      <c r="V80" s="831"/>
      <c r="W80" s="816"/>
      <c r="X80" s="817" t="n">
        <f aca="false">1+$C80</f>
        <v>1.03609081615803</v>
      </c>
      <c r="Y80" s="818" t="n">
        <f aca="false">1+E80</f>
        <v>1.04595531333904</v>
      </c>
      <c r="Z80" s="818" t="n">
        <f aca="false">1+G80</f>
        <v>0.984071162014698</v>
      </c>
      <c r="AA80" s="818" t="n">
        <f aca="false">1+H79</f>
        <v>1</v>
      </c>
      <c r="AB80" s="818" t="n">
        <f aca="false">1+I80</f>
        <v>1.06288584983798</v>
      </c>
      <c r="AC80" s="818"/>
      <c r="AD80" s="818"/>
      <c r="AE80" s="818"/>
      <c r="AF80" s="25"/>
    </row>
    <row r="81" customFormat="false" ht="12" hidden="false" customHeight="false" outlineLevel="0" collapsed="false">
      <c r="A81" s="416" t="n">
        <f aca="false">A80+1</f>
        <v>1941</v>
      </c>
      <c r="B81" s="819" t="n">
        <f aca="false">TableDE3b!H81</f>
        <v>398.029860957642</v>
      </c>
      <c r="C81" s="382" t="n">
        <f aca="false">B81/B80-1</f>
        <v>0.142420796406116</v>
      </c>
      <c r="D81" s="974" t="n">
        <f aca="false">TableDE6a!J81</f>
        <v>2.68880069979857</v>
      </c>
      <c r="E81" s="977" t="n">
        <f aca="false">(D81/D80)*(1+C81)-1</f>
        <v>-0.0306435660469415</v>
      </c>
      <c r="F81" s="514" t="n">
        <f aca="false">TableDE12c!B81</f>
        <v>-0.05</v>
      </c>
      <c r="G81" s="387" t="n">
        <f aca="false">F80/D80</f>
        <v>-0.0157786117037408</v>
      </c>
      <c r="H81" s="387" t="n">
        <f aca="false">O81/D81</f>
        <v>-0.0289145644802946</v>
      </c>
      <c r="I81" s="418" t="n">
        <f aca="false">(1+E81)/((1+G81)*(1+H80))-1</f>
        <v>0.0132979789065002</v>
      </c>
      <c r="J81" s="839"/>
      <c r="K81" s="418"/>
      <c r="L81" s="514" t="n">
        <f aca="false">F81</f>
        <v>-0.05</v>
      </c>
      <c r="M81" s="418"/>
      <c r="N81" s="418"/>
      <c r="O81" s="840" t="n">
        <f aca="false">TableDE5a!O81+TableDE5c!O81</f>
        <v>-0.077745501208987</v>
      </c>
      <c r="Q81" s="25"/>
      <c r="R81" s="195"/>
      <c r="S81" s="833"/>
      <c r="T81" s="830"/>
      <c r="U81" s="29"/>
      <c r="V81" s="831"/>
      <c r="W81" s="816"/>
      <c r="X81" s="817" t="n">
        <f aca="false">1+$C81</f>
        <v>1.14242079640612</v>
      </c>
      <c r="Y81" s="818" t="n">
        <f aca="false">1+E81</f>
        <v>0.969356433953059</v>
      </c>
      <c r="Z81" s="818" t="n">
        <f aca="false">1+G81</f>
        <v>0.984221388296259</v>
      </c>
      <c r="AA81" s="818" t="n">
        <f aca="false">1+H80</f>
        <v>0.971971480886076</v>
      </c>
      <c r="AB81" s="818" t="n">
        <f aca="false">1+I81</f>
        <v>1.0132979789065</v>
      </c>
      <c r="AC81" s="818"/>
      <c r="AD81" s="818"/>
      <c r="AE81" s="818"/>
      <c r="AF81" s="25"/>
    </row>
    <row r="82" customFormat="false" ht="12" hidden="false" customHeight="false" outlineLevel="0" collapsed="false">
      <c r="A82" s="416" t="n">
        <f aca="false">A81+1</f>
        <v>1942</v>
      </c>
      <c r="B82" s="819" t="n">
        <f aca="false">TableDE3b!H82</f>
        <v>420.521919127209</v>
      </c>
      <c r="C82" s="382" t="n">
        <f aca="false">B82/B81-1</f>
        <v>0.0565084692777873</v>
      </c>
      <c r="D82" s="974" t="n">
        <f aca="false">TableDE6a!J82</f>
        <v>2.48138821819849</v>
      </c>
      <c r="E82" s="977" t="n">
        <f aca="false">(D82/D81)*(1+C82)-1</f>
        <v>-0.0249899636335181</v>
      </c>
      <c r="F82" s="514" t="n">
        <f aca="false">TableDE12c!B82</f>
        <v>-0.05</v>
      </c>
      <c r="G82" s="387" t="n">
        <f aca="false">F81/D81</f>
        <v>-0.018595651214962</v>
      </c>
      <c r="H82" s="387" t="n">
        <f aca="false">O82/D82</f>
        <v>-0.0296556583028099</v>
      </c>
      <c r="I82" s="418" t="n">
        <f aca="false">(1+E82)/((1+G82)*(1+H81))-1</f>
        <v>0.023066037034658</v>
      </c>
      <c r="J82" s="839"/>
      <c r="K82" s="418"/>
      <c r="L82" s="514" t="n">
        <f aca="false">F82</f>
        <v>-0.05</v>
      </c>
      <c r="M82" s="418"/>
      <c r="N82" s="418"/>
      <c r="O82" s="840" t="n">
        <f aca="false">TableDE5a!O82+TableDE5c!O82</f>
        <v>-0.0735872011155127</v>
      </c>
      <c r="Q82" s="25"/>
      <c r="R82" s="195"/>
      <c r="S82" s="833"/>
      <c r="T82" s="830"/>
      <c r="U82" s="29"/>
      <c r="V82" s="831"/>
      <c r="W82" s="816"/>
      <c r="X82" s="817" t="n">
        <f aca="false">1+$C82</f>
        <v>1.05650846927779</v>
      </c>
      <c r="Y82" s="818" t="n">
        <f aca="false">1+E82</f>
        <v>0.975010036366482</v>
      </c>
      <c r="Z82" s="818" t="n">
        <f aca="false">1+G82</f>
        <v>0.981404348785038</v>
      </c>
      <c r="AA82" s="818" t="n">
        <f aca="false">1+H81</f>
        <v>0.971085435519705</v>
      </c>
      <c r="AB82" s="818" t="n">
        <f aca="false">1+I82</f>
        <v>1.02306603703466</v>
      </c>
      <c r="AC82" s="818"/>
      <c r="AD82" s="818"/>
      <c r="AE82" s="818"/>
      <c r="AF82" s="25"/>
    </row>
    <row r="83" customFormat="false" ht="12" hidden="false" customHeight="false" outlineLevel="0" collapsed="false">
      <c r="A83" s="416" t="n">
        <f aca="false">A82+1</f>
        <v>1943</v>
      </c>
      <c r="B83" s="819" t="n">
        <f aca="false">TableDE3b!H83</f>
        <v>447.378792195601</v>
      </c>
      <c r="C83" s="382" t="n">
        <f aca="false">B83/B82-1</f>
        <v>0.0638655723918833</v>
      </c>
      <c r="D83" s="974" t="n">
        <f aca="false">TableDE6a!J83</f>
        <v>2.32536922831382</v>
      </c>
      <c r="E83" s="977" t="n">
        <f aca="false">(D83/D82)*(1+C83)-1</f>
        <v>-0.0030257067559486</v>
      </c>
      <c r="F83" s="514" t="n">
        <f aca="false">TableDE12c!B83</f>
        <v>-0.05</v>
      </c>
      <c r="G83" s="387" t="n">
        <f aca="false">F82/D82</f>
        <v>-0.0201500110435361</v>
      </c>
      <c r="H83" s="387" t="n">
        <f aca="false">O83/D83</f>
        <v>-0.0297456599470719</v>
      </c>
      <c r="I83" s="418" t="n">
        <f aca="false">(1+E83)/((1+G83)*(1+H82))-1</f>
        <v>0.0485725647353359</v>
      </c>
      <c r="J83" s="839"/>
      <c r="K83" s="418"/>
      <c r="L83" s="514" t="n">
        <f aca="false">F83</f>
        <v>-0.05</v>
      </c>
      <c r="M83" s="418"/>
      <c r="N83" s="418"/>
      <c r="O83" s="840" t="n">
        <f aca="false">TableDE5a!O83+TableDE5c!O83</f>
        <v>-0.069169642316808</v>
      </c>
      <c r="Q83" s="25"/>
      <c r="R83" s="195"/>
      <c r="S83" s="833"/>
      <c r="T83" s="830"/>
      <c r="U83" s="29"/>
      <c r="V83" s="831"/>
      <c r="W83" s="816"/>
      <c r="X83" s="817" t="n">
        <f aca="false">1+$C83</f>
        <v>1.06386557239188</v>
      </c>
      <c r="Y83" s="818" t="n">
        <f aca="false">1+E83</f>
        <v>0.996974293244051</v>
      </c>
      <c r="Z83" s="818" t="n">
        <f aca="false">1+G83</f>
        <v>0.979849988956464</v>
      </c>
      <c r="AA83" s="818" t="n">
        <f aca="false">1+H82</f>
        <v>0.97034434169719</v>
      </c>
      <c r="AB83" s="818" t="n">
        <f aca="false">1+I83</f>
        <v>1.04857256473534</v>
      </c>
      <c r="AC83" s="818"/>
      <c r="AD83" s="818"/>
      <c r="AE83" s="818"/>
      <c r="AF83" s="25"/>
    </row>
    <row r="84" customFormat="false" ht="12" hidden="false" customHeight="false" outlineLevel="0" collapsed="false">
      <c r="A84" s="416" t="n">
        <f aca="false">A83+1</f>
        <v>1944</v>
      </c>
      <c r="B84" s="819" t="n">
        <f aca="false">TableDE3b!H84</f>
        <v>409.401955589016</v>
      </c>
      <c r="C84" s="382" t="n">
        <f aca="false">B84/B83-1</f>
        <v>-0.0848874315660039</v>
      </c>
      <c r="D84" s="974" t="n">
        <f aca="false">TableDE6a!J84</f>
        <v>2.1474743492502</v>
      </c>
      <c r="E84" s="977" t="n">
        <f aca="false">(D84/D83)*(1+C84)-1</f>
        <v>-0.154895169566912</v>
      </c>
      <c r="F84" s="514" t="n">
        <f aca="false">TableDE12c!B84</f>
        <v>-0.05</v>
      </c>
      <c r="G84" s="387" t="n">
        <f aca="false">F83/D83</f>
        <v>-0.0215019616632048</v>
      </c>
      <c r="H84" s="387" t="n">
        <f aca="false">O84/D84</f>
        <v>-0.272053183720545</v>
      </c>
      <c r="I84" s="418" t="n">
        <f aca="false">(1+E84)/((1+G84)*(1+H83))-1</f>
        <v>-0.109846239977122</v>
      </c>
      <c r="J84" s="839"/>
      <c r="K84" s="418"/>
      <c r="L84" s="514" t="n">
        <f aca="false">F84</f>
        <v>-0.05</v>
      </c>
      <c r="M84" s="891"/>
      <c r="N84" s="891"/>
      <c r="O84" s="840" t="n">
        <f aca="false">TableDE5a!O84+TableDE5c!O84</f>
        <v>-0.584227233671722</v>
      </c>
      <c r="Q84" s="25"/>
      <c r="R84" s="195"/>
      <c r="S84" s="833"/>
      <c r="T84" s="830"/>
      <c r="U84" s="29"/>
      <c r="V84" s="831"/>
      <c r="W84" s="816"/>
      <c r="X84" s="817" t="n">
        <f aca="false">1+$C84</f>
        <v>0.915112568433996</v>
      </c>
      <c r="Y84" s="818" t="n">
        <f aca="false">1+E84</f>
        <v>0.845104830433088</v>
      </c>
      <c r="Z84" s="818" t="n">
        <f aca="false">1+G84</f>
        <v>0.978498038336795</v>
      </c>
      <c r="AA84" s="818" t="n">
        <f aca="false">1+H83</f>
        <v>0.970254340052928</v>
      </c>
      <c r="AB84" s="818" t="n">
        <f aca="false">1+I84</f>
        <v>0.890153760022878</v>
      </c>
      <c r="AC84" s="818"/>
      <c r="AD84" s="818"/>
      <c r="AE84" s="818"/>
      <c r="AF84" s="25"/>
    </row>
    <row r="85" customFormat="false" ht="12" hidden="false" customHeight="false" outlineLevel="0" collapsed="false">
      <c r="A85" s="416" t="n">
        <f aca="false">A84+1</f>
        <v>1945</v>
      </c>
      <c r="B85" s="819" t="n">
        <f aca="false">TableDE3b!H85</f>
        <v>183.999200459899</v>
      </c>
      <c r="C85" s="382" t="n">
        <f aca="false">B85/B84-1</f>
        <v>-0.5505658975293</v>
      </c>
      <c r="D85" s="974" t="n">
        <f aca="false">TableDE6a!J85</f>
        <v>1.9538512992238</v>
      </c>
      <c r="E85" s="977" t="n">
        <f aca="false">(D85/D84)*(1+C85)-1</f>
        <v>-0.591088291539099</v>
      </c>
      <c r="F85" s="514" t="n">
        <f aca="false">TableDE12c!B85</f>
        <v>-0.05</v>
      </c>
      <c r="G85" s="387" t="n">
        <f aca="false">F84/D84</f>
        <v>-0.0232831651830709</v>
      </c>
      <c r="H85" s="387" t="n">
        <f aca="false">O85/D85</f>
        <v>0</v>
      </c>
      <c r="I85" s="418" t="n">
        <f aca="false">(1+E85)/((1+G85)*(1+H84))-1</f>
        <v>-0.424876356835236</v>
      </c>
      <c r="J85" s="839"/>
      <c r="K85" s="418"/>
      <c r="L85" s="514" t="n">
        <f aca="false">F85</f>
        <v>-0.05</v>
      </c>
      <c r="M85" s="418"/>
      <c r="N85" s="418"/>
      <c r="O85" s="840" t="n">
        <f aca="false">TableDE5a!O85+TableDE5c!O85</f>
        <v>0</v>
      </c>
      <c r="Q85" s="25"/>
      <c r="R85" s="195"/>
      <c r="S85" s="833"/>
      <c r="T85" s="830"/>
      <c r="U85" s="29"/>
      <c r="V85" s="831"/>
      <c r="W85" s="816"/>
      <c r="X85" s="817" t="n">
        <f aca="false">1+$C85</f>
        <v>0.4494341024707</v>
      </c>
      <c r="Y85" s="818" t="n">
        <f aca="false">1+E85</f>
        <v>0.408911708460901</v>
      </c>
      <c r="Z85" s="818" t="n">
        <f aca="false">1+G85</f>
        <v>0.976716834816929</v>
      </c>
      <c r="AA85" s="818" t="n">
        <f aca="false">1+H84</f>
        <v>0.727946816279455</v>
      </c>
      <c r="AB85" s="818" t="n">
        <f aca="false">1+I85</f>
        <v>0.575123643164764</v>
      </c>
      <c r="AC85" s="818"/>
      <c r="AD85" s="818"/>
      <c r="AE85" s="818"/>
      <c r="AF85" s="25"/>
    </row>
    <row r="86" customFormat="false" ht="12" hidden="false" customHeight="false" outlineLevel="0" collapsed="false">
      <c r="A86" s="416" t="n">
        <f aca="false">A85+1</f>
        <v>1946</v>
      </c>
      <c r="B86" s="819" t="n">
        <f aca="false">TableDE3b!H86</f>
        <v>159.024293873386</v>
      </c>
      <c r="C86" s="382" t="n">
        <f aca="false">B86/B85-1</f>
        <v>-0.135733777777778</v>
      </c>
      <c r="D86" s="974" t="n">
        <f aca="false">TableDE6a!J86</f>
        <v>2.21854612035569</v>
      </c>
      <c r="E86" s="977" t="n">
        <f aca="false">(D86/D85)*(1+C86)-1</f>
        <v>-0.0186487195687285</v>
      </c>
      <c r="F86" s="514" t="n">
        <f aca="false">TableDE12c!B86</f>
        <v>0.111553767451315</v>
      </c>
      <c r="G86" s="387" t="n">
        <f aca="false">F85/D85</f>
        <v>-0.0255904837895613</v>
      </c>
      <c r="H86" s="387" t="n">
        <f aca="false">O86/D86</f>
        <v>0</v>
      </c>
      <c r="I86" s="418" t="n">
        <f aca="false">(1+E86)/((1+G86)*(1+H85))-1</f>
        <v>0.00712407268745685</v>
      </c>
      <c r="J86" s="839"/>
      <c r="K86" s="418"/>
      <c r="L86" s="514" t="n">
        <f aca="false">F86</f>
        <v>0.111553767451315</v>
      </c>
      <c r="M86" s="418"/>
      <c r="N86" s="418"/>
      <c r="O86" s="840" t="n">
        <f aca="false">TableDE5a!O86+TableDE5c!O86</f>
        <v>0</v>
      </c>
      <c r="Q86" s="25"/>
      <c r="R86" s="195"/>
      <c r="S86" s="860"/>
      <c r="T86" s="830"/>
      <c r="U86" s="29"/>
      <c r="V86" s="831"/>
      <c r="W86" s="816"/>
      <c r="X86" s="817" t="n">
        <f aca="false">1+$C86</f>
        <v>0.864266222222222</v>
      </c>
      <c r="Y86" s="818" t="n">
        <f aca="false">1+E86</f>
        <v>0.981351280431272</v>
      </c>
      <c r="Z86" s="818" t="n">
        <f aca="false">1+G86</f>
        <v>0.974409516210439</v>
      </c>
      <c r="AA86" s="818" t="n">
        <f aca="false">1+H85</f>
        <v>1</v>
      </c>
      <c r="AB86" s="818" t="n">
        <f aca="false">1+I86</f>
        <v>1.00712407268746</v>
      </c>
      <c r="AC86" s="818"/>
      <c r="AD86" s="818"/>
      <c r="AE86" s="818"/>
      <c r="AF86" s="25"/>
    </row>
    <row r="87" customFormat="false" ht="12" hidden="false" customHeight="false" outlineLevel="0" collapsed="false">
      <c r="A87" s="416" t="n">
        <f aca="false">A86+1</f>
        <v>1947</v>
      </c>
      <c r="B87" s="819" t="n">
        <f aca="false">TableDE3b!H87</f>
        <v>188.295639924172</v>
      </c>
      <c r="C87" s="382" t="n">
        <f aca="false">B87/B86-1</f>
        <v>0.184068391928162</v>
      </c>
      <c r="D87" s="974" t="n">
        <f aca="false">TableDE6a!J87</f>
        <v>2.25276831612752</v>
      </c>
      <c r="E87" s="977" t="n">
        <f aca="false">(D87/D86)*(1+C87)-1</f>
        <v>0.202333245628526</v>
      </c>
      <c r="F87" s="514" t="n">
        <f aca="false">TableDE12c!B87</f>
        <v>0.147254646587545</v>
      </c>
      <c r="G87" s="387" t="n">
        <f aca="false">F86/D86</f>
        <v>0.0502823747623648</v>
      </c>
      <c r="H87" s="387" t="n">
        <f aca="false">O87/D87</f>
        <v>0</v>
      </c>
      <c r="I87" s="418" t="n">
        <f aca="false">(1+E87)/((1+G87)*(1+H86))-1</f>
        <v>0.144771420067449</v>
      </c>
      <c r="J87" s="839"/>
      <c r="K87" s="418"/>
      <c r="L87" s="514" t="n">
        <f aca="false">F87</f>
        <v>0.147254646587545</v>
      </c>
      <c r="M87" s="418"/>
      <c r="N87" s="418"/>
      <c r="O87" s="840" t="n">
        <f aca="false">TableDE5a!O87+TableDE5c!O87</f>
        <v>0</v>
      </c>
      <c r="Q87" s="25"/>
      <c r="R87" s="195"/>
      <c r="S87" s="833"/>
      <c r="T87" s="830"/>
      <c r="U87" s="29"/>
      <c r="V87" s="831"/>
      <c r="W87" s="816"/>
      <c r="X87" s="817" t="n">
        <f aca="false">1+$C87</f>
        <v>1.18406839192816</v>
      </c>
      <c r="Y87" s="818" t="n">
        <f aca="false">1+E87</f>
        <v>1.20233324562853</v>
      </c>
      <c r="Z87" s="818" t="n">
        <f aca="false">1+G87</f>
        <v>1.05028237476236</v>
      </c>
      <c r="AA87" s="818" t="n">
        <f aca="false">1+H86</f>
        <v>1</v>
      </c>
      <c r="AB87" s="818" t="n">
        <f aca="false">1+I87</f>
        <v>1.14477142006745</v>
      </c>
      <c r="AC87" s="818"/>
      <c r="AD87" s="818"/>
      <c r="AE87" s="818"/>
      <c r="AF87" s="25"/>
    </row>
    <row r="88" customFormat="false" ht="12" hidden="false" customHeight="false" outlineLevel="0" collapsed="false">
      <c r="A88" s="416" t="n">
        <f aca="false">A87+1</f>
        <v>1948</v>
      </c>
      <c r="B88" s="819" t="n">
        <f aca="false">TableDE3b!H88</f>
        <v>223.700531754096</v>
      </c>
      <c r="C88" s="382" t="n">
        <f aca="false">B88/B87-1</f>
        <v>0.188028208428947</v>
      </c>
      <c r="D88" s="974" t="n">
        <f aca="false">TableDE6a!J88</f>
        <v>2.35581481811279</v>
      </c>
      <c r="E88" s="977" t="n">
        <f aca="false">(D88/D87)*(1+C88)-1</f>
        <v>0.242371191798347</v>
      </c>
      <c r="F88" s="514" t="n">
        <f aca="false">TableDE12c!B88</f>
        <v>0.147254646587545</v>
      </c>
      <c r="G88" s="387" t="n">
        <f aca="false">F87/D87</f>
        <v>0.0653660855993722</v>
      </c>
      <c r="H88" s="387" t="n">
        <f aca="false">O88/D88</f>
        <v>0</v>
      </c>
      <c r="I88" s="418" t="n">
        <f aca="false">(1+E88)/((1+G88)*(1+H87))-1</f>
        <v>0.166144866625252</v>
      </c>
      <c r="J88" s="839"/>
      <c r="K88" s="418"/>
      <c r="L88" s="514" t="n">
        <f aca="false">F88</f>
        <v>0.147254646587545</v>
      </c>
      <c r="M88" s="418"/>
      <c r="N88" s="418"/>
      <c r="O88" s="840" t="n">
        <f aca="false">TableDE5a!O88+TableDE5c!O88</f>
        <v>0</v>
      </c>
      <c r="Q88" s="25"/>
      <c r="R88" s="195"/>
      <c r="S88" s="832"/>
      <c r="T88" s="830"/>
      <c r="U88" s="29"/>
      <c r="V88" s="831"/>
      <c r="W88" s="816"/>
      <c r="X88" s="817" t="n">
        <f aca="false">1+$C88</f>
        <v>1.18802820842895</v>
      </c>
      <c r="Y88" s="818" t="n">
        <f aca="false">1+E88</f>
        <v>1.24237119179835</v>
      </c>
      <c r="Z88" s="818" t="n">
        <f aca="false">1+G88</f>
        <v>1.06536608559937</v>
      </c>
      <c r="AA88" s="818" t="n">
        <f aca="false">1+H87</f>
        <v>1</v>
      </c>
      <c r="AB88" s="818" t="n">
        <f aca="false">1+I88</f>
        <v>1.16614486662525</v>
      </c>
      <c r="AC88" s="818"/>
      <c r="AD88" s="818"/>
      <c r="AE88" s="818"/>
      <c r="AF88" s="25"/>
    </row>
    <row r="89" s="983" customFormat="true" ht="12" hidden="false" customHeight="false" outlineLevel="0" collapsed="false">
      <c r="A89" s="436" t="n">
        <v>1949</v>
      </c>
      <c r="B89" s="823" t="n">
        <f aca="false">TableDE3b!H89</f>
        <v>268.758908006169</v>
      </c>
      <c r="C89" s="407" t="n">
        <f aca="false">B89/B88-1</f>
        <v>0.201422749864556</v>
      </c>
      <c r="D89" s="979" t="n">
        <f aca="false">TableDE6a!J89</f>
        <v>2.09441630337706</v>
      </c>
      <c r="E89" s="980" t="n">
        <f aca="false">(D89/D88)*(1+C89)-1</f>
        <v>0.0681142572064204</v>
      </c>
      <c r="F89" s="842" t="n">
        <f aca="false">TableDE12c!B89</f>
        <v>0.147254646587545</v>
      </c>
      <c r="G89" s="406" t="n">
        <f aca="false">F88/D88</f>
        <v>0.0625068852846035</v>
      </c>
      <c r="H89" s="406" t="n">
        <f aca="false">O89/D89</f>
        <v>0</v>
      </c>
      <c r="I89" s="437" t="n">
        <f aca="false">(1+E89)/((1+G89)*(1+H88))-1</f>
        <v>0.00527749231508734</v>
      </c>
      <c r="J89" s="843"/>
      <c r="K89" s="437"/>
      <c r="L89" s="842" t="n">
        <f aca="false">F89</f>
        <v>0.147254646587545</v>
      </c>
      <c r="M89" s="437"/>
      <c r="N89" s="437"/>
      <c r="O89" s="844" t="n">
        <f aca="false">TableDE5a!O89+TableDE5c!O89</f>
        <v>0</v>
      </c>
      <c r="Q89" s="25"/>
      <c r="R89" s="195"/>
      <c r="S89" s="832"/>
      <c r="T89" s="984"/>
      <c r="U89" s="985"/>
      <c r="V89" s="986"/>
      <c r="W89" s="987"/>
      <c r="X89" s="817" t="n">
        <f aca="false">1+$C89</f>
        <v>1.20142274986456</v>
      </c>
      <c r="Y89" s="817" t="n">
        <f aca="false">1+E89</f>
        <v>1.06811425720642</v>
      </c>
      <c r="Z89" s="817" t="n">
        <f aca="false">1+G89</f>
        <v>1.0625068852846</v>
      </c>
      <c r="AA89" s="818" t="n">
        <f aca="false">1+H88</f>
        <v>1</v>
      </c>
      <c r="AB89" s="817" t="n">
        <f aca="false">1+I89</f>
        <v>1.00527749231509</v>
      </c>
      <c r="AC89" s="817"/>
      <c r="AD89" s="817"/>
      <c r="AE89" s="817"/>
      <c r="AF89" s="25"/>
    </row>
    <row r="90" s="983" customFormat="true" ht="12" hidden="false" customHeight="false" outlineLevel="0" collapsed="false">
      <c r="A90" s="416" t="n">
        <v>1950</v>
      </c>
      <c r="B90" s="819" t="n">
        <f aca="false">TableDE3b!H90</f>
        <v>302.234484942464</v>
      </c>
      <c r="C90" s="382" t="n">
        <f aca="false">B90/B89-1</f>
        <v>0.124556157727528</v>
      </c>
      <c r="D90" s="974" t="n">
        <f aca="false">TableDE6a!J90</f>
        <v>2.23172540923371</v>
      </c>
      <c r="E90" s="977" t="n">
        <f aca="false">(D90/D89)*(1+C90)-1</f>
        <v>0.198281615390451</v>
      </c>
      <c r="F90" s="514" t="n">
        <f aca="false">TableDE12c!B90</f>
        <v>0.147254646587545</v>
      </c>
      <c r="G90" s="387" t="n">
        <f aca="false">F89/D89</f>
        <v>0.0703082029824303</v>
      </c>
      <c r="H90" s="387" t="n">
        <f aca="false">O90/D90</f>
        <v>0</v>
      </c>
      <c r="I90" s="418" t="n">
        <f aca="false">(1+E90)/((1+G90)*(1+H89))-1</f>
        <v>0.119566879943011</v>
      </c>
      <c r="J90" s="839"/>
      <c r="K90" s="418"/>
      <c r="L90" s="514" t="n">
        <f aca="false">F90</f>
        <v>0.147254646587545</v>
      </c>
      <c r="M90" s="418"/>
      <c r="N90" s="418"/>
      <c r="O90" s="837" t="n">
        <f aca="false">TableDE5a!O90+TableDE5c!O90</f>
        <v>0</v>
      </c>
      <c r="Q90" s="25"/>
      <c r="R90" s="195"/>
      <c r="S90" s="832"/>
      <c r="T90" s="984"/>
      <c r="U90" s="985"/>
      <c r="V90" s="986"/>
      <c r="W90" s="987"/>
      <c r="X90" s="817" t="n">
        <f aca="false">1+$C90</f>
        <v>1.12455615772753</v>
      </c>
      <c r="Y90" s="817" t="n">
        <f aca="false">1+E90</f>
        <v>1.19828161539045</v>
      </c>
      <c r="Z90" s="817" t="n">
        <f aca="false">1+G90</f>
        <v>1.07030820298243</v>
      </c>
      <c r="AA90" s="818" t="n">
        <f aca="false">1+H89</f>
        <v>1</v>
      </c>
      <c r="AB90" s="817" t="n">
        <f aca="false">1+I90</f>
        <v>1.11956687994301</v>
      </c>
      <c r="AC90" s="817"/>
      <c r="AD90" s="817"/>
      <c r="AE90" s="817"/>
      <c r="AF90" s="25"/>
    </row>
    <row r="91" customFormat="false" ht="12" hidden="false" customHeight="false" outlineLevel="0" collapsed="false">
      <c r="A91" s="416" t="n">
        <f aca="false">A90+1</f>
        <v>1951</v>
      </c>
      <c r="B91" s="819" t="n">
        <f aca="false">TableDE3b!H91</f>
        <v>331.73512901584</v>
      </c>
      <c r="C91" s="382" t="n">
        <f aca="false">B91/B90-1</f>
        <v>0.0976084647620275</v>
      </c>
      <c r="D91" s="386" t="n">
        <f aca="false">TableDE6a!J91</f>
        <v>2.18739456216279</v>
      </c>
      <c r="E91" s="977" t="n">
        <f aca="false">(D91/D90)*(1+C91)-1</f>
        <v>0.0758056422490994</v>
      </c>
      <c r="F91" s="514" t="n">
        <f aca="false">TableDE12c!B91</f>
        <v>0.182382159995876</v>
      </c>
      <c r="G91" s="387" t="n">
        <f aca="false">F90/D90</f>
        <v>0.0659824214835224</v>
      </c>
      <c r="H91" s="387" t="n">
        <f aca="false">O91/D91</f>
        <v>0</v>
      </c>
      <c r="I91" s="418" t="n">
        <f aca="false">(1+E91)/((1+G91)*(1+H90))-1</f>
        <v>0.00921518082062356</v>
      </c>
      <c r="J91" s="839"/>
      <c r="K91" s="418"/>
      <c r="L91" s="514" t="n">
        <f aca="false">F91</f>
        <v>0.182382159995876</v>
      </c>
      <c r="M91" s="418"/>
      <c r="N91" s="418"/>
      <c r="O91" s="840" t="n">
        <f aca="false">TableDE5a!O91+TableDE5c!O91</f>
        <v>0</v>
      </c>
      <c r="Q91" s="25"/>
      <c r="R91" s="195"/>
      <c r="S91" s="832"/>
      <c r="T91" s="830"/>
      <c r="U91" s="29"/>
      <c r="V91" s="831"/>
      <c r="W91" s="816"/>
      <c r="X91" s="817" t="n">
        <f aca="false">1+$C91</f>
        <v>1.09760846476203</v>
      </c>
      <c r="Y91" s="818" t="n">
        <f aca="false">1+E91</f>
        <v>1.0758056422491</v>
      </c>
      <c r="Z91" s="818" t="n">
        <f aca="false">1+G91</f>
        <v>1.06598242148352</v>
      </c>
      <c r="AA91" s="818" t="n">
        <f aca="false">1+H90</f>
        <v>1</v>
      </c>
      <c r="AB91" s="818" t="n">
        <f aca="false">1+I91</f>
        <v>1.00921518082062</v>
      </c>
      <c r="AC91" s="818"/>
      <c r="AD91" s="818"/>
      <c r="AE91" s="818"/>
      <c r="AF91" s="25"/>
    </row>
    <row r="92" customFormat="false" ht="12" hidden="false" customHeight="false" outlineLevel="0" collapsed="false">
      <c r="A92" s="416" t="n">
        <f aca="false">A91+1</f>
        <v>1952</v>
      </c>
      <c r="B92" s="819" t="n">
        <f aca="false">TableDE3b!H92</f>
        <v>362.191218417078</v>
      </c>
      <c r="C92" s="382" t="n">
        <f aca="false">B92/B91-1</f>
        <v>0.0918084542074045</v>
      </c>
      <c r="D92" s="386" t="n">
        <f aca="false">TableDE6a!J92</f>
        <v>2.19752366254267</v>
      </c>
      <c r="E92" s="977" t="n">
        <f aca="false">(D92/D91)*(1+C92)-1</f>
        <v>0.0968642578651273</v>
      </c>
      <c r="F92" s="514" t="n">
        <f aca="false">TableDE12c!B92</f>
        <v>0.201546948957406</v>
      </c>
      <c r="G92" s="387" t="n">
        <f aca="false">F91/D91</f>
        <v>0.0833787205795857</v>
      </c>
      <c r="H92" s="387" t="n">
        <f aca="false">O92/D92</f>
        <v>0</v>
      </c>
      <c r="I92" s="418" t="n">
        <f aca="false">(1+E92)/((1+G92)*(1+H91))-1</f>
        <v>0.0124476667571309</v>
      </c>
      <c r="J92" s="839"/>
      <c r="K92" s="418"/>
      <c r="L92" s="514" t="n">
        <f aca="false">F92</f>
        <v>0.201546948957406</v>
      </c>
      <c r="M92" s="418"/>
      <c r="N92" s="418"/>
      <c r="O92" s="840" t="n">
        <f aca="false">TableDE5a!O92+TableDE5c!O92</f>
        <v>0</v>
      </c>
      <c r="Q92" s="25"/>
      <c r="R92" s="195"/>
      <c r="S92" s="832"/>
      <c r="T92" s="830"/>
      <c r="U92" s="29"/>
      <c r="V92" s="831"/>
      <c r="W92" s="816"/>
      <c r="X92" s="817" t="n">
        <f aca="false">1+$C92</f>
        <v>1.0918084542074</v>
      </c>
      <c r="Y92" s="818" t="n">
        <f aca="false">1+E92</f>
        <v>1.09686425786513</v>
      </c>
      <c r="Z92" s="818" t="n">
        <f aca="false">1+G92</f>
        <v>1.08337872057959</v>
      </c>
      <c r="AA92" s="818" t="n">
        <f aca="false">1+H91</f>
        <v>1</v>
      </c>
      <c r="AB92" s="818" t="n">
        <f aca="false">1+I92</f>
        <v>1.01244766675713</v>
      </c>
      <c r="AC92" s="818"/>
      <c r="AD92" s="818"/>
      <c r="AE92" s="818"/>
      <c r="AF92" s="25"/>
    </row>
    <row r="93" customFormat="false" ht="12" hidden="false" customHeight="false" outlineLevel="0" collapsed="false">
      <c r="A93" s="416" t="n">
        <f aca="false">A92+1</f>
        <v>1953</v>
      </c>
      <c r="B93" s="819" t="n">
        <f aca="false">TableDE3b!H93</f>
        <v>395.064376584016</v>
      </c>
      <c r="C93" s="382" t="n">
        <f aca="false">B93/B92-1</f>
        <v>0.0907618862506039</v>
      </c>
      <c r="D93" s="386" t="n">
        <f aca="false">TableDE6a!J93</f>
        <v>2.24972392229729</v>
      </c>
      <c r="E93" s="977" t="n">
        <f aca="false">(D93/D92)*(1+C93)-1</f>
        <v>0.116671984404833</v>
      </c>
      <c r="F93" s="514" t="n">
        <f aca="false">TableDE12c!B93</f>
        <v>0.252390828201594</v>
      </c>
      <c r="G93" s="387" t="n">
        <f aca="false">F92/D92</f>
        <v>0.0917154852040154</v>
      </c>
      <c r="H93" s="387" t="n">
        <f aca="false">O93/D93</f>
        <v>0</v>
      </c>
      <c r="I93" s="418" t="n">
        <f aca="false">(1+E93)/((1+G93)*(1+H92))-1</f>
        <v>0.0228598930207109</v>
      </c>
      <c r="J93" s="839"/>
      <c r="K93" s="418"/>
      <c r="L93" s="514" t="n">
        <f aca="false">F93</f>
        <v>0.252390828201594</v>
      </c>
      <c r="M93" s="418"/>
      <c r="N93" s="418"/>
      <c r="O93" s="840" t="n">
        <f aca="false">TableDE5a!O93+TableDE5c!O93</f>
        <v>0</v>
      </c>
      <c r="Q93" s="25"/>
      <c r="R93" s="195"/>
      <c r="S93" s="832"/>
      <c r="T93" s="830"/>
      <c r="U93" s="29"/>
      <c r="V93" s="831"/>
      <c r="W93" s="816"/>
      <c r="X93" s="817" t="n">
        <f aca="false">1+$C93</f>
        <v>1.0907618862506</v>
      </c>
      <c r="Y93" s="818" t="n">
        <f aca="false">1+E93</f>
        <v>1.11667198440483</v>
      </c>
      <c r="Z93" s="818" t="n">
        <f aca="false">1+G93</f>
        <v>1.09171548520402</v>
      </c>
      <c r="AA93" s="818" t="n">
        <f aca="false">1+H92</f>
        <v>1</v>
      </c>
      <c r="AB93" s="818" t="n">
        <f aca="false">1+I93</f>
        <v>1.02285989302071</v>
      </c>
      <c r="AC93" s="818"/>
      <c r="AD93" s="818"/>
      <c r="AE93" s="818"/>
      <c r="AF93" s="25"/>
    </row>
    <row r="94" customFormat="false" ht="12" hidden="false" customHeight="false" outlineLevel="0" collapsed="false">
      <c r="A94" s="416" t="n">
        <f aca="false">A93+1</f>
        <v>1954</v>
      </c>
      <c r="B94" s="819" t="n">
        <f aca="false">TableDE3b!H94</f>
        <v>424.435791092933</v>
      </c>
      <c r="C94" s="382" t="n">
        <f aca="false">B94/B93-1</f>
        <v>0.0743458946181907</v>
      </c>
      <c r="D94" s="386" t="n">
        <f aca="false">TableDE6a!J94</f>
        <v>2.34507261914863</v>
      </c>
      <c r="E94" s="977" t="n">
        <f aca="false">(D94/D93)*(1+C94)-1</f>
        <v>0.119879250957677</v>
      </c>
      <c r="F94" s="514" t="n">
        <f aca="false">TableDE12c!B94</f>
        <v>0.198872675779271</v>
      </c>
      <c r="G94" s="387" t="n">
        <f aca="false">F93/D93</f>
        <v>0.112187466959887</v>
      </c>
      <c r="H94" s="387" t="n">
        <f aca="false">O94/D94</f>
        <v>0</v>
      </c>
      <c r="I94" s="418" t="n">
        <f aca="false">(1+E94)/((1+G94)*(1+H93))-1</f>
        <v>0.00691590601970704</v>
      </c>
      <c r="J94" s="839"/>
      <c r="K94" s="418"/>
      <c r="L94" s="514" t="n">
        <f aca="false">F94</f>
        <v>0.198872675779271</v>
      </c>
      <c r="M94" s="418"/>
      <c r="N94" s="418"/>
      <c r="O94" s="840" t="n">
        <f aca="false">TableDE5a!O94+TableDE5c!O94</f>
        <v>0</v>
      </c>
      <c r="Q94" s="25"/>
      <c r="R94" s="195"/>
      <c r="S94" s="829"/>
      <c r="T94" s="830"/>
      <c r="U94" s="29"/>
      <c r="V94" s="831"/>
      <c r="W94" s="816"/>
      <c r="X94" s="817" t="n">
        <f aca="false">1+$C94</f>
        <v>1.07434589461819</v>
      </c>
      <c r="Y94" s="818" t="n">
        <f aca="false">1+E94</f>
        <v>1.11987925095768</v>
      </c>
      <c r="Z94" s="818" t="n">
        <f aca="false">1+G94</f>
        <v>1.11218746695989</v>
      </c>
      <c r="AA94" s="818" t="n">
        <f aca="false">1+H93</f>
        <v>1</v>
      </c>
      <c r="AB94" s="818" t="n">
        <f aca="false">1+I94</f>
        <v>1.00691590601971</v>
      </c>
      <c r="AC94" s="818"/>
      <c r="AD94" s="818"/>
      <c r="AE94" s="818"/>
      <c r="AF94" s="25"/>
    </row>
    <row r="95" customFormat="false" ht="12" hidden="false" customHeight="false" outlineLevel="0" collapsed="false">
      <c r="A95" s="416" t="n">
        <f aca="false">A94+1</f>
        <v>1955</v>
      </c>
      <c r="B95" s="819" t="n">
        <f aca="false">TableDE3b!H95</f>
        <v>476.524962193854</v>
      </c>
      <c r="C95" s="382" t="n">
        <f aca="false">B95/B94-1</f>
        <v>0.122725680053491</v>
      </c>
      <c r="D95" s="386" t="n">
        <f aca="false">TableDE6a!J95</f>
        <v>2.27380809222443</v>
      </c>
      <c r="E95" s="977" t="n">
        <f aca="false">(D95/D94)*(1+C95)-1</f>
        <v>0.0886071142567091</v>
      </c>
      <c r="F95" s="514" t="n">
        <f aca="false">TableDE12c!B95</f>
        <v>0.223078429648801</v>
      </c>
      <c r="G95" s="387" t="n">
        <f aca="false">F94/D94</f>
        <v>0.0848044850105628</v>
      </c>
      <c r="H95" s="387" t="n">
        <f aca="false">O95/D95</f>
        <v>0</v>
      </c>
      <c r="I95" s="418" t="n">
        <f aca="false">(1+E95)/((1+G95)*(1+H94))-1</f>
        <v>0.00350535907501293</v>
      </c>
      <c r="J95" s="839"/>
      <c r="K95" s="418"/>
      <c r="L95" s="514" t="n">
        <f aca="false">F95</f>
        <v>0.223078429648801</v>
      </c>
      <c r="M95" s="418"/>
      <c r="N95" s="418"/>
      <c r="O95" s="840" t="n">
        <f aca="false">TableDE5a!O95+TableDE5c!O95</f>
        <v>0</v>
      </c>
      <c r="Q95" s="25"/>
      <c r="R95" s="195"/>
      <c r="S95" s="832"/>
      <c r="T95" s="830"/>
      <c r="U95" s="29"/>
      <c r="V95" s="831"/>
      <c r="W95" s="816"/>
      <c r="X95" s="817" t="n">
        <f aca="false">1+$C95</f>
        <v>1.12272568005349</v>
      </c>
      <c r="Y95" s="818" t="n">
        <f aca="false">1+E95</f>
        <v>1.08860711425671</v>
      </c>
      <c r="Z95" s="818" t="n">
        <f aca="false">1+G95</f>
        <v>1.08480448501056</v>
      </c>
      <c r="AA95" s="818" t="n">
        <f aca="false">1+H94</f>
        <v>1</v>
      </c>
      <c r="AB95" s="818" t="n">
        <f aca="false">1+I95</f>
        <v>1.00350535907501</v>
      </c>
      <c r="AC95" s="818"/>
      <c r="AD95" s="818"/>
      <c r="AE95" s="818"/>
      <c r="AF95" s="25"/>
    </row>
    <row r="96" customFormat="false" ht="12" hidden="false" customHeight="false" outlineLevel="0" collapsed="false">
      <c r="A96" s="416" t="n">
        <f aca="false">A95+1</f>
        <v>1956</v>
      </c>
      <c r="B96" s="819" t="n">
        <f aca="false">TableDE3b!H96</f>
        <v>512.023840377501</v>
      </c>
      <c r="C96" s="382" t="n">
        <f aca="false">B96/B95-1</f>
        <v>0.0744953171397669</v>
      </c>
      <c r="D96" s="386" t="n">
        <f aca="false">TableDE6a!J96</f>
        <v>2.26367247330641</v>
      </c>
      <c r="E96" s="977" t="n">
        <f aca="false">(D96/D95)*(1+C96)-1</f>
        <v>0.069705697865841</v>
      </c>
      <c r="F96" s="514" t="n">
        <f aca="false">TableDE12c!B96</f>
        <v>0.221024312592824</v>
      </c>
      <c r="G96" s="387" t="n">
        <f aca="false">F95/D95</f>
        <v>0.0981078528182064</v>
      </c>
      <c r="H96" s="387" t="n">
        <f aca="false">O96/D96</f>
        <v>0</v>
      </c>
      <c r="I96" s="418" t="n">
        <f aca="false">(1+E96)/((1+G96)*(1+H95))-1</f>
        <v>-0.025864631492684</v>
      </c>
      <c r="J96" s="839"/>
      <c r="K96" s="418"/>
      <c r="L96" s="514" t="n">
        <f aca="false">F96</f>
        <v>0.221024312592824</v>
      </c>
      <c r="M96" s="418"/>
      <c r="N96" s="418"/>
      <c r="O96" s="840" t="n">
        <f aca="false">TableDE5a!O96+TableDE5c!O96</f>
        <v>0</v>
      </c>
      <c r="Q96" s="25"/>
      <c r="R96" s="195"/>
      <c r="S96" s="832"/>
      <c r="T96" s="830"/>
      <c r="U96" s="29"/>
      <c r="V96" s="831"/>
      <c r="W96" s="816"/>
      <c r="X96" s="817" t="n">
        <f aca="false">1+$C96</f>
        <v>1.07449531713977</v>
      </c>
      <c r="Y96" s="818" t="n">
        <f aca="false">1+E96</f>
        <v>1.06970569786584</v>
      </c>
      <c r="Z96" s="818" t="n">
        <f aca="false">1+G96</f>
        <v>1.09810785281821</v>
      </c>
      <c r="AA96" s="818" t="n">
        <f aca="false">1+H95</f>
        <v>1</v>
      </c>
      <c r="AB96" s="818" t="n">
        <f aca="false">1+I96</f>
        <v>0.974135368507316</v>
      </c>
      <c r="AC96" s="818"/>
      <c r="AD96" s="818"/>
      <c r="AE96" s="818"/>
      <c r="AF96" s="25"/>
    </row>
    <row r="97" customFormat="false" ht="12" hidden="false" customHeight="false" outlineLevel="0" collapsed="false">
      <c r="A97" s="416" t="n">
        <f aca="false">A96+1</f>
        <v>1957</v>
      </c>
      <c r="B97" s="819" t="n">
        <f aca="false">TableDE3b!H97</f>
        <v>540.945377576347</v>
      </c>
      <c r="C97" s="382" t="n">
        <f aca="false">B97/B96-1</f>
        <v>0.0564847472288068</v>
      </c>
      <c r="D97" s="386" t="n">
        <f aca="false">TableDE6a!J97</f>
        <v>2.30378989647983</v>
      </c>
      <c r="E97" s="977" t="n">
        <f aca="false">(D97/D96)*(1+C97)-1</f>
        <v>0.0752080590950903</v>
      </c>
      <c r="F97" s="514" t="n">
        <f aca="false">TableDE12c!B97</f>
        <v>0.216856888453796</v>
      </c>
      <c r="G97" s="387" t="n">
        <f aca="false">F96/D96</f>
        <v>0.0976397050364741</v>
      </c>
      <c r="H97" s="387" t="n">
        <f aca="false">O97/D97</f>
        <v>0</v>
      </c>
      <c r="I97" s="418" t="n">
        <f aca="false">(1+E97)/((1+G97)*(1+H96))-1</f>
        <v>-0.0204362559394099</v>
      </c>
      <c r="J97" s="839"/>
      <c r="K97" s="418"/>
      <c r="L97" s="514" t="n">
        <f aca="false">F97</f>
        <v>0.216856888453796</v>
      </c>
      <c r="M97" s="418"/>
      <c r="N97" s="418"/>
      <c r="O97" s="840" t="n">
        <f aca="false">TableDE5a!O97+TableDE5c!O97</f>
        <v>0</v>
      </c>
      <c r="Q97" s="25"/>
      <c r="R97" s="195"/>
      <c r="S97" s="832"/>
      <c r="T97" s="830"/>
      <c r="U97" s="29"/>
      <c r="V97" s="831"/>
      <c r="W97" s="816"/>
      <c r="X97" s="817" t="n">
        <f aca="false">1+$C97</f>
        <v>1.05648474722881</v>
      </c>
      <c r="Y97" s="818" t="n">
        <f aca="false">1+E97</f>
        <v>1.07520805909509</v>
      </c>
      <c r="Z97" s="818" t="n">
        <f aca="false">1+G97</f>
        <v>1.09763970503647</v>
      </c>
      <c r="AA97" s="818" t="n">
        <f aca="false">1+H96</f>
        <v>1</v>
      </c>
      <c r="AB97" s="818" t="n">
        <f aca="false">1+I97</f>
        <v>0.97956374406059</v>
      </c>
      <c r="AC97" s="818"/>
      <c r="AD97" s="818"/>
      <c r="AE97" s="818"/>
      <c r="AF97" s="25"/>
    </row>
    <row r="98" customFormat="false" ht="12" hidden="false" customHeight="false" outlineLevel="0" collapsed="false">
      <c r="A98" s="416" t="n">
        <f aca="false">A97+1</f>
        <v>1958</v>
      </c>
      <c r="B98" s="819" t="n">
        <f aca="false">TableDE3b!H98</f>
        <v>562.107576707673</v>
      </c>
      <c r="C98" s="382" t="n">
        <f aca="false">B98/B97-1</f>
        <v>0.0391207689510922</v>
      </c>
      <c r="D98" s="386" t="n">
        <f aca="false">TableDE6a!J98</f>
        <v>2.41105623633569</v>
      </c>
      <c r="E98" s="977" t="n">
        <f aca="false">(D98/D97)*(1+C98)-1</f>
        <v>0.0875030809509438</v>
      </c>
      <c r="F98" s="514" t="n">
        <f aca="false">TableDE12c!B98</f>
        <v>0.202682722612648</v>
      </c>
      <c r="G98" s="387" t="n">
        <f aca="false">F97/D97</f>
        <v>0.0941304972233586</v>
      </c>
      <c r="H98" s="387" t="n">
        <f aca="false">O98/D98</f>
        <v>0</v>
      </c>
      <c r="I98" s="418" t="n">
        <f aca="false">(1+E98)/((1+G98)*(1+H97))-1</f>
        <v>-0.00605724480693437</v>
      </c>
      <c r="J98" s="839"/>
      <c r="K98" s="418"/>
      <c r="L98" s="514" t="n">
        <f aca="false">F98</f>
        <v>0.202682722612648</v>
      </c>
      <c r="M98" s="418"/>
      <c r="N98" s="418"/>
      <c r="O98" s="840" t="n">
        <f aca="false">TableDE5a!O98+TableDE5c!O98</f>
        <v>0</v>
      </c>
      <c r="Q98" s="25"/>
      <c r="R98" s="195"/>
      <c r="S98" s="832"/>
      <c r="T98" s="830"/>
      <c r="U98" s="29"/>
      <c r="V98" s="831"/>
      <c r="W98" s="816"/>
      <c r="X98" s="817" t="n">
        <f aca="false">1+$C98</f>
        <v>1.03912076895109</v>
      </c>
      <c r="Y98" s="818" t="n">
        <f aca="false">1+E98</f>
        <v>1.08750308095094</v>
      </c>
      <c r="Z98" s="818" t="n">
        <f aca="false">1+G98</f>
        <v>1.09413049722336</v>
      </c>
      <c r="AA98" s="818" t="n">
        <f aca="false">1+H97</f>
        <v>1</v>
      </c>
      <c r="AB98" s="818" t="n">
        <f aca="false">1+I98</f>
        <v>0.993942755193066</v>
      </c>
      <c r="AC98" s="818"/>
      <c r="AD98" s="818"/>
      <c r="AE98" s="818"/>
      <c r="AF98" s="25"/>
    </row>
    <row r="99" customFormat="false" ht="12" hidden="false" customHeight="false" outlineLevel="0" collapsed="false">
      <c r="A99" s="436" t="n">
        <f aca="false">A98+1</f>
        <v>1959</v>
      </c>
      <c r="B99" s="823" t="n">
        <f aca="false">TableDE3b!H99</f>
        <v>604.875291138642</v>
      </c>
      <c r="C99" s="407" t="n">
        <f aca="false">B99/B98-1</f>
        <v>0.0760845720697536</v>
      </c>
      <c r="D99" s="989" t="n">
        <f aca="false">TableDE6a!J99</f>
        <v>2.46783860859716</v>
      </c>
      <c r="E99" s="980" t="n">
        <f aca="false">(D99/D98)*(1+C99)-1</f>
        <v>0.101427255427878</v>
      </c>
      <c r="F99" s="842" t="n">
        <f aca="false">TableDE12c!B99</f>
        <v>0.213356701730686</v>
      </c>
      <c r="G99" s="406" t="n">
        <f aca="false">F98/D98</f>
        <v>0.0840638719073114</v>
      </c>
      <c r="H99" s="406" t="n">
        <f aca="false">O99/D99</f>
        <v>0</v>
      </c>
      <c r="I99" s="437" t="n">
        <f aca="false">(1+E99)/((1+G99)*(1+H98))-1</f>
        <v>0.0160169377197468</v>
      </c>
      <c r="J99" s="843"/>
      <c r="K99" s="437"/>
      <c r="L99" s="842" t="n">
        <f aca="false">F99</f>
        <v>0.213356701730686</v>
      </c>
      <c r="M99" s="437"/>
      <c r="N99" s="437"/>
      <c r="O99" s="844" t="n">
        <f aca="false">TableDE5a!O99+TableDE5c!O99</f>
        <v>0</v>
      </c>
      <c r="Q99" s="25"/>
      <c r="R99" s="195"/>
      <c r="S99" s="832"/>
      <c r="T99" s="830"/>
      <c r="U99" s="29"/>
      <c r="V99" s="831"/>
      <c r="W99" s="816"/>
      <c r="X99" s="817" t="n">
        <f aca="false">1+$C99</f>
        <v>1.07608457206975</v>
      </c>
      <c r="Y99" s="818" t="n">
        <f aca="false">1+E99</f>
        <v>1.10142725542788</v>
      </c>
      <c r="Z99" s="818" t="n">
        <f aca="false">1+G99</f>
        <v>1.08406387190731</v>
      </c>
      <c r="AA99" s="818" t="n">
        <f aca="false">1+H98</f>
        <v>1</v>
      </c>
      <c r="AB99" s="818" t="n">
        <f aca="false">1+I99</f>
        <v>1.01601693771975</v>
      </c>
      <c r="AC99" s="818"/>
      <c r="AD99" s="818"/>
      <c r="AE99" s="818"/>
      <c r="AF99" s="25"/>
    </row>
    <row r="100" customFormat="false" ht="12" hidden="false" customHeight="false" outlineLevel="0" collapsed="false">
      <c r="A100" s="416" t="n">
        <f aca="false">A99+1</f>
        <v>1960</v>
      </c>
      <c r="B100" s="819" t="n">
        <f aca="false">TableDE3b!H100</f>
        <v>657.448750329126</v>
      </c>
      <c r="C100" s="382" t="n">
        <f aca="false">B100/B99-1</f>
        <v>0.0869161957194813</v>
      </c>
      <c r="D100" s="386" t="n">
        <f aca="false">TableDE6a!J100</f>
        <v>2.52307572864579</v>
      </c>
      <c r="E100" s="977" t="n">
        <f aca="false">(D100/D99)*(1+C100)-1</f>
        <v>0.11124441563492</v>
      </c>
      <c r="F100" s="514" t="n">
        <f aca="false">TableDE12c!B100</f>
        <v>0.231130077716259</v>
      </c>
      <c r="G100" s="387" t="n">
        <f aca="false">F99/D99</f>
        <v>0.0864548844431802</v>
      </c>
      <c r="H100" s="387" t="n">
        <f aca="false">O100/D100</f>
        <v>0</v>
      </c>
      <c r="I100" s="418" t="n">
        <f aca="false">(1+E100)/((1+G100)*(1+H99))-1</f>
        <v>0.0228168988392414</v>
      </c>
      <c r="J100" s="839"/>
      <c r="K100" s="418"/>
      <c r="L100" s="514" t="n">
        <f aca="false">F100</f>
        <v>0.231130077716259</v>
      </c>
      <c r="M100" s="418"/>
      <c r="N100" s="418"/>
      <c r="O100" s="840" t="n">
        <f aca="false">TableDE5a!O100+TableDE5c!O100</f>
        <v>0</v>
      </c>
      <c r="Q100" s="25"/>
      <c r="R100" s="195"/>
      <c r="S100" s="832"/>
      <c r="T100" s="830"/>
      <c r="U100" s="29"/>
      <c r="V100" s="831"/>
      <c r="W100" s="816"/>
      <c r="X100" s="817" t="n">
        <f aca="false">1+$C100</f>
        <v>1.08691619571948</v>
      </c>
      <c r="Y100" s="818" t="n">
        <f aca="false">1+E100</f>
        <v>1.11124441563492</v>
      </c>
      <c r="Z100" s="818" t="n">
        <f aca="false">1+G100</f>
        <v>1.08645488444318</v>
      </c>
      <c r="AA100" s="818" t="n">
        <f aca="false">1+H99</f>
        <v>1</v>
      </c>
      <c r="AB100" s="818" t="n">
        <f aca="false">1+I100</f>
        <v>1.02281689883924</v>
      </c>
      <c r="AC100" s="818"/>
      <c r="AD100" s="818"/>
      <c r="AE100" s="818"/>
      <c r="AF100" s="25"/>
    </row>
    <row r="101" customFormat="false" ht="12" hidden="false" customHeight="false" outlineLevel="0" collapsed="false">
      <c r="A101" s="416" t="n">
        <f aca="false">A100+1</f>
        <v>1961</v>
      </c>
      <c r="B101" s="819" t="n">
        <f aca="false">TableDE3b!H101</f>
        <v>683.669902196683</v>
      </c>
      <c r="C101" s="382" t="n">
        <f aca="false">B101/B100-1</f>
        <v>0.039883187631629</v>
      </c>
      <c r="D101" s="386" t="n">
        <f aca="false">TableDE6a!J101</f>
        <v>2.68713444772944</v>
      </c>
      <c r="E101" s="977" t="n">
        <f aca="false">(D101/D100)*(1+C101)-1</f>
        <v>0.107499827838869</v>
      </c>
      <c r="F101" s="514" t="n">
        <f aca="false">TableDE12c!B101</f>
        <v>0.220200412330917</v>
      </c>
      <c r="G101" s="387" t="n">
        <f aca="false">F100/D100</f>
        <v>0.0916064766079428</v>
      </c>
      <c r="H101" s="387" t="n">
        <f aca="false">O101/D101</f>
        <v>0</v>
      </c>
      <c r="I101" s="418" t="n">
        <f aca="false">(1+E101)/((1+G101)*(1+H100))-1</f>
        <v>0.0145595977776842</v>
      </c>
      <c r="J101" s="839"/>
      <c r="K101" s="418"/>
      <c r="L101" s="514" t="n">
        <f aca="false">F101</f>
        <v>0.220200412330917</v>
      </c>
      <c r="M101" s="418"/>
      <c r="N101" s="418"/>
      <c r="O101" s="840" t="n">
        <f aca="false">TableDE5a!O101+TableDE5c!O101</f>
        <v>0</v>
      </c>
      <c r="Q101" s="25"/>
      <c r="R101" s="195"/>
      <c r="S101" s="832"/>
      <c r="T101" s="830"/>
      <c r="U101" s="29"/>
      <c r="V101" s="831"/>
      <c r="W101" s="816"/>
      <c r="X101" s="817" t="n">
        <f aca="false">1+$C101</f>
        <v>1.03988318763163</v>
      </c>
      <c r="Y101" s="818" t="n">
        <f aca="false">1+E101</f>
        <v>1.10749982783887</v>
      </c>
      <c r="Z101" s="818" t="n">
        <f aca="false">1+G101</f>
        <v>1.09160647660794</v>
      </c>
      <c r="AA101" s="818" t="n">
        <f aca="false">1+H100</f>
        <v>1</v>
      </c>
      <c r="AB101" s="818" t="n">
        <f aca="false">1+I101</f>
        <v>1.01455959777768</v>
      </c>
      <c r="AC101" s="818"/>
      <c r="AD101" s="818"/>
      <c r="AE101" s="818"/>
      <c r="AF101" s="25"/>
    </row>
    <row r="102" customFormat="false" ht="12" hidden="false" customHeight="false" outlineLevel="0" collapsed="false">
      <c r="A102" s="416" t="n">
        <f aca="false">A101+1</f>
        <v>1962</v>
      </c>
      <c r="B102" s="819" t="n">
        <f aca="false">TableDE3b!H102</f>
        <v>711.56733112705</v>
      </c>
      <c r="C102" s="382" t="n">
        <f aca="false">B102/B101-1</f>
        <v>0.0408054074645245</v>
      </c>
      <c r="D102" s="386" t="n">
        <f aca="false">TableDE6a!J102</f>
        <v>2.80267340355512</v>
      </c>
      <c r="E102" s="977" t="n">
        <f aca="false">(D102/D101)*(1+C102)-1</f>
        <v>0.0855570089699076</v>
      </c>
      <c r="F102" s="514" t="n">
        <f aca="false">TableDE12c!B102</f>
        <v>0.205531316135816</v>
      </c>
      <c r="G102" s="387" t="n">
        <f aca="false">F101/D101</f>
        <v>0.081946183421146</v>
      </c>
      <c r="H102" s="387" t="n">
        <f aca="false">O102/D102</f>
        <v>0</v>
      </c>
      <c r="I102" s="418" t="n">
        <f aca="false">(1+E102)/((1+G102)*(1+H101))-1</f>
        <v>0.00333734302508826</v>
      </c>
      <c r="J102" s="839"/>
      <c r="K102" s="418"/>
      <c r="L102" s="514" t="n">
        <f aca="false">F102</f>
        <v>0.205531316135816</v>
      </c>
      <c r="M102" s="418"/>
      <c r="N102" s="418"/>
      <c r="O102" s="840" t="n">
        <f aca="false">TableDE5a!O102+TableDE5c!O102</f>
        <v>0</v>
      </c>
      <c r="Q102" s="25"/>
      <c r="R102" s="195"/>
      <c r="S102" s="832"/>
      <c r="T102" s="830"/>
      <c r="U102" s="29"/>
      <c r="V102" s="831"/>
      <c r="W102" s="816"/>
      <c r="X102" s="817" t="n">
        <f aca="false">1+$C102</f>
        <v>1.04080540746452</v>
      </c>
      <c r="Y102" s="818" t="n">
        <f aca="false">1+E102</f>
        <v>1.08555700896991</v>
      </c>
      <c r="Z102" s="818" t="n">
        <f aca="false">1+G102</f>
        <v>1.08194618342115</v>
      </c>
      <c r="AA102" s="818" t="n">
        <f aca="false">1+H101</f>
        <v>1</v>
      </c>
      <c r="AB102" s="818" t="n">
        <f aca="false">1+I102</f>
        <v>1.00333734302509</v>
      </c>
      <c r="AC102" s="818"/>
      <c r="AD102" s="818"/>
      <c r="AE102" s="818"/>
      <c r="AF102" s="25"/>
    </row>
    <row r="103" customFormat="false" ht="12" hidden="false" customHeight="false" outlineLevel="0" collapsed="false">
      <c r="A103" s="416" t="n">
        <f aca="false">A102+1</f>
        <v>1963</v>
      </c>
      <c r="B103" s="819" t="n">
        <f aca="false">TableDE3b!H103</f>
        <v>727.3212112817</v>
      </c>
      <c r="C103" s="382" t="n">
        <f aca="false">B103/B102-1</f>
        <v>0.0221396900412749</v>
      </c>
      <c r="D103" s="386" t="n">
        <f aca="false">TableDE6a!J103</f>
        <v>2.95148821066632</v>
      </c>
      <c r="E103" s="977" t="n">
        <f aca="false">(D103/D102)*(1+C103)-1</f>
        <v>0.0764126997402461</v>
      </c>
      <c r="F103" s="514" t="n">
        <f aca="false">TableDE12c!B103</f>
        <v>0.192494959304561</v>
      </c>
      <c r="G103" s="387" t="n">
        <f aca="false">F102/D102</f>
        <v>0.0733340231063327</v>
      </c>
      <c r="H103" s="387" t="n">
        <f aca="false">O103/D103</f>
        <v>0</v>
      </c>
      <c r="I103" s="418" t="n">
        <f aca="false">(1+E103)/((1+G103)*(1+H102))-1</f>
        <v>0.00286833042430112</v>
      </c>
      <c r="J103" s="839"/>
      <c r="K103" s="418"/>
      <c r="L103" s="514" t="n">
        <f aca="false">F103</f>
        <v>0.192494959304561</v>
      </c>
      <c r="M103" s="418"/>
      <c r="N103" s="418"/>
      <c r="O103" s="840" t="n">
        <f aca="false">TableDE5a!O103+TableDE5c!O103</f>
        <v>0</v>
      </c>
      <c r="Q103" s="25"/>
      <c r="R103" s="195"/>
      <c r="S103" s="832"/>
      <c r="T103" s="830"/>
      <c r="U103" s="29"/>
      <c r="V103" s="831"/>
      <c r="W103" s="816"/>
      <c r="X103" s="817" t="n">
        <f aca="false">1+$C103</f>
        <v>1.02213969004128</v>
      </c>
      <c r="Y103" s="818" t="n">
        <f aca="false">1+E103</f>
        <v>1.07641269974025</v>
      </c>
      <c r="Z103" s="818" t="n">
        <f aca="false">1+G103</f>
        <v>1.07333402310633</v>
      </c>
      <c r="AA103" s="818" t="n">
        <f aca="false">1+H102</f>
        <v>1</v>
      </c>
      <c r="AB103" s="818" t="n">
        <f aca="false">1+I103</f>
        <v>1.0028683304243</v>
      </c>
      <c r="AC103" s="818"/>
      <c r="AD103" s="818"/>
      <c r="AE103" s="818"/>
      <c r="AF103" s="25"/>
    </row>
    <row r="104" customFormat="false" ht="12" hidden="false" customHeight="false" outlineLevel="0" collapsed="false">
      <c r="A104" s="416" t="n">
        <f aca="false">A103+1</f>
        <v>1964</v>
      </c>
      <c r="B104" s="819" t="n">
        <f aca="false">TableDE3b!H104</f>
        <v>774.00515371377</v>
      </c>
      <c r="C104" s="382" t="n">
        <f aca="false">B104/B103-1</f>
        <v>0.0641861418420651</v>
      </c>
      <c r="D104" s="386" t="n">
        <f aca="false">TableDE6a!J104</f>
        <v>2.96750159905288</v>
      </c>
      <c r="E104" s="977" t="n">
        <f aca="false">(D104/D103)*(1+C104)-1</f>
        <v>0.0699599158803015</v>
      </c>
      <c r="F104" s="514" t="n">
        <f aca="false">TableDE12c!B104</f>
        <v>0.212838203750957</v>
      </c>
      <c r="G104" s="387" t="n">
        <f aca="false">F103/D103</f>
        <v>0.0652196266984593</v>
      </c>
      <c r="H104" s="387" t="n">
        <f aca="false">O104/D104</f>
        <v>0</v>
      </c>
      <c r="I104" s="418" t="n">
        <f aca="false">(1+E104)/((1+G104)*(1+H103))-1</f>
        <v>0.00445005805660403</v>
      </c>
      <c r="J104" s="839"/>
      <c r="K104" s="418"/>
      <c r="L104" s="514" t="n">
        <f aca="false">F104</f>
        <v>0.212838203750957</v>
      </c>
      <c r="M104" s="418"/>
      <c r="N104" s="418"/>
      <c r="O104" s="840" t="n">
        <f aca="false">TableDE5a!O104+TableDE5c!O104</f>
        <v>0</v>
      </c>
      <c r="Q104" s="25"/>
      <c r="R104" s="195"/>
      <c r="S104" s="832"/>
      <c r="T104" s="830"/>
      <c r="U104" s="29"/>
      <c r="V104" s="831"/>
      <c r="W104" s="816"/>
      <c r="X104" s="817" t="n">
        <f aca="false">1+$C104</f>
        <v>1.06418614184207</v>
      </c>
      <c r="Y104" s="818" t="n">
        <f aca="false">1+E104</f>
        <v>1.0699599158803</v>
      </c>
      <c r="Z104" s="818" t="n">
        <f aca="false">1+G104</f>
        <v>1.06521962669846</v>
      </c>
      <c r="AA104" s="818" t="n">
        <f aca="false">1+H103</f>
        <v>1</v>
      </c>
      <c r="AB104" s="818" t="n">
        <f aca="false">1+I104</f>
        <v>1.0044500580566</v>
      </c>
      <c r="AC104" s="818"/>
      <c r="AD104" s="818"/>
      <c r="AE104" s="818"/>
      <c r="AF104" s="25"/>
    </row>
    <row r="105" customFormat="false" ht="12" hidden="false" customHeight="false" outlineLevel="0" collapsed="false">
      <c r="A105" s="416" t="n">
        <f aca="false">A104+1</f>
        <v>1965</v>
      </c>
      <c r="B105" s="819" t="n">
        <f aca="false">TableDE3b!H105</f>
        <v>813.418767410794</v>
      </c>
      <c r="C105" s="382" t="n">
        <f aca="false">B105/B104-1</f>
        <v>0.0509216424566588</v>
      </c>
      <c r="D105" s="386" t="n">
        <f aca="false">TableDE6a!J105</f>
        <v>2.96698507162165</v>
      </c>
      <c r="E105" s="977" t="n">
        <f aca="false">(D105/D104)*(1+C105)-1</f>
        <v>0.0507387175825593</v>
      </c>
      <c r="F105" s="514" t="n">
        <f aca="false">TableDE12c!B105</f>
        <v>0.198965692823902</v>
      </c>
      <c r="G105" s="387" t="n">
        <f aca="false">F104/D104</f>
        <v>0.0717230291700222</v>
      </c>
      <c r="H105" s="387" t="n">
        <f aca="false">O105/D105</f>
        <v>0</v>
      </c>
      <c r="I105" s="418" t="n">
        <f aca="false">(1+E105)/((1+G105)*(1+H104))-1</f>
        <v>-0.0195799763710535</v>
      </c>
      <c r="J105" s="839"/>
      <c r="K105" s="418"/>
      <c r="L105" s="514" t="n">
        <f aca="false">F105</f>
        <v>0.198965692823902</v>
      </c>
      <c r="M105" s="418"/>
      <c r="N105" s="418"/>
      <c r="O105" s="840" t="n">
        <f aca="false">TableDE5a!O105+TableDE5c!O105</f>
        <v>0</v>
      </c>
      <c r="Q105" s="25"/>
      <c r="R105" s="195"/>
      <c r="S105" s="832"/>
      <c r="T105" s="830"/>
      <c r="U105" s="29"/>
      <c r="V105" s="831"/>
      <c r="W105" s="816"/>
      <c r="X105" s="817" t="n">
        <f aca="false">1+$C105</f>
        <v>1.05092164245666</v>
      </c>
      <c r="Y105" s="818" t="n">
        <f aca="false">1+E105</f>
        <v>1.05073871758256</v>
      </c>
      <c r="Z105" s="818" t="n">
        <f aca="false">1+G105</f>
        <v>1.07172302917002</v>
      </c>
      <c r="AA105" s="818" t="n">
        <f aca="false">1+H104</f>
        <v>1</v>
      </c>
      <c r="AB105" s="818" t="n">
        <f aca="false">1+I105</f>
        <v>0.980420023628947</v>
      </c>
      <c r="AC105" s="818"/>
      <c r="AD105" s="818"/>
      <c r="AE105" s="818"/>
      <c r="AF105" s="25"/>
    </row>
    <row r="106" customFormat="false" ht="12" hidden="false" customHeight="false" outlineLevel="0" collapsed="false">
      <c r="A106" s="416" t="n">
        <f aca="false">A105+1</f>
        <v>1966</v>
      </c>
      <c r="B106" s="819" t="n">
        <f aca="false">TableDE3b!H106</f>
        <v>832.655391548034</v>
      </c>
      <c r="C106" s="382" t="n">
        <f aca="false">B106/B105-1</f>
        <v>0.023649102907316</v>
      </c>
      <c r="D106" s="386" t="n">
        <f aca="false">TableDE6a!J106</f>
        <v>3.04171201585503</v>
      </c>
      <c r="E106" s="977" t="n">
        <f aca="false">(D106/D105)*(1+C106)-1</f>
        <v>0.0494308873049343</v>
      </c>
      <c r="F106" s="514" t="n">
        <f aca="false">TableDE12c!B106</f>
        <v>0.190273407530237</v>
      </c>
      <c r="G106" s="387" t="n">
        <f aca="false">F105/D105</f>
        <v>0.0670598900975105</v>
      </c>
      <c r="H106" s="387" t="n">
        <f aca="false">O106/D106</f>
        <v>0</v>
      </c>
      <c r="I106" s="418" t="n">
        <f aca="false">(1+E106)/((1+G106)*(1+H105))-1</f>
        <v>-0.0165210996647668</v>
      </c>
      <c r="J106" s="839"/>
      <c r="K106" s="418"/>
      <c r="L106" s="514" t="n">
        <f aca="false">F106</f>
        <v>0.190273407530237</v>
      </c>
      <c r="M106" s="418"/>
      <c r="N106" s="418"/>
      <c r="O106" s="840" t="n">
        <f aca="false">TableDE5a!O106+TableDE5c!O106</f>
        <v>0</v>
      </c>
      <c r="Q106" s="25"/>
      <c r="R106" s="195"/>
      <c r="S106" s="832"/>
      <c r="T106" s="830"/>
      <c r="U106" s="29"/>
      <c r="V106" s="831"/>
      <c r="W106" s="816"/>
      <c r="X106" s="817" t="n">
        <f aca="false">1+$C106</f>
        <v>1.02364910290732</v>
      </c>
      <c r="Y106" s="818" t="n">
        <f aca="false">1+E106</f>
        <v>1.04943088730493</v>
      </c>
      <c r="Z106" s="818" t="n">
        <f aca="false">1+G106</f>
        <v>1.06705989009751</v>
      </c>
      <c r="AA106" s="818" t="n">
        <f aca="false">1+H105</f>
        <v>1</v>
      </c>
      <c r="AB106" s="818" t="n">
        <f aca="false">1+I106</f>
        <v>0.983478900335233</v>
      </c>
      <c r="AC106" s="818"/>
      <c r="AD106" s="818"/>
      <c r="AE106" s="818"/>
      <c r="AF106" s="25"/>
    </row>
    <row r="107" customFormat="false" ht="12" hidden="false" customHeight="false" outlineLevel="0" collapsed="false">
      <c r="A107" s="416" t="n">
        <f aca="false">A106+1</f>
        <v>1967</v>
      </c>
      <c r="B107" s="819" t="n">
        <f aca="false">TableDE3b!H107</f>
        <v>826.063922057928</v>
      </c>
      <c r="C107" s="382" t="n">
        <f aca="false">B107/B106-1</f>
        <v>-0.00791620345825395</v>
      </c>
      <c r="D107" s="386" t="n">
        <f aca="false">TableDE6a!J107</f>
        <v>3.27834823772418</v>
      </c>
      <c r="E107" s="977" t="n">
        <f aca="false">(D107/D106)*(1+C107)-1</f>
        <v>0.0692649892935664</v>
      </c>
      <c r="F107" s="514" t="n">
        <f aca="false">TableDE12c!B107</f>
        <v>0.167372304397925</v>
      </c>
      <c r="G107" s="387" t="n">
        <f aca="false">F106/D106</f>
        <v>0.0625547081835591</v>
      </c>
      <c r="H107" s="387" t="n">
        <f aca="false">O107/D107</f>
        <v>0</v>
      </c>
      <c r="I107" s="418" t="n">
        <f aca="false">(1+E107)/((1+G107)*(1+H106))-1</f>
        <v>0.00631523352004959</v>
      </c>
      <c r="J107" s="839"/>
      <c r="K107" s="418"/>
      <c r="L107" s="514" t="n">
        <f aca="false">F107</f>
        <v>0.167372304397925</v>
      </c>
      <c r="M107" s="418"/>
      <c r="N107" s="418"/>
      <c r="O107" s="840" t="n">
        <f aca="false">TableDE5a!O107+TableDE5c!O107</f>
        <v>0</v>
      </c>
      <c r="Q107" s="25"/>
      <c r="R107" s="195"/>
      <c r="S107" s="832"/>
      <c r="T107" s="830"/>
      <c r="U107" s="29"/>
      <c r="V107" s="831"/>
      <c r="W107" s="816"/>
      <c r="X107" s="817" t="n">
        <f aca="false">1+$C107</f>
        <v>0.992083796541746</v>
      </c>
      <c r="Y107" s="818" t="n">
        <f aca="false">1+E107</f>
        <v>1.06926498929357</v>
      </c>
      <c r="Z107" s="818" t="n">
        <f aca="false">1+G107</f>
        <v>1.06255470818356</v>
      </c>
      <c r="AA107" s="818" t="n">
        <f aca="false">1+H106</f>
        <v>1</v>
      </c>
      <c r="AB107" s="818" t="n">
        <f aca="false">1+I107</f>
        <v>1.00631523352005</v>
      </c>
      <c r="AC107" s="818"/>
      <c r="AD107" s="818"/>
      <c r="AE107" s="818"/>
      <c r="AF107" s="25"/>
    </row>
    <row r="108" customFormat="false" ht="12" hidden="false" customHeight="false" outlineLevel="0" collapsed="false">
      <c r="A108" s="416" t="n">
        <f aca="false">A107+1</f>
        <v>1968</v>
      </c>
      <c r="B108" s="819" t="n">
        <f aca="false">TableDE3b!H108</f>
        <v>874.33692386071</v>
      </c>
      <c r="C108" s="382" t="n">
        <f aca="false">B108/B107-1</f>
        <v>0.0584373684817543</v>
      </c>
      <c r="D108" s="386" t="n">
        <f aca="false">TableDE6a!J108</f>
        <v>3.28919266327145</v>
      </c>
      <c r="E108" s="977" t="n">
        <f aca="false">(D108/D107)*(1+C108)-1</f>
        <v>0.0619385661601697</v>
      </c>
      <c r="F108" s="514" t="n">
        <f aca="false">TableDE12c!B108</f>
        <v>0.186174453473155</v>
      </c>
      <c r="G108" s="387" t="n">
        <f aca="false">F107/D107</f>
        <v>0.0510538515926896</v>
      </c>
      <c r="H108" s="387" t="n">
        <f aca="false">O108/D108</f>
        <v>0</v>
      </c>
      <c r="I108" s="418" t="n">
        <f aca="false">(1+E108)/((1+G108)*(1+H107))-1</f>
        <v>0.0103560008376224</v>
      </c>
      <c r="J108" s="839"/>
      <c r="K108" s="418"/>
      <c r="L108" s="514" t="n">
        <f aca="false">F108</f>
        <v>0.186174453473155</v>
      </c>
      <c r="M108" s="418"/>
      <c r="N108" s="418"/>
      <c r="O108" s="840" t="n">
        <f aca="false">TableDE5a!O108+TableDE5c!O108</f>
        <v>0</v>
      </c>
      <c r="Q108" s="25"/>
      <c r="R108" s="195"/>
      <c r="S108" s="832"/>
      <c r="T108" s="830"/>
      <c r="U108" s="29"/>
      <c r="V108" s="831"/>
      <c r="W108" s="816"/>
      <c r="X108" s="817" t="n">
        <f aca="false">1+$C108</f>
        <v>1.05843736848175</v>
      </c>
      <c r="Y108" s="818" t="n">
        <f aca="false">1+E108</f>
        <v>1.06193856616017</v>
      </c>
      <c r="Z108" s="818" t="n">
        <f aca="false">1+G108</f>
        <v>1.05105385159269</v>
      </c>
      <c r="AA108" s="818" t="n">
        <f aca="false">1+H107</f>
        <v>1</v>
      </c>
      <c r="AB108" s="818" t="n">
        <f aca="false">1+I108</f>
        <v>1.01035600083762</v>
      </c>
      <c r="AC108" s="818"/>
      <c r="AD108" s="818"/>
      <c r="AE108" s="818"/>
      <c r="AF108" s="25"/>
    </row>
    <row r="109" customFormat="false" ht="12" hidden="false" customHeight="false" outlineLevel="0" collapsed="false">
      <c r="A109" s="436" t="n">
        <f aca="false">A108+1</f>
        <v>1969</v>
      </c>
      <c r="B109" s="823" t="n">
        <f aca="false">TableDE3b!H109</f>
        <v>943.251480634596</v>
      </c>
      <c r="C109" s="407" t="n">
        <f aca="false">B109/B108-1</f>
        <v>0.078819222765508</v>
      </c>
      <c r="D109" s="989" t="n">
        <f aca="false">TableDE6a!J109</f>
        <v>3.22140058310664</v>
      </c>
      <c r="E109" s="980" t="n">
        <f aca="false">(D109/D108)*(1+C109)-1</f>
        <v>0.056584161849276</v>
      </c>
      <c r="F109" s="842" t="n">
        <f aca="false">TableDE12c!B109</f>
        <v>0.19918740713178</v>
      </c>
      <c r="G109" s="406" t="n">
        <f aca="false">F108/D108</f>
        <v>0.0566018693742266</v>
      </c>
      <c r="H109" s="406" t="n">
        <f aca="false">O109/D109</f>
        <v>0</v>
      </c>
      <c r="I109" s="437" t="n">
        <f aca="false">(1+E109)/((1+G109)*(1+H108))-1</f>
        <v>-1.67589377454425E-005</v>
      </c>
      <c r="J109" s="843"/>
      <c r="K109" s="437"/>
      <c r="L109" s="842" t="n">
        <f aca="false">F109</f>
        <v>0.19918740713178</v>
      </c>
      <c r="M109" s="437"/>
      <c r="N109" s="437"/>
      <c r="O109" s="844" t="n">
        <f aca="false">TableDE5a!O109+TableDE5c!O109</f>
        <v>0</v>
      </c>
      <c r="Q109" s="25"/>
      <c r="R109" s="195"/>
      <c r="S109" s="870"/>
      <c r="T109" s="871"/>
      <c r="U109" s="29"/>
      <c r="V109" s="831"/>
      <c r="W109" s="816"/>
      <c r="X109" s="817" t="n">
        <f aca="false">1+$C109</f>
        <v>1.07881922276551</v>
      </c>
      <c r="Y109" s="818" t="n">
        <f aca="false">1+E109</f>
        <v>1.05658416184928</v>
      </c>
      <c r="Z109" s="818" t="n">
        <f aca="false">1+G109</f>
        <v>1.05660186937423</v>
      </c>
      <c r="AA109" s="818" t="n">
        <f aca="false">1+H108</f>
        <v>1</v>
      </c>
      <c r="AB109" s="818" t="n">
        <f aca="false">1+I109</f>
        <v>0.999983241062255</v>
      </c>
      <c r="AC109" s="818"/>
      <c r="AD109" s="818"/>
      <c r="AE109" s="818"/>
      <c r="AF109" s="25"/>
    </row>
    <row r="110" customFormat="false" ht="12" hidden="false" customHeight="false" outlineLevel="0" collapsed="false">
      <c r="A110" s="416" t="n">
        <f aca="false">A109+1</f>
        <v>1970</v>
      </c>
      <c r="B110" s="819" t="n">
        <f aca="false">TableDE3b!H110</f>
        <v>987.979706433215</v>
      </c>
      <c r="C110" s="382" t="n">
        <f aca="false">B110/B109-1</f>
        <v>0.0474191948986147</v>
      </c>
      <c r="D110" s="386" t="n">
        <f aca="false">TableDE6a!J110</f>
        <v>3.13318859457725</v>
      </c>
      <c r="E110" s="977" t="n">
        <f aca="false">(D110/D109)*(1+C110)-1</f>
        <v>0.0187375927127873</v>
      </c>
      <c r="F110" s="514" t="n">
        <f aca="false">TableDE12c!B110</f>
        <v>0.205094668659691</v>
      </c>
      <c r="G110" s="387" t="n">
        <f aca="false">F109/D109</f>
        <v>0.0618325482947819</v>
      </c>
      <c r="H110" s="387" t="n">
        <f aca="false">O110/D110</f>
        <v>0</v>
      </c>
      <c r="I110" s="418" t="n">
        <f aca="false">(1+E110)/((1+G110)*(1+H109))-1</f>
        <v>-0.0405854535644078</v>
      </c>
      <c r="J110" s="839"/>
      <c r="K110" s="891" t="n">
        <f aca="false">TableDE6b!J110</f>
        <v>4.30651009809823</v>
      </c>
      <c r="L110" s="514" t="n">
        <f aca="false">F110</f>
        <v>0.205094668659691</v>
      </c>
      <c r="M110" s="418"/>
      <c r="N110" s="418"/>
      <c r="O110" s="840" t="n">
        <f aca="false">TableDE5a!O110+TableDE5c!O110</f>
        <v>0</v>
      </c>
      <c r="Q110" s="25"/>
      <c r="R110" s="195"/>
      <c r="S110" s="872" t="n">
        <f aca="false">D110</f>
        <v>3.13318859457725</v>
      </c>
      <c r="T110" s="873"/>
      <c r="U110" s="874" t="n">
        <f aca="false">K110</f>
        <v>4.30651009809823</v>
      </c>
      <c r="V110" s="875"/>
      <c r="W110" s="816"/>
      <c r="X110" s="817" t="n">
        <f aca="false">1+$C110</f>
        <v>1.04741919489861</v>
      </c>
      <c r="Y110" s="818" t="n">
        <f aca="false">1+E110</f>
        <v>1.01873759271279</v>
      </c>
      <c r="Z110" s="818" t="n">
        <f aca="false">1+G110</f>
        <v>1.06183254829478</v>
      </c>
      <c r="AA110" s="818" t="n">
        <f aca="false">1+H109</f>
        <v>1</v>
      </c>
      <c r="AB110" s="818" t="n">
        <f aca="false">1+I110</f>
        <v>0.959414546435592</v>
      </c>
      <c r="AC110" s="818"/>
      <c r="AD110" s="818"/>
      <c r="AE110" s="818"/>
      <c r="AF110" s="25"/>
    </row>
    <row r="111" customFormat="false" ht="12" hidden="false" customHeight="false" outlineLevel="0" collapsed="false">
      <c r="A111" s="416" t="n">
        <v>1971</v>
      </c>
      <c r="B111" s="819" t="n">
        <f aca="false">TableDE3b!H111</f>
        <v>1013.5760890425</v>
      </c>
      <c r="C111" s="382" t="n">
        <f aca="false">B111/B110-1</f>
        <v>0.0259078019949348</v>
      </c>
      <c r="D111" s="386" t="n">
        <f aca="false">TableDE6a!J111</f>
        <v>3.08512720192722</v>
      </c>
      <c r="E111" s="977" t="n">
        <f aca="false">(D111/D110)*(1+C111)-1</f>
        <v>0.0101709396242031</v>
      </c>
      <c r="F111" s="514" t="n">
        <f aca="false">TableDE12c!B111</f>
        <v>0.18779263270717</v>
      </c>
      <c r="G111" s="387" t="n">
        <f aca="false">F110/D110</f>
        <v>0.065458769068245</v>
      </c>
      <c r="H111" s="387" t="n">
        <f aca="false">O111/D111</f>
        <v>0</v>
      </c>
      <c r="I111" s="382" t="n">
        <f aca="false">(1+E111)/((1+G111)*(1+H110))-1</f>
        <v>-0.0518911017949494</v>
      </c>
      <c r="J111" s="977" t="n">
        <f aca="false">(K111/K110)*(1+C111)-1</f>
        <v>0.0144584946506463</v>
      </c>
      <c r="K111" s="891" t="n">
        <f aca="false">TableDE6b!J111</f>
        <v>4.2584487054482</v>
      </c>
      <c r="L111" s="514" t="n">
        <f aca="false">F111</f>
        <v>0.18779263270717</v>
      </c>
      <c r="M111" s="418" t="n">
        <f aca="false">L110/K110</f>
        <v>0.0476243324612803</v>
      </c>
      <c r="N111" s="418" t="n">
        <f aca="false">(1+J111)/(1+M111)-1</f>
        <v>-0.0316581400249787</v>
      </c>
      <c r="O111" s="840" t="n">
        <f aca="false">TableDE5a!O111+TableDE5c!O111</f>
        <v>0</v>
      </c>
      <c r="Q111" s="25"/>
      <c r="R111" s="195"/>
      <c r="S111" s="876" t="n">
        <f aca="false">S110*(1+T111)*(1+F110/S110)/(1+C111)</f>
        <v>3.24678850355564</v>
      </c>
      <c r="T111" s="877" t="n">
        <f aca="false">T$157</f>
        <v>-0.00221</v>
      </c>
      <c r="U111" s="878" t="n">
        <f aca="false">U110*(1+V111)*(1+F110/U110)/(1+C111)</f>
        <v>4.41894319598719</v>
      </c>
      <c r="V111" s="879" t="n">
        <f aca="false">U$157</f>
        <v>0.0048372</v>
      </c>
      <c r="W111" s="816"/>
      <c r="X111" s="817" t="n">
        <f aca="false">1+$C111</f>
        <v>1.02590780199493</v>
      </c>
      <c r="Y111" s="818" t="n">
        <f aca="false">1+E111</f>
        <v>1.0101709396242</v>
      </c>
      <c r="Z111" s="818" t="n">
        <f aca="false">1+G111</f>
        <v>1.06545876906824</v>
      </c>
      <c r="AA111" s="818" t="n">
        <f aca="false">1+H110</f>
        <v>1</v>
      </c>
      <c r="AB111" s="818" t="n">
        <f aca="false">1+I111</f>
        <v>0.948108898205051</v>
      </c>
      <c r="AC111" s="818" t="n">
        <f aca="false">1+J111</f>
        <v>1.01445849465065</v>
      </c>
      <c r="AD111" s="818" t="n">
        <f aca="false">1+M111</f>
        <v>1.04762433246128</v>
      </c>
      <c r="AE111" s="818" t="n">
        <f aca="false">1+N111</f>
        <v>0.968341859975021</v>
      </c>
      <c r="AF111" s="25"/>
    </row>
    <row r="112" customFormat="false" ht="12" hidden="false" customHeight="false" outlineLevel="0" collapsed="false">
      <c r="A112" s="416" t="n">
        <v>1972</v>
      </c>
      <c r="B112" s="819" t="n">
        <f aca="false">TableDE3b!H112</f>
        <v>1054.09684746279</v>
      </c>
      <c r="C112" s="382" t="n">
        <f aca="false">B112/B111-1</f>
        <v>0.0399780133512939</v>
      </c>
      <c r="D112" s="386" t="n">
        <f aca="false">TableDE6a!J112</f>
        <v>3.0987454336811</v>
      </c>
      <c r="E112" s="977" t="n">
        <f aca="false">(D112/D111)*(1+C112)-1</f>
        <v>0.0445686382032986</v>
      </c>
      <c r="F112" s="514" t="n">
        <f aca="false">TableDE12c!B112</f>
        <v>0.174086757990868</v>
      </c>
      <c r="G112" s="387" t="n">
        <f aca="false">F111/D111</f>
        <v>0.0608703046635677</v>
      </c>
      <c r="H112" s="387" t="n">
        <f aca="false">O112/D112</f>
        <v>0</v>
      </c>
      <c r="I112" s="418" t="n">
        <f aca="false">(1+E112)/((1+G112)*(1+H111))-1</f>
        <v>-0.015366314231445</v>
      </c>
      <c r="J112" s="839" t="n">
        <f aca="false">(K112/K111)*(1+C112)-1</f>
        <v>0.0519555118315656</v>
      </c>
      <c r="K112" s="891" t="n">
        <f aca="false">TableDE6b!J112</f>
        <v>4.3074935527844</v>
      </c>
      <c r="L112" s="514" t="n">
        <f aca="false">F112</f>
        <v>0.174086757990868</v>
      </c>
      <c r="M112" s="418" t="n">
        <f aca="false">L111/K111</f>
        <v>0.0440988363830496</v>
      </c>
      <c r="N112" s="418" t="n">
        <f aca="false">(1+J112)/(1+M112)-1</f>
        <v>0.00752483881289701</v>
      </c>
      <c r="O112" s="840" t="n">
        <f aca="false">TableDE5a!O112+TableDE5c!O112</f>
        <v>0</v>
      </c>
      <c r="Q112" s="25"/>
      <c r="R112" s="195"/>
      <c r="S112" s="876" t="n">
        <f aca="false">S111*(1+T112)*(1+F111/S111)/(1+C112)</f>
        <v>3.29525304184874</v>
      </c>
      <c r="T112" s="877" t="n">
        <f aca="false">T$157</f>
        <v>-0.00221</v>
      </c>
      <c r="U112" s="878" t="n">
        <f aca="false">U111*(1+V112)*(1+F111/U111)/(1+C112)</f>
        <v>4.45107441870627</v>
      </c>
      <c r="V112" s="879" t="n">
        <f aca="false">U$157</f>
        <v>0.0048372</v>
      </c>
      <c r="W112" s="816"/>
      <c r="X112" s="817" t="n">
        <f aca="false">1+$C112</f>
        <v>1.03997801335129</v>
      </c>
      <c r="Y112" s="818" t="n">
        <f aca="false">1+E112</f>
        <v>1.0445686382033</v>
      </c>
      <c r="Z112" s="818" t="n">
        <f aca="false">1+G112</f>
        <v>1.06087030466357</v>
      </c>
      <c r="AA112" s="818" t="n">
        <f aca="false">1+H111</f>
        <v>1</v>
      </c>
      <c r="AB112" s="818" t="n">
        <f aca="false">1+I112</f>
        <v>0.984633685768555</v>
      </c>
      <c r="AC112" s="818" t="n">
        <f aca="false">1+J112</f>
        <v>1.05195551183157</v>
      </c>
      <c r="AD112" s="818" t="n">
        <f aca="false">1+M112</f>
        <v>1.04409883638305</v>
      </c>
      <c r="AE112" s="818" t="n">
        <f aca="false">1+N112</f>
        <v>1.0075248388129</v>
      </c>
      <c r="AF112" s="25"/>
    </row>
    <row r="113" customFormat="false" ht="12" hidden="false" customHeight="false" outlineLevel="0" collapsed="false">
      <c r="A113" s="416" t="n">
        <v>1973</v>
      </c>
      <c r="B113" s="819" t="n">
        <f aca="false">TableDE3b!H113</f>
        <v>1105.10702888404</v>
      </c>
      <c r="C113" s="382" t="n">
        <f aca="false">B113/B112-1</f>
        <v>0.0483923100083512</v>
      </c>
      <c r="D113" s="386" t="n">
        <f aca="false">TableDE6a!J113</f>
        <v>3.06044996736188</v>
      </c>
      <c r="E113" s="977" t="n">
        <f aca="false">(D113/D112)*(1+C113)-1</f>
        <v>0.0354358819130096</v>
      </c>
      <c r="F113" s="514" t="n">
        <f aca="false">TableDE12c!B113</f>
        <v>0.172160916329096</v>
      </c>
      <c r="G113" s="387" t="n">
        <f aca="false">F112/D112</f>
        <v>0.0561797545867019</v>
      </c>
      <c r="H113" s="387" t="n">
        <f aca="false">O113/D113</f>
        <v>0</v>
      </c>
      <c r="I113" s="418" t="n">
        <f aca="false">(1+E113)/((1+G113)*(1+H112))-1</f>
        <v>-0.0196404755758737</v>
      </c>
      <c r="J113" s="839" t="n">
        <f aca="false">(K113/K112)*(1+C113)-1</f>
        <v>0.037302721570869</v>
      </c>
      <c r="K113" s="891" t="n">
        <f aca="false">TableDE6b!J113</f>
        <v>4.26193014084264</v>
      </c>
      <c r="L113" s="514" t="n">
        <f aca="false">F113</f>
        <v>0.172160916329096</v>
      </c>
      <c r="M113" s="418" t="n">
        <f aca="false">L112/K112</f>
        <v>0.0404148621135686</v>
      </c>
      <c r="N113" s="418" t="n">
        <f aca="false">(1+J113)/(1+M113)-1</f>
        <v>-0.00299124960246866</v>
      </c>
      <c r="O113" s="840" t="n">
        <f aca="false">TableDE5a!O113+TableDE5c!O113</f>
        <v>0</v>
      </c>
      <c r="Q113" s="25"/>
      <c r="R113" s="195"/>
      <c r="S113" s="876" t="n">
        <f aca="false">S112*(1+T113)*(1+F112/S112)/(1+C113)</f>
        <v>3.30188663712574</v>
      </c>
      <c r="T113" s="877" t="n">
        <f aca="false">T$157</f>
        <v>-0.00221</v>
      </c>
      <c r="U113" s="878" t="n">
        <f aca="false">U112*(1+V113)*(1+F112/U112)/(1+C113)</f>
        <v>4.43301039312664</v>
      </c>
      <c r="V113" s="879" t="n">
        <f aca="false">U$157</f>
        <v>0.0048372</v>
      </c>
      <c r="W113" s="816"/>
      <c r="X113" s="817" t="n">
        <f aca="false">1+$C113</f>
        <v>1.04839231000835</v>
      </c>
      <c r="Y113" s="818" t="n">
        <f aca="false">1+E113</f>
        <v>1.03543588191301</v>
      </c>
      <c r="Z113" s="818" t="n">
        <f aca="false">1+G113</f>
        <v>1.0561797545867</v>
      </c>
      <c r="AA113" s="818" t="n">
        <f aca="false">1+H112</f>
        <v>1</v>
      </c>
      <c r="AB113" s="818" t="n">
        <f aca="false">1+I113</f>
        <v>0.980359524424126</v>
      </c>
      <c r="AC113" s="818" t="n">
        <f aca="false">1+J113</f>
        <v>1.03730272157087</v>
      </c>
      <c r="AD113" s="818" t="n">
        <f aca="false">1+M113</f>
        <v>1.04041486211357</v>
      </c>
      <c r="AE113" s="818" t="n">
        <f aca="false">1+N113</f>
        <v>0.997008750397531</v>
      </c>
      <c r="AF113" s="25"/>
    </row>
    <row r="114" customFormat="false" ht="12" hidden="false" customHeight="false" outlineLevel="0" collapsed="false">
      <c r="A114" s="416" t="n">
        <v>1974</v>
      </c>
      <c r="B114" s="819" t="n">
        <f aca="false">TableDE3b!H114</f>
        <v>1108.89535968749</v>
      </c>
      <c r="C114" s="382" t="n">
        <f aca="false">B114/B113-1</f>
        <v>0.00342802163449707</v>
      </c>
      <c r="D114" s="386" t="n">
        <f aca="false">TableDE6a!J114</f>
        <v>3.09689761212134</v>
      </c>
      <c r="E114" s="977" t="n">
        <f aca="false">(D114/D113)*(1+C114)-1</f>
        <v>0.0153780905669265</v>
      </c>
      <c r="F114" s="514" t="n">
        <f aca="false">TableDE12c!B114</f>
        <v>0.153599930791358</v>
      </c>
      <c r="G114" s="387" t="n">
        <f aca="false">F113/D113</f>
        <v>0.0562534653940119</v>
      </c>
      <c r="H114" s="387" t="n">
        <f aca="false">O114/D114</f>
        <v>0</v>
      </c>
      <c r="I114" s="418" t="n">
        <f aca="false">(1+E114)/((1+G114)*(1+H113))-1</f>
        <v>-0.0386984527542712</v>
      </c>
      <c r="J114" s="839" t="n">
        <f aca="false">(K114/K113)*(1+C114)-1</f>
        <v>0.0201985193602541</v>
      </c>
      <c r="K114" s="891" t="n">
        <f aca="false">TableDE6b!J114</f>
        <v>4.33316065084764</v>
      </c>
      <c r="L114" s="514" t="n">
        <f aca="false">F114</f>
        <v>0.153599930791358</v>
      </c>
      <c r="M114" s="418" t="n">
        <f aca="false">L113/K113</f>
        <v>0.0403950582575851</v>
      </c>
      <c r="N114" s="418" t="n">
        <f aca="false">(1+J114)/(1+M114)-1</f>
        <v>-0.0194123748830136</v>
      </c>
      <c r="O114" s="840" t="n">
        <f aca="false">TableDE5a!O114+TableDE5c!O114</f>
        <v>0</v>
      </c>
      <c r="Q114" s="25"/>
      <c r="R114" s="195"/>
      <c r="S114" s="876" t="n">
        <f aca="false">S113*(1+T114)*(1+F113/S113)/(1+C114)</f>
        <v>3.45452771262585</v>
      </c>
      <c r="T114" s="877" t="n">
        <f aca="false">T$157</f>
        <v>-0.00221</v>
      </c>
      <c r="U114" s="878" t="n">
        <f aca="false">U113*(1+V114)*(1+F113/U113)/(1+C114)</f>
        <v>4.61163864706122</v>
      </c>
      <c r="V114" s="879" t="n">
        <f aca="false">U$157</f>
        <v>0.0048372</v>
      </c>
      <c r="W114" s="816"/>
      <c r="X114" s="817" t="n">
        <f aca="false">1+$C114</f>
        <v>1.0034280216345</v>
      </c>
      <c r="Y114" s="818" t="n">
        <f aca="false">1+E114</f>
        <v>1.01537809056693</v>
      </c>
      <c r="Z114" s="818" t="n">
        <f aca="false">1+G114</f>
        <v>1.05625346539401</v>
      </c>
      <c r="AA114" s="818" t="n">
        <f aca="false">1+H113</f>
        <v>1</v>
      </c>
      <c r="AB114" s="818" t="n">
        <f aca="false">1+I114</f>
        <v>0.961301547245729</v>
      </c>
      <c r="AC114" s="818" t="n">
        <f aca="false">1+J114</f>
        <v>1.02019851936025</v>
      </c>
      <c r="AD114" s="818" t="n">
        <f aca="false">1+M114</f>
        <v>1.04039505825759</v>
      </c>
      <c r="AE114" s="818" t="n">
        <f aca="false">1+N114</f>
        <v>0.980587625116986</v>
      </c>
      <c r="AF114" s="25"/>
    </row>
    <row r="115" customFormat="false" ht="12" hidden="false" customHeight="false" outlineLevel="0" collapsed="false">
      <c r="A115" s="416" t="n">
        <v>1975</v>
      </c>
      <c r="B115" s="819" t="n">
        <f aca="false">TableDE3b!H115</f>
        <v>1095.39871502593</v>
      </c>
      <c r="C115" s="382" t="n">
        <f aca="false">B115/B114-1</f>
        <v>-0.0121712518170902</v>
      </c>
      <c r="D115" s="386" t="n">
        <f aca="false">TableDE6a!J115</f>
        <v>3.16914417810401</v>
      </c>
      <c r="E115" s="977" t="n">
        <f aca="false">(D115/D114)*(1+C115)-1</f>
        <v>0.0108734993415667</v>
      </c>
      <c r="F115" s="514" t="n">
        <f aca="false">TableDE12c!B115</f>
        <v>0.111477176187812</v>
      </c>
      <c r="G115" s="387" t="n">
        <f aca="false">F114/D114</f>
        <v>0.0495980009769012</v>
      </c>
      <c r="H115" s="387" t="n">
        <f aca="false">O115/D115</f>
        <v>0</v>
      </c>
      <c r="I115" s="418" t="n">
        <f aca="false">(1+E115)/((1+G115)*(1+H114))-1</f>
        <v>-0.0368946030759321</v>
      </c>
      <c r="J115" s="839" t="n">
        <f aca="false">(K115/K114)*(1+C115)-1</f>
        <v>0.0120381717742866</v>
      </c>
      <c r="K115" s="891" t="n">
        <f aca="false">TableDE6b!J115</f>
        <v>4.43935650906581</v>
      </c>
      <c r="L115" s="514" t="n">
        <f aca="false">F115</f>
        <v>0.111477176187812</v>
      </c>
      <c r="M115" s="418" t="n">
        <f aca="false">L114/K114</f>
        <v>0.0354475504528803</v>
      </c>
      <c r="N115" s="418" t="n">
        <f aca="false">(1+J115)/(1+M115)-1</f>
        <v>-0.0226079811269582</v>
      </c>
      <c r="O115" s="840" t="n">
        <f aca="false">TableDE5a!O115+TableDE5c!O115</f>
        <v>0</v>
      </c>
      <c r="Q115" s="25"/>
      <c r="R115" s="195"/>
      <c r="S115" s="876" t="n">
        <f aca="false">S114*(1+T115)*(1+F114/S114)/(1+C115)</f>
        <v>3.64451195406863</v>
      </c>
      <c r="T115" s="877" t="n">
        <f aca="false">T$157</f>
        <v>-0.00221</v>
      </c>
      <c r="U115" s="878" t="n">
        <f aca="false">U114*(1+V115)*(1+F114/U114)/(1+C115)</f>
        <v>4.84728653494781</v>
      </c>
      <c r="V115" s="879" t="n">
        <f aca="false">U$157</f>
        <v>0.0048372</v>
      </c>
      <c r="W115" s="816"/>
      <c r="X115" s="817" t="n">
        <f aca="false">1+$C115</f>
        <v>0.98782874818291</v>
      </c>
      <c r="Y115" s="818" t="n">
        <f aca="false">1+E115</f>
        <v>1.01087349934157</v>
      </c>
      <c r="Z115" s="818" t="n">
        <f aca="false">1+G115</f>
        <v>1.0495980009769</v>
      </c>
      <c r="AA115" s="818" t="n">
        <f aca="false">1+H114</f>
        <v>1</v>
      </c>
      <c r="AB115" s="818" t="n">
        <f aca="false">1+I115</f>
        <v>0.963105396924068</v>
      </c>
      <c r="AC115" s="818" t="n">
        <f aca="false">1+J115</f>
        <v>1.01203817177429</v>
      </c>
      <c r="AD115" s="818" t="n">
        <f aca="false">1+M115</f>
        <v>1.03544755045288</v>
      </c>
      <c r="AE115" s="818" t="n">
        <f aca="false">1+N115</f>
        <v>0.977392018873042</v>
      </c>
      <c r="AF115" s="25"/>
    </row>
    <row r="116" customFormat="false" ht="12" hidden="false" customHeight="false" outlineLevel="0" collapsed="false">
      <c r="A116" s="416" t="n">
        <v>1976</v>
      </c>
      <c r="B116" s="819" t="n">
        <f aca="false">TableDE3b!H116</f>
        <v>1153.11079471715</v>
      </c>
      <c r="C116" s="382" t="n">
        <f aca="false">B116/B115-1</f>
        <v>0.0526859114398899</v>
      </c>
      <c r="D116" s="386" t="n">
        <f aca="false">TableDE6a!J116</f>
        <v>3.09005048229739</v>
      </c>
      <c r="E116" s="977" t="n">
        <f aca="false">(D116/D115)*(1+C116)-1</f>
        <v>0.0264135758880366</v>
      </c>
      <c r="F116" s="514" t="n">
        <f aca="false">TableDE12c!B116</f>
        <v>0.12118209706</v>
      </c>
      <c r="G116" s="387" t="n">
        <f aca="false">F115/D115</f>
        <v>0.0351757982353788</v>
      </c>
      <c r="H116" s="387" t="n">
        <f aca="false">O116/D116</f>
        <v>0</v>
      </c>
      <c r="I116" s="418" t="n">
        <f aca="false">(1+E116)/((1+G116)*(1+H115))-1</f>
        <v>-0.00846447759141866</v>
      </c>
      <c r="J116" s="839" t="n">
        <f aca="false">(K116/K115)*(1+C116)-1</f>
        <v>0.0256935725480372</v>
      </c>
      <c r="K116" s="891" t="n">
        <f aca="false">TableDE6b!J116</f>
        <v>4.32552519998088</v>
      </c>
      <c r="L116" s="514" t="n">
        <f aca="false">F116</f>
        <v>0.12118209706</v>
      </c>
      <c r="M116" s="418" t="n">
        <f aca="false">L115/K115</f>
        <v>0.0251111114775665</v>
      </c>
      <c r="N116" s="418" t="n">
        <f aca="false">(1+J116)/(1+M116)-1</f>
        <v>0.000568193109945936</v>
      </c>
      <c r="O116" s="840" t="n">
        <f aca="false">TableDE5a!O116+TableDE5c!O116</f>
        <v>0</v>
      </c>
      <c r="Q116" s="25"/>
      <c r="R116" s="195"/>
      <c r="S116" s="876" t="n">
        <f aca="false">S115*(1+T116)*(1+F115/S115)/(1+C116)</f>
        <v>3.56012021586989</v>
      </c>
      <c r="T116" s="877" t="n">
        <f aca="false">T$157</f>
        <v>-0.00221</v>
      </c>
      <c r="U116" s="878" t="n">
        <f aca="false">U115*(1+V116)*(1+F115/U115)/(1+C116)</f>
        <v>4.73336841389242</v>
      </c>
      <c r="V116" s="879" t="n">
        <f aca="false">U$157</f>
        <v>0.0048372</v>
      </c>
      <c r="W116" s="816"/>
      <c r="X116" s="817" t="n">
        <f aca="false">1+$C116</f>
        <v>1.05268591143989</v>
      </c>
      <c r="Y116" s="818" t="n">
        <f aca="false">1+E116</f>
        <v>1.02641357588804</v>
      </c>
      <c r="Z116" s="818" t="n">
        <f aca="false">1+G116</f>
        <v>1.03517579823538</v>
      </c>
      <c r="AA116" s="818" t="n">
        <f aca="false">1+H115</f>
        <v>1</v>
      </c>
      <c r="AB116" s="818" t="n">
        <f aca="false">1+I116</f>
        <v>0.991535522408581</v>
      </c>
      <c r="AC116" s="818" t="n">
        <f aca="false">1+J116</f>
        <v>1.02569357254804</v>
      </c>
      <c r="AD116" s="818" t="n">
        <f aca="false">1+M116</f>
        <v>1.02511111147757</v>
      </c>
      <c r="AE116" s="818" t="n">
        <f aca="false">1+N116</f>
        <v>1.00056819310995</v>
      </c>
      <c r="AF116" s="25"/>
    </row>
    <row r="117" customFormat="false" ht="12" hidden="false" customHeight="false" outlineLevel="0" collapsed="false">
      <c r="A117" s="416" t="n">
        <v>1977</v>
      </c>
      <c r="B117" s="819" t="n">
        <f aca="false">TableDE3b!H117</f>
        <v>1189.42391763973</v>
      </c>
      <c r="C117" s="382" t="n">
        <f aca="false">B117/B116-1</f>
        <v>0.0314914430503441</v>
      </c>
      <c r="D117" s="386" t="n">
        <f aca="false">TableDE6a!J117</f>
        <v>3.1405908163211</v>
      </c>
      <c r="E117" s="977" t="n">
        <f aca="false">(D117/D116)*(1+C117)-1</f>
        <v>0.0483623396175772</v>
      </c>
      <c r="F117" s="514" t="n">
        <f aca="false">TableDE12c!B117</f>
        <v>0.118382629570576</v>
      </c>
      <c r="G117" s="387" t="n">
        <f aca="false">F116/D116</f>
        <v>0.0392168664409341</v>
      </c>
      <c r="H117" s="387" t="n">
        <f aca="false">O117/D117</f>
        <v>0</v>
      </c>
      <c r="I117" s="418" t="n">
        <f aca="false">(1+E117)/((1+G117)*(1+H116))-1</f>
        <v>0.00880035098733933</v>
      </c>
      <c r="J117" s="839" t="n">
        <f aca="false">(K117/K116)*(1+C117)-1</f>
        <v>0.0469155968215107</v>
      </c>
      <c r="K117" s="891" t="n">
        <f aca="false">TableDE6b!J117</f>
        <v>4.39020587792065</v>
      </c>
      <c r="L117" s="514" t="n">
        <f aca="false">F117</f>
        <v>0.118382629570576</v>
      </c>
      <c r="M117" s="418" t="n">
        <f aca="false">L116/K116</f>
        <v>0.0280155799486582</v>
      </c>
      <c r="N117" s="418" t="n">
        <f aca="false">(1+J117)/(1+M117)-1</f>
        <v>0.0183849517862329</v>
      </c>
      <c r="O117" s="840" t="n">
        <f aca="false">TableDE5a!O117+TableDE5c!O117</f>
        <v>0</v>
      </c>
      <c r="Q117" s="25"/>
      <c r="R117" s="195"/>
      <c r="S117" s="876" t="n">
        <f aca="false">S116*(1+T117)*(1+F116/S116)/(1+C117)</f>
        <v>3.56102482436108</v>
      </c>
      <c r="T117" s="877" t="n">
        <f aca="false">T$157</f>
        <v>-0.00221</v>
      </c>
      <c r="U117" s="878" t="n">
        <f aca="false">U116*(1+V117)*(1+F116/U116)/(1+C117)</f>
        <v>4.72910655299146</v>
      </c>
      <c r="V117" s="879" t="n">
        <f aca="false">U$157</f>
        <v>0.0048372</v>
      </c>
      <c r="W117" s="816"/>
      <c r="X117" s="817" t="n">
        <f aca="false">1+$C117</f>
        <v>1.03149144305034</v>
      </c>
      <c r="Y117" s="818" t="n">
        <f aca="false">1+E117</f>
        <v>1.04836233961758</v>
      </c>
      <c r="Z117" s="818" t="n">
        <f aca="false">1+G117</f>
        <v>1.03921686644093</v>
      </c>
      <c r="AA117" s="818" t="n">
        <f aca="false">1+H116</f>
        <v>1</v>
      </c>
      <c r="AB117" s="818" t="n">
        <f aca="false">1+I117</f>
        <v>1.00880035098734</v>
      </c>
      <c r="AC117" s="818" t="n">
        <f aca="false">1+J117</f>
        <v>1.04691559682151</v>
      </c>
      <c r="AD117" s="818" t="n">
        <f aca="false">1+M117</f>
        <v>1.02801557994866</v>
      </c>
      <c r="AE117" s="818" t="n">
        <f aca="false">1+N117</f>
        <v>1.01838495178623</v>
      </c>
      <c r="AF117" s="25"/>
    </row>
    <row r="118" customFormat="false" ht="12" hidden="false" customHeight="false" outlineLevel="0" collapsed="false">
      <c r="A118" s="416" t="n">
        <v>1978</v>
      </c>
      <c r="B118" s="819" t="n">
        <f aca="false">TableDE3b!H118</f>
        <v>1227.98418781201</v>
      </c>
      <c r="C118" s="382" t="n">
        <f aca="false">B118/B117-1</f>
        <v>0.0324192826463412</v>
      </c>
      <c r="D118" s="386" t="n">
        <f aca="false">TableDE6a!J118</f>
        <v>3.21768400241244</v>
      </c>
      <c r="E118" s="977" t="n">
        <f aca="false">(D118/D117)*(1+C118)-1</f>
        <v>0.0577624414773843</v>
      </c>
      <c r="F118" s="514" t="n">
        <f aca="false">TableDE12c!B118</f>
        <v>0.124480493363722</v>
      </c>
      <c r="G118" s="387" t="n">
        <f aca="false">F117/D117</f>
        <v>0.0376943818836133</v>
      </c>
      <c r="H118" s="387" t="n">
        <f aca="false">O118/D118</f>
        <v>0</v>
      </c>
      <c r="I118" s="418" t="n">
        <f aca="false">(1+E118)/((1+G118)*(1+H117))-1</f>
        <v>0.0193390847480004</v>
      </c>
      <c r="J118" s="839" t="n">
        <f aca="false">(K118/K117)*(1+C118)-1</f>
        <v>0.0556387203149293</v>
      </c>
      <c r="K118" s="891" t="n">
        <f aca="false">TableDE6b!J118</f>
        <v>4.48894300289313</v>
      </c>
      <c r="L118" s="514" t="n">
        <f aca="false">F118</f>
        <v>0.124480493363722</v>
      </c>
      <c r="M118" s="418" t="n">
        <f aca="false">L117/K117</f>
        <v>0.0269651658401602</v>
      </c>
      <c r="N118" s="418" t="n">
        <f aca="false">(1+J118)/(1+M118)-1</f>
        <v>0.0279206690046896</v>
      </c>
      <c r="O118" s="840" t="n">
        <f aca="false">TableDE5a!O118+TableDE5c!O118</f>
        <v>0</v>
      </c>
      <c r="Q118" s="25"/>
      <c r="R118" s="195"/>
      <c r="S118" s="876" t="n">
        <f aca="false">S117*(1+T118)*(1+F117/S117)/(1+C118)</f>
        <v>3.55599321435386</v>
      </c>
      <c r="T118" s="877" t="n">
        <f aca="false">T$157</f>
        <v>-0.00221</v>
      </c>
      <c r="U118" s="878" t="n">
        <f aca="false">U117*(1+V118)*(1+F117/U117)/(1+C118)</f>
        <v>4.71798380668611</v>
      </c>
      <c r="V118" s="879" t="n">
        <f aca="false">U$157</f>
        <v>0.0048372</v>
      </c>
      <c r="W118" s="816"/>
      <c r="X118" s="817" t="n">
        <f aca="false">1+$C118</f>
        <v>1.03241928264634</v>
      </c>
      <c r="Y118" s="818" t="n">
        <f aca="false">1+E118</f>
        <v>1.05776244147738</v>
      </c>
      <c r="Z118" s="818" t="n">
        <f aca="false">1+G118</f>
        <v>1.03769438188361</v>
      </c>
      <c r="AA118" s="818" t="n">
        <f aca="false">1+H117</f>
        <v>1</v>
      </c>
      <c r="AB118" s="818" t="n">
        <f aca="false">1+I118</f>
        <v>1.019339084748</v>
      </c>
      <c r="AC118" s="818" t="n">
        <f aca="false">1+J118</f>
        <v>1.05563872031493</v>
      </c>
      <c r="AD118" s="818" t="n">
        <f aca="false">1+M118</f>
        <v>1.02696516584016</v>
      </c>
      <c r="AE118" s="818" t="n">
        <f aca="false">1+N118</f>
        <v>1.02792066900469</v>
      </c>
      <c r="AF118" s="25"/>
    </row>
    <row r="119" customFormat="false" ht="12.75" hidden="false" customHeight="true" outlineLevel="0" collapsed="false">
      <c r="A119" s="436" t="n">
        <v>1979</v>
      </c>
      <c r="B119" s="823" t="n">
        <f aca="false">TableDE3b!H119</f>
        <v>1272.90238653352</v>
      </c>
      <c r="C119" s="407" t="n">
        <f aca="false">B119/B118-1</f>
        <v>0.0365788087235408</v>
      </c>
      <c r="D119" s="989" t="n">
        <f aca="false">TableDE6a!J119</f>
        <v>3.24207334789426</v>
      </c>
      <c r="E119" s="980" t="n">
        <f aca="false">(D119/D118)*(1+C119)-1</f>
        <v>0.0444358508277789</v>
      </c>
      <c r="F119" s="842" t="n">
        <f aca="false">TableDE12c!B119</f>
        <v>0.117190164646057</v>
      </c>
      <c r="G119" s="406" t="n">
        <f aca="false">F118/D118</f>
        <v>0.0386863636299877</v>
      </c>
      <c r="H119" s="406" t="n">
        <f aca="false">O119/D119</f>
        <v>0</v>
      </c>
      <c r="I119" s="437" t="n">
        <f aca="false">(1+E119)/((1+G119)*(1+H118))-1</f>
        <v>0.00553534483469864</v>
      </c>
      <c r="J119" s="843" t="n">
        <f aca="false">(K119/K118)*(1+C119)-1</f>
        <v>0.0547868785036043</v>
      </c>
      <c r="K119" s="990" t="n">
        <f aca="false">TableDE6b!J119</f>
        <v>4.56779372485227</v>
      </c>
      <c r="L119" s="842" t="n">
        <f aca="false">F119</f>
        <v>0.117190164646057</v>
      </c>
      <c r="M119" s="437" t="n">
        <f aca="false">L118/K118</f>
        <v>0.027730468683495</v>
      </c>
      <c r="N119" s="437" t="n">
        <f aca="false">(1+J119)/(1+M119)-1</f>
        <v>0.0263263673157108</v>
      </c>
      <c r="O119" s="844" t="n">
        <f aca="false">TableDE5a!O119+TableDE5c!O119</f>
        <v>0</v>
      </c>
      <c r="Q119" s="25"/>
      <c r="R119" s="195"/>
      <c r="S119" s="876" t="n">
        <f aca="false">S118*(1+T119)*(1+F118/S118)/(1+C119)</f>
        <v>3.54275027611813</v>
      </c>
      <c r="T119" s="877" t="n">
        <f aca="false">T$157</f>
        <v>-0.00221</v>
      </c>
      <c r="U119" s="878" t="n">
        <f aca="false">U118*(1+V119)*(1+F118/U118)/(1+C119)</f>
        <v>4.69418072934943</v>
      </c>
      <c r="V119" s="879" t="n">
        <f aca="false">U$157</f>
        <v>0.0048372</v>
      </c>
      <c r="W119" s="816"/>
      <c r="X119" s="817" t="n">
        <f aca="false">1+$C119</f>
        <v>1.03657880872354</v>
      </c>
      <c r="Y119" s="818" t="n">
        <f aca="false">1+E119</f>
        <v>1.04443585082778</v>
      </c>
      <c r="Z119" s="818" t="n">
        <f aca="false">1+G119</f>
        <v>1.03868636362999</v>
      </c>
      <c r="AA119" s="818" t="n">
        <f aca="false">1+H118</f>
        <v>1</v>
      </c>
      <c r="AB119" s="818" t="n">
        <f aca="false">1+I119</f>
        <v>1.0055353448347</v>
      </c>
      <c r="AC119" s="818" t="n">
        <f aca="false">1+J119</f>
        <v>1.0547868785036</v>
      </c>
      <c r="AD119" s="818" t="n">
        <f aca="false">1+M119</f>
        <v>1.0277304686835</v>
      </c>
      <c r="AE119" s="818" t="n">
        <f aca="false">1+N119</f>
        <v>1.02632636731571</v>
      </c>
      <c r="AF119" s="25"/>
    </row>
    <row r="120" customFormat="false" ht="12" hidden="false" customHeight="false" outlineLevel="0" collapsed="false">
      <c r="A120" s="416" t="n">
        <v>1980</v>
      </c>
      <c r="B120" s="819" t="n">
        <f aca="false">TableDE3b!H120</f>
        <v>1283.62831050316</v>
      </c>
      <c r="C120" s="382" t="n">
        <f aca="false">B120/B119-1</f>
        <v>0.00842635231351685</v>
      </c>
      <c r="D120" s="386" t="n">
        <f aca="false">TableDE6a!J120</f>
        <v>3.29609098585393</v>
      </c>
      <c r="E120" s="977" t="n">
        <f aca="false">(D120/D119)*(1+C120)-1</f>
        <v>0.0252281959990242</v>
      </c>
      <c r="F120" s="514" t="n">
        <f aca="false">TableDE12c!B120</f>
        <v>0.0971641029379602</v>
      </c>
      <c r="G120" s="387" t="n">
        <f aca="false">F119/D119</f>
        <v>0.0361466728450709</v>
      </c>
      <c r="H120" s="387" t="n">
        <f aca="false">O120/D120</f>
        <v>0</v>
      </c>
      <c r="I120" s="418" t="n">
        <f aca="false">(1+E120)/((1+G120)*(1+H119))-1</f>
        <v>-0.0105375784454016</v>
      </c>
      <c r="J120" s="839" t="n">
        <f aca="false">(K120/K119)*(1+C120)-1</f>
        <v>0.0407174821190601</v>
      </c>
      <c r="K120" s="891" t="n">
        <f aca="false">TableDE6b!J120</f>
        <v>4.71406044998868</v>
      </c>
      <c r="L120" s="514" t="n">
        <f aca="false">F120</f>
        <v>0.0971641029379602</v>
      </c>
      <c r="M120" s="418" t="n">
        <f aca="false">L119/K119</f>
        <v>0.025655747983639</v>
      </c>
      <c r="N120" s="418" t="n">
        <f aca="false">(1+J120)/(1+M120)-1</f>
        <v>0.0146849799896616</v>
      </c>
      <c r="O120" s="880" t="n">
        <f aca="false">TableDE5a!O120+TableDE5c!O120</f>
        <v>0</v>
      </c>
      <c r="Q120" s="25"/>
      <c r="R120" s="195"/>
      <c r="S120" s="876" t="n">
        <f aca="false">S119*(1+T120)*(1+F119/S119)/(1+C120)</f>
        <v>3.62133730838358</v>
      </c>
      <c r="T120" s="877" t="n">
        <f aca="false">T$157</f>
        <v>-0.00221</v>
      </c>
      <c r="U120" s="878" t="n">
        <f aca="false">U119*(1+V120)*(1+F119/U119)/(1+C120)</f>
        <v>4.79424644763829</v>
      </c>
      <c r="V120" s="879" t="n">
        <f aca="false">U$157</f>
        <v>0.0048372</v>
      </c>
      <c r="W120" s="816"/>
      <c r="X120" s="817" t="n">
        <f aca="false">1+$C120</f>
        <v>1.00842635231352</v>
      </c>
      <c r="Y120" s="818" t="n">
        <f aca="false">1+E120</f>
        <v>1.02522819599902</v>
      </c>
      <c r="Z120" s="818" t="n">
        <f aca="false">1+G120</f>
        <v>1.03614667284507</v>
      </c>
      <c r="AA120" s="818" t="n">
        <f aca="false">1+H119</f>
        <v>1</v>
      </c>
      <c r="AB120" s="818" t="n">
        <f aca="false">1+I120</f>
        <v>0.989462421554598</v>
      </c>
      <c r="AC120" s="818" t="n">
        <f aca="false">1+J120</f>
        <v>1.04071748211906</v>
      </c>
      <c r="AD120" s="818" t="n">
        <f aca="false">1+M120</f>
        <v>1.02565574798364</v>
      </c>
      <c r="AE120" s="818" t="n">
        <f aca="false">1+N120</f>
        <v>1.01468497998966</v>
      </c>
      <c r="AF120" s="25"/>
    </row>
    <row r="121" customFormat="false" ht="12" hidden="false" customHeight="false" outlineLevel="0" collapsed="false">
      <c r="A121" s="416" t="n">
        <v>1981</v>
      </c>
      <c r="B121" s="819" t="n">
        <f aca="false">TableDE3b!H121</f>
        <v>1280.24661681225</v>
      </c>
      <c r="C121" s="382" t="n">
        <f aca="false">B121/B120-1</f>
        <v>-0.00263448045142589</v>
      </c>
      <c r="D121" s="386" t="n">
        <f aca="false">TableDE6a!J121</f>
        <v>3.38775951530829</v>
      </c>
      <c r="E121" s="977" t="n">
        <f aca="false">(D121/D120)*(1+C121)-1</f>
        <v>0.025103537369648</v>
      </c>
      <c r="F121" s="514" t="n">
        <f aca="false">TableDE12c!B121</f>
        <v>0.0795027221193243</v>
      </c>
      <c r="G121" s="387" t="n">
        <f aca="false">F120/D120</f>
        <v>0.0294785864088602</v>
      </c>
      <c r="H121" s="387" t="n">
        <f aca="false">O121/D121</f>
        <v>0</v>
      </c>
      <c r="I121" s="418" t="n">
        <f aca="false">(1+E121)/((1+G121)*(1+H120))-1</f>
        <v>-0.00424977177473285</v>
      </c>
      <c r="J121" s="839" t="n">
        <f aca="false">(K121/K120)*(1+C121)-1</f>
        <v>0.033731619809769</v>
      </c>
      <c r="K121" s="891" t="n">
        <f aca="false">TableDE6b!J121</f>
        <v>4.8859452721542</v>
      </c>
      <c r="L121" s="514" t="n">
        <f aca="false">F121</f>
        <v>0.0795027221193243</v>
      </c>
      <c r="M121" s="418" t="n">
        <f aca="false">L120/K120</f>
        <v>0.0206115521785881</v>
      </c>
      <c r="N121" s="418" t="n">
        <f aca="false">(1+J121)/(1+M121)-1</f>
        <v>0.0128551039846403</v>
      </c>
      <c r="O121" s="840" t="n">
        <f aca="false">TableDE5a!O121+TableDE5c!O121</f>
        <v>0</v>
      </c>
      <c r="Q121" s="25"/>
      <c r="R121" s="195"/>
      <c r="S121" s="876" t="n">
        <f aca="false">S120*(1+T121)*(1+F120/S120)/(1+C121)</f>
        <v>3.72008401180929</v>
      </c>
      <c r="T121" s="877" t="n">
        <f aca="false">T$157</f>
        <v>-0.00221</v>
      </c>
      <c r="U121" s="878" t="n">
        <f aca="false">U120*(1+V121)*(1+F120/U120)/(1+C121)</f>
        <v>4.92805414399743</v>
      </c>
      <c r="V121" s="879" t="n">
        <f aca="false">U$157</f>
        <v>0.0048372</v>
      </c>
      <c r="W121" s="816"/>
      <c r="X121" s="817" t="n">
        <f aca="false">1+$C121</f>
        <v>0.997365519548574</v>
      </c>
      <c r="Y121" s="818" t="n">
        <f aca="false">1+E121</f>
        <v>1.02510353736965</v>
      </c>
      <c r="Z121" s="818" t="n">
        <f aca="false">1+G121</f>
        <v>1.02947858640886</v>
      </c>
      <c r="AA121" s="818" t="n">
        <f aca="false">1+H120</f>
        <v>1</v>
      </c>
      <c r="AB121" s="818" t="n">
        <f aca="false">1+I121</f>
        <v>0.995750228225267</v>
      </c>
      <c r="AC121" s="818" t="n">
        <f aca="false">1+J121</f>
        <v>1.03373161980977</v>
      </c>
      <c r="AD121" s="818" t="n">
        <f aca="false">1+M121</f>
        <v>1.02061155217859</v>
      </c>
      <c r="AE121" s="818" t="n">
        <f aca="false">1+N121</f>
        <v>1.01285510398464</v>
      </c>
      <c r="AF121" s="25"/>
    </row>
    <row r="122" customFormat="false" ht="12" hidden="false" customHeight="false" outlineLevel="0" collapsed="false">
      <c r="A122" s="416" t="n">
        <v>1982</v>
      </c>
      <c r="B122" s="819" t="n">
        <f aca="false">TableDE3b!H122</f>
        <v>1268.93056625048</v>
      </c>
      <c r="C122" s="382" t="n">
        <f aca="false">B122/B121-1</f>
        <v>-0.00883896150410413</v>
      </c>
      <c r="D122" s="386" t="n">
        <f aca="false">TableDE6a!J122</f>
        <v>3.4673180412563</v>
      </c>
      <c r="E122" s="977" t="n">
        <f aca="false">(D122/D121)*(1+C122)-1</f>
        <v>0.0144375759370892</v>
      </c>
      <c r="F122" s="514" t="n">
        <f aca="false">TableDE12c!B122</f>
        <v>0.0799772576518525</v>
      </c>
      <c r="G122" s="387" t="n">
        <f aca="false">F121/D121</f>
        <v>0.0234676404154648</v>
      </c>
      <c r="H122" s="387" t="n">
        <f aca="false">O122/D122</f>
        <v>0</v>
      </c>
      <c r="I122" s="418" t="n">
        <f aca="false">(1+E122)/((1+G122)*(1+H121))-1</f>
        <v>-0.00882300926945767</v>
      </c>
      <c r="J122" s="839" t="n">
        <f aca="false">(K122/K121)*(1+C122)-1</f>
        <v>0.0113921457857111</v>
      </c>
      <c r="K122" s="891" t="n">
        <f aca="false">TableDE6b!J122</f>
        <v>4.9856748611654</v>
      </c>
      <c r="L122" s="514" t="n">
        <f aca="false">F122</f>
        <v>0.0799772576518525</v>
      </c>
      <c r="M122" s="418" t="n">
        <f aca="false">L121/K121</f>
        <v>0.0162717176904177</v>
      </c>
      <c r="N122" s="418" t="n">
        <f aca="false">(1+J122)/(1+M122)-1</f>
        <v>-0.00480144416081552</v>
      </c>
      <c r="O122" s="840" t="n">
        <f aca="false">TableDE5a!O122+TableDE5c!O122</f>
        <v>0</v>
      </c>
      <c r="Q122" s="25"/>
      <c r="R122" s="195"/>
      <c r="S122" s="876" t="n">
        <f aca="false">S121*(1+T122)*(1+F121/S121)/(1+C122)</f>
        <v>3.82499866318376</v>
      </c>
      <c r="T122" s="877" t="n">
        <f aca="false">T$157</f>
        <v>-0.00221</v>
      </c>
      <c r="U122" s="878" t="n">
        <f aca="false">U121*(1+V122)*(1+F121/U121)/(1+C122)</f>
        <v>5.07665174957376</v>
      </c>
      <c r="V122" s="879" t="n">
        <f aca="false">U$157</f>
        <v>0.0048372</v>
      </c>
      <c r="W122" s="816"/>
      <c r="X122" s="817" t="n">
        <f aca="false">1+$C122</f>
        <v>0.991161038495896</v>
      </c>
      <c r="Y122" s="818" t="n">
        <f aca="false">1+E122</f>
        <v>1.01443757593709</v>
      </c>
      <c r="Z122" s="818" t="n">
        <f aca="false">1+G122</f>
        <v>1.02346764041546</v>
      </c>
      <c r="AA122" s="818" t="n">
        <f aca="false">1+H121</f>
        <v>1</v>
      </c>
      <c r="AB122" s="818" t="n">
        <f aca="false">1+I122</f>
        <v>0.991176990730542</v>
      </c>
      <c r="AC122" s="818" t="n">
        <f aca="false">1+J122</f>
        <v>1.01139214578571</v>
      </c>
      <c r="AD122" s="818" t="n">
        <f aca="false">1+M122</f>
        <v>1.01627171769042</v>
      </c>
      <c r="AE122" s="818" t="n">
        <f aca="false">1+N122</f>
        <v>0.995198555839185</v>
      </c>
      <c r="AF122" s="25"/>
    </row>
    <row r="123" customFormat="false" ht="12" hidden="false" customHeight="false" outlineLevel="0" collapsed="false">
      <c r="A123" s="416" t="n">
        <v>1983</v>
      </c>
      <c r="B123" s="819" t="n">
        <f aca="false">TableDE3b!H123</f>
        <v>1292.27637407554</v>
      </c>
      <c r="C123" s="382" t="n">
        <f aca="false">B123/B122-1</f>
        <v>0.018398018336053</v>
      </c>
      <c r="D123" s="386" t="n">
        <f aca="false">TableDE6a!J123</f>
        <v>3.50167685059811</v>
      </c>
      <c r="E123" s="977" t="n">
        <f aca="false">(D123/D122)*(1+C123)-1</f>
        <v>0.0284896635009153</v>
      </c>
      <c r="F123" s="514" t="n">
        <f aca="false">TableDE12c!B123</f>
        <v>0.0846596418643738</v>
      </c>
      <c r="G123" s="387" t="n">
        <f aca="false">F122/D122</f>
        <v>0.0230660287577412</v>
      </c>
      <c r="H123" s="387" t="n">
        <f aca="false">O123/D123</f>
        <v>0</v>
      </c>
      <c r="I123" s="418" t="n">
        <f aca="false">(1+E123)/((1+G123)*(1+H122))-1</f>
        <v>0.00530135356929007</v>
      </c>
      <c r="J123" s="839" t="n">
        <f aca="false">(K123/K122)*(1+C123)-1</f>
        <v>0.0227856517340876</v>
      </c>
      <c r="K123" s="891" t="n">
        <f aca="false">TableDE6b!J123</f>
        <v>5.00715498302221</v>
      </c>
      <c r="L123" s="514" t="n">
        <f aca="false">F123</f>
        <v>0.0846596418643738</v>
      </c>
      <c r="M123" s="418" t="n">
        <f aca="false">L122/K122</f>
        <v>0.0160414106172094</v>
      </c>
      <c r="N123" s="418" t="n">
        <f aca="false">(1+J123)/(1+M123)-1</f>
        <v>0.00663776205025091</v>
      </c>
      <c r="O123" s="840" t="n">
        <f aca="false">TableDE5a!O123+TableDE5c!O123</f>
        <v>0</v>
      </c>
      <c r="Q123" s="25"/>
      <c r="R123" s="195"/>
      <c r="S123" s="876" t="n">
        <f aca="false">S122*(1+T123)*(1+F122/S122)/(1+C123)</f>
        <v>3.82595591693782</v>
      </c>
      <c r="T123" s="877" t="n">
        <f aca="false">T$157</f>
        <v>-0.00221</v>
      </c>
      <c r="U123" s="878" t="n">
        <f aca="false">U122*(1+V123)*(1+F122/U122)/(1+C123)</f>
        <v>5.08796419451549</v>
      </c>
      <c r="V123" s="879" t="n">
        <f aca="false">U$157</f>
        <v>0.0048372</v>
      </c>
      <c r="W123" s="816"/>
      <c r="X123" s="817" t="n">
        <f aca="false">1+$C123</f>
        <v>1.01839801833605</v>
      </c>
      <c r="Y123" s="818" t="n">
        <f aca="false">1+E123</f>
        <v>1.02848966350092</v>
      </c>
      <c r="Z123" s="818" t="n">
        <f aca="false">1+G123</f>
        <v>1.02306602875774</v>
      </c>
      <c r="AA123" s="818" t="n">
        <f aca="false">1+H122</f>
        <v>1</v>
      </c>
      <c r="AB123" s="818" t="n">
        <f aca="false">1+I123</f>
        <v>1.00530135356929</v>
      </c>
      <c r="AC123" s="818" t="n">
        <f aca="false">1+J123</f>
        <v>1.02278565173409</v>
      </c>
      <c r="AD123" s="818" t="n">
        <f aca="false">1+M123</f>
        <v>1.01604141061721</v>
      </c>
      <c r="AE123" s="818" t="n">
        <f aca="false">1+N123</f>
        <v>1.00663776205025</v>
      </c>
      <c r="AF123" s="25"/>
    </row>
    <row r="124" customFormat="false" ht="12" hidden="false" customHeight="false" outlineLevel="0" collapsed="false">
      <c r="A124" s="416" t="n">
        <v>1984</v>
      </c>
      <c r="B124" s="819" t="n">
        <f aca="false">TableDE3b!H124</f>
        <v>1333.40857624787</v>
      </c>
      <c r="C124" s="382" t="n">
        <f aca="false">B124/B123-1</f>
        <v>0.0318292611375461</v>
      </c>
      <c r="D124" s="386" t="n">
        <f aca="false">TableDE6a!J124</f>
        <v>3.51603607644602</v>
      </c>
      <c r="E124" s="977" t="n">
        <f aca="false">(D124/D123)*(1+C124)-1</f>
        <v>0.0360604538001788</v>
      </c>
      <c r="F124" s="514" t="n">
        <f aca="false">TableDE12c!B124</f>
        <v>0.0902065338919536</v>
      </c>
      <c r="G124" s="387" t="n">
        <f aca="false">F123/D123</f>
        <v>0.0241768859539148</v>
      </c>
      <c r="H124" s="387" t="n">
        <f aca="false">O124/D124</f>
        <v>0</v>
      </c>
      <c r="I124" s="418" t="n">
        <f aca="false">(1+E124)/((1+G124)*(1+H123))-1</f>
        <v>0.0116030424131235</v>
      </c>
      <c r="J124" s="839" t="n">
        <f aca="false">(K124/K123)*(1+C124)-1</f>
        <v>0.0307840527140753</v>
      </c>
      <c r="K124" s="891" t="n">
        <f aca="false">TableDE6b!J124</f>
        <v>5.00208290301538</v>
      </c>
      <c r="L124" s="514" t="n">
        <f aca="false">F124</f>
        <v>0.0902065338919536</v>
      </c>
      <c r="M124" s="418" t="n">
        <f aca="false">L123/K123</f>
        <v>0.0169077334636994</v>
      </c>
      <c r="N124" s="418" t="n">
        <f aca="false">(1+J124)/(1+M124)-1</f>
        <v>0.0136456030313701</v>
      </c>
      <c r="O124" s="840" t="n">
        <f aca="false">TableDE5a!O124+TableDE5c!O124</f>
        <v>0</v>
      </c>
      <c r="Q124" s="25"/>
      <c r="R124" s="195"/>
      <c r="S124" s="876" t="n">
        <f aca="false">S123*(1+T124)*(1+F123/S123)/(1+C124)</f>
        <v>3.78160733115427</v>
      </c>
      <c r="T124" s="877" t="n">
        <f aca="false">T$157</f>
        <v>-0.00221</v>
      </c>
      <c r="U124" s="878" t="n">
        <f aca="false">U123*(1+V124)*(1+F123/U123)/(1+C124)</f>
        <v>5.03731096622616</v>
      </c>
      <c r="V124" s="879" t="n">
        <f aca="false">U$157</f>
        <v>0.0048372</v>
      </c>
      <c r="W124" s="816"/>
      <c r="X124" s="817" t="n">
        <f aca="false">1+$C124</f>
        <v>1.03182926113755</v>
      </c>
      <c r="Y124" s="818" t="n">
        <f aca="false">1+E124</f>
        <v>1.03606045380018</v>
      </c>
      <c r="Z124" s="818" t="n">
        <f aca="false">1+G124</f>
        <v>1.02417688595391</v>
      </c>
      <c r="AA124" s="818" t="n">
        <f aca="false">1+H123</f>
        <v>1</v>
      </c>
      <c r="AB124" s="818" t="n">
        <f aca="false">1+I124</f>
        <v>1.01160304241312</v>
      </c>
      <c r="AC124" s="818" t="n">
        <f aca="false">1+J124</f>
        <v>1.03078405271408</v>
      </c>
      <c r="AD124" s="818" t="n">
        <f aca="false">1+M124</f>
        <v>1.0169077334637</v>
      </c>
      <c r="AE124" s="818" t="n">
        <f aca="false">1+N124</f>
        <v>1.01364560303137</v>
      </c>
      <c r="AF124" s="25"/>
    </row>
    <row r="125" customFormat="false" ht="12" hidden="false" customHeight="false" outlineLevel="0" collapsed="false">
      <c r="A125" s="416" t="n">
        <v>1985</v>
      </c>
      <c r="B125" s="819" t="n">
        <f aca="false">TableDE3b!H125</f>
        <v>1365.03233867622</v>
      </c>
      <c r="C125" s="382" t="n">
        <f aca="false">B125/B124-1</f>
        <v>0.0237164834482584</v>
      </c>
      <c r="D125" s="386" t="n">
        <f aca="false">TableDE6a!J125</f>
        <v>3.56487816682115</v>
      </c>
      <c r="E125" s="977" t="n">
        <f aca="false">(D125/D124)*(1+C125)-1</f>
        <v>0.037937171722205</v>
      </c>
      <c r="F125" s="514" t="n">
        <f aca="false">TableDE12c!B125</f>
        <v>0.0992584409632041</v>
      </c>
      <c r="G125" s="387" t="n">
        <f aca="false">F124/D124</f>
        <v>0.0256557475323557</v>
      </c>
      <c r="H125" s="387" t="n">
        <f aca="false">O125/D125</f>
        <v>0</v>
      </c>
      <c r="I125" s="418" t="n">
        <f aca="false">(1+E125)/((1+G125)*(1+H124))-1</f>
        <v>0.0119742167090637</v>
      </c>
      <c r="J125" s="839" t="n">
        <f aca="false">(K125/K124)*(1+C125)-1</f>
        <v>0.0271882625757458</v>
      </c>
      <c r="K125" s="891" t="n">
        <f aca="false">TableDE6b!J125</f>
        <v>5.01904670822652</v>
      </c>
      <c r="L125" s="514" t="n">
        <f aca="false">F125</f>
        <v>0.0992584409632041</v>
      </c>
      <c r="M125" s="418" t="n">
        <f aca="false">L124/K124</f>
        <v>0.0180337942495065</v>
      </c>
      <c r="N125" s="418" t="n">
        <f aca="false">(1+J125)/(1+M125)-1</f>
        <v>0.00899230298438947</v>
      </c>
      <c r="O125" s="840" t="n">
        <f aca="false">TableDE5a!O125+TableDE5c!O125</f>
        <v>0</v>
      </c>
      <c r="Q125" s="25"/>
      <c r="R125" s="195"/>
      <c r="S125" s="876" t="n">
        <f aca="false">S124*(1+T125)*(1+F124/S124)/(1+C125)</f>
        <v>3.77375691303864</v>
      </c>
      <c r="T125" s="877" t="n">
        <f aca="false">T$157</f>
        <v>-0.00221</v>
      </c>
      <c r="U125" s="878" t="n">
        <f aca="false">U124*(1+V125)*(1+F124/U124)/(1+C125)</f>
        <v>5.03295630291578</v>
      </c>
      <c r="V125" s="879" t="n">
        <f aca="false">U$157</f>
        <v>0.0048372</v>
      </c>
      <c r="W125" s="816"/>
      <c r="X125" s="817" t="n">
        <f aca="false">1+$C125</f>
        <v>1.02371648344826</v>
      </c>
      <c r="Y125" s="818" t="n">
        <f aca="false">1+E125</f>
        <v>1.03793717172221</v>
      </c>
      <c r="Z125" s="818" t="n">
        <f aca="false">1+G125</f>
        <v>1.02565574753236</v>
      </c>
      <c r="AA125" s="818" t="n">
        <f aca="false">1+H124</f>
        <v>1</v>
      </c>
      <c r="AB125" s="818" t="n">
        <f aca="false">1+I125</f>
        <v>1.01197421670906</v>
      </c>
      <c r="AC125" s="818" t="n">
        <f aca="false">1+J125</f>
        <v>1.02718826257575</v>
      </c>
      <c r="AD125" s="818" t="n">
        <f aca="false">1+M125</f>
        <v>1.01803379424951</v>
      </c>
      <c r="AE125" s="818" t="n">
        <f aca="false">1+N125</f>
        <v>1.00899230298439</v>
      </c>
      <c r="AF125" s="25"/>
    </row>
    <row r="126" customFormat="false" ht="12" hidden="false" customHeight="false" outlineLevel="0" collapsed="false">
      <c r="A126" s="416" t="n">
        <v>1986</v>
      </c>
      <c r="B126" s="819" t="n">
        <f aca="false">TableDE3b!H126</f>
        <v>1395.2218625527</v>
      </c>
      <c r="C126" s="382" t="n">
        <f aca="false">B126/B125-1</f>
        <v>0.0221163433430156</v>
      </c>
      <c r="D126" s="386" t="n">
        <f aca="false">TableDE6a!J126</f>
        <v>3.58960235321446</v>
      </c>
      <c r="E126" s="977" t="n">
        <f aca="false">(D126/D125)*(1+C126)-1</f>
        <v>0.0292052237495499</v>
      </c>
      <c r="F126" s="514" t="n">
        <f aca="false">TableDE12c!B126</f>
        <v>0.118253162013418</v>
      </c>
      <c r="G126" s="387" t="n">
        <f aca="false">F125/D125</f>
        <v>0.0278434314774113</v>
      </c>
      <c r="H126" s="387" t="n">
        <f aca="false">O126/D126</f>
        <v>0</v>
      </c>
      <c r="I126" s="418" t="n">
        <f aca="false">(1+E126)/((1+G126)*(1+H125))-1</f>
        <v>0.00132490244178651</v>
      </c>
      <c r="J126" s="839" t="n">
        <f aca="false">(K126/K125)*(1+C126)-1</f>
        <v>0.0192897946461323</v>
      </c>
      <c r="K126" s="891" t="n">
        <f aca="false">TableDE6b!J126</f>
        <v>5.00516709459435</v>
      </c>
      <c r="L126" s="514" t="n">
        <f aca="false">F126</f>
        <v>0.118253162013418</v>
      </c>
      <c r="M126" s="418" t="n">
        <f aca="false">L125/K125</f>
        <v>0.0197763533063985</v>
      </c>
      <c r="N126" s="418" t="n">
        <f aca="false">(1+J126)/(1+M126)-1</f>
        <v>-0.000477122909046335</v>
      </c>
      <c r="O126" s="840" t="n">
        <f aca="false">TableDE5a!O126+TableDE5c!O126</f>
        <v>0</v>
      </c>
      <c r="Q126" s="25"/>
      <c r="R126" s="195"/>
      <c r="S126" s="876" t="n">
        <f aca="false">S125*(1+T126)*(1+F125/S125)/(1+C126)</f>
        <v>3.7808376856886</v>
      </c>
      <c r="T126" s="877" t="n">
        <f aca="false">T$157</f>
        <v>-0.00221</v>
      </c>
      <c r="U126" s="878" t="n">
        <f aca="false">U125*(1+V126)*(1+F125/U125)/(1+C126)</f>
        <v>5.045453315198</v>
      </c>
      <c r="V126" s="879" t="n">
        <f aca="false">U$157</f>
        <v>0.0048372</v>
      </c>
      <c r="W126" s="816"/>
      <c r="X126" s="817" t="n">
        <f aca="false">1+$C126</f>
        <v>1.02211634334302</v>
      </c>
      <c r="Y126" s="818" t="n">
        <f aca="false">1+E126</f>
        <v>1.02920522374955</v>
      </c>
      <c r="Z126" s="818" t="n">
        <f aca="false">1+G126</f>
        <v>1.02784343147741</v>
      </c>
      <c r="AA126" s="818" t="n">
        <f aca="false">1+H125</f>
        <v>1</v>
      </c>
      <c r="AB126" s="818" t="n">
        <f aca="false">1+I126</f>
        <v>1.00132490244179</v>
      </c>
      <c r="AC126" s="818" t="n">
        <f aca="false">1+J126</f>
        <v>1.01928979464613</v>
      </c>
      <c r="AD126" s="818" t="n">
        <f aca="false">1+M126</f>
        <v>1.0197763533064</v>
      </c>
      <c r="AE126" s="818" t="n">
        <f aca="false">1+N126</f>
        <v>0.999522877090954</v>
      </c>
      <c r="AF126" s="25"/>
    </row>
    <row r="127" customFormat="false" ht="12" hidden="false" customHeight="false" outlineLevel="0" collapsed="false">
      <c r="A127" s="416" t="n">
        <v>1987</v>
      </c>
      <c r="B127" s="819" t="n">
        <f aca="false">TableDE3b!H127</f>
        <v>1410.01234124384</v>
      </c>
      <c r="C127" s="382" t="n">
        <f aca="false">B127/B126-1</f>
        <v>0.0106008077196225</v>
      </c>
      <c r="D127" s="386" t="n">
        <f aca="false">TableDE6a!J127</f>
        <v>3.68526487490464</v>
      </c>
      <c r="E127" s="977" t="n">
        <f aca="false">(D127/D126)*(1+C127)-1</f>
        <v>0.0375332119738212</v>
      </c>
      <c r="F127" s="514" t="n">
        <f aca="false">TableDE12c!B127</f>
        <v>0.108576164718199</v>
      </c>
      <c r="G127" s="387" t="n">
        <f aca="false">F126/D126</f>
        <v>0.0329432484095414</v>
      </c>
      <c r="H127" s="387" t="n">
        <f aca="false">O127/D127</f>
        <v>0</v>
      </c>
      <c r="I127" s="418" t="n">
        <f aca="false">(1+E127)/((1+G127)*(1+H126))-1</f>
        <v>0.00444357768091064</v>
      </c>
      <c r="J127" s="839" t="n">
        <f aca="false">(K127/K126)*(1+C127)-1</f>
        <v>0.0328883506511466</v>
      </c>
      <c r="K127" s="891" t="n">
        <f aca="false">TableDE6b!J127</f>
        <v>5.11554982499404</v>
      </c>
      <c r="L127" s="514" t="n">
        <f aca="false">F127</f>
        <v>0.108576164718199</v>
      </c>
      <c r="M127" s="418" t="n">
        <f aca="false">L126/K126</f>
        <v>0.0236262166234437</v>
      </c>
      <c r="N127" s="418" t="n">
        <f aca="false">(1+J127)/(1+M127)-1</f>
        <v>0.00904835561779094</v>
      </c>
      <c r="O127" s="840" t="n">
        <f aca="false">TableDE5a!O127+TableDE5c!O127</f>
        <v>0</v>
      </c>
      <c r="Q127" s="25"/>
      <c r="R127" s="195"/>
      <c r="S127" s="876" t="n">
        <f aca="false">S126*(1+T127)*(1+F126/S126)/(1+C127)</f>
        <v>3.84966430583732</v>
      </c>
      <c r="T127" s="877" t="n">
        <f aca="false">T$157</f>
        <v>-0.00221</v>
      </c>
      <c r="U127" s="878" t="n">
        <f aca="false">U126*(1+V127)*(1+F126/U126)/(1+C127)</f>
        <v>5.13425708603086</v>
      </c>
      <c r="V127" s="879" t="n">
        <f aca="false">U$157</f>
        <v>0.0048372</v>
      </c>
      <c r="W127" s="816"/>
      <c r="X127" s="817" t="n">
        <f aca="false">1+$C127</f>
        <v>1.01060080771962</v>
      </c>
      <c r="Y127" s="818" t="n">
        <f aca="false">1+E127</f>
        <v>1.03753321197382</v>
      </c>
      <c r="Z127" s="818" t="n">
        <f aca="false">1+G127</f>
        <v>1.03294324840954</v>
      </c>
      <c r="AA127" s="818" t="n">
        <f aca="false">1+H126</f>
        <v>1</v>
      </c>
      <c r="AB127" s="818" t="n">
        <f aca="false">1+I127</f>
        <v>1.00444357768091</v>
      </c>
      <c r="AC127" s="818" t="n">
        <f aca="false">1+J127</f>
        <v>1.03288835065115</v>
      </c>
      <c r="AD127" s="818" t="n">
        <f aca="false">1+M127</f>
        <v>1.02362621662344</v>
      </c>
      <c r="AE127" s="818" t="n">
        <f aca="false">1+N127</f>
        <v>1.00904835561779</v>
      </c>
      <c r="AF127" s="25"/>
    </row>
    <row r="128" customFormat="false" ht="12" hidden="false" customHeight="false" outlineLevel="0" collapsed="false">
      <c r="A128" s="416" t="n">
        <v>1988</v>
      </c>
      <c r="B128" s="819" t="n">
        <f aca="false">TableDE3b!H128</f>
        <v>1472.69847374004</v>
      </c>
      <c r="C128" s="382" t="n">
        <f aca="false">B128/B127-1</f>
        <v>0.04445786087298</v>
      </c>
      <c r="D128" s="386" t="n">
        <f aca="false">TableDE6a!J128</f>
        <v>3.65088694745656</v>
      </c>
      <c r="E128" s="977" t="n">
        <f aca="false">(D128/D127)*(1+C128)-1</f>
        <v>0.034714654405468</v>
      </c>
      <c r="F128" s="514" t="n">
        <f aca="false">TableDE12c!B128</f>
        <v>0.12236369237088</v>
      </c>
      <c r="G128" s="387" t="n">
        <f aca="false">F127/D127</f>
        <v>0.0294622417665457</v>
      </c>
      <c r="H128" s="387" t="n">
        <f aca="false">O128/D128</f>
        <v>0</v>
      </c>
      <c r="I128" s="418" t="n">
        <f aca="false">(1+E128)/((1+G128)*(1+H127))-1</f>
        <v>0.00510209352594515</v>
      </c>
      <c r="J128" s="839" t="n">
        <f aca="false">(K128/K127)*(1+C128)-1</f>
        <v>0.0326485007823039</v>
      </c>
      <c r="K128" s="891" t="n">
        <f aca="false">TableDE6b!J128</f>
        <v>5.05770989462609</v>
      </c>
      <c r="L128" s="514" t="n">
        <f aca="false">F128</f>
        <v>0.12236369237088</v>
      </c>
      <c r="M128" s="418" t="n">
        <f aca="false">L127/K127</f>
        <v>0.02122473017225</v>
      </c>
      <c r="N128" s="418" t="n">
        <f aca="false">(1+J128)/(1+M128)-1</f>
        <v>0.0111863434879087</v>
      </c>
      <c r="O128" s="840" t="n">
        <f aca="false">TableDE5a!O128+TableDE5c!O128</f>
        <v>0</v>
      </c>
      <c r="Q128" s="25"/>
      <c r="R128" s="195"/>
      <c r="S128" s="876" t="n">
        <f aca="false">S127*(1+T128)*(1+F127/S127)/(1+C128)</f>
        <v>3.7813806636627</v>
      </c>
      <c r="T128" s="877" t="n">
        <f aca="false">T$157</f>
        <v>-0.00221</v>
      </c>
      <c r="U128" s="878" t="n">
        <f aca="false">U127*(1+V128)*(1+F127/U127)/(1+C128)</f>
        <v>5.04395062845936</v>
      </c>
      <c r="V128" s="879" t="n">
        <f aca="false">U$157</f>
        <v>0.0048372</v>
      </c>
      <c r="W128" s="816"/>
      <c r="X128" s="817" t="n">
        <f aca="false">1+$C128</f>
        <v>1.04445786087298</v>
      </c>
      <c r="Y128" s="818" t="n">
        <f aca="false">1+E128</f>
        <v>1.03471465440547</v>
      </c>
      <c r="Z128" s="818" t="n">
        <f aca="false">1+G128</f>
        <v>1.02946224176655</v>
      </c>
      <c r="AA128" s="818" t="n">
        <f aca="false">1+H127</f>
        <v>1</v>
      </c>
      <c r="AB128" s="818" t="n">
        <f aca="false">1+I128</f>
        <v>1.00510209352595</v>
      </c>
      <c r="AC128" s="818" t="n">
        <f aca="false">1+J128</f>
        <v>1.0326485007823</v>
      </c>
      <c r="AD128" s="818" t="n">
        <f aca="false">1+M128</f>
        <v>1.02122473017225</v>
      </c>
      <c r="AE128" s="818" t="n">
        <f aca="false">1+N128</f>
        <v>1.01118634348791</v>
      </c>
      <c r="AF128" s="25"/>
    </row>
    <row r="129" customFormat="false" ht="12" hidden="false" customHeight="false" outlineLevel="0" collapsed="false">
      <c r="A129" s="436" t="n">
        <v>1989</v>
      </c>
      <c r="B129" s="823" t="n">
        <f aca="false">TableDE3b!H129</f>
        <v>1533.8950285176</v>
      </c>
      <c r="C129" s="407" t="n">
        <f aca="false">B129/B128-1</f>
        <v>0.0415540287905278</v>
      </c>
      <c r="D129" s="989" t="n">
        <f aca="false">TableDE6a!J129</f>
        <v>3.62036229399601</v>
      </c>
      <c r="E129" s="980" t="n">
        <f aca="false">(D129/D128)*(1+C129)-1</f>
        <v>0.0328457131820636</v>
      </c>
      <c r="F129" s="842" t="n">
        <f aca="false">TableDE12c!B129</f>
        <v>0.134039290848107</v>
      </c>
      <c r="G129" s="406" t="n">
        <f aca="false">F128/D128</f>
        <v>0.0335161548774131</v>
      </c>
      <c r="H129" s="406" t="n">
        <f aca="false">O129/D129</f>
        <v>0</v>
      </c>
      <c r="I129" s="437" t="n">
        <f aca="false">(1+E129)/((1+G129)*(1+H128))-1</f>
        <v>-0.000648699773279193</v>
      </c>
      <c r="J129" s="843" t="n">
        <f aca="false">(K129/K128)*(1+C129)-1</f>
        <v>0.0325703377680626</v>
      </c>
      <c r="K129" s="990" t="n">
        <f aca="false">TableDE6b!J129</f>
        <v>5.01408575058879</v>
      </c>
      <c r="L129" s="842" t="n">
        <f aca="false">F129</f>
        <v>0.134039290848107</v>
      </c>
      <c r="M129" s="437" t="n">
        <f aca="false">L128/K128</f>
        <v>0.024193497634353</v>
      </c>
      <c r="N129" s="437" t="n">
        <f aca="false">(1+J129)/(1+M129)-1</f>
        <v>0.00817896242561411</v>
      </c>
      <c r="O129" s="844" t="n">
        <f aca="false">TableDE5a!O129+TableDE5c!O129</f>
        <v>0</v>
      </c>
      <c r="Q129" s="25"/>
      <c r="R129" s="195"/>
      <c r="S129" s="876" t="n">
        <f aca="false">S128*(1+T129)*(1+F128/S128)/(1+C129)</f>
        <v>3.73971678217195</v>
      </c>
      <c r="T129" s="877" t="n">
        <f aca="false">T$157</f>
        <v>-0.00221</v>
      </c>
      <c r="U129" s="878" t="n">
        <f aca="false">U128*(1+V129)*(1+F128/U128)/(1+C129)</f>
        <v>4.98419157620772</v>
      </c>
      <c r="V129" s="879" t="n">
        <f aca="false">U$157</f>
        <v>0.0048372</v>
      </c>
      <c r="W129" s="816"/>
      <c r="X129" s="817" t="n">
        <f aca="false">1+$C129</f>
        <v>1.04155402879053</v>
      </c>
      <c r="Y129" s="818" t="n">
        <f aca="false">1+E129</f>
        <v>1.03284571318206</v>
      </c>
      <c r="Z129" s="818" t="n">
        <f aca="false">1+G129</f>
        <v>1.03351615487741</v>
      </c>
      <c r="AA129" s="818" t="n">
        <f aca="false">1+H128</f>
        <v>1</v>
      </c>
      <c r="AB129" s="818" t="n">
        <f aca="false">1+I129</f>
        <v>0.999351300226721</v>
      </c>
      <c r="AC129" s="818" t="n">
        <f aca="false">1+J129</f>
        <v>1.03257033776806</v>
      </c>
      <c r="AD129" s="818" t="n">
        <f aca="false">1+M129</f>
        <v>1.02419349763435</v>
      </c>
      <c r="AE129" s="818" t="n">
        <f aca="false">1+N129</f>
        <v>1.00817896242561</v>
      </c>
      <c r="AF129" s="25"/>
    </row>
    <row r="130" customFormat="false" ht="12" hidden="false" customHeight="false" outlineLevel="0" collapsed="false">
      <c r="A130" s="439" t="n">
        <v>1990</v>
      </c>
      <c r="B130" s="819" t="n">
        <f aca="false">TableDE3b!H130</f>
        <v>1615.71808458809</v>
      </c>
      <c r="C130" s="382" t="n">
        <f aca="false">B130/B129-1</f>
        <v>0.0533433217718748</v>
      </c>
      <c r="D130" s="386" t="n">
        <f aca="false">TableDE6a!J130</f>
        <v>3.57274249221261</v>
      </c>
      <c r="E130" s="977" t="n">
        <f aca="false">(D130/D129)*(1+C130)-1</f>
        <v>0.0394883547494236</v>
      </c>
      <c r="F130" s="514" t="n">
        <f aca="false">TableDE12c!B130</f>
        <v>0.129406071271448</v>
      </c>
      <c r="G130" s="387" t="n">
        <f aca="false">F129/D129</f>
        <v>0.0370237230319179</v>
      </c>
      <c r="H130" s="387" t="n">
        <f aca="false">O130/D130</f>
        <v>0</v>
      </c>
      <c r="I130" s="418" t="n">
        <f aca="false">(1+E130)/((1+G130)*(1+H129))-1</f>
        <v>0.00237663966866619</v>
      </c>
      <c r="J130" s="839" t="n">
        <f aca="false">(K130/K129)*(1+C130)-1</f>
        <v>0.0383589530893158</v>
      </c>
      <c r="K130" s="891" t="n">
        <f aca="false">TableDE6b!J130</f>
        <v>4.94275771542699</v>
      </c>
      <c r="L130" s="514" t="n">
        <f aca="false">F130</f>
        <v>0.129406071271448</v>
      </c>
      <c r="M130" s="418" t="n">
        <f aca="false">L129/K129</f>
        <v>0.0267325485672772</v>
      </c>
      <c r="N130" s="418" t="n">
        <f aca="false">(1+J130)/(1+M130)-1</f>
        <v>0.0113236933398697</v>
      </c>
      <c r="O130" s="840" t="n">
        <f aca="false">TableDE5a!O130+TableDE5c!O130</f>
        <v>0</v>
      </c>
      <c r="Q130" s="25"/>
      <c r="R130" s="195"/>
      <c r="S130" s="876" t="n">
        <f aca="false">S129*(1+T130)*(1+F129/S129)/(1+C130)</f>
        <v>3.66945419618446</v>
      </c>
      <c r="T130" s="877" t="n">
        <f aca="false">T$157</f>
        <v>-0.00221</v>
      </c>
      <c r="U130" s="878" t="n">
        <f aca="false">U129*(1+V130)*(1+F129/U129)/(1+C130)</f>
        <v>4.88253797893236</v>
      </c>
      <c r="V130" s="879" t="n">
        <f aca="false">U$157</f>
        <v>0.0048372</v>
      </c>
      <c r="W130" s="816"/>
      <c r="X130" s="817" t="n">
        <f aca="false">1+$C130</f>
        <v>1.05334332177187</v>
      </c>
      <c r="Y130" s="818" t="n">
        <f aca="false">1+E130</f>
        <v>1.03948835474942</v>
      </c>
      <c r="Z130" s="818" t="n">
        <f aca="false">1+G130</f>
        <v>1.03702372303192</v>
      </c>
      <c r="AA130" s="818" t="n">
        <f aca="false">1+H129</f>
        <v>1</v>
      </c>
      <c r="AB130" s="818" t="n">
        <f aca="false">1+I130</f>
        <v>1.00237663966867</v>
      </c>
      <c r="AC130" s="818" t="n">
        <f aca="false">1+J130</f>
        <v>1.03835895308932</v>
      </c>
      <c r="AD130" s="818" t="n">
        <f aca="false">1+M130</f>
        <v>1.02673254856728</v>
      </c>
      <c r="AE130" s="818" t="n">
        <f aca="false">1+N130</f>
        <v>1.01132369333987</v>
      </c>
      <c r="AF130" s="25"/>
    </row>
    <row r="131" s="983" customFormat="true" ht="12" hidden="false" customHeight="false" outlineLevel="0" collapsed="false">
      <c r="A131" s="439" t="n">
        <v>1991</v>
      </c>
      <c r="B131" s="819" t="n">
        <f aca="false">TableDE3b!H131</f>
        <v>1698.19795186175</v>
      </c>
      <c r="C131" s="382" t="n">
        <f aca="false">B131/B130-1</f>
        <v>0.0510484273589613</v>
      </c>
      <c r="D131" s="386" t="n">
        <f aca="false">TableDE6a!J131</f>
        <v>3.45642517527776</v>
      </c>
      <c r="E131" s="977" t="n">
        <f aca="false">(D131/D130)*(1+C131)-1</f>
        <v>0.0168295791476882</v>
      </c>
      <c r="F131" s="514" t="n">
        <f aca="false">TableDE12c!B131</f>
        <v>0.101054435317195</v>
      </c>
      <c r="G131" s="387" t="n">
        <f aca="false">F130/D130</f>
        <v>0.0362203745591823</v>
      </c>
      <c r="H131" s="387" t="n">
        <f aca="false">O131/D131</f>
        <v>0</v>
      </c>
      <c r="I131" s="418" t="n">
        <f aca="false">(1+E131)/((1+G131)*(1+H130))-1</f>
        <v>-0.018713003418547</v>
      </c>
      <c r="J131" s="839" t="n">
        <f aca="false">(K131/K130)*(1+C131)-1</f>
        <v>0.00978074999717227</v>
      </c>
      <c r="K131" s="891" t="n">
        <f aca="false">TableDE6b!J131</f>
        <v>4.74868851236441</v>
      </c>
      <c r="L131" s="514" t="n">
        <f aca="false">F131</f>
        <v>0.101054435317195</v>
      </c>
      <c r="M131" s="418" t="n">
        <f aca="false">L130/K130</f>
        <v>0.026180945682924</v>
      </c>
      <c r="N131" s="418" t="n">
        <f aca="false">(1+J131)/(1+M131)-1</f>
        <v>-0.0159817776336096</v>
      </c>
      <c r="O131" s="837" t="n">
        <f aca="false">TableDE5a!O131+TableDE5c!O131</f>
        <v>0</v>
      </c>
      <c r="Q131" s="25"/>
      <c r="R131" s="195"/>
      <c r="S131" s="876" t="n">
        <f aca="false">S130*(1+T131)*(1+F130/S130)/(1+C131)</f>
        <v>3.60636549905638</v>
      </c>
      <c r="T131" s="877" t="n">
        <f aca="false">T$157</f>
        <v>-0.00221</v>
      </c>
      <c r="U131" s="878" t="n">
        <f aca="false">U130*(1+V131)*(1+F130/U130)/(1+C131)</f>
        <v>4.79158494972322</v>
      </c>
      <c r="V131" s="879" t="n">
        <f aca="false">U$157</f>
        <v>0.0048372</v>
      </c>
      <c r="W131" s="987"/>
      <c r="X131" s="817" t="n">
        <f aca="false">1+$C131</f>
        <v>1.05104842735896</v>
      </c>
      <c r="Y131" s="817" t="n">
        <f aca="false">1+E131</f>
        <v>1.01682957914769</v>
      </c>
      <c r="Z131" s="817" t="n">
        <f aca="false">1+G131</f>
        <v>1.03622037455918</v>
      </c>
      <c r="AA131" s="818" t="n">
        <f aca="false">1+H130</f>
        <v>1</v>
      </c>
      <c r="AB131" s="817" t="n">
        <f aca="false">1+I131</f>
        <v>0.981286996581453</v>
      </c>
      <c r="AC131" s="817" t="n">
        <f aca="false">1+J131</f>
        <v>1.00978074999717</v>
      </c>
      <c r="AD131" s="817" t="n">
        <f aca="false">1+M131</f>
        <v>1.02618094568292</v>
      </c>
      <c r="AE131" s="817" t="n">
        <f aca="false">1+N131</f>
        <v>0.98401822236639</v>
      </c>
      <c r="AF131" s="25"/>
    </row>
    <row r="132" customFormat="false" ht="12" hidden="false" customHeight="false" outlineLevel="0" collapsed="false">
      <c r="A132" s="416" t="n">
        <v>1992</v>
      </c>
      <c r="B132" s="819" t="n">
        <f aca="false">TableDE3b!H132</f>
        <v>1724.2721202782</v>
      </c>
      <c r="C132" s="382" t="n">
        <f aca="false">B132/B131-1</f>
        <v>0.0153540218252324</v>
      </c>
      <c r="D132" s="386" t="n">
        <f aca="false">TableDE6a!J132</f>
        <v>3.43599890446361</v>
      </c>
      <c r="E132" s="977" t="n">
        <f aca="false">(D132/D131)*(1+C132)-1</f>
        <v>0.00935363264557187</v>
      </c>
      <c r="F132" s="514" t="n">
        <f aca="false">TableDE12c!B132</f>
        <v>0.0973973988033372</v>
      </c>
      <c r="G132" s="387" t="n">
        <f aca="false">F131/D131</f>
        <v>0.0292366911455197</v>
      </c>
      <c r="H132" s="387" t="n">
        <f aca="false">O132/D132</f>
        <v>0</v>
      </c>
      <c r="I132" s="418" t="n">
        <f aca="false">(1+E132)/((1+G132)*(1+H131))-1</f>
        <v>-0.0193182565983131</v>
      </c>
      <c r="J132" s="839" t="n">
        <f aca="false">(K132/K131)*(1+C132)-1</f>
        <v>0.0164925893155543</v>
      </c>
      <c r="K132" s="891" t="n">
        <f aca="false">TableDE6b!J132</f>
        <v>4.75401345543414</v>
      </c>
      <c r="L132" s="514" t="n">
        <f aca="false">F132</f>
        <v>0.0973973988033372</v>
      </c>
      <c r="M132" s="418" t="n">
        <f aca="false">L131/K131</f>
        <v>0.0212804935623961</v>
      </c>
      <c r="N132" s="418" t="n">
        <f aca="false">(1+J132)/(1+M132)-1</f>
        <v>-0.00468813834888859</v>
      </c>
      <c r="O132" s="840" t="n">
        <f aca="false">TableDE5a!O132+TableDE5c!O132</f>
        <v>0</v>
      </c>
      <c r="Q132" s="25"/>
      <c r="R132" s="195"/>
      <c r="S132" s="876" t="n">
        <f aca="false">S131*(1+T132)*(1+F131/S131)/(1+C132)</f>
        <v>3.64328742172978</v>
      </c>
      <c r="T132" s="877" t="n">
        <f aca="false">T$157</f>
        <v>-0.00221</v>
      </c>
      <c r="U132" s="878" t="n">
        <f aca="false">U131*(1+V132)*(1+F131/U131)/(1+C132)</f>
        <v>4.84196246294078</v>
      </c>
      <c r="V132" s="879" t="n">
        <f aca="false">U$157</f>
        <v>0.0048372</v>
      </c>
      <c r="W132" s="816"/>
      <c r="X132" s="817" t="n">
        <f aca="false">1+$C132</f>
        <v>1.01535402182523</v>
      </c>
      <c r="Y132" s="818" t="n">
        <f aca="false">1+E132</f>
        <v>1.00935363264557</v>
      </c>
      <c r="Z132" s="818" t="n">
        <f aca="false">1+G132</f>
        <v>1.02923669114552</v>
      </c>
      <c r="AA132" s="818" t="n">
        <f aca="false">1+H131</f>
        <v>1</v>
      </c>
      <c r="AB132" s="818" t="n">
        <f aca="false">1+I132</f>
        <v>0.980681743401687</v>
      </c>
      <c r="AC132" s="818" t="n">
        <f aca="false">1+J132</f>
        <v>1.01649258931555</v>
      </c>
      <c r="AD132" s="818" t="n">
        <f aca="false">1+M132</f>
        <v>1.0212804935624</v>
      </c>
      <c r="AE132" s="818" t="n">
        <f aca="false">1+N132</f>
        <v>0.995311861651111</v>
      </c>
      <c r="AF132" s="25"/>
    </row>
    <row r="133" customFormat="false" ht="12" hidden="false" customHeight="false" outlineLevel="0" collapsed="false">
      <c r="A133" s="416" t="n">
        <v>1993</v>
      </c>
      <c r="B133" s="819" t="n">
        <f aca="false">TableDE3b!H133</f>
        <v>1693.86181557471</v>
      </c>
      <c r="C133" s="382" t="n">
        <f aca="false">B133/B132-1</f>
        <v>-0.0176366040753381</v>
      </c>
      <c r="D133" s="386" t="n">
        <f aca="false">TableDE6a!J133</f>
        <v>3.53311265107454</v>
      </c>
      <c r="E133" s="977" t="n">
        <f aca="false">(D133/D132)*(1+C133)-1</f>
        <v>0.0101285357178518</v>
      </c>
      <c r="F133" s="514" t="n">
        <f aca="false">TableDE12c!B133</f>
        <v>0.0802018452061763</v>
      </c>
      <c r="G133" s="387" t="n">
        <f aca="false">F132/D132</f>
        <v>0.0283461670132697</v>
      </c>
      <c r="H133" s="387" t="n">
        <f aca="false">O133/D133</f>
        <v>0</v>
      </c>
      <c r="I133" s="418" t="n">
        <f aca="false">(1+E133)/((1+G133)*(1+H132))-1</f>
        <v>-0.0177154657447007</v>
      </c>
      <c r="J133" s="839" t="n">
        <f aca="false">(K133/K132)*(1+C133)-1</f>
        <v>0.0100300296432421</v>
      </c>
      <c r="K133" s="891" t="n">
        <f aca="false">TableDE6b!J133</f>
        <v>4.88790234981919</v>
      </c>
      <c r="L133" s="514" t="n">
        <f aca="false">F133</f>
        <v>0.0802018452061763</v>
      </c>
      <c r="M133" s="418" t="n">
        <f aca="false">L132/K132</f>
        <v>0.0204874049508644</v>
      </c>
      <c r="N133" s="418" t="n">
        <f aca="false">(1+J133)/(1+M133)-1</f>
        <v>-0.0102474320181598</v>
      </c>
      <c r="O133" s="840" t="n">
        <f aca="false">TableDE5a!O133+TableDE5c!O133</f>
        <v>0</v>
      </c>
      <c r="Q133" s="25"/>
      <c r="R133" s="195"/>
      <c r="S133" s="876" t="n">
        <f aca="false">S132*(1+T133)*(1+F132/S132)/(1+C133)</f>
        <v>3.79942689493897</v>
      </c>
      <c r="T133" s="877" t="n">
        <f aca="false">T$157</f>
        <v>-0.00221</v>
      </c>
      <c r="U133" s="878" t="n">
        <f aca="false">U132*(1+V133)*(1+F132/U132)/(1+C133)</f>
        <v>5.0523589883921</v>
      </c>
      <c r="V133" s="879" t="n">
        <f aca="false">U$157</f>
        <v>0.0048372</v>
      </c>
      <c r="W133" s="816"/>
      <c r="X133" s="817" t="n">
        <f aca="false">1+$C133</f>
        <v>0.982363395924662</v>
      </c>
      <c r="Y133" s="818" t="n">
        <f aca="false">1+E133</f>
        <v>1.01012853571785</v>
      </c>
      <c r="Z133" s="818" t="n">
        <f aca="false">1+G133</f>
        <v>1.02834616701327</v>
      </c>
      <c r="AA133" s="818" t="n">
        <f aca="false">1+H132</f>
        <v>1</v>
      </c>
      <c r="AB133" s="818" t="n">
        <f aca="false">1+I133</f>
        <v>0.982284534255299</v>
      </c>
      <c r="AC133" s="818" t="n">
        <f aca="false">1+J133</f>
        <v>1.01003002964324</v>
      </c>
      <c r="AD133" s="818" t="n">
        <f aca="false">1+M133</f>
        <v>1.02048740495086</v>
      </c>
      <c r="AE133" s="818" t="n">
        <f aca="false">1+N133</f>
        <v>0.98975256798184</v>
      </c>
      <c r="AF133" s="25"/>
    </row>
    <row r="134" customFormat="false" ht="12" hidden="false" customHeight="false" outlineLevel="0" collapsed="false">
      <c r="A134" s="416" t="n">
        <v>1994</v>
      </c>
      <c r="B134" s="819" t="n">
        <f aca="false">TableDE3b!H134</f>
        <v>1724.164738671</v>
      </c>
      <c r="C134" s="382" t="n">
        <f aca="false">B134/B133-1</f>
        <v>0.0178898436800854</v>
      </c>
      <c r="D134" s="386" t="n">
        <f aca="false">TableDE6a!J134</f>
        <v>3.53552177236544</v>
      </c>
      <c r="E134" s="977" t="n">
        <f aca="false">(D134/D133)*(1+C134)-1</f>
        <v>0.018583911584616</v>
      </c>
      <c r="F134" s="514" t="n">
        <f aca="false">TableDE12c!B134</f>
        <v>0.0791027465865359</v>
      </c>
      <c r="G134" s="387" t="n">
        <f aca="false">F133/D133</f>
        <v>0.0227000532184515</v>
      </c>
      <c r="H134" s="387" t="n">
        <f aca="false">O134/D134</f>
        <v>0</v>
      </c>
      <c r="I134" s="418" t="n">
        <f aca="false">(1+E134)/((1+G134)*(1+H133))-1</f>
        <v>-0.00402477893775599</v>
      </c>
      <c r="J134" s="839" t="n">
        <f aca="false">(K134/K133)*(1+C134)-1</f>
        <v>0.013338723977921</v>
      </c>
      <c r="K134" s="891" t="n">
        <f aca="false">TableDE6b!J134</f>
        <v>4.86604789393221</v>
      </c>
      <c r="L134" s="514" t="n">
        <f aca="false">F134</f>
        <v>0.0791027465865359</v>
      </c>
      <c r="M134" s="418" t="n">
        <f aca="false">L133/K133</f>
        <v>0.0164082339347763</v>
      </c>
      <c r="N134" s="418" t="n">
        <f aca="false">(1+J134)/(1+M134)-1</f>
        <v>-0.00301995778307751</v>
      </c>
      <c r="O134" s="840" t="n">
        <f aca="false">TableDE5a!O134+TableDE5c!O134</f>
        <v>0</v>
      </c>
      <c r="Q134" s="25"/>
      <c r="R134" s="195"/>
      <c r="S134" s="876" t="n">
        <f aca="false">S133*(1+T134)*(1+F133/S133)/(1+C134)</f>
        <v>3.80301933913987</v>
      </c>
      <c r="T134" s="877" t="n">
        <f aca="false">T$157</f>
        <v>-0.00221</v>
      </c>
      <c r="U134" s="878" t="n">
        <f aca="false">U133*(1+V134)*(1+F133/U133)/(1+C134)</f>
        <v>5.06674478469743</v>
      </c>
      <c r="V134" s="879" t="n">
        <f aca="false">U$157</f>
        <v>0.0048372</v>
      </c>
      <c r="W134" s="816"/>
      <c r="X134" s="817" t="n">
        <f aca="false">1+$C134</f>
        <v>1.01788984368009</v>
      </c>
      <c r="Y134" s="818" t="n">
        <f aca="false">1+E134</f>
        <v>1.01858391158462</v>
      </c>
      <c r="Z134" s="818" t="n">
        <f aca="false">1+G134</f>
        <v>1.02270005321845</v>
      </c>
      <c r="AA134" s="818" t="n">
        <f aca="false">1+H133</f>
        <v>1</v>
      </c>
      <c r="AB134" s="818" t="n">
        <f aca="false">1+I134</f>
        <v>0.995975221062244</v>
      </c>
      <c r="AC134" s="818" t="n">
        <f aca="false">1+J134</f>
        <v>1.01333872397792</v>
      </c>
      <c r="AD134" s="818" t="n">
        <f aca="false">1+M134</f>
        <v>1.01640823393478</v>
      </c>
      <c r="AE134" s="818" t="n">
        <f aca="false">1+N134</f>
        <v>0.996980042216923</v>
      </c>
      <c r="AF134" s="25"/>
    </row>
    <row r="135" customFormat="false" ht="12" hidden="false" customHeight="false" outlineLevel="0" collapsed="false">
      <c r="A135" s="416" t="n">
        <v>1995</v>
      </c>
      <c r="B135" s="819" t="n">
        <f aca="false">TableDE3b!H135</f>
        <v>1747.95162281849</v>
      </c>
      <c r="C135" s="382" t="n">
        <f aca="false">B135/B134-1</f>
        <v>0.0137961782966414</v>
      </c>
      <c r="D135" s="386" t="n">
        <f aca="false">TableDE6a!J135</f>
        <v>3.49340181091776</v>
      </c>
      <c r="E135" s="977" t="n">
        <f aca="false">(D135/D134)*(1+C135)-1</f>
        <v>0.00171845435800688</v>
      </c>
      <c r="F135" s="514" t="n">
        <f aca="false">TableDE12c!B135</f>
        <v>0.0805227575396497</v>
      </c>
      <c r="G135" s="387" t="n">
        <f aca="false">F134/D134</f>
        <v>0.0223737121928717</v>
      </c>
      <c r="H135" s="387" t="n">
        <f aca="false">O135/D135</f>
        <v>0</v>
      </c>
      <c r="I135" s="418" t="n">
        <f aca="false">(1+E135)/((1+G135)*(1+H134))-1</f>
        <v>-0.0202032364374488</v>
      </c>
      <c r="J135" s="839" t="n">
        <f aca="false">(K135/K134)*(1+C135)-1</f>
        <v>0.00935028875959709</v>
      </c>
      <c r="K135" s="891" t="n">
        <f aca="false">TableDE6b!J135</f>
        <v>4.8447083861677</v>
      </c>
      <c r="L135" s="514" t="n">
        <f aca="false">F135</f>
        <v>0.0805227575396497</v>
      </c>
      <c r="M135" s="418" t="n">
        <f aca="false">L134/K134</f>
        <v>0.0162560559021982</v>
      </c>
      <c r="N135" s="418" t="n">
        <f aca="false">(1+J135)/(1+M135)-1</f>
        <v>-0.00679530232808345</v>
      </c>
      <c r="O135" s="840" t="n">
        <f aca="false">TableDE5a!O135+TableDE5c!O135</f>
        <v>0</v>
      </c>
      <c r="Q135" s="25"/>
      <c r="R135" s="195"/>
      <c r="S135" s="876" t="n">
        <f aca="false">S134*(1+T135)*(1+F134/S134)/(1+C135)</f>
        <v>3.82082974747961</v>
      </c>
      <c r="T135" s="877" t="n">
        <f aca="false">T$157</f>
        <v>-0.00221</v>
      </c>
      <c r="U135" s="878" t="n">
        <f aca="false">U134*(1+V135)*(1+F134/U134)/(1+C135)</f>
        <v>5.10037336464422</v>
      </c>
      <c r="V135" s="879" t="n">
        <f aca="false">U$157</f>
        <v>0.0048372</v>
      </c>
      <c r="W135" s="816"/>
      <c r="X135" s="817" t="n">
        <f aca="false">1+$C135</f>
        <v>1.01379617829664</v>
      </c>
      <c r="Y135" s="818" t="n">
        <f aca="false">1+E135</f>
        <v>1.00171845435801</v>
      </c>
      <c r="Z135" s="818" t="n">
        <f aca="false">1+G135</f>
        <v>1.02237371219287</v>
      </c>
      <c r="AA135" s="818" t="n">
        <f aca="false">1+H134</f>
        <v>1</v>
      </c>
      <c r="AB135" s="818" t="n">
        <f aca="false">1+I135</f>
        <v>0.979796763562551</v>
      </c>
      <c r="AC135" s="818" t="n">
        <f aca="false">1+J135</f>
        <v>1.0093502887596</v>
      </c>
      <c r="AD135" s="818" t="n">
        <f aca="false">1+M135</f>
        <v>1.0162560559022</v>
      </c>
      <c r="AE135" s="818" t="n">
        <f aca="false">1+N135</f>
        <v>0.993204697671917</v>
      </c>
      <c r="AF135" s="25"/>
    </row>
    <row r="136" customFormat="false" ht="12" hidden="false" customHeight="false" outlineLevel="0" collapsed="false">
      <c r="A136" s="416" t="n">
        <v>1996</v>
      </c>
      <c r="B136" s="819" t="n">
        <f aca="false">TableDE3b!H136</f>
        <v>1763.88972937868</v>
      </c>
      <c r="C136" s="382" t="n">
        <f aca="false">B136/B135-1</f>
        <v>0.00911816228328677</v>
      </c>
      <c r="D136" s="386" t="n">
        <f aca="false">TableDE6a!J136</f>
        <v>3.51501461933266</v>
      </c>
      <c r="E136" s="977" t="n">
        <f aca="false">(D136/D135)*(1+C136)-1</f>
        <v>0.0153613254491329</v>
      </c>
      <c r="F136" s="514" t="n">
        <f aca="false">TableDE12c!B136</f>
        <v>0.0733601877297996</v>
      </c>
      <c r="G136" s="387" t="n">
        <f aca="false">F135/D135</f>
        <v>0.0230499558590701</v>
      </c>
      <c r="H136" s="387" t="n">
        <f aca="false">O136/D136</f>
        <v>0</v>
      </c>
      <c r="I136" s="418" t="n">
        <f aca="false">(1+E136)/((1+G136)*(1+H135))-1</f>
        <v>-0.00751540075428747</v>
      </c>
      <c r="J136" s="839" t="n">
        <f aca="false">(K136/K135)*(1+C136)-1</f>
        <v>0.019378807783486</v>
      </c>
      <c r="K136" s="891" t="n">
        <f aca="false">TableDE6b!J136</f>
        <v>4.89396905470015</v>
      </c>
      <c r="L136" s="514" t="n">
        <f aca="false">F136</f>
        <v>0.0733601877297996</v>
      </c>
      <c r="M136" s="418" t="n">
        <f aca="false">L135/K135</f>
        <v>0.0166207645788451</v>
      </c>
      <c r="N136" s="418" t="n">
        <f aca="false">(1+J136)/(1+M136)-1</f>
        <v>0.00271295187029108</v>
      </c>
      <c r="O136" s="840" t="n">
        <f aca="false">TableDE5a!O136+TableDE5c!O136</f>
        <v>0</v>
      </c>
      <c r="Q136" s="25"/>
      <c r="R136" s="195"/>
      <c r="S136" s="876" t="n">
        <f aca="false">S135*(1+T136)*(1+F135/S135)/(1+C136)</f>
        <v>3.85755668808424</v>
      </c>
      <c r="T136" s="877" t="n">
        <f aca="false">T$157</f>
        <v>-0.00221</v>
      </c>
      <c r="U136" s="878" t="n">
        <f aca="false">U135*(1+V136)*(1+F135/U135)/(1+C136)</f>
        <v>5.15891730768854</v>
      </c>
      <c r="V136" s="879" t="n">
        <f aca="false">U$157</f>
        <v>0.0048372</v>
      </c>
      <c r="W136" s="816"/>
      <c r="X136" s="817" t="n">
        <f aca="false">1+$C136</f>
        <v>1.00911816228329</v>
      </c>
      <c r="Y136" s="818" t="n">
        <f aca="false">1+E136</f>
        <v>1.01536132544913</v>
      </c>
      <c r="Z136" s="818" t="n">
        <f aca="false">1+G136</f>
        <v>1.02304995585907</v>
      </c>
      <c r="AA136" s="818" t="n">
        <f aca="false">1+H135</f>
        <v>1</v>
      </c>
      <c r="AB136" s="818" t="n">
        <f aca="false">1+I136</f>
        <v>0.992484599245713</v>
      </c>
      <c r="AC136" s="818" t="n">
        <f aca="false">1+J136</f>
        <v>1.01937880778349</v>
      </c>
      <c r="AD136" s="818" t="n">
        <f aca="false">1+M136</f>
        <v>1.01662076457885</v>
      </c>
      <c r="AE136" s="818" t="n">
        <f aca="false">1+N136</f>
        <v>1.00271295187029</v>
      </c>
      <c r="AF136" s="25"/>
    </row>
    <row r="137" customFormat="false" ht="12" hidden="false" customHeight="false" outlineLevel="0" collapsed="false">
      <c r="A137" s="416" t="n">
        <v>1997</v>
      </c>
      <c r="B137" s="819" t="n">
        <f aca="false">TableDE3b!H137</f>
        <v>1789.41099594195</v>
      </c>
      <c r="C137" s="382" t="n">
        <f aca="false">B137/B136-1</f>
        <v>0.0144687426533505</v>
      </c>
      <c r="D137" s="386" t="n">
        <f aca="false">TableDE6a!J137</f>
        <v>3.58950404046635</v>
      </c>
      <c r="E137" s="977" t="n">
        <f aca="false">(D137/D136)*(1+C137)-1</f>
        <v>0.035967142399074</v>
      </c>
      <c r="F137" s="514" t="n">
        <f aca="false">TableDE12c!B137</f>
        <v>0.0757633705508605</v>
      </c>
      <c r="G137" s="387" t="n">
        <f aca="false">F136/D136</f>
        <v>0.0208705213703286</v>
      </c>
      <c r="H137" s="387" t="n">
        <f aca="false">O137/D137</f>
        <v>0</v>
      </c>
      <c r="I137" s="418" t="n">
        <f aca="false">(1+E137)/((1+G137)*(1+H136))-1</f>
        <v>0.0147879880089798</v>
      </c>
      <c r="J137" s="839" t="n">
        <f aca="false">(K137/K136)*(1+C137)-1</f>
        <v>0.0230912222554671</v>
      </c>
      <c r="K137" s="891" t="n">
        <f aca="false">TableDE6b!J137</f>
        <v>4.93556535685646</v>
      </c>
      <c r="L137" s="514" t="n">
        <f aca="false">F137</f>
        <v>0.0757633705508605</v>
      </c>
      <c r="M137" s="418" t="n">
        <f aca="false">L136/K136</f>
        <v>0.0149899165503192</v>
      </c>
      <c r="N137" s="418" t="n">
        <f aca="false">(1+J137)/(1+M137)-1</f>
        <v>0.00798166126879574</v>
      </c>
      <c r="O137" s="840" t="n">
        <f aca="false">TableDE5a!O137+TableDE5c!O137</f>
        <v>0</v>
      </c>
      <c r="Q137" s="25"/>
      <c r="R137" s="195"/>
      <c r="S137" s="876" t="n">
        <f aca="false">S136*(1+T137)*(1+F136/S136)/(1+C137)</f>
        <v>3.86628920597382</v>
      </c>
      <c r="T137" s="877" t="n">
        <f aca="false">T$157</f>
        <v>-0.00221</v>
      </c>
      <c r="U137" s="878" t="n">
        <f aca="false">U136*(1+V137)*(1+F136/U136)/(1+C137)</f>
        <v>5.18260134301222</v>
      </c>
      <c r="V137" s="879" t="n">
        <f aca="false">U$157</f>
        <v>0.0048372</v>
      </c>
      <c r="W137" s="816"/>
      <c r="X137" s="817" t="n">
        <f aca="false">1+$C137</f>
        <v>1.01446874265335</v>
      </c>
      <c r="Y137" s="818" t="n">
        <f aca="false">1+E137</f>
        <v>1.03596714239907</v>
      </c>
      <c r="Z137" s="818" t="n">
        <f aca="false">1+G137</f>
        <v>1.02087052137033</v>
      </c>
      <c r="AA137" s="818" t="n">
        <f aca="false">1+H136</f>
        <v>1</v>
      </c>
      <c r="AB137" s="818" t="n">
        <f aca="false">1+I137</f>
        <v>1.01478798800898</v>
      </c>
      <c r="AC137" s="818" t="n">
        <f aca="false">1+J137</f>
        <v>1.02309122225547</v>
      </c>
      <c r="AD137" s="818" t="n">
        <f aca="false">1+M137</f>
        <v>1.01498991655032</v>
      </c>
      <c r="AE137" s="818" t="n">
        <f aca="false">1+N137</f>
        <v>1.0079816612688</v>
      </c>
      <c r="AF137" s="25"/>
    </row>
    <row r="138" customFormat="false" ht="12" hidden="false" customHeight="false" outlineLevel="0" collapsed="false">
      <c r="A138" s="416" t="n">
        <v>1998</v>
      </c>
      <c r="B138" s="819" t="n">
        <f aca="false">TableDE3b!H138</f>
        <v>1816.55837858552</v>
      </c>
      <c r="C138" s="382" t="n">
        <f aca="false">B138/B137-1</f>
        <v>0.0151711276532507</v>
      </c>
      <c r="D138" s="386" t="n">
        <f aca="false">TableDE6a!J138</f>
        <v>3.65141657605413</v>
      </c>
      <c r="E138" s="977" t="n">
        <f aca="false">(D138/D137)*(1+C138)-1</f>
        <v>0.0326810170028529</v>
      </c>
      <c r="F138" s="514" t="n">
        <f aca="false">TableDE12c!B138</f>
        <v>0.0792920140147397</v>
      </c>
      <c r="G138" s="387" t="n">
        <f aca="false">F137/D137</f>
        <v>0.0211069188658769</v>
      </c>
      <c r="H138" s="387" t="n">
        <f aca="false">O138/D138</f>
        <v>0</v>
      </c>
      <c r="I138" s="418" t="n">
        <f aca="false">(1+E138)/((1+G138)*(1+H137))-1</f>
        <v>0.0113348542871801</v>
      </c>
      <c r="J138" s="839" t="n">
        <f aca="false">(K138/K137)*(1+C138)-1</f>
        <v>0.0187396257717212</v>
      </c>
      <c r="K138" s="891" t="n">
        <f aca="false">TableDE6b!J138</f>
        <v>4.95291470339495</v>
      </c>
      <c r="L138" s="514" t="n">
        <f aca="false">F138</f>
        <v>0.0792920140147397</v>
      </c>
      <c r="M138" s="418" t="n">
        <f aca="false">L137/K137</f>
        <v>0.0153504948416113</v>
      </c>
      <c r="N138" s="418" t="n">
        <f aca="false">(1+J138)/(1+M138)-1</f>
        <v>0.00333789262656392</v>
      </c>
      <c r="O138" s="840" t="n">
        <f aca="false">TableDE5a!O138+TableDE5c!O138</f>
        <v>0</v>
      </c>
      <c r="Q138" s="25"/>
      <c r="R138" s="195"/>
      <c r="S138" s="876" t="n">
        <f aca="false">S137*(1+T138)*(1+F137/S137)/(1+C138)</f>
        <v>3.87455920798613</v>
      </c>
      <c r="T138" s="877" t="n">
        <f aca="false">T$157</f>
        <v>-0.00221</v>
      </c>
      <c r="U138" s="878" t="n">
        <f aca="false">U137*(1+V138)*(1+F137/U137)/(1+C138)</f>
        <v>5.20483722539468</v>
      </c>
      <c r="V138" s="879" t="n">
        <f aca="false">U$157</f>
        <v>0.0048372</v>
      </c>
      <c r="W138" s="816"/>
      <c r="X138" s="817" t="n">
        <f aca="false">1+$C138</f>
        <v>1.01517112765325</v>
      </c>
      <c r="Y138" s="818" t="n">
        <f aca="false">1+E138</f>
        <v>1.03268101700285</v>
      </c>
      <c r="Z138" s="818" t="n">
        <f aca="false">1+G138</f>
        <v>1.02110691886588</v>
      </c>
      <c r="AA138" s="818" t="n">
        <f aca="false">1+H137</f>
        <v>1</v>
      </c>
      <c r="AB138" s="818" t="n">
        <f aca="false">1+I138</f>
        <v>1.01133485428718</v>
      </c>
      <c r="AC138" s="818" t="n">
        <f aca="false">1+J138</f>
        <v>1.01873962577172</v>
      </c>
      <c r="AD138" s="818" t="n">
        <f aca="false">1+M138</f>
        <v>1.01535049484161</v>
      </c>
      <c r="AE138" s="818" t="n">
        <f aca="false">1+N138</f>
        <v>1.00333789262656</v>
      </c>
      <c r="AF138" s="25"/>
    </row>
    <row r="139" customFormat="false" ht="12" hidden="false" customHeight="false" outlineLevel="0" collapsed="false">
      <c r="A139" s="445" t="n">
        <f aca="false">A138+1</f>
        <v>1999</v>
      </c>
      <c r="B139" s="823" t="n">
        <f aca="false">TableDE3b!H139</f>
        <v>1847.76437085111</v>
      </c>
      <c r="C139" s="407" t="n">
        <f aca="false">B139/B138-1</f>
        <v>0.0171786344074958</v>
      </c>
      <c r="D139" s="989" t="n">
        <f aca="false">TableDE6a!J139</f>
        <v>3.72851452518271</v>
      </c>
      <c r="E139" s="980" t="n">
        <f aca="false">(D139/D138)*(1+C139)-1</f>
        <v>0.038655884394398</v>
      </c>
      <c r="F139" s="842" t="n">
        <f aca="false">TableDE12c!B139</f>
        <v>0.0716212131091182</v>
      </c>
      <c r="G139" s="406" t="n">
        <f aca="false">F138/D138</f>
        <v>0.0217154116390702</v>
      </c>
      <c r="H139" s="406" t="n">
        <f aca="false">O139/D139</f>
        <v>0</v>
      </c>
      <c r="I139" s="437" t="n">
        <f aca="false">(1+E139)/((1+G139)*(1+H138))-1</f>
        <v>0.0165804220650361</v>
      </c>
      <c r="J139" s="843" t="n">
        <f aca="false">(K139/K138)*(1+C139)-1</f>
        <v>0.0265947175531889</v>
      </c>
      <c r="K139" s="990" t="n">
        <f aca="false">TableDE6b!J139</f>
        <v>4.99876412952634</v>
      </c>
      <c r="L139" s="842" t="n">
        <f aca="false">F139</f>
        <v>0.0716212131091182</v>
      </c>
      <c r="M139" s="437" t="n">
        <f aca="false">L138/K138</f>
        <v>0.016009162031478</v>
      </c>
      <c r="N139" s="437" t="n">
        <f aca="false">(1+J139)/(1+M139)-1</f>
        <v>0.0104187599062053</v>
      </c>
      <c r="O139" s="844" t="n">
        <f aca="false">TableDE5a!O139+TableDE5c!O139</f>
        <v>0</v>
      </c>
      <c r="Q139" s="25"/>
      <c r="R139" s="195"/>
      <c r="S139" s="876" t="n">
        <f aca="false">S138*(1+T139)*(1+F138/S138)/(1+C139)</f>
        <v>3.87848611576301</v>
      </c>
      <c r="T139" s="877" t="n">
        <f aca="false">T$157</f>
        <v>-0.00221</v>
      </c>
      <c r="U139" s="878" t="n">
        <f aca="false">U138*(1+V139)*(1+F138/U138)/(1+C139)</f>
        <v>5.22001686799012</v>
      </c>
      <c r="V139" s="879" t="n">
        <f aca="false">U$157</f>
        <v>0.0048372</v>
      </c>
      <c r="W139" s="816"/>
      <c r="X139" s="817" t="n">
        <f aca="false">1+$C139</f>
        <v>1.0171786344075</v>
      </c>
      <c r="Y139" s="818" t="n">
        <f aca="false">1+E139</f>
        <v>1.0386558843944</v>
      </c>
      <c r="Z139" s="818" t="n">
        <f aca="false">1+G139</f>
        <v>1.02171541163907</v>
      </c>
      <c r="AA139" s="818" t="n">
        <f aca="false">1+H138</f>
        <v>1</v>
      </c>
      <c r="AB139" s="818" t="n">
        <f aca="false">1+I139</f>
        <v>1.01658042206504</v>
      </c>
      <c r="AC139" s="818" t="n">
        <f aca="false">1+J139</f>
        <v>1.02659471755319</v>
      </c>
      <c r="AD139" s="818" t="n">
        <f aca="false">1+M139</f>
        <v>1.01600916203148</v>
      </c>
      <c r="AE139" s="818" t="n">
        <f aca="false">1+N139</f>
        <v>1.01041875990621</v>
      </c>
      <c r="AF139" s="25"/>
    </row>
    <row r="140" customFormat="false" ht="12" hidden="false" customHeight="false" outlineLevel="0" collapsed="false">
      <c r="A140" s="446" t="n">
        <f aca="false">A139+1</f>
        <v>2000</v>
      </c>
      <c r="B140" s="819" t="n">
        <f aca="false">TableDE3b!H140</f>
        <v>1901.57730243133</v>
      </c>
      <c r="C140" s="382" t="n">
        <f aca="false">B140/B139-1</f>
        <v>0.0291232650813749</v>
      </c>
      <c r="D140" s="386" t="n">
        <f aca="false">TableDE6a!J140</f>
        <v>3.79474697453799</v>
      </c>
      <c r="E140" s="977" t="n">
        <f aca="false">(D140/D139)*(1+C140)-1</f>
        <v>0.047404367132734</v>
      </c>
      <c r="F140" s="514" t="n">
        <f aca="false">TableDE12c!B140</f>
        <v>0.0680881167622482</v>
      </c>
      <c r="G140" s="387" t="n">
        <f aca="false">F139/D139</f>
        <v>0.0192090476315386</v>
      </c>
      <c r="H140" s="387" t="n">
        <f aca="false">O140/D140</f>
        <v>0</v>
      </c>
      <c r="I140" s="418" t="n">
        <f aca="false">(1+E140)/((1+G140)*(1+H139))-1</f>
        <v>0.0276639219075974</v>
      </c>
      <c r="J140" s="839" t="n">
        <f aca="false">(K140/K139)*(1+C140)-1</f>
        <v>0.0408089962654539</v>
      </c>
      <c r="K140" s="891" t="n">
        <f aca="false">TableDE6b!J140</f>
        <v>5.05552527355279</v>
      </c>
      <c r="L140" s="514" t="n">
        <f aca="false">F140</f>
        <v>0.0680881167622482</v>
      </c>
      <c r="M140" s="418" t="n">
        <f aca="false">L139/K139</f>
        <v>0.0143277840788829</v>
      </c>
      <c r="N140" s="418" t="n">
        <f aca="false">(1+J140)/(1+M140)-1</f>
        <v>0.0261071545137834</v>
      </c>
      <c r="O140" s="840" t="n">
        <f aca="false">TableDE5a!O140+TableDE5c!O140</f>
        <v>0</v>
      </c>
      <c r="Q140" s="25"/>
      <c r="R140" s="195"/>
      <c r="S140" s="876" t="n">
        <f aca="false">S139*(1+T140)*(1+F139/S139)/(1+C140)</f>
        <v>3.82984014200054</v>
      </c>
      <c r="T140" s="877" t="n">
        <f aca="false">T$157</f>
        <v>-0.00221</v>
      </c>
      <c r="U140" s="878" t="n">
        <f aca="false">U139*(1+V140)*(1+F139/U139)/(1+C140)</f>
        <v>5.16676181876492</v>
      </c>
      <c r="V140" s="879" t="n">
        <f aca="false">U$157</f>
        <v>0.0048372</v>
      </c>
      <c r="W140" s="816"/>
      <c r="X140" s="817" t="n">
        <f aca="false">1+$C140</f>
        <v>1.02912326508137</v>
      </c>
      <c r="Y140" s="818" t="n">
        <f aca="false">1+E140</f>
        <v>1.04740436713273</v>
      </c>
      <c r="Z140" s="818" t="n">
        <f aca="false">1+G140</f>
        <v>1.01920904763154</v>
      </c>
      <c r="AA140" s="818" t="n">
        <f aca="false">1+H139</f>
        <v>1</v>
      </c>
      <c r="AB140" s="818" t="n">
        <f aca="false">1+I140</f>
        <v>1.0276639219076</v>
      </c>
      <c r="AC140" s="818" t="n">
        <f aca="false">1+J140</f>
        <v>1.04080899626545</v>
      </c>
      <c r="AD140" s="818" t="n">
        <f aca="false">1+M140</f>
        <v>1.01432778407888</v>
      </c>
      <c r="AE140" s="818" t="n">
        <f aca="false">1+N140</f>
        <v>1.02610715451378</v>
      </c>
      <c r="AF140" s="25"/>
    </row>
    <row r="141" customFormat="false" ht="12" hidden="false" customHeight="false" outlineLevel="0" collapsed="false">
      <c r="A141" s="446" t="n">
        <f aca="false">A140+1</f>
        <v>2001</v>
      </c>
      <c r="B141" s="819" t="n">
        <f aca="false">TableDE3b!H141</f>
        <v>1927.24588892589</v>
      </c>
      <c r="C141" s="382" t="n">
        <f aca="false">B141/B140-1</f>
        <v>0.0134985763985209</v>
      </c>
      <c r="D141" s="386" t="n">
        <f aca="false">TableDE6a!J141</f>
        <v>3.80273326996628</v>
      </c>
      <c r="E141" s="977" t="n">
        <f aca="false">(D141/D140)*(1+C141)-1</f>
        <v>0.0156315510346634</v>
      </c>
      <c r="F141" s="514" t="n">
        <f aca="false">TableDE12c!B141</f>
        <v>0.0639837508769548</v>
      </c>
      <c r="G141" s="387" t="n">
        <f aca="false">F140/D140</f>
        <v>0.017942729045996</v>
      </c>
      <c r="H141" s="387" t="n">
        <f aca="false">O141/D141</f>
        <v>0</v>
      </c>
      <c r="I141" s="418" t="n">
        <f aca="false">(1+E141)/((1+G141)*(1+H140))-1</f>
        <v>-0.00227044011945399</v>
      </c>
      <c r="J141" s="839" t="n">
        <f aca="false">(K141/K140)*(1+C141)-1</f>
        <v>0.0261413280702691</v>
      </c>
      <c r="K141" s="891" t="n">
        <f aca="false">TableDE6b!J141</f>
        <v>5.11858974358974</v>
      </c>
      <c r="L141" s="514" t="n">
        <f aca="false">F141</f>
        <v>0.0639837508769548</v>
      </c>
      <c r="M141" s="418" t="n">
        <f aca="false">L140/K140</f>
        <v>0.013468059811399</v>
      </c>
      <c r="N141" s="418" t="n">
        <f aca="false">(1+J141)/(1+M141)-1</f>
        <v>0.0125048521620195</v>
      </c>
      <c r="O141" s="840" t="n">
        <f aca="false">TableDE5a!O141+TableDE5c!O141</f>
        <v>0</v>
      </c>
      <c r="Q141" s="25"/>
      <c r="R141" s="195"/>
      <c r="S141" s="876" t="n">
        <f aca="false">S140*(1+T141)*(1+F140/S140)/(1+C141)</f>
        <v>3.83751287656629</v>
      </c>
      <c r="T141" s="877" t="n">
        <f aca="false">T$157</f>
        <v>-0.00221</v>
      </c>
      <c r="U141" s="878" t="n">
        <f aca="false">U140*(1+V141)*(1+F140/U140)/(1+C141)</f>
        <v>5.19011281725465</v>
      </c>
      <c r="V141" s="879" t="n">
        <f aca="false">U$157</f>
        <v>0.0048372</v>
      </c>
      <c r="W141" s="816"/>
      <c r="X141" s="817" t="n">
        <f aca="false">1+$C141</f>
        <v>1.01349857639852</v>
      </c>
      <c r="Y141" s="818" t="n">
        <f aca="false">1+E141</f>
        <v>1.01563155103466</v>
      </c>
      <c r="Z141" s="818" t="n">
        <f aca="false">1+G141</f>
        <v>1.017942729046</v>
      </c>
      <c r="AA141" s="818" t="n">
        <f aca="false">1+H140</f>
        <v>1</v>
      </c>
      <c r="AB141" s="818" t="n">
        <f aca="false">1+I141</f>
        <v>0.997729559880546</v>
      </c>
      <c r="AC141" s="818" t="n">
        <f aca="false">1+J141</f>
        <v>1.02614132807027</v>
      </c>
      <c r="AD141" s="818" t="n">
        <f aca="false">1+M141</f>
        <v>1.0134680598114</v>
      </c>
      <c r="AE141" s="818" t="n">
        <f aca="false">1+N141</f>
        <v>1.01250485216202</v>
      </c>
      <c r="AF141" s="25"/>
    </row>
    <row r="142" customFormat="false" ht="12" hidden="false" customHeight="false" outlineLevel="0" collapsed="false">
      <c r="A142" s="446" t="n">
        <f aca="false">A141+1</f>
        <v>2002</v>
      </c>
      <c r="B142" s="819" t="n">
        <f aca="false">TableDE3b!H142</f>
        <v>1921.47609110833</v>
      </c>
      <c r="C142" s="382" t="n">
        <f aca="false">B142/B141-1</f>
        <v>-0.00299380470894706</v>
      </c>
      <c r="D142" s="386" t="n">
        <f aca="false">TableDE6a!J142</f>
        <v>3.80345024364863</v>
      </c>
      <c r="E142" s="977" t="n">
        <f aca="false">(D142/D141)*(1+C142)-1</f>
        <v>-0.00280582749560598</v>
      </c>
      <c r="F142" s="514" t="n">
        <f aca="false">TableDE12c!B142</f>
        <v>0.0622688694815404</v>
      </c>
      <c r="G142" s="387" t="n">
        <f aca="false">F141/D141</f>
        <v>0.0168257267429967</v>
      </c>
      <c r="H142" s="387" t="n">
        <f aca="false">O142/D142</f>
        <v>0</v>
      </c>
      <c r="I142" s="418" t="n">
        <f aca="false">(1+E142)/((1+G142)*(1+H141))-1</f>
        <v>-0.0193067048976866</v>
      </c>
      <c r="J142" s="839" t="n">
        <f aca="false">(K142/K141)*(1+C142)-1</f>
        <v>0.0121434089226899</v>
      </c>
      <c r="K142" s="891" t="n">
        <f aca="false">TableDE6b!J142</f>
        <v>5.19630359011083</v>
      </c>
      <c r="L142" s="514" t="n">
        <f aca="false">F142</f>
        <v>0.0622688694815404</v>
      </c>
      <c r="M142" s="418" t="n">
        <f aca="false">L141/K141</f>
        <v>0.0125002694261803</v>
      </c>
      <c r="N142" s="418" t="n">
        <f aca="false">(1+J142)/(1+M142)-1</f>
        <v>-0.000352454724473761</v>
      </c>
      <c r="O142" s="840" t="n">
        <f aca="false">TableDE5a!O142+TableDE5c!O142</f>
        <v>0</v>
      </c>
      <c r="Q142" s="25"/>
      <c r="R142" s="195"/>
      <c r="S142" s="876" t="n">
        <f aca="false">S141*(1+T142)*(1+F141/S141)/(1+C142)</f>
        <v>3.90456382145164</v>
      </c>
      <c r="T142" s="877" t="n">
        <f aca="false">T$157</f>
        <v>-0.00221</v>
      </c>
      <c r="U142" s="878" t="n">
        <f aca="false">U141*(1+V142)*(1+F141/U141)/(1+C142)</f>
        <v>5.29536497264166</v>
      </c>
      <c r="V142" s="879" t="n">
        <f aca="false">U$157</f>
        <v>0.0048372</v>
      </c>
      <c r="W142" s="816"/>
      <c r="X142" s="817" t="n">
        <f aca="false">1+$C142</f>
        <v>0.997006195291053</v>
      </c>
      <c r="Y142" s="818" t="n">
        <f aca="false">1+E142</f>
        <v>0.997194172504394</v>
      </c>
      <c r="Z142" s="818" t="n">
        <f aca="false">1+G142</f>
        <v>1.016825726743</v>
      </c>
      <c r="AA142" s="818" t="n">
        <f aca="false">1+H141</f>
        <v>1</v>
      </c>
      <c r="AB142" s="818" t="n">
        <f aca="false">1+I142</f>
        <v>0.980693295102313</v>
      </c>
      <c r="AC142" s="818" t="n">
        <f aca="false">1+J142</f>
        <v>1.01214340892269</v>
      </c>
      <c r="AD142" s="818" t="n">
        <f aca="false">1+M142</f>
        <v>1.01250026942618</v>
      </c>
      <c r="AE142" s="818" t="n">
        <f aca="false">1+N142</f>
        <v>0.999647545275526</v>
      </c>
      <c r="AF142" s="25"/>
    </row>
    <row r="143" customFormat="false" ht="12" hidden="false" customHeight="false" outlineLevel="0" collapsed="false">
      <c r="A143" s="446" t="n">
        <f aca="false">A142+1</f>
        <v>2003</v>
      </c>
      <c r="B143" s="819" t="n">
        <f aca="false">TableDE3b!H143</f>
        <v>1926.23959411821</v>
      </c>
      <c r="C143" s="382" t="n">
        <f aca="false">B143/B142-1</f>
        <v>0.00247908523656948</v>
      </c>
      <c r="D143" s="386" t="n">
        <f aca="false">TableDE6a!J143</f>
        <v>3.83188793817279</v>
      </c>
      <c r="E143" s="977" t="n">
        <f aca="false">(D143/D142)*(1+C143)-1</f>
        <v>0.00997443608029758</v>
      </c>
      <c r="F143" s="514" t="n">
        <f aca="false">TableDE12c!B143</f>
        <v>0.0585481645045543</v>
      </c>
      <c r="G143" s="387" t="n">
        <f aca="false">F142/D142</f>
        <v>0.0163716797887715</v>
      </c>
      <c r="H143" s="387" t="n">
        <f aca="false">O143/D143</f>
        <v>0</v>
      </c>
      <c r="I143" s="418" t="n">
        <f aca="false">(1+E143)/((1+G143)*(1+H142))-1</f>
        <v>-0.00629419712855772</v>
      </c>
      <c r="J143" s="839" t="n">
        <f aca="false">(K143/K142)*(1+C143)-1</f>
        <v>0.00683604004003446</v>
      </c>
      <c r="K143" s="891" t="n">
        <f aca="false">TableDE6b!J143</f>
        <v>5.21888766215843</v>
      </c>
      <c r="L143" s="514" t="n">
        <f aca="false">F143</f>
        <v>0.0585481645045543</v>
      </c>
      <c r="M143" s="418" t="n">
        <f aca="false">L142/K142</f>
        <v>0.0119833008987476</v>
      </c>
      <c r="N143" s="418" t="n">
        <f aca="false">(1+J143)/(1+M143)-1</f>
        <v>-0.00508631007462457</v>
      </c>
      <c r="O143" s="840" t="n">
        <f aca="false">TableDE5a!O143+TableDE5c!O143</f>
        <v>0</v>
      </c>
      <c r="Q143" s="25"/>
      <c r="R143" s="195"/>
      <c r="S143" s="876" t="n">
        <f aca="false">S142*(1+T143)*(1+F142/S142)/(1+C143)</f>
        <v>3.94827787330064</v>
      </c>
      <c r="T143" s="877" t="n">
        <f aca="false">T$157</f>
        <v>-0.00221</v>
      </c>
      <c r="U143" s="878" t="n">
        <f aca="false">U142*(1+V143)*(1+F142/U142)/(1+C143)</f>
        <v>5.37023651448437</v>
      </c>
      <c r="V143" s="879" t="n">
        <f aca="false">U$157</f>
        <v>0.0048372</v>
      </c>
      <c r="W143" s="816"/>
      <c r="X143" s="817" t="n">
        <f aca="false">1+$C143</f>
        <v>1.00247908523657</v>
      </c>
      <c r="Y143" s="818" t="n">
        <f aca="false">1+E143</f>
        <v>1.0099744360803</v>
      </c>
      <c r="Z143" s="818" t="n">
        <f aca="false">1+G143</f>
        <v>1.01637167978877</v>
      </c>
      <c r="AA143" s="818" t="n">
        <f aca="false">1+H142</f>
        <v>1</v>
      </c>
      <c r="AB143" s="818" t="n">
        <f aca="false">1+I143</f>
        <v>0.993705802871442</v>
      </c>
      <c r="AC143" s="818" t="n">
        <f aca="false">1+J143</f>
        <v>1.00683604004003</v>
      </c>
      <c r="AD143" s="818" t="n">
        <f aca="false">1+M143</f>
        <v>1.01198330089875</v>
      </c>
      <c r="AE143" s="818" t="n">
        <f aca="false">1+N143</f>
        <v>0.994913689925375</v>
      </c>
      <c r="AF143" s="25"/>
    </row>
    <row r="144" customFormat="false" ht="12" hidden="false" customHeight="false" outlineLevel="0" collapsed="false">
      <c r="A144" s="446" t="n">
        <f aca="false">A143+1</f>
        <v>2004</v>
      </c>
      <c r="B144" s="819" t="n">
        <f aca="false">TableDE3b!H144</f>
        <v>1990.07999695766</v>
      </c>
      <c r="C144" s="382" t="n">
        <f aca="false">B144/B143-1</f>
        <v>0.0331425036814659</v>
      </c>
      <c r="D144" s="386" t="n">
        <f aca="false">TableDE6a!J144</f>
        <v>3.8021627422578</v>
      </c>
      <c r="E144" s="977" t="n">
        <f aca="false">(D144/D143)*(1+C144)-1</f>
        <v>0.0251280826374416</v>
      </c>
      <c r="F144" s="514" t="n">
        <f aca="false">TableDE12c!B144</f>
        <v>0.0880005075122385</v>
      </c>
      <c r="G144" s="387" t="n">
        <f aca="false">F143/D143</f>
        <v>0.0152791953859884</v>
      </c>
      <c r="H144" s="387" t="n">
        <f aca="false">O144/D144</f>
        <v>0</v>
      </c>
      <c r="I144" s="418" t="n">
        <f aca="false">(1+E144)/((1+G144)*(1+H143))-1</f>
        <v>0.00970066883691922</v>
      </c>
      <c r="J144" s="839" t="n">
        <f aca="false">(K144/K143)*(1+C144)-1</f>
        <v>0.0182294035929427</v>
      </c>
      <c r="K144" s="891" t="n">
        <f aca="false">TableDE6b!J144</f>
        <v>5.14355459457173</v>
      </c>
      <c r="L144" s="514" t="n">
        <f aca="false">F144</f>
        <v>0.0880005075122385</v>
      </c>
      <c r="M144" s="418" t="n">
        <f aca="false">L143/K143</f>
        <v>0.0112185140387444</v>
      </c>
      <c r="N144" s="418" t="n">
        <f aca="false">(1+J144)/(1+M144)-1</f>
        <v>0.00693311035831146</v>
      </c>
      <c r="O144" s="840" t="n">
        <f aca="false">TableDE5a!O144+TableDE5c!O144</f>
        <v>0</v>
      </c>
      <c r="Q144" s="25"/>
      <c r="R144" s="195"/>
      <c r="S144" s="876" t="n">
        <f aca="false">S143*(1+T144)*(1+F143/S143)/(1+C144)</f>
        <v>3.86971878324182</v>
      </c>
      <c r="T144" s="877" t="n">
        <f aca="false">T$157</f>
        <v>-0.00221</v>
      </c>
      <c r="U144" s="878" t="n">
        <f aca="false">U143*(1+V144)*(1+F143/U143)/(1+C144)</f>
        <v>5.28005069658813</v>
      </c>
      <c r="V144" s="879" t="n">
        <f aca="false">U$157</f>
        <v>0.0048372</v>
      </c>
      <c r="W144" s="816"/>
      <c r="X144" s="817" t="n">
        <f aca="false">1+$C144</f>
        <v>1.03314250368147</v>
      </c>
      <c r="Y144" s="818" t="n">
        <f aca="false">1+E144</f>
        <v>1.02512808263744</v>
      </c>
      <c r="Z144" s="818" t="n">
        <f aca="false">1+G144</f>
        <v>1.01527919538599</v>
      </c>
      <c r="AA144" s="818" t="n">
        <f aca="false">1+H143</f>
        <v>1</v>
      </c>
      <c r="AB144" s="818" t="n">
        <f aca="false">1+I144</f>
        <v>1.00970066883692</v>
      </c>
      <c r="AC144" s="818" t="n">
        <f aca="false">1+J144</f>
        <v>1.01822940359294</v>
      </c>
      <c r="AD144" s="818" t="n">
        <f aca="false">1+M144</f>
        <v>1.01121851403874</v>
      </c>
      <c r="AE144" s="818" t="n">
        <f aca="false">1+N144</f>
        <v>1.00693311035831</v>
      </c>
      <c r="AF144" s="25"/>
    </row>
    <row r="145" customFormat="false" ht="12" hidden="false" customHeight="false" outlineLevel="0" collapsed="false">
      <c r="A145" s="446" t="n">
        <f aca="false">A144+1</f>
        <v>2005</v>
      </c>
      <c r="B145" s="819" t="n">
        <f aca="false">TableDE3b!H145</f>
        <v>2009.27321931616</v>
      </c>
      <c r="C145" s="382" t="n">
        <f aca="false">B145/B144-1</f>
        <v>0.00964444765428429</v>
      </c>
      <c r="D145" s="386" t="n">
        <f aca="false">TableDE6a!J145</f>
        <v>3.87221265279997</v>
      </c>
      <c r="E145" s="977" t="n">
        <f aca="false">(D145/D144)*(1+C145)-1</f>
        <v>0.0282458353464861</v>
      </c>
      <c r="F145" s="514" t="n">
        <f aca="false">TableDE12c!B145</f>
        <v>0.0877380140817951</v>
      </c>
      <c r="G145" s="387" t="n">
        <f aca="false">F144/D144</f>
        <v>0.0231448555671192</v>
      </c>
      <c r="H145" s="387" t="n">
        <f aca="false">O145/D145</f>
        <v>0</v>
      </c>
      <c r="I145" s="418" t="n">
        <f aca="false">(1+E145)/((1+G145)*(1+H144))-1</f>
        <v>0.0049855890410937</v>
      </c>
      <c r="J145" s="839" t="n">
        <f aca="false">(K145/K144)*(1+C145)-1</f>
        <v>0.0348550125361109</v>
      </c>
      <c r="K145" s="891" t="n">
        <f aca="false">TableDE6b!J145</f>
        <v>5.27198784365356</v>
      </c>
      <c r="L145" s="514" t="n">
        <f aca="false">F145</f>
        <v>0.0877380140817951</v>
      </c>
      <c r="M145" s="418" t="n">
        <f aca="false">L144/K144</f>
        <v>0.017108889561532</v>
      </c>
      <c r="N145" s="418" t="n">
        <f aca="false">(1+J145)/(1+M145)-1</f>
        <v>0.017447613679032</v>
      </c>
      <c r="O145" s="840" t="n">
        <f aca="false">TableDE5a!O145+TableDE5c!O145</f>
        <v>0</v>
      </c>
      <c r="Q145" s="25"/>
      <c r="R145" s="195"/>
      <c r="S145" s="876" t="n">
        <f aca="false">S144*(1+T145)*(1+F144/S144)/(1+C145)</f>
        <v>3.91125087677764</v>
      </c>
      <c r="T145" s="877" t="n">
        <f aca="false">T$157</f>
        <v>-0.00221</v>
      </c>
      <c r="U145" s="878" t="n">
        <f aca="false">U144*(1+V145)*(1+F144/U144)/(1+C145)</f>
        <v>5.3424921554482</v>
      </c>
      <c r="V145" s="879" t="n">
        <f aca="false">U$157</f>
        <v>0.0048372</v>
      </c>
      <c r="W145" s="816"/>
      <c r="X145" s="817" t="n">
        <f aca="false">1+$C145</f>
        <v>1.00964444765428</v>
      </c>
      <c r="Y145" s="818" t="n">
        <f aca="false">1+E145</f>
        <v>1.02824583534649</v>
      </c>
      <c r="Z145" s="818" t="n">
        <f aca="false">1+G145</f>
        <v>1.02314485556712</v>
      </c>
      <c r="AA145" s="818" t="n">
        <f aca="false">1+H144</f>
        <v>1</v>
      </c>
      <c r="AB145" s="818" t="n">
        <f aca="false">1+I145</f>
        <v>1.00498558904109</v>
      </c>
      <c r="AC145" s="818" t="n">
        <f aca="false">1+J145</f>
        <v>1.03485501253611</v>
      </c>
      <c r="AD145" s="818" t="n">
        <f aca="false">1+M145</f>
        <v>1.01710888956153</v>
      </c>
      <c r="AE145" s="818" t="n">
        <f aca="false">1+N145</f>
        <v>1.01744761367903</v>
      </c>
      <c r="AF145" s="25"/>
    </row>
    <row r="146" customFormat="false" ht="12" hidden="false" customHeight="false" outlineLevel="0" collapsed="false">
      <c r="A146" s="446" t="n">
        <f aca="false">A145+1</f>
        <v>2006</v>
      </c>
      <c r="B146" s="819" t="n">
        <f aca="false">TableDE3b!H146</f>
        <v>2110.9803999689</v>
      </c>
      <c r="C146" s="382" t="n">
        <f aca="false">B146/B145-1</f>
        <v>0.0506188902907654</v>
      </c>
      <c r="D146" s="386" t="n">
        <f aca="false">TableDE6a!J146</f>
        <v>3.80019998024887</v>
      </c>
      <c r="E146" s="977" t="n">
        <f aca="false">(D146/D145)*(1+C146)-1</f>
        <v>0.0310802231496925</v>
      </c>
      <c r="F146" s="514" t="n">
        <f aca="false">TableDE12c!B146</f>
        <v>0.115425636974126</v>
      </c>
      <c r="G146" s="387" t="n">
        <f aca="false">F145/D145</f>
        <v>0.0226583666623661</v>
      </c>
      <c r="H146" s="387" t="n">
        <f aca="false">O146/D146</f>
        <v>0</v>
      </c>
      <c r="I146" s="418" t="n">
        <f aca="false">(1+E146)/((1+G146)*(1+H145))-1</f>
        <v>0.00823525897002408</v>
      </c>
      <c r="J146" s="839" t="n">
        <f aca="false">(K146/K145)*(1+C146)-1</f>
        <v>0.021859520126581</v>
      </c>
      <c r="K146" s="891" t="n">
        <f aca="false">TableDE6b!J146</f>
        <v>5.12767380999408</v>
      </c>
      <c r="L146" s="514" t="n">
        <f aca="false">F146</f>
        <v>0.115425636974126</v>
      </c>
      <c r="M146" s="418" t="n">
        <f aca="false">L145/K145</f>
        <v>0.0166423020469242</v>
      </c>
      <c r="N146" s="418" t="n">
        <f aca="false">(1+J146)/(1+M146)-1</f>
        <v>0.00513181289933762</v>
      </c>
      <c r="O146" s="840" t="n">
        <f aca="false">TableDE5a!O146+TableDE5c!O146</f>
        <v>0</v>
      </c>
      <c r="Q146" s="25"/>
      <c r="R146" s="195"/>
      <c r="S146" s="876" t="n">
        <f aca="false">S145*(1+T146)*(1+F145/S145)/(1+C146)</f>
        <v>3.79790537014457</v>
      </c>
      <c r="T146" s="877" t="n">
        <f aca="false">T$157</f>
        <v>-0.00221</v>
      </c>
      <c r="U146" s="878" t="n">
        <f aca="false">U145*(1+V146)*(1+F145/U145)/(1+C146)</f>
        <v>5.19360286525586</v>
      </c>
      <c r="V146" s="879" t="n">
        <f aca="false">U$157</f>
        <v>0.0048372</v>
      </c>
      <c r="W146" s="816"/>
      <c r="X146" s="817" t="n">
        <f aca="false">1+$C146</f>
        <v>1.05061889029077</v>
      </c>
      <c r="Y146" s="818" t="n">
        <f aca="false">1+E146</f>
        <v>1.03108022314969</v>
      </c>
      <c r="Z146" s="818" t="n">
        <f aca="false">1+G146</f>
        <v>1.02265836666237</v>
      </c>
      <c r="AA146" s="818" t="n">
        <f aca="false">1+H145</f>
        <v>1</v>
      </c>
      <c r="AB146" s="818" t="n">
        <f aca="false">1+I146</f>
        <v>1.00823525897002</v>
      </c>
      <c r="AC146" s="818" t="n">
        <f aca="false">1+J146</f>
        <v>1.02185952012658</v>
      </c>
      <c r="AD146" s="818" t="n">
        <f aca="false">1+M146</f>
        <v>1.01664230204692</v>
      </c>
      <c r="AE146" s="818" t="n">
        <f aca="false">1+N146</f>
        <v>1.00513181289934</v>
      </c>
      <c r="AF146" s="25"/>
    </row>
    <row r="147" customFormat="false" ht="12" hidden="false" customHeight="false" outlineLevel="0" collapsed="false">
      <c r="A147" s="446" t="n">
        <f aca="false">A146+1</f>
        <v>2007</v>
      </c>
      <c r="B147" s="819" t="n">
        <f aca="false">TableDE3b!H147</f>
        <v>2172.29537972607</v>
      </c>
      <c r="C147" s="382" t="n">
        <f aca="false">B147/B146-1</f>
        <v>0.0290457361698271</v>
      </c>
      <c r="D147" s="386" t="n">
        <f aca="false">TableDE6a!J147</f>
        <v>3.84820113314448</v>
      </c>
      <c r="E147" s="977" t="n">
        <f aca="false">(D147/D146)*(1+C147)-1</f>
        <v>0.0420438367895815</v>
      </c>
      <c r="F147" s="514" t="n">
        <f aca="false">TableDE12c!B147</f>
        <v>0.140868744098206</v>
      </c>
      <c r="G147" s="387" t="n">
        <f aca="false">F146/D146</f>
        <v>0.0303735691737378</v>
      </c>
      <c r="H147" s="387" t="n">
        <f aca="false">O147/D147</f>
        <v>0</v>
      </c>
      <c r="I147" s="418" t="n">
        <f aca="false">(1+E147)/((1+G147)*(1+H146))-1</f>
        <v>0.0113262490081165</v>
      </c>
      <c r="J147" s="839" t="n">
        <f aca="false">(K147/K146)*(1+C147)-1</f>
        <v>0.0163846789803259</v>
      </c>
      <c r="K147" s="891" t="n">
        <f aca="false">TableDE6b!J147</f>
        <v>5.06458451369216</v>
      </c>
      <c r="L147" s="514" t="n">
        <f aca="false">F147</f>
        <v>0.140868744098206</v>
      </c>
      <c r="M147" s="418" t="n">
        <f aca="false">L146/K146</f>
        <v>0.0225103314390155</v>
      </c>
      <c r="N147" s="418" t="n">
        <f aca="false">(1+J147)/(1+M147)-1</f>
        <v>-0.00599079761870847</v>
      </c>
      <c r="O147" s="840" t="n">
        <f aca="false">TableDE5a!O147+TableDE5c!O147</f>
        <v>0</v>
      </c>
      <c r="Q147" s="25"/>
      <c r="R147" s="195"/>
      <c r="S147" s="876" t="n">
        <f aca="false">S146*(1+T147)*(1+F146/S146)/(1+C147)</f>
        <v>3.79446938882079</v>
      </c>
      <c r="T147" s="877" t="n">
        <f aca="false">T$157</f>
        <v>-0.00221</v>
      </c>
      <c r="U147" s="878" t="n">
        <f aca="false">U146*(1+V147)*(1+F146/U146)/(1+C147)</f>
        <v>5.18413239314036</v>
      </c>
      <c r="V147" s="879" t="n">
        <f aca="false">U$157</f>
        <v>0.0048372</v>
      </c>
      <c r="W147" s="816"/>
      <c r="X147" s="817" t="n">
        <f aca="false">1+$C147</f>
        <v>1.02904573616983</v>
      </c>
      <c r="Y147" s="818" t="n">
        <f aca="false">1+E147</f>
        <v>1.04204383678958</v>
      </c>
      <c r="Z147" s="818" t="n">
        <f aca="false">1+G147</f>
        <v>1.03037356917374</v>
      </c>
      <c r="AA147" s="818" t="n">
        <f aca="false">1+H146</f>
        <v>1</v>
      </c>
      <c r="AB147" s="818" t="n">
        <f aca="false">1+I147</f>
        <v>1.01132624900812</v>
      </c>
      <c r="AC147" s="818" t="n">
        <f aca="false">1+J147</f>
        <v>1.01638467898033</v>
      </c>
      <c r="AD147" s="818" t="n">
        <f aca="false">1+M147</f>
        <v>1.02251033143902</v>
      </c>
      <c r="AE147" s="818" t="n">
        <f aca="false">1+N147</f>
        <v>0.994009202381292</v>
      </c>
      <c r="AF147" s="25"/>
    </row>
    <row r="148" customFormat="false" ht="12" hidden="false" customHeight="false" outlineLevel="0" collapsed="false">
      <c r="A148" s="446" t="n">
        <f aca="false">A147+1</f>
        <v>2008</v>
      </c>
      <c r="B148" s="819" t="n">
        <f aca="false">TableDE3b!H148</f>
        <v>2177.40619020797</v>
      </c>
      <c r="C148" s="382" t="n">
        <f aca="false">B148/B147-1</f>
        <v>0.00235272354284577</v>
      </c>
      <c r="D148" s="386" t="n">
        <f aca="false">TableDE6a!J148</f>
        <v>3.97740031130078</v>
      </c>
      <c r="E148" s="977" t="n">
        <f aca="false">(D148/D147)*(1+C148)-1</f>
        <v>0.0360056287896793</v>
      </c>
      <c r="F148" s="514" t="n">
        <f aca="false">TableDE12c!B148</f>
        <v>0.124581076091072</v>
      </c>
      <c r="G148" s="387" t="n">
        <f aca="false">F147/D147</f>
        <v>0.0366063880821889</v>
      </c>
      <c r="H148" s="387" t="n">
        <f aca="false">O148/D148</f>
        <v>0</v>
      </c>
      <c r="I148" s="418" t="n">
        <f aca="false">(1+E148)/((1+G148)*(1+H147))-1</f>
        <v>-0.00057954427004947</v>
      </c>
      <c r="J148" s="839" t="n">
        <f aca="false">(K148/K147)*(1+C148)-1</f>
        <v>0.0541175801873066</v>
      </c>
      <c r="K148" s="891" t="n">
        <f aca="false">TableDE6b!J148</f>
        <v>5.32613664514983</v>
      </c>
      <c r="L148" s="514" t="n">
        <f aca="false">F148</f>
        <v>0.124581076091072</v>
      </c>
      <c r="M148" s="418" t="n">
        <f aca="false">L147/K147</f>
        <v>0.0278144719902226</v>
      </c>
      <c r="N148" s="418" t="n">
        <f aca="false">(1+J148)/(1+M148)-1</f>
        <v>0.025591299708158</v>
      </c>
      <c r="O148" s="840" t="n">
        <f aca="false">TableDE5a!O148+TableDE5c!O148</f>
        <v>0</v>
      </c>
      <c r="Q148" s="25"/>
      <c r="R148" s="195"/>
      <c r="S148" s="876" t="n">
        <f aca="false">S147*(1+T148)*(1+F147/S147)/(1+C148)</f>
        <v>3.91742441898738</v>
      </c>
      <c r="T148" s="877" t="n">
        <f aca="false">T$157</f>
        <v>-0.00221</v>
      </c>
      <c r="U148" s="878" t="n">
        <f aca="false">U147*(1+V148)*(1+F147/U147)/(1+C148)</f>
        <v>5.33819992410177</v>
      </c>
      <c r="V148" s="879" t="n">
        <f aca="false">U$157</f>
        <v>0.0048372</v>
      </c>
      <c r="W148" s="816"/>
      <c r="X148" s="817" t="n">
        <f aca="false">1+$C148</f>
        <v>1.00235272354285</v>
      </c>
      <c r="Y148" s="818" t="n">
        <f aca="false">1+E148</f>
        <v>1.03600562878968</v>
      </c>
      <c r="Z148" s="818" t="n">
        <f aca="false">1+G148</f>
        <v>1.03660638808219</v>
      </c>
      <c r="AA148" s="818" t="n">
        <f aca="false">1+H147</f>
        <v>1</v>
      </c>
      <c r="AB148" s="818" t="n">
        <f aca="false">1+I148</f>
        <v>0.999420455729951</v>
      </c>
      <c r="AC148" s="818" t="n">
        <f aca="false">1+J148</f>
        <v>1.05411758018731</v>
      </c>
      <c r="AD148" s="818" t="n">
        <f aca="false">1+M148</f>
        <v>1.02781447199022</v>
      </c>
      <c r="AE148" s="818" t="n">
        <f aca="false">1+N148</f>
        <v>1.02559129970816</v>
      </c>
      <c r="AF148" s="25"/>
    </row>
    <row r="149" customFormat="false" ht="12" hidden="false" customHeight="false" outlineLevel="0" collapsed="false">
      <c r="A149" s="445" t="n">
        <f aca="false">A148+1</f>
        <v>2009</v>
      </c>
      <c r="B149" s="823" t="n">
        <f aca="false">TableDE3b!H149</f>
        <v>2063.58453491818</v>
      </c>
      <c r="C149" s="407" t="n">
        <f aca="false">B149/B148-1</f>
        <v>-0.0522739651433245</v>
      </c>
      <c r="D149" s="989" t="n">
        <f aca="false">TableDE6a!J149</f>
        <v>4.2186817525934</v>
      </c>
      <c r="E149" s="980" t="n">
        <f aca="false">(D149/D148)*(1+C149)-1</f>
        <v>0.00521803609956173</v>
      </c>
      <c r="F149" s="842" t="n">
        <f aca="false">TableDE12c!B149</f>
        <v>0.0760129865065128</v>
      </c>
      <c r="G149" s="406" t="n">
        <f aca="false">F148/D148</f>
        <v>0.0313222372254324</v>
      </c>
      <c r="H149" s="406" t="n">
        <f aca="false">O149/D149</f>
        <v>0</v>
      </c>
      <c r="I149" s="437" t="n">
        <f aca="false">(1+E149)/((1+G149)*(1+H148))-1</f>
        <v>-0.0253113917102175</v>
      </c>
      <c r="J149" s="843" t="n">
        <f aca="false">(K149/K148)*(1+C149)-1</f>
        <v>0.0297934714225039</v>
      </c>
      <c r="K149" s="990" t="n">
        <f aca="false">TableDE6b!J149</f>
        <v>5.78734839326106</v>
      </c>
      <c r="L149" s="842" t="n">
        <f aca="false">F149</f>
        <v>0.0760129865065128</v>
      </c>
      <c r="M149" s="437" t="n">
        <f aca="false">L148/K148</f>
        <v>0.0233905144368611</v>
      </c>
      <c r="N149" s="437" t="n">
        <f aca="false">(1+J149)/(1+M149)-1</f>
        <v>0.00625661162119151</v>
      </c>
      <c r="O149" s="840" t="n">
        <f aca="false">TableDE5a!O149+TableDE5c!O149</f>
        <v>0</v>
      </c>
      <c r="Q149" s="25"/>
      <c r="R149" s="195"/>
      <c r="S149" s="876" t="n">
        <f aca="false">S148*(1+T149)*(1+F148/S148)/(1+C149)</f>
        <v>4.25552587414595</v>
      </c>
      <c r="T149" s="877" t="n">
        <f aca="false">T$157</f>
        <v>-0.00221</v>
      </c>
      <c r="U149" s="878" t="n">
        <f aca="false">U148*(1+V149)*(1+F148/U148)/(1+C149)</f>
        <v>5.79197506722193</v>
      </c>
      <c r="V149" s="879" t="n">
        <f aca="false">U$157</f>
        <v>0.0048372</v>
      </c>
      <c r="W149" s="816"/>
      <c r="X149" s="817" t="n">
        <f aca="false">1+$C149</f>
        <v>0.947726034856676</v>
      </c>
      <c r="Y149" s="818" t="n">
        <f aca="false">1+E149</f>
        <v>1.00521803609956</v>
      </c>
      <c r="Z149" s="818" t="n">
        <f aca="false">1+G149</f>
        <v>1.03132223722543</v>
      </c>
      <c r="AA149" s="818" t="n">
        <f aca="false">1+H148</f>
        <v>1</v>
      </c>
      <c r="AB149" s="818" t="n">
        <f aca="false">1+I149</f>
        <v>0.974688608289783</v>
      </c>
      <c r="AC149" s="818" t="n">
        <f aca="false">1+J149</f>
        <v>1.0297934714225</v>
      </c>
      <c r="AD149" s="818" t="n">
        <f aca="false">1+M149</f>
        <v>1.02339051443686</v>
      </c>
      <c r="AE149" s="818" t="n">
        <f aca="false">1+N149</f>
        <v>1.00625661162119</v>
      </c>
      <c r="AF149" s="25"/>
    </row>
    <row r="150" customFormat="false" ht="13" hidden="false" customHeight="false" outlineLevel="0" collapsed="false">
      <c r="A150" s="447" t="n">
        <f aca="false">A149+1</f>
        <v>2010</v>
      </c>
      <c r="B150" s="819" t="n">
        <f aca="false">TableDE3b!H150</f>
        <v>2146.06</v>
      </c>
      <c r="C150" s="382" t="n">
        <f aca="false">B150/B149-1</f>
        <v>0.0399670881838112</v>
      </c>
      <c r="D150" s="386" t="n">
        <f aca="false">TableDE6a!J150</f>
        <v>4.15587169044668</v>
      </c>
      <c r="E150" s="977" t="n">
        <f aca="false">(D150/D149)*(1+C150)-1</f>
        <v>0.0244834842359154</v>
      </c>
      <c r="F150" s="514" t="n">
        <f aca="false">TableDE12c!B150</f>
        <v>0.091381415244681</v>
      </c>
      <c r="G150" s="387" t="n">
        <f aca="false">F149/D149</f>
        <v>0.0180181845809498</v>
      </c>
      <c r="H150" s="387" t="n">
        <f aca="false">O150/D150</f>
        <v>0</v>
      </c>
      <c r="I150" s="418" t="n">
        <f aca="false">(1+E150)/((1+G150)*(1+H149))-1</f>
        <v>0.0063508685334801</v>
      </c>
      <c r="J150" s="839" t="n">
        <f aca="false">(K150/K149)*(1+C150)-1</f>
        <v>0.0188414415938549</v>
      </c>
      <c r="K150" s="891" t="n">
        <f aca="false">TableDE6b!J150</f>
        <v>5.66978556051555</v>
      </c>
      <c r="L150" s="514" t="n">
        <f aca="false">F150</f>
        <v>0.091381415244681</v>
      </c>
      <c r="M150" s="418" t="n">
        <f aca="false">L149/K149</f>
        <v>0.0131343374100347</v>
      </c>
      <c r="N150" s="418" t="n">
        <f aca="false">(1+J150)/(1+M150)-1</f>
        <v>0.0056331169254511</v>
      </c>
      <c r="O150" s="880" t="n">
        <f aca="false">TableDE5a!O150+TableDE5c!O150</f>
        <v>0</v>
      </c>
      <c r="Q150" s="25"/>
      <c r="R150" s="195"/>
      <c r="S150" s="883" t="n">
        <f aca="false">S149*(1+T150)*(1+F149/S149)/(1+C150)</f>
        <v>4.15586820859712</v>
      </c>
      <c r="T150" s="884" t="n">
        <f aca="false">T$157</f>
        <v>-0.00221</v>
      </c>
      <c r="U150" s="991" t="n">
        <f aca="false">U149*(1+V150)*(1+F149/U149)/(1+C150)</f>
        <v>5.669768546079</v>
      </c>
      <c r="V150" s="886" t="n">
        <f aca="false">U$157</f>
        <v>0.0048372</v>
      </c>
      <c r="W150" s="816"/>
      <c r="X150" s="817" t="n">
        <f aca="false">1+$C150</f>
        <v>1.03996708818381</v>
      </c>
      <c r="Y150" s="818" t="n">
        <f aca="false">1+E150</f>
        <v>1.02448348423592</v>
      </c>
      <c r="Z150" s="818" t="n">
        <f aca="false">1+G150</f>
        <v>1.01801818458095</v>
      </c>
      <c r="AA150" s="818" t="n">
        <f aca="false">1+H149</f>
        <v>1</v>
      </c>
      <c r="AB150" s="818" t="n">
        <f aca="false">1+I150</f>
        <v>1.00635086853348</v>
      </c>
      <c r="AC150" s="818" t="n">
        <f aca="false">1+J150</f>
        <v>1.01884144159386</v>
      </c>
      <c r="AD150" s="818" t="n">
        <f aca="false">1+M150</f>
        <v>1.01313433741003</v>
      </c>
      <c r="AE150" s="818" t="n">
        <f aca="false">1+N150</f>
        <v>1.00563311692545</v>
      </c>
      <c r="AF150" s="25"/>
    </row>
    <row r="151" customFormat="false" ht="13" hidden="false" customHeight="false" outlineLevel="0" collapsed="false">
      <c r="A151" s="449" t="n">
        <f aca="false">A150+1</f>
        <v>2011</v>
      </c>
      <c r="B151" s="887" t="n">
        <f aca="false">TableDE3b!H151</f>
        <v>2211.53020629425</v>
      </c>
      <c r="C151" s="451" t="n">
        <f aca="false">B151/B150-1</f>
        <v>0.0305071648948529</v>
      </c>
      <c r="D151" s="992" t="n">
        <f aca="false">TableDE6a!J151</f>
        <v>4.13025530578364</v>
      </c>
      <c r="E151" s="450" t="n">
        <f aca="false">(D151/D150)*(1+C151)-1</f>
        <v>0.024155220008141</v>
      </c>
      <c r="F151" s="739" t="n">
        <f aca="false">TableDE12c!B151</f>
        <v>0.0957105038811864</v>
      </c>
      <c r="G151" s="450" t="n">
        <f aca="false">F150/D150</f>
        <v>0.0219885073580939</v>
      </c>
      <c r="H151" s="450" t="n">
        <f aca="false">O151/D151</f>
        <v>0</v>
      </c>
      <c r="I151" s="458" t="n">
        <f aca="false">(1+E151)/((1+G151)*(1+H150))-1</f>
        <v>0.00212009492714182</v>
      </c>
      <c r="J151" s="889" t="n">
        <f aca="false">(K151/K150)*(1+C151)-1</f>
        <v>0.0317425844683625</v>
      </c>
      <c r="K151" s="993" t="n">
        <f aca="false">TableDE6b!J151</f>
        <v>5.67658276125095</v>
      </c>
      <c r="L151" s="739" t="n">
        <f aca="false">F151</f>
        <v>0.0957105038811864</v>
      </c>
      <c r="M151" s="458" t="n">
        <f aca="false">L150/K150</f>
        <v>0.0161172612737001</v>
      </c>
      <c r="N151" s="458" t="n">
        <f aca="false">(1+J151)/(1+M151)-1</f>
        <v>0.015377480326509</v>
      </c>
      <c r="O151" s="890" t="n">
        <f aca="false">TableDE5a!O151+TableDE5c!O151</f>
        <v>0</v>
      </c>
      <c r="Q151" s="25"/>
      <c r="R151" s="994"/>
      <c r="V151" s="846"/>
      <c r="W151" s="846"/>
      <c r="X151" s="817" t="n">
        <f aca="false">1+$C151</f>
        <v>1.03050716489485</v>
      </c>
      <c r="AE151" s="995"/>
      <c r="AF151" s="25"/>
    </row>
    <row r="152" customFormat="false" ht="14" hidden="false" customHeight="false" outlineLevel="0" collapsed="false">
      <c r="A152" s="446"/>
      <c r="B152" s="819"/>
      <c r="C152" s="393"/>
      <c r="D152" s="839"/>
      <c r="E152" s="418"/>
      <c r="F152" s="418"/>
      <c r="G152" s="418"/>
      <c r="H152" s="418"/>
      <c r="I152" s="418"/>
      <c r="J152" s="892"/>
      <c r="K152" s="418"/>
      <c r="L152" s="418"/>
      <c r="M152" s="114"/>
      <c r="N152" s="114"/>
      <c r="O152" s="996"/>
      <c r="P152" s="158" t="s">
        <v>198</v>
      </c>
      <c r="V152" s="846"/>
      <c r="W152" s="846"/>
      <c r="X152" s="846"/>
      <c r="AE152" s="995"/>
      <c r="AF152" s="158"/>
    </row>
    <row r="153" customFormat="false" ht="13.75" hidden="false" customHeight="true" outlineLevel="0" collapsed="false">
      <c r="A153" s="446"/>
      <c r="B153" s="891" t="s">
        <v>258</v>
      </c>
      <c r="C153" s="997"/>
      <c r="D153" s="418" t="s">
        <v>259</v>
      </c>
      <c r="E153" s="418"/>
      <c r="F153" s="418" t="s">
        <v>147</v>
      </c>
      <c r="G153" s="418" t="s">
        <v>260</v>
      </c>
      <c r="H153" s="418" t="s">
        <v>293</v>
      </c>
      <c r="I153" s="418" t="s">
        <v>157</v>
      </c>
      <c r="J153" s="998" t="s">
        <v>259</v>
      </c>
      <c r="K153" s="999"/>
      <c r="L153" s="999"/>
      <c r="M153" s="418" t="s">
        <v>260</v>
      </c>
      <c r="N153" s="418" t="s">
        <v>157</v>
      </c>
      <c r="O153" s="996"/>
      <c r="S153" s="1000" t="s">
        <v>261</v>
      </c>
      <c r="T153" s="1000"/>
      <c r="U153" s="1000"/>
      <c r="V153" s="897"/>
      <c r="W153" s="846"/>
      <c r="X153" s="846"/>
    </row>
    <row r="154" customFormat="false" ht="12" hidden="false" customHeight="false" outlineLevel="0" collapsed="false">
      <c r="A154" s="446" t="s">
        <v>72</v>
      </c>
      <c r="B154" s="904" t="n">
        <f aca="false">(((1+B157)^79)*((1+B160)^61))^(1/140)-1</f>
        <v>0.0247172608432522</v>
      </c>
      <c r="C154" s="895"/>
      <c r="D154" s="1001" t="n">
        <f aca="false">(((1+D157)^79)*((1+D160)^61))^(1/140)-1</f>
        <v>0.020452781170057</v>
      </c>
      <c r="E154" s="906"/>
      <c r="F154" s="903" t="n">
        <f aca="false">SUMPRODUCT(B10:B149,F10:F149)/SUM(B10:B149)</f>
        <v>0.111266890862095</v>
      </c>
      <c r="G154" s="906" t="n">
        <f aca="false">(((1+G157)^79)*((1+G160)^61))^(1/140)-1</f>
        <v>0.0295613874611507</v>
      </c>
      <c r="H154" s="906" t="n">
        <f aca="false">(((1+H157)^79)*((1+H160)^61))^(1/140)-1</f>
        <v>-0.00310658060205682</v>
      </c>
      <c r="I154" s="906" t="n">
        <f aca="false">(((1+I157)^79)*((1+I160)^61))^(1/140)-1</f>
        <v>-0.00575838277223895</v>
      </c>
      <c r="J154" s="905"/>
      <c r="K154" s="114"/>
      <c r="L154" s="114"/>
      <c r="M154" s="906"/>
      <c r="N154" s="906"/>
      <c r="O154" s="996"/>
      <c r="P154" s="195" t="n">
        <f aca="false">(1+G154)*(1+I154)*(1+H154)-1-D154</f>
        <v>4.44089209850063E-016</v>
      </c>
      <c r="S154" s="908"/>
      <c r="T154" s="909"/>
      <c r="U154" s="909"/>
      <c r="V154" s="832"/>
      <c r="X154" s="846"/>
    </row>
    <row r="155" customFormat="false" ht="12" hidden="false" customHeight="false" outlineLevel="0" collapsed="false">
      <c r="A155" s="446"/>
      <c r="B155" s="891"/>
      <c r="C155" s="895"/>
      <c r="D155" s="839"/>
      <c r="E155" s="418"/>
      <c r="F155" s="891"/>
      <c r="G155" s="891" t="n">
        <f aca="false">G154/($G154+$H154+$I154)</f>
        <v>1.42833309450429</v>
      </c>
      <c r="H155" s="891" t="n">
        <f aca="false">H154/($G154+$H154+$I154)</f>
        <v>-0.150102287671518</v>
      </c>
      <c r="I155" s="891" t="n">
        <f aca="false">I154/($G154+$H154+$I154)</f>
        <v>-0.278230806832776</v>
      </c>
      <c r="J155" s="892"/>
      <c r="K155" s="114"/>
      <c r="L155" s="114"/>
      <c r="M155" s="891"/>
      <c r="N155" s="891"/>
      <c r="O155" s="996"/>
      <c r="S155" s="914"/>
      <c r="T155" s="915" t="s">
        <v>294</v>
      </c>
      <c r="U155" s="915" t="s">
        <v>295</v>
      </c>
      <c r="V155" s="832"/>
      <c r="X155" s="846"/>
    </row>
    <row r="156" customFormat="false" ht="12" hidden="false" customHeight="false" outlineLevel="0" collapsed="false">
      <c r="A156" s="446"/>
      <c r="B156" s="891"/>
      <c r="C156" s="895"/>
      <c r="D156" s="839"/>
      <c r="E156" s="418"/>
      <c r="F156" s="891"/>
      <c r="G156" s="418"/>
      <c r="H156" s="418"/>
      <c r="I156" s="418"/>
      <c r="J156" s="892"/>
      <c r="K156" s="114"/>
      <c r="L156" s="114"/>
      <c r="M156" s="418"/>
      <c r="N156" s="418"/>
      <c r="O156" s="996"/>
      <c r="S156" s="914"/>
      <c r="T156" s="915"/>
      <c r="U156" s="915"/>
      <c r="V156" s="832"/>
      <c r="X156" s="846"/>
    </row>
    <row r="157" customFormat="false" ht="12" hidden="false" customHeight="false" outlineLevel="0" collapsed="false">
      <c r="A157" s="446" t="s">
        <v>264</v>
      </c>
      <c r="B157" s="433" t="n">
        <f aca="false">(((1+B163)^43)*((1+B166)^36))^(1/79)-1</f>
        <v>0.0171165883425006</v>
      </c>
      <c r="C157" s="895"/>
      <c r="D157" s="839" t="n">
        <f aca="false">(((1+D163)^43)*((1+D166)^36))^(1/79)-1</f>
        <v>0.000907741004734453</v>
      </c>
      <c r="E157" s="418"/>
      <c r="F157" s="387" t="n">
        <f aca="false">SUMPRODUCT(B10:B88,F10:F88)/SUM(B10:B88)</f>
        <v>0.07225510184103</v>
      </c>
      <c r="G157" s="418" t="n">
        <f aca="false">(((1+G163)^43)*((1+G166)^36))^(1/79)-1</f>
        <v>0.0162957735624985</v>
      </c>
      <c r="H157" s="418" t="n">
        <f aca="false">(((1+H163)^43)*((1+H166)^36))^(1/79)-1</f>
        <v>-0.00549872818886465</v>
      </c>
      <c r="I157" s="418" t="n">
        <f aca="false">(((1+I163)^43)*((1+I166)^36))^(1/79)-1</f>
        <v>-0.00969588028936497</v>
      </c>
      <c r="J157" s="892"/>
      <c r="K157" s="114"/>
      <c r="L157" s="114"/>
      <c r="M157" s="418"/>
      <c r="N157" s="418"/>
      <c r="O157" s="996"/>
      <c r="P157" s="195" t="n">
        <f aca="false">(1+G157)*(1+I157)*(1+H157)-1-D157</f>
        <v>2.22044604925031E-016</v>
      </c>
      <c r="S157" s="917" t="s">
        <v>80</v>
      </c>
      <c r="T157" s="918" t="n">
        <v>-0.00221</v>
      </c>
      <c r="U157" s="918" t="n">
        <v>0.0048372</v>
      </c>
      <c r="V157" s="832"/>
      <c r="X157" s="846"/>
    </row>
    <row r="158" customFormat="false" ht="12" hidden="false" customHeight="false" outlineLevel="0" collapsed="false">
      <c r="A158" s="446"/>
      <c r="B158" s="1002"/>
      <c r="C158" s="895"/>
      <c r="D158" s="839"/>
      <c r="E158" s="418"/>
      <c r="F158" s="891"/>
      <c r="G158" s="891" t="n">
        <f aca="false">G157/($G157+$H157+$I157)</f>
        <v>14.79866533665</v>
      </c>
      <c r="H158" s="891" t="n">
        <f aca="false">H157/($G157+$H157+$I157)</f>
        <v>-4.99355479702282</v>
      </c>
      <c r="I158" s="891" t="n">
        <f aca="false">I157/($G157+$H157+$I157)</f>
        <v>-8.80511053962722</v>
      </c>
      <c r="J158" s="892"/>
      <c r="K158" s="114"/>
      <c r="L158" s="114"/>
      <c r="M158" s="891"/>
      <c r="N158" s="891"/>
      <c r="O158" s="996"/>
      <c r="S158" s="921" t="s">
        <v>265</v>
      </c>
      <c r="T158" s="922" t="n">
        <f aca="false">S150/D150</f>
        <v>0.9999991621855</v>
      </c>
      <c r="U158" s="1003" t="n">
        <f aca="false">U150/K150</f>
        <v>0.999996999104047</v>
      </c>
      <c r="V158" s="832"/>
      <c r="X158" s="846"/>
    </row>
    <row r="159" customFormat="false" ht="12" hidden="false" customHeight="false" outlineLevel="0" collapsed="false">
      <c r="A159" s="446"/>
      <c r="B159" s="891"/>
      <c r="C159" s="895"/>
      <c r="D159" s="839"/>
      <c r="E159" s="418"/>
      <c r="F159" s="891"/>
      <c r="G159" s="418"/>
      <c r="H159" s="418"/>
      <c r="I159" s="418"/>
      <c r="J159" s="892"/>
      <c r="K159" s="114"/>
      <c r="L159" s="114"/>
      <c r="M159" s="418"/>
      <c r="N159" s="418"/>
      <c r="O159" s="996"/>
      <c r="S159" s="921"/>
      <c r="T159" s="922"/>
      <c r="U159" s="922"/>
      <c r="V159" s="832"/>
      <c r="X159" s="846"/>
    </row>
    <row r="160" s="20" customFormat="true" ht="12" hidden="false" customHeight="false" outlineLevel="0" collapsed="false">
      <c r="A160" s="923" t="s">
        <v>267</v>
      </c>
      <c r="B160" s="392" t="n">
        <f aca="false">PRODUCT(X90:X150)^(1/61)-1</f>
        <v>0.0346452276457068</v>
      </c>
      <c r="C160" s="895"/>
      <c r="D160" s="839" t="n">
        <f aca="false">(((1+D169)^42)*((1+D172)^19))^(1/61)-1</f>
        <v>0.0463335068386543</v>
      </c>
      <c r="E160" s="418"/>
      <c r="F160" s="387" t="n">
        <f aca="false">SUMPRODUCT(B89:B149,F89:F149)/SUM(B89:B149)</f>
        <v>0.118528496809083</v>
      </c>
      <c r="G160" s="418" t="n">
        <f aca="false">(((1+G169)^42)*((1+G172)^19))^(1/61)-1</f>
        <v>0.0469991101445844</v>
      </c>
      <c r="H160" s="418" t="n">
        <f aca="false">(((1+H169)^42)*((1+H172)^19))^(1/61)-1</f>
        <v>0</v>
      </c>
      <c r="I160" s="418" t="n">
        <f aca="false">(((1+I169)^42)*((1+I172)^19))^(1/61)-1</f>
        <v>-0.000635724805762239</v>
      </c>
      <c r="J160" s="892"/>
      <c r="K160" s="114"/>
      <c r="L160" s="114"/>
      <c r="M160" s="418"/>
      <c r="N160" s="418"/>
      <c r="O160" s="1004"/>
      <c r="P160" s="195" t="n">
        <f aca="false">(1+G160)*(1+I160)*(1+H160)-1-D160</f>
        <v>2.22044604925031E-016</v>
      </c>
      <c r="S160" s="1005" t="s">
        <v>296</v>
      </c>
      <c r="T160" s="418"/>
      <c r="U160" s="418"/>
      <c r="V160" s="1005"/>
      <c r="X160" s="926"/>
    </row>
    <row r="161" customFormat="false" ht="12" hidden="false" customHeight="false" outlineLevel="0" collapsed="false">
      <c r="A161" s="446"/>
      <c r="B161" s="891"/>
      <c r="C161" s="895"/>
      <c r="D161" s="839"/>
      <c r="E161" s="418"/>
      <c r="F161" s="891"/>
      <c r="G161" s="891" t="n">
        <f aca="false">G160/($G160+$H160+$I160)</f>
        <v>1.01371178573602</v>
      </c>
      <c r="H161" s="891" t="n">
        <f aca="false">H160/($G160+$H160+$I160)</f>
        <v>0</v>
      </c>
      <c r="I161" s="891" t="n">
        <f aca="false">I160/($G160+$H160+$I160)</f>
        <v>-0.0137117857360152</v>
      </c>
      <c r="J161" s="892"/>
      <c r="K161" s="114"/>
      <c r="L161" s="114"/>
      <c r="M161" s="891"/>
      <c r="N161" s="891"/>
      <c r="O161" s="996"/>
      <c r="Q161" s="20"/>
      <c r="S161" s="931" t="s">
        <v>265</v>
      </c>
      <c r="T161" s="927"/>
      <c r="U161" s="927"/>
      <c r="V161" s="832"/>
      <c r="X161" s="846"/>
    </row>
    <row r="162" customFormat="false" ht="12" hidden="false" customHeight="false" outlineLevel="0" collapsed="false">
      <c r="A162" s="446"/>
      <c r="B162" s="891"/>
      <c r="C162" s="895"/>
      <c r="D162" s="839"/>
      <c r="E162" s="418"/>
      <c r="F162" s="891"/>
      <c r="G162" s="418"/>
      <c r="H162" s="418"/>
      <c r="I162" s="418"/>
      <c r="J162" s="892"/>
      <c r="K162" s="114"/>
      <c r="L162" s="114"/>
      <c r="M162" s="418"/>
      <c r="N162" s="418"/>
      <c r="O162" s="996"/>
      <c r="Q162" s="20"/>
      <c r="S162" s="931"/>
      <c r="T162" s="466"/>
      <c r="U162" s="465"/>
      <c r="V162" s="832"/>
      <c r="X162" s="846"/>
    </row>
    <row r="163" customFormat="false" ht="12" hidden="false" customHeight="false" outlineLevel="0" collapsed="false">
      <c r="A163" s="923" t="s">
        <v>269</v>
      </c>
      <c r="B163" s="433" t="n">
        <f aca="false">PRODUCT(X11:X53)^(1/43)-1</f>
        <v>0.0258883260646161</v>
      </c>
      <c r="C163" s="895"/>
      <c r="D163" s="836" t="n">
        <f aca="false">PRODUCT(Y11:Y53)^(1/43)-1</f>
        <v>0.0228532098766496</v>
      </c>
      <c r="E163" s="433"/>
      <c r="F163" s="929" t="n">
        <f aca="false">SUMPRODUCT(B10:B52,F10:F52)/SUM(B10:B52)</f>
        <v>0.151150611502329</v>
      </c>
      <c r="G163" s="418" t="n">
        <f aca="false">PRODUCT(Z11:Z53)^(1/43)-1</f>
        <v>0.0227056378879587</v>
      </c>
      <c r="H163" s="418" t="n">
        <f aca="false">PRODUCT(AA11:AA53)^(1/43)-1</f>
        <v>0</v>
      </c>
      <c r="I163" s="418" t="n">
        <f aca="false">PRODUCT(AB11:AB53)^(1/43)-1</f>
        <v>0.00014429566360441</v>
      </c>
      <c r="J163" s="578"/>
      <c r="K163" s="114"/>
      <c r="L163" s="114"/>
      <c r="M163" s="418"/>
      <c r="N163" s="418"/>
      <c r="O163" s="996"/>
      <c r="P163" s="195" t="n">
        <f aca="false">(1+G163)*(1+I163)*(1+H163)-1-D163</f>
        <v>0</v>
      </c>
      <c r="Q163" s="20"/>
      <c r="S163" s="931" t="s">
        <v>297</v>
      </c>
      <c r="T163" s="387"/>
      <c r="U163" s="114"/>
      <c r="V163" s="862"/>
      <c r="X163" s="846"/>
    </row>
    <row r="164" customFormat="false" ht="12" hidden="false" customHeight="true" outlineLevel="0" collapsed="false">
      <c r="A164" s="923"/>
      <c r="B164" s="32"/>
      <c r="C164" s="895"/>
      <c r="D164" s="1006"/>
      <c r="E164" s="912"/>
      <c r="F164" s="418"/>
      <c r="G164" s="891" t="n">
        <f aca="false">G163/($G163+$H163+$I163)</f>
        <v>0.993685072944357</v>
      </c>
      <c r="H164" s="891" t="n">
        <f aca="false">H163/($G163+$H163+$I163)</f>
        <v>0</v>
      </c>
      <c r="I164" s="891" t="n">
        <f aca="false">I163/($G163+$H163+$I163)</f>
        <v>0.00631492705564299</v>
      </c>
      <c r="J164" s="839"/>
      <c r="K164" s="114"/>
      <c r="L164" s="114"/>
      <c r="M164" s="891"/>
      <c r="N164" s="891"/>
      <c r="O164" s="996"/>
      <c r="Q164" s="20"/>
      <c r="S164" s="1007" t="s">
        <v>265</v>
      </c>
      <c r="T164" s="1008"/>
      <c r="U164" s="1009"/>
      <c r="V164" s="832"/>
      <c r="X164" s="846"/>
    </row>
    <row r="165" customFormat="false" ht="12" hidden="false" customHeight="false" outlineLevel="0" collapsed="false">
      <c r="A165" s="923"/>
      <c r="B165" s="32"/>
      <c r="C165" s="895"/>
      <c r="D165" s="1006"/>
      <c r="E165" s="912"/>
      <c r="F165" s="418"/>
      <c r="G165" s="912"/>
      <c r="H165" s="912"/>
      <c r="I165" s="912"/>
      <c r="J165" s="839"/>
      <c r="K165" s="114"/>
      <c r="L165" s="114"/>
      <c r="M165" s="912"/>
      <c r="N165" s="912"/>
      <c r="O165" s="996"/>
      <c r="Q165" s="20"/>
      <c r="V165" s="846"/>
      <c r="X165" s="846"/>
    </row>
    <row r="166" customFormat="false" ht="12" hidden="false" customHeight="false" outlineLevel="0" collapsed="false">
      <c r="A166" s="446" t="s">
        <v>271</v>
      </c>
      <c r="B166" s="392" t="n">
        <f aca="false">PRODUCT(X54:X89)^(1/36)-1</f>
        <v>0.00673747545400016</v>
      </c>
      <c r="C166" s="895"/>
      <c r="D166" s="1006" t="n">
        <f aca="false">PRODUCT(Y54:Y89)^(1/36)-1</f>
        <v>-0.0246886906179905</v>
      </c>
      <c r="E166" s="912"/>
      <c r="F166" s="929" t="n">
        <f aca="false">SUMPRODUCT(B53:B88,F53:F88)/SUM(B53:B88)</f>
        <v>0.0225228238408361</v>
      </c>
      <c r="G166" s="912" t="n">
        <f aca="false">PRODUCT(Z54:Z89)^(1/36)-1</f>
        <v>0.00869217642889475</v>
      </c>
      <c r="H166" s="912" t="n">
        <f aca="false">PRODUCT(AA54:AA89)^(1/36)-1</f>
        <v>-0.0120270412243502</v>
      </c>
      <c r="I166" s="912" t="n">
        <f aca="false">PRODUCT(AB54:AB89)^(1/36)-1</f>
        <v>-0.0213226218108279</v>
      </c>
      <c r="J166" s="578"/>
      <c r="K166" s="114"/>
      <c r="L166" s="114"/>
      <c r="M166" s="912"/>
      <c r="N166" s="912"/>
      <c r="O166" s="996"/>
      <c r="P166" s="195" t="n">
        <f aca="false">(1+G166)*(1+I166)*(1+H166)-1-D166</f>
        <v>0</v>
      </c>
      <c r="Q166" s="20"/>
      <c r="V166" s="846"/>
      <c r="X166" s="846"/>
    </row>
    <row r="167" customFormat="false" ht="12" hidden="false" customHeight="false" outlineLevel="0" collapsed="false">
      <c r="A167" s="446"/>
      <c r="B167" s="32"/>
      <c r="C167" s="895"/>
      <c r="D167" s="1006"/>
      <c r="E167" s="912"/>
      <c r="F167" s="418"/>
      <c r="G167" s="891" t="n">
        <f aca="false">G166/($G166+$H166+$I166)</f>
        <v>-0.352516725150721</v>
      </c>
      <c r="H167" s="891" t="n">
        <f aca="false">H166/($G166+$H166+$I166)</f>
        <v>0.487764280941975</v>
      </c>
      <c r="I167" s="891" t="n">
        <f aca="false">I166/($G166+$H166+$I166)</f>
        <v>0.864752444208745</v>
      </c>
      <c r="J167" s="839"/>
      <c r="K167" s="114"/>
      <c r="L167" s="114"/>
      <c r="M167" s="891"/>
      <c r="N167" s="891"/>
      <c r="O167" s="996"/>
      <c r="Q167" s="20"/>
      <c r="V167" s="846"/>
      <c r="X167" s="846"/>
    </row>
    <row r="168" customFormat="false" ht="12" hidden="false" customHeight="false" outlineLevel="0" collapsed="false">
      <c r="A168" s="446"/>
      <c r="B168" s="32"/>
      <c r="C168" s="895"/>
      <c r="D168" s="1006"/>
      <c r="E168" s="912"/>
      <c r="F168" s="418"/>
      <c r="G168" s="912"/>
      <c r="H168" s="912"/>
      <c r="I168" s="912"/>
      <c r="J168" s="839"/>
      <c r="K168" s="114"/>
      <c r="L168" s="114"/>
      <c r="M168" s="912"/>
      <c r="N168" s="912"/>
      <c r="O168" s="996"/>
      <c r="Q168" s="20"/>
      <c r="V168" s="846"/>
      <c r="X168" s="846"/>
    </row>
    <row r="169" customFormat="false" ht="12" hidden="false" customHeight="false" outlineLevel="0" collapsed="false">
      <c r="A169" s="446" t="s">
        <v>273</v>
      </c>
      <c r="B169" s="392" t="n">
        <f aca="false">PRODUCT(X90:X131)^(1/42)-1</f>
        <v>0.0448706028512567</v>
      </c>
      <c r="C169" s="895"/>
      <c r="D169" s="937" t="n">
        <f aca="false">PRODUCT(Y90:Y131)^(1/42)-1</f>
        <v>0.0574080428251087</v>
      </c>
      <c r="E169" s="924"/>
      <c r="F169" s="418" t="n">
        <f aca="false">SUMPRODUCT(B89:B130,F89:F130)/SUM(B89:B130)</f>
        <v>0.148194084300602</v>
      </c>
      <c r="G169" s="691" t="n">
        <f aca="false">PRODUCT(Z90:Z131)^(1/42)-1</f>
        <v>0.0580434114989521</v>
      </c>
      <c r="H169" s="691" t="n">
        <f aca="false">PRODUCT(AA90:AA131)^(1/42)-1</f>
        <v>0</v>
      </c>
      <c r="I169" s="691" t="n">
        <f aca="false">PRODUCT(AB90:AB131)^(1/42)-1</f>
        <v>-0.000600512858865754</v>
      </c>
      <c r="J169" s="839"/>
      <c r="K169" s="114"/>
      <c r="L169" s="114"/>
      <c r="M169" s="691"/>
      <c r="N169" s="691"/>
      <c r="O169" s="996"/>
      <c r="P169" s="195" t="n">
        <f aca="false">(1+G169)*(1+I169)*(1+H169)-1-D169</f>
        <v>0</v>
      </c>
      <c r="Q169" s="20"/>
      <c r="T169" s="1010"/>
      <c r="V169" s="846"/>
      <c r="X169" s="846"/>
    </row>
    <row r="170" customFormat="false" ht="12" hidden="false" customHeight="false" outlineLevel="0" collapsed="false">
      <c r="A170" s="446"/>
      <c r="B170" s="32"/>
      <c r="C170" s="895"/>
      <c r="D170" s="1006"/>
      <c r="E170" s="912"/>
      <c r="F170" s="418"/>
      <c r="G170" s="891" t="n">
        <f aca="false">G169/($G169+$H169+$I169)</f>
        <v>1.0104540835</v>
      </c>
      <c r="H170" s="891" t="n">
        <f aca="false">H169/($G169+$H169+$I169)</f>
        <v>0</v>
      </c>
      <c r="I170" s="891" t="n">
        <f aca="false">I169/($G169+$H169+$I169)</f>
        <v>-0.0104540835000044</v>
      </c>
      <c r="J170" s="839"/>
      <c r="K170" s="114"/>
      <c r="L170" s="114"/>
      <c r="M170" s="891"/>
      <c r="N170" s="891"/>
      <c r="O170" s="996"/>
      <c r="Q170" s="20"/>
      <c r="V170" s="846"/>
      <c r="X170" s="846"/>
    </row>
    <row r="171" customFormat="false" ht="12" hidden="false" customHeight="false" outlineLevel="0" collapsed="false">
      <c r="A171" s="446"/>
      <c r="B171" s="32"/>
      <c r="C171" s="895"/>
      <c r="D171" s="1006"/>
      <c r="E171" s="912"/>
      <c r="F171" s="418"/>
      <c r="G171" s="912"/>
      <c r="H171" s="912"/>
      <c r="I171" s="912"/>
      <c r="J171" s="255"/>
      <c r="K171" s="114"/>
      <c r="L171" s="114"/>
      <c r="M171" s="912"/>
      <c r="N171" s="912"/>
      <c r="O171" s="996"/>
      <c r="Q171" s="20"/>
      <c r="V171" s="846"/>
      <c r="X171" s="846"/>
    </row>
    <row r="172" customFormat="false" ht="12" hidden="false" customHeight="false" outlineLevel="0" collapsed="false">
      <c r="A172" s="446" t="s">
        <v>274</v>
      </c>
      <c r="B172" s="392" t="n">
        <f aca="false">PRODUCT(X132:X150)^(1/19)-1</f>
        <v>0.012395454771408</v>
      </c>
      <c r="C172" s="895"/>
      <c r="D172" s="1011" t="n">
        <f aca="false">PRODUCT(Y132:Y150)^(1/19)-1</f>
        <v>0.0222627915538047</v>
      </c>
      <c r="E172" s="938"/>
      <c r="F172" s="929" t="n">
        <f aca="false">SUMPRODUCT(B131:B149,F131:F149)/SUM(B131:B149)</f>
        <v>0.0863269824303628</v>
      </c>
      <c r="G172" s="462" t="n">
        <f aca="false">PRODUCT(Z132:Z150)^(1/19)-1</f>
        <v>0.0229927555419962</v>
      </c>
      <c r="H172" s="462" t="n">
        <f aca="false">PRODUCT(AA132:AA150)^(1/19)-1</f>
        <v>0</v>
      </c>
      <c r="I172" s="462" t="n">
        <f aca="false">PRODUCT(AB132:AB150)^(1/19)-1</f>
        <v>-0.000713557338736792</v>
      </c>
      <c r="J172" s="836" t="n">
        <f aca="false">PRODUCT(AC132:AC150)^(1/19)-1</f>
        <v>0.0218859951691812</v>
      </c>
      <c r="K172" s="114"/>
      <c r="L172" s="114"/>
      <c r="M172" s="462" t="n">
        <f aca="false">PRODUCT(AD132:AD150)^(1/19)-1</f>
        <v>0.0169123232927575</v>
      </c>
      <c r="N172" s="462" t="n">
        <f aca="false">PRODUCT(AE132:AE150)^(1/19)-1</f>
        <v>0.00489095447316346</v>
      </c>
      <c r="O172" s="996"/>
      <c r="P172" s="195" t="n">
        <f aca="false">(1+G172)*(1+I172)*(1+H172)-1-D172</f>
        <v>0</v>
      </c>
      <c r="Q172" s="1012" t="n">
        <f aca="false">(1+M172)*(1+N172)-1-J172</f>
        <v>0</v>
      </c>
      <c r="V172" s="846"/>
      <c r="X172" s="846"/>
    </row>
    <row r="173" customFormat="false" ht="12" hidden="false" customHeight="false" outlineLevel="0" collapsed="false">
      <c r="A173" s="446"/>
      <c r="B173" s="32"/>
      <c r="C173" s="895"/>
      <c r="D173" s="1006"/>
      <c r="E173" s="912"/>
      <c r="F173" s="418"/>
      <c r="G173" s="891" t="n">
        <f aca="false">G172/($G172+$H172+$I172)</f>
        <v>1.03202796313524</v>
      </c>
      <c r="H173" s="891" t="n">
        <f aca="false">H172/($G172+$H172+$I172)</f>
        <v>0</v>
      </c>
      <c r="I173" s="891" t="n">
        <f aca="false">I172/($G172+$H172+$I172)</f>
        <v>-0.0320279631352442</v>
      </c>
      <c r="J173" s="894"/>
      <c r="K173" s="114"/>
      <c r="L173" s="114"/>
      <c r="M173" s="891" t="n">
        <f aca="false">M172/($M172+$N172)</f>
        <v>0.775678018430415</v>
      </c>
      <c r="N173" s="891" t="n">
        <f aca="false">N172/($M172+$N172)</f>
        <v>0.224321981569585</v>
      </c>
      <c r="O173" s="996"/>
      <c r="Q173" s="20"/>
      <c r="V173" s="846"/>
      <c r="X173" s="846"/>
    </row>
    <row r="174" customFormat="false" ht="12" hidden="false" customHeight="false" outlineLevel="0" collapsed="false">
      <c r="A174" s="446"/>
      <c r="B174" s="32"/>
      <c r="C174" s="895"/>
      <c r="D174" s="1006"/>
      <c r="E174" s="912"/>
      <c r="F174" s="418"/>
      <c r="G174" s="912"/>
      <c r="H174" s="912"/>
      <c r="I174" s="912"/>
      <c r="J174" s="839"/>
      <c r="K174" s="114"/>
      <c r="L174" s="114"/>
      <c r="M174" s="912"/>
      <c r="N174" s="912"/>
      <c r="O174" s="996"/>
      <c r="Q174" s="20"/>
      <c r="V174" s="846"/>
      <c r="X174" s="846"/>
    </row>
    <row r="175" customFormat="false" ht="12" hidden="false" customHeight="false" outlineLevel="0" collapsed="false">
      <c r="A175" s="446" t="s">
        <v>275</v>
      </c>
      <c r="B175" s="433" t="n">
        <f aca="false">PRODUCT(X91:X130)^(1/40)-1</f>
        <v>0.0427988396734282</v>
      </c>
      <c r="C175" s="895"/>
      <c r="D175" s="928" t="n">
        <f aca="false">PRODUCT(Y91:Y130)^(1/40)-1</f>
        <v>0.0551387266229337</v>
      </c>
      <c r="E175" s="462"/>
      <c r="F175" s="929" t="n">
        <f aca="false">SUMPRODUCT(B90:B129,F90:F129)/SUM(B90:B129)</f>
        <v>0.149016903105605</v>
      </c>
      <c r="G175" s="462" t="n">
        <f aca="false">PRODUCT(Z91:Z130)^(1/40)-1</f>
        <v>0.0582898649461032</v>
      </c>
      <c r="H175" s="462" t="n">
        <f aca="false">PRODUCT(AA91:AA130)^(1/40)-1</f>
        <v>0</v>
      </c>
      <c r="I175" s="462" t="n">
        <f aca="false">PRODUCT(AB91:AB130)^(1/40)-1</f>
        <v>-0.00297757583016256</v>
      </c>
      <c r="J175" s="578"/>
      <c r="K175" s="114"/>
      <c r="L175" s="114"/>
      <c r="M175" s="462"/>
      <c r="N175" s="462"/>
      <c r="O175" s="996"/>
      <c r="P175" s="195" t="n">
        <f aca="false">(1+G175)*(1+I175)*(1+H175)-1-D175</f>
        <v>0</v>
      </c>
      <c r="Q175" s="20"/>
      <c r="V175" s="846"/>
      <c r="X175" s="846"/>
    </row>
    <row r="176" customFormat="false" ht="12" hidden="false" customHeight="true" outlineLevel="0" collapsed="false">
      <c r="A176" s="446"/>
      <c r="B176" s="32"/>
      <c r="C176" s="895"/>
      <c r="D176" s="1006"/>
      <c r="E176" s="912"/>
      <c r="F176" s="418"/>
      <c r="G176" s="891" t="n">
        <f aca="false">G175/($G175+$H175+$I175)</f>
        <v>1.05383208465521</v>
      </c>
      <c r="H176" s="891" t="n">
        <f aca="false">H175/($G175+$H175+$I175)</f>
        <v>0</v>
      </c>
      <c r="I176" s="891" t="n">
        <f aca="false">I175/($G175+$H175+$I175)</f>
        <v>-0.0538320846552062</v>
      </c>
      <c r="J176" s="255"/>
      <c r="K176" s="114"/>
      <c r="L176" s="114"/>
      <c r="M176" s="891"/>
      <c r="N176" s="891"/>
      <c r="O176" s="996"/>
      <c r="Q176" s="20"/>
      <c r="V176" s="846"/>
      <c r="X176" s="935"/>
      <c r="AC176" s="29"/>
      <c r="AD176" s="29"/>
      <c r="AE176" s="29"/>
    </row>
    <row r="177" customFormat="false" ht="12" hidden="false" customHeight="false" outlineLevel="0" collapsed="false">
      <c r="A177" s="446"/>
      <c r="B177" s="433"/>
      <c r="C177" s="895"/>
      <c r="D177" s="933"/>
      <c r="E177" s="32"/>
      <c r="F177" s="32"/>
      <c r="G177" s="32"/>
      <c r="H177" s="32"/>
      <c r="I177" s="32"/>
      <c r="J177" s="933"/>
      <c r="K177" s="114"/>
      <c r="L177" s="114"/>
      <c r="M177" s="32"/>
      <c r="N177" s="32"/>
      <c r="O177" s="996"/>
      <c r="Q177" s="20"/>
      <c r="V177" s="846"/>
      <c r="X177" s="935"/>
      <c r="AC177" s="29"/>
      <c r="AD177" s="29"/>
      <c r="AE177" s="29"/>
    </row>
    <row r="178" customFormat="false" ht="12" hidden="false" customHeight="false" outlineLevel="0" collapsed="false">
      <c r="A178" s="446" t="s">
        <v>80</v>
      </c>
      <c r="B178" s="433" t="n">
        <f aca="false">PRODUCT(X111:X150)^(1/40)-1</f>
        <v>0.0195824371209541</v>
      </c>
      <c r="C178" s="895"/>
      <c r="D178" s="928" t="n">
        <f aca="false">PRODUCT(Y111:Y150)^(1/40)-1</f>
        <v>0.026807981265808</v>
      </c>
      <c r="E178" s="462"/>
      <c r="F178" s="929" t="n">
        <f aca="false">SUMPRODUCT(B110:B149,F110:F149)/SUM(B110:B149)</f>
        <v>0.101754869004257</v>
      </c>
      <c r="G178" s="462" t="n">
        <f aca="false">PRODUCT(Z111:Z150)^(1/40)-1</f>
        <v>0.0308100389938535</v>
      </c>
      <c r="H178" s="462" t="n">
        <f aca="false">PRODUCT(AA111:AA150)^(1/40)-1</f>
        <v>0</v>
      </c>
      <c r="I178" s="462" t="n">
        <f aca="false">PRODUCT(AB111:AB150)^(1/40)-1</f>
        <v>-0.00388243961220225</v>
      </c>
      <c r="J178" s="836" t="n">
        <f aca="false">PRODUCT(AC111:AC150)^(1/40)-1</f>
        <v>0.0266168189629386</v>
      </c>
      <c r="K178" s="114"/>
      <c r="L178" s="114"/>
      <c r="M178" s="462" t="n">
        <f aca="false">PRODUCT(AD111:AD150)^(1/40)-1</f>
        <v>0.0222762261833143</v>
      </c>
      <c r="N178" s="462" t="n">
        <f aca="false">PRODUCT(AE111:AE150)^(1/40)-1</f>
        <v>0.00424600775059592</v>
      </c>
      <c r="O178" s="996"/>
      <c r="P178" s="195" t="n">
        <f aca="false">(1+G178)*(1+I178)*(1+H178)-1-D178</f>
        <v>0</v>
      </c>
      <c r="Q178" s="1012" t="n">
        <f aca="false">(1+M178)*(1+N178)-1-J178</f>
        <v>0</v>
      </c>
      <c r="V178" s="846"/>
      <c r="X178" s="935"/>
      <c r="AC178" s="29"/>
      <c r="AD178" s="29"/>
      <c r="AE178" s="29"/>
    </row>
    <row r="179" customFormat="false" ht="13" hidden="false" customHeight="false" outlineLevel="0" collapsed="false">
      <c r="A179" s="449"/>
      <c r="B179" s="950"/>
      <c r="C179" s="952"/>
      <c r="D179" s="1013"/>
      <c r="E179" s="955"/>
      <c r="F179" s="955"/>
      <c r="G179" s="955" t="n">
        <f aca="false">G178/($G178+$H178+$I178)</f>
        <v>1.14418068083885</v>
      </c>
      <c r="H179" s="955" t="n">
        <f aca="false">H178/($G178+$H178+$I178)</f>
        <v>0</v>
      </c>
      <c r="I179" s="955" t="n">
        <f aca="false">I178/($G178+$H178+$I178)</f>
        <v>-0.144180680838849</v>
      </c>
      <c r="J179" s="956"/>
      <c r="K179" s="1014"/>
      <c r="L179" s="1014"/>
      <c r="M179" s="955" t="n">
        <f aca="false">M178/($M178+$N178)</f>
        <v>0.839907612564749</v>
      </c>
      <c r="N179" s="955" t="n">
        <f aca="false">N178/($M178+$N178)</f>
        <v>0.160092387435251</v>
      </c>
      <c r="O179" s="1015"/>
      <c r="Q179" s="20"/>
      <c r="V179" s="846"/>
      <c r="X179" s="935"/>
      <c r="AC179" s="29"/>
      <c r="AD179" s="29"/>
      <c r="AE179" s="29"/>
    </row>
    <row r="180" customFormat="false" ht="13" hidden="false" customHeight="false" outlineLevel="0" collapsed="false">
      <c r="A180" s="31"/>
      <c r="B180" s="461"/>
      <c r="C180" s="114"/>
      <c r="D180" s="912"/>
      <c r="E180" s="912"/>
      <c r="F180" s="912"/>
      <c r="G180" s="912"/>
      <c r="H180" s="912"/>
      <c r="I180" s="912"/>
      <c r="J180" s="466"/>
      <c r="K180" s="912"/>
      <c r="L180" s="912"/>
      <c r="M180" s="114"/>
      <c r="N180" s="114"/>
      <c r="Q180" s="20"/>
      <c r="V180" s="846"/>
      <c r="W180" s="948"/>
      <c r="X180" s="935"/>
      <c r="AC180" s="29"/>
      <c r="AD180" s="29"/>
      <c r="AE180" s="29"/>
    </row>
    <row r="181" customFormat="false" ht="12" hidden="false" customHeight="false" outlineLevel="0" collapsed="false">
      <c r="A181" s="31"/>
      <c r="B181" s="462"/>
      <c r="C181" s="433"/>
      <c r="D181" s="433"/>
      <c r="E181" s="433"/>
      <c r="F181" s="433"/>
      <c r="G181" s="433"/>
      <c r="H181" s="433"/>
      <c r="I181" s="433"/>
      <c r="J181" s="418"/>
      <c r="K181" s="433"/>
      <c r="L181" s="433"/>
      <c r="M181" s="114"/>
      <c r="N181" s="114"/>
      <c r="Q181" s="20"/>
      <c r="V181" s="158"/>
      <c r="X181" s="935"/>
      <c r="AC181" s="918"/>
      <c r="AD181" s="918"/>
      <c r="AE181" s="918"/>
    </row>
    <row r="182" customFormat="false" ht="12" hidden="false" customHeight="false" outlineLevel="0" collapsed="false">
      <c r="A182" s="31"/>
      <c r="B182" s="464"/>
      <c r="C182" s="25"/>
      <c r="D182" s="912"/>
      <c r="E182" s="912"/>
      <c r="F182" s="912"/>
      <c r="G182" s="912"/>
      <c r="H182" s="912"/>
      <c r="I182" s="912"/>
      <c r="J182" s="461"/>
      <c r="K182" s="912"/>
      <c r="L182" s="912"/>
      <c r="M182" s="114"/>
      <c r="N182" s="114"/>
      <c r="Q182" s="20"/>
      <c r="V182" s="158"/>
      <c r="X182" s="465"/>
      <c r="AC182" s="465"/>
      <c r="AD182" s="922"/>
      <c r="AE182" s="922"/>
    </row>
    <row r="183" customFormat="false" ht="12" hidden="false" customHeight="false" outlineLevel="0" collapsed="false">
      <c r="B183" s="130"/>
      <c r="C183" s="25"/>
      <c r="D183" s="466"/>
      <c r="E183" s="466"/>
      <c r="F183" s="466"/>
      <c r="G183" s="466"/>
      <c r="H183" s="466"/>
      <c r="I183" s="466"/>
      <c r="J183" s="130"/>
      <c r="K183" s="130"/>
      <c r="L183" s="466"/>
      <c r="M183" s="114"/>
      <c r="N183" s="114"/>
      <c r="S183" s="29"/>
      <c r="T183" s="29"/>
      <c r="U183" s="29"/>
      <c r="X183" s="465"/>
      <c r="AC183" s="465"/>
      <c r="AD183" s="922"/>
      <c r="AE183" s="922"/>
    </row>
    <row r="184" customFormat="false" ht="12" hidden="false" customHeight="false" outlineLevel="0" collapsed="false">
      <c r="B184" s="130"/>
      <c r="C184" s="25"/>
      <c r="D184" s="466"/>
      <c r="E184" s="466"/>
      <c r="F184" s="466"/>
      <c r="G184" s="466"/>
      <c r="H184" s="466"/>
      <c r="I184" s="466"/>
      <c r="J184" s="130"/>
      <c r="K184" s="130"/>
      <c r="L184" s="466"/>
      <c r="M184" s="114"/>
      <c r="N184" s="114"/>
      <c r="S184" s="29"/>
      <c r="T184" s="29"/>
      <c r="U184" s="29"/>
      <c r="V184" s="846"/>
      <c r="W184" s="846"/>
      <c r="X184" s="935"/>
      <c r="AC184" s="29"/>
      <c r="AD184" s="29"/>
      <c r="AE184" s="29"/>
    </row>
    <row r="185" customFormat="false" ht="12" hidden="false" customHeight="false" outlineLevel="0" collapsed="false">
      <c r="B185" s="130"/>
      <c r="C185" s="130"/>
      <c r="D185" s="466"/>
      <c r="E185" s="466"/>
      <c r="F185" s="466"/>
      <c r="G185" s="466"/>
      <c r="H185" s="466"/>
      <c r="I185" s="466"/>
      <c r="J185" s="130"/>
      <c r="K185" s="130"/>
      <c r="L185" s="466"/>
      <c r="M185" s="114"/>
      <c r="N185" s="114"/>
      <c r="S185" s="918"/>
      <c r="T185" s="918"/>
      <c r="U185" s="918"/>
      <c r="V185" s="846"/>
      <c r="W185" s="846"/>
      <c r="X185" s="935"/>
      <c r="AC185" s="29"/>
      <c r="AD185" s="29"/>
      <c r="AE185" s="29"/>
    </row>
    <row r="186" customFormat="false" ht="12" hidden="false" customHeight="false" outlineLevel="0" collapsed="false">
      <c r="B186" s="130"/>
      <c r="C186" s="130"/>
      <c r="D186" s="466"/>
      <c r="E186" s="466"/>
      <c r="F186" s="466"/>
      <c r="G186" s="466"/>
      <c r="H186" s="466"/>
      <c r="I186" s="466"/>
      <c r="J186" s="130"/>
      <c r="K186" s="130"/>
      <c r="L186" s="466"/>
      <c r="M186" s="114"/>
      <c r="N186" s="114"/>
      <c r="S186" s="465"/>
      <c r="T186" s="922"/>
      <c r="U186" s="922"/>
      <c r="V186" s="846"/>
      <c r="W186" s="846"/>
      <c r="X186" s="935"/>
      <c r="AC186" s="29"/>
      <c r="AD186" s="29"/>
      <c r="AE186" s="29"/>
    </row>
    <row r="187" customFormat="false" ht="12" hidden="false" customHeight="false" outlineLevel="0" collapsed="false">
      <c r="B187" s="130"/>
      <c r="C187" s="130"/>
      <c r="D187" s="466"/>
      <c r="E187" s="466"/>
      <c r="F187" s="466"/>
      <c r="G187" s="466"/>
      <c r="H187" s="466"/>
      <c r="I187" s="466"/>
      <c r="J187" s="130"/>
      <c r="K187" s="130"/>
      <c r="L187" s="466"/>
      <c r="M187" s="114"/>
      <c r="N187" s="114"/>
      <c r="S187" s="465"/>
      <c r="T187" s="959"/>
      <c r="U187" s="465"/>
      <c r="X187" s="465"/>
      <c r="AC187" s="465"/>
      <c r="AD187" s="922"/>
      <c r="AE187" s="922"/>
    </row>
    <row r="188" customFormat="false" ht="12" hidden="false" customHeight="false" outlineLevel="0" collapsed="false">
      <c r="B188" s="130"/>
      <c r="C188" s="130"/>
      <c r="D188" s="130"/>
      <c r="E188" s="130"/>
      <c r="F188" s="130"/>
      <c r="G188" s="130"/>
      <c r="H188" s="130"/>
      <c r="I188" s="130"/>
      <c r="J188" s="130"/>
      <c r="K188" s="130"/>
      <c r="L188" s="130"/>
      <c r="M188" s="114"/>
      <c r="N188" s="114"/>
      <c r="X188" s="465"/>
      <c r="AC188" s="465"/>
      <c r="AD188" s="922"/>
      <c r="AE188" s="922"/>
    </row>
    <row r="189" customFormat="false" ht="12" hidden="false" customHeight="false" outlineLevel="0" collapsed="false">
      <c r="B189" s="130"/>
      <c r="C189" s="130"/>
      <c r="D189" s="130"/>
      <c r="E189" s="130"/>
      <c r="F189" s="130"/>
      <c r="G189" s="130"/>
      <c r="H189" s="130"/>
      <c r="I189" s="130"/>
      <c r="J189" s="130"/>
      <c r="K189" s="130"/>
      <c r="L189" s="130"/>
      <c r="M189" s="114"/>
      <c r="N189" s="114"/>
      <c r="X189" s="465"/>
      <c r="AC189" s="465"/>
      <c r="AD189" s="922"/>
      <c r="AE189" s="922"/>
    </row>
    <row r="190" customFormat="false" ht="12" hidden="false" customHeight="false" outlineLevel="0" collapsed="false">
      <c r="D190" s="130"/>
      <c r="E190" s="130"/>
      <c r="F190" s="130"/>
      <c r="G190" s="130"/>
      <c r="H190" s="130"/>
      <c r="I190" s="130"/>
      <c r="J190" s="130"/>
      <c r="K190" s="130"/>
      <c r="L190" s="130"/>
      <c r="M190" s="114"/>
      <c r="N190" s="114"/>
      <c r="X190" s="465"/>
      <c r="AC190" s="465"/>
      <c r="AD190" s="922"/>
      <c r="AE190" s="922"/>
    </row>
    <row r="191" customFormat="false" ht="12" hidden="false" customHeight="false" outlineLevel="0" collapsed="false">
      <c r="B191" s="130"/>
      <c r="C191" s="25"/>
      <c r="D191" s="130"/>
      <c r="E191" s="130"/>
      <c r="F191" s="130"/>
      <c r="G191" s="130"/>
      <c r="H191" s="130"/>
      <c r="I191" s="130"/>
      <c r="J191" s="130"/>
      <c r="K191" s="130"/>
      <c r="L191" s="130"/>
      <c r="M191" s="114"/>
      <c r="N191" s="114"/>
      <c r="X191" s="465"/>
      <c r="AC191" s="465"/>
      <c r="AD191" s="922"/>
      <c r="AE191" s="922"/>
    </row>
    <row r="192" customFormat="false" ht="12" hidden="false" customHeight="false" outlineLevel="0" collapsed="false">
      <c r="B192" s="130"/>
      <c r="C192" s="25"/>
      <c r="D192" s="130"/>
      <c r="E192" s="130"/>
      <c r="F192" s="130"/>
      <c r="G192" s="130"/>
      <c r="H192" s="130"/>
      <c r="I192" s="130"/>
      <c r="J192" s="130"/>
      <c r="K192" s="130"/>
      <c r="L192" s="130"/>
      <c r="M192" s="114"/>
      <c r="N192" s="114"/>
      <c r="X192" s="465"/>
      <c r="AC192" s="465"/>
      <c r="AD192" s="922"/>
      <c r="AE192" s="922"/>
    </row>
    <row r="193" customFormat="false" ht="12" hidden="false" customHeight="false" outlineLevel="0" collapsed="false">
      <c r="B193" s="130"/>
      <c r="C193" s="130"/>
      <c r="D193" s="130"/>
      <c r="E193" s="130"/>
      <c r="F193" s="130"/>
      <c r="G193" s="130"/>
      <c r="H193" s="130"/>
      <c r="I193" s="130"/>
      <c r="J193" s="130"/>
      <c r="K193" s="130"/>
      <c r="L193" s="130"/>
      <c r="M193" s="114"/>
      <c r="N193" s="114"/>
      <c r="X193" s="465"/>
      <c r="AC193" s="465"/>
      <c r="AD193" s="465"/>
      <c r="AE193" s="465"/>
    </row>
    <row r="194" customFormat="false" ht="12" hidden="false" customHeight="false" outlineLevel="0" collapsed="false">
      <c r="B194" s="130"/>
      <c r="C194" s="130"/>
      <c r="D194" s="130"/>
      <c r="E194" s="130"/>
      <c r="F194" s="130"/>
      <c r="G194" s="130"/>
      <c r="H194" s="130"/>
      <c r="I194" s="130"/>
      <c r="J194" s="130"/>
      <c r="K194" s="130"/>
      <c r="L194" s="130"/>
      <c r="M194" s="114"/>
      <c r="N194" s="114"/>
      <c r="X194" s="465"/>
      <c r="AC194" s="918"/>
      <c r="AD194" s="918"/>
      <c r="AE194" s="918"/>
    </row>
    <row r="195" customFormat="false" ht="12" hidden="false" customHeight="false" outlineLevel="0" collapsed="false">
      <c r="B195" s="130"/>
      <c r="C195" s="25"/>
      <c r="D195" s="130"/>
      <c r="E195" s="130"/>
      <c r="F195" s="130"/>
      <c r="G195" s="130"/>
      <c r="H195" s="130"/>
      <c r="I195" s="130"/>
      <c r="J195" s="130"/>
      <c r="K195" s="130"/>
      <c r="L195" s="130"/>
      <c r="M195" s="114"/>
      <c r="N195" s="114"/>
      <c r="X195" s="465"/>
      <c r="AC195" s="465"/>
      <c r="AD195" s="922"/>
      <c r="AE195" s="922"/>
    </row>
    <row r="196" customFormat="false" ht="12" hidden="false" customHeight="false" outlineLevel="0" collapsed="false">
      <c r="B196" s="130"/>
      <c r="C196" s="130"/>
      <c r="D196" s="130"/>
      <c r="E196" s="130"/>
      <c r="F196" s="130"/>
      <c r="G196" s="130"/>
      <c r="H196" s="130"/>
      <c r="I196" s="130"/>
      <c r="J196" s="130"/>
      <c r="K196" s="130"/>
      <c r="L196" s="130"/>
      <c r="M196" s="114"/>
      <c r="N196" s="114"/>
      <c r="X196" s="465"/>
      <c r="AC196" s="465"/>
      <c r="AD196" s="959"/>
      <c r="AE196" s="465"/>
    </row>
    <row r="197" customFormat="false" ht="12" hidden="false" customHeight="false" outlineLevel="0" collapsed="false">
      <c r="B197" s="130"/>
      <c r="C197" s="130"/>
      <c r="D197" s="130"/>
      <c r="E197" s="130"/>
      <c r="F197" s="130"/>
      <c r="G197" s="130"/>
      <c r="H197" s="130"/>
      <c r="I197" s="130"/>
      <c r="J197" s="130"/>
      <c r="K197" s="130"/>
      <c r="L197" s="130"/>
      <c r="M197" s="114"/>
      <c r="N197" s="114"/>
      <c r="O197" s="29"/>
      <c r="P197" s="29"/>
      <c r="Q197" s="29"/>
      <c r="R197" s="29"/>
      <c r="X197" s="465"/>
      <c r="AC197" s="918"/>
      <c r="AD197" s="918"/>
      <c r="AE197" s="918"/>
    </row>
    <row r="198" customFormat="false" ht="12" hidden="false" customHeight="false" outlineLevel="0" collapsed="false">
      <c r="A198" s="32"/>
      <c r="B198" s="461"/>
      <c r="C198" s="466"/>
      <c r="D198" s="912"/>
      <c r="E198" s="912"/>
      <c r="F198" s="912"/>
      <c r="G198" s="912"/>
      <c r="H198" s="912"/>
      <c r="I198" s="912"/>
      <c r="J198" s="466"/>
      <c r="K198" s="912"/>
      <c r="L198" s="912"/>
      <c r="M198" s="114"/>
      <c r="N198" s="114"/>
      <c r="O198" s="29"/>
      <c r="P198" s="29"/>
      <c r="Q198" s="29"/>
      <c r="R198" s="29"/>
      <c r="X198" s="465"/>
      <c r="AC198" s="465"/>
      <c r="AD198" s="922"/>
      <c r="AE198" s="922"/>
    </row>
    <row r="199" customFormat="false" ht="12" hidden="false" customHeight="false" outlineLevel="0" collapsed="false">
      <c r="M199" s="114"/>
      <c r="N199" s="114"/>
      <c r="O199" s="114"/>
      <c r="P199" s="114"/>
      <c r="Q199" s="114"/>
      <c r="R199" s="114"/>
      <c r="S199" s="29"/>
      <c r="T199" s="29"/>
      <c r="U199" s="29"/>
      <c r="V199" s="197"/>
      <c r="W199" s="197"/>
      <c r="X199" s="465"/>
      <c r="AC199" s="29"/>
      <c r="AD199" s="29"/>
      <c r="AE199" s="29"/>
    </row>
    <row r="200" customFormat="false" ht="12" hidden="false" customHeight="false" outlineLevel="0" collapsed="false">
      <c r="V200" s="197"/>
      <c r="W200" s="197"/>
      <c r="X200" s="465"/>
      <c r="AC200" s="29"/>
      <c r="AD200" s="29"/>
      <c r="AE200" s="29"/>
    </row>
    <row r="201" customFormat="false" ht="12" hidden="false" customHeight="false" outlineLevel="0" collapsed="false">
      <c r="V201" s="197"/>
      <c r="W201" s="197"/>
      <c r="X201" s="465"/>
      <c r="AC201" s="29"/>
      <c r="AD201" s="29"/>
      <c r="AE201" s="29"/>
    </row>
    <row r="202" customFormat="false" ht="12" hidden="false" customHeight="false" outlineLevel="0" collapsed="false">
      <c r="V202" s="197"/>
      <c r="W202" s="197"/>
      <c r="X202" s="465"/>
      <c r="AC202" s="29"/>
      <c r="AD202" s="29"/>
      <c r="AE202" s="29"/>
    </row>
    <row r="203" customFormat="false" ht="12" hidden="false" customHeight="false" outlineLevel="0" collapsed="false">
      <c r="V203" s="197"/>
      <c r="W203" s="197"/>
      <c r="X203" s="197"/>
    </row>
    <row r="204" customFormat="false" ht="12" hidden="false" customHeight="false" outlineLevel="0" collapsed="false">
      <c r="M204" s="130"/>
      <c r="N204" s="130"/>
      <c r="O204" s="197"/>
      <c r="P204" s="197"/>
      <c r="Q204" s="197"/>
      <c r="R204" s="197"/>
      <c r="S204" s="197"/>
      <c r="T204" s="197"/>
      <c r="U204" s="197"/>
      <c r="V204" s="197"/>
      <c r="W204" s="197"/>
      <c r="X204" s="197"/>
    </row>
    <row r="205" customFormat="false" ht="12" hidden="false" customHeight="false" outlineLevel="0" collapsed="false">
      <c r="M205" s="130"/>
      <c r="N205" s="130"/>
      <c r="O205" s="197"/>
      <c r="P205" s="197"/>
      <c r="Q205" s="197"/>
      <c r="R205" s="197"/>
      <c r="S205" s="197"/>
      <c r="T205" s="197"/>
      <c r="U205" s="197"/>
      <c r="V205" s="197"/>
      <c r="W205" s="197"/>
      <c r="X205" s="197"/>
    </row>
    <row r="206" customFormat="false" ht="12" hidden="false" customHeight="false" outlineLevel="0" collapsed="false">
      <c r="M206" s="130"/>
      <c r="N206" s="130"/>
      <c r="O206" s="197"/>
      <c r="P206" s="197"/>
      <c r="Q206" s="197"/>
      <c r="R206" s="197"/>
      <c r="S206" s="197"/>
      <c r="T206" s="197"/>
      <c r="U206" s="197"/>
      <c r="V206" s="197"/>
      <c r="W206" s="197"/>
      <c r="X206" s="197"/>
    </row>
    <row r="207" customFormat="false" ht="12" hidden="false" customHeight="false" outlineLevel="0" collapsed="false">
      <c r="M207" s="130"/>
      <c r="N207" s="130"/>
      <c r="O207" s="197"/>
      <c r="P207" s="197"/>
      <c r="Q207" s="197"/>
      <c r="R207" s="197"/>
      <c r="S207" s="197"/>
      <c r="T207" s="197"/>
      <c r="U207" s="197"/>
      <c r="V207" s="197"/>
      <c r="W207" s="197"/>
      <c r="X207" s="197"/>
    </row>
    <row r="208" customFormat="false" ht="12" hidden="false" customHeight="false" outlineLevel="0" collapsed="false">
      <c r="M208" s="130"/>
      <c r="N208" s="130"/>
      <c r="O208" s="197"/>
      <c r="P208" s="197"/>
      <c r="Q208" s="197"/>
      <c r="R208" s="197"/>
      <c r="S208" s="197"/>
      <c r="T208" s="197"/>
      <c r="U208" s="197"/>
      <c r="V208" s="197"/>
      <c r="W208" s="197"/>
      <c r="X208" s="197"/>
    </row>
    <row r="209" customFormat="false" ht="12" hidden="false" customHeight="false" outlineLevel="0" collapsed="false">
      <c r="M209" s="130"/>
      <c r="N209" s="130"/>
      <c r="O209" s="197"/>
      <c r="P209" s="197"/>
      <c r="Q209" s="197"/>
      <c r="R209" s="197"/>
      <c r="S209" s="197"/>
      <c r="T209" s="197"/>
      <c r="U209" s="197"/>
      <c r="V209" s="197"/>
      <c r="W209" s="197"/>
      <c r="X209" s="197"/>
    </row>
    <row r="210" customFormat="false" ht="12" hidden="false" customHeight="false" outlineLevel="0" collapsed="false">
      <c r="M210" s="130"/>
      <c r="N210" s="130"/>
      <c r="O210" s="197"/>
      <c r="P210" s="197"/>
      <c r="Q210" s="197"/>
      <c r="R210" s="197"/>
      <c r="S210" s="197"/>
      <c r="T210" s="197"/>
      <c r="U210" s="197"/>
      <c r="V210" s="197"/>
      <c r="W210" s="197"/>
      <c r="X210" s="197"/>
    </row>
    <row r="211" customFormat="false" ht="12" hidden="false" customHeight="false" outlineLevel="0" collapsed="false">
      <c r="M211" s="130"/>
      <c r="N211" s="130"/>
      <c r="O211" s="197"/>
      <c r="P211" s="197"/>
      <c r="Q211" s="197"/>
      <c r="R211" s="197"/>
      <c r="S211" s="197"/>
      <c r="T211" s="197"/>
      <c r="U211" s="197"/>
      <c r="V211" s="197"/>
      <c r="W211" s="197"/>
      <c r="X211" s="197"/>
    </row>
    <row r="212" customFormat="false" ht="12" hidden="false" customHeight="false" outlineLevel="0" collapsed="false">
      <c r="M212" s="130"/>
      <c r="N212" s="130"/>
      <c r="O212" s="197"/>
      <c r="P212" s="197"/>
      <c r="Q212" s="197"/>
      <c r="R212" s="197"/>
      <c r="S212" s="197"/>
      <c r="T212" s="197"/>
      <c r="U212" s="197"/>
      <c r="V212" s="197"/>
      <c r="W212" s="197"/>
      <c r="X212" s="197"/>
    </row>
    <row r="213" customFormat="false" ht="12" hidden="false" customHeight="false" outlineLevel="0" collapsed="false">
      <c r="M213" s="130"/>
      <c r="N213" s="130"/>
      <c r="O213" s="197"/>
      <c r="P213" s="197"/>
      <c r="Q213" s="197"/>
      <c r="R213" s="197"/>
      <c r="S213" s="197"/>
      <c r="T213" s="197"/>
      <c r="U213" s="197"/>
      <c r="V213" s="197"/>
      <c r="W213" s="197"/>
      <c r="X213" s="197"/>
    </row>
    <row r="214" customFormat="false" ht="12" hidden="false" customHeight="false" outlineLevel="0" collapsed="false">
      <c r="B214" s="130"/>
      <c r="C214" s="130"/>
      <c r="D214" s="130"/>
      <c r="E214" s="130"/>
      <c r="F214" s="130"/>
      <c r="G214" s="130"/>
      <c r="H214" s="130"/>
      <c r="I214" s="130"/>
      <c r="J214" s="130"/>
      <c r="K214" s="130"/>
      <c r="L214" s="130"/>
      <c r="M214" s="130"/>
      <c r="N214" s="130"/>
      <c r="O214" s="197"/>
      <c r="P214" s="197"/>
      <c r="Q214" s="197"/>
      <c r="R214" s="197"/>
      <c r="S214" s="197"/>
      <c r="T214" s="197"/>
      <c r="U214" s="197"/>
      <c r="V214" s="197"/>
      <c r="W214" s="197"/>
      <c r="X214" s="197"/>
    </row>
    <row r="215" customFormat="false" ht="12" hidden="false" customHeight="false" outlineLevel="0" collapsed="false">
      <c r="B215" s="130"/>
      <c r="C215" s="130"/>
      <c r="D215" s="130"/>
      <c r="E215" s="130"/>
      <c r="F215" s="130"/>
      <c r="G215" s="130"/>
      <c r="H215" s="130"/>
      <c r="I215" s="130"/>
      <c r="J215" s="130"/>
      <c r="K215" s="130"/>
      <c r="L215" s="130"/>
      <c r="M215" s="130"/>
      <c r="N215" s="130"/>
      <c r="O215" s="197"/>
      <c r="P215" s="197"/>
      <c r="Q215" s="197"/>
      <c r="R215" s="197"/>
      <c r="S215" s="197"/>
      <c r="T215" s="197"/>
      <c r="U215" s="197"/>
      <c r="V215" s="197"/>
      <c r="W215" s="197"/>
      <c r="X215" s="197"/>
    </row>
    <row r="216" customFormat="false" ht="12" hidden="false" customHeight="false" outlineLevel="0" collapsed="false">
      <c r="B216" s="130"/>
      <c r="C216" s="130"/>
      <c r="D216" s="130"/>
      <c r="E216" s="130"/>
      <c r="F216" s="130"/>
      <c r="G216" s="130"/>
      <c r="H216" s="130"/>
      <c r="I216" s="130"/>
      <c r="J216" s="130"/>
      <c r="K216" s="130"/>
      <c r="L216" s="130"/>
      <c r="M216" s="130"/>
      <c r="N216" s="130"/>
      <c r="O216" s="197"/>
      <c r="P216" s="197"/>
      <c r="Q216" s="197"/>
      <c r="R216" s="197"/>
      <c r="S216" s="197"/>
      <c r="T216" s="197"/>
      <c r="U216" s="197"/>
      <c r="V216" s="197"/>
      <c r="W216" s="197"/>
      <c r="X216" s="197"/>
    </row>
    <row r="217" customFormat="false" ht="12" hidden="false" customHeight="false" outlineLevel="0" collapsed="false">
      <c r="B217" s="130"/>
      <c r="C217" s="130"/>
      <c r="D217" s="130"/>
      <c r="E217" s="130"/>
      <c r="F217" s="130"/>
      <c r="G217" s="130"/>
      <c r="H217" s="130"/>
      <c r="I217" s="130"/>
      <c r="J217" s="130"/>
      <c r="K217" s="130"/>
      <c r="L217" s="130"/>
      <c r="M217" s="130"/>
      <c r="N217" s="130"/>
      <c r="O217" s="197"/>
      <c r="P217" s="197"/>
      <c r="Q217" s="197"/>
      <c r="R217" s="197"/>
      <c r="S217" s="197"/>
      <c r="T217" s="197"/>
      <c r="U217" s="197"/>
      <c r="V217" s="197"/>
      <c r="W217" s="197"/>
      <c r="X217" s="197"/>
    </row>
    <row r="218" customFormat="false" ht="12" hidden="false" customHeight="false" outlineLevel="0" collapsed="false">
      <c r="B218" s="130"/>
      <c r="C218" s="130"/>
      <c r="D218" s="130"/>
      <c r="E218" s="130"/>
      <c r="F218" s="130"/>
      <c r="G218" s="130"/>
      <c r="H218" s="130"/>
      <c r="I218" s="130"/>
      <c r="J218" s="130"/>
      <c r="K218" s="130"/>
      <c r="L218" s="130"/>
      <c r="M218" s="130"/>
      <c r="N218" s="130"/>
      <c r="O218" s="197"/>
      <c r="P218" s="197"/>
      <c r="Q218" s="197"/>
      <c r="R218" s="197"/>
      <c r="S218" s="197"/>
      <c r="T218" s="197"/>
      <c r="U218" s="197"/>
      <c r="V218" s="197"/>
      <c r="W218" s="197"/>
      <c r="X218" s="197"/>
    </row>
    <row r="219" customFormat="false" ht="12" hidden="false" customHeight="false" outlineLevel="0" collapsed="false">
      <c r="B219" s="130"/>
      <c r="C219" s="130"/>
      <c r="D219" s="130"/>
      <c r="E219" s="130"/>
      <c r="F219" s="130"/>
      <c r="G219" s="130"/>
      <c r="H219" s="130"/>
      <c r="I219" s="130"/>
      <c r="J219" s="130"/>
      <c r="K219" s="130"/>
      <c r="L219" s="130"/>
      <c r="M219" s="130"/>
      <c r="N219" s="130"/>
      <c r="O219" s="197"/>
      <c r="P219" s="197"/>
      <c r="Q219" s="197"/>
      <c r="R219" s="197"/>
      <c r="S219" s="197"/>
      <c r="T219" s="197"/>
      <c r="U219" s="197"/>
      <c r="V219" s="197"/>
      <c r="W219" s="197"/>
      <c r="X219" s="197"/>
    </row>
    <row r="220" customFormat="false" ht="12" hidden="false" customHeight="false" outlineLevel="0" collapsed="false">
      <c r="B220" s="130"/>
      <c r="C220" s="130"/>
      <c r="D220" s="130"/>
      <c r="E220" s="130"/>
      <c r="F220" s="130"/>
      <c r="G220" s="130"/>
      <c r="H220" s="130"/>
      <c r="I220" s="130"/>
      <c r="J220" s="130"/>
      <c r="K220" s="130"/>
      <c r="L220" s="130"/>
      <c r="M220" s="130"/>
      <c r="N220" s="130"/>
      <c r="O220" s="197"/>
      <c r="P220" s="197"/>
      <c r="Q220" s="197"/>
      <c r="R220" s="197"/>
      <c r="S220" s="197"/>
      <c r="T220" s="197"/>
      <c r="U220" s="197"/>
      <c r="V220" s="197"/>
      <c r="W220" s="197"/>
      <c r="X220" s="197"/>
    </row>
    <row r="221" customFormat="false" ht="12" hidden="false" customHeight="false" outlineLevel="0" collapsed="false">
      <c r="B221" s="130"/>
      <c r="C221" s="130"/>
      <c r="D221" s="130"/>
      <c r="E221" s="130"/>
      <c r="F221" s="130"/>
      <c r="G221" s="130"/>
      <c r="H221" s="130"/>
      <c r="I221" s="130"/>
      <c r="J221" s="130"/>
      <c r="K221" s="130"/>
      <c r="L221" s="130"/>
      <c r="M221" s="130"/>
      <c r="N221" s="130"/>
      <c r="O221" s="197"/>
      <c r="P221" s="197"/>
      <c r="Q221" s="197"/>
      <c r="R221" s="197"/>
      <c r="S221" s="197"/>
      <c r="T221" s="197"/>
      <c r="U221" s="197"/>
      <c r="V221" s="197"/>
      <c r="W221" s="197"/>
      <c r="X221" s="197"/>
    </row>
    <row r="222" customFormat="false" ht="12" hidden="false" customHeight="false" outlineLevel="0" collapsed="false">
      <c r="B222" s="130"/>
      <c r="C222" s="130"/>
      <c r="D222" s="130"/>
      <c r="E222" s="130"/>
      <c r="F222" s="130"/>
      <c r="G222" s="130"/>
      <c r="H222" s="130"/>
      <c r="I222" s="130"/>
      <c r="J222" s="130"/>
      <c r="K222" s="130"/>
      <c r="L222" s="130"/>
      <c r="M222" s="130"/>
      <c r="N222" s="130"/>
      <c r="O222" s="197"/>
      <c r="P222" s="197"/>
      <c r="Q222" s="197"/>
      <c r="R222" s="197"/>
      <c r="S222" s="197"/>
      <c r="T222" s="197"/>
      <c r="U222" s="197"/>
      <c r="V222" s="197"/>
      <c r="W222" s="197"/>
      <c r="X222" s="197"/>
    </row>
    <row r="223" customFormat="false" ht="12" hidden="false" customHeight="false" outlineLevel="0" collapsed="false">
      <c r="B223" s="130"/>
      <c r="C223" s="130"/>
      <c r="D223" s="130"/>
      <c r="E223" s="130"/>
      <c r="F223" s="130"/>
      <c r="G223" s="130"/>
      <c r="H223" s="130"/>
      <c r="I223" s="130"/>
      <c r="J223" s="130"/>
      <c r="K223" s="130"/>
      <c r="L223" s="130"/>
      <c r="M223" s="130"/>
      <c r="N223" s="130"/>
      <c r="O223" s="197"/>
      <c r="P223" s="197"/>
      <c r="Q223" s="197"/>
      <c r="R223" s="197"/>
      <c r="S223" s="197"/>
      <c r="T223" s="197"/>
      <c r="U223" s="197"/>
      <c r="V223" s="197"/>
      <c r="W223" s="197"/>
      <c r="X223" s="197"/>
    </row>
    <row r="224" customFormat="false" ht="12" hidden="false" customHeight="false" outlineLevel="0" collapsed="false">
      <c r="B224" s="130"/>
      <c r="C224" s="130"/>
      <c r="D224" s="130"/>
      <c r="E224" s="130"/>
      <c r="F224" s="130"/>
      <c r="G224" s="130"/>
      <c r="H224" s="130"/>
      <c r="I224" s="130"/>
      <c r="J224" s="130"/>
      <c r="K224" s="130"/>
      <c r="L224" s="130"/>
      <c r="M224" s="130"/>
      <c r="N224" s="130"/>
      <c r="O224" s="197"/>
      <c r="P224" s="197"/>
      <c r="Q224" s="197"/>
      <c r="R224" s="197"/>
      <c r="S224" s="197"/>
      <c r="T224" s="197"/>
      <c r="U224" s="197"/>
      <c r="V224" s="197"/>
      <c r="W224" s="197"/>
      <c r="X224" s="197"/>
    </row>
    <row r="225" customFormat="false" ht="12" hidden="false" customHeight="false" outlineLevel="0" collapsed="false">
      <c r="B225" s="130"/>
      <c r="C225" s="130"/>
      <c r="D225" s="130"/>
      <c r="E225" s="130"/>
      <c r="F225" s="130"/>
      <c r="G225" s="130"/>
      <c r="H225" s="130"/>
      <c r="I225" s="130"/>
      <c r="J225" s="130"/>
      <c r="K225" s="130"/>
      <c r="L225" s="130"/>
      <c r="M225" s="130"/>
      <c r="N225" s="130"/>
      <c r="O225" s="197"/>
      <c r="P225" s="197"/>
      <c r="Q225" s="197"/>
      <c r="R225" s="197"/>
      <c r="S225" s="197"/>
      <c r="T225" s="197"/>
      <c r="U225" s="197"/>
      <c r="V225" s="197"/>
      <c r="W225" s="197"/>
      <c r="X225" s="197"/>
    </row>
    <row r="226" customFormat="false" ht="12" hidden="false" customHeight="false" outlineLevel="0" collapsed="false">
      <c r="B226" s="130"/>
      <c r="C226" s="130"/>
      <c r="D226" s="130"/>
      <c r="E226" s="130"/>
      <c r="F226" s="130"/>
      <c r="G226" s="130"/>
      <c r="H226" s="130"/>
      <c r="I226" s="130"/>
      <c r="J226" s="130"/>
      <c r="K226" s="130"/>
      <c r="L226" s="130"/>
      <c r="M226" s="130"/>
      <c r="N226" s="130"/>
      <c r="O226" s="197"/>
      <c r="P226" s="197"/>
      <c r="Q226" s="197"/>
      <c r="R226" s="197"/>
      <c r="S226" s="197"/>
      <c r="T226" s="197"/>
      <c r="U226" s="197"/>
      <c r="V226" s="197"/>
      <c r="W226" s="197"/>
      <c r="X226" s="197"/>
    </row>
    <row r="227" customFormat="false" ht="12" hidden="false" customHeight="false" outlineLevel="0" collapsed="false">
      <c r="B227" s="130"/>
      <c r="C227" s="130"/>
      <c r="D227" s="130"/>
      <c r="E227" s="130"/>
      <c r="F227" s="130"/>
      <c r="G227" s="130"/>
      <c r="H227" s="130"/>
      <c r="I227" s="130"/>
      <c r="J227" s="130"/>
      <c r="K227" s="130"/>
      <c r="L227" s="130"/>
      <c r="M227" s="130"/>
      <c r="N227" s="130"/>
      <c r="O227" s="197"/>
      <c r="P227" s="197"/>
      <c r="Q227" s="197"/>
      <c r="R227" s="197"/>
      <c r="S227" s="197"/>
      <c r="T227" s="197"/>
      <c r="U227" s="197"/>
      <c r="V227" s="197"/>
      <c r="W227" s="197"/>
      <c r="X227" s="197"/>
    </row>
    <row r="228" customFormat="false" ht="12" hidden="false" customHeight="false" outlineLevel="0" collapsed="false">
      <c r="B228" s="130"/>
      <c r="C228" s="130"/>
      <c r="D228" s="130"/>
      <c r="E228" s="130"/>
      <c r="F228" s="130"/>
      <c r="G228" s="130"/>
      <c r="H228" s="130"/>
      <c r="I228" s="130"/>
      <c r="J228" s="130"/>
      <c r="K228" s="130"/>
      <c r="L228" s="130"/>
      <c r="M228" s="130"/>
      <c r="N228" s="130"/>
      <c r="O228" s="197"/>
      <c r="P228" s="197"/>
      <c r="Q228" s="197"/>
      <c r="R228" s="197"/>
      <c r="S228" s="197"/>
      <c r="T228" s="197"/>
      <c r="U228" s="197"/>
      <c r="V228" s="197"/>
      <c r="W228" s="197"/>
      <c r="X228" s="197"/>
    </row>
    <row r="229" customFormat="false" ht="12" hidden="false" customHeight="false" outlineLevel="0" collapsed="false">
      <c r="B229" s="130"/>
      <c r="C229" s="130"/>
      <c r="D229" s="130"/>
      <c r="E229" s="130"/>
      <c r="F229" s="130"/>
      <c r="G229" s="130"/>
      <c r="H229" s="130"/>
      <c r="I229" s="130"/>
      <c r="J229" s="130"/>
      <c r="K229" s="130"/>
      <c r="L229" s="130"/>
      <c r="M229" s="130"/>
      <c r="N229" s="130"/>
      <c r="O229" s="197"/>
      <c r="P229" s="197"/>
      <c r="Q229" s="197"/>
      <c r="R229" s="197"/>
      <c r="S229" s="197"/>
      <c r="T229" s="197"/>
      <c r="U229" s="197"/>
      <c r="V229" s="197"/>
      <c r="W229" s="197"/>
      <c r="X229" s="197"/>
    </row>
    <row r="230" customFormat="false" ht="12" hidden="false" customHeight="false" outlineLevel="0" collapsed="false">
      <c r="B230" s="130"/>
      <c r="C230" s="130"/>
      <c r="D230" s="130"/>
      <c r="E230" s="130"/>
      <c r="F230" s="130"/>
      <c r="G230" s="130"/>
      <c r="H230" s="130"/>
      <c r="I230" s="130"/>
      <c r="J230" s="130"/>
      <c r="K230" s="130"/>
      <c r="L230" s="130"/>
      <c r="M230" s="130"/>
      <c r="N230" s="130"/>
      <c r="O230" s="197"/>
      <c r="P230" s="197"/>
      <c r="Q230" s="197"/>
      <c r="R230" s="197"/>
      <c r="S230" s="197"/>
      <c r="T230" s="197"/>
      <c r="U230" s="197"/>
      <c r="V230" s="197"/>
      <c r="W230" s="197"/>
      <c r="X230" s="197"/>
    </row>
    <row r="231" customFormat="false" ht="12" hidden="false" customHeight="false" outlineLevel="0" collapsed="false">
      <c r="B231" s="130"/>
      <c r="C231" s="130"/>
      <c r="D231" s="130"/>
      <c r="E231" s="130"/>
      <c r="F231" s="130"/>
      <c r="G231" s="130"/>
      <c r="H231" s="130"/>
      <c r="I231" s="130"/>
      <c r="J231" s="130"/>
      <c r="K231" s="130"/>
      <c r="L231" s="130"/>
      <c r="M231" s="130"/>
      <c r="N231" s="130"/>
      <c r="O231" s="197"/>
      <c r="P231" s="197"/>
      <c r="Q231" s="197"/>
      <c r="R231" s="197"/>
      <c r="S231" s="197"/>
      <c r="T231" s="197"/>
      <c r="U231" s="197"/>
      <c r="V231" s="197"/>
      <c r="W231" s="197"/>
      <c r="X231" s="197"/>
    </row>
    <row r="232" customFormat="false" ht="12" hidden="false" customHeight="false" outlineLevel="0" collapsed="false">
      <c r="B232" s="130"/>
      <c r="C232" s="130"/>
      <c r="D232" s="130"/>
      <c r="E232" s="130"/>
      <c r="F232" s="130"/>
      <c r="G232" s="130"/>
      <c r="H232" s="130"/>
      <c r="I232" s="130"/>
      <c r="J232" s="130"/>
      <c r="K232" s="130"/>
      <c r="L232" s="130"/>
      <c r="M232" s="130"/>
      <c r="N232" s="130"/>
      <c r="O232" s="197"/>
      <c r="P232" s="197"/>
      <c r="Q232" s="197"/>
      <c r="R232" s="197"/>
      <c r="S232" s="197"/>
      <c r="T232" s="197"/>
      <c r="U232" s="197"/>
      <c r="V232" s="197"/>
      <c r="W232" s="197"/>
      <c r="X232" s="197"/>
    </row>
    <row r="233" customFormat="false" ht="12" hidden="false" customHeight="false" outlineLevel="0" collapsed="false">
      <c r="B233" s="130"/>
      <c r="C233" s="130"/>
      <c r="D233" s="130"/>
      <c r="E233" s="130"/>
      <c r="F233" s="130"/>
      <c r="G233" s="130"/>
      <c r="H233" s="130"/>
      <c r="I233" s="130"/>
      <c r="J233" s="130"/>
      <c r="K233" s="130"/>
      <c r="L233" s="130"/>
      <c r="M233" s="130"/>
      <c r="N233" s="130"/>
      <c r="O233" s="197"/>
      <c r="P233" s="197"/>
      <c r="Q233" s="197"/>
      <c r="R233" s="197"/>
      <c r="S233" s="197"/>
      <c r="T233" s="197"/>
      <c r="U233" s="197"/>
      <c r="V233" s="197"/>
      <c r="W233" s="197"/>
      <c r="X233" s="197"/>
    </row>
    <row r="234" customFormat="false" ht="12" hidden="false" customHeight="false" outlineLevel="0" collapsed="false">
      <c r="B234" s="130"/>
      <c r="C234" s="130"/>
      <c r="D234" s="130"/>
      <c r="E234" s="130"/>
      <c r="F234" s="130"/>
      <c r="G234" s="130"/>
      <c r="H234" s="130"/>
      <c r="I234" s="130"/>
      <c r="J234" s="130"/>
      <c r="K234" s="130"/>
      <c r="L234" s="130"/>
      <c r="M234" s="130"/>
      <c r="N234" s="130"/>
      <c r="O234" s="197"/>
      <c r="P234" s="197"/>
      <c r="Q234" s="197"/>
      <c r="R234" s="197"/>
      <c r="S234" s="197"/>
      <c r="T234" s="197"/>
      <c r="U234" s="197"/>
      <c r="V234" s="197"/>
      <c r="W234" s="197"/>
      <c r="X234" s="197"/>
    </row>
    <row r="235" customFormat="false" ht="12" hidden="false" customHeight="false" outlineLevel="0" collapsed="false">
      <c r="B235" s="130"/>
      <c r="C235" s="130"/>
      <c r="D235" s="130"/>
      <c r="E235" s="130"/>
      <c r="F235" s="130"/>
      <c r="G235" s="130"/>
      <c r="H235" s="130"/>
      <c r="I235" s="130"/>
      <c r="J235" s="130"/>
      <c r="K235" s="130"/>
      <c r="L235" s="130"/>
      <c r="M235" s="130"/>
      <c r="N235" s="130"/>
      <c r="O235" s="197"/>
      <c r="P235" s="197"/>
      <c r="Q235" s="197"/>
      <c r="R235" s="197"/>
      <c r="S235" s="197"/>
      <c r="T235" s="197"/>
      <c r="U235" s="197"/>
      <c r="V235" s="197"/>
      <c r="W235" s="197"/>
      <c r="X235" s="197"/>
    </row>
    <row r="236" customFormat="false" ht="12" hidden="false" customHeight="false" outlineLevel="0" collapsed="false">
      <c r="B236" s="130"/>
      <c r="C236" s="130"/>
      <c r="D236" s="130"/>
      <c r="E236" s="130"/>
      <c r="F236" s="130"/>
      <c r="G236" s="130"/>
      <c r="H236" s="130"/>
      <c r="I236" s="130"/>
      <c r="J236" s="130"/>
      <c r="K236" s="130"/>
      <c r="L236" s="130"/>
      <c r="M236" s="130"/>
      <c r="N236" s="130"/>
      <c r="O236" s="197"/>
      <c r="P236" s="197"/>
      <c r="Q236" s="197"/>
      <c r="R236" s="197"/>
      <c r="S236" s="197"/>
      <c r="T236" s="197"/>
      <c r="U236" s="197"/>
      <c r="V236" s="197"/>
      <c r="W236" s="197"/>
      <c r="X236" s="197"/>
    </row>
    <row r="237" customFormat="false" ht="12" hidden="false" customHeight="false" outlineLevel="0" collapsed="false">
      <c r="B237" s="130"/>
      <c r="C237" s="130"/>
      <c r="D237" s="130"/>
      <c r="E237" s="130"/>
      <c r="F237" s="130"/>
      <c r="G237" s="130"/>
      <c r="H237" s="130"/>
      <c r="I237" s="130"/>
      <c r="J237" s="130"/>
      <c r="K237" s="130"/>
      <c r="L237" s="130"/>
      <c r="M237" s="130"/>
      <c r="N237" s="130"/>
      <c r="O237" s="197"/>
      <c r="P237" s="197"/>
      <c r="Q237" s="197"/>
      <c r="R237" s="197"/>
      <c r="S237" s="197"/>
      <c r="T237" s="197"/>
      <c r="U237" s="197"/>
      <c r="V237" s="197"/>
      <c r="W237" s="197"/>
      <c r="X237" s="197"/>
    </row>
    <row r="238" customFormat="false" ht="12" hidden="false" customHeight="false" outlineLevel="0" collapsed="false">
      <c r="B238" s="130"/>
      <c r="C238" s="130"/>
      <c r="D238" s="130"/>
      <c r="E238" s="130"/>
      <c r="F238" s="130"/>
      <c r="G238" s="130"/>
      <c r="H238" s="130"/>
      <c r="I238" s="130"/>
      <c r="J238" s="130"/>
      <c r="K238" s="130"/>
      <c r="L238" s="130"/>
      <c r="M238" s="130"/>
      <c r="N238" s="130"/>
      <c r="O238" s="197"/>
      <c r="P238" s="197"/>
      <c r="Q238" s="197"/>
      <c r="R238" s="197"/>
      <c r="S238" s="197"/>
      <c r="T238" s="197"/>
      <c r="U238" s="197"/>
      <c r="V238" s="197"/>
      <c r="W238" s="197"/>
      <c r="X238" s="197"/>
    </row>
    <row r="239" customFormat="false" ht="12" hidden="false" customHeight="false" outlineLevel="0" collapsed="false">
      <c r="B239" s="130"/>
      <c r="C239" s="130"/>
      <c r="D239" s="130"/>
      <c r="E239" s="130"/>
      <c r="F239" s="130"/>
      <c r="G239" s="130"/>
      <c r="H239" s="130"/>
      <c r="I239" s="130"/>
      <c r="J239" s="130"/>
      <c r="K239" s="130"/>
      <c r="L239" s="130"/>
      <c r="M239" s="130"/>
      <c r="N239" s="130"/>
      <c r="O239" s="197"/>
      <c r="P239" s="197"/>
      <c r="Q239" s="197"/>
      <c r="R239" s="197"/>
      <c r="S239" s="197"/>
      <c r="T239" s="197"/>
      <c r="U239" s="197"/>
      <c r="V239" s="197"/>
      <c r="W239" s="197"/>
      <c r="X239" s="197"/>
    </row>
    <row r="240" customFormat="false" ht="12" hidden="false" customHeight="false" outlineLevel="0" collapsed="false">
      <c r="B240" s="130"/>
      <c r="C240" s="130"/>
      <c r="D240" s="130"/>
      <c r="E240" s="130"/>
      <c r="F240" s="130"/>
      <c r="G240" s="130"/>
      <c r="H240" s="130"/>
      <c r="I240" s="130"/>
      <c r="J240" s="130"/>
      <c r="K240" s="130"/>
      <c r="L240" s="130"/>
      <c r="M240" s="130"/>
      <c r="N240" s="130"/>
      <c r="O240" s="197"/>
      <c r="P240" s="197"/>
      <c r="Q240" s="197"/>
      <c r="R240" s="197"/>
      <c r="S240" s="197"/>
      <c r="T240" s="197"/>
      <c r="U240" s="197"/>
      <c r="V240" s="197"/>
      <c r="W240" s="197"/>
      <c r="X240" s="197"/>
    </row>
    <row r="241" customFormat="false" ht="12" hidden="false" customHeight="false" outlineLevel="0" collapsed="false">
      <c r="B241" s="130"/>
      <c r="C241" s="130"/>
      <c r="D241" s="130"/>
      <c r="E241" s="130"/>
      <c r="F241" s="130"/>
      <c r="G241" s="130"/>
      <c r="H241" s="130"/>
      <c r="I241" s="130"/>
      <c r="J241" s="130"/>
      <c r="K241" s="130"/>
      <c r="L241" s="130"/>
      <c r="M241" s="130"/>
      <c r="N241" s="130"/>
      <c r="O241" s="197"/>
      <c r="P241" s="197"/>
      <c r="Q241" s="197"/>
      <c r="R241" s="197"/>
      <c r="S241" s="197"/>
      <c r="T241" s="197"/>
      <c r="U241" s="197"/>
      <c r="V241" s="197"/>
      <c r="W241" s="197"/>
      <c r="X241" s="197"/>
    </row>
    <row r="242" customFormat="false" ht="12" hidden="false" customHeight="false" outlineLevel="0" collapsed="false">
      <c r="B242" s="130"/>
      <c r="C242" s="130"/>
      <c r="D242" s="130"/>
      <c r="E242" s="130"/>
      <c r="F242" s="130"/>
      <c r="G242" s="130"/>
      <c r="H242" s="130"/>
      <c r="I242" s="130"/>
      <c r="J242" s="130"/>
      <c r="K242" s="130"/>
      <c r="L242" s="130"/>
      <c r="M242" s="130"/>
      <c r="N242" s="130"/>
      <c r="O242" s="197"/>
      <c r="P242" s="197"/>
      <c r="Q242" s="197"/>
      <c r="R242" s="197"/>
      <c r="S242" s="197"/>
      <c r="T242" s="197"/>
      <c r="U242" s="197"/>
      <c r="V242" s="197"/>
      <c r="W242" s="197"/>
      <c r="X242" s="197"/>
    </row>
    <row r="243" customFormat="false" ht="12" hidden="false" customHeight="false" outlineLevel="0" collapsed="false">
      <c r="B243" s="130"/>
      <c r="C243" s="130"/>
      <c r="D243" s="130"/>
      <c r="E243" s="130"/>
      <c r="F243" s="130"/>
      <c r="G243" s="130"/>
      <c r="H243" s="130"/>
      <c r="I243" s="130"/>
      <c r="J243" s="130"/>
      <c r="K243" s="130"/>
      <c r="L243" s="130"/>
      <c r="M243" s="130"/>
      <c r="N243" s="130"/>
      <c r="O243" s="197"/>
      <c r="P243" s="197"/>
      <c r="Q243" s="197"/>
      <c r="R243" s="197"/>
      <c r="S243" s="197"/>
      <c r="T243" s="197"/>
      <c r="U243" s="197"/>
      <c r="V243" s="197"/>
      <c r="W243" s="197"/>
      <c r="X243" s="197"/>
    </row>
    <row r="244" customFormat="false" ht="12" hidden="false" customHeight="false" outlineLevel="0" collapsed="false">
      <c r="B244" s="130"/>
      <c r="C244" s="130"/>
      <c r="D244" s="130"/>
      <c r="E244" s="130"/>
      <c r="F244" s="130"/>
      <c r="G244" s="130"/>
      <c r="H244" s="130"/>
      <c r="I244" s="130"/>
      <c r="J244" s="130"/>
      <c r="K244" s="130"/>
      <c r="L244" s="130"/>
      <c r="M244" s="130"/>
      <c r="N244" s="130"/>
      <c r="O244" s="197"/>
      <c r="P244" s="197"/>
      <c r="Q244" s="197"/>
      <c r="R244" s="197"/>
      <c r="S244" s="197"/>
      <c r="T244" s="197"/>
      <c r="U244" s="197"/>
      <c r="V244" s="197"/>
      <c r="W244" s="197"/>
      <c r="X244" s="197"/>
    </row>
    <row r="245" customFormat="false" ht="12" hidden="false" customHeight="false" outlineLevel="0" collapsed="false">
      <c r="B245" s="130"/>
      <c r="C245" s="130"/>
      <c r="D245" s="130"/>
      <c r="E245" s="130"/>
      <c r="F245" s="130"/>
      <c r="G245" s="130"/>
      <c r="H245" s="130"/>
      <c r="I245" s="130"/>
      <c r="J245" s="130"/>
      <c r="K245" s="130"/>
      <c r="L245" s="130"/>
      <c r="M245" s="130"/>
      <c r="N245" s="130"/>
      <c r="O245" s="197"/>
      <c r="P245" s="197"/>
      <c r="Q245" s="197"/>
      <c r="R245" s="197"/>
      <c r="S245" s="197"/>
      <c r="T245" s="197"/>
      <c r="U245" s="197"/>
      <c r="V245" s="197"/>
      <c r="W245" s="197"/>
      <c r="X245" s="197"/>
    </row>
    <row r="246" customFormat="false" ht="12" hidden="false" customHeight="false" outlineLevel="0" collapsed="false">
      <c r="B246" s="130"/>
      <c r="C246" s="130"/>
      <c r="D246" s="130"/>
      <c r="E246" s="130"/>
      <c r="F246" s="130"/>
      <c r="G246" s="130"/>
      <c r="H246" s="130"/>
      <c r="I246" s="130"/>
      <c r="J246" s="130"/>
      <c r="K246" s="130"/>
      <c r="L246" s="130"/>
      <c r="M246" s="130"/>
      <c r="N246" s="130"/>
      <c r="O246" s="197"/>
      <c r="P246" s="197"/>
      <c r="Q246" s="197"/>
      <c r="R246" s="197"/>
      <c r="S246" s="197"/>
      <c r="T246" s="197"/>
      <c r="U246" s="197"/>
      <c r="V246" s="197"/>
      <c r="W246" s="197"/>
      <c r="X246" s="197"/>
    </row>
    <row r="247" customFormat="false" ht="12" hidden="false" customHeight="false" outlineLevel="0" collapsed="false">
      <c r="B247" s="130"/>
      <c r="C247" s="130"/>
      <c r="D247" s="130"/>
      <c r="E247" s="130"/>
      <c r="F247" s="130"/>
      <c r="G247" s="130"/>
      <c r="H247" s="130"/>
      <c r="I247" s="130"/>
      <c r="J247" s="130"/>
      <c r="K247" s="130"/>
      <c r="L247" s="130"/>
      <c r="M247" s="130"/>
      <c r="N247" s="130"/>
      <c r="O247" s="197"/>
      <c r="P247" s="197"/>
      <c r="Q247" s="197"/>
      <c r="R247" s="197"/>
      <c r="S247" s="197"/>
      <c r="T247" s="197"/>
      <c r="U247" s="197"/>
      <c r="V247" s="197"/>
      <c r="W247" s="197"/>
      <c r="X247" s="197"/>
    </row>
    <row r="248" customFormat="false" ht="12" hidden="false" customHeight="false" outlineLevel="0" collapsed="false">
      <c r="B248" s="130"/>
      <c r="C248" s="130"/>
      <c r="D248" s="130"/>
      <c r="E248" s="130"/>
      <c r="F248" s="130"/>
      <c r="G248" s="130"/>
      <c r="H248" s="130"/>
      <c r="I248" s="130"/>
      <c r="J248" s="130"/>
      <c r="K248" s="130"/>
      <c r="L248" s="130"/>
      <c r="M248" s="130"/>
      <c r="N248" s="130"/>
      <c r="O248" s="197"/>
      <c r="P248" s="197"/>
      <c r="Q248" s="197"/>
      <c r="R248" s="197"/>
      <c r="S248" s="197"/>
      <c r="T248" s="197"/>
      <c r="U248" s="197"/>
      <c r="V248" s="197"/>
      <c r="W248" s="197"/>
      <c r="X248" s="197"/>
    </row>
    <row r="249" customFormat="false" ht="12" hidden="false" customHeight="false" outlineLevel="0" collapsed="false">
      <c r="B249" s="130"/>
      <c r="C249" s="130"/>
      <c r="D249" s="130"/>
      <c r="E249" s="130"/>
      <c r="F249" s="130"/>
      <c r="G249" s="130"/>
      <c r="H249" s="130"/>
      <c r="I249" s="130"/>
      <c r="J249" s="130"/>
      <c r="K249" s="130"/>
      <c r="L249" s="130"/>
      <c r="M249" s="130"/>
      <c r="N249" s="130"/>
      <c r="O249" s="197"/>
      <c r="P249" s="197"/>
      <c r="Q249" s="197"/>
      <c r="R249" s="197"/>
      <c r="S249" s="197"/>
      <c r="T249" s="197"/>
      <c r="U249" s="197"/>
      <c r="V249" s="197"/>
      <c r="W249" s="197"/>
      <c r="X249" s="197"/>
    </row>
    <row r="250" customFormat="false" ht="12" hidden="false" customHeight="false" outlineLevel="0" collapsed="false">
      <c r="B250" s="130"/>
      <c r="C250" s="130"/>
      <c r="D250" s="130"/>
      <c r="E250" s="130"/>
      <c r="F250" s="130"/>
      <c r="G250" s="130"/>
      <c r="H250" s="130"/>
      <c r="I250" s="130"/>
      <c r="J250" s="130"/>
      <c r="K250" s="130"/>
      <c r="L250" s="130"/>
      <c r="M250" s="130"/>
      <c r="N250" s="130"/>
      <c r="O250" s="197"/>
      <c r="P250" s="197"/>
      <c r="Q250" s="197"/>
      <c r="R250" s="197"/>
      <c r="S250" s="197"/>
      <c r="T250" s="197"/>
      <c r="U250" s="197"/>
      <c r="V250" s="197"/>
      <c r="W250" s="197"/>
      <c r="X250" s="197"/>
    </row>
    <row r="251" customFormat="false" ht="12" hidden="false" customHeight="false" outlineLevel="0" collapsed="false">
      <c r="B251" s="130"/>
      <c r="C251" s="130"/>
      <c r="D251" s="130"/>
      <c r="E251" s="130"/>
      <c r="F251" s="130"/>
      <c r="G251" s="130"/>
      <c r="H251" s="130"/>
      <c r="I251" s="130"/>
      <c r="J251" s="130"/>
      <c r="K251" s="130"/>
      <c r="L251" s="130"/>
      <c r="M251" s="130"/>
      <c r="N251" s="130"/>
      <c r="O251" s="197"/>
      <c r="P251" s="197"/>
      <c r="Q251" s="197"/>
      <c r="R251" s="197"/>
      <c r="S251" s="197"/>
      <c r="T251" s="197"/>
      <c r="U251" s="197"/>
      <c r="V251" s="197"/>
      <c r="W251" s="197"/>
      <c r="X251" s="197"/>
    </row>
    <row r="252" customFormat="false" ht="12" hidden="false" customHeight="false" outlineLevel="0" collapsed="false">
      <c r="B252" s="130"/>
      <c r="C252" s="130"/>
      <c r="D252" s="130"/>
      <c r="E252" s="130"/>
      <c r="F252" s="130"/>
      <c r="G252" s="130"/>
      <c r="H252" s="130"/>
      <c r="I252" s="130"/>
      <c r="J252" s="130"/>
      <c r="K252" s="130"/>
      <c r="L252" s="130"/>
      <c r="M252" s="130"/>
      <c r="N252" s="130"/>
      <c r="O252" s="197"/>
      <c r="P252" s="197"/>
      <c r="Q252" s="197"/>
      <c r="R252" s="197"/>
      <c r="S252" s="197"/>
      <c r="T252" s="197"/>
      <c r="U252" s="197"/>
      <c r="V252" s="197"/>
      <c r="W252" s="197"/>
      <c r="X252" s="197"/>
    </row>
    <row r="253" customFormat="false" ht="12" hidden="false" customHeight="false" outlineLevel="0" collapsed="false">
      <c r="B253" s="130"/>
      <c r="C253" s="130"/>
      <c r="D253" s="130"/>
      <c r="E253" s="130"/>
      <c r="F253" s="130"/>
      <c r="G253" s="130"/>
      <c r="H253" s="130"/>
      <c r="I253" s="130"/>
      <c r="J253" s="130"/>
      <c r="K253" s="130"/>
      <c r="L253" s="130"/>
      <c r="M253" s="130"/>
      <c r="N253" s="130"/>
      <c r="O253" s="197"/>
      <c r="P253" s="197"/>
      <c r="Q253" s="197"/>
      <c r="R253" s="197"/>
      <c r="S253" s="197"/>
      <c r="T253" s="197"/>
      <c r="U253" s="197"/>
      <c r="V253" s="197"/>
      <c r="W253" s="197"/>
      <c r="X253" s="197"/>
    </row>
    <row r="254" customFormat="false" ht="12" hidden="false" customHeight="false" outlineLevel="0" collapsed="false">
      <c r="B254" s="130"/>
      <c r="C254" s="130"/>
      <c r="D254" s="130"/>
      <c r="E254" s="130"/>
      <c r="F254" s="130"/>
      <c r="G254" s="130"/>
      <c r="H254" s="130"/>
      <c r="I254" s="130"/>
      <c r="J254" s="130"/>
      <c r="K254" s="130"/>
      <c r="L254" s="130"/>
      <c r="M254" s="130"/>
      <c r="N254" s="130"/>
      <c r="O254" s="197"/>
      <c r="P254" s="197"/>
      <c r="Q254" s="197"/>
      <c r="R254" s="197"/>
      <c r="S254" s="197"/>
      <c r="T254" s="197"/>
      <c r="U254" s="197"/>
      <c r="V254" s="197"/>
      <c r="W254" s="197"/>
      <c r="X254" s="197"/>
    </row>
    <row r="255" customFormat="false" ht="12" hidden="false" customHeight="false" outlineLevel="0" collapsed="false">
      <c r="B255" s="130"/>
      <c r="C255" s="130"/>
      <c r="D255" s="130"/>
      <c r="E255" s="130"/>
      <c r="F255" s="130"/>
      <c r="G255" s="130"/>
      <c r="H255" s="130"/>
      <c r="I255" s="130"/>
      <c r="J255" s="130"/>
      <c r="K255" s="130"/>
      <c r="L255" s="130"/>
      <c r="M255" s="130"/>
      <c r="N255" s="130"/>
      <c r="O255" s="197"/>
      <c r="P255" s="197"/>
      <c r="Q255" s="197"/>
      <c r="R255" s="197"/>
      <c r="S255" s="197"/>
      <c r="T255" s="197"/>
      <c r="U255" s="197"/>
      <c r="V255" s="197"/>
      <c r="W255" s="197"/>
      <c r="X255" s="197"/>
    </row>
    <row r="256" customFormat="false" ht="12" hidden="false" customHeight="false" outlineLevel="0" collapsed="false">
      <c r="B256" s="130"/>
      <c r="C256" s="130"/>
      <c r="D256" s="130"/>
      <c r="E256" s="130"/>
      <c r="F256" s="130"/>
      <c r="G256" s="130"/>
      <c r="H256" s="130"/>
      <c r="I256" s="130"/>
      <c r="J256" s="130"/>
      <c r="K256" s="130"/>
      <c r="L256" s="130"/>
      <c r="M256" s="130"/>
      <c r="N256" s="130"/>
      <c r="O256" s="197"/>
      <c r="P256" s="197"/>
      <c r="Q256" s="197"/>
      <c r="R256" s="197"/>
      <c r="S256" s="197"/>
      <c r="T256" s="197"/>
      <c r="U256" s="197"/>
      <c r="V256" s="197"/>
      <c r="W256" s="197"/>
      <c r="X256" s="197"/>
    </row>
    <row r="257" customFormat="false" ht="12" hidden="false" customHeight="false" outlineLevel="0" collapsed="false">
      <c r="B257" s="130"/>
      <c r="C257" s="130"/>
      <c r="D257" s="130"/>
      <c r="E257" s="130"/>
      <c r="F257" s="130"/>
      <c r="G257" s="130"/>
      <c r="H257" s="130"/>
      <c r="I257" s="130"/>
      <c r="J257" s="130"/>
      <c r="K257" s="130"/>
      <c r="L257" s="130"/>
      <c r="M257" s="130"/>
      <c r="N257" s="130"/>
      <c r="O257" s="197"/>
      <c r="P257" s="197"/>
      <c r="Q257" s="197"/>
      <c r="R257" s="197"/>
      <c r="S257" s="197"/>
      <c r="T257" s="197"/>
      <c r="U257" s="197"/>
      <c r="V257" s="197"/>
      <c r="W257" s="197"/>
      <c r="X257" s="197"/>
    </row>
    <row r="258" customFormat="false" ht="12" hidden="false" customHeight="false" outlineLevel="0" collapsed="false">
      <c r="B258" s="130"/>
      <c r="C258" s="130"/>
      <c r="D258" s="130"/>
      <c r="E258" s="130"/>
      <c r="F258" s="130"/>
      <c r="G258" s="130"/>
      <c r="H258" s="130"/>
      <c r="I258" s="130"/>
      <c r="J258" s="130"/>
      <c r="K258" s="130"/>
      <c r="L258" s="130"/>
      <c r="M258" s="130"/>
      <c r="N258" s="130"/>
      <c r="O258" s="197"/>
      <c r="P258" s="197"/>
      <c r="Q258" s="197"/>
      <c r="R258" s="197"/>
      <c r="S258" s="197"/>
      <c r="T258" s="197"/>
      <c r="U258" s="197"/>
      <c r="V258" s="197"/>
      <c r="W258" s="197"/>
      <c r="X258" s="197"/>
    </row>
    <row r="259" customFormat="false" ht="12" hidden="false" customHeight="false" outlineLevel="0" collapsed="false">
      <c r="B259" s="130"/>
      <c r="C259" s="130"/>
      <c r="D259" s="130"/>
      <c r="E259" s="130"/>
      <c r="F259" s="130"/>
      <c r="G259" s="130"/>
      <c r="H259" s="130"/>
      <c r="I259" s="130"/>
      <c r="J259" s="130"/>
      <c r="K259" s="130"/>
      <c r="L259" s="130"/>
      <c r="M259" s="130"/>
      <c r="N259" s="130"/>
      <c r="O259" s="197"/>
      <c r="P259" s="197"/>
      <c r="Q259" s="197"/>
      <c r="R259" s="197"/>
      <c r="S259" s="197"/>
      <c r="T259" s="197"/>
      <c r="U259" s="197"/>
      <c r="V259" s="197"/>
      <c r="W259" s="197"/>
      <c r="X259" s="197"/>
    </row>
    <row r="260" customFormat="false" ht="12" hidden="false" customHeight="false" outlineLevel="0" collapsed="false">
      <c r="B260" s="130"/>
      <c r="C260" s="130"/>
      <c r="D260" s="130"/>
      <c r="E260" s="130"/>
      <c r="F260" s="130"/>
      <c r="G260" s="130"/>
      <c r="H260" s="130"/>
      <c r="I260" s="130"/>
      <c r="J260" s="130"/>
      <c r="K260" s="130"/>
      <c r="L260" s="130"/>
      <c r="M260" s="130"/>
      <c r="N260" s="130"/>
      <c r="O260" s="197"/>
      <c r="P260" s="197"/>
      <c r="Q260" s="197"/>
      <c r="R260" s="197"/>
      <c r="S260" s="197"/>
      <c r="T260" s="197"/>
      <c r="U260" s="197"/>
      <c r="V260" s="197"/>
      <c r="W260" s="197"/>
      <c r="X260" s="197"/>
    </row>
    <row r="261" customFormat="false" ht="12" hidden="false" customHeight="false" outlineLevel="0" collapsed="false">
      <c r="B261" s="130"/>
      <c r="C261" s="130"/>
      <c r="D261" s="130"/>
      <c r="E261" s="130"/>
      <c r="F261" s="130"/>
      <c r="G261" s="130"/>
      <c r="H261" s="130"/>
      <c r="I261" s="130"/>
      <c r="J261" s="130"/>
      <c r="K261" s="130"/>
      <c r="L261" s="130"/>
      <c r="M261" s="130"/>
      <c r="N261" s="130"/>
      <c r="O261" s="197"/>
      <c r="P261" s="197"/>
      <c r="Q261" s="197"/>
      <c r="R261" s="197"/>
      <c r="S261" s="197"/>
      <c r="T261" s="197"/>
      <c r="U261" s="197"/>
      <c r="V261" s="197"/>
      <c r="W261" s="197"/>
      <c r="X261" s="197"/>
    </row>
    <row r="262" customFormat="false" ht="12" hidden="false" customHeight="false" outlineLevel="0" collapsed="false">
      <c r="B262" s="130"/>
      <c r="C262" s="130"/>
      <c r="D262" s="130"/>
      <c r="E262" s="130"/>
      <c r="F262" s="130"/>
      <c r="G262" s="130"/>
      <c r="H262" s="130"/>
      <c r="I262" s="130"/>
      <c r="J262" s="130"/>
      <c r="K262" s="130"/>
      <c r="L262" s="130"/>
      <c r="M262" s="130"/>
      <c r="N262" s="130"/>
      <c r="O262" s="197"/>
      <c r="P262" s="197"/>
      <c r="Q262" s="197"/>
      <c r="R262" s="197"/>
      <c r="S262" s="197"/>
      <c r="T262" s="197"/>
      <c r="U262" s="197"/>
      <c r="V262" s="197"/>
      <c r="W262" s="197"/>
      <c r="X262" s="197"/>
    </row>
    <row r="263" customFormat="false" ht="12" hidden="false" customHeight="false" outlineLevel="0" collapsed="false">
      <c r="B263" s="130"/>
      <c r="C263" s="130"/>
      <c r="D263" s="130"/>
      <c r="E263" s="130"/>
      <c r="F263" s="130"/>
      <c r="G263" s="130"/>
      <c r="H263" s="130"/>
      <c r="I263" s="130"/>
      <c r="J263" s="130"/>
      <c r="K263" s="130"/>
      <c r="L263" s="130"/>
      <c r="M263" s="130"/>
      <c r="N263" s="130"/>
      <c r="O263" s="197"/>
      <c r="P263" s="197"/>
      <c r="Q263" s="197"/>
      <c r="R263" s="197"/>
      <c r="S263" s="197"/>
      <c r="T263" s="197"/>
      <c r="U263" s="197"/>
      <c r="V263" s="197"/>
      <c r="W263" s="197"/>
      <c r="X263" s="197"/>
    </row>
    <row r="264" customFormat="false" ht="12" hidden="false" customHeight="false" outlineLevel="0" collapsed="false">
      <c r="B264" s="130"/>
      <c r="C264" s="130"/>
      <c r="D264" s="130"/>
      <c r="E264" s="130"/>
      <c r="F264" s="130"/>
      <c r="G264" s="130"/>
      <c r="H264" s="130"/>
      <c r="I264" s="130"/>
      <c r="J264" s="130"/>
      <c r="K264" s="130"/>
      <c r="L264" s="130"/>
      <c r="M264" s="130"/>
      <c r="N264" s="130"/>
      <c r="O264" s="197"/>
      <c r="P264" s="197"/>
      <c r="Q264" s="197"/>
      <c r="R264" s="197"/>
      <c r="S264" s="197"/>
      <c r="T264" s="197"/>
      <c r="U264" s="197"/>
      <c r="V264" s="197"/>
      <c r="W264" s="197"/>
      <c r="X264" s="197"/>
    </row>
    <row r="265" customFormat="false" ht="12" hidden="false" customHeight="false" outlineLevel="0" collapsed="false">
      <c r="B265" s="130"/>
      <c r="C265" s="130"/>
      <c r="D265" s="130"/>
      <c r="E265" s="130"/>
      <c r="F265" s="130"/>
      <c r="G265" s="130"/>
      <c r="H265" s="130"/>
      <c r="I265" s="130"/>
      <c r="J265" s="130"/>
      <c r="K265" s="130"/>
      <c r="L265" s="130"/>
      <c r="M265" s="130"/>
      <c r="N265" s="130"/>
      <c r="O265" s="197"/>
      <c r="P265" s="197"/>
      <c r="Q265" s="197"/>
      <c r="R265" s="197"/>
      <c r="S265" s="197"/>
      <c r="T265" s="197"/>
      <c r="U265" s="197"/>
      <c r="V265" s="197"/>
      <c r="W265" s="197"/>
      <c r="X265" s="197"/>
    </row>
    <row r="266" customFormat="false" ht="12" hidden="false" customHeight="false" outlineLevel="0" collapsed="false">
      <c r="B266" s="130"/>
      <c r="C266" s="130"/>
      <c r="D266" s="130"/>
      <c r="E266" s="130"/>
      <c r="F266" s="130"/>
      <c r="G266" s="130"/>
      <c r="H266" s="130"/>
      <c r="I266" s="130"/>
      <c r="J266" s="130"/>
      <c r="K266" s="130"/>
      <c r="L266" s="130"/>
      <c r="M266" s="130"/>
      <c r="N266" s="130"/>
      <c r="O266" s="197"/>
      <c r="P266" s="197"/>
      <c r="Q266" s="197"/>
      <c r="R266" s="197"/>
      <c r="S266" s="197"/>
      <c r="T266" s="197"/>
      <c r="U266" s="197"/>
      <c r="V266" s="197"/>
      <c r="W266" s="197"/>
      <c r="X266" s="197"/>
    </row>
    <row r="267" customFormat="false" ht="12" hidden="false" customHeight="false" outlineLevel="0" collapsed="false">
      <c r="B267" s="130"/>
      <c r="C267" s="130"/>
      <c r="D267" s="130"/>
      <c r="E267" s="130"/>
      <c r="F267" s="130"/>
      <c r="G267" s="130"/>
      <c r="H267" s="130"/>
      <c r="I267" s="130"/>
      <c r="J267" s="130"/>
      <c r="K267" s="130"/>
      <c r="L267" s="130"/>
      <c r="M267" s="130"/>
      <c r="N267" s="130"/>
      <c r="O267" s="197"/>
      <c r="P267" s="197"/>
      <c r="Q267" s="197"/>
      <c r="R267" s="197"/>
      <c r="S267" s="197"/>
      <c r="T267" s="197"/>
      <c r="U267" s="197"/>
      <c r="V267" s="197"/>
      <c r="W267" s="197"/>
      <c r="X267" s="197"/>
      <c r="AC267" s="197"/>
      <c r="AD267" s="197"/>
      <c r="AE267" s="197"/>
    </row>
    <row r="268" customFormat="false" ht="12" hidden="false" customHeight="false" outlineLevel="0" collapsed="false">
      <c r="B268" s="130"/>
      <c r="C268" s="130"/>
      <c r="D268" s="130"/>
      <c r="E268" s="130"/>
      <c r="F268" s="130"/>
      <c r="G268" s="130"/>
      <c r="H268" s="130"/>
      <c r="I268" s="130"/>
      <c r="J268" s="130"/>
      <c r="K268" s="130"/>
      <c r="L268" s="130"/>
      <c r="M268" s="130"/>
      <c r="N268" s="130"/>
      <c r="O268" s="197"/>
      <c r="P268" s="197"/>
      <c r="Q268" s="197"/>
      <c r="R268" s="197"/>
      <c r="S268" s="197"/>
      <c r="T268" s="197"/>
      <c r="U268" s="197"/>
      <c r="V268" s="197"/>
      <c r="W268" s="197"/>
      <c r="X268" s="197"/>
      <c r="AC268" s="197"/>
      <c r="AD268" s="197"/>
      <c r="AE268" s="197"/>
    </row>
    <row r="269" customFormat="false" ht="12" hidden="false" customHeight="false" outlineLevel="0" collapsed="false">
      <c r="B269" s="130"/>
      <c r="C269" s="130"/>
      <c r="D269" s="130"/>
      <c r="E269" s="130"/>
      <c r="F269" s="130"/>
      <c r="G269" s="130"/>
      <c r="H269" s="130"/>
      <c r="I269" s="130"/>
      <c r="J269" s="130"/>
      <c r="K269" s="130"/>
      <c r="L269" s="130"/>
      <c r="M269" s="130"/>
      <c r="N269" s="130"/>
      <c r="O269" s="197"/>
      <c r="P269" s="197"/>
      <c r="Q269" s="197"/>
      <c r="R269" s="197"/>
      <c r="S269" s="197"/>
      <c r="T269" s="197"/>
      <c r="U269" s="197"/>
      <c r="V269" s="197"/>
      <c r="W269" s="197"/>
      <c r="X269" s="197"/>
      <c r="AC269" s="197"/>
      <c r="AD269" s="197"/>
      <c r="AE269" s="197"/>
    </row>
    <row r="270" customFormat="false" ht="12" hidden="false" customHeight="false" outlineLevel="0" collapsed="false">
      <c r="B270" s="130"/>
      <c r="C270" s="130"/>
      <c r="D270" s="130"/>
      <c r="E270" s="130"/>
      <c r="F270" s="130"/>
      <c r="G270" s="130"/>
      <c r="H270" s="130"/>
      <c r="I270" s="130"/>
      <c r="J270" s="130"/>
      <c r="K270" s="130"/>
      <c r="L270" s="130"/>
      <c r="M270" s="130"/>
      <c r="N270" s="130"/>
      <c r="O270" s="197"/>
      <c r="P270" s="197"/>
      <c r="Q270" s="197"/>
      <c r="R270" s="197"/>
      <c r="S270" s="197"/>
      <c r="T270" s="197"/>
      <c r="U270" s="197"/>
      <c r="V270" s="197"/>
      <c r="W270" s="197"/>
      <c r="X270" s="197"/>
      <c r="AC270" s="197"/>
      <c r="AD270" s="197"/>
      <c r="AE270" s="197"/>
    </row>
    <row r="271" customFormat="false" ht="12" hidden="false" customHeight="false" outlineLevel="0" collapsed="false">
      <c r="B271" s="130"/>
      <c r="C271" s="130"/>
      <c r="D271" s="130"/>
      <c r="E271" s="130"/>
      <c r="F271" s="130"/>
      <c r="G271" s="130"/>
      <c r="H271" s="130"/>
      <c r="I271" s="130"/>
      <c r="J271" s="130"/>
      <c r="K271" s="130"/>
      <c r="L271" s="130"/>
      <c r="M271" s="130"/>
      <c r="N271" s="130"/>
      <c r="O271" s="197"/>
      <c r="P271" s="197"/>
      <c r="Q271" s="197"/>
      <c r="R271" s="197"/>
      <c r="S271" s="197"/>
      <c r="T271" s="197"/>
      <c r="U271" s="197"/>
      <c r="V271" s="197"/>
      <c r="W271" s="197"/>
      <c r="X271" s="197"/>
      <c r="AC271" s="197"/>
      <c r="AD271" s="197"/>
      <c r="AE271" s="197"/>
    </row>
    <row r="272" customFormat="false" ht="12" hidden="false" customHeight="false" outlineLevel="0" collapsed="false">
      <c r="B272" s="130"/>
      <c r="C272" s="130"/>
      <c r="D272" s="130"/>
      <c r="E272" s="130"/>
      <c r="F272" s="130"/>
      <c r="G272" s="130"/>
      <c r="H272" s="130"/>
      <c r="I272" s="130"/>
      <c r="J272" s="130"/>
      <c r="K272" s="130"/>
      <c r="L272" s="130"/>
      <c r="M272" s="130"/>
      <c r="N272" s="130"/>
      <c r="O272" s="197"/>
      <c r="P272" s="197"/>
      <c r="Q272" s="197"/>
      <c r="R272" s="197"/>
      <c r="S272" s="197"/>
      <c r="T272" s="197"/>
      <c r="U272" s="197"/>
      <c r="V272" s="197"/>
      <c r="W272" s="197"/>
      <c r="X272" s="197"/>
      <c r="AC272" s="197"/>
      <c r="AD272" s="197"/>
      <c r="AE272" s="197"/>
    </row>
    <row r="273" customFormat="false" ht="12" hidden="false" customHeight="false" outlineLevel="0" collapsed="false">
      <c r="B273" s="130"/>
      <c r="C273" s="130"/>
      <c r="D273" s="130"/>
      <c r="E273" s="130"/>
      <c r="F273" s="130"/>
      <c r="G273" s="130"/>
      <c r="H273" s="130"/>
      <c r="I273" s="130"/>
      <c r="J273" s="130"/>
      <c r="K273" s="130"/>
      <c r="L273" s="130"/>
      <c r="M273" s="130"/>
      <c r="N273" s="130"/>
      <c r="O273" s="197"/>
      <c r="P273" s="197"/>
      <c r="Q273" s="197"/>
      <c r="R273" s="197"/>
      <c r="S273" s="197"/>
      <c r="T273" s="197"/>
      <c r="U273" s="197"/>
      <c r="V273" s="197"/>
      <c r="W273" s="197"/>
      <c r="X273" s="197"/>
      <c r="AC273" s="197"/>
      <c r="AD273" s="197"/>
      <c r="AE273" s="197"/>
    </row>
    <row r="274" customFormat="false" ht="12" hidden="false" customHeight="false" outlineLevel="0" collapsed="false">
      <c r="B274" s="130"/>
      <c r="C274" s="130"/>
      <c r="D274" s="130"/>
      <c r="E274" s="130"/>
      <c r="F274" s="130"/>
      <c r="G274" s="130"/>
      <c r="H274" s="130"/>
      <c r="I274" s="130"/>
      <c r="J274" s="130"/>
      <c r="K274" s="130"/>
      <c r="L274" s="130"/>
      <c r="M274" s="130"/>
      <c r="N274" s="130"/>
      <c r="O274" s="197"/>
      <c r="P274" s="197"/>
      <c r="Q274" s="197"/>
      <c r="R274" s="197"/>
      <c r="S274" s="197"/>
      <c r="T274" s="197"/>
      <c r="U274" s="197"/>
      <c r="V274" s="197"/>
      <c r="W274" s="197"/>
      <c r="X274" s="197"/>
      <c r="AC274" s="197"/>
      <c r="AD274" s="197"/>
      <c r="AE274" s="197"/>
    </row>
    <row r="275" customFormat="false" ht="12" hidden="false" customHeight="false" outlineLevel="0" collapsed="false">
      <c r="B275" s="130"/>
      <c r="C275" s="130"/>
      <c r="D275" s="130"/>
      <c r="E275" s="130"/>
      <c r="F275" s="130"/>
      <c r="G275" s="130"/>
      <c r="H275" s="130"/>
      <c r="I275" s="130"/>
      <c r="J275" s="130"/>
      <c r="K275" s="130"/>
      <c r="L275" s="130"/>
      <c r="M275" s="130"/>
      <c r="N275" s="130"/>
      <c r="O275" s="197"/>
      <c r="P275" s="197"/>
      <c r="Q275" s="197"/>
      <c r="R275" s="197"/>
      <c r="S275" s="197"/>
      <c r="T275" s="197"/>
      <c r="U275" s="197"/>
      <c r="V275" s="197"/>
      <c r="W275" s="197"/>
      <c r="X275" s="197"/>
      <c r="AC275" s="197"/>
      <c r="AD275" s="197"/>
      <c r="AE275" s="197"/>
    </row>
    <row r="276" customFormat="false" ht="12" hidden="false" customHeight="false" outlineLevel="0" collapsed="false">
      <c r="B276" s="130"/>
      <c r="C276" s="130"/>
      <c r="D276" s="130"/>
      <c r="E276" s="130"/>
      <c r="F276" s="130"/>
      <c r="G276" s="130"/>
      <c r="H276" s="130"/>
      <c r="I276" s="130"/>
      <c r="J276" s="130"/>
      <c r="K276" s="130"/>
      <c r="L276" s="130"/>
      <c r="M276" s="130"/>
      <c r="N276" s="130"/>
      <c r="O276" s="197"/>
      <c r="P276" s="197"/>
      <c r="Q276" s="197"/>
      <c r="R276" s="197"/>
      <c r="S276" s="197"/>
      <c r="T276" s="197"/>
      <c r="U276" s="197"/>
      <c r="V276" s="197"/>
      <c r="W276" s="197"/>
      <c r="X276" s="197"/>
      <c r="AC276" s="197"/>
      <c r="AD276" s="197"/>
      <c r="AE276" s="197"/>
    </row>
    <row r="277" customFormat="false" ht="12" hidden="false" customHeight="false" outlineLevel="0" collapsed="false">
      <c r="B277" s="130"/>
      <c r="C277" s="130"/>
      <c r="D277" s="130"/>
      <c r="E277" s="130"/>
      <c r="F277" s="130"/>
      <c r="G277" s="130"/>
      <c r="H277" s="130"/>
      <c r="I277" s="130"/>
      <c r="J277" s="130"/>
      <c r="K277" s="130"/>
      <c r="L277" s="130"/>
      <c r="M277" s="130"/>
      <c r="N277" s="130"/>
      <c r="O277" s="197"/>
      <c r="P277" s="197"/>
      <c r="Q277" s="197"/>
      <c r="R277" s="197"/>
      <c r="S277" s="197"/>
      <c r="T277" s="197"/>
      <c r="U277" s="197"/>
      <c r="V277" s="197"/>
      <c r="W277" s="197"/>
      <c r="X277" s="197"/>
      <c r="AC277" s="197"/>
      <c r="AD277" s="197"/>
      <c r="AE277" s="197"/>
    </row>
    <row r="278" customFormat="false" ht="12" hidden="false" customHeight="false" outlineLevel="0" collapsed="false">
      <c r="B278" s="130"/>
      <c r="C278" s="130"/>
      <c r="D278" s="130"/>
      <c r="E278" s="130"/>
      <c r="F278" s="130"/>
      <c r="G278" s="130"/>
      <c r="H278" s="130"/>
      <c r="I278" s="130"/>
      <c r="J278" s="130"/>
      <c r="K278" s="130"/>
      <c r="L278" s="130"/>
      <c r="M278" s="130"/>
      <c r="N278" s="130"/>
      <c r="O278" s="197"/>
      <c r="P278" s="197"/>
      <c r="Q278" s="197"/>
      <c r="R278" s="197"/>
      <c r="S278" s="197"/>
      <c r="T278" s="197"/>
      <c r="U278" s="197"/>
      <c r="V278" s="197"/>
      <c r="W278" s="197"/>
      <c r="X278" s="197"/>
      <c r="AC278" s="197"/>
      <c r="AD278" s="197"/>
      <c r="AE278" s="197"/>
    </row>
    <row r="279" customFormat="false" ht="12" hidden="false" customHeight="false" outlineLevel="0" collapsed="false">
      <c r="B279" s="130"/>
      <c r="C279" s="130"/>
      <c r="D279" s="130"/>
      <c r="E279" s="130"/>
      <c r="F279" s="130"/>
      <c r="G279" s="130"/>
      <c r="H279" s="130"/>
      <c r="I279" s="130"/>
      <c r="J279" s="130"/>
      <c r="K279" s="130"/>
      <c r="L279" s="130"/>
      <c r="M279" s="130"/>
      <c r="N279" s="130"/>
      <c r="O279" s="197"/>
      <c r="P279" s="197"/>
      <c r="Q279" s="197"/>
      <c r="R279" s="197"/>
      <c r="S279" s="197"/>
      <c r="T279" s="197"/>
      <c r="U279" s="197"/>
      <c r="V279" s="197"/>
      <c r="W279" s="197"/>
      <c r="X279" s="197"/>
      <c r="AC279" s="197"/>
      <c r="AD279" s="197"/>
      <c r="AE279" s="197"/>
    </row>
    <row r="280" customFormat="false" ht="12" hidden="false" customHeight="false" outlineLevel="0" collapsed="false">
      <c r="B280" s="130"/>
      <c r="C280" s="130"/>
      <c r="D280" s="130"/>
      <c r="E280" s="130"/>
      <c r="F280" s="130"/>
      <c r="G280" s="130"/>
      <c r="H280" s="130"/>
      <c r="I280" s="130"/>
      <c r="J280" s="130"/>
      <c r="K280" s="130"/>
      <c r="L280" s="130"/>
      <c r="M280" s="130"/>
      <c r="N280" s="130"/>
      <c r="O280" s="197"/>
      <c r="P280" s="197"/>
      <c r="Q280" s="197"/>
      <c r="R280" s="197"/>
      <c r="S280" s="197"/>
      <c r="T280" s="197"/>
      <c r="U280" s="197"/>
      <c r="V280" s="197"/>
      <c r="W280" s="197"/>
      <c r="X280" s="197"/>
      <c r="AC280" s="197"/>
      <c r="AD280" s="197"/>
      <c r="AE280" s="197"/>
    </row>
    <row r="281" customFormat="false" ht="12" hidden="false" customHeight="false" outlineLevel="0" collapsed="false">
      <c r="B281" s="130"/>
      <c r="C281" s="130"/>
      <c r="D281" s="130"/>
      <c r="E281" s="130"/>
      <c r="F281" s="130"/>
      <c r="G281" s="130"/>
      <c r="H281" s="130"/>
      <c r="I281" s="130"/>
      <c r="J281" s="130"/>
      <c r="K281" s="130"/>
      <c r="L281" s="130"/>
      <c r="M281" s="130"/>
      <c r="N281" s="130"/>
      <c r="O281" s="197"/>
      <c r="P281" s="197"/>
      <c r="Q281" s="197"/>
      <c r="R281" s="197"/>
      <c r="S281" s="197"/>
      <c r="T281" s="197"/>
      <c r="U281" s="197"/>
      <c r="V281" s="197"/>
      <c r="W281" s="197"/>
      <c r="X281" s="197"/>
      <c r="AC281" s="197"/>
      <c r="AD281" s="197"/>
      <c r="AE281" s="197"/>
    </row>
    <row r="282" customFormat="false" ht="12" hidden="false" customHeight="false" outlineLevel="0" collapsed="false">
      <c r="B282" s="130"/>
      <c r="C282" s="130"/>
      <c r="D282" s="130"/>
      <c r="E282" s="130"/>
      <c r="F282" s="130"/>
      <c r="G282" s="130"/>
      <c r="H282" s="130"/>
      <c r="I282" s="130"/>
      <c r="J282" s="130"/>
      <c r="K282" s="130"/>
      <c r="L282" s="130"/>
      <c r="M282" s="130"/>
      <c r="N282" s="130"/>
      <c r="O282" s="197"/>
      <c r="P282" s="197"/>
      <c r="Q282" s="197"/>
      <c r="R282" s="197"/>
      <c r="S282" s="197"/>
      <c r="T282" s="197"/>
      <c r="U282" s="197"/>
      <c r="V282" s="197"/>
      <c r="W282" s="197"/>
      <c r="X282" s="197"/>
      <c r="AC282" s="197"/>
      <c r="AD282" s="197"/>
      <c r="AE282" s="197"/>
    </row>
    <row r="283" customFormat="false" ht="12" hidden="false" customHeight="false" outlineLevel="0" collapsed="false">
      <c r="B283" s="130"/>
      <c r="C283" s="130"/>
      <c r="D283" s="130"/>
      <c r="E283" s="130"/>
      <c r="F283" s="130"/>
      <c r="G283" s="130"/>
      <c r="H283" s="130"/>
      <c r="I283" s="130"/>
      <c r="J283" s="130"/>
      <c r="K283" s="130"/>
      <c r="L283" s="130"/>
      <c r="M283" s="130"/>
      <c r="N283" s="130"/>
      <c r="O283" s="197"/>
      <c r="P283" s="197"/>
      <c r="Q283" s="197"/>
      <c r="R283" s="197"/>
      <c r="S283" s="197"/>
      <c r="T283" s="197"/>
      <c r="U283" s="197"/>
      <c r="V283" s="197"/>
      <c r="W283" s="197"/>
      <c r="X283" s="197"/>
      <c r="AC283" s="197"/>
      <c r="AD283" s="197"/>
      <c r="AE283" s="197"/>
    </row>
    <row r="284" customFormat="false" ht="12" hidden="false" customHeight="false" outlineLevel="0" collapsed="false">
      <c r="B284" s="130"/>
      <c r="C284" s="130"/>
      <c r="D284" s="130"/>
      <c r="E284" s="130"/>
      <c r="F284" s="130"/>
      <c r="G284" s="130"/>
      <c r="H284" s="130"/>
      <c r="I284" s="130"/>
      <c r="J284" s="130"/>
      <c r="K284" s="130"/>
      <c r="L284" s="130"/>
      <c r="M284" s="130"/>
      <c r="N284" s="130"/>
      <c r="O284" s="197"/>
      <c r="P284" s="197"/>
      <c r="Q284" s="197"/>
      <c r="R284" s="197"/>
      <c r="S284" s="197"/>
      <c r="T284" s="197"/>
      <c r="U284" s="197"/>
      <c r="V284" s="197"/>
      <c r="W284" s="197"/>
      <c r="X284" s="197"/>
      <c r="AC284" s="197"/>
      <c r="AD284" s="197"/>
      <c r="AE284" s="197"/>
    </row>
    <row r="285" customFormat="false" ht="12" hidden="false" customHeight="false" outlineLevel="0" collapsed="false">
      <c r="B285" s="130"/>
      <c r="C285" s="130"/>
      <c r="D285" s="130"/>
      <c r="E285" s="130"/>
      <c r="F285" s="130"/>
      <c r="G285" s="130"/>
      <c r="H285" s="130"/>
      <c r="I285" s="130"/>
      <c r="J285" s="130"/>
      <c r="K285" s="130"/>
      <c r="L285" s="130"/>
      <c r="M285" s="130"/>
      <c r="N285" s="130"/>
      <c r="O285" s="197"/>
      <c r="P285" s="197"/>
      <c r="Q285" s="197"/>
      <c r="R285" s="197"/>
      <c r="S285" s="197"/>
      <c r="T285" s="197"/>
      <c r="U285" s="197"/>
      <c r="V285" s="197"/>
      <c r="W285" s="197"/>
      <c r="X285" s="197"/>
      <c r="AC285" s="197"/>
      <c r="AD285" s="197"/>
      <c r="AE285" s="197"/>
    </row>
    <row r="286" customFormat="false" ht="12" hidden="false" customHeight="false" outlineLevel="0" collapsed="false">
      <c r="B286" s="130"/>
      <c r="C286" s="130"/>
      <c r="D286" s="130"/>
      <c r="E286" s="130"/>
      <c r="F286" s="130"/>
      <c r="G286" s="130"/>
      <c r="H286" s="130"/>
      <c r="I286" s="130"/>
      <c r="J286" s="130"/>
      <c r="K286" s="130"/>
      <c r="L286" s="130"/>
      <c r="M286" s="130"/>
      <c r="N286" s="130"/>
      <c r="O286" s="197"/>
      <c r="P286" s="197"/>
      <c r="Q286" s="197"/>
      <c r="R286" s="197"/>
      <c r="S286" s="197"/>
      <c r="T286" s="197"/>
      <c r="U286" s="197"/>
      <c r="V286" s="197"/>
      <c r="W286" s="197"/>
      <c r="X286" s="197"/>
      <c r="AC286" s="197"/>
      <c r="AD286" s="197"/>
      <c r="AE286" s="197"/>
    </row>
    <row r="287" customFormat="false" ht="12" hidden="false" customHeight="false" outlineLevel="0" collapsed="false">
      <c r="B287" s="130"/>
      <c r="C287" s="130"/>
      <c r="D287" s="130"/>
      <c r="E287" s="130"/>
      <c r="F287" s="130"/>
      <c r="G287" s="130"/>
      <c r="H287" s="130"/>
      <c r="I287" s="130"/>
      <c r="J287" s="130"/>
      <c r="K287" s="130"/>
      <c r="L287" s="130"/>
      <c r="M287" s="130"/>
      <c r="N287" s="130"/>
      <c r="O287" s="197"/>
      <c r="P287" s="197"/>
      <c r="Q287" s="197"/>
      <c r="R287" s="197"/>
      <c r="S287" s="197"/>
      <c r="T287" s="197"/>
      <c r="U287" s="197"/>
      <c r="V287" s="197"/>
      <c r="W287" s="197"/>
      <c r="X287" s="197"/>
      <c r="AC287" s="197"/>
      <c r="AD287" s="197"/>
      <c r="AE287" s="197"/>
    </row>
    <row r="288" customFormat="false" ht="12" hidden="false" customHeight="false" outlineLevel="0" collapsed="false">
      <c r="B288" s="130"/>
      <c r="C288" s="130"/>
      <c r="D288" s="130"/>
      <c r="E288" s="130"/>
      <c r="F288" s="130"/>
      <c r="G288" s="130"/>
      <c r="H288" s="130"/>
      <c r="I288" s="130"/>
      <c r="J288" s="130"/>
      <c r="K288" s="130"/>
      <c r="L288" s="130"/>
      <c r="M288" s="130"/>
      <c r="N288" s="130"/>
      <c r="O288" s="197"/>
      <c r="P288" s="197"/>
      <c r="Q288" s="197"/>
      <c r="R288" s="197"/>
      <c r="S288" s="197"/>
      <c r="T288" s="197"/>
      <c r="U288" s="197"/>
      <c r="V288" s="197"/>
      <c r="W288" s="197"/>
      <c r="X288" s="197"/>
      <c r="AC288" s="197"/>
      <c r="AD288" s="197"/>
      <c r="AE288" s="197"/>
    </row>
    <row r="289" customFormat="false" ht="12" hidden="false" customHeight="false" outlineLevel="0" collapsed="false">
      <c r="B289" s="130"/>
      <c r="C289" s="130"/>
      <c r="D289" s="130"/>
      <c r="E289" s="130"/>
      <c r="F289" s="130"/>
      <c r="G289" s="130"/>
      <c r="H289" s="130"/>
      <c r="I289" s="130"/>
      <c r="J289" s="130"/>
      <c r="K289" s="130"/>
      <c r="L289" s="130"/>
      <c r="M289" s="130"/>
      <c r="N289" s="130"/>
      <c r="O289" s="197"/>
      <c r="P289" s="197"/>
      <c r="Q289" s="197"/>
      <c r="R289" s="197"/>
      <c r="S289" s="197"/>
      <c r="T289" s="197"/>
      <c r="U289" s="197"/>
      <c r="V289" s="197"/>
      <c r="W289" s="197"/>
      <c r="X289" s="197"/>
      <c r="AC289" s="197"/>
      <c r="AD289" s="197"/>
      <c r="AE289" s="197"/>
    </row>
    <row r="290" customFormat="false" ht="12" hidden="false" customHeight="false" outlineLevel="0" collapsed="false">
      <c r="B290" s="130"/>
      <c r="C290" s="130"/>
      <c r="D290" s="130"/>
      <c r="E290" s="130"/>
      <c r="F290" s="130"/>
      <c r="G290" s="130"/>
      <c r="H290" s="130"/>
      <c r="I290" s="130"/>
      <c r="J290" s="130"/>
      <c r="K290" s="130"/>
      <c r="L290" s="130"/>
      <c r="M290" s="130"/>
      <c r="N290" s="130"/>
      <c r="O290" s="197"/>
      <c r="P290" s="197"/>
      <c r="Q290" s="197"/>
      <c r="R290" s="197"/>
      <c r="S290" s="197"/>
      <c r="T290" s="197"/>
      <c r="U290" s="197"/>
      <c r="V290" s="197"/>
      <c r="W290" s="197"/>
      <c r="X290" s="197"/>
      <c r="AC290" s="197"/>
      <c r="AD290" s="197"/>
      <c r="AE290" s="197"/>
    </row>
    <row r="291" customFormat="false" ht="12" hidden="false" customHeight="false" outlineLevel="0" collapsed="false">
      <c r="B291" s="130"/>
      <c r="C291" s="130"/>
      <c r="D291" s="130"/>
      <c r="E291" s="130"/>
      <c r="F291" s="130"/>
      <c r="G291" s="130"/>
      <c r="H291" s="130"/>
      <c r="I291" s="130"/>
      <c r="J291" s="130"/>
      <c r="K291" s="130"/>
      <c r="L291" s="130"/>
      <c r="M291" s="130"/>
      <c r="N291" s="130"/>
      <c r="O291" s="197"/>
      <c r="P291" s="197"/>
      <c r="Q291" s="197"/>
      <c r="R291" s="197"/>
      <c r="S291" s="197"/>
      <c r="T291" s="197"/>
      <c r="U291" s="197"/>
      <c r="V291" s="197"/>
      <c r="W291" s="197"/>
      <c r="X291" s="197"/>
      <c r="AC291" s="197"/>
      <c r="AD291" s="197"/>
      <c r="AE291" s="197"/>
    </row>
    <row r="292" customFormat="false" ht="12" hidden="false" customHeight="false" outlineLevel="0" collapsed="false">
      <c r="B292" s="130"/>
      <c r="C292" s="130"/>
      <c r="D292" s="130"/>
      <c r="E292" s="130"/>
      <c r="F292" s="130"/>
      <c r="G292" s="130"/>
      <c r="H292" s="130"/>
      <c r="I292" s="130"/>
      <c r="J292" s="130"/>
      <c r="K292" s="130"/>
      <c r="L292" s="130"/>
      <c r="M292" s="130"/>
      <c r="N292" s="130"/>
      <c r="O292" s="197"/>
      <c r="P292" s="197"/>
      <c r="Q292" s="197"/>
      <c r="R292" s="197"/>
      <c r="S292" s="197"/>
      <c r="T292" s="197"/>
      <c r="U292" s="197"/>
      <c r="V292" s="197"/>
      <c r="W292" s="197"/>
      <c r="X292" s="197"/>
      <c r="AC292" s="197"/>
      <c r="AD292" s="197"/>
      <c r="AE292" s="197"/>
    </row>
    <row r="293" customFormat="false" ht="12" hidden="false" customHeight="false" outlineLevel="0" collapsed="false">
      <c r="B293" s="130"/>
      <c r="C293" s="130"/>
      <c r="D293" s="130"/>
      <c r="E293" s="130"/>
      <c r="F293" s="130"/>
      <c r="G293" s="130"/>
      <c r="H293" s="130"/>
      <c r="I293" s="130"/>
      <c r="J293" s="130"/>
      <c r="K293" s="130"/>
      <c r="L293" s="130"/>
      <c r="M293" s="130"/>
      <c r="N293" s="130"/>
      <c r="O293" s="197"/>
      <c r="P293" s="197"/>
      <c r="Q293" s="197"/>
      <c r="R293" s="197"/>
      <c r="S293" s="197"/>
      <c r="T293" s="197"/>
      <c r="U293" s="197"/>
      <c r="V293" s="197"/>
      <c r="W293" s="197"/>
      <c r="X293" s="197"/>
      <c r="AC293" s="197"/>
      <c r="AD293" s="197"/>
      <c r="AE293" s="197"/>
    </row>
    <row r="294" customFormat="false" ht="12" hidden="false" customHeight="false" outlineLevel="0" collapsed="false">
      <c r="B294" s="130"/>
      <c r="C294" s="130"/>
      <c r="D294" s="130"/>
      <c r="E294" s="130"/>
      <c r="F294" s="130"/>
      <c r="G294" s="130"/>
      <c r="H294" s="130"/>
      <c r="I294" s="130"/>
      <c r="J294" s="130"/>
      <c r="K294" s="130"/>
      <c r="L294" s="130"/>
      <c r="M294" s="130"/>
      <c r="N294" s="130"/>
      <c r="O294" s="197"/>
      <c r="P294" s="197"/>
      <c r="Q294" s="197"/>
      <c r="R294" s="197"/>
      <c r="S294" s="197"/>
      <c r="T294" s="197"/>
      <c r="U294" s="197"/>
      <c r="V294" s="197"/>
      <c r="W294" s="197"/>
      <c r="X294" s="197"/>
      <c r="AC294" s="197"/>
      <c r="AD294" s="197"/>
      <c r="AE294" s="197"/>
    </row>
    <row r="295" customFormat="false" ht="12" hidden="false" customHeight="false" outlineLevel="0" collapsed="false">
      <c r="B295" s="130"/>
      <c r="C295" s="130"/>
      <c r="D295" s="130"/>
      <c r="E295" s="130"/>
      <c r="F295" s="130"/>
      <c r="G295" s="130"/>
      <c r="H295" s="130"/>
      <c r="I295" s="130"/>
      <c r="J295" s="130"/>
      <c r="K295" s="130"/>
      <c r="L295" s="130"/>
      <c r="M295" s="130"/>
      <c r="N295" s="130"/>
      <c r="O295" s="197"/>
      <c r="P295" s="197"/>
      <c r="Q295" s="197"/>
      <c r="R295" s="197"/>
      <c r="S295" s="197"/>
      <c r="T295" s="197"/>
      <c r="U295" s="197"/>
      <c r="V295" s="197"/>
      <c r="W295" s="197"/>
      <c r="X295" s="197"/>
      <c r="AC295" s="197"/>
      <c r="AD295" s="197"/>
      <c r="AE295" s="197"/>
    </row>
    <row r="296" customFormat="false" ht="12" hidden="false" customHeight="false" outlineLevel="0" collapsed="false">
      <c r="B296" s="130"/>
      <c r="C296" s="130"/>
      <c r="D296" s="130"/>
      <c r="E296" s="130"/>
      <c r="F296" s="130"/>
      <c r="G296" s="130"/>
      <c r="H296" s="130"/>
      <c r="I296" s="130"/>
      <c r="J296" s="130"/>
      <c r="K296" s="130"/>
      <c r="L296" s="130"/>
      <c r="M296" s="130"/>
      <c r="N296" s="130"/>
      <c r="O296" s="197"/>
      <c r="P296" s="197"/>
      <c r="Q296" s="197"/>
      <c r="R296" s="197"/>
      <c r="S296" s="197"/>
      <c r="T296" s="197"/>
      <c r="U296" s="197"/>
      <c r="V296" s="197"/>
      <c r="W296" s="197"/>
      <c r="X296" s="197"/>
      <c r="AC296" s="197"/>
      <c r="AD296" s="197"/>
      <c r="AE296" s="197"/>
    </row>
    <row r="297" customFormat="false" ht="12" hidden="false" customHeight="false" outlineLevel="0" collapsed="false">
      <c r="B297" s="130"/>
      <c r="C297" s="130"/>
      <c r="D297" s="130"/>
      <c r="E297" s="130"/>
      <c r="F297" s="130"/>
      <c r="G297" s="130"/>
      <c r="H297" s="130"/>
      <c r="I297" s="130"/>
      <c r="J297" s="130"/>
      <c r="K297" s="130"/>
      <c r="L297" s="130"/>
      <c r="M297" s="130"/>
      <c r="N297" s="130"/>
      <c r="O297" s="197"/>
      <c r="P297" s="197"/>
      <c r="Q297" s="197"/>
      <c r="R297" s="197"/>
      <c r="S297" s="197"/>
      <c r="T297" s="197"/>
      <c r="U297" s="197"/>
      <c r="V297" s="197"/>
      <c r="W297" s="197"/>
      <c r="X297" s="197"/>
      <c r="AC297" s="197"/>
      <c r="AD297" s="197"/>
      <c r="AE297" s="197"/>
    </row>
    <row r="298" customFormat="false" ht="12" hidden="false" customHeight="false" outlineLevel="0" collapsed="false">
      <c r="B298" s="130"/>
      <c r="C298" s="130"/>
      <c r="D298" s="130"/>
      <c r="E298" s="130"/>
      <c r="F298" s="130"/>
      <c r="G298" s="130"/>
      <c r="H298" s="130"/>
      <c r="I298" s="130"/>
      <c r="J298" s="130"/>
      <c r="K298" s="130"/>
      <c r="L298" s="130"/>
      <c r="M298" s="130"/>
      <c r="N298" s="130"/>
      <c r="O298" s="197"/>
      <c r="P298" s="197"/>
      <c r="Q298" s="197"/>
      <c r="R298" s="197"/>
      <c r="S298" s="197"/>
      <c r="T298" s="197"/>
      <c r="U298" s="197"/>
      <c r="V298" s="197"/>
      <c r="W298" s="197"/>
      <c r="X298" s="197"/>
      <c r="AC298" s="197"/>
      <c r="AD298" s="197"/>
      <c r="AE298" s="197"/>
    </row>
    <row r="299" customFormat="false" ht="12" hidden="false" customHeight="false" outlineLevel="0" collapsed="false">
      <c r="B299" s="130"/>
      <c r="C299" s="130"/>
      <c r="D299" s="130"/>
      <c r="E299" s="130"/>
      <c r="F299" s="130"/>
      <c r="G299" s="130"/>
      <c r="H299" s="130"/>
      <c r="I299" s="130"/>
      <c r="J299" s="130"/>
      <c r="K299" s="130"/>
      <c r="L299" s="130"/>
      <c r="M299" s="130"/>
      <c r="N299" s="130"/>
      <c r="O299" s="197"/>
      <c r="P299" s="197"/>
      <c r="Q299" s="197"/>
      <c r="R299" s="197"/>
      <c r="S299" s="197"/>
      <c r="T299" s="197"/>
      <c r="U299" s="197"/>
      <c r="V299" s="197"/>
      <c r="W299" s="197"/>
      <c r="X299" s="197"/>
      <c r="AC299" s="197"/>
      <c r="AD299" s="197"/>
      <c r="AE299" s="197"/>
    </row>
    <row r="300" customFormat="false" ht="12" hidden="false" customHeight="false" outlineLevel="0" collapsed="false">
      <c r="B300" s="130"/>
      <c r="C300" s="130"/>
      <c r="D300" s="130"/>
      <c r="E300" s="130"/>
      <c r="F300" s="130"/>
      <c r="G300" s="130"/>
      <c r="H300" s="130"/>
      <c r="I300" s="130"/>
      <c r="J300" s="130"/>
      <c r="K300" s="130"/>
      <c r="L300" s="130"/>
      <c r="M300" s="130"/>
      <c r="N300" s="130"/>
      <c r="O300" s="197"/>
      <c r="P300" s="197"/>
      <c r="Q300" s="197"/>
      <c r="R300" s="197"/>
      <c r="S300" s="197"/>
      <c r="T300" s="197"/>
      <c r="U300" s="197"/>
      <c r="V300" s="197"/>
      <c r="W300" s="197"/>
      <c r="X300" s="197"/>
      <c r="AC300" s="197"/>
      <c r="AD300" s="197"/>
      <c r="AE300" s="197"/>
    </row>
    <row r="301" customFormat="false" ht="12" hidden="false" customHeight="false" outlineLevel="0" collapsed="false">
      <c r="B301" s="130"/>
      <c r="C301" s="130"/>
      <c r="D301" s="130"/>
      <c r="E301" s="130"/>
      <c r="F301" s="130"/>
      <c r="G301" s="130"/>
      <c r="H301" s="130"/>
      <c r="I301" s="130"/>
      <c r="J301" s="130"/>
      <c r="K301" s="130"/>
      <c r="L301" s="130"/>
      <c r="M301" s="130"/>
      <c r="N301" s="130"/>
      <c r="O301" s="197"/>
      <c r="P301" s="197"/>
      <c r="Q301" s="197"/>
      <c r="R301" s="197"/>
      <c r="S301" s="197"/>
      <c r="T301" s="197"/>
      <c r="U301" s="197"/>
      <c r="V301" s="197"/>
      <c r="W301" s="197"/>
      <c r="X301" s="197"/>
      <c r="AC301" s="197"/>
      <c r="AD301" s="197"/>
      <c r="AE301" s="197"/>
    </row>
    <row r="302" customFormat="false" ht="12" hidden="false" customHeight="false" outlineLevel="0" collapsed="false">
      <c r="B302" s="130"/>
      <c r="C302" s="130"/>
      <c r="D302" s="130"/>
      <c r="E302" s="130"/>
      <c r="F302" s="130"/>
      <c r="G302" s="130"/>
      <c r="H302" s="130"/>
      <c r="I302" s="130"/>
      <c r="J302" s="130"/>
      <c r="K302" s="130"/>
      <c r="L302" s="130"/>
      <c r="M302" s="130"/>
      <c r="N302" s="130"/>
      <c r="O302" s="197"/>
      <c r="P302" s="197"/>
      <c r="Q302" s="197"/>
      <c r="R302" s="197"/>
      <c r="S302" s="197"/>
      <c r="T302" s="197"/>
      <c r="U302" s="197"/>
      <c r="V302" s="197"/>
      <c r="W302" s="197"/>
      <c r="X302" s="197"/>
      <c r="AC302" s="197"/>
      <c r="AD302" s="197"/>
      <c r="AE302" s="197"/>
    </row>
    <row r="303" customFormat="false" ht="12" hidden="false" customHeight="false" outlineLevel="0" collapsed="false">
      <c r="B303" s="130"/>
      <c r="C303" s="130"/>
      <c r="D303" s="130"/>
      <c r="E303" s="130"/>
      <c r="F303" s="130"/>
      <c r="G303" s="130"/>
      <c r="H303" s="130"/>
      <c r="I303" s="130"/>
      <c r="J303" s="130"/>
      <c r="K303" s="130"/>
      <c r="L303" s="130"/>
      <c r="M303" s="130"/>
      <c r="N303" s="130"/>
      <c r="O303" s="197"/>
      <c r="P303" s="197"/>
      <c r="Q303" s="197"/>
      <c r="R303" s="197"/>
      <c r="S303" s="197"/>
      <c r="T303" s="197"/>
      <c r="U303" s="197"/>
      <c r="V303" s="197"/>
      <c r="W303" s="197"/>
      <c r="X303" s="197"/>
      <c r="AC303" s="197"/>
      <c r="AD303" s="197"/>
      <c r="AE303" s="197"/>
    </row>
    <row r="304" customFormat="false" ht="12" hidden="false" customHeight="false" outlineLevel="0" collapsed="false">
      <c r="B304" s="130"/>
      <c r="C304" s="130"/>
      <c r="D304" s="130"/>
      <c r="E304" s="130"/>
      <c r="F304" s="130"/>
      <c r="G304" s="130"/>
      <c r="H304" s="130"/>
      <c r="I304" s="130"/>
      <c r="J304" s="130"/>
      <c r="K304" s="130"/>
      <c r="L304" s="130"/>
      <c r="M304" s="130"/>
      <c r="N304" s="130"/>
      <c r="O304" s="197"/>
      <c r="P304" s="197"/>
      <c r="Q304" s="197"/>
      <c r="R304" s="197"/>
      <c r="S304" s="197"/>
      <c r="T304" s="197"/>
      <c r="U304" s="197"/>
      <c r="V304" s="197"/>
      <c r="W304" s="197"/>
      <c r="X304" s="197"/>
      <c r="AC304" s="197"/>
      <c r="AD304" s="197"/>
      <c r="AE304" s="197"/>
    </row>
    <row r="305" customFormat="false" ht="12" hidden="false" customHeight="false" outlineLevel="0" collapsed="false">
      <c r="B305" s="130"/>
      <c r="C305" s="130"/>
      <c r="D305" s="130"/>
      <c r="E305" s="130"/>
      <c r="F305" s="130"/>
      <c r="G305" s="130"/>
      <c r="H305" s="130"/>
      <c r="I305" s="130"/>
      <c r="J305" s="130"/>
      <c r="K305" s="130"/>
      <c r="L305" s="130"/>
      <c r="M305" s="130"/>
      <c r="N305" s="130"/>
      <c r="O305" s="197"/>
      <c r="P305" s="197"/>
      <c r="Q305" s="197"/>
      <c r="R305" s="197"/>
      <c r="S305" s="197"/>
      <c r="T305" s="197"/>
      <c r="U305" s="197"/>
      <c r="V305" s="197"/>
      <c r="W305" s="197"/>
      <c r="X305" s="197"/>
      <c r="AC305" s="197"/>
      <c r="AD305" s="197"/>
      <c r="AE305" s="197"/>
    </row>
    <row r="306" customFormat="false" ht="12" hidden="false" customHeight="false" outlineLevel="0" collapsed="false">
      <c r="B306" s="130"/>
      <c r="C306" s="130"/>
      <c r="D306" s="130"/>
      <c r="E306" s="130"/>
      <c r="F306" s="130"/>
      <c r="G306" s="130"/>
      <c r="H306" s="130"/>
      <c r="I306" s="130"/>
      <c r="J306" s="130"/>
      <c r="K306" s="130"/>
      <c r="L306" s="130"/>
      <c r="M306" s="130"/>
      <c r="N306" s="130"/>
      <c r="O306" s="197"/>
      <c r="P306" s="197"/>
      <c r="Q306" s="197"/>
      <c r="R306" s="197"/>
      <c r="S306" s="197"/>
      <c r="T306" s="197"/>
      <c r="U306" s="197"/>
      <c r="V306" s="197"/>
      <c r="W306" s="197"/>
      <c r="X306" s="197"/>
      <c r="AC306" s="197"/>
      <c r="AD306" s="197"/>
      <c r="AE306" s="197"/>
    </row>
    <row r="307" customFormat="false" ht="12" hidden="false" customHeight="false" outlineLevel="0" collapsed="false">
      <c r="B307" s="130"/>
      <c r="C307" s="130"/>
      <c r="D307" s="130"/>
      <c r="E307" s="130"/>
      <c r="F307" s="130"/>
      <c r="G307" s="130"/>
      <c r="H307" s="130"/>
      <c r="I307" s="130"/>
      <c r="J307" s="130"/>
      <c r="K307" s="130"/>
      <c r="L307" s="130"/>
      <c r="M307" s="130"/>
      <c r="N307" s="130"/>
      <c r="O307" s="197"/>
      <c r="P307" s="197"/>
      <c r="Q307" s="197"/>
      <c r="R307" s="197"/>
      <c r="S307" s="197"/>
      <c r="T307" s="197"/>
      <c r="U307" s="197"/>
      <c r="V307" s="197"/>
      <c r="W307" s="197"/>
      <c r="X307" s="197"/>
      <c r="AC307" s="197"/>
      <c r="AD307" s="197"/>
      <c r="AE307" s="197"/>
    </row>
    <row r="308" customFormat="false" ht="12" hidden="false" customHeight="false" outlineLevel="0" collapsed="false">
      <c r="B308" s="130"/>
      <c r="C308" s="130"/>
      <c r="D308" s="130"/>
      <c r="E308" s="130"/>
      <c r="F308" s="130"/>
      <c r="G308" s="130"/>
      <c r="H308" s="130"/>
      <c r="I308" s="130"/>
      <c r="J308" s="130"/>
      <c r="K308" s="130"/>
      <c r="L308" s="130"/>
      <c r="M308" s="130"/>
      <c r="N308" s="130"/>
      <c r="O308" s="197"/>
      <c r="P308" s="197"/>
      <c r="Q308" s="197"/>
      <c r="R308" s="197"/>
      <c r="S308" s="197"/>
      <c r="T308" s="197"/>
      <c r="U308" s="197"/>
      <c r="V308" s="197"/>
      <c r="W308" s="197"/>
      <c r="X308" s="197"/>
      <c r="AC308" s="197"/>
      <c r="AD308" s="197"/>
      <c r="AE308" s="197"/>
    </row>
    <row r="309" customFormat="false" ht="12" hidden="false" customHeight="false" outlineLevel="0" collapsed="false">
      <c r="B309" s="130"/>
      <c r="C309" s="130"/>
      <c r="D309" s="130"/>
      <c r="E309" s="130"/>
      <c r="F309" s="130"/>
      <c r="G309" s="130"/>
      <c r="H309" s="130"/>
      <c r="I309" s="130"/>
      <c r="J309" s="130"/>
      <c r="K309" s="130"/>
      <c r="L309" s="130"/>
      <c r="M309" s="130"/>
      <c r="N309" s="130"/>
      <c r="O309" s="197"/>
      <c r="P309" s="197"/>
      <c r="Q309" s="197"/>
      <c r="R309" s="197"/>
      <c r="S309" s="197"/>
      <c r="T309" s="197"/>
      <c r="U309" s="197"/>
      <c r="V309" s="197"/>
      <c r="W309" s="197"/>
      <c r="X309" s="197"/>
      <c r="AC309" s="197"/>
      <c r="AD309" s="197"/>
      <c r="AE309" s="197"/>
    </row>
    <row r="310" customFormat="false" ht="12" hidden="false" customHeight="false" outlineLevel="0" collapsed="false">
      <c r="B310" s="130"/>
      <c r="C310" s="130"/>
      <c r="D310" s="130"/>
      <c r="E310" s="130"/>
      <c r="F310" s="130"/>
      <c r="G310" s="130"/>
      <c r="H310" s="130"/>
      <c r="I310" s="130"/>
      <c r="J310" s="130"/>
      <c r="K310" s="130"/>
      <c r="L310" s="130"/>
      <c r="M310" s="130"/>
      <c r="N310" s="130"/>
      <c r="O310" s="197"/>
      <c r="P310" s="197"/>
      <c r="Q310" s="197"/>
      <c r="R310" s="197"/>
      <c r="S310" s="197"/>
      <c r="T310" s="197"/>
      <c r="U310" s="197"/>
      <c r="V310" s="197"/>
      <c r="W310" s="197"/>
      <c r="X310" s="197"/>
      <c r="AC310" s="197"/>
      <c r="AD310" s="197"/>
      <c r="AE310" s="197"/>
    </row>
    <row r="311" customFormat="false" ht="12" hidden="false" customHeight="false" outlineLevel="0" collapsed="false">
      <c r="B311" s="130"/>
      <c r="C311" s="130"/>
      <c r="D311" s="130"/>
      <c r="E311" s="130"/>
      <c r="F311" s="130"/>
      <c r="G311" s="130"/>
      <c r="H311" s="130"/>
      <c r="I311" s="130"/>
      <c r="J311" s="130"/>
      <c r="K311" s="130"/>
      <c r="L311" s="130"/>
      <c r="M311" s="130"/>
      <c r="N311" s="130"/>
      <c r="O311" s="197"/>
      <c r="P311" s="197"/>
      <c r="Q311" s="197"/>
      <c r="R311" s="197"/>
      <c r="S311" s="197"/>
      <c r="T311" s="197"/>
      <c r="U311" s="197"/>
      <c r="V311" s="197"/>
      <c r="W311" s="197"/>
      <c r="X311" s="197"/>
      <c r="AC311" s="197"/>
      <c r="AD311" s="197"/>
      <c r="AE311" s="197"/>
    </row>
    <row r="312" customFormat="false" ht="12" hidden="false" customHeight="false" outlineLevel="0" collapsed="false">
      <c r="B312" s="130"/>
      <c r="C312" s="130"/>
      <c r="D312" s="130"/>
      <c r="E312" s="130"/>
      <c r="F312" s="130"/>
      <c r="G312" s="130"/>
      <c r="H312" s="130"/>
      <c r="I312" s="130"/>
      <c r="J312" s="130"/>
      <c r="K312" s="130"/>
      <c r="L312" s="130"/>
      <c r="M312" s="130"/>
      <c r="N312" s="130"/>
      <c r="O312" s="197"/>
      <c r="P312" s="197"/>
      <c r="Q312" s="197"/>
      <c r="R312" s="197"/>
      <c r="S312" s="197"/>
      <c r="T312" s="197"/>
      <c r="U312" s="197"/>
      <c r="V312" s="197"/>
      <c r="W312" s="197"/>
      <c r="X312" s="197"/>
      <c r="AC312" s="197"/>
      <c r="AD312" s="197"/>
      <c r="AE312" s="197"/>
    </row>
    <row r="313" customFormat="false" ht="12" hidden="false" customHeight="false" outlineLevel="0" collapsed="false">
      <c r="B313" s="130"/>
      <c r="C313" s="130"/>
      <c r="D313" s="130"/>
      <c r="E313" s="130"/>
      <c r="F313" s="130"/>
      <c r="G313" s="130"/>
      <c r="H313" s="130"/>
      <c r="I313" s="130"/>
      <c r="J313" s="130"/>
      <c r="K313" s="130"/>
      <c r="L313" s="130"/>
      <c r="M313" s="130"/>
      <c r="N313" s="130"/>
      <c r="O313" s="197"/>
      <c r="P313" s="197"/>
      <c r="Q313" s="197"/>
      <c r="R313" s="197"/>
      <c r="S313" s="197"/>
      <c r="T313" s="197"/>
      <c r="U313" s="197"/>
      <c r="V313" s="197"/>
      <c r="W313" s="197"/>
      <c r="X313" s="197"/>
      <c r="AC313" s="197"/>
      <c r="AD313" s="197"/>
      <c r="AE313" s="197"/>
    </row>
    <row r="314" customFormat="false" ht="12" hidden="false" customHeight="false" outlineLevel="0" collapsed="false">
      <c r="B314" s="130"/>
      <c r="C314" s="130"/>
      <c r="D314" s="130"/>
      <c r="E314" s="130"/>
      <c r="F314" s="130"/>
      <c r="G314" s="130"/>
      <c r="H314" s="130"/>
      <c r="I314" s="130"/>
      <c r="J314" s="130"/>
      <c r="K314" s="130"/>
      <c r="L314" s="130"/>
      <c r="M314" s="130"/>
      <c r="N314" s="130"/>
      <c r="O314" s="197"/>
      <c r="P314" s="197"/>
      <c r="Q314" s="197"/>
      <c r="R314" s="197"/>
      <c r="S314" s="197"/>
      <c r="T314" s="197"/>
      <c r="U314" s="197"/>
      <c r="V314" s="197"/>
      <c r="W314" s="197"/>
      <c r="X314" s="197"/>
      <c r="AC314" s="197"/>
      <c r="AD314" s="197"/>
      <c r="AE314" s="197"/>
    </row>
    <row r="315" customFormat="false" ht="12" hidden="false" customHeight="false" outlineLevel="0" collapsed="false">
      <c r="B315" s="130"/>
      <c r="C315" s="130"/>
      <c r="D315" s="130"/>
      <c r="E315" s="130"/>
      <c r="F315" s="130"/>
      <c r="G315" s="130"/>
      <c r="H315" s="130"/>
      <c r="I315" s="130"/>
      <c r="J315" s="130"/>
      <c r="K315" s="130"/>
      <c r="L315" s="130"/>
      <c r="M315" s="130"/>
      <c r="N315" s="130"/>
      <c r="O315" s="197"/>
      <c r="P315" s="197"/>
      <c r="Q315" s="197"/>
      <c r="R315" s="197"/>
      <c r="S315" s="197"/>
      <c r="T315" s="197"/>
      <c r="U315" s="197"/>
      <c r="V315" s="197"/>
      <c r="W315" s="197"/>
      <c r="X315" s="197"/>
      <c r="AC315" s="197"/>
      <c r="AD315" s="197"/>
      <c r="AE315" s="197"/>
    </row>
    <row r="316" customFormat="false" ht="12" hidden="false" customHeight="false" outlineLevel="0" collapsed="false">
      <c r="B316" s="130"/>
      <c r="C316" s="130"/>
      <c r="D316" s="130"/>
      <c r="E316" s="130"/>
      <c r="F316" s="130"/>
      <c r="G316" s="130"/>
      <c r="H316" s="130"/>
      <c r="I316" s="130"/>
      <c r="J316" s="130"/>
      <c r="K316" s="130"/>
      <c r="L316" s="130"/>
      <c r="M316" s="130"/>
      <c r="N316" s="130"/>
      <c r="O316" s="197"/>
      <c r="P316" s="197"/>
      <c r="Q316" s="197"/>
      <c r="R316" s="197"/>
      <c r="S316" s="197"/>
      <c r="T316" s="197"/>
      <c r="U316" s="197"/>
      <c r="V316" s="197"/>
      <c r="W316" s="197"/>
      <c r="X316" s="197"/>
      <c r="AC316" s="197"/>
      <c r="AD316" s="197"/>
      <c r="AE316" s="197"/>
    </row>
    <row r="317" customFormat="false" ht="12" hidden="false" customHeight="false" outlineLevel="0" collapsed="false">
      <c r="B317" s="130"/>
      <c r="C317" s="130"/>
      <c r="D317" s="130"/>
      <c r="E317" s="130"/>
      <c r="F317" s="130"/>
      <c r="G317" s="130"/>
      <c r="H317" s="130"/>
      <c r="I317" s="130"/>
      <c r="J317" s="130"/>
      <c r="K317" s="130"/>
      <c r="L317" s="130"/>
      <c r="M317" s="130"/>
      <c r="N317" s="130"/>
      <c r="O317" s="197"/>
      <c r="P317" s="197"/>
      <c r="Q317" s="197"/>
      <c r="R317" s="197"/>
      <c r="S317" s="197"/>
      <c r="T317" s="197"/>
      <c r="U317" s="197"/>
      <c r="V317" s="197"/>
      <c r="W317" s="197"/>
      <c r="X317" s="197"/>
      <c r="AC317" s="197"/>
      <c r="AD317" s="197"/>
      <c r="AE317" s="197"/>
    </row>
    <row r="318" customFormat="false" ht="12" hidden="false" customHeight="false" outlineLevel="0" collapsed="false">
      <c r="B318" s="130"/>
      <c r="C318" s="130"/>
      <c r="D318" s="130"/>
      <c r="E318" s="130"/>
      <c r="F318" s="130"/>
      <c r="G318" s="130"/>
      <c r="H318" s="130"/>
      <c r="I318" s="130"/>
      <c r="J318" s="130"/>
      <c r="K318" s="130"/>
      <c r="L318" s="130"/>
      <c r="M318" s="130"/>
      <c r="N318" s="130"/>
      <c r="O318" s="197"/>
      <c r="P318" s="197"/>
      <c r="Q318" s="197"/>
      <c r="R318" s="197"/>
      <c r="S318" s="197"/>
      <c r="T318" s="197"/>
      <c r="U318" s="197"/>
      <c r="V318" s="197"/>
      <c r="W318" s="197"/>
      <c r="X318" s="197"/>
      <c r="AC318" s="197"/>
      <c r="AD318" s="197"/>
      <c r="AE318" s="197"/>
    </row>
    <row r="319" customFormat="false" ht="12" hidden="false" customHeight="false" outlineLevel="0" collapsed="false">
      <c r="B319" s="130"/>
      <c r="C319" s="130"/>
      <c r="D319" s="130"/>
      <c r="E319" s="130"/>
      <c r="F319" s="130"/>
      <c r="G319" s="130"/>
      <c r="H319" s="130"/>
      <c r="I319" s="130"/>
      <c r="J319" s="130"/>
      <c r="K319" s="130"/>
      <c r="L319" s="130"/>
      <c r="M319" s="130"/>
      <c r="N319" s="130"/>
      <c r="O319" s="197"/>
      <c r="P319" s="197"/>
      <c r="Q319" s="197"/>
      <c r="R319" s="197"/>
      <c r="S319" s="197"/>
      <c r="T319" s="197"/>
      <c r="U319" s="197"/>
      <c r="V319" s="197"/>
      <c r="W319" s="197"/>
      <c r="X319" s="197"/>
      <c r="AC319" s="197"/>
      <c r="AD319" s="197"/>
      <c r="AE319" s="197"/>
    </row>
    <row r="320" customFormat="false" ht="12" hidden="false" customHeight="false" outlineLevel="0" collapsed="false">
      <c r="B320" s="130"/>
      <c r="C320" s="130"/>
      <c r="D320" s="130"/>
      <c r="E320" s="130"/>
      <c r="F320" s="130"/>
      <c r="G320" s="130"/>
      <c r="H320" s="130"/>
      <c r="I320" s="130"/>
      <c r="J320" s="130"/>
      <c r="K320" s="130"/>
      <c r="L320" s="130"/>
      <c r="M320" s="130"/>
      <c r="N320" s="130"/>
      <c r="O320" s="197"/>
      <c r="P320" s="197"/>
      <c r="Q320" s="197"/>
      <c r="R320" s="197"/>
      <c r="S320" s="197"/>
      <c r="T320" s="197"/>
      <c r="U320" s="197"/>
      <c r="V320" s="197"/>
      <c r="W320" s="197"/>
      <c r="X320" s="197"/>
      <c r="AC320" s="197"/>
      <c r="AD320" s="197"/>
      <c r="AE320" s="197"/>
    </row>
    <row r="321" customFormat="false" ht="12" hidden="false" customHeight="false" outlineLevel="0" collapsed="false">
      <c r="B321" s="130"/>
      <c r="C321" s="130"/>
      <c r="D321" s="130"/>
      <c r="E321" s="130"/>
      <c r="F321" s="130"/>
      <c r="G321" s="130"/>
      <c r="H321" s="130"/>
      <c r="I321" s="130"/>
      <c r="J321" s="130"/>
      <c r="K321" s="130"/>
      <c r="L321" s="130"/>
      <c r="M321" s="130"/>
      <c r="N321" s="130"/>
      <c r="O321" s="197"/>
      <c r="P321" s="197"/>
      <c r="Q321" s="197"/>
      <c r="R321" s="197"/>
      <c r="S321" s="197"/>
      <c r="T321" s="197"/>
      <c r="U321" s="197"/>
      <c r="V321" s="197"/>
      <c r="W321" s="197"/>
      <c r="X321" s="197"/>
      <c r="AC321" s="197"/>
      <c r="AD321" s="197"/>
      <c r="AE321" s="197"/>
    </row>
    <row r="322" customFormat="false" ht="12" hidden="false" customHeight="false" outlineLevel="0" collapsed="false">
      <c r="B322" s="130"/>
      <c r="C322" s="130"/>
      <c r="D322" s="130"/>
      <c r="E322" s="130"/>
      <c r="F322" s="130"/>
      <c r="G322" s="130"/>
      <c r="H322" s="130"/>
      <c r="I322" s="130"/>
      <c r="J322" s="130"/>
      <c r="K322" s="130"/>
      <c r="L322" s="130"/>
      <c r="M322" s="130"/>
      <c r="N322" s="130"/>
      <c r="O322" s="197"/>
      <c r="P322" s="197"/>
      <c r="Q322" s="197"/>
      <c r="R322" s="197"/>
      <c r="S322" s="197"/>
      <c r="T322" s="197"/>
      <c r="U322" s="197"/>
      <c r="V322" s="197"/>
      <c r="W322" s="197"/>
      <c r="X322" s="197"/>
      <c r="AC322" s="197"/>
      <c r="AD322" s="197"/>
      <c r="AE322" s="197"/>
    </row>
    <row r="323" customFormat="false" ht="12" hidden="false" customHeight="false" outlineLevel="0" collapsed="false">
      <c r="B323" s="130"/>
      <c r="C323" s="130"/>
      <c r="D323" s="130"/>
      <c r="E323" s="130"/>
      <c r="F323" s="130"/>
      <c r="G323" s="130"/>
      <c r="H323" s="130"/>
      <c r="I323" s="130"/>
      <c r="J323" s="130"/>
      <c r="K323" s="130"/>
      <c r="L323" s="130"/>
      <c r="M323" s="130"/>
      <c r="N323" s="130"/>
      <c r="O323" s="197"/>
      <c r="P323" s="197"/>
      <c r="Q323" s="197"/>
      <c r="R323" s="197"/>
      <c r="S323" s="197"/>
      <c r="T323" s="197"/>
      <c r="U323" s="197"/>
      <c r="V323" s="197"/>
      <c r="W323" s="197"/>
      <c r="X323" s="197"/>
      <c r="AC323" s="197"/>
      <c r="AD323" s="197"/>
      <c r="AE323" s="197"/>
    </row>
    <row r="324" customFormat="false" ht="12" hidden="false" customHeight="false" outlineLevel="0" collapsed="false">
      <c r="B324" s="130"/>
      <c r="C324" s="130"/>
      <c r="D324" s="130"/>
      <c r="E324" s="130"/>
      <c r="F324" s="130"/>
      <c r="G324" s="130"/>
      <c r="H324" s="130"/>
      <c r="I324" s="130"/>
      <c r="J324" s="130"/>
      <c r="K324" s="130"/>
      <c r="L324" s="130"/>
      <c r="M324" s="130"/>
      <c r="N324" s="130"/>
      <c r="O324" s="197"/>
      <c r="P324" s="197"/>
      <c r="Q324" s="197"/>
      <c r="R324" s="197"/>
      <c r="S324" s="197"/>
      <c r="T324" s="197"/>
      <c r="U324" s="197"/>
      <c r="V324" s="197"/>
      <c r="W324" s="197"/>
      <c r="X324" s="197"/>
      <c r="AC324" s="197"/>
      <c r="AD324" s="197"/>
      <c r="AE324" s="197"/>
    </row>
    <row r="325" customFormat="false" ht="12" hidden="false" customHeight="false" outlineLevel="0" collapsed="false">
      <c r="B325" s="130"/>
      <c r="C325" s="130"/>
      <c r="D325" s="130"/>
      <c r="E325" s="130"/>
      <c r="F325" s="130"/>
      <c r="G325" s="130"/>
      <c r="H325" s="130"/>
      <c r="I325" s="130"/>
      <c r="J325" s="130"/>
      <c r="K325" s="130"/>
      <c r="L325" s="130"/>
      <c r="M325" s="130"/>
      <c r="N325" s="130"/>
      <c r="O325" s="197"/>
      <c r="P325" s="197"/>
      <c r="Q325" s="197"/>
      <c r="R325" s="197"/>
      <c r="S325" s="197"/>
      <c r="T325" s="197"/>
      <c r="U325" s="197"/>
      <c r="V325" s="197"/>
      <c r="W325" s="197"/>
      <c r="X325" s="197"/>
      <c r="AC325" s="197"/>
      <c r="AD325" s="197"/>
      <c r="AE325" s="197"/>
    </row>
    <row r="326" customFormat="false" ht="12" hidden="false" customHeight="false" outlineLevel="0" collapsed="false">
      <c r="B326" s="130"/>
      <c r="C326" s="130"/>
      <c r="D326" s="130"/>
      <c r="E326" s="130"/>
      <c r="F326" s="130"/>
      <c r="G326" s="130"/>
      <c r="H326" s="130"/>
      <c r="I326" s="130"/>
      <c r="J326" s="130"/>
      <c r="K326" s="130"/>
      <c r="L326" s="130"/>
      <c r="M326" s="130"/>
      <c r="N326" s="130"/>
      <c r="O326" s="197"/>
      <c r="P326" s="197"/>
      <c r="Q326" s="197"/>
      <c r="R326" s="197"/>
      <c r="S326" s="197"/>
      <c r="T326" s="197"/>
      <c r="U326" s="197"/>
      <c r="V326" s="197"/>
      <c r="W326" s="197"/>
      <c r="X326" s="197"/>
      <c r="AC326" s="197"/>
      <c r="AD326" s="197"/>
      <c r="AE326" s="197"/>
    </row>
    <row r="327" customFormat="false" ht="12" hidden="false" customHeight="false" outlineLevel="0" collapsed="false">
      <c r="B327" s="130"/>
      <c r="C327" s="130"/>
      <c r="D327" s="130"/>
      <c r="E327" s="130"/>
      <c r="F327" s="130"/>
      <c r="G327" s="130"/>
      <c r="H327" s="130"/>
      <c r="I327" s="130"/>
      <c r="J327" s="130"/>
      <c r="K327" s="130"/>
      <c r="L327" s="130"/>
      <c r="M327" s="130"/>
      <c r="N327" s="130"/>
      <c r="O327" s="197"/>
      <c r="P327" s="197"/>
      <c r="Q327" s="197"/>
      <c r="R327" s="197"/>
      <c r="S327" s="197"/>
      <c r="T327" s="197"/>
      <c r="U327" s="197"/>
      <c r="V327" s="197"/>
      <c r="W327" s="197"/>
      <c r="X327" s="197"/>
      <c r="AC327" s="197"/>
      <c r="AD327" s="197"/>
      <c r="AE327" s="197"/>
    </row>
    <row r="328" customFormat="false" ht="12" hidden="false" customHeight="false" outlineLevel="0" collapsed="false">
      <c r="B328" s="130"/>
      <c r="C328" s="130"/>
      <c r="D328" s="130"/>
      <c r="E328" s="130"/>
      <c r="F328" s="130"/>
      <c r="G328" s="130"/>
      <c r="H328" s="130"/>
      <c r="I328" s="130"/>
      <c r="J328" s="130"/>
      <c r="K328" s="130"/>
      <c r="L328" s="130"/>
      <c r="M328" s="130"/>
      <c r="N328" s="130"/>
      <c r="O328" s="197"/>
      <c r="P328" s="197"/>
      <c r="Q328" s="197"/>
      <c r="R328" s="197"/>
      <c r="S328" s="197"/>
      <c r="T328" s="197"/>
      <c r="U328" s="197"/>
      <c r="V328" s="197"/>
      <c r="W328" s="197"/>
      <c r="X328" s="197"/>
      <c r="AC328" s="197"/>
      <c r="AD328" s="197"/>
      <c r="AE328" s="197"/>
    </row>
    <row r="329" customFormat="false" ht="12" hidden="false" customHeight="false" outlineLevel="0" collapsed="false">
      <c r="B329" s="130"/>
      <c r="C329" s="130"/>
      <c r="D329" s="130"/>
      <c r="E329" s="130"/>
      <c r="F329" s="130"/>
      <c r="G329" s="130"/>
      <c r="H329" s="130"/>
      <c r="I329" s="130"/>
      <c r="J329" s="130"/>
      <c r="K329" s="130"/>
      <c r="L329" s="130"/>
      <c r="M329" s="130"/>
      <c r="N329" s="130"/>
      <c r="O329" s="197"/>
      <c r="P329" s="197"/>
      <c r="Q329" s="197"/>
      <c r="R329" s="197"/>
      <c r="S329" s="197"/>
      <c r="T329" s="197"/>
      <c r="U329" s="197"/>
      <c r="V329" s="197"/>
      <c r="W329" s="197"/>
      <c r="X329" s="197"/>
      <c r="AC329" s="197"/>
      <c r="AD329" s="197"/>
      <c r="AE329" s="197"/>
    </row>
    <row r="330" customFormat="false" ht="12" hidden="false" customHeight="false" outlineLevel="0" collapsed="false">
      <c r="B330" s="130"/>
      <c r="C330" s="130"/>
      <c r="D330" s="130"/>
      <c r="E330" s="130"/>
      <c r="F330" s="130"/>
      <c r="G330" s="130"/>
      <c r="H330" s="130"/>
      <c r="I330" s="130"/>
      <c r="J330" s="130"/>
      <c r="K330" s="130"/>
      <c r="L330" s="130"/>
      <c r="M330" s="130"/>
      <c r="N330" s="130"/>
      <c r="O330" s="197"/>
      <c r="P330" s="197"/>
      <c r="Q330" s="197"/>
      <c r="R330" s="197"/>
      <c r="S330" s="197"/>
      <c r="T330" s="197"/>
      <c r="U330" s="197"/>
      <c r="V330" s="197"/>
      <c r="W330" s="197"/>
      <c r="X330" s="197"/>
      <c r="AC330" s="197"/>
      <c r="AD330" s="197"/>
      <c r="AE330" s="197"/>
    </row>
    <row r="331" customFormat="false" ht="12" hidden="false" customHeight="false" outlineLevel="0" collapsed="false">
      <c r="B331" s="130"/>
      <c r="C331" s="130"/>
      <c r="D331" s="130"/>
      <c r="E331" s="130"/>
      <c r="F331" s="130"/>
      <c r="G331" s="130"/>
      <c r="H331" s="130"/>
      <c r="I331" s="130"/>
      <c r="J331" s="130"/>
      <c r="K331" s="130"/>
      <c r="L331" s="130"/>
      <c r="M331" s="130"/>
      <c r="N331" s="130"/>
      <c r="O331" s="197"/>
      <c r="P331" s="197"/>
      <c r="Q331" s="197"/>
      <c r="R331" s="197"/>
      <c r="S331" s="197"/>
      <c r="T331" s="197"/>
      <c r="U331" s="197"/>
      <c r="V331" s="197"/>
      <c r="W331" s="197"/>
      <c r="X331" s="197"/>
      <c r="AC331" s="197"/>
      <c r="AD331" s="197"/>
      <c r="AE331" s="197"/>
    </row>
    <row r="332" customFormat="false" ht="12" hidden="false" customHeight="false" outlineLevel="0" collapsed="false">
      <c r="B332" s="130"/>
      <c r="C332" s="130"/>
      <c r="D332" s="130"/>
      <c r="E332" s="130"/>
      <c r="F332" s="130"/>
      <c r="G332" s="130"/>
      <c r="H332" s="130"/>
      <c r="I332" s="130"/>
      <c r="J332" s="130"/>
      <c r="K332" s="130"/>
      <c r="L332" s="130"/>
      <c r="M332" s="130"/>
      <c r="N332" s="130"/>
      <c r="O332" s="197"/>
      <c r="P332" s="197"/>
      <c r="Q332" s="197"/>
      <c r="R332" s="197"/>
      <c r="S332" s="197"/>
      <c r="T332" s="197"/>
      <c r="U332" s="197"/>
      <c r="V332" s="197"/>
      <c r="W332" s="197"/>
      <c r="X332" s="197"/>
      <c r="AC332" s="197"/>
      <c r="AD332" s="197"/>
      <c r="AE332" s="197"/>
    </row>
    <row r="333" customFormat="false" ht="12" hidden="false" customHeight="false" outlineLevel="0" collapsed="false">
      <c r="B333" s="130"/>
      <c r="C333" s="130"/>
      <c r="D333" s="130"/>
      <c r="E333" s="130"/>
      <c r="F333" s="130"/>
      <c r="G333" s="130"/>
      <c r="H333" s="130"/>
      <c r="I333" s="130"/>
      <c r="J333" s="130"/>
      <c r="K333" s="130"/>
      <c r="L333" s="130"/>
      <c r="M333" s="130"/>
      <c r="N333" s="130"/>
      <c r="O333" s="197"/>
      <c r="P333" s="197"/>
      <c r="Q333" s="197"/>
      <c r="R333" s="197"/>
      <c r="S333" s="197"/>
      <c r="T333" s="197"/>
      <c r="U333" s="197"/>
      <c r="V333" s="197"/>
      <c r="W333" s="197"/>
      <c r="X333" s="197"/>
      <c r="AC333" s="197"/>
      <c r="AD333" s="197"/>
      <c r="AE333" s="197"/>
    </row>
    <row r="334" customFormat="false" ht="12" hidden="false" customHeight="false" outlineLevel="0" collapsed="false">
      <c r="B334" s="130"/>
      <c r="C334" s="130"/>
      <c r="D334" s="130"/>
      <c r="E334" s="130"/>
      <c r="F334" s="130"/>
      <c r="G334" s="130"/>
      <c r="H334" s="130"/>
      <c r="I334" s="130"/>
      <c r="J334" s="130"/>
      <c r="K334" s="130"/>
      <c r="L334" s="130"/>
      <c r="M334" s="130"/>
      <c r="N334" s="130"/>
      <c r="O334" s="197"/>
      <c r="P334" s="197"/>
      <c r="Q334" s="197"/>
      <c r="R334" s="197"/>
      <c r="S334" s="197"/>
      <c r="T334" s="197"/>
      <c r="U334" s="197"/>
      <c r="V334" s="197"/>
      <c r="W334" s="197"/>
      <c r="X334" s="197"/>
      <c r="AC334" s="197"/>
      <c r="AD334" s="197"/>
      <c r="AE334" s="197"/>
    </row>
    <row r="335" customFormat="false" ht="12" hidden="false" customHeight="false" outlineLevel="0" collapsed="false">
      <c r="B335" s="130"/>
      <c r="C335" s="130"/>
      <c r="D335" s="130"/>
      <c r="E335" s="130"/>
      <c r="F335" s="130"/>
      <c r="G335" s="130"/>
      <c r="H335" s="130"/>
      <c r="I335" s="130"/>
      <c r="J335" s="130"/>
      <c r="K335" s="130"/>
      <c r="L335" s="130"/>
      <c r="M335" s="130"/>
      <c r="N335" s="130"/>
      <c r="O335" s="197"/>
      <c r="P335" s="197"/>
      <c r="Q335" s="197"/>
      <c r="R335" s="197"/>
      <c r="S335" s="197"/>
      <c r="T335" s="197"/>
      <c r="U335" s="197"/>
      <c r="V335" s="197"/>
      <c r="W335" s="197"/>
      <c r="X335" s="197"/>
      <c r="AC335" s="197"/>
      <c r="AD335" s="197"/>
      <c r="AE335" s="197"/>
    </row>
    <row r="336" customFormat="false" ht="12" hidden="false" customHeight="false" outlineLevel="0" collapsed="false">
      <c r="B336" s="130"/>
      <c r="C336" s="130"/>
      <c r="D336" s="130"/>
      <c r="E336" s="130"/>
      <c r="F336" s="130"/>
      <c r="G336" s="130"/>
      <c r="H336" s="130"/>
      <c r="I336" s="130"/>
      <c r="J336" s="130"/>
      <c r="K336" s="130"/>
      <c r="L336" s="130"/>
      <c r="M336" s="130"/>
      <c r="N336" s="130"/>
      <c r="O336" s="197"/>
      <c r="P336" s="197"/>
      <c r="Q336" s="197"/>
      <c r="R336" s="197"/>
      <c r="S336" s="197"/>
      <c r="T336" s="197"/>
      <c r="U336" s="197"/>
      <c r="V336" s="197"/>
      <c r="W336" s="197"/>
      <c r="X336" s="197"/>
      <c r="AC336" s="197"/>
      <c r="AD336" s="197"/>
      <c r="AE336" s="197"/>
    </row>
    <row r="337" customFormat="false" ht="12" hidden="false" customHeight="false" outlineLevel="0" collapsed="false">
      <c r="B337" s="130"/>
      <c r="C337" s="130"/>
      <c r="D337" s="130"/>
      <c r="E337" s="130"/>
      <c r="F337" s="130"/>
      <c r="G337" s="130"/>
      <c r="H337" s="130"/>
      <c r="I337" s="130"/>
      <c r="J337" s="130"/>
      <c r="K337" s="130"/>
      <c r="L337" s="130"/>
      <c r="M337" s="130"/>
      <c r="N337" s="130"/>
      <c r="O337" s="197"/>
      <c r="P337" s="197"/>
      <c r="Q337" s="197"/>
      <c r="R337" s="197"/>
      <c r="S337" s="197"/>
      <c r="T337" s="197"/>
      <c r="U337" s="197"/>
      <c r="V337" s="197"/>
      <c r="W337" s="197"/>
      <c r="X337" s="197"/>
      <c r="AC337" s="197"/>
      <c r="AD337" s="197"/>
      <c r="AE337" s="197"/>
    </row>
    <row r="338" customFormat="false" ht="12" hidden="false" customHeight="false" outlineLevel="0" collapsed="false">
      <c r="B338" s="130"/>
      <c r="C338" s="130"/>
      <c r="D338" s="130"/>
      <c r="E338" s="130"/>
      <c r="F338" s="130"/>
      <c r="G338" s="130"/>
      <c r="H338" s="130"/>
      <c r="I338" s="130"/>
      <c r="J338" s="130"/>
      <c r="K338" s="130"/>
      <c r="L338" s="130"/>
      <c r="M338" s="130"/>
      <c r="N338" s="130"/>
      <c r="O338" s="197"/>
      <c r="P338" s="197"/>
      <c r="Q338" s="197"/>
      <c r="R338" s="197"/>
      <c r="S338" s="197"/>
      <c r="T338" s="197"/>
      <c r="U338" s="197"/>
      <c r="V338" s="197"/>
      <c r="W338" s="197"/>
      <c r="X338" s="197"/>
      <c r="AC338" s="197"/>
      <c r="AD338" s="197"/>
      <c r="AE338" s="197"/>
    </row>
    <row r="339" customFormat="false" ht="12" hidden="false" customHeight="false" outlineLevel="0" collapsed="false">
      <c r="B339" s="130"/>
      <c r="C339" s="130"/>
      <c r="D339" s="130"/>
      <c r="E339" s="130"/>
      <c r="F339" s="130"/>
      <c r="G339" s="130"/>
      <c r="H339" s="130"/>
      <c r="I339" s="130"/>
      <c r="J339" s="130"/>
      <c r="K339" s="130"/>
      <c r="L339" s="130"/>
      <c r="M339" s="130"/>
      <c r="N339" s="130"/>
      <c r="O339" s="197"/>
      <c r="P339" s="197"/>
      <c r="Q339" s="197"/>
      <c r="R339" s="197"/>
      <c r="S339" s="197"/>
      <c r="T339" s="197"/>
      <c r="U339" s="197"/>
      <c r="V339" s="197"/>
      <c r="W339" s="197"/>
      <c r="X339" s="197"/>
      <c r="AC339" s="197"/>
      <c r="AD339" s="197"/>
      <c r="AE339" s="197"/>
    </row>
    <row r="340" customFormat="false" ht="12" hidden="false" customHeight="false" outlineLevel="0" collapsed="false">
      <c r="B340" s="130"/>
      <c r="C340" s="130"/>
      <c r="D340" s="130"/>
      <c r="E340" s="130"/>
      <c r="F340" s="130"/>
      <c r="G340" s="130"/>
      <c r="H340" s="130"/>
      <c r="I340" s="130"/>
      <c r="J340" s="130"/>
      <c r="K340" s="130"/>
      <c r="L340" s="130"/>
      <c r="M340" s="130"/>
      <c r="N340" s="130"/>
      <c r="O340" s="197"/>
      <c r="P340" s="197"/>
      <c r="Q340" s="197"/>
      <c r="R340" s="197"/>
      <c r="S340" s="197"/>
      <c r="T340" s="197"/>
      <c r="U340" s="197"/>
      <c r="V340" s="197"/>
      <c r="W340" s="197"/>
      <c r="X340" s="197"/>
      <c r="AC340" s="197"/>
      <c r="AD340" s="197"/>
      <c r="AE340" s="197"/>
    </row>
    <row r="341" customFormat="false" ht="12" hidden="false" customHeight="false" outlineLevel="0" collapsed="false">
      <c r="B341" s="130"/>
      <c r="C341" s="130"/>
      <c r="D341" s="130"/>
      <c r="E341" s="130"/>
      <c r="F341" s="130"/>
      <c r="G341" s="130"/>
      <c r="H341" s="130"/>
      <c r="I341" s="130"/>
      <c r="J341" s="130"/>
      <c r="K341" s="130"/>
      <c r="L341" s="130"/>
      <c r="M341" s="130"/>
      <c r="N341" s="130"/>
      <c r="O341" s="197"/>
      <c r="P341" s="197"/>
      <c r="Q341" s="197"/>
      <c r="R341" s="197"/>
      <c r="S341" s="197"/>
      <c r="T341" s="197"/>
      <c r="U341" s="197"/>
      <c r="V341" s="197"/>
      <c r="W341" s="197"/>
      <c r="X341" s="197"/>
      <c r="AC341" s="197"/>
      <c r="AD341" s="197"/>
      <c r="AE341" s="197"/>
    </row>
    <row r="342" customFormat="false" ht="12" hidden="false" customHeight="false" outlineLevel="0" collapsed="false">
      <c r="B342" s="130"/>
      <c r="C342" s="130"/>
      <c r="D342" s="130"/>
      <c r="E342" s="130"/>
      <c r="F342" s="130"/>
      <c r="G342" s="130"/>
      <c r="H342" s="130"/>
      <c r="I342" s="130"/>
      <c r="J342" s="130"/>
      <c r="K342" s="130"/>
      <c r="L342" s="130"/>
      <c r="M342" s="130"/>
      <c r="N342" s="130"/>
      <c r="O342" s="197"/>
      <c r="P342" s="197"/>
      <c r="Q342" s="197"/>
      <c r="R342" s="197"/>
      <c r="S342" s="197"/>
      <c r="T342" s="197"/>
      <c r="U342" s="197"/>
      <c r="V342" s="197"/>
      <c r="W342" s="197"/>
      <c r="X342" s="197"/>
      <c r="AC342" s="197"/>
      <c r="AD342" s="197"/>
      <c r="AE342" s="197"/>
    </row>
    <row r="343" customFormat="false" ht="12" hidden="false" customHeight="false" outlineLevel="0" collapsed="false">
      <c r="B343" s="130"/>
      <c r="C343" s="130"/>
      <c r="D343" s="130"/>
      <c r="E343" s="130"/>
      <c r="F343" s="130"/>
      <c r="G343" s="130"/>
      <c r="H343" s="130"/>
      <c r="I343" s="130"/>
      <c r="J343" s="130"/>
      <c r="K343" s="130"/>
      <c r="L343" s="130"/>
      <c r="M343" s="130"/>
      <c r="N343" s="130"/>
      <c r="O343" s="197"/>
      <c r="P343" s="197"/>
      <c r="Q343" s="197"/>
      <c r="R343" s="197"/>
      <c r="S343" s="197"/>
      <c r="T343" s="197"/>
      <c r="U343" s="197"/>
      <c r="V343" s="197"/>
      <c r="W343" s="197"/>
      <c r="X343" s="197"/>
      <c r="AC343" s="197"/>
      <c r="AD343" s="197"/>
      <c r="AE343" s="197"/>
    </row>
    <row r="344" customFormat="false" ht="12" hidden="false" customHeight="false" outlineLevel="0" collapsed="false">
      <c r="B344" s="130"/>
      <c r="C344" s="130"/>
      <c r="D344" s="130"/>
      <c r="E344" s="130"/>
      <c r="F344" s="130"/>
      <c r="G344" s="130"/>
      <c r="H344" s="130"/>
      <c r="I344" s="130"/>
      <c r="J344" s="130"/>
      <c r="K344" s="130"/>
      <c r="L344" s="130"/>
      <c r="M344" s="130"/>
      <c r="N344" s="130"/>
      <c r="O344" s="197"/>
      <c r="P344" s="197"/>
      <c r="Q344" s="197"/>
      <c r="R344" s="197"/>
      <c r="S344" s="197"/>
      <c r="T344" s="197"/>
      <c r="U344" s="197"/>
      <c r="V344" s="197"/>
      <c r="W344" s="197"/>
      <c r="X344" s="197"/>
      <c r="AC344" s="197"/>
      <c r="AD344" s="197"/>
      <c r="AE344" s="197"/>
    </row>
    <row r="345" customFormat="false" ht="12" hidden="false" customHeight="false" outlineLevel="0" collapsed="false">
      <c r="B345" s="130"/>
      <c r="C345" s="130"/>
      <c r="D345" s="130"/>
      <c r="E345" s="130"/>
      <c r="F345" s="130"/>
      <c r="G345" s="130"/>
      <c r="H345" s="130"/>
      <c r="I345" s="130"/>
      <c r="J345" s="130"/>
      <c r="K345" s="130"/>
      <c r="L345" s="130"/>
      <c r="M345" s="130"/>
      <c r="N345" s="130"/>
      <c r="O345" s="197"/>
      <c r="P345" s="197"/>
      <c r="Q345" s="197"/>
      <c r="R345" s="197"/>
      <c r="S345" s="197"/>
      <c r="T345" s="197"/>
      <c r="U345" s="197"/>
      <c r="V345" s="197"/>
      <c r="W345" s="197"/>
      <c r="X345" s="197"/>
      <c r="AC345" s="197"/>
      <c r="AD345" s="197"/>
      <c r="AE345" s="197"/>
    </row>
    <row r="346" customFormat="false" ht="12" hidden="false" customHeight="false" outlineLevel="0" collapsed="false">
      <c r="B346" s="130"/>
      <c r="C346" s="130"/>
      <c r="D346" s="130"/>
      <c r="E346" s="130"/>
      <c r="F346" s="130"/>
      <c r="G346" s="130"/>
      <c r="H346" s="130"/>
      <c r="I346" s="130"/>
      <c r="J346" s="130"/>
      <c r="K346" s="130"/>
      <c r="L346" s="130"/>
      <c r="M346" s="130"/>
      <c r="N346" s="130"/>
      <c r="O346" s="197"/>
      <c r="P346" s="197"/>
      <c r="Q346" s="197"/>
      <c r="R346" s="197"/>
      <c r="S346" s="197"/>
      <c r="T346" s="197"/>
      <c r="U346" s="197"/>
      <c r="V346" s="197"/>
      <c r="W346" s="197"/>
      <c r="X346" s="197"/>
      <c r="AC346" s="197"/>
      <c r="AD346" s="197"/>
      <c r="AE346" s="197"/>
    </row>
    <row r="347" customFormat="false" ht="12" hidden="false" customHeight="false" outlineLevel="0" collapsed="false">
      <c r="B347" s="130"/>
      <c r="C347" s="130"/>
      <c r="D347" s="130"/>
      <c r="E347" s="130"/>
      <c r="F347" s="130"/>
      <c r="G347" s="130"/>
      <c r="H347" s="130"/>
      <c r="I347" s="130"/>
      <c r="J347" s="130"/>
      <c r="K347" s="130"/>
      <c r="L347" s="130"/>
      <c r="M347" s="130"/>
      <c r="N347" s="130"/>
      <c r="O347" s="197"/>
      <c r="P347" s="197"/>
      <c r="Q347" s="197"/>
      <c r="R347" s="197"/>
      <c r="S347" s="197"/>
      <c r="T347" s="197"/>
      <c r="U347" s="197"/>
      <c r="V347" s="197"/>
      <c r="W347" s="197"/>
      <c r="X347" s="197"/>
      <c r="AC347" s="197"/>
      <c r="AD347" s="197"/>
      <c r="AE347" s="197"/>
    </row>
    <row r="348" customFormat="false" ht="12" hidden="false" customHeight="false" outlineLevel="0" collapsed="false">
      <c r="B348" s="130"/>
      <c r="C348" s="130"/>
      <c r="D348" s="130"/>
      <c r="E348" s="130"/>
      <c r="F348" s="130"/>
      <c r="G348" s="130"/>
      <c r="H348" s="130"/>
      <c r="I348" s="130"/>
      <c r="J348" s="130"/>
      <c r="K348" s="130"/>
      <c r="L348" s="130"/>
      <c r="M348" s="130"/>
      <c r="N348" s="130"/>
      <c r="O348" s="197"/>
      <c r="P348" s="197"/>
      <c r="Q348" s="197"/>
      <c r="R348" s="197"/>
      <c r="S348" s="197"/>
      <c r="T348" s="197"/>
      <c r="U348" s="197"/>
      <c r="V348" s="197"/>
      <c r="W348" s="197"/>
      <c r="X348" s="197"/>
      <c r="AC348" s="197"/>
      <c r="AD348" s="197"/>
      <c r="AE348" s="197"/>
    </row>
    <row r="349" customFormat="false" ht="12" hidden="false" customHeight="false" outlineLevel="0" collapsed="false">
      <c r="B349" s="130"/>
      <c r="C349" s="130"/>
      <c r="D349" s="130"/>
      <c r="E349" s="130"/>
      <c r="F349" s="130"/>
      <c r="G349" s="130"/>
      <c r="H349" s="130"/>
      <c r="I349" s="130"/>
      <c r="J349" s="130"/>
      <c r="K349" s="130"/>
      <c r="L349" s="130"/>
      <c r="M349" s="130"/>
      <c r="N349" s="130"/>
      <c r="O349" s="197"/>
      <c r="P349" s="197"/>
      <c r="Q349" s="197"/>
      <c r="R349" s="197"/>
      <c r="S349" s="197"/>
      <c r="T349" s="197"/>
      <c r="U349" s="197"/>
      <c r="V349" s="197"/>
      <c r="W349" s="197"/>
      <c r="X349" s="197"/>
      <c r="AC349" s="197"/>
      <c r="AD349" s="197"/>
      <c r="AE349" s="197"/>
    </row>
    <row r="350" customFormat="false" ht="12" hidden="false" customHeight="false" outlineLevel="0" collapsed="false">
      <c r="B350" s="130"/>
      <c r="C350" s="130"/>
      <c r="D350" s="130"/>
      <c r="E350" s="130"/>
      <c r="F350" s="130"/>
      <c r="G350" s="130"/>
      <c r="H350" s="130"/>
      <c r="I350" s="130"/>
      <c r="J350" s="130"/>
      <c r="K350" s="130"/>
      <c r="L350" s="130"/>
      <c r="M350" s="130"/>
      <c r="N350" s="130"/>
      <c r="O350" s="197"/>
      <c r="P350" s="197"/>
      <c r="Q350" s="197"/>
      <c r="R350" s="197"/>
      <c r="S350" s="197"/>
      <c r="T350" s="197"/>
      <c r="U350" s="197"/>
      <c r="V350" s="197"/>
      <c r="W350" s="197"/>
      <c r="X350" s="197"/>
      <c r="AC350" s="197"/>
      <c r="AD350" s="197"/>
      <c r="AE350" s="197"/>
    </row>
    <row r="351" customFormat="false" ht="12" hidden="false" customHeight="false" outlineLevel="0" collapsed="false">
      <c r="B351" s="130"/>
      <c r="C351" s="130"/>
      <c r="D351" s="130"/>
      <c r="E351" s="130"/>
      <c r="F351" s="130"/>
      <c r="G351" s="130"/>
      <c r="H351" s="130"/>
      <c r="I351" s="130"/>
      <c r="J351" s="130"/>
      <c r="K351" s="130"/>
      <c r="L351" s="130"/>
      <c r="M351" s="130"/>
      <c r="N351" s="130"/>
      <c r="O351" s="197"/>
      <c r="P351" s="197"/>
      <c r="Q351" s="197"/>
      <c r="R351" s="197"/>
      <c r="S351" s="197"/>
      <c r="T351" s="197"/>
      <c r="U351" s="197"/>
      <c r="V351" s="197"/>
      <c r="W351" s="197"/>
      <c r="X351" s="197"/>
      <c r="AC351" s="197"/>
      <c r="AD351" s="197"/>
      <c r="AE351" s="197"/>
    </row>
    <row r="352" customFormat="false" ht="12" hidden="false" customHeight="false" outlineLevel="0" collapsed="false">
      <c r="B352" s="130"/>
      <c r="C352" s="130"/>
      <c r="D352" s="130"/>
      <c r="E352" s="130"/>
      <c r="F352" s="130"/>
      <c r="G352" s="130"/>
      <c r="H352" s="130"/>
      <c r="I352" s="130"/>
      <c r="J352" s="130"/>
      <c r="K352" s="130"/>
      <c r="L352" s="130"/>
      <c r="M352" s="130"/>
      <c r="N352" s="130"/>
      <c r="O352" s="197"/>
      <c r="P352" s="197"/>
      <c r="Q352" s="197"/>
      <c r="R352" s="197"/>
      <c r="S352" s="197"/>
      <c r="T352" s="197"/>
      <c r="U352" s="197"/>
      <c r="V352" s="197"/>
      <c r="W352" s="197"/>
      <c r="X352" s="197"/>
      <c r="AC352" s="197"/>
      <c r="AD352" s="197"/>
      <c r="AE352" s="197"/>
    </row>
    <row r="353" customFormat="false" ht="12" hidden="false" customHeight="false" outlineLevel="0" collapsed="false">
      <c r="B353" s="130"/>
      <c r="C353" s="130"/>
      <c r="D353" s="130"/>
      <c r="E353" s="130"/>
      <c r="F353" s="130"/>
      <c r="G353" s="130"/>
      <c r="H353" s="130"/>
      <c r="I353" s="130"/>
      <c r="J353" s="130"/>
      <c r="K353" s="130"/>
      <c r="L353" s="130"/>
      <c r="M353" s="130"/>
      <c r="N353" s="130"/>
      <c r="O353" s="197"/>
      <c r="P353" s="197"/>
      <c r="Q353" s="197"/>
      <c r="R353" s="197"/>
      <c r="S353" s="197"/>
      <c r="T353" s="197"/>
      <c r="U353" s="197"/>
      <c r="V353" s="197"/>
      <c r="W353" s="197"/>
      <c r="X353" s="197"/>
      <c r="AC353" s="197"/>
      <c r="AD353" s="197"/>
      <c r="AE353" s="197"/>
    </row>
    <row r="354" customFormat="false" ht="12" hidden="false" customHeight="false" outlineLevel="0" collapsed="false">
      <c r="B354" s="130"/>
      <c r="C354" s="130"/>
      <c r="D354" s="130"/>
      <c r="E354" s="130"/>
      <c r="F354" s="130"/>
      <c r="G354" s="130"/>
      <c r="H354" s="130"/>
      <c r="I354" s="130"/>
      <c r="J354" s="130"/>
      <c r="K354" s="130"/>
      <c r="L354" s="130"/>
      <c r="M354" s="130"/>
      <c r="N354" s="130"/>
      <c r="O354" s="197"/>
      <c r="P354" s="197"/>
      <c r="Q354" s="197"/>
      <c r="R354" s="197"/>
      <c r="S354" s="197"/>
      <c r="T354" s="197"/>
      <c r="U354" s="197"/>
      <c r="V354" s="197"/>
      <c r="W354" s="197"/>
      <c r="X354" s="197"/>
      <c r="AC354" s="197"/>
      <c r="AD354" s="197"/>
      <c r="AE354" s="197"/>
    </row>
    <row r="355" customFormat="false" ht="12" hidden="false" customHeight="false" outlineLevel="0" collapsed="false">
      <c r="B355" s="130"/>
      <c r="C355" s="130"/>
      <c r="D355" s="130"/>
      <c r="E355" s="130"/>
      <c r="F355" s="130"/>
      <c r="G355" s="130"/>
      <c r="H355" s="130"/>
      <c r="I355" s="130"/>
      <c r="J355" s="130"/>
      <c r="K355" s="130"/>
      <c r="L355" s="130"/>
      <c r="M355" s="130"/>
      <c r="N355" s="130"/>
      <c r="O355" s="197"/>
      <c r="P355" s="197"/>
      <c r="Q355" s="197"/>
      <c r="R355" s="197"/>
      <c r="S355" s="197"/>
      <c r="T355" s="197"/>
      <c r="U355" s="197"/>
      <c r="V355" s="197"/>
      <c r="W355" s="197"/>
      <c r="X355" s="197"/>
      <c r="AC355" s="197"/>
      <c r="AD355" s="197"/>
      <c r="AE355" s="197"/>
    </row>
    <row r="356" customFormat="false" ht="12" hidden="false" customHeight="false" outlineLevel="0" collapsed="false">
      <c r="B356" s="130"/>
      <c r="C356" s="130"/>
      <c r="D356" s="130"/>
      <c r="E356" s="130"/>
      <c r="F356" s="130"/>
      <c r="G356" s="130"/>
      <c r="H356" s="130"/>
      <c r="I356" s="130"/>
      <c r="J356" s="130"/>
      <c r="K356" s="130"/>
      <c r="L356" s="130"/>
      <c r="M356" s="130"/>
      <c r="N356" s="130"/>
      <c r="O356" s="197"/>
      <c r="P356" s="197"/>
      <c r="Q356" s="197"/>
      <c r="R356" s="197"/>
      <c r="S356" s="197"/>
      <c r="T356" s="197"/>
      <c r="U356" s="197"/>
      <c r="V356" s="197"/>
      <c r="W356" s="197"/>
      <c r="X356" s="197"/>
      <c r="AC356" s="197"/>
      <c r="AD356" s="197"/>
      <c r="AE356" s="197"/>
    </row>
    <row r="357" customFormat="false" ht="12" hidden="false" customHeight="false" outlineLevel="0" collapsed="false">
      <c r="B357" s="130"/>
      <c r="C357" s="130"/>
      <c r="D357" s="130"/>
      <c r="E357" s="130"/>
      <c r="F357" s="130"/>
      <c r="G357" s="130"/>
      <c r="H357" s="130"/>
      <c r="I357" s="130"/>
      <c r="J357" s="130"/>
      <c r="K357" s="130"/>
      <c r="L357" s="130"/>
      <c r="M357" s="130"/>
      <c r="N357" s="130"/>
      <c r="O357" s="197"/>
      <c r="P357" s="197"/>
      <c r="Q357" s="197"/>
      <c r="R357" s="197"/>
      <c r="S357" s="197"/>
      <c r="T357" s="197"/>
      <c r="U357" s="197"/>
      <c r="V357" s="197"/>
      <c r="W357" s="197"/>
      <c r="X357" s="197"/>
      <c r="AC357" s="197"/>
      <c r="AD357" s="197"/>
      <c r="AE357" s="197"/>
    </row>
    <row r="358" customFormat="false" ht="12" hidden="false" customHeight="false" outlineLevel="0" collapsed="false">
      <c r="B358" s="130"/>
      <c r="C358" s="130"/>
      <c r="D358" s="130"/>
      <c r="E358" s="130"/>
      <c r="F358" s="130"/>
      <c r="G358" s="130"/>
      <c r="H358" s="130"/>
      <c r="I358" s="130"/>
      <c r="J358" s="130"/>
      <c r="K358" s="130"/>
      <c r="L358" s="130"/>
      <c r="M358" s="130"/>
      <c r="N358" s="130"/>
      <c r="O358" s="197"/>
      <c r="P358" s="197"/>
      <c r="Q358" s="197"/>
      <c r="R358" s="197"/>
      <c r="S358" s="197"/>
      <c r="T358" s="197"/>
      <c r="U358" s="197"/>
      <c r="V358" s="197"/>
      <c r="W358" s="197"/>
      <c r="X358" s="197"/>
      <c r="AC358" s="197"/>
      <c r="AD358" s="197"/>
      <c r="AE358" s="197"/>
    </row>
    <row r="359" customFormat="false" ht="12" hidden="false" customHeight="false" outlineLevel="0" collapsed="false">
      <c r="B359" s="130"/>
      <c r="C359" s="130"/>
      <c r="D359" s="130"/>
      <c r="E359" s="130"/>
      <c r="F359" s="130"/>
      <c r="G359" s="130"/>
      <c r="H359" s="130"/>
      <c r="I359" s="130"/>
      <c r="J359" s="130"/>
      <c r="K359" s="130"/>
      <c r="L359" s="130"/>
      <c r="M359" s="130"/>
      <c r="N359" s="130"/>
      <c r="O359" s="197"/>
      <c r="P359" s="197"/>
      <c r="Q359" s="197"/>
      <c r="R359" s="197"/>
      <c r="S359" s="197"/>
      <c r="T359" s="197"/>
      <c r="U359" s="197"/>
      <c r="V359" s="197"/>
      <c r="W359" s="197"/>
      <c r="X359" s="197"/>
      <c r="AC359" s="197"/>
      <c r="AD359" s="197"/>
      <c r="AE359" s="197"/>
    </row>
    <row r="360" customFormat="false" ht="12" hidden="false" customHeight="false" outlineLevel="0" collapsed="false">
      <c r="B360" s="130"/>
      <c r="C360" s="130"/>
      <c r="D360" s="130"/>
      <c r="E360" s="130"/>
      <c r="F360" s="130"/>
      <c r="G360" s="130"/>
      <c r="H360" s="130"/>
      <c r="I360" s="130"/>
      <c r="J360" s="130"/>
      <c r="K360" s="130"/>
      <c r="L360" s="130"/>
      <c r="M360" s="130"/>
      <c r="N360" s="130"/>
      <c r="O360" s="197"/>
      <c r="P360" s="197"/>
      <c r="Q360" s="197"/>
      <c r="R360" s="197"/>
      <c r="S360" s="197"/>
      <c r="T360" s="197"/>
      <c r="U360" s="197"/>
      <c r="V360" s="197"/>
      <c r="W360" s="197"/>
      <c r="X360" s="197"/>
      <c r="AC360" s="197"/>
      <c r="AD360" s="197"/>
      <c r="AE360" s="197"/>
    </row>
    <row r="361" customFormat="false" ht="12" hidden="false" customHeight="false" outlineLevel="0" collapsed="false">
      <c r="B361" s="130"/>
      <c r="C361" s="130"/>
      <c r="D361" s="130"/>
      <c r="E361" s="130"/>
      <c r="F361" s="130"/>
      <c r="G361" s="130"/>
      <c r="H361" s="130"/>
      <c r="I361" s="130"/>
      <c r="J361" s="130"/>
      <c r="K361" s="130"/>
      <c r="L361" s="130"/>
      <c r="M361" s="130"/>
      <c r="N361" s="130"/>
      <c r="O361" s="197"/>
      <c r="P361" s="197"/>
      <c r="Q361" s="197"/>
      <c r="R361" s="197"/>
      <c r="S361" s="197"/>
      <c r="T361" s="197"/>
      <c r="U361" s="197"/>
      <c r="V361" s="197"/>
      <c r="W361" s="197"/>
      <c r="X361" s="197"/>
      <c r="AC361" s="197"/>
      <c r="AD361" s="197"/>
      <c r="AE361" s="197"/>
    </row>
    <row r="362" customFormat="false" ht="12" hidden="false" customHeight="false" outlineLevel="0" collapsed="false">
      <c r="B362" s="130"/>
      <c r="C362" s="130"/>
      <c r="D362" s="130"/>
      <c r="E362" s="130"/>
      <c r="F362" s="130"/>
      <c r="G362" s="130"/>
      <c r="H362" s="130"/>
      <c r="I362" s="130"/>
      <c r="J362" s="130"/>
      <c r="K362" s="130"/>
      <c r="L362" s="130"/>
      <c r="M362" s="130"/>
      <c r="N362" s="130"/>
      <c r="O362" s="197"/>
      <c r="P362" s="197"/>
      <c r="Q362" s="197"/>
      <c r="R362" s="197"/>
      <c r="S362" s="197"/>
      <c r="T362" s="197"/>
      <c r="U362" s="197"/>
      <c r="V362" s="197"/>
      <c r="W362" s="197"/>
      <c r="X362" s="197"/>
      <c r="AC362" s="197"/>
      <c r="AD362" s="197"/>
      <c r="AE362" s="197"/>
    </row>
    <row r="363" customFormat="false" ht="12" hidden="false" customHeight="false" outlineLevel="0" collapsed="false">
      <c r="B363" s="130"/>
      <c r="C363" s="130"/>
      <c r="D363" s="130"/>
      <c r="E363" s="130"/>
      <c r="F363" s="130"/>
      <c r="G363" s="130"/>
      <c r="H363" s="130"/>
      <c r="I363" s="130"/>
      <c r="J363" s="130"/>
      <c r="K363" s="130"/>
      <c r="L363" s="130"/>
      <c r="M363" s="130"/>
      <c r="N363" s="130"/>
      <c r="O363" s="197"/>
      <c r="P363" s="197"/>
      <c r="Q363" s="197"/>
      <c r="R363" s="197"/>
      <c r="S363" s="197"/>
      <c r="T363" s="197"/>
      <c r="U363" s="197"/>
      <c r="V363" s="197"/>
      <c r="W363" s="197"/>
      <c r="X363" s="197"/>
      <c r="AC363" s="197"/>
      <c r="AD363" s="197"/>
      <c r="AE363" s="197"/>
    </row>
    <row r="364" customFormat="false" ht="12" hidden="false" customHeight="false" outlineLevel="0" collapsed="false">
      <c r="B364" s="130"/>
      <c r="C364" s="130"/>
      <c r="D364" s="130"/>
      <c r="E364" s="130"/>
      <c r="F364" s="130"/>
      <c r="G364" s="130"/>
      <c r="H364" s="130"/>
      <c r="I364" s="130"/>
      <c r="J364" s="130"/>
      <c r="K364" s="130"/>
      <c r="L364" s="130"/>
      <c r="M364" s="130"/>
      <c r="N364" s="130"/>
      <c r="O364" s="197"/>
      <c r="P364" s="197"/>
      <c r="Q364" s="197"/>
      <c r="R364" s="197"/>
      <c r="S364" s="197"/>
      <c r="T364" s="197"/>
      <c r="U364" s="197"/>
      <c r="V364" s="197"/>
      <c r="W364" s="197"/>
      <c r="X364" s="197"/>
      <c r="AC364" s="197"/>
      <c r="AD364" s="197"/>
      <c r="AE364" s="197"/>
    </row>
    <row r="365" customFormat="false" ht="12" hidden="false" customHeight="false" outlineLevel="0" collapsed="false">
      <c r="B365" s="130"/>
      <c r="C365" s="130"/>
      <c r="D365" s="130"/>
      <c r="E365" s="130"/>
      <c r="F365" s="130"/>
      <c r="G365" s="130"/>
      <c r="H365" s="130"/>
      <c r="I365" s="130"/>
      <c r="J365" s="130"/>
      <c r="K365" s="130"/>
      <c r="L365" s="130"/>
      <c r="M365" s="130"/>
      <c r="N365" s="130"/>
      <c r="O365" s="197"/>
      <c r="P365" s="197"/>
      <c r="Q365" s="197"/>
      <c r="R365" s="197"/>
      <c r="S365" s="197"/>
      <c r="T365" s="197"/>
      <c r="U365" s="197"/>
      <c r="V365" s="197"/>
      <c r="W365" s="197"/>
      <c r="X365" s="197"/>
      <c r="AC365" s="197"/>
      <c r="AD365" s="197"/>
      <c r="AE365" s="197"/>
    </row>
    <row r="366" customFormat="false" ht="12" hidden="false" customHeight="false" outlineLevel="0" collapsed="false">
      <c r="B366" s="130"/>
      <c r="C366" s="130"/>
      <c r="D366" s="130"/>
      <c r="E366" s="130"/>
      <c r="F366" s="130"/>
      <c r="G366" s="130"/>
      <c r="H366" s="130"/>
      <c r="I366" s="130"/>
      <c r="J366" s="130"/>
      <c r="K366" s="130"/>
      <c r="L366" s="130"/>
      <c r="M366" s="130"/>
      <c r="N366" s="130"/>
      <c r="O366" s="197"/>
      <c r="P366" s="197"/>
      <c r="Q366" s="197"/>
      <c r="R366" s="197"/>
      <c r="S366" s="197"/>
      <c r="T366" s="197"/>
      <c r="U366" s="197"/>
      <c r="V366" s="197"/>
      <c r="W366" s="197"/>
      <c r="X366" s="197"/>
      <c r="AC366" s="197"/>
      <c r="AD366" s="197"/>
      <c r="AE366" s="197"/>
    </row>
    <row r="367" customFormat="false" ht="12" hidden="false" customHeight="false" outlineLevel="0" collapsed="false">
      <c r="B367" s="130"/>
      <c r="C367" s="130"/>
      <c r="D367" s="130"/>
      <c r="E367" s="130"/>
      <c r="F367" s="130"/>
      <c r="G367" s="130"/>
      <c r="H367" s="130"/>
      <c r="I367" s="130"/>
      <c r="J367" s="130"/>
      <c r="K367" s="130"/>
      <c r="L367" s="130"/>
      <c r="M367" s="130"/>
      <c r="N367" s="130"/>
      <c r="O367" s="197"/>
      <c r="P367" s="197"/>
      <c r="Q367" s="197"/>
      <c r="R367" s="197"/>
      <c r="S367" s="197"/>
      <c r="T367" s="197"/>
      <c r="U367" s="197"/>
      <c r="V367" s="197"/>
      <c r="W367" s="197"/>
      <c r="X367" s="197"/>
      <c r="AC367" s="197"/>
      <c r="AD367" s="197"/>
      <c r="AE367" s="197"/>
    </row>
    <row r="368" customFormat="false" ht="12" hidden="false" customHeight="false" outlineLevel="0" collapsed="false">
      <c r="B368" s="130"/>
      <c r="C368" s="130"/>
      <c r="D368" s="130"/>
      <c r="E368" s="130"/>
      <c r="F368" s="130"/>
      <c r="G368" s="130"/>
      <c r="H368" s="130"/>
      <c r="I368" s="130"/>
      <c r="J368" s="130"/>
      <c r="K368" s="130"/>
      <c r="L368" s="130"/>
      <c r="M368" s="130"/>
      <c r="N368" s="130"/>
      <c r="O368" s="197"/>
      <c r="P368" s="197"/>
      <c r="Q368" s="197"/>
      <c r="R368" s="197"/>
      <c r="S368" s="197"/>
      <c r="T368" s="197"/>
      <c r="U368" s="197"/>
      <c r="V368" s="197"/>
      <c r="W368" s="197"/>
      <c r="X368" s="197"/>
      <c r="AC368" s="197"/>
      <c r="AD368" s="197"/>
      <c r="AE368" s="197"/>
    </row>
    <row r="369" customFormat="false" ht="12" hidden="false" customHeight="false" outlineLevel="0" collapsed="false">
      <c r="B369" s="130"/>
      <c r="C369" s="130"/>
      <c r="D369" s="130"/>
      <c r="E369" s="130"/>
      <c r="F369" s="130"/>
      <c r="G369" s="130"/>
      <c r="H369" s="130"/>
      <c r="I369" s="130"/>
      <c r="J369" s="130"/>
      <c r="K369" s="130"/>
      <c r="L369" s="130"/>
      <c r="M369" s="130"/>
      <c r="N369" s="130"/>
      <c r="O369" s="197"/>
      <c r="P369" s="197"/>
      <c r="Q369" s="197"/>
      <c r="R369" s="197"/>
      <c r="S369" s="197"/>
      <c r="T369" s="197"/>
      <c r="U369" s="197"/>
      <c r="V369" s="197"/>
      <c r="W369" s="197"/>
      <c r="X369" s="197"/>
      <c r="AC369" s="197"/>
      <c r="AD369" s="197"/>
      <c r="AE369" s="197"/>
    </row>
    <row r="370" customFormat="false" ht="12" hidden="false" customHeight="false" outlineLevel="0" collapsed="false">
      <c r="B370" s="130"/>
      <c r="C370" s="130"/>
      <c r="D370" s="130"/>
      <c r="E370" s="130"/>
      <c r="F370" s="130"/>
      <c r="G370" s="130"/>
      <c r="H370" s="130"/>
      <c r="I370" s="130"/>
      <c r="J370" s="130"/>
      <c r="K370" s="130"/>
      <c r="L370" s="130"/>
      <c r="M370" s="130"/>
      <c r="N370" s="130"/>
      <c r="O370" s="197"/>
      <c r="P370" s="197"/>
      <c r="Q370" s="197"/>
      <c r="R370" s="197"/>
      <c r="S370" s="197"/>
      <c r="T370" s="197"/>
      <c r="U370" s="197"/>
      <c r="V370" s="197"/>
      <c r="W370" s="197"/>
      <c r="X370" s="197"/>
      <c r="AC370" s="197"/>
      <c r="AD370" s="197"/>
      <c r="AE370" s="197"/>
    </row>
    <row r="371" customFormat="false" ht="12" hidden="false" customHeight="false" outlineLevel="0" collapsed="false">
      <c r="B371" s="130"/>
      <c r="C371" s="130"/>
      <c r="D371" s="130"/>
      <c r="E371" s="130"/>
      <c r="F371" s="130"/>
      <c r="G371" s="130"/>
      <c r="H371" s="130"/>
      <c r="I371" s="130"/>
      <c r="J371" s="130"/>
      <c r="K371" s="130"/>
      <c r="L371" s="130"/>
      <c r="M371" s="130"/>
      <c r="N371" s="130"/>
      <c r="O371" s="197"/>
      <c r="P371" s="197"/>
      <c r="Q371" s="197"/>
      <c r="R371" s="197"/>
      <c r="S371" s="197"/>
      <c r="T371" s="197"/>
      <c r="U371" s="197"/>
      <c r="V371" s="197"/>
      <c r="W371" s="197"/>
      <c r="X371" s="197"/>
      <c r="AC371" s="197"/>
      <c r="AD371" s="197"/>
      <c r="AE371" s="197"/>
    </row>
    <row r="372" customFormat="false" ht="12" hidden="false" customHeight="false" outlineLevel="0" collapsed="false">
      <c r="B372" s="130"/>
      <c r="C372" s="130"/>
      <c r="D372" s="130"/>
      <c r="E372" s="130"/>
      <c r="F372" s="130"/>
      <c r="G372" s="130"/>
      <c r="H372" s="130"/>
      <c r="I372" s="130"/>
      <c r="J372" s="130"/>
      <c r="K372" s="130"/>
      <c r="L372" s="130"/>
      <c r="M372" s="130"/>
      <c r="N372" s="130"/>
      <c r="O372" s="197"/>
      <c r="P372" s="197"/>
      <c r="Q372" s="197"/>
      <c r="R372" s="197"/>
      <c r="S372" s="197"/>
      <c r="T372" s="197"/>
      <c r="U372" s="197"/>
      <c r="V372" s="197"/>
      <c r="W372" s="197"/>
      <c r="X372" s="197"/>
      <c r="AC372" s="197"/>
      <c r="AD372" s="197"/>
      <c r="AE372" s="197"/>
    </row>
    <row r="373" customFormat="false" ht="12" hidden="false" customHeight="false" outlineLevel="0" collapsed="false">
      <c r="B373" s="130"/>
      <c r="C373" s="130"/>
      <c r="D373" s="130"/>
      <c r="E373" s="130"/>
      <c r="F373" s="130"/>
      <c r="G373" s="130"/>
      <c r="H373" s="130"/>
      <c r="I373" s="130"/>
      <c r="J373" s="130"/>
      <c r="K373" s="130"/>
      <c r="L373" s="130"/>
      <c r="M373" s="130"/>
      <c r="N373" s="130"/>
      <c r="O373" s="197"/>
      <c r="P373" s="197"/>
      <c r="Q373" s="197"/>
      <c r="R373" s="197"/>
      <c r="S373" s="197"/>
      <c r="T373" s="197"/>
      <c r="U373" s="197"/>
      <c r="V373" s="197"/>
      <c r="W373" s="197"/>
      <c r="X373" s="197"/>
      <c r="AC373" s="197"/>
      <c r="AD373" s="197"/>
      <c r="AE373" s="197"/>
    </row>
    <row r="374" customFormat="false" ht="12" hidden="false" customHeight="false" outlineLevel="0" collapsed="false">
      <c r="B374" s="130"/>
      <c r="C374" s="130"/>
      <c r="D374" s="130"/>
      <c r="E374" s="130"/>
      <c r="F374" s="130"/>
      <c r="G374" s="130"/>
      <c r="H374" s="130"/>
      <c r="I374" s="130"/>
      <c r="J374" s="130"/>
      <c r="K374" s="130"/>
      <c r="L374" s="130"/>
      <c r="M374" s="130"/>
      <c r="N374" s="130"/>
      <c r="O374" s="197"/>
      <c r="P374" s="197"/>
      <c r="Q374" s="197"/>
      <c r="R374" s="197"/>
      <c r="S374" s="197"/>
      <c r="T374" s="197"/>
      <c r="U374" s="197"/>
      <c r="V374" s="197"/>
      <c r="W374" s="197"/>
      <c r="X374" s="197"/>
      <c r="AC374" s="197"/>
      <c r="AD374" s="197"/>
      <c r="AE374" s="197"/>
    </row>
    <row r="375" customFormat="false" ht="12" hidden="false" customHeight="false" outlineLevel="0" collapsed="false">
      <c r="B375" s="130"/>
      <c r="C375" s="130"/>
      <c r="D375" s="130"/>
      <c r="E375" s="130"/>
      <c r="F375" s="130"/>
      <c r="G375" s="130"/>
      <c r="H375" s="130"/>
      <c r="I375" s="130"/>
      <c r="J375" s="130"/>
      <c r="K375" s="130"/>
      <c r="L375" s="130"/>
      <c r="M375" s="130"/>
      <c r="N375" s="130"/>
      <c r="O375" s="197"/>
      <c r="P375" s="197"/>
      <c r="Q375" s="197"/>
      <c r="R375" s="197"/>
      <c r="S375" s="197"/>
      <c r="T375" s="197"/>
      <c r="U375" s="197"/>
      <c r="V375" s="197"/>
      <c r="W375" s="197"/>
      <c r="X375" s="197"/>
      <c r="AC375" s="197"/>
      <c r="AD375" s="197"/>
      <c r="AE375" s="197"/>
    </row>
    <row r="376" customFormat="false" ht="12" hidden="false" customHeight="false" outlineLevel="0" collapsed="false">
      <c r="B376" s="130"/>
      <c r="C376" s="130"/>
      <c r="D376" s="130"/>
      <c r="E376" s="130"/>
      <c r="F376" s="130"/>
      <c r="G376" s="130"/>
      <c r="H376" s="130"/>
      <c r="I376" s="130"/>
      <c r="J376" s="130"/>
      <c r="K376" s="130"/>
      <c r="L376" s="130"/>
      <c r="M376" s="130"/>
      <c r="N376" s="130"/>
      <c r="O376" s="197"/>
      <c r="P376" s="197"/>
      <c r="Q376" s="197"/>
      <c r="R376" s="197"/>
      <c r="S376" s="197"/>
      <c r="T376" s="197"/>
      <c r="U376" s="197"/>
      <c r="V376" s="197"/>
      <c r="W376" s="197"/>
      <c r="X376" s="197"/>
      <c r="AC376" s="197"/>
      <c r="AD376" s="197"/>
      <c r="AE376" s="197"/>
    </row>
    <row r="377" customFormat="false" ht="12" hidden="false" customHeight="false" outlineLevel="0" collapsed="false">
      <c r="B377" s="130"/>
      <c r="C377" s="130"/>
      <c r="D377" s="130"/>
      <c r="E377" s="130"/>
      <c r="F377" s="130"/>
      <c r="G377" s="130"/>
      <c r="H377" s="130"/>
      <c r="I377" s="130"/>
      <c r="J377" s="130"/>
      <c r="K377" s="130"/>
      <c r="L377" s="130"/>
      <c r="M377" s="130"/>
      <c r="N377" s="130"/>
      <c r="O377" s="197"/>
      <c r="P377" s="197"/>
      <c r="Q377" s="197"/>
      <c r="R377" s="197"/>
      <c r="S377" s="197"/>
      <c r="T377" s="197"/>
      <c r="U377" s="197"/>
      <c r="V377" s="197"/>
      <c r="W377" s="197"/>
      <c r="X377" s="197"/>
      <c r="AC377" s="197"/>
      <c r="AD377" s="197"/>
      <c r="AE377" s="197"/>
    </row>
    <row r="378" customFormat="false" ht="12" hidden="false" customHeight="false" outlineLevel="0" collapsed="false">
      <c r="B378" s="130"/>
      <c r="C378" s="130"/>
      <c r="D378" s="130"/>
      <c r="E378" s="130"/>
      <c r="F378" s="130"/>
      <c r="G378" s="130"/>
      <c r="H378" s="130"/>
      <c r="I378" s="130"/>
      <c r="J378" s="130"/>
      <c r="K378" s="130"/>
      <c r="L378" s="130"/>
      <c r="M378" s="130"/>
      <c r="N378" s="130"/>
      <c r="O378" s="197"/>
      <c r="P378" s="197"/>
      <c r="Q378" s="197"/>
      <c r="R378" s="197"/>
      <c r="S378" s="197"/>
      <c r="T378" s="197"/>
      <c r="U378" s="197"/>
      <c r="V378" s="197"/>
      <c r="W378" s="197"/>
      <c r="X378" s="197"/>
      <c r="AC378" s="197"/>
      <c r="AD378" s="197"/>
      <c r="AE378" s="197"/>
    </row>
    <row r="379" customFormat="false" ht="12" hidden="false" customHeight="false" outlineLevel="0" collapsed="false">
      <c r="B379" s="130"/>
      <c r="C379" s="130"/>
      <c r="D379" s="130"/>
      <c r="E379" s="130"/>
      <c r="F379" s="130"/>
      <c r="G379" s="130"/>
      <c r="H379" s="130"/>
      <c r="I379" s="130"/>
      <c r="J379" s="130"/>
      <c r="K379" s="130"/>
      <c r="L379" s="130"/>
      <c r="M379" s="130"/>
      <c r="N379" s="130"/>
      <c r="O379" s="197"/>
      <c r="P379" s="197"/>
      <c r="Q379" s="197"/>
      <c r="R379" s="197"/>
      <c r="S379" s="197"/>
      <c r="T379" s="197"/>
      <c r="U379" s="197"/>
      <c r="V379" s="197"/>
      <c r="W379" s="197"/>
      <c r="X379" s="197"/>
      <c r="AC379" s="197"/>
      <c r="AD379" s="197"/>
      <c r="AE379" s="197"/>
    </row>
    <row r="380" customFormat="false" ht="12" hidden="false" customHeight="false" outlineLevel="0" collapsed="false">
      <c r="B380" s="130"/>
      <c r="C380" s="130"/>
      <c r="D380" s="130"/>
      <c r="E380" s="130"/>
      <c r="F380" s="130"/>
      <c r="G380" s="130"/>
      <c r="H380" s="130"/>
      <c r="I380" s="130"/>
      <c r="J380" s="130"/>
      <c r="K380" s="130"/>
      <c r="L380" s="130"/>
      <c r="M380" s="130"/>
      <c r="N380" s="130"/>
      <c r="O380" s="197"/>
      <c r="P380" s="197"/>
      <c r="Q380" s="197"/>
      <c r="R380" s="197"/>
      <c r="S380" s="197"/>
      <c r="T380" s="197"/>
      <c r="U380" s="197"/>
      <c r="V380" s="197"/>
      <c r="W380" s="197"/>
      <c r="X380" s="197"/>
      <c r="AC380" s="197"/>
      <c r="AD380" s="197"/>
      <c r="AE380" s="197"/>
    </row>
    <row r="381" customFormat="false" ht="12" hidden="false" customHeight="false" outlineLevel="0" collapsed="false">
      <c r="B381" s="130"/>
      <c r="C381" s="130"/>
      <c r="D381" s="130"/>
      <c r="E381" s="130"/>
      <c r="F381" s="130"/>
      <c r="G381" s="130"/>
      <c r="H381" s="130"/>
      <c r="I381" s="130"/>
      <c r="J381" s="130"/>
      <c r="K381" s="130"/>
      <c r="L381" s="130"/>
      <c r="M381" s="130"/>
      <c r="N381" s="130"/>
      <c r="O381" s="197"/>
      <c r="P381" s="197"/>
      <c r="Q381" s="197"/>
      <c r="R381" s="197"/>
      <c r="S381" s="197"/>
      <c r="T381" s="197"/>
      <c r="U381" s="197"/>
      <c r="V381" s="197"/>
      <c r="W381" s="197"/>
      <c r="X381" s="197"/>
      <c r="AC381" s="197"/>
      <c r="AD381" s="197"/>
      <c r="AE381" s="197"/>
    </row>
    <row r="382" customFormat="false" ht="12" hidden="false" customHeight="false" outlineLevel="0" collapsed="false">
      <c r="B382" s="130"/>
      <c r="C382" s="130"/>
      <c r="D382" s="130"/>
      <c r="E382" s="130"/>
      <c r="F382" s="130"/>
      <c r="G382" s="130"/>
      <c r="H382" s="130"/>
      <c r="I382" s="130"/>
      <c r="J382" s="130"/>
      <c r="K382" s="130"/>
      <c r="L382" s="130"/>
      <c r="M382" s="130"/>
      <c r="N382" s="130"/>
      <c r="O382" s="197"/>
      <c r="P382" s="197"/>
      <c r="Q382" s="197"/>
      <c r="R382" s="197"/>
      <c r="S382" s="197"/>
      <c r="T382" s="197"/>
      <c r="U382" s="197"/>
      <c r="V382" s="197"/>
      <c r="W382" s="197"/>
      <c r="X382" s="197"/>
      <c r="AC382" s="197"/>
      <c r="AD382" s="197"/>
      <c r="AE382" s="197"/>
    </row>
    <row r="383" customFormat="false" ht="12" hidden="false" customHeight="false" outlineLevel="0" collapsed="false">
      <c r="B383" s="130"/>
      <c r="C383" s="130"/>
      <c r="D383" s="130"/>
      <c r="E383" s="130"/>
      <c r="F383" s="130"/>
      <c r="G383" s="130"/>
      <c r="H383" s="130"/>
      <c r="I383" s="130"/>
      <c r="J383" s="130"/>
      <c r="K383" s="130"/>
      <c r="L383" s="130"/>
      <c r="M383" s="130"/>
      <c r="N383" s="130"/>
      <c r="O383" s="197"/>
      <c r="P383" s="197"/>
      <c r="Q383" s="197"/>
      <c r="R383" s="197"/>
      <c r="S383" s="197"/>
      <c r="T383" s="197"/>
      <c r="U383" s="197"/>
      <c r="V383" s="197"/>
      <c r="W383" s="197"/>
      <c r="X383" s="197"/>
      <c r="AC383" s="197"/>
      <c r="AD383" s="197"/>
      <c r="AE383" s="197"/>
    </row>
    <row r="384" customFormat="false" ht="12" hidden="false" customHeight="false" outlineLevel="0" collapsed="false">
      <c r="B384" s="130"/>
      <c r="C384" s="130"/>
      <c r="D384" s="130"/>
      <c r="E384" s="130"/>
      <c r="F384" s="130"/>
      <c r="G384" s="130"/>
      <c r="H384" s="130"/>
      <c r="I384" s="130"/>
      <c r="J384" s="130"/>
      <c r="K384" s="130"/>
      <c r="L384" s="130"/>
      <c r="M384" s="130"/>
      <c r="N384" s="130"/>
      <c r="O384" s="197"/>
      <c r="P384" s="197"/>
      <c r="Q384" s="197"/>
      <c r="R384" s="197"/>
      <c r="S384" s="197"/>
      <c r="T384" s="197"/>
      <c r="U384" s="197"/>
      <c r="V384" s="197"/>
      <c r="W384" s="197"/>
      <c r="X384" s="197"/>
      <c r="AC384" s="197"/>
      <c r="AD384" s="197"/>
      <c r="AE384" s="197"/>
    </row>
    <row r="385" customFormat="false" ht="12" hidden="false" customHeight="false" outlineLevel="0" collapsed="false">
      <c r="B385" s="130"/>
      <c r="C385" s="130"/>
      <c r="D385" s="130"/>
      <c r="E385" s="130"/>
      <c r="F385" s="130"/>
      <c r="G385" s="130"/>
      <c r="H385" s="130"/>
      <c r="I385" s="130"/>
      <c r="J385" s="130"/>
      <c r="K385" s="130"/>
      <c r="L385" s="130"/>
      <c r="M385" s="130"/>
      <c r="N385" s="130"/>
      <c r="O385" s="197"/>
      <c r="P385" s="197"/>
      <c r="Q385" s="197"/>
      <c r="R385" s="197"/>
      <c r="S385" s="197"/>
      <c r="T385" s="197"/>
      <c r="U385" s="197"/>
      <c r="V385" s="197"/>
      <c r="W385" s="197"/>
      <c r="X385" s="197"/>
      <c r="AC385" s="197"/>
      <c r="AD385" s="197"/>
      <c r="AE385" s="197"/>
    </row>
    <row r="386" customFormat="false" ht="12" hidden="false" customHeight="false" outlineLevel="0" collapsed="false">
      <c r="B386" s="130"/>
      <c r="C386" s="130"/>
      <c r="D386" s="130"/>
      <c r="E386" s="130"/>
      <c r="F386" s="130"/>
      <c r="G386" s="130"/>
      <c r="H386" s="130"/>
      <c r="I386" s="130"/>
      <c r="J386" s="130"/>
      <c r="K386" s="130"/>
      <c r="L386" s="130"/>
      <c r="M386" s="130"/>
      <c r="N386" s="130"/>
      <c r="O386" s="197"/>
      <c r="P386" s="197"/>
      <c r="Q386" s="197"/>
      <c r="R386" s="197"/>
      <c r="S386" s="197"/>
      <c r="T386" s="197"/>
      <c r="U386" s="197"/>
      <c r="V386" s="197"/>
      <c r="W386" s="197"/>
      <c r="X386" s="197"/>
      <c r="AC386" s="197"/>
      <c r="AD386" s="197"/>
      <c r="AE386" s="197"/>
    </row>
    <row r="387" customFormat="false" ht="12" hidden="false" customHeight="false" outlineLevel="0" collapsed="false">
      <c r="B387" s="130"/>
      <c r="C387" s="130"/>
      <c r="D387" s="130"/>
      <c r="E387" s="130"/>
      <c r="F387" s="130"/>
      <c r="G387" s="130"/>
      <c r="H387" s="130"/>
      <c r="I387" s="130"/>
      <c r="J387" s="130"/>
      <c r="K387" s="130"/>
      <c r="L387" s="130"/>
      <c r="M387" s="130"/>
      <c r="N387" s="130"/>
      <c r="O387" s="197"/>
      <c r="P387" s="197"/>
      <c r="Q387" s="197"/>
      <c r="R387" s="197"/>
      <c r="S387" s="197"/>
      <c r="T387" s="197"/>
      <c r="U387" s="197"/>
      <c r="V387" s="197"/>
      <c r="W387" s="197"/>
      <c r="X387" s="197"/>
      <c r="AC387" s="197"/>
      <c r="AD387" s="197"/>
      <c r="AE387" s="197"/>
    </row>
    <row r="388" customFormat="false" ht="12" hidden="false" customHeight="false" outlineLevel="0" collapsed="false">
      <c r="B388" s="130"/>
      <c r="C388" s="130"/>
      <c r="D388" s="130"/>
      <c r="E388" s="130"/>
      <c r="F388" s="130"/>
      <c r="G388" s="130"/>
      <c r="H388" s="130"/>
      <c r="I388" s="130"/>
      <c r="J388" s="130"/>
      <c r="K388" s="130"/>
      <c r="L388" s="130"/>
      <c r="M388" s="130"/>
      <c r="N388" s="130"/>
      <c r="O388" s="197"/>
      <c r="P388" s="197"/>
      <c r="Q388" s="197"/>
      <c r="R388" s="197"/>
      <c r="S388" s="197"/>
      <c r="T388" s="197"/>
      <c r="U388" s="197"/>
      <c r="V388" s="197"/>
      <c r="W388" s="197"/>
      <c r="X388" s="197"/>
      <c r="AC388" s="197"/>
      <c r="AD388" s="197"/>
      <c r="AE388" s="197"/>
    </row>
  </sheetData>
  <mergeCells count="15">
    <mergeCell ref="A3:O3"/>
    <mergeCell ref="B6:O6"/>
    <mergeCell ref="A7:A9"/>
    <mergeCell ref="B7:B8"/>
    <mergeCell ref="C7:C8"/>
    <mergeCell ref="D7:I7"/>
    <mergeCell ref="J7:N7"/>
    <mergeCell ref="S7:T7"/>
    <mergeCell ref="U7:V7"/>
    <mergeCell ref="O8:O9"/>
    <mergeCell ref="S8:S9"/>
    <mergeCell ref="T8:T9"/>
    <mergeCell ref="U8:U9"/>
    <mergeCell ref="V8:V9"/>
    <mergeCell ref="S153:U153"/>
  </mergeCells>
  <hyperlinks>
    <hyperlink ref="B1" location="Index!A1" display="Back to index"/>
  </hyperlinks>
  <printOptions headings="false" gridLines="false" gridLinesSet="true" horizontalCentered="true" verticalCentered="true"/>
  <pageMargins left="0.790277777777778" right="0.790277777777778" top="0.979861111111111" bottom="0.979861111111111" header="0.511811023622047" footer="0.511811023622047"/>
  <pageSetup paperSize="9" scale="100" fitToWidth="1" fitToHeight="2"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C0C0"/>
    <pageSetUpPr fitToPage="true"/>
  </sheetPr>
  <dimension ref="A1:T3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A3" activeCellId="0" sqref="A3"/>
    </sheetView>
  </sheetViews>
  <sheetFormatPr defaultColWidth="11.0546875" defaultRowHeight="12" zeroHeight="false" outlineLevelRow="0" outlineLevelCol="0"/>
  <cols>
    <col collapsed="false" customWidth="true" hidden="false" outlineLevel="0" max="1" min="1" style="0" width="10.66"/>
    <col collapsed="false" customWidth="true" hidden="false" outlineLevel="0" max="6" min="2" style="20" width="8.49"/>
    <col collapsed="false" customWidth="true" hidden="false" outlineLevel="0" max="15" min="7" style="0" width="8.49"/>
  </cols>
  <sheetData>
    <row r="1" customFormat="false" ht="12" hidden="false" customHeight="false" outlineLevel="0" collapsed="false">
      <c r="A1" s="20"/>
      <c r="B1" s="21" t="s">
        <v>9</v>
      </c>
      <c r="C1" s="1016"/>
      <c r="D1" s="778"/>
      <c r="E1" s="356"/>
      <c r="F1" s="1016"/>
      <c r="G1" s="198"/>
      <c r="H1" s="198"/>
      <c r="I1" s="198"/>
      <c r="J1" s="198"/>
      <c r="K1" s="198"/>
      <c r="L1" s="198"/>
      <c r="M1" s="198"/>
      <c r="N1" s="198"/>
      <c r="O1" s="198"/>
    </row>
    <row r="2" customFormat="false" ht="13" hidden="false" customHeight="false" outlineLevel="0" collapsed="false">
      <c r="A2" s="20"/>
    </row>
    <row r="3" customFormat="false" ht="16" hidden="false" customHeight="false" outlineLevel="0" collapsed="false">
      <c r="A3" s="357" t="s">
        <v>298</v>
      </c>
      <c r="B3" s="357"/>
      <c r="C3" s="357"/>
      <c r="D3" s="357"/>
      <c r="E3" s="357"/>
      <c r="F3" s="357"/>
      <c r="G3" s="357"/>
      <c r="H3" s="357"/>
      <c r="I3" s="357"/>
      <c r="J3" s="357"/>
      <c r="K3" s="357"/>
      <c r="L3" s="357"/>
      <c r="M3" s="357"/>
      <c r="N3" s="357"/>
      <c r="O3" s="357"/>
    </row>
    <row r="4" customFormat="false" ht="12" hidden="false" customHeight="false" outlineLevel="0" collapsed="false">
      <c r="A4" s="358"/>
      <c r="B4" s="114"/>
      <c r="C4" s="114"/>
      <c r="D4" s="114"/>
      <c r="E4" s="114"/>
      <c r="F4" s="114"/>
      <c r="G4" s="29"/>
      <c r="H4" s="29"/>
      <c r="I4" s="29"/>
      <c r="J4" s="29"/>
      <c r="K4" s="29"/>
      <c r="L4" s="29"/>
      <c r="M4" s="29"/>
      <c r="N4" s="29"/>
      <c r="O4" s="199"/>
    </row>
    <row r="5" customFormat="false" ht="12" hidden="false" customHeight="false" outlineLevel="0" collapsed="false">
      <c r="A5" s="358"/>
      <c r="B5" s="32" t="s">
        <v>11</v>
      </c>
      <c r="C5" s="1017" t="s">
        <v>12</v>
      </c>
      <c r="D5" s="32" t="s">
        <v>13</v>
      </c>
      <c r="E5" s="1017" t="s">
        <v>14</v>
      </c>
      <c r="F5" s="32" t="s">
        <v>15</v>
      </c>
      <c r="G5" s="32" t="s">
        <v>16</v>
      </c>
      <c r="H5" s="32" t="s">
        <v>17</v>
      </c>
      <c r="I5" s="31" t="s">
        <v>18</v>
      </c>
      <c r="J5" s="31" t="s">
        <v>19</v>
      </c>
      <c r="K5" s="31" t="s">
        <v>20</v>
      </c>
      <c r="L5" s="31" t="s">
        <v>21</v>
      </c>
      <c r="M5" s="31" t="s">
        <v>22</v>
      </c>
      <c r="N5" s="32" t="s">
        <v>23</v>
      </c>
      <c r="O5" s="486" t="s">
        <v>24</v>
      </c>
    </row>
    <row r="6" customFormat="false" ht="28.75" hidden="false" customHeight="true" outlineLevel="0" collapsed="false">
      <c r="A6" s="358"/>
      <c r="B6" s="620" t="s">
        <v>90</v>
      </c>
      <c r="C6" s="620"/>
      <c r="D6" s="620"/>
      <c r="E6" s="620"/>
      <c r="F6" s="620"/>
      <c r="G6" s="620"/>
      <c r="H6" s="620"/>
      <c r="I6" s="620"/>
      <c r="J6" s="620"/>
      <c r="K6" s="620"/>
      <c r="L6" s="620"/>
      <c r="M6" s="620"/>
      <c r="N6" s="620"/>
      <c r="O6" s="620"/>
      <c r="R6" s="198"/>
    </row>
    <row r="7" customFormat="false" ht="39.75" hidden="false" customHeight="true" outlineLevel="0" collapsed="false">
      <c r="A7" s="364"/>
      <c r="B7" s="803" t="s">
        <v>233</v>
      </c>
      <c r="C7" s="1018" t="s">
        <v>189</v>
      </c>
      <c r="D7" s="1019" t="s">
        <v>299</v>
      </c>
      <c r="E7" s="1019"/>
      <c r="F7" s="1020" t="s">
        <v>300</v>
      </c>
      <c r="G7" s="1020"/>
      <c r="H7" s="1020"/>
      <c r="I7" s="1020"/>
      <c r="J7" s="1021" t="s">
        <v>301</v>
      </c>
      <c r="K7" s="1021"/>
      <c r="L7" s="1021"/>
      <c r="M7" s="1021"/>
      <c r="N7" s="1021"/>
      <c r="O7" s="1022" t="s">
        <v>302</v>
      </c>
    </row>
    <row r="8" customFormat="false" ht="79.75" hidden="false" customHeight="true" outlineLevel="0" collapsed="false">
      <c r="A8" s="364"/>
      <c r="B8" s="803"/>
      <c r="C8" s="1018"/>
      <c r="D8" s="801" t="s">
        <v>303</v>
      </c>
      <c r="E8" s="782" t="s">
        <v>304</v>
      </c>
      <c r="F8" s="1023" t="s">
        <v>214</v>
      </c>
      <c r="G8" s="970" t="s">
        <v>305</v>
      </c>
      <c r="H8" s="1024" t="s">
        <v>306</v>
      </c>
      <c r="I8" s="1025" t="s">
        <v>307</v>
      </c>
      <c r="J8" s="970" t="s">
        <v>308</v>
      </c>
      <c r="K8" s="1026" t="s">
        <v>309</v>
      </c>
      <c r="L8" s="1026" t="s">
        <v>310</v>
      </c>
      <c r="M8" s="1027" t="s">
        <v>311</v>
      </c>
      <c r="N8" s="1024" t="s">
        <v>312</v>
      </c>
      <c r="O8" s="1022"/>
      <c r="R8" s="56" t="s">
        <v>313</v>
      </c>
      <c r="S8" s="0" t="s">
        <v>314</v>
      </c>
      <c r="T8" s="56"/>
    </row>
    <row r="9" customFormat="false" ht="39.75" hidden="false" customHeight="true" outlineLevel="0" collapsed="false">
      <c r="A9" s="364"/>
      <c r="B9" s="799" t="s">
        <v>112</v>
      </c>
      <c r="C9" s="800" t="s">
        <v>315</v>
      </c>
      <c r="D9" s="801" t="s">
        <v>316</v>
      </c>
      <c r="E9" s="801" t="s">
        <v>249</v>
      </c>
      <c r="F9" s="1023"/>
      <c r="G9" s="970"/>
      <c r="H9" s="1024"/>
      <c r="I9" s="1025"/>
      <c r="J9" s="970"/>
      <c r="K9" s="1026"/>
      <c r="L9" s="1026"/>
      <c r="M9" s="1027"/>
      <c r="N9" s="1024"/>
      <c r="O9" s="1022"/>
      <c r="S9" s="804"/>
      <c r="T9" s="804"/>
    </row>
    <row r="10" customFormat="false" ht="12" hidden="false" customHeight="true" outlineLevel="0" collapsed="false">
      <c r="A10" s="380" t="n">
        <v>1870</v>
      </c>
      <c r="B10" s="805" t="n">
        <f aca="false">TableDE3b!H10</f>
        <v>70.3193125668467</v>
      </c>
      <c r="C10" s="807"/>
      <c r="D10" s="975" t="n">
        <f aca="false">TableDE6a!F10</f>
        <v>0.413954817761924</v>
      </c>
      <c r="E10" s="1028" t="n">
        <f aca="false">TableDE12c!F10</f>
        <v>0.00546355665784756</v>
      </c>
      <c r="F10" s="1029" t="n">
        <f aca="false">DataDE1c!P33/DataDE1c!B33</f>
        <v>0.0424471885678782</v>
      </c>
      <c r="G10" s="810" t="n">
        <f aca="false">DataDE1c!CH33/TableDE1!B10</f>
        <v>0.728533706119913</v>
      </c>
      <c r="H10" s="1030"/>
      <c r="I10" s="1031"/>
      <c r="J10" s="1032" t="n">
        <f aca="false">DataDE1c!CQ33/TableDE1!B10</f>
        <v>0.314578888357989</v>
      </c>
      <c r="K10" s="1032" t="n">
        <f aca="false">DataDE1c!CR32/TableDE1!B10/1000</f>
        <v>0</v>
      </c>
      <c r="L10" s="1032" t="n">
        <f aca="false">DataDE1c!CU32/TableDE1!B10/1000</f>
        <v>0</v>
      </c>
      <c r="M10" s="1033"/>
      <c r="N10" s="1034"/>
      <c r="O10" s="1035" t="n">
        <v>0</v>
      </c>
      <c r="R10" s="158" t="n">
        <f aca="false">DataDE1c!CY33/DataDE1c!CP33</f>
        <v>0</v>
      </c>
      <c r="S10" s="804"/>
      <c r="T10" s="387" t="n">
        <f aca="false">-(G10-J10-D10)-TableDE6a!H10</f>
        <v>-0</v>
      </c>
    </row>
    <row r="11" customFormat="false" ht="12" hidden="false" customHeight="true" outlineLevel="0" collapsed="false">
      <c r="A11" s="380" t="n">
        <v>1871</v>
      </c>
      <c r="B11" s="819" t="n">
        <f aca="false">TableDE3b!H11</f>
        <v>70.4198465449712</v>
      </c>
      <c r="C11" s="382" t="n">
        <f aca="false">B11/B10-1</f>
        <v>0.00142967805649263</v>
      </c>
      <c r="D11" s="978" t="n">
        <f aca="false">TableDE6a!F11</f>
        <v>0.43103330411183</v>
      </c>
      <c r="E11" s="977" t="n">
        <f aca="false">TableDE12c!F11</f>
        <v>0.0691248427987247</v>
      </c>
      <c r="F11" s="1036" t="n">
        <f aca="false">DataDE1c!P34/DataDE1c!B34</f>
        <v>0.0278027545850282</v>
      </c>
      <c r="G11" s="821" t="n">
        <f aca="false">DataDE1c!CH34/TableDE1!B11</f>
        <v>0.752358524227503</v>
      </c>
      <c r="H11" s="387" t="n">
        <f aca="false">F10/G10</f>
        <v>0.0582638637187387</v>
      </c>
      <c r="I11" s="388" t="n">
        <f aca="false">O10/G10</f>
        <v>0</v>
      </c>
      <c r="J11" s="1037" t="n">
        <f aca="false">DataDE1c!CQ34/TableDE1!B11</f>
        <v>0.321325220115673</v>
      </c>
      <c r="K11" s="1037" t="n">
        <f aca="false">DataDE1c!CR33/TableDE1!B11/1000</f>
        <v>0</v>
      </c>
      <c r="L11" s="1037" t="n">
        <f aca="false">DataDE1c!CU33/TableDE1!B11/1000</f>
        <v>0</v>
      </c>
      <c r="M11" s="1038"/>
      <c r="N11" s="918"/>
      <c r="O11" s="1039" t="n">
        <v>0</v>
      </c>
      <c r="R11" s="158" t="n">
        <f aca="false">DataDE1c!CY34/DataDE1c!CP34</f>
        <v>0</v>
      </c>
      <c r="S11" s="818"/>
      <c r="T11" s="387" t="n">
        <f aca="false">-(G11-J11-D11)-TableDE6a!H11</f>
        <v>-0</v>
      </c>
    </row>
    <row r="12" customFormat="false" ht="12" hidden="false" customHeight="true" outlineLevel="0" collapsed="false">
      <c r="A12" s="380" t="n">
        <v>1872</v>
      </c>
      <c r="B12" s="819" t="n">
        <f aca="false">TableDE3b!H12</f>
        <v>77.856841894839</v>
      </c>
      <c r="C12" s="382" t="n">
        <f aca="false">B12/B11-1</f>
        <v>0.105609366034594</v>
      </c>
      <c r="D12" s="978" t="n">
        <f aca="false">TableDE6a!F12</f>
        <v>0.516318584292513</v>
      </c>
      <c r="E12" s="977" t="n">
        <f aca="false">TableDE12c!F12</f>
        <v>0.0753342329822758</v>
      </c>
      <c r="F12" s="1036" t="n">
        <f aca="false">DataDE1c!P35/DataDE1c!B35</f>
        <v>0.0503162326336681</v>
      </c>
      <c r="G12" s="821" t="n">
        <f aca="false">DataDE1c!CH35/TableDE1!B12</f>
        <v>0.731626871955254</v>
      </c>
      <c r="H12" s="387" t="n">
        <f aca="false">F11/G11</f>
        <v>0.036954129832682</v>
      </c>
      <c r="I12" s="388" t="n">
        <f aca="false">O11/G11</f>
        <v>0</v>
      </c>
      <c r="J12" s="1037" t="n">
        <f aca="false">DataDE1c!CQ35/TableDE1!B12</f>
        <v>0.215308287662741</v>
      </c>
      <c r="K12" s="1037" t="n">
        <f aca="false">DataDE1c!CR34/TableDE1!B12/1000</f>
        <v>0</v>
      </c>
      <c r="L12" s="1037" t="n">
        <f aca="false">DataDE1c!CU34/TableDE1!B12/1000</f>
        <v>0</v>
      </c>
      <c r="M12" s="1038"/>
      <c r="N12" s="918"/>
      <c r="O12" s="1039" t="n">
        <v>0</v>
      </c>
      <c r="R12" s="158" t="n">
        <f aca="false">DataDE1c!CY35/DataDE1c!CP35</f>
        <v>0</v>
      </c>
      <c r="S12" s="818"/>
      <c r="T12" s="387" t="n">
        <f aca="false">-(G12-J12-D12)-TableDE6a!H12</f>
        <v>-0</v>
      </c>
    </row>
    <row r="13" customFormat="false" ht="12" hidden="false" customHeight="true" outlineLevel="0" collapsed="false">
      <c r="A13" s="380" t="n">
        <v>1873</v>
      </c>
      <c r="B13" s="819" t="n">
        <f aca="false">TableDE3b!H13</f>
        <v>79.720242063657</v>
      </c>
      <c r="C13" s="382" t="n">
        <f aca="false">B13/B12-1</f>
        <v>0.0239336726672639</v>
      </c>
      <c r="D13" s="978" t="n">
        <f aca="false">TableDE6a!F13</f>
        <v>0.603430734628923</v>
      </c>
      <c r="E13" s="977" t="n">
        <f aca="false">TableDE12c!F13</f>
        <v>0.0449509854302086</v>
      </c>
      <c r="F13" s="1036" t="n">
        <f aca="false">DataDE1c!P36/DataDE1c!B36</f>
        <v>0.0447945961002786</v>
      </c>
      <c r="G13" s="821" t="n">
        <f aca="false">DataDE1c!CH36/TableDE1!B13</f>
        <v>0.789107520891365</v>
      </c>
      <c r="H13" s="387" t="n">
        <f aca="false">F12/G12</f>
        <v>0.0687730789592232</v>
      </c>
      <c r="I13" s="388" t="n">
        <f aca="false">O12/G12</f>
        <v>0</v>
      </c>
      <c r="J13" s="1037" t="n">
        <f aca="false">DataDE1c!CQ36/TableDE1!B13</f>
        <v>0.185676786262442</v>
      </c>
      <c r="K13" s="1037" t="n">
        <f aca="false">DataDE1c!CR35/TableDE1!B13/1000</f>
        <v>0</v>
      </c>
      <c r="L13" s="1037" t="n">
        <f aca="false">DataDE1c!CU35/TableDE1!B13/1000</f>
        <v>0</v>
      </c>
      <c r="M13" s="1038"/>
      <c r="N13" s="918"/>
      <c r="O13" s="1039" t="n">
        <v>0</v>
      </c>
      <c r="R13" s="158" t="n">
        <f aca="false">DataDE1c!CY36/DataDE1c!CP36</f>
        <v>0</v>
      </c>
      <c r="S13" s="818"/>
      <c r="T13" s="387" t="n">
        <f aca="false">-(G13-J13-D13)-TableDE6a!H13</f>
        <v>-0</v>
      </c>
    </row>
    <row r="14" customFormat="false" ht="12" hidden="false" customHeight="true" outlineLevel="0" collapsed="false">
      <c r="A14" s="380" t="n">
        <v>1874</v>
      </c>
      <c r="B14" s="819" t="n">
        <f aca="false">TableDE3b!H14</f>
        <v>86.3262970710235</v>
      </c>
      <c r="C14" s="382" t="n">
        <f aca="false">B14/B13-1</f>
        <v>0.0828654659890706</v>
      </c>
      <c r="D14" s="978" t="n">
        <f aca="false">TableDE6a!F14</f>
        <v>0.606186062697826</v>
      </c>
      <c r="E14" s="977" t="n">
        <f aca="false">TableDE12c!F14</f>
        <v>0.0292331681161328</v>
      </c>
      <c r="F14" s="1036" t="n">
        <f aca="false">DataDE1c!P37/DataDE1c!B37</f>
        <v>0.0446542672943103</v>
      </c>
      <c r="G14" s="821" t="n">
        <f aca="false">DataDE1c!CH37/TableDE1!B14</f>
        <v>0.780740892345477</v>
      </c>
      <c r="H14" s="387" t="n">
        <f aca="false">F13/G13</f>
        <v>0.0567661502575456</v>
      </c>
      <c r="I14" s="388" t="n">
        <f aca="false">O13/G13</f>
        <v>0</v>
      </c>
      <c r="J14" s="1037" t="n">
        <f aca="false">DataDE1c!CQ37/TableDE1!B14</f>
        <v>0.174554829647651</v>
      </c>
      <c r="K14" s="1037" t="n">
        <f aca="false">DataDE1c!CR36/TableDE1!B14/1000</f>
        <v>0</v>
      </c>
      <c r="L14" s="1037" t="n">
        <f aca="false">DataDE1c!CU36/TableDE1!B14/1000</f>
        <v>0</v>
      </c>
      <c r="M14" s="1038"/>
      <c r="N14" s="918"/>
      <c r="O14" s="1039" t="n">
        <v>0</v>
      </c>
      <c r="R14" s="158" t="n">
        <f aca="false">DataDE1c!CY37/DataDE1c!CP37</f>
        <v>0</v>
      </c>
      <c r="S14" s="818"/>
      <c r="T14" s="387" t="n">
        <f aca="false">-(G14-J14-D14)-TableDE6a!H14</f>
        <v>-0</v>
      </c>
    </row>
    <row r="15" customFormat="false" ht="12" hidden="false" customHeight="true" outlineLevel="0" collapsed="false">
      <c r="A15" s="380" t="n">
        <v>1875</v>
      </c>
      <c r="B15" s="819" t="n">
        <f aca="false">TableDE3b!H15</f>
        <v>85.2221228403524</v>
      </c>
      <c r="C15" s="382" t="n">
        <f aca="false">B15/B14-1</f>
        <v>-0.0127907053601823</v>
      </c>
      <c r="D15" s="978" t="n">
        <f aca="false">TableDE6a!F15</f>
        <v>0.630772259181533</v>
      </c>
      <c r="E15" s="977" t="n">
        <f aca="false">TableDE12c!F15</f>
        <v>0.0278137739960867</v>
      </c>
      <c r="F15" s="1036" t="n">
        <f aca="false">DataDE1c!P38/DataDE1c!B38</f>
        <v>0.0500433066549721</v>
      </c>
      <c r="G15" s="821" t="n">
        <f aca="false">DataDE1c!CH38/TableDE1!B15</f>
        <v>0.838378467273325</v>
      </c>
      <c r="H15" s="387" t="n">
        <f aca="false">F14/G14</f>
        <v>0.057194733530815</v>
      </c>
      <c r="I15" s="388" t="n">
        <f aca="false">O14/G14</f>
        <v>0</v>
      </c>
      <c r="J15" s="1037" t="n">
        <f aca="false">DataDE1c!CQ38/TableDE1!B15</f>
        <v>0.207606208091793</v>
      </c>
      <c r="K15" s="1037" t="n">
        <f aca="false">DataDE1c!CR37/TableDE1!B15/1000</f>
        <v>0</v>
      </c>
      <c r="L15" s="1037" t="n">
        <f aca="false">DataDE1c!CU37/TableDE1!B15/1000</f>
        <v>0</v>
      </c>
      <c r="M15" s="1038"/>
      <c r="N15" s="918"/>
      <c r="O15" s="1039" t="n">
        <v>0</v>
      </c>
      <c r="R15" s="158" t="n">
        <f aca="false">DataDE1c!CY38/DataDE1c!CP38</f>
        <v>0</v>
      </c>
      <c r="S15" s="818"/>
      <c r="T15" s="387" t="n">
        <f aca="false">-(G15-J15-D15)-TableDE6a!H15</f>
        <v>-0</v>
      </c>
    </row>
    <row r="16" customFormat="false" ht="12" hidden="false" customHeight="true" outlineLevel="0" collapsed="false">
      <c r="A16" s="380" t="n">
        <v>1876</v>
      </c>
      <c r="B16" s="819" t="n">
        <f aca="false">TableDE3b!H16</f>
        <v>84.3615641620738</v>
      </c>
      <c r="C16" s="382" t="n">
        <f aca="false">B16/B15-1</f>
        <v>-0.0100978319900662</v>
      </c>
      <c r="D16" s="978" t="n">
        <f aca="false">TableDE6a!F16</f>
        <v>0.606244063091629</v>
      </c>
      <c r="E16" s="977" t="n">
        <f aca="false">TableDE12c!F16</f>
        <v>0.0239650289467135</v>
      </c>
      <c r="F16" s="1036" t="n">
        <f aca="false">DataDE1c!P39/DataDE1c!B39</f>
        <v>0.0511347699866012</v>
      </c>
      <c r="G16" s="821" t="n">
        <f aca="false">DataDE1c!CH39/TableDE1!B16</f>
        <v>0.840869807949978</v>
      </c>
      <c r="H16" s="387" t="n">
        <f aca="false">F15/G15</f>
        <v>0.0596905915507693</v>
      </c>
      <c r="I16" s="388" t="n">
        <f aca="false">O15/G15</f>
        <v>0</v>
      </c>
      <c r="J16" s="1037" t="n">
        <f aca="false">DataDE1c!CQ39/TableDE1!B16</f>
        <v>0.234625744858348</v>
      </c>
      <c r="K16" s="1037" t="n">
        <f aca="false">DataDE1c!CR38/TableDE1!B16/1000</f>
        <v>0</v>
      </c>
      <c r="L16" s="1037" t="n">
        <f aca="false">DataDE1c!CU38/TableDE1!B16/1000</f>
        <v>0</v>
      </c>
      <c r="M16" s="1038"/>
      <c r="N16" s="918"/>
      <c r="O16" s="1039" t="n">
        <v>0</v>
      </c>
      <c r="R16" s="158" t="n">
        <f aca="false">DataDE1c!CY39/DataDE1c!CP39</f>
        <v>0</v>
      </c>
      <c r="S16" s="818"/>
      <c r="T16" s="387" t="n">
        <f aca="false">-(G16-J16-D16)-TableDE6a!H16</f>
        <v>-0</v>
      </c>
    </row>
    <row r="17" customFormat="false" ht="12" hidden="false" customHeight="true" outlineLevel="0" collapsed="false">
      <c r="A17" s="380" t="n">
        <v>1877</v>
      </c>
      <c r="B17" s="819" t="n">
        <f aca="false">TableDE3b!H17</f>
        <v>83.8690142263607</v>
      </c>
      <c r="C17" s="382" t="n">
        <f aca="false">B17/B16-1</f>
        <v>-0.00583855859721627</v>
      </c>
      <c r="D17" s="978" t="n">
        <f aca="false">TableDE6a!F17</f>
        <v>0.576124713107427</v>
      </c>
      <c r="E17" s="977" t="n">
        <f aca="false">TableDE12c!F17</f>
        <v>0.0157583942001046</v>
      </c>
      <c r="F17" s="1036" t="n">
        <f aca="false">DataDE1c!P40/DataDE1c!B40</f>
        <v>0.0364070288273803</v>
      </c>
      <c r="G17" s="821" t="n">
        <f aca="false">DataDE1c!CH40/TableDE1!B17</f>
        <v>0.846769840358333</v>
      </c>
      <c r="H17" s="387" t="n">
        <f aca="false">F16/G16</f>
        <v>0.0608117564730581</v>
      </c>
      <c r="I17" s="388" t="n">
        <f aca="false">O16/G16</f>
        <v>0</v>
      </c>
      <c r="J17" s="1037" t="n">
        <f aca="false">DataDE1c!CQ40/TableDE1!B17</f>
        <v>0.270645127250906</v>
      </c>
      <c r="K17" s="1037" t="n">
        <f aca="false">DataDE1c!CR39/TableDE1!B17/1000</f>
        <v>0.000918800964741013</v>
      </c>
      <c r="L17" s="1037" t="n">
        <f aca="false">DataDE1c!CU39/TableDE1!B17/1000</f>
        <v>0</v>
      </c>
      <c r="M17" s="1038"/>
      <c r="N17" s="918"/>
      <c r="O17" s="1039" t="n">
        <v>0</v>
      </c>
      <c r="R17" s="158" t="n">
        <f aca="false">DataDE1c!CY40/DataDE1c!CP40</f>
        <v>0</v>
      </c>
      <c r="S17" s="818"/>
      <c r="T17" s="387" t="n">
        <f aca="false">-(G17-J17-D17)-TableDE6a!H17</f>
        <v>-0</v>
      </c>
    </row>
    <row r="18" customFormat="false" ht="12" hidden="false" customHeight="true" outlineLevel="0" collapsed="false">
      <c r="A18" s="380" t="n">
        <v>1878</v>
      </c>
      <c r="B18" s="819" t="n">
        <f aca="false">TableDE3b!H18</f>
        <v>88.2890604837947</v>
      </c>
      <c r="C18" s="382" t="n">
        <f aca="false">B18/B17-1</f>
        <v>0.0527017790563802</v>
      </c>
      <c r="D18" s="978" t="n">
        <f aca="false">TableDE6a!F18</f>
        <v>0.526492370157868</v>
      </c>
      <c r="E18" s="977" t="n">
        <f aca="false">TableDE12c!F18</f>
        <v>-0.00384150417843119</v>
      </c>
      <c r="F18" s="1036" t="n">
        <f aca="false">DataDE1c!P41/DataDE1c!B41</f>
        <v>0.0200593040170079</v>
      </c>
      <c r="G18" s="821" t="n">
        <f aca="false">DataDE1c!CH41/TableDE1!B18</f>
        <v>0.80747678191787</v>
      </c>
      <c r="H18" s="387" t="n">
        <f aca="false">F17/G17</f>
        <v>0.0429951884114976</v>
      </c>
      <c r="I18" s="388" t="n">
        <f aca="false">O17/G17</f>
        <v>0</v>
      </c>
      <c r="J18" s="1037" t="n">
        <f aca="false">DataDE1c!CQ41/TableDE1!B18</f>
        <v>0.280984411760001</v>
      </c>
      <c r="K18" s="1037" t="n">
        <f aca="false">DataDE1c!CR40/TableDE1!B18/1000</f>
        <v>0.0040281973816717</v>
      </c>
      <c r="L18" s="1037" t="n">
        <f aca="false">DataDE1c!CU40/TableDE1!B18/1000</f>
        <v>0</v>
      </c>
      <c r="M18" s="1038"/>
      <c r="N18" s="918"/>
      <c r="O18" s="1039" t="n">
        <v>0</v>
      </c>
      <c r="R18" s="158" t="n">
        <f aca="false">DataDE1c!CY41/DataDE1c!CP41</f>
        <v>0</v>
      </c>
      <c r="S18" s="818"/>
      <c r="T18" s="387" t="n">
        <f aca="false">-(G18-J18-D18)-TableDE6a!H18</f>
        <v>-0</v>
      </c>
    </row>
    <row r="19" customFormat="false" ht="12" hidden="false" customHeight="true" outlineLevel="0" collapsed="false">
      <c r="A19" s="380" t="n">
        <v>1879</v>
      </c>
      <c r="B19" s="819" t="n">
        <f aca="false">TableDE3b!H19</f>
        <v>85.8357549588584</v>
      </c>
      <c r="C19" s="382" t="n">
        <f aca="false">B19/B18-1</f>
        <v>-0.0277871970943293</v>
      </c>
      <c r="D19" s="978" t="n">
        <f aca="false">TableDE6a!F19</f>
        <v>0.521320958142765</v>
      </c>
      <c r="E19" s="977" t="n">
        <f aca="false">TableDE12c!F19</f>
        <v>0.00188172286827273</v>
      </c>
      <c r="F19" s="1036" t="n">
        <f aca="false">DataDE1c!P42/DataDE1c!B42</f>
        <v>0.0423848782827677</v>
      </c>
      <c r="G19" s="821" t="n">
        <f aca="false">DataDE1c!CH42/TableDE1!B19</f>
        <v>0.850426310109126</v>
      </c>
      <c r="H19" s="387" t="n">
        <f aca="false">F18/G18</f>
        <v>0.0248419576465893</v>
      </c>
      <c r="I19" s="388" t="n">
        <f aca="false">O18/G18</f>
        <v>0</v>
      </c>
      <c r="J19" s="1037" t="n">
        <f aca="false">DataDE1c!CQ42/TableDE1!B19</f>
        <v>0.329105351966361</v>
      </c>
      <c r="K19" s="1037" t="n">
        <f aca="false">DataDE1c!CR41/TableDE1!B19/1000</f>
        <v>0.00833433265379542</v>
      </c>
      <c r="L19" s="1037" t="n">
        <f aca="false">DataDE1c!CU41/TableDE1!B19/1000</f>
        <v>0</v>
      </c>
      <c r="M19" s="1038"/>
      <c r="N19" s="918"/>
      <c r="O19" s="1039" t="n">
        <v>0</v>
      </c>
      <c r="R19" s="158" t="n">
        <f aca="false">DataDE1c!CY42/DataDE1c!CP42</f>
        <v>0</v>
      </c>
      <c r="S19" s="818"/>
      <c r="T19" s="387" t="n">
        <f aca="false">-(G19-J19-D19)-TableDE6a!H19</f>
        <v>-0</v>
      </c>
    </row>
    <row r="20" customFormat="false" ht="12" hidden="false" customHeight="true" outlineLevel="0" collapsed="false">
      <c r="A20" s="1040" t="n">
        <v>1880</v>
      </c>
      <c r="B20" s="882" t="n">
        <f aca="false">TableDE3b!H20</f>
        <v>83.3438393299447</v>
      </c>
      <c r="C20" s="866" t="n">
        <f aca="false">B20/B19-1</f>
        <v>-0.0290312076838846</v>
      </c>
      <c r="D20" s="1041" t="n">
        <f aca="false">TableDE6a!F20</f>
        <v>0.479762327066336</v>
      </c>
      <c r="E20" s="1042" t="n">
        <f aca="false">TableDE12c!F20</f>
        <v>-0.00766786301148494</v>
      </c>
      <c r="F20" s="1043" t="n">
        <f aca="false">DataDE1c!P43/DataDE1c!B43</f>
        <v>0.0278009932600213</v>
      </c>
      <c r="G20" s="1044" t="n">
        <f aca="false">DataDE1c!CH43/TableDE1!B20</f>
        <v>0.84833274210713</v>
      </c>
      <c r="H20" s="448" t="n">
        <f aca="false">F19/G19</f>
        <v>0.0498395660846017</v>
      </c>
      <c r="I20" s="1045" t="n">
        <f aca="false">O19/G19</f>
        <v>0</v>
      </c>
      <c r="J20" s="1046" t="n">
        <f aca="false">DataDE1c!CQ43/TableDE1!B20</f>
        <v>0.368570415040795</v>
      </c>
      <c r="K20" s="1046" t="n">
        <f aca="false">DataDE1c!CR42/TableDE1!B20/1000</f>
        <v>0.0128887312285681</v>
      </c>
      <c r="L20" s="1046" t="n">
        <f aca="false">DataDE1c!CU42/TableDE1!B20/1000</f>
        <v>0</v>
      </c>
      <c r="M20" s="1047" t="n">
        <f aca="false">DataDE1c!CS43/TableDE1!$B20/1000</f>
        <v>0.310039020929408</v>
      </c>
      <c r="N20" s="1048" t="n">
        <f aca="false">DataDE1c!CT43/TableDE1!$B20/1000</f>
        <v>0.045642662882819</v>
      </c>
      <c r="O20" s="1049" t="n">
        <v>0</v>
      </c>
      <c r="R20" s="158" t="n">
        <f aca="false">DataDE1c!CY43/DataDE1c!CP43</f>
        <v>0</v>
      </c>
      <c r="S20" s="818" t="n">
        <f aca="false">N20+M20+K20-J20+L20</f>
        <v>0</v>
      </c>
      <c r="T20" s="387" t="n">
        <f aca="false">-(G20-J20-D20)-TableDE6a!H20</f>
        <v>-0</v>
      </c>
    </row>
    <row r="21" customFormat="false" ht="12" hidden="false" customHeight="true" outlineLevel="0" collapsed="false">
      <c r="A21" s="380" t="n">
        <v>1881</v>
      </c>
      <c r="B21" s="819" t="n">
        <f aca="false">TableDE3b!H21</f>
        <v>86.8487927174507</v>
      </c>
      <c r="C21" s="382" t="n">
        <f aca="false">B21/B20-1</f>
        <v>0.042054138802395</v>
      </c>
      <c r="D21" s="978" t="n">
        <f aca="false">TableDE6a!F21</f>
        <v>0.440406494702902</v>
      </c>
      <c r="E21" s="977" t="n">
        <f aca="false">TableDE12c!F21</f>
        <v>-0.00509880239520962</v>
      </c>
      <c r="F21" s="1036" t="n">
        <f aca="false">DataDE1c!P44/DataDE1c!B44</f>
        <v>0.0239776600644864</v>
      </c>
      <c r="G21" s="821" t="n">
        <f aca="false">DataDE1c!CH44/TableDE1!B21</f>
        <v>0.831096269000461</v>
      </c>
      <c r="H21" s="387" t="n">
        <f aca="false">F20/G20</f>
        <v>0.032771331200736</v>
      </c>
      <c r="I21" s="388" t="n">
        <f aca="false">O20/G20</f>
        <v>0</v>
      </c>
      <c r="J21" s="1037" t="n">
        <f aca="false">DataDE1c!CQ44/TableDE1!B21</f>
        <v>0.390689774297559</v>
      </c>
      <c r="K21" s="1037" t="n">
        <f aca="false">DataDE1c!CR43/TableDE1!B21/1000</f>
        <v>0.0177337632427453</v>
      </c>
      <c r="L21" s="1037" t="n">
        <f aca="false">DataDE1c!CU43/TableDE1!B21/1000</f>
        <v>0</v>
      </c>
      <c r="M21" s="1050" t="n">
        <f aca="false">DataDE1c!CS44/TableDE1!$B21/1000</f>
        <v>0.324884845693229</v>
      </c>
      <c r="N21" s="935" t="n">
        <f aca="false">DataDE1c!CT44/TableDE1!$B21/1000</f>
        <v>0.0480711653615845</v>
      </c>
      <c r="O21" s="1039" t="n">
        <v>0</v>
      </c>
      <c r="R21" s="158" t="n">
        <f aca="false">DataDE1c!CY44/DataDE1c!CP44</f>
        <v>0</v>
      </c>
      <c r="S21" s="818" t="n">
        <f aca="false">N21+M21+K21-J21+L21</f>
        <v>0</v>
      </c>
      <c r="T21" s="387" t="n">
        <f aca="false">-(G21-J21-D21)-TableDE6a!H21</f>
        <v>-0</v>
      </c>
    </row>
    <row r="22" customFormat="false" ht="12" hidden="false" customHeight="true" outlineLevel="0" collapsed="false">
      <c r="A22" s="380" t="n">
        <v>1882</v>
      </c>
      <c r="B22" s="819" t="n">
        <f aca="false">TableDE3b!H22</f>
        <v>87.0167238295076</v>
      </c>
      <c r="C22" s="382" t="n">
        <f aca="false">B22/B21-1</f>
        <v>0.00193360329835857</v>
      </c>
      <c r="D22" s="978" t="n">
        <f aca="false">TableDE6a!F22</f>
        <v>0.433439945171055</v>
      </c>
      <c r="E22" s="977" t="n">
        <f aca="false">TableDE12c!F22</f>
        <v>-0.000265349248957734</v>
      </c>
      <c r="F22" s="1036" t="n">
        <f aca="false">DataDE1c!P45/DataDE1c!B45</f>
        <v>0.0270491747101491</v>
      </c>
      <c r="G22" s="821" t="n">
        <f aca="false">DataDE1c!CH45/TableDE1!B22</f>
        <v>0.848940544862642</v>
      </c>
      <c r="H22" s="387" t="n">
        <f aca="false">F21/G21</f>
        <v>0.0288506409652443</v>
      </c>
      <c r="I22" s="388" t="n">
        <f aca="false">O21/G21</f>
        <v>0</v>
      </c>
      <c r="J22" s="1037" t="n">
        <f aca="false">DataDE1c!CQ45/TableDE1!B22</f>
        <v>0.415500599691587</v>
      </c>
      <c r="K22" s="1037" t="n">
        <f aca="false">DataDE1c!CR44/TableDE1!B22/1000</f>
        <v>0.0191901307898795</v>
      </c>
      <c r="L22" s="1037" t="n">
        <f aca="false">DataDE1c!CU44/TableDE1!B22/1000</f>
        <v>0</v>
      </c>
      <c r="M22" s="1050" t="n">
        <f aca="false">DataDE1c!CS45/TableDE1!$B22/1000</f>
        <v>0.345033982523274</v>
      </c>
      <c r="N22" s="935" t="n">
        <f aca="false">DataDE1c!CT45/TableDE1!$B22/1000</f>
        <v>0.0512764863784339</v>
      </c>
      <c r="O22" s="1039" t="n">
        <v>0</v>
      </c>
      <c r="R22" s="158" t="n">
        <f aca="false">DataDE1c!CY45/DataDE1c!CP45</f>
        <v>0</v>
      </c>
      <c r="S22" s="818" t="n">
        <f aca="false">N22+M22+K22-J22+L22</f>
        <v>0</v>
      </c>
      <c r="T22" s="387" t="n">
        <f aca="false">-(G22-J22-D22)-TableDE6a!H22</f>
        <v>-0</v>
      </c>
    </row>
    <row r="23" customFormat="false" ht="12" hidden="false" customHeight="true" outlineLevel="0" collapsed="false">
      <c r="A23" s="380" t="n">
        <v>1883</v>
      </c>
      <c r="B23" s="819" t="n">
        <f aca="false">TableDE3b!H23</f>
        <v>92.08306319793</v>
      </c>
      <c r="C23" s="382" t="n">
        <f aca="false">B23/B22-1</f>
        <v>0.0582225938355128</v>
      </c>
      <c r="D23" s="978" t="n">
        <f aca="false">TableDE6a!F23</f>
        <v>0.428808376267243</v>
      </c>
      <c r="E23" s="977" t="n">
        <f aca="false">TableDE12c!F23</f>
        <v>-0.00569829926319871</v>
      </c>
      <c r="F23" s="1036" t="n">
        <f aca="false">DataDE1c!P46/DataDE1c!B46</f>
        <v>0.021959448230015</v>
      </c>
      <c r="G23" s="821" t="n">
        <f aca="false">DataDE1c!CH46/TableDE1!B23</f>
        <v>0.858119771757797</v>
      </c>
      <c r="H23" s="387" t="n">
        <f aca="false">F22/G22</f>
        <v>0.0318622721860052</v>
      </c>
      <c r="I23" s="388" t="n">
        <f aca="false">O22/G22</f>
        <v>0</v>
      </c>
      <c r="J23" s="1037" t="n">
        <f aca="false">DataDE1c!CQ46/TableDE1!B23</f>
        <v>0.429311395490555</v>
      </c>
      <c r="K23" s="1037" t="n">
        <f aca="false">DataDE1c!CR45/TableDE1!B23/1000</f>
        <v>0.0193341089136336</v>
      </c>
      <c r="L23" s="1037" t="n">
        <f aca="false">DataDE1c!CU45/TableDE1!B23/1000</f>
        <v>0</v>
      </c>
      <c r="M23" s="1050" t="n">
        <f aca="false">DataDE1c!CS46/TableDE1!$B23/1000</f>
        <v>0.356755858401197</v>
      </c>
      <c r="N23" s="935" t="n">
        <f aca="false">DataDE1c!CT46/TableDE1!$B23/1000</f>
        <v>0.0532214281757243</v>
      </c>
      <c r="O23" s="1039" t="n">
        <v>0</v>
      </c>
      <c r="R23" s="158" t="n">
        <f aca="false">DataDE1c!CY46/DataDE1c!CP46</f>
        <v>0</v>
      </c>
      <c r="S23" s="818" t="n">
        <f aca="false">N23+M23+K23-J23+L23</f>
        <v>0</v>
      </c>
      <c r="T23" s="387" t="n">
        <f aca="false">-(G23-J23-D23)-TableDE6a!H23</f>
        <v>-0</v>
      </c>
    </row>
    <row r="24" customFormat="false" ht="12" hidden="false" customHeight="true" outlineLevel="0" collapsed="false">
      <c r="A24" s="380" t="n">
        <v>1884</v>
      </c>
      <c r="B24" s="819" t="n">
        <f aca="false">TableDE3b!H24</f>
        <v>95.7514879343772</v>
      </c>
      <c r="C24" s="382" t="n">
        <f aca="false">B24/B23-1</f>
        <v>0.0398382135546682</v>
      </c>
      <c r="D24" s="978" t="n">
        <f aca="false">TableDE6a!F24</f>
        <v>0.40924492761423</v>
      </c>
      <c r="E24" s="977" t="n">
        <f aca="false">TableDE12c!F24</f>
        <v>-0.0111596792422367</v>
      </c>
      <c r="F24" s="1036" t="n">
        <f aca="false">DataDE1c!P47/DataDE1c!B47</f>
        <v>0.0163146224638071</v>
      </c>
      <c r="G24" s="821" t="n">
        <f aca="false">DataDE1c!CH47/TableDE1!B24</f>
        <v>0.853623593993865</v>
      </c>
      <c r="H24" s="387" t="n">
        <f aca="false">F23/G23</f>
        <v>0.0255901902656696</v>
      </c>
      <c r="I24" s="388" t="n">
        <f aca="false">O23/G23</f>
        <v>0</v>
      </c>
      <c r="J24" s="1037" t="n">
        <f aca="false">DataDE1c!CQ47/TableDE1!B24</f>
        <v>0.444378666379635</v>
      </c>
      <c r="K24" s="1037" t="n">
        <f aca="false">DataDE1c!CR46/TableDE1!B24/1000</f>
        <v>0.0212582745815618</v>
      </c>
      <c r="L24" s="1037" t="n">
        <f aca="false">DataDE1c!CU46/TableDE1!B24/1000</f>
        <v>0</v>
      </c>
      <c r="M24" s="1050" t="n">
        <f aca="false">DataDE1c!CS47/TableDE1!$B24/1000</f>
        <v>0.368031860502664</v>
      </c>
      <c r="N24" s="935" t="n">
        <f aca="false">DataDE1c!CT47/TableDE1!$B24/1000</f>
        <v>0.0550885312954093</v>
      </c>
      <c r="O24" s="1039" t="n">
        <v>0</v>
      </c>
      <c r="R24" s="158" t="n">
        <f aca="false">DataDE1c!CY47/DataDE1c!CP47</f>
        <v>0</v>
      </c>
      <c r="S24" s="818" t="n">
        <f aca="false">N24+M24+K24-J24+L24</f>
        <v>0</v>
      </c>
      <c r="T24" s="387" t="n">
        <f aca="false">-(G24-J24-D24)-TableDE6a!H24</f>
        <v>-0</v>
      </c>
    </row>
    <row r="25" customFormat="false" ht="12" hidden="false" customHeight="true" outlineLevel="0" collapsed="false">
      <c r="A25" s="380" t="n">
        <v>1885</v>
      </c>
      <c r="B25" s="819" t="n">
        <f aca="false">TableDE3b!H25</f>
        <v>98.8025810640336</v>
      </c>
      <c r="C25" s="382" t="n">
        <f aca="false">B25/B24-1</f>
        <v>0.0318647072278135</v>
      </c>
      <c r="D25" s="978" t="n">
        <f aca="false">TableDE6a!F25</f>
        <v>0.404030105690189</v>
      </c>
      <c r="E25" s="977" t="n">
        <f aca="false">TableDE12c!F25</f>
        <v>-0.0122904878829935</v>
      </c>
      <c r="F25" s="1036" t="n">
        <f aca="false">DataDE1c!P48/DataDE1c!B48</f>
        <v>0.0145724351446568</v>
      </c>
      <c r="G25" s="821" t="n">
        <f aca="false">DataDE1c!CH48/TableDE1!B25</f>
        <v>0.872082844026903</v>
      </c>
      <c r="H25" s="387" t="n">
        <f aca="false">F24/G24</f>
        <v>0.0191121972009649</v>
      </c>
      <c r="I25" s="388" t="n">
        <f aca="false">O24/G24</f>
        <v>0</v>
      </c>
      <c r="J25" s="1037" t="n">
        <f aca="false">DataDE1c!CQ48/TableDE1!B25</f>
        <v>0.468052738336714</v>
      </c>
      <c r="K25" s="1037" t="n">
        <f aca="false">DataDE1c!CR47/TableDE1!B25/1000</f>
        <v>0.0237536030746237</v>
      </c>
      <c r="L25" s="1037" t="n">
        <f aca="false">DataDE1c!CU47/TableDE1!B25/1000</f>
        <v>0</v>
      </c>
      <c r="M25" s="1050" t="n">
        <f aca="false">DataDE1c!CS48/TableDE1!$B25/1000</f>
        <v>0.386302978541689</v>
      </c>
      <c r="N25" s="935" t="n">
        <f aca="false">DataDE1c!CT48/TableDE1!$B25/1000</f>
        <v>0.0579961567204014</v>
      </c>
      <c r="O25" s="1039" t="n">
        <v>0</v>
      </c>
      <c r="R25" s="158" t="n">
        <f aca="false">DataDE1c!CY48/DataDE1c!CP48</f>
        <v>0</v>
      </c>
      <c r="S25" s="818" t="n">
        <f aca="false">N25+M25+K25-J25+L25</f>
        <v>0</v>
      </c>
      <c r="T25" s="387" t="n">
        <f aca="false">-(G25-J25-D25)-TableDE6a!H25</f>
        <v>-0</v>
      </c>
    </row>
    <row r="26" customFormat="false" ht="12" hidden="false" customHeight="true" outlineLevel="0" collapsed="false">
      <c r="A26" s="380" t="n">
        <v>1886</v>
      </c>
      <c r="B26" s="819" t="n">
        <f aca="false">TableDE3b!H26</f>
        <v>100.511748717221</v>
      </c>
      <c r="C26" s="382" t="n">
        <f aca="false">B26/B25-1</f>
        <v>0.0172988158283014</v>
      </c>
      <c r="D26" s="978" t="n">
        <f aca="false">TableDE6a!F26</f>
        <v>0.40111122847787</v>
      </c>
      <c r="E26" s="977" t="n">
        <f aca="false">TableDE12c!F26</f>
        <v>-0.0133685433611494</v>
      </c>
      <c r="F26" s="1036" t="n">
        <f aca="false">DataDE1c!P49/DataDE1c!B49</f>
        <v>0.0137387768036337</v>
      </c>
      <c r="G26" s="821" t="n">
        <f aca="false">DataDE1c!CH49/TableDE1!B26</f>
        <v>0.890653850216541</v>
      </c>
      <c r="H26" s="387" t="n">
        <f aca="false">F25/G25</f>
        <v>0.0167099206737832</v>
      </c>
      <c r="I26" s="388" t="n">
        <f aca="false">O25/G25</f>
        <v>0</v>
      </c>
      <c r="J26" s="1037" t="n">
        <f aca="false">DataDE1c!CQ49/TableDE1!B26</f>
        <v>0.489542621738671</v>
      </c>
      <c r="K26" s="1037" t="n">
        <f aca="false">DataDE1c!CR48/TableDE1!B26/1000</f>
        <v>0.0255624801943594</v>
      </c>
      <c r="L26" s="1037" t="n">
        <f aca="false">DataDE1c!CU48/TableDE1!B26/1000</f>
        <v>0</v>
      </c>
      <c r="M26" s="1050" t="n">
        <f aca="false">DataDE1c!CS49/TableDE1!$B26/1000</f>
        <v>0.403274532586881</v>
      </c>
      <c r="N26" s="935" t="n">
        <f aca="false">DataDE1c!CT49/TableDE1!$B26/1000</f>
        <v>0.0607056089574311</v>
      </c>
      <c r="O26" s="1039" t="n">
        <v>0</v>
      </c>
      <c r="R26" s="158" t="n">
        <f aca="false">DataDE1c!CY49/DataDE1c!CP49</f>
        <v>0</v>
      </c>
      <c r="S26" s="818" t="n">
        <f aca="false">N26+M26+K26-J26+L26</f>
        <v>0</v>
      </c>
      <c r="T26" s="387" t="n">
        <f aca="false">-(G26-J26-D26)-TableDE6a!H26</f>
        <v>-0</v>
      </c>
    </row>
    <row r="27" customFormat="false" ht="12" hidden="false" customHeight="true" outlineLevel="0" collapsed="false">
      <c r="A27" s="380" t="n">
        <v>1887</v>
      </c>
      <c r="B27" s="819" t="n">
        <f aca="false">TableDE3b!H27</f>
        <v>101.703842951878</v>
      </c>
      <c r="C27" s="382" t="n">
        <f aca="false">B27/B26-1</f>
        <v>0.0118602476811991</v>
      </c>
      <c r="D27" s="978" t="n">
        <f aca="false">TableDE6a!F27</f>
        <v>0.405490420063347</v>
      </c>
      <c r="E27" s="977" t="n">
        <f aca="false">TableDE12c!F27</f>
        <v>-0.017989407549717</v>
      </c>
      <c r="F27" s="1036" t="n">
        <f aca="false">DataDE1c!P50/DataDE1c!B50</f>
        <v>0.013749000467314</v>
      </c>
      <c r="G27" s="821" t="n">
        <f aca="false">DataDE1c!CH50/TableDE1!B27</f>
        <v>0.913642452879173</v>
      </c>
      <c r="H27" s="387" t="n">
        <f aca="false">F26/G26</f>
        <v>0.0154254953260387</v>
      </c>
      <c r="I27" s="388" t="n">
        <f aca="false">O26/G26</f>
        <v>0</v>
      </c>
      <c r="J27" s="1037" t="n">
        <f aca="false">DataDE1c!CQ50/TableDE1!B27</f>
        <v>0.508152032815827</v>
      </c>
      <c r="K27" s="1037" t="n">
        <f aca="false">DataDE1c!CR49/TableDE1!B27/1000</f>
        <v>0.0280388389843709</v>
      </c>
      <c r="L27" s="1037" t="n">
        <f aca="false">DataDE1c!CU49/TableDE1!B27/1000</f>
        <v>0</v>
      </c>
      <c r="M27" s="1050" t="n">
        <f aca="false">DataDE1c!CS50/TableDE1!$B27/1000</f>
        <v>0.417166000311543</v>
      </c>
      <c r="N27" s="935" t="n">
        <f aca="false">DataDE1c!CT50/TableDE1!$B27/1000</f>
        <v>0.0629471935199128</v>
      </c>
      <c r="O27" s="1039" t="n">
        <v>0</v>
      </c>
      <c r="R27" s="158" t="n">
        <f aca="false">DataDE1c!CY50/DataDE1c!CP50</f>
        <v>0</v>
      </c>
      <c r="S27" s="818" t="n">
        <f aca="false">N27+M27+K27-J27+L27</f>
        <v>0</v>
      </c>
      <c r="T27" s="387" t="n">
        <f aca="false">-(G27-J27-D27)-TableDE6a!H27</f>
        <v>-0</v>
      </c>
    </row>
    <row r="28" customFormat="false" ht="12" hidden="false" customHeight="true" outlineLevel="0" collapsed="false">
      <c r="A28" s="380" t="n">
        <v>1888</v>
      </c>
      <c r="B28" s="819" t="n">
        <f aca="false">TableDE3b!H28</f>
        <v>107.079806456458</v>
      </c>
      <c r="C28" s="382" t="n">
        <f aca="false">B28/B27-1</f>
        <v>0.0528590006881389</v>
      </c>
      <c r="D28" s="978" t="n">
        <f aca="false">TableDE6a!F28</f>
        <v>0.393985507246377</v>
      </c>
      <c r="E28" s="977" t="n">
        <f aca="false">TableDE12c!F28</f>
        <v>-0.011719806763285</v>
      </c>
      <c r="F28" s="1036" t="n">
        <f aca="false">DataDE1c!P51/DataDE1c!B51</f>
        <v>0.0186666666666667</v>
      </c>
      <c r="G28" s="821" t="n">
        <f aca="false">DataDE1c!CH51/TableDE1!B28</f>
        <v>0.89780193236715</v>
      </c>
      <c r="H28" s="387" t="n">
        <f aca="false">F27/G27</f>
        <v>0.0150485569316384</v>
      </c>
      <c r="I28" s="388" t="n">
        <f aca="false">O27/G27</f>
        <v>0</v>
      </c>
      <c r="J28" s="1037" t="n">
        <f aca="false">DataDE1c!CQ51/TableDE1!B28</f>
        <v>0.503816425120773</v>
      </c>
      <c r="K28" s="1037" t="n">
        <f aca="false">DataDE1c!CR50/TableDE1!B28/1000</f>
        <v>0.0348309178743961</v>
      </c>
      <c r="L28" s="1037" t="n">
        <f aca="false">DataDE1c!CU50/TableDE1!B28/1000</f>
        <v>0</v>
      </c>
      <c r="M28" s="1050" t="n">
        <f aca="false">DataDE1c!CS51/TableDE1!$B28/1000</f>
        <v>0.407381642512078</v>
      </c>
      <c r="N28" s="935" t="n">
        <f aca="false">DataDE1c!CT51/TableDE1!$B28/1000</f>
        <v>0.0616038647342995</v>
      </c>
      <c r="O28" s="1039" t="n">
        <v>0</v>
      </c>
      <c r="R28" s="158" t="n">
        <f aca="false">DataDE1c!CY51/DataDE1c!CP51</f>
        <v>0</v>
      </c>
      <c r="S28" s="818" t="n">
        <f aca="false">N28+M28+K28-J28+L28</f>
        <v>0</v>
      </c>
      <c r="T28" s="387" t="n">
        <f aca="false">-(G28-J28-D28)-TableDE6a!H28</f>
        <v>-0</v>
      </c>
    </row>
    <row r="29" customFormat="false" ht="12" hidden="false" customHeight="true" outlineLevel="0" collapsed="false">
      <c r="A29" s="380" t="n">
        <v>1889</v>
      </c>
      <c r="B29" s="819" t="n">
        <f aca="false">TableDE3b!H29</f>
        <v>111.639741256374</v>
      </c>
      <c r="C29" s="382" t="n">
        <f aca="false">B29/B28-1</f>
        <v>0.0425844512687894</v>
      </c>
      <c r="D29" s="978" t="n">
        <f aca="false">TableDE6a!F29</f>
        <v>0.382767612282516</v>
      </c>
      <c r="E29" s="977" t="n">
        <f aca="false">TableDE12c!F29</f>
        <v>-0.010587151013802</v>
      </c>
      <c r="F29" s="1036" t="n">
        <f aca="false">DataDE1c!P52/DataDE1c!B52</f>
        <v>0.0198831092928112</v>
      </c>
      <c r="G29" s="821" t="n">
        <f aca="false">DataDE1c!CH52/TableDE1!B29</f>
        <v>0.879710470709886</v>
      </c>
      <c r="H29" s="387" t="n">
        <f aca="false">F28/G28</f>
        <v>0.0207915198148995</v>
      </c>
      <c r="I29" s="388" t="n">
        <f aca="false">O28/G28</f>
        <v>0</v>
      </c>
      <c r="J29" s="1037" t="n">
        <f aca="false">DataDE1c!CQ52/TableDE1!B29</f>
        <v>0.496942858427371</v>
      </c>
      <c r="K29" s="1037" t="n">
        <f aca="false">DataDE1c!CR51/TableDE1!B29/1000</f>
        <v>0.0397428404441847</v>
      </c>
      <c r="L29" s="1037" t="n">
        <f aca="false">DataDE1c!CU51/TableDE1!B29/1000</f>
        <v>0</v>
      </c>
      <c r="M29" s="1050" t="n">
        <f aca="false">DataDE1c!CS52/TableDE1!$B29/1000</f>
        <v>0.397041765948838</v>
      </c>
      <c r="N29" s="935" t="n">
        <f aca="false">DataDE1c!CT52/TableDE1!$B29/1000</f>
        <v>0.0601582520343479</v>
      </c>
      <c r="O29" s="1039" t="n">
        <v>0</v>
      </c>
      <c r="R29" s="158" t="n">
        <f aca="false">DataDE1c!CY52/DataDE1c!CP52</f>
        <v>0</v>
      </c>
      <c r="S29" s="818" t="n">
        <f aca="false">N29+M29+K29-J29+L29</f>
        <v>0</v>
      </c>
      <c r="T29" s="387" t="n">
        <f aca="false">-(G29-J29-D29)-TableDE6a!H29</f>
        <v>-0</v>
      </c>
    </row>
    <row r="30" customFormat="false" ht="12" hidden="false" customHeight="true" outlineLevel="0" collapsed="false">
      <c r="A30" s="1040" t="n">
        <v>1890</v>
      </c>
      <c r="B30" s="882" t="n">
        <f aca="false">TableDE3b!H30</f>
        <v>115.603008190282</v>
      </c>
      <c r="C30" s="866" t="n">
        <f aca="false">B30/B29-1</f>
        <v>0.0355005026821664</v>
      </c>
      <c r="D30" s="1041" t="n">
        <f aca="false">TableDE6a!F30</f>
        <v>0.343305687203792</v>
      </c>
      <c r="E30" s="1042" t="n">
        <f aca="false">TableDE12c!F30</f>
        <v>-0.00379125761679075</v>
      </c>
      <c r="F30" s="1043" t="n">
        <f aca="false">DataDE1c!P53/DataDE1c!B53</f>
        <v>0.0202725118483412</v>
      </c>
      <c r="G30" s="1044" t="n">
        <f aca="false">DataDE1c!CH53/TableDE1!B30</f>
        <v>0.840470548408937</v>
      </c>
      <c r="H30" s="448" t="n">
        <f aca="false">F29/G29</f>
        <v>0.0226018786348723</v>
      </c>
      <c r="I30" s="1045" t="n">
        <f aca="false">O29/G29</f>
        <v>0</v>
      </c>
      <c r="J30" s="1046" t="n">
        <f aca="false">DataDE1c!CQ53/TableDE1!B30</f>
        <v>0.497164861205146</v>
      </c>
      <c r="K30" s="1046" t="n">
        <f aca="false">DataDE1c!CR52/TableDE1!B30/1000</f>
        <v>0.0473087339201083</v>
      </c>
      <c r="L30" s="1046" t="n">
        <f aca="false">DataDE1c!CU52/TableDE1!B30/1000</f>
        <v>0</v>
      </c>
      <c r="M30" s="1047" t="n">
        <f aca="false">DataDE1c!CS53/TableDE1!$B30/1000</f>
        <v>0.390572105619499</v>
      </c>
      <c r="N30" s="1048" t="n">
        <f aca="false">DataDE1c!CT53/TableDE1!$B30/1000</f>
        <v>0.0592840216655383</v>
      </c>
      <c r="O30" s="1049" t="n">
        <v>0</v>
      </c>
      <c r="R30" s="158" t="n">
        <f aca="false">DataDE1c!CY53/DataDE1c!CP53</f>
        <v>0</v>
      </c>
      <c r="S30" s="818" t="n">
        <f aca="false">N30+M30+K30-J30+L30</f>
        <v>0</v>
      </c>
      <c r="T30" s="387" t="n">
        <f aca="false">-(G30-J30-D30)-TableDE6a!H30</f>
        <v>-0</v>
      </c>
    </row>
    <row r="31" customFormat="false" ht="12" hidden="false" customHeight="true" outlineLevel="0" collapsed="false">
      <c r="A31" s="380" t="n">
        <v>1891</v>
      </c>
      <c r="B31" s="819" t="n">
        <f aca="false">TableDE3b!H31</f>
        <v>111.130046612761</v>
      </c>
      <c r="C31" s="382" t="n">
        <f aca="false">B31/B30-1</f>
        <v>-0.0386924323816773</v>
      </c>
      <c r="D31" s="978" t="n">
        <f aca="false">TableDE6a!F31</f>
        <v>0.341852525162949</v>
      </c>
      <c r="E31" s="977" t="n">
        <f aca="false">TableDE12c!F31</f>
        <v>-0.0085488848490223</v>
      </c>
      <c r="F31" s="1036" t="n">
        <f aca="false">DataDE1c!P54/DataDE1c!B54</f>
        <v>0.0203785305724294</v>
      </c>
      <c r="G31" s="821" t="n">
        <f aca="false">DataDE1c!CH54/TableDE1!B31</f>
        <v>0.886143750277125</v>
      </c>
      <c r="H31" s="387" t="n">
        <f aca="false">F30/G30</f>
        <v>0.0241204309737187</v>
      </c>
      <c r="I31" s="388" t="n">
        <f aca="false">O30/G30</f>
        <v>0</v>
      </c>
      <c r="J31" s="1037" t="n">
        <f aca="false">DataDE1c!CQ54/TableDE1!B31</f>
        <v>0.544291225114176</v>
      </c>
      <c r="K31" s="1037" t="n">
        <f aca="false">DataDE1c!CR53/TableDE1!B31/1000</f>
        <v>0.0584401188311976</v>
      </c>
      <c r="L31" s="1037" t="n">
        <f aca="false">DataDE1c!CU53/TableDE1!B31/1000</f>
        <v>0</v>
      </c>
      <c r="M31" s="1050" t="n">
        <f aca="false">DataDE1c!CS54/TableDE1!$B31/1000</f>
        <v>0.416206269675875</v>
      </c>
      <c r="N31" s="935" t="n">
        <f aca="false">DataDE1c!CT54/TableDE1!$B31/1000</f>
        <v>0.0696448366071033</v>
      </c>
      <c r="O31" s="1039" t="n">
        <v>0</v>
      </c>
      <c r="R31" s="158" t="n">
        <f aca="false">DataDE1c!CY54/DataDE1c!CP54</f>
        <v>0</v>
      </c>
      <c r="S31" s="818" t="n">
        <f aca="false">N31+M31+K31-J31+L31</f>
        <v>0</v>
      </c>
      <c r="T31" s="387" t="n">
        <f aca="false">-(G31-J31-D31)-TableDE6a!H31</f>
        <v>-0</v>
      </c>
    </row>
    <row r="32" customFormat="false" ht="12" hidden="false" customHeight="true" outlineLevel="0" collapsed="false">
      <c r="A32" s="380" t="n">
        <v>1892</v>
      </c>
      <c r="B32" s="819" t="n">
        <f aca="false">TableDE3b!H32</f>
        <v>117.780243495529</v>
      </c>
      <c r="C32" s="382" t="n">
        <f aca="false">B32/B31-1</f>
        <v>0.0598415737729388</v>
      </c>
      <c r="D32" s="978" t="n">
        <f aca="false">TableDE6a!F32</f>
        <v>0.293733366600133</v>
      </c>
      <c r="E32" s="977" t="n">
        <f aca="false">TableDE12c!F32</f>
        <v>0.00326925316034591</v>
      </c>
      <c r="F32" s="1036" t="n">
        <f aca="false">DataDE1c!P55/DataDE1c!B55</f>
        <v>0.0223831087824351</v>
      </c>
      <c r="G32" s="821" t="n">
        <f aca="false">DataDE1c!CH55/TableDE1!B32</f>
        <v>0.833063040585496</v>
      </c>
      <c r="H32" s="387" t="n">
        <f aca="false">F31/G31</f>
        <v>0.0229968676820847</v>
      </c>
      <c r="I32" s="388" t="n">
        <f aca="false">O31/G31</f>
        <v>0</v>
      </c>
      <c r="J32" s="1037" t="n">
        <f aca="false">DataDE1c!CQ55/TableDE1!B32</f>
        <v>0.539329673985363</v>
      </c>
      <c r="K32" s="1037" t="n">
        <f aca="false">DataDE1c!CR54/TableDE1!B32/1000</f>
        <v>0.0701097804391218</v>
      </c>
      <c r="L32" s="1037" t="n">
        <f aca="false">DataDE1c!CU54/TableDE1!B32/1000</f>
        <v>0</v>
      </c>
      <c r="M32" s="1050" t="n">
        <f aca="false">DataDE1c!CS55/TableDE1!$B32/1000</f>
        <v>0.396847970725216</v>
      </c>
      <c r="N32" s="935" t="n">
        <f aca="false">DataDE1c!CT55/TableDE1!$B32/1000</f>
        <v>0.0723719228210246</v>
      </c>
      <c r="O32" s="1039" t="n">
        <v>0</v>
      </c>
      <c r="R32" s="158" t="n">
        <f aca="false">DataDE1c!CY55/DataDE1c!CP55</f>
        <v>0</v>
      </c>
      <c r="S32" s="818" t="n">
        <f aca="false">N32+M32+K32-J32+L32</f>
        <v>0</v>
      </c>
      <c r="T32" s="387" t="n">
        <f aca="false">-(G32-J32-D32)-TableDE6a!H32</f>
        <v>-0</v>
      </c>
    </row>
    <row r="33" customFormat="false" ht="12" hidden="false" customHeight="true" outlineLevel="0" collapsed="false">
      <c r="A33" s="380" t="n">
        <v>1893</v>
      </c>
      <c r="B33" s="819" t="n">
        <f aca="false">TableDE3b!H33</f>
        <v>126.708072353717</v>
      </c>
      <c r="C33" s="382" t="n">
        <f aca="false">B33/B32-1</f>
        <v>0.0758007335799695</v>
      </c>
      <c r="D33" s="978" t="n">
        <f aca="false">TableDE6a!F33</f>
        <v>0.259398471526009</v>
      </c>
      <c r="E33" s="977" t="n">
        <f aca="false">TableDE12c!F33</f>
        <v>0.000376448352370815</v>
      </c>
      <c r="F33" s="1036" t="n">
        <f aca="false">DataDE1c!P56/DataDE1c!B56</f>
        <v>0.0197453365108061</v>
      </c>
      <c r="G33" s="821" t="n">
        <f aca="false">DataDE1c!CH56/TableDE1!B33</f>
        <v>0.807972717561016</v>
      </c>
      <c r="H33" s="387" t="n">
        <f aca="false">F32/G32</f>
        <v>0.026868445354032</v>
      </c>
      <c r="I33" s="388" t="n">
        <f aca="false">O32/G32</f>
        <v>0</v>
      </c>
      <c r="J33" s="1037" t="n">
        <f aca="false">DataDE1c!CQ56/TableDE1!B33</f>
        <v>0.548574246035007</v>
      </c>
      <c r="K33" s="1037" t="n">
        <f aca="false">DataDE1c!CR55/TableDE1!B33/1000</f>
        <v>0.0715342263127619</v>
      </c>
      <c r="L33" s="1037" t="n">
        <f aca="false">DataDE1c!CU55/TableDE1!B33/1000</f>
        <v>0</v>
      </c>
      <c r="M33" s="1050" t="n">
        <f aca="false">DataDE1c!CS56/TableDE1!$B33/1000</f>
        <v>0.3985578108308</v>
      </c>
      <c r="N33" s="935" t="n">
        <f aca="false">DataDE1c!CT56/TableDE1!$B33/1000</f>
        <v>0.0784822088914455</v>
      </c>
      <c r="O33" s="1039" t="n">
        <v>0</v>
      </c>
      <c r="R33" s="158" t="n">
        <f aca="false">DataDE1c!CY56/DataDE1c!CP56</f>
        <v>0</v>
      </c>
      <c r="S33" s="818" t="n">
        <f aca="false">N33+M33+K33-J33+L33</f>
        <v>0</v>
      </c>
      <c r="T33" s="387" t="n">
        <f aca="false">-(G33-J33-D33)-TableDE6a!H33</f>
        <v>-0</v>
      </c>
    </row>
    <row r="34" customFormat="false" ht="12" hidden="false" customHeight="true" outlineLevel="0" collapsed="false">
      <c r="A34" s="380" t="n">
        <v>1894</v>
      </c>
      <c r="B34" s="819" t="n">
        <f aca="false">TableDE3b!H34</f>
        <v>127.123807727526</v>
      </c>
      <c r="C34" s="382" t="n">
        <f aca="false">B34/B33-1</f>
        <v>0.00328104883994862</v>
      </c>
      <c r="D34" s="978" t="n">
        <f aca="false">TableDE6a!F34</f>
        <v>0.238658313972784</v>
      </c>
      <c r="E34" s="977" t="n">
        <f aca="false">TableDE12c!F34</f>
        <v>-0.00344283106538341</v>
      </c>
      <c r="F34" s="1036" t="n">
        <f aca="false">DataDE1c!P57/DataDE1c!B57</f>
        <v>0.0170475439761036</v>
      </c>
      <c r="G34" s="821" t="n">
        <f aca="false">DataDE1c!CH57/TableDE1!B34</f>
        <v>0.813359608363757</v>
      </c>
      <c r="H34" s="387" t="n">
        <f aca="false">F33/G33</f>
        <v>0.0244381228247537</v>
      </c>
      <c r="I34" s="388" t="n">
        <f aca="false">O33/G33</f>
        <v>0</v>
      </c>
      <c r="J34" s="1037" t="n">
        <f aca="false">DataDE1c!CQ57/TableDE1!B34</f>
        <v>0.574701294390973</v>
      </c>
      <c r="K34" s="1037" t="n">
        <f aca="false">DataDE1c!CR56/TableDE1!B34/1000</f>
        <v>0.0794888815134417</v>
      </c>
      <c r="L34" s="1037" t="n">
        <f aca="false">DataDE1c!CU56/TableDE1!B34/1000</f>
        <v>0</v>
      </c>
      <c r="M34" s="1050" t="n">
        <f aca="false">DataDE1c!CS57/TableDE1!$B34/1000</f>
        <v>0.408927978758712</v>
      </c>
      <c r="N34" s="935" t="n">
        <f aca="false">DataDE1c!CT57/TableDE1!$B34/1000</f>
        <v>0.0862844341188185</v>
      </c>
      <c r="O34" s="1039" t="n">
        <v>0</v>
      </c>
      <c r="R34" s="158" t="n">
        <f aca="false">DataDE1c!CY57/DataDE1c!CP57</f>
        <v>0</v>
      </c>
      <c r="S34" s="818" t="n">
        <f aca="false">N34+M34+K34-J34+L34</f>
        <v>0</v>
      </c>
      <c r="T34" s="387" t="n">
        <f aca="false">-(G34-J34-D34)-TableDE6a!H34</f>
        <v>-0</v>
      </c>
    </row>
    <row r="35" customFormat="false" ht="12" hidden="false" customHeight="true" outlineLevel="0" collapsed="false">
      <c r="A35" s="380" t="n">
        <v>1895</v>
      </c>
      <c r="B35" s="819" t="n">
        <f aca="false">TableDE3b!H35</f>
        <v>132.570814687756</v>
      </c>
      <c r="C35" s="382" t="n">
        <f aca="false">B35/B34-1</f>
        <v>0.0428480475656072</v>
      </c>
      <c r="D35" s="978" t="n">
        <f aca="false">TableDE6a!F35</f>
        <v>0.228301961561323</v>
      </c>
      <c r="E35" s="977" t="n">
        <f aca="false">TableDE12c!F35</f>
        <v>0.00540320982762034</v>
      </c>
      <c r="F35" s="1036" t="n">
        <f aca="false">DataDE1c!P58/DataDE1c!B58</f>
        <v>0.0212799682979988</v>
      </c>
      <c r="G35" s="821" t="n">
        <f aca="false">DataDE1c!CH58/TableDE1!B35</f>
        <v>0.796718842876957</v>
      </c>
      <c r="H35" s="387" t="n">
        <f aca="false">F34/G34</f>
        <v>0.0209594179509335</v>
      </c>
      <c r="I35" s="388" t="n">
        <f aca="false">O34/G34</f>
        <v>0</v>
      </c>
      <c r="J35" s="1037" t="n">
        <f aca="false">DataDE1c!CQ58/TableDE1!B35</f>
        <v>0.568416881315633</v>
      </c>
      <c r="K35" s="1037" t="n">
        <f aca="false">DataDE1c!CR57/TableDE1!B35/1000</f>
        <v>0.0824648305924312</v>
      </c>
      <c r="L35" s="1037" t="n">
        <f aca="false">DataDE1c!CU57/TableDE1!B35/1000</f>
        <v>0</v>
      </c>
      <c r="M35" s="1050" t="n">
        <f aca="false">DataDE1c!CS58/TableDE1!$B35/1000</f>
        <v>0.396809986130375</v>
      </c>
      <c r="N35" s="935" t="n">
        <f aca="false">DataDE1c!CT58/TableDE1!$B35/1000</f>
        <v>0.0891420645928274</v>
      </c>
      <c r="O35" s="1039" t="n">
        <v>0</v>
      </c>
      <c r="R35" s="158" t="n">
        <f aca="false">DataDE1c!CY58/DataDE1c!CP58</f>
        <v>0</v>
      </c>
      <c r="S35" s="818" t="n">
        <f aca="false">N35+M35+K35-J35+L35</f>
        <v>0</v>
      </c>
      <c r="T35" s="387" t="n">
        <f aca="false">-(G35-J35-D35)-TableDE6a!H35</f>
        <v>-0</v>
      </c>
    </row>
    <row r="36" customFormat="false" ht="12" hidden="false" customHeight="true" outlineLevel="0" collapsed="false">
      <c r="A36" s="380" t="n">
        <v>1896</v>
      </c>
      <c r="B36" s="819" t="n">
        <f aca="false">TableDE3b!H36</f>
        <v>139.446876456364</v>
      </c>
      <c r="C36" s="382" t="n">
        <f aca="false">B36/B35-1</f>
        <v>0.0518670854124488</v>
      </c>
      <c r="D36" s="978" t="n">
        <f aca="false">TableDE6a!F36</f>
        <v>0.24320807211485</v>
      </c>
      <c r="E36" s="977" t="n">
        <f aca="false">TableDE12c!F36</f>
        <v>0.00397889230997511</v>
      </c>
      <c r="F36" s="1036" t="n">
        <f aca="false">DataDE1c!P59/DataDE1c!B59</f>
        <v>0.016940275253181</v>
      </c>
      <c r="G36" s="821" t="n">
        <f aca="false">DataDE1c!CH59/TableDE1!B36</f>
        <v>0.789055161924547</v>
      </c>
      <c r="H36" s="387" t="n">
        <f aca="false">F35/G35</f>
        <v>0.0267095079879832</v>
      </c>
      <c r="I36" s="388" t="n">
        <f aca="false">O35/G35</f>
        <v>0</v>
      </c>
      <c r="J36" s="1037" t="n">
        <f aca="false">DataDE1c!CQ59/TableDE1!B36</f>
        <v>0.545847089809697</v>
      </c>
      <c r="K36" s="1037" t="n">
        <f aca="false">DataDE1c!CR58/TableDE1!B36/1000</f>
        <v>0.0788292465778833</v>
      </c>
      <c r="L36" s="1037" t="n">
        <f aca="false">DataDE1c!CU58/TableDE1!B36/1000</f>
        <v>0</v>
      </c>
      <c r="M36" s="1050" t="n">
        <f aca="false">DataDE1c!CS59/TableDE1!$B36/1000</f>
        <v>0.377274919315948</v>
      </c>
      <c r="N36" s="935" t="n">
        <f aca="false">DataDE1c!CT59/TableDE1!$B36/1000</f>
        <v>0.089742923915866</v>
      </c>
      <c r="O36" s="1039" t="n">
        <v>0</v>
      </c>
      <c r="R36" s="158" t="n">
        <f aca="false">DataDE1c!CY59/DataDE1c!CP59</f>
        <v>0</v>
      </c>
      <c r="S36" s="818" t="n">
        <f aca="false">N36+M36+K36-J36+L36</f>
        <v>0</v>
      </c>
      <c r="T36" s="387" t="n">
        <f aca="false">-(G36-J36-D36)-TableDE6a!H36</f>
        <v>-0</v>
      </c>
    </row>
    <row r="37" customFormat="false" ht="12" hidden="false" customHeight="true" outlineLevel="0" collapsed="false">
      <c r="A37" s="380" t="n">
        <v>1897</v>
      </c>
      <c r="B37" s="819" t="n">
        <f aca="false">TableDE3b!H37</f>
        <v>144.850138686467</v>
      </c>
      <c r="C37" s="382" t="n">
        <f aca="false">B37/B36-1</f>
        <v>0.0387478182904573</v>
      </c>
      <c r="D37" s="978" t="n">
        <f aca="false">TableDE6a!F37</f>
        <v>0.268317004288553</v>
      </c>
      <c r="E37" s="977" t="n">
        <f aca="false">TableDE12c!F37</f>
        <v>0.00619566960705696</v>
      </c>
      <c r="F37" s="1036" t="n">
        <f aca="false">DataDE1c!P60/DataDE1c!B60</f>
        <v>0.019467522052927</v>
      </c>
      <c r="G37" s="821" t="n">
        <f aca="false">DataDE1c!CH60/TableDE1!B37</f>
        <v>0.793291726229908</v>
      </c>
      <c r="H37" s="387" t="n">
        <f aca="false">F36/G36</f>
        <v>0.0214690633438894</v>
      </c>
      <c r="I37" s="388" t="n">
        <f aca="false">O36/G36</f>
        <v>0</v>
      </c>
      <c r="J37" s="1037" t="n">
        <f aca="false">DataDE1c!CQ60/TableDE1!B37</f>
        <v>0.524974721941355</v>
      </c>
      <c r="K37" s="1037" t="n">
        <f aca="false">DataDE1c!CR59/TableDE1!B37/1000</f>
        <v>0.0746487221505526</v>
      </c>
      <c r="L37" s="1037" t="n">
        <f aca="false">DataDE1c!CU59/TableDE1!B37/1000</f>
        <v>0</v>
      </c>
      <c r="M37" s="1050" t="n">
        <f aca="false">DataDE1c!CS60/TableDE1!$B37/1000</f>
        <v>0.360060667340748</v>
      </c>
      <c r="N37" s="935" t="n">
        <f aca="false">DataDE1c!CT60/TableDE1!$B37/1000</f>
        <v>0.090265332450054</v>
      </c>
      <c r="O37" s="1039" t="n">
        <v>0</v>
      </c>
      <c r="R37" s="158" t="n">
        <f aca="false">DataDE1c!CY60/DataDE1c!CP60</f>
        <v>0</v>
      </c>
      <c r="S37" s="818" t="n">
        <f aca="false">N37+M37+K37-J37+L37</f>
        <v>0</v>
      </c>
      <c r="T37" s="387" t="n">
        <f aca="false">-(G37-J37-D37)-TableDE6a!H37</f>
        <v>-0</v>
      </c>
    </row>
    <row r="38" customFormat="false" ht="12" hidden="false" customHeight="true" outlineLevel="0" collapsed="false">
      <c r="A38" s="380" t="n">
        <v>1898</v>
      </c>
      <c r="B38" s="819" t="n">
        <f aca="false">TableDE3b!H38</f>
        <v>155.398052858784</v>
      </c>
      <c r="C38" s="382" t="n">
        <f aca="false">B38/B37-1</f>
        <v>0.0728194965359956</v>
      </c>
      <c r="D38" s="978" t="n">
        <f aca="false">TableDE6a!F38</f>
        <v>0.287177828800569</v>
      </c>
      <c r="E38" s="977" t="n">
        <f aca="false">TableDE12c!F38</f>
        <v>0.00849005594541274</v>
      </c>
      <c r="F38" s="1036" t="n">
        <f aca="false">DataDE1c!P61/DataDE1c!B61</f>
        <v>0.019950780972092</v>
      </c>
      <c r="G38" s="821" t="n">
        <f aca="false">DataDE1c!CH61/TableDE1!B38</f>
        <v>0.786812405005983</v>
      </c>
      <c r="H38" s="387" t="n">
        <f aca="false">F37/G37</f>
        <v>0.0245401803765757</v>
      </c>
      <c r="I38" s="388" t="n">
        <f aca="false">O37/G37</f>
        <v>0</v>
      </c>
      <c r="J38" s="1037" t="n">
        <f aca="false">DataDE1c!CQ61/TableDE1!B38</f>
        <v>0.499634576205414</v>
      </c>
      <c r="K38" s="1037" t="n">
        <f aca="false">DataDE1c!CR60/TableDE1!B38/1000</f>
        <v>0.0714031626944346</v>
      </c>
      <c r="L38" s="1037" t="n">
        <f aca="false">DataDE1c!CU60/TableDE1!B38/1000</f>
        <v>0</v>
      </c>
      <c r="M38" s="1050" t="n">
        <f aca="false">DataDE1c!CS61/TableDE1!$B38/1000</f>
        <v>0.339022733887398</v>
      </c>
      <c r="N38" s="935" t="n">
        <f aca="false">DataDE1c!CT61/TableDE1!$B38/1000</f>
        <v>0.0892086796235811</v>
      </c>
      <c r="O38" s="1039" t="n">
        <v>0</v>
      </c>
      <c r="R38" s="158" t="n">
        <f aca="false">DataDE1c!CY61/DataDE1c!CP61</f>
        <v>0</v>
      </c>
      <c r="S38" s="818" t="n">
        <f aca="false">N38+M38+K38-J38+L38</f>
        <v>0</v>
      </c>
      <c r="T38" s="387" t="n">
        <f aca="false">-(G38-J38-D38)-TableDE6a!H38</f>
        <v>-0</v>
      </c>
    </row>
    <row r="39" customFormat="false" ht="12" hidden="false" customHeight="true" outlineLevel="0" collapsed="false">
      <c r="A39" s="380" t="n">
        <v>1899</v>
      </c>
      <c r="B39" s="819" t="n">
        <f aca="false">TableDE3b!H39</f>
        <v>153.020330744631</v>
      </c>
      <c r="C39" s="382" t="n">
        <f aca="false">B39/B38-1</f>
        <v>-0.0153008488228229</v>
      </c>
      <c r="D39" s="978" t="n">
        <f aca="false">TableDE6a!F39</f>
        <v>0.3322728566459</v>
      </c>
      <c r="E39" s="977" t="n">
        <f aca="false">TableDE12c!F39</f>
        <v>0.0104220612883844</v>
      </c>
      <c r="F39" s="1036" t="n">
        <f aca="false">DataDE1c!P62/DataDE1c!B62</f>
        <v>0.0229026912494861</v>
      </c>
      <c r="G39" s="821" t="n">
        <f aca="false">DataDE1c!CH62/TableDE1!B39</f>
        <v>0.83167515258847</v>
      </c>
      <c r="H39" s="387" t="n">
        <f aca="false">F38/G38</f>
        <v>0.0253564646987744</v>
      </c>
      <c r="I39" s="388" t="n">
        <f aca="false">O38/G38</f>
        <v>0</v>
      </c>
      <c r="J39" s="1037" t="n">
        <f aca="false">DataDE1c!CQ62/TableDE1!B39</f>
        <v>0.49940229594257</v>
      </c>
      <c r="K39" s="1037" t="n">
        <f aca="false">DataDE1c!CR61/TableDE1!B39/1000</f>
        <v>0.0703013819929794</v>
      </c>
      <c r="L39" s="1037" t="n">
        <f aca="false">DataDE1c!CU61/TableDE1!B39/1000</f>
        <v>0</v>
      </c>
      <c r="M39" s="1050" t="n">
        <f aca="false">DataDE1c!CS62/TableDE1!$B39/1000</f>
        <v>0.336494734511875</v>
      </c>
      <c r="N39" s="935" t="n">
        <f aca="false">DataDE1c!CT62/TableDE1!$B39/1000</f>
        <v>0.0926061794377154</v>
      </c>
      <c r="O39" s="1039" t="n">
        <v>0</v>
      </c>
      <c r="R39" s="158" t="n">
        <f aca="false">DataDE1c!CY62/DataDE1c!CP62</f>
        <v>0</v>
      </c>
      <c r="S39" s="818" t="n">
        <f aca="false">N39+M39+K39-J39+L39</f>
        <v>0</v>
      </c>
      <c r="T39" s="387" t="n">
        <f aca="false">-(G39-J39-D39)-TableDE6a!H39</f>
        <v>-0</v>
      </c>
    </row>
    <row r="40" customFormat="false" ht="12" hidden="false" customHeight="true" outlineLevel="0" collapsed="false">
      <c r="A40" s="1040" t="n">
        <v>1900</v>
      </c>
      <c r="B40" s="882" t="n">
        <f aca="false">TableDE3b!H40</f>
        <v>151.302716984786</v>
      </c>
      <c r="C40" s="866" t="n">
        <f aca="false">B40/B39-1</f>
        <v>-0.0112247421730602</v>
      </c>
      <c r="D40" s="1041" t="n">
        <f aca="false">TableDE6a!F40</f>
        <v>0.384098786828423</v>
      </c>
      <c r="E40" s="1042" t="n">
        <f aca="false">TableDE12c!F40</f>
        <v>2.47586036150257E-006</v>
      </c>
      <c r="F40" s="1043" t="n">
        <f aca="false">DataDE1c!P63/DataDE1c!B63</f>
        <v>0.0264972765536023</v>
      </c>
      <c r="G40" s="1044" t="n">
        <f aca="false">DataDE1c!CH63/TableDE1!B40</f>
        <v>0.885584303045308</v>
      </c>
      <c r="H40" s="448" t="n">
        <f aca="false">F39/G39</f>
        <v>0.0275380251270039</v>
      </c>
      <c r="I40" s="1045" t="n">
        <f aca="false">O39/G39</f>
        <v>0</v>
      </c>
      <c r="J40" s="1046" t="n">
        <f aca="false">DataDE1c!CQ63/TableDE1!B40</f>
        <v>0.501485516216885</v>
      </c>
      <c r="K40" s="1046" t="n">
        <f aca="false">DataDE1c!CR62/TableDE1!B40/1000</f>
        <v>0.0714595196830899</v>
      </c>
      <c r="L40" s="1046" t="n">
        <f aca="false">DataDE1c!CU62/TableDE1!B40/1000</f>
        <v>0</v>
      </c>
      <c r="M40" s="1047" t="n">
        <f aca="false">DataDE1c!CS63/TableDE1!$B40/1000</f>
        <v>0.334148304035652</v>
      </c>
      <c r="N40" s="1048" t="n">
        <f aca="false">DataDE1c!CT63/TableDE1!$B40/1000</f>
        <v>0.0958776924981431</v>
      </c>
      <c r="O40" s="1049" t="n">
        <v>0</v>
      </c>
      <c r="R40" s="158" t="n">
        <f aca="false">DataDE1c!CY63/DataDE1c!CP63</f>
        <v>0</v>
      </c>
      <c r="S40" s="818" t="n">
        <f aca="false">N40+M40+K40-J40+L40</f>
        <v>0</v>
      </c>
      <c r="T40" s="387" t="n">
        <f aca="false">-(G40-J40-D40)-TableDE6a!H40</f>
        <v>-0</v>
      </c>
    </row>
    <row r="41" customFormat="false" ht="12" hidden="false" customHeight="true" outlineLevel="0" collapsed="false">
      <c r="A41" s="380" t="n">
        <v>1901</v>
      </c>
      <c r="B41" s="819" t="n">
        <f aca="false">TableDE3b!H41</f>
        <v>150.199917235361</v>
      </c>
      <c r="C41" s="382" t="n">
        <f aca="false">B41/B40-1</f>
        <v>-0.00728869759514139</v>
      </c>
      <c r="D41" s="978" t="n">
        <f aca="false">TableDE6a!F41</f>
        <v>0.391475250846769</v>
      </c>
      <c r="E41" s="977" t="n">
        <f aca="false">TableDE12c!F41</f>
        <v>-0.00688783469706121</v>
      </c>
      <c r="F41" s="1036" t="n">
        <f aca="false">DataDE1c!P64/DataDE1c!B64</f>
        <v>0.0278474322646376</v>
      </c>
      <c r="G41" s="821" t="n">
        <f aca="false">DataDE1c!CH64/TableDE1!B41</f>
        <v>0.939343696196827</v>
      </c>
      <c r="H41" s="387" t="n">
        <f aca="false">F40/G40</f>
        <v>0.0299206709767604</v>
      </c>
      <c r="I41" s="388" t="n">
        <f aca="false">O40/G40</f>
        <v>0</v>
      </c>
      <c r="J41" s="1037" t="n">
        <f aca="false">DataDE1c!CQ64/TableDE1!B41</f>
        <v>0.547868445350059</v>
      </c>
      <c r="K41" s="1037" t="n">
        <f aca="false">DataDE1c!CR63/TableDE1!B41/1000</f>
        <v>0.0796905345601579</v>
      </c>
      <c r="L41" s="1037" t="n">
        <f aca="false">DataDE1c!CU63/TableDE1!B41/1000</f>
        <v>0</v>
      </c>
      <c r="M41" s="1050" t="n">
        <f aca="false">DataDE1c!CS64/TableDE1!$B41/1000</f>
        <v>0.35954662676303</v>
      </c>
      <c r="N41" s="935" t="n">
        <f aca="false">DataDE1c!CT64/TableDE1!$B41/1000</f>
        <v>0.108631284026871</v>
      </c>
      <c r="O41" s="1039" t="n">
        <v>0</v>
      </c>
      <c r="R41" s="158" t="n">
        <f aca="false">DataDE1c!CY64/DataDE1c!CP64</f>
        <v>0</v>
      </c>
      <c r="S41" s="818" t="n">
        <f aca="false">N41+M41+K41-J41+L41</f>
        <v>0</v>
      </c>
      <c r="T41" s="387" t="n">
        <f aca="false">-(G41-J41-D41)-TableDE6a!H41</f>
        <v>-0</v>
      </c>
    </row>
    <row r="42" customFormat="false" ht="12" hidden="false" customHeight="true" outlineLevel="0" collapsed="false">
      <c r="A42" s="380" t="n">
        <v>1902</v>
      </c>
      <c r="B42" s="819" t="n">
        <f aca="false">TableDE3b!H42</f>
        <v>152.31070320994</v>
      </c>
      <c r="C42" s="382" t="n">
        <f aca="false">B42/B41-1</f>
        <v>0.0140531766823233</v>
      </c>
      <c r="D42" s="978" t="n">
        <f aca="false">TableDE6a!F42</f>
        <v>0.346467443745417</v>
      </c>
      <c r="E42" s="977" t="n">
        <f aca="false">TableDE12c!F42</f>
        <v>0.00321437531359752</v>
      </c>
      <c r="F42" s="1036" t="n">
        <f aca="false">DataDE1c!P65/DataDE1c!B65</f>
        <v>0.0263421976919217</v>
      </c>
      <c r="G42" s="821" t="n">
        <f aca="false">DataDE1c!CH65/TableDE1!B42</f>
        <v>0.921229109575823</v>
      </c>
      <c r="H42" s="387" t="n">
        <f aca="false">F41/G41</f>
        <v>0.0296456263850868</v>
      </c>
      <c r="I42" s="388" t="n">
        <f aca="false">O41/G41</f>
        <v>0</v>
      </c>
      <c r="J42" s="1037" t="n">
        <f aca="false">DataDE1c!CQ65/TableDE1!B42</f>
        <v>0.574761665830406</v>
      </c>
      <c r="K42" s="1037" t="n">
        <f aca="false">DataDE1c!CR64/TableDE1!B42/1000</f>
        <v>0.0886226793778224</v>
      </c>
      <c r="L42" s="1037" t="n">
        <f aca="false">DataDE1c!CU64/TableDE1!B42/1000</f>
        <v>0</v>
      </c>
      <c r="M42" s="1050" t="n">
        <f aca="false">DataDE1c!CS65/TableDE1!$B42/1000</f>
        <v>0.369292523833417</v>
      </c>
      <c r="N42" s="935" t="n">
        <f aca="false">DataDE1c!CT65/TableDE1!$B42/1000</f>
        <v>0.116846462619167</v>
      </c>
      <c r="O42" s="1039" t="n">
        <v>0</v>
      </c>
      <c r="R42" s="158" t="n">
        <f aca="false">DataDE1c!CY65/DataDE1c!CP65</f>
        <v>0</v>
      </c>
      <c r="S42" s="818" t="n">
        <f aca="false">N42+M42+K42-J42+L42</f>
        <v>0</v>
      </c>
      <c r="T42" s="387" t="n">
        <f aca="false">-(G42-J42-D42)-TableDE6a!H42</f>
        <v>-0</v>
      </c>
    </row>
    <row r="43" customFormat="false" ht="12" hidden="false" customHeight="true" outlineLevel="0" collapsed="false">
      <c r="A43" s="380" t="n">
        <v>1903</v>
      </c>
      <c r="B43" s="819" t="n">
        <f aca="false">TableDE3b!H43</f>
        <v>162.777937020663</v>
      </c>
      <c r="C43" s="382" t="n">
        <f aca="false">B43/B42-1</f>
        <v>0.068722903841471</v>
      </c>
      <c r="D43" s="978" t="n">
        <f aca="false">TableDE6a!F43</f>
        <v>0.32831983805668</v>
      </c>
      <c r="E43" s="977" t="n">
        <f aca="false">TableDE12c!F43</f>
        <v>0.00366374269005846</v>
      </c>
      <c r="F43" s="1036" t="n">
        <f aca="false">DataDE1c!P66/DataDE1c!B66</f>
        <v>0.0275964912280702</v>
      </c>
      <c r="G43" s="821" t="n">
        <f aca="false">DataDE1c!CH66/TableDE1!B43</f>
        <v>0.88206252811516</v>
      </c>
      <c r="H43" s="387" t="n">
        <f aca="false">F42/G42</f>
        <v>0.0285946214878629</v>
      </c>
      <c r="I43" s="388" t="n">
        <f aca="false">O42/G42</f>
        <v>0</v>
      </c>
      <c r="J43" s="1037" t="n">
        <f aca="false">DataDE1c!CQ66/TableDE1!B43</f>
        <v>0.55374269005848</v>
      </c>
      <c r="K43" s="1037" t="n">
        <f aca="false">DataDE1c!CR65/TableDE1!B43/1000</f>
        <v>0.0875730994152047</v>
      </c>
      <c r="L43" s="1037" t="n">
        <f aca="false">DataDE1c!CU65/TableDE1!B43/1000</f>
        <v>0</v>
      </c>
      <c r="M43" s="1050" t="n">
        <f aca="false">DataDE1c!CS66/TableDE1!$B43/1000</f>
        <v>0.348040935672515</v>
      </c>
      <c r="N43" s="935" t="n">
        <f aca="false">DataDE1c!CT66/TableDE1!$B43/1000</f>
        <v>0.11812865497076</v>
      </c>
      <c r="O43" s="1039" t="n">
        <v>0</v>
      </c>
      <c r="R43" s="158" t="n">
        <f aca="false">DataDE1c!CY66/DataDE1c!CP66</f>
        <v>0</v>
      </c>
      <c r="S43" s="818" t="n">
        <f aca="false">N43+M43+K43-J43+L43</f>
        <v>0</v>
      </c>
      <c r="T43" s="387" t="n">
        <f aca="false">-(G43-J43-D43)-TableDE6a!H43</f>
        <v>-0</v>
      </c>
    </row>
    <row r="44" customFormat="false" ht="12" hidden="false" customHeight="true" outlineLevel="0" collapsed="false">
      <c r="A44" s="380" t="n">
        <v>1904</v>
      </c>
      <c r="B44" s="819" t="n">
        <f aca="false">TableDE3b!H44</f>
        <v>169.96089133625</v>
      </c>
      <c r="C44" s="382" t="n">
        <f aca="false">B44/B43-1</f>
        <v>0.0441273212270443</v>
      </c>
      <c r="D44" s="978" t="n">
        <f aca="false">TableDE6a!F44</f>
        <v>0.324853505888709</v>
      </c>
      <c r="E44" s="977" t="n">
        <f aca="false">TableDE12c!F44</f>
        <v>0.000827828413747005</v>
      </c>
      <c r="F44" s="1036" t="n">
        <f aca="false">DataDE1c!P67/DataDE1c!B67</f>
        <v>0.0249937285726232</v>
      </c>
      <c r="G44" s="821" t="n">
        <f aca="false">DataDE1c!CH67/TableDE1!B44</f>
        <v>0.877463813328016</v>
      </c>
      <c r="H44" s="387" t="n">
        <f aca="false">F43/G43</f>
        <v>0.0312863208088432</v>
      </c>
      <c r="I44" s="388" t="n">
        <f aca="false">O43/G43</f>
        <v>0</v>
      </c>
      <c r="J44" s="1037" t="n">
        <f aca="false">DataDE1c!CQ67/TableDE1!B44</f>
        <v>0.552610307439307</v>
      </c>
      <c r="K44" s="1037" t="n">
        <f aca="false">DataDE1c!CR66/TableDE1!B44/1000</f>
        <v>0.0899462050896117</v>
      </c>
      <c r="L44" s="1037" t="n">
        <f aca="false">DataDE1c!CU66/TableDE1!B44/1000</f>
        <v>0</v>
      </c>
      <c r="M44" s="1050" t="n">
        <f aca="false">DataDE1c!CS67/TableDE1!$B44/1000</f>
        <v>0.3413050143546</v>
      </c>
      <c r="N44" s="935" t="n">
        <f aca="false">DataDE1c!CT67/TableDE1!$B44/1000</f>
        <v>0.121359087995094</v>
      </c>
      <c r="O44" s="1039" t="n">
        <v>0</v>
      </c>
      <c r="R44" s="158" t="n">
        <f aca="false">DataDE1c!CY67/DataDE1c!CP67</f>
        <v>0</v>
      </c>
      <c r="S44" s="818" t="n">
        <f aca="false">N44+M44+K44-J44+L44</f>
        <v>0</v>
      </c>
      <c r="T44" s="387" t="n">
        <f aca="false">-(G44-J44-D44)-TableDE6a!H44</f>
        <v>-0</v>
      </c>
    </row>
    <row r="45" customFormat="false" ht="12" hidden="false" customHeight="true" outlineLevel="0" collapsed="false">
      <c r="A45" s="380" t="n">
        <v>1905</v>
      </c>
      <c r="B45" s="819" t="n">
        <f aca="false">TableDE3b!H45</f>
        <v>177.634820781906</v>
      </c>
      <c r="C45" s="382" t="n">
        <f aca="false">B45/B44-1</f>
        <v>0.0451511485102443</v>
      </c>
      <c r="D45" s="978" t="n">
        <f aca="false">TableDE6a!F45</f>
        <v>0.323140162234291</v>
      </c>
      <c r="E45" s="977" t="n">
        <f aca="false">TableDE12c!F45</f>
        <v>-0.0019658230138829</v>
      </c>
      <c r="F45" s="1036" t="n">
        <f aca="false">DataDE1c!P68/DataDE1c!B68</f>
        <v>0.0244166386598071</v>
      </c>
      <c r="G45" s="821" t="n">
        <f aca="false">DataDE1c!CH68/TableDE1!B45</f>
        <v>0.857924681765844</v>
      </c>
      <c r="H45" s="387" t="n">
        <f aca="false">F44/G44</f>
        <v>0.0284840562003666</v>
      </c>
      <c r="I45" s="388" t="n">
        <f aca="false">O44/G44</f>
        <v>0</v>
      </c>
      <c r="J45" s="1037" t="n">
        <f aca="false">DataDE1c!CQ68/TableDE1!B45</f>
        <v>0.534784519531553</v>
      </c>
      <c r="K45" s="1037" t="n">
        <f aca="false">DataDE1c!CR67/TableDE1!B45/1000</f>
        <v>0.0910783071792353</v>
      </c>
      <c r="L45" s="1037" t="n">
        <f aca="false">DataDE1c!CU67/TableDE1!B45/1000</f>
        <v>0</v>
      </c>
      <c r="M45" s="1050" t="n">
        <f aca="false">DataDE1c!CS68/TableDE1!$B45/1000</f>
        <v>0.323026809027688</v>
      </c>
      <c r="N45" s="935" t="n">
        <f aca="false">DataDE1c!CT68/TableDE1!$B45/1000</f>
        <v>0.12067940332463</v>
      </c>
      <c r="O45" s="1039" t="n">
        <v>0</v>
      </c>
      <c r="R45" s="158" t="n">
        <f aca="false">DataDE1c!CY68/DataDE1c!CP68</f>
        <v>0</v>
      </c>
      <c r="S45" s="818" t="n">
        <f aca="false">N45+M45+K45-J45+L45</f>
        <v>0</v>
      </c>
      <c r="T45" s="387" t="n">
        <f aca="false">-(G45-J45-D45)-TableDE6a!H45</f>
        <v>-0</v>
      </c>
    </row>
    <row r="46" customFormat="false" ht="12" hidden="false" customHeight="true" outlineLevel="0" collapsed="false">
      <c r="A46" s="380" t="n">
        <v>1906</v>
      </c>
      <c r="B46" s="819" t="n">
        <f aca="false">TableDE3b!H46</f>
        <v>176.477154100115</v>
      </c>
      <c r="C46" s="382" t="n">
        <f aca="false">B46/B45-1</f>
        <v>-0.00651711571354829</v>
      </c>
      <c r="D46" s="978" t="n">
        <f aca="false">TableDE6a!F46</f>
        <v>0.34157422907237</v>
      </c>
      <c r="E46" s="977" t="n">
        <f aca="false">TableDE12c!F46</f>
        <v>0.00106206315372034</v>
      </c>
      <c r="F46" s="1036" t="n">
        <f aca="false">DataDE1c!P69/DataDE1c!B69</f>
        <v>0.0256555792395776</v>
      </c>
      <c r="G46" s="821" t="n">
        <f aca="false">DataDE1c!CH69/TableDE1!B46</f>
        <v>0.880908983447029</v>
      </c>
      <c r="H46" s="387" t="n">
        <f aca="false">F45/G45</f>
        <v>0.0284601191442015</v>
      </c>
      <c r="I46" s="388" t="n">
        <f aca="false">O45/G45</f>
        <v>0</v>
      </c>
      <c r="J46" s="1037" t="n">
        <f aca="false">DataDE1c!CQ69/TableDE1!B46</f>
        <v>0.539334754374659</v>
      </c>
      <c r="K46" s="1037" t="n">
        <f aca="false">DataDE1c!CR68/TableDE1!B46/1000</f>
        <v>0.0946314380607743</v>
      </c>
      <c r="L46" s="1037" t="n">
        <f aca="false">DataDE1c!CU68/TableDE1!B46/1000</f>
        <v>0</v>
      </c>
      <c r="M46" s="1050" t="n">
        <f aca="false">DataDE1c!CS69/TableDE1!$B46/1000</f>
        <v>0.32122143459079</v>
      </c>
      <c r="N46" s="935" t="n">
        <f aca="false">DataDE1c!CT69/TableDE1!$B46/1000</f>
        <v>0.123481881723095</v>
      </c>
      <c r="O46" s="1039" t="n">
        <v>0</v>
      </c>
      <c r="R46" s="158" t="n">
        <f aca="false">DataDE1c!CY69/DataDE1c!CP69</f>
        <v>0</v>
      </c>
      <c r="S46" s="818" t="n">
        <f aca="false">N46+M46+K46-J46+L46</f>
        <v>0</v>
      </c>
      <c r="T46" s="387" t="n">
        <f aca="false">-(G46-J46-D46)-TableDE6a!H46</f>
        <v>-0</v>
      </c>
    </row>
    <row r="47" customFormat="false" ht="12" hidden="false" customHeight="true" outlineLevel="0" collapsed="false">
      <c r="A47" s="380" t="n">
        <v>1907</v>
      </c>
      <c r="B47" s="819" t="n">
        <f aca="false">TableDE3b!H47</f>
        <v>186.757802522971</v>
      </c>
      <c r="C47" s="382" t="n">
        <f aca="false">B47/B46-1</f>
        <v>0.0582548402668845</v>
      </c>
      <c r="D47" s="978" t="n">
        <f aca="false">TableDE6a!F47</f>
        <v>0.360969052123963</v>
      </c>
      <c r="E47" s="977" t="n">
        <f aca="false">TableDE12c!F47</f>
        <v>-0.0120724641053685</v>
      </c>
      <c r="F47" s="1036" t="n">
        <f aca="false">DataDE1c!P70/DataDE1c!B70</f>
        <v>0.0305473204104903</v>
      </c>
      <c r="G47" s="821" t="n">
        <f aca="false">DataDE1c!CH70/TableDE1!B47</f>
        <v>0.889789474249484</v>
      </c>
      <c r="H47" s="387" t="n">
        <f aca="false">F46/G46</f>
        <v>0.0291239841137576</v>
      </c>
      <c r="I47" s="388" t="n">
        <f aca="false">O46/G46</f>
        <v>0</v>
      </c>
      <c r="J47" s="1037" t="n">
        <f aca="false">DataDE1c!CQ70/TableDE1!B47</f>
        <v>0.528820422125521</v>
      </c>
      <c r="K47" s="1037" t="n">
        <f aca="false">DataDE1c!CR69/TableDE1!B47/1000</f>
        <v>0.0960370465175808</v>
      </c>
      <c r="L47" s="1037" t="n">
        <f aca="false">DataDE1c!CU69/TableDE1!B47/1000</f>
        <v>0</v>
      </c>
      <c r="M47" s="1050" t="n">
        <f aca="false">DataDE1c!CS70/TableDE1!$B47/1000</f>
        <v>0.309543201545156</v>
      </c>
      <c r="N47" s="935" t="n">
        <f aca="false">DataDE1c!CT70/TableDE1!$B47/1000</f>
        <v>0.123240174062784</v>
      </c>
      <c r="O47" s="1039" t="n">
        <v>0</v>
      </c>
      <c r="R47" s="158" t="n">
        <f aca="false">DataDE1c!CY70/DataDE1c!CP70</f>
        <v>0</v>
      </c>
      <c r="S47" s="818" t="n">
        <f aca="false">N47+M47+K47-J47+L47</f>
        <v>0</v>
      </c>
      <c r="T47" s="387" t="n">
        <f aca="false">-(G47-J47-D47)-TableDE6a!H47</f>
        <v>-0</v>
      </c>
    </row>
    <row r="48" customFormat="false" ht="12" hidden="false" customHeight="true" outlineLevel="0" collapsed="false">
      <c r="A48" s="380" t="n">
        <v>1908</v>
      </c>
      <c r="B48" s="819" t="n">
        <f aca="false">TableDE3b!H48</f>
        <v>185.807046711191</v>
      </c>
      <c r="C48" s="382" t="n">
        <f aca="false">B48/B47-1</f>
        <v>-0.00509084921185021</v>
      </c>
      <c r="D48" s="978" t="n">
        <f aca="false">TableDE6a!F48</f>
        <v>0.350257676720443</v>
      </c>
      <c r="E48" s="977" t="n">
        <f aca="false">TableDE12c!F48</f>
        <v>-0.0281231794579534</v>
      </c>
      <c r="F48" s="1036" t="n">
        <f aca="false">DataDE1c!P71/DataDE1c!B71</f>
        <v>0.0300273081306991</v>
      </c>
      <c r="G48" s="821" t="n">
        <f aca="false">DataDE1c!CH71/TableDE1!B48</f>
        <v>0.940239946223989</v>
      </c>
      <c r="H48" s="387" t="n">
        <f aca="false">F47/G47</f>
        <v>0.0343309527641426</v>
      </c>
      <c r="I48" s="388" t="n">
        <f aca="false">O47/G47</f>
        <v>0</v>
      </c>
      <c r="J48" s="1037" t="n">
        <f aca="false">DataDE1c!CQ71/TableDE1!B48</f>
        <v>0.589982269503546</v>
      </c>
      <c r="K48" s="1037" t="n">
        <f aca="false">DataDE1c!CR70/TableDE1!B48/1000</f>
        <v>0.103343465045593</v>
      </c>
      <c r="L48" s="1037" t="n">
        <f aca="false">DataDE1c!CU70/TableDE1!B48/1000</f>
        <v>0</v>
      </c>
      <c r="M48" s="1050" t="n">
        <f aca="false">DataDE1c!CS71/TableDE1!$B48/1000</f>
        <v>0.339095744680851</v>
      </c>
      <c r="N48" s="935" t="n">
        <f aca="false">DataDE1c!CT71/TableDE1!$B48/1000</f>
        <v>0.147543059777102</v>
      </c>
      <c r="O48" s="1039" t="n">
        <v>0</v>
      </c>
      <c r="R48" s="158" t="n">
        <f aca="false">DataDE1c!CY71/DataDE1c!CP71</f>
        <v>0</v>
      </c>
      <c r="S48" s="818" t="n">
        <f aca="false">N48+M48+K48-J48+L48</f>
        <v>0</v>
      </c>
      <c r="T48" s="387" t="n">
        <f aca="false">-(G48-J48-D48)-TableDE6a!H48</f>
        <v>-0</v>
      </c>
    </row>
    <row r="49" customFormat="false" ht="12" hidden="false" customHeight="true" outlineLevel="0" collapsed="false">
      <c r="A49" s="380" t="n">
        <v>1909</v>
      </c>
      <c r="B49" s="819" t="n">
        <f aca="false">TableDE3b!H49</f>
        <v>191.042184881722</v>
      </c>
      <c r="C49" s="382" t="n">
        <f aca="false">B49/B48-1</f>
        <v>0.0281751325538713</v>
      </c>
      <c r="D49" s="978" t="n">
        <f aca="false">TableDE6a!F49</f>
        <v>0.288971446866184</v>
      </c>
      <c r="E49" s="977" t="n">
        <f aca="false">TableDE12c!F49</f>
        <v>-0.00732830574935836</v>
      </c>
      <c r="F49" s="1036" t="n">
        <f aca="false">DataDE1c!P72/DataDE1c!B72</f>
        <v>0.0300643500643501</v>
      </c>
      <c r="G49" s="821" t="n">
        <f aca="false">DataDE1c!CH72/TableDE1!B49</f>
        <v>0.907718012981171</v>
      </c>
      <c r="H49" s="387" t="n">
        <f aca="false">F48/G48</f>
        <v>0.0319357928274469</v>
      </c>
      <c r="I49" s="388" t="n">
        <f aca="false">O48/G48</f>
        <v>0</v>
      </c>
      <c r="J49" s="1037" t="n">
        <f aca="false">DataDE1c!CQ72/TableDE1!B49</f>
        <v>0.618746566114987</v>
      </c>
      <c r="K49" s="1037" t="n">
        <f aca="false">DataDE1c!CR71/TableDE1!B49/1000</f>
        <v>0.109440267335004</v>
      </c>
      <c r="L49" s="1037" t="n">
        <f aca="false">DataDE1c!CU71/TableDE1!B49/1000</f>
        <v>0</v>
      </c>
      <c r="M49" s="1050" t="n">
        <f aca="false">DataDE1c!CS72/TableDE1!$B49/1000</f>
        <v>0.348303190408454</v>
      </c>
      <c r="N49" s="935" t="n">
        <f aca="false">DataDE1c!CT72/TableDE1!$B49/1000</f>
        <v>0.161003108371529</v>
      </c>
      <c r="O49" s="1039" t="n">
        <v>0</v>
      </c>
      <c r="R49" s="158" t="n">
        <f aca="false">DataDE1c!CY72/DataDE1c!CP72</f>
        <v>0</v>
      </c>
      <c r="S49" s="818" t="n">
        <f aca="false">N49+M49+K49-J49+L49</f>
        <v>0</v>
      </c>
      <c r="T49" s="387" t="n">
        <f aca="false">-(G49-J49-D49)-TableDE6a!H49</f>
        <v>-0</v>
      </c>
    </row>
    <row r="50" customFormat="false" ht="12" hidden="false" customHeight="true" outlineLevel="0" collapsed="false">
      <c r="A50" s="1040" t="n">
        <v>1910</v>
      </c>
      <c r="B50" s="882" t="n">
        <f aca="false">TableDE3b!H50</f>
        <v>189.736526818742</v>
      </c>
      <c r="C50" s="866" t="n">
        <f aca="false">B50/B49-1</f>
        <v>-0.0068343966218144</v>
      </c>
      <c r="D50" s="1041" t="n">
        <f aca="false">TableDE6a!F50</f>
        <v>0.286008907610961</v>
      </c>
      <c r="E50" s="1042" t="n">
        <f aca="false">TableDE12c!F50</f>
        <v>0.0058258554743778</v>
      </c>
      <c r="F50" s="1043" t="n">
        <f aca="false">DataDE1c!P73/DataDE1c!B73</f>
        <v>0.0266431909431975</v>
      </c>
      <c r="G50" s="1044" t="n">
        <f aca="false">DataDE1c!CH73/TableDE1!B50</f>
        <v>0.916979310647447</v>
      </c>
      <c r="H50" s="448" t="n">
        <f aca="false">F49/G49</f>
        <v>0.033120803635494</v>
      </c>
      <c r="I50" s="1045" t="n">
        <f aca="false">O49/G49</f>
        <v>0</v>
      </c>
      <c r="J50" s="1046" t="n">
        <f aca="false">DataDE1c!CQ73/TableDE1!B50</f>
        <v>0.630970403036486</v>
      </c>
      <c r="K50" s="1046" t="n">
        <f aca="false">DataDE1c!CR72/TableDE1!B50/1000</f>
        <v>0.112771232365782</v>
      </c>
      <c r="L50" s="1046" t="n">
        <f aca="false">DataDE1c!CU72/TableDE1!B50/1000</f>
        <v>0</v>
      </c>
      <c r="M50" s="1047" t="n">
        <f aca="false">DataDE1c!CS73/TableDE1!$B50/1000</f>
        <v>0.341626626297198</v>
      </c>
      <c r="N50" s="1048" t="n">
        <f aca="false">DataDE1c!CT73/TableDE1!$B50/1000</f>
        <v>0.176572544373505</v>
      </c>
      <c r="O50" s="1049" t="n">
        <v>0</v>
      </c>
      <c r="R50" s="158" t="n">
        <f aca="false">DataDE1c!CY73/DataDE1c!CP73</f>
        <v>0</v>
      </c>
      <c r="S50" s="818" t="n">
        <f aca="false">N50+M50+K50-J50+L50</f>
        <v>0</v>
      </c>
      <c r="T50" s="387" t="n">
        <f aca="false">-(G50-J50-D50)-TableDE6a!H50</f>
        <v>-0</v>
      </c>
    </row>
    <row r="51" customFormat="false" ht="12" hidden="false" customHeight="true" outlineLevel="0" collapsed="false">
      <c r="A51" s="380" t="n">
        <v>1911</v>
      </c>
      <c r="B51" s="819" t="n">
        <f aca="false">TableDE3b!H51</f>
        <v>200.111135875713</v>
      </c>
      <c r="C51" s="382" t="n">
        <f aca="false">B51/B50-1</f>
        <v>0.0546790290247157</v>
      </c>
      <c r="D51" s="978" t="n">
        <f aca="false">TableDE6a!F51</f>
        <v>0.303065762010319</v>
      </c>
      <c r="E51" s="977" t="n">
        <f aca="false">TableDE12c!F51</f>
        <v>0.000441054747546452</v>
      </c>
      <c r="F51" s="1036" t="n">
        <f aca="false">DataDE1c!P74/DataDE1c!B74</f>
        <v>0.0267714875946832</v>
      </c>
      <c r="G51" s="821" t="n">
        <f aca="false">DataDE1c!CH74/TableDE1!B51</f>
        <v>0.920145939239068</v>
      </c>
      <c r="H51" s="387" t="n">
        <f aca="false">F50/G50</f>
        <v>0.029055389400646</v>
      </c>
      <c r="I51" s="388" t="n">
        <f aca="false">O50/G50</f>
        <v>0</v>
      </c>
      <c r="J51" s="1037" t="n">
        <f aca="false">DataDE1c!CQ74/TableDE1!B51</f>
        <v>0.617080177228749</v>
      </c>
      <c r="K51" s="1037" t="n">
        <f aca="false">DataDE1c!CR73/TableDE1!B51/1000</f>
        <v>0.10245602320389</v>
      </c>
      <c r="L51" s="1037" t="n">
        <f aca="false">DataDE1c!CU73/TableDE1!B51/1000</f>
        <v>0</v>
      </c>
      <c r="M51" s="1050" t="n">
        <f aca="false">DataDE1c!CS74/TableDE1!$B51/1000</f>
        <v>0.327546272144899</v>
      </c>
      <c r="N51" s="935" t="n">
        <f aca="false">DataDE1c!CT74/TableDE1!$B51/1000</f>
        <v>0.18707788187996</v>
      </c>
      <c r="O51" s="1039" t="n">
        <v>0</v>
      </c>
      <c r="R51" s="158" t="n">
        <f aca="false">DataDE1c!CY74/DataDE1c!CP74</f>
        <v>0</v>
      </c>
      <c r="S51" s="818" t="n">
        <f aca="false">N51+M51+K51-J51+L51</f>
        <v>0</v>
      </c>
      <c r="T51" s="387" t="n">
        <f aca="false">-(G51-J51-D51)-TableDE6a!H51</f>
        <v>-0</v>
      </c>
    </row>
    <row r="52" customFormat="false" ht="12" hidden="false" customHeight="true" outlineLevel="0" collapsed="false">
      <c r="A52" s="380" t="n">
        <v>1912</v>
      </c>
      <c r="B52" s="819" t="n">
        <f aca="false">TableDE3b!H52</f>
        <v>209.366267014589</v>
      </c>
      <c r="C52" s="382" t="n">
        <f aca="false">B52/B51-1</f>
        <v>0.0462499555478224</v>
      </c>
      <c r="D52" s="978" t="n">
        <f aca="false">TableDE6a!F52</f>
        <v>0.308586599594774</v>
      </c>
      <c r="E52" s="977" t="n">
        <f aca="false">TableDE12c!F52</f>
        <v>0.00128214610094715</v>
      </c>
      <c r="F52" s="1036" t="n">
        <f aca="false">DataDE1c!P75/DataDE1c!B75</f>
        <v>0.0295243285325029</v>
      </c>
      <c r="G52" s="821" t="n">
        <f aca="false">DataDE1c!CH75/TableDE1!B52</f>
        <v>0.911616312842471</v>
      </c>
      <c r="H52" s="387" t="n">
        <f aca="false">F51/G51</f>
        <v>0.0290948277365896</v>
      </c>
      <c r="I52" s="388" t="n">
        <f aca="false">O51/G51</f>
        <v>0</v>
      </c>
      <c r="J52" s="1037" t="n">
        <f aca="false">DataDE1c!CQ75/TableDE1!B52</f>
        <v>0.603029713247697</v>
      </c>
      <c r="K52" s="1037" t="n">
        <f aca="false">DataDE1c!CR74/TableDE1!B52/1000</f>
        <v>0.0954456987154535</v>
      </c>
      <c r="L52" s="1037" t="n">
        <f aca="false">DataDE1c!CU74/TableDE1!B52/1000</f>
        <v>0</v>
      </c>
      <c r="M52" s="1050" t="n">
        <f aca="false">DataDE1c!CS75/TableDE1!$B52/1000</f>
        <v>0.315239392759829</v>
      </c>
      <c r="N52" s="935" t="n">
        <f aca="false">DataDE1c!CT75/TableDE1!$B52/1000</f>
        <v>0.192344621772415</v>
      </c>
      <c r="O52" s="1039" t="n">
        <v>0</v>
      </c>
      <c r="R52" s="158" t="n">
        <f aca="false">DataDE1c!CY75/DataDE1c!CP75</f>
        <v>0</v>
      </c>
      <c r="S52" s="818" t="n">
        <f aca="false">N52+M52+K52-J52+L52</f>
        <v>0</v>
      </c>
      <c r="T52" s="387" t="n">
        <f aca="false">-(G52-J52-D52)-TableDE6a!H52</f>
        <v>-0</v>
      </c>
    </row>
    <row r="53" customFormat="false" ht="12" hidden="false" customHeight="false" outlineLevel="0" collapsed="false">
      <c r="A53" s="431" t="n">
        <v>1913</v>
      </c>
      <c r="B53" s="853" t="n">
        <f aca="false">TableDE3b!H53</f>
        <v>211.046616713476</v>
      </c>
      <c r="C53" s="393" t="n">
        <f aca="false">B53/B52-1</f>
        <v>0.0080258855585833</v>
      </c>
      <c r="D53" s="112" t="n">
        <f aca="false">TableDE6a!F53</f>
        <v>0.328221859706362</v>
      </c>
      <c r="E53" s="399" t="n">
        <f aca="false">TableDE12c!F53</f>
        <v>0.000643189614997632</v>
      </c>
      <c r="F53" s="1051" t="n">
        <f aca="false">DataDE1c!P76/DataDE1c!B76</f>
        <v>0.0314749064389214</v>
      </c>
      <c r="G53" s="1052" t="n">
        <f aca="false">DataDE1c!CH76/TableDE1!B53</f>
        <v>0.950964398810095</v>
      </c>
      <c r="H53" s="392" t="n">
        <f aca="false">F52/G52</f>
        <v>0.03238679268523</v>
      </c>
      <c r="I53" s="398" t="n">
        <f aca="false">O52/G52</f>
        <v>0</v>
      </c>
      <c r="J53" s="1053" t="n">
        <f aca="false">DataDE1c!CQ76/TableDE1!B53</f>
        <v>0.622742539103733</v>
      </c>
      <c r="K53" s="1053" t="n">
        <f aca="false">DataDE1c!CR75/TableDE1!B53/1000</f>
        <v>0.0922560214950581</v>
      </c>
      <c r="L53" s="1053" t="n">
        <f aca="false">DataDE1c!CU75/TableDE1!B53/1000</f>
        <v>0</v>
      </c>
      <c r="M53" s="1054" t="n">
        <f aca="false">DataDE1c!CS76/TableDE1!$B53/1000</f>
        <v>0.323212743498705</v>
      </c>
      <c r="N53" s="1054" t="n">
        <f aca="false">DataDE1c!CT76/TableDE1!$B53/1000</f>
        <v>0.20727377410997</v>
      </c>
      <c r="O53" s="1055" t="n">
        <v>0</v>
      </c>
      <c r="R53" s="158" t="n">
        <f aca="false">DataDE1c!CY76/DataDE1c!CP76</f>
        <v>0</v>
      </c>
      <c r="S53" s="818" t="n">
        <f aca="false">N53+M53+K53-J53+L53</f>
        <v>0</v>
      </c>
      <c r="T53" s="387" t="n">
        <f aca="false">-(G53-J53-D53)-TableDE6a!H53</f>
        <v>-0</v>
      </c>
    </row>
    <row r="54" customFormat="false" ht="12" hidden="false" customHeight="false" outlineLevel="0" collapsed="false">
      <c r="A54" s="416" t="n">
        <f aca="false">A53+1</f>
        <v>1914</v>
      </c>
      <c r="B54" s="819" t="n">
        <f aca="false">TableDE3b!H54</f>
        <v>194.857852426736</v>
      </c>
      <c r="C54" s="382" t="n">
        <f aca="false">B54/B53-1</f>
        <v>-0.0767070542936876</v>
      </c>
      <c r="D54" s="912" t="n">
        <f aca="false">TableDE6a!F54</f>
        <v>0.412727926109899</v>
      </c>
      <c r="E54" s="387" t="n">
        <f aca="false">TableDE12c!F54</f>
        <v>-0.142489809197705</v>
      </c>
      <c r="F54" s="1036" t="n">
        <f aca="false">R$150</f>
        <v>-0.023539</v>
      </c>
      <c r="G54" s="821" t="n">
        <f aca="false">G53*(1+H54)*(1+I54)/(1+C54)</f>
        <v>1.06406023117339</v>
      </c>
      <c r="H54" s="387" t="n">
        <f aca="false">F53/G53</f>
        <v>0.0330978809283552</v>
      </c>
      <c r="I54" s="388" t="n">
        <f aca="false">O53/G53</f>
        <v>0</v>
      </c>
      <c r="J54" s="1037" t="n">
        <f aca="false">DataDE1c!CQ77/TableDE1!B54</f>
        <v>0.687723166209134</v>
      </c>
      <c r="K54" s="1037" t="n">
        <f aca="false">DataDE1c!CR76/TableDE1!B54/1000</f>
        <v>0.104907320409892</v>
      </c>
      <c r="L54" s="1037" t="n">
        <f aca="false">DataDE1c!CU76/TableDE1!B54/1000</f>
        <v>0</v>
      </c>
      <c r="M54" s="1050" t="n">
        <f aca="false">DataDE1c!CS77/TableDE1!$B54/1000</f>
        <v>0.355095751206723</v>
      </c>
      <c r="N54" s="935" t="n">
        <f aca="false">DataDE1c!CT77/TableDE1!$B54/1000</f>
        <v>0.227720094592519</v>
      </c>
      <c r="O54" s="1039" t="n">
        <v>0</v>
      </c>
      <c r="R54" s="158" t="n">
        <f aca="false">DataDE1c!CY77/DataDE1c!CP77</f>
        <v>0.0835498427735212</v>
      </c>
      <c r="S54" s="818" t="n">
        <f aca="false">N54+M54+K54-J54+L54</f>
        <v>0</v>
      </c>
      <c r="T54" s="387" t="n">
        <f aca="false">-(G54-J54-D54)-TableDE6a!H54</f>
        <v>0</v>
      </c>
    </row>
    <row r="55" customFormat="false" ht="12" hidden="false" customHeight="false" outlineLevel="0" collapsed="false">
      <c r="A55" s="416" t="n">
        <f aca="false">A54+1</f>
        <v>1915</v>
      </c>
      <c r="B55" s="819" t="n">
        <f aca="false">TableDE3b!H55</f>
        <v>179.004567943313</v>
      </c>
      <c r="C55" s="382" t="n">
        <f aca="false">B55/B54-1</f>
        <v>-0.0813582018173124</v>
      </c>
      <c r="D55" s="912" t="n">
        <f aca="false">TableDE6a!F55</f>
        <v>0.410653413875877</v>
      </c>
      <c r="E55" s="387" t="n">
        <f aca="false">TableDE12c!F55</f>
        <v>-0.331629114098246</v>
      </c>
      <c r="F55" s="1036" t="n">
        <f aca="false">R$150</f>
        <v>-0.023539</v>
      </c>
      <c r="G55" s="821" t="n">
        <f aca="false">G54*(1+H55)*(1+I55)/(1+C55)</f>
        <v>1.13267351129876</v>
      </c>
      <c r="H55" s="387" t="n">
        <f aca="false">F54/G54</f>
        <v>-0.0221218680206124</v>
      </c>
      <c r="I55" s="388" t="n">
        <f aca="false">O54/G54</f>
        <v>0</v>
      </c>
      <c r="J55" s="1037" t="n">
        <f aca="false">DataDE1c!CQ78/TableDE1!B55</f>
        <v>0.810392283651242</v>
      </c>
      <c r="K55" s="1037" t="n">
        <f aca="false">DataDE1c!CR77/TableDE1!B55/1000</f>
        <v>0.293025410197797</v>
      </c>
      <c r="L55" s="1037" t="n">
        <f aca="false">DataDE1c!CU77/TableDE1!B55/1000</f>
        <v>0</v>
      </c>
      <c r="M55" s="1050" t="n">
        <f aca="false">DataDE1c!CS78/TableDE1!$B55/1000</f>
        <v>0.315219258197224</v>
      </c>
      <c r="N55" s="935" t="n">
        <f aca="false">DataDE1c!CT78/TableDE1!$B55/1000</f>
        <v>0.202147615256221</v>
      </c>
      <c r="O55" s="1039" t="n">
        <v>0</v>
      </c>
      <c r="R55" s="158" t="n">
        <f aca="false">DataDE1c!CY78/DataDE1c!CP78</f>
        <v>0.10172218039713</v>
      </c>
      <c r="S55" s="818" t="n">
        <f aca="false">N55+M55+K55-J55+L55</f>
        <v>0</v>
      </c>
      <c r="T55" s="387" t="n">
        <f aca="false">-(G55-J55-D55)-TableDE6a!H55</f>
        <v>0</v>
      </c>
    </row>
    <row r="56" customFormat="false" ht="12" hidden="false" customHeight="false" outlineLevel="0" collapsed="false">
      <c r="A56" s="416" t="n">
        <f aca="false">A55+1</f>
        <v>1916</v>
      </c>
      <c r="B56" s="819" t="n">
        <f aca="false">TableDE3b!H56</f>
        <v>170.710761694638</v>
      </c>
      <c r="C56" s="382" t="n">
        <f aca="false">B56/B55-1</f>
        <v>-0.0463329307400776</v>
      </c>
      <c r="D56" s="912" t="n">
        <f aca="false">TableDE6a!F56</f>
        <v>0.294656702616014</v>
      </c>
      <c r="E56" s="387" t="n">
        <f aca="false">TableDE12c!F56</f>
        <v>-0.41719372625043</v>
      </c>
      <c r="F56" s="1036" t="n">
        <f aca="false">R$150</f>
        <v>-0.023539</v>
      </c>
      <c r="G56" s="821" t="n">
        <f aca="false">G55*(1+H56)*(1+I56)/(1+C56)</f>
        <v>1.16302066732731</v>
      </c>
      <c r="H56" s="387" t="n">
        <f aca="false">F55/G55</f>
        <v>-0.0207818049642651</v>
      </c>
      <c r="I56" s="388" t="n">
        <f aca="false">O55/G55</f>
        <v>0</v>
      </c>
      <c r="J56" s="1037" t="n">
        <f aca="false">DataDE1c!CQ79/TableDE1!B56</f>
        <v>0.979517519858392</v>
      </c>
      <c r="K56" s="1037" t="n">
        <f aca="false">DataDE1c!CR78/TableDE1!B56/1000</f>
        <v>0.557157283341545</v>
      </c>
      <c r="L56" s="1037" t="n">
        <f aca="false">DataDE1c!CU78/TableDE1!B56/1000</f>
        <v>0</v>
      </c>
      <c r="M56" s="1050" t="n">
        <f aca="false">DataDE1c!CS79/TableDE1!$B56/1000</f>
        <v>0.257333987307992</v>
      </c>
      <c r="N56" s="935" t="n">
        <f aca="false">DataDE1c!CT79/TableDE1!$B56/1000</f>
        <v>0.165026249208854</v>
      </c>
      <c r="O56" s="1039" t="n">
        <v>0</v>
      </c>
      <c r="R56" s="158" t="n">
        <f aca="false">DataDE1c!CY79/DataDE1c!CP79</f>
        <v>0.0984179908696798</v>
      </c>
      <c r="S56" s="818" t="n">
        <f aca="false">N56+M56+K56-J56+L56</f>
        <v>0</v>
      </c>
      <c r="T56" s="387" t="n">
        <f aca="false">-(G56-J56-D56)-TableDE6a!H56</f>
        <v>0</v>
      </c>
    </row>
    <row r="57" customFormat="false" ht="12" hidden="false" customHeight="false" outlineLevel="0" collapsed="false">
      <c r="A57" s="416" t="n">
        <f aca="false">A56+1</f>
        <v>1917</v>
      </c>
      <c r="B57" s="819" t="n">
        <f aca="false">TableDE3b!H57</f>
        <v>166.614180540798</v>
      </c>
      <c r="C57" s="382" t="n">
        <f aca="false">B57/B56-1</f>
        <v>-0.0239972050571</v>
      </c>
      <c r="D57" s="912" t="n">
        <f aca="false">TableDE6a!F57</f>
        <v>0.291870055037673</v>
      </c>
      <c r="E57" s="387" t="n">
        <f aca="false">TableDE12c!F57</f>
        <v>-0.334590889442303</v>
      </c>
      <c r="F57" s="1036" t="n">
        <f aca="false">R$150</f>
        <v>-0.023539</v>
      </c>
      <c r="G57" s="821" t="n">
        <f aca="false">G56*(1+H57)*(1+I57)/(1+C57)</f>
        <v>1.16749836499595</v>
      </c>
      <c r="H57" s="387" t="n">
        <f aca="false">F56/G56</f>
        <v>-0.020239537147774</v>
      </c>
      <c r="I57" s="388" t="n">
        <f aca="false">O56/G56</f>
        <v>0</v>
      </c>
      <c r="J57" s="1037" t="n">
        <f aca="false">DataDE1c!CQ80/TableDE1!B57</f>
        <v>0.995919965205486</v>
      </c>
      <c r="K57" s="1037" t="n">
        <f aca="false">DataDE1c!CR79/TableDE1!B57/1000</f>
        <v>0.668198583689844</v>
      </c>
      <c r="L57" s="1037" t="n">
        <f aca="false">DataDE1c!CU79/TableDE1!B57/1000</f>
        <v>0</v>
      </c>
      <c r="M57" s="1050" t="n">
        <f aca="false">DataDE1c!CS80/TableDE1!$B57/1000</f>
        <v>0.199672797152959</v>
      </c>
      <c r="N57" s="935" t="n">
        <f aca="false">DataDE1c!CT80/TableDE1!$B57/1000</f>
        <v>0.128048584362684</v>
      </c>
      <c r="O57" s="1039" t="n">
        <v>0</v>
      </c>
      <c r="R57" s="158" t="n">
        <f aca="false">DataDE1c!CY80/DataDE1c!CP80</f>
        <v>0.116953488976121</v>
      </c>
      <c r="S57" s="818" t="n">
        <f aca="false">N57+M57+K57-J57+L57</f>
        <v>0</v>
      </c>
      <c r="T57" s="387" t="n">
        <f aca="false">-(G57-J57-D57)-TableDE6a!H57</f>
        <v>0</v>
      </c>
    </row>
    <row r="58" customFormat="false" ht="12" hidden="false" customHeight="false" outlineLevel="0" collapsed="false">
      <c r="A58" s="416" t="n">
        <f aca="false">A57+1</f>
        <v>1918</v>
      </c>
      <c r="B58" s="819" t="n">
        <f aca="false">TableDE3b!H58</f>
        <v>162.15602671005</v>
      </c>
      <c r="C58" s="382" t="n">
        <f aca="false">B58/B57-1</f>
        <v>-0.0267573493221174</v>
      </c>
      <c r="D58" s="912" t="n">
        <f aca="false">TableDE6a!F58</f>
        <v>0.188622256496887</v>
      </c>
      <c r="E58" s="387" t="n">
        <f aca="false">TableDE12c!F58</f>
        <v>-0.156988808072129</v>
      </c>
      <c r="F58" s="1036" t="n">
        <f aca="false">R$150</f>
        <v>-0.023539</v>
      </c>
      <c r="G58" s="821" t="n">
        <f aca="false">G57*(1+H58)*(1+I58)/(1+C58)</f>
        <v>1.17541022703758</v>
      </c>
      <c r="H58" s="387" t="n">
        <f aca="false">F57/G57</f>
        <v>-0.0201619126036906</v>
      </c>
      <c r="I58" s="388" t="n">
        <f aca="false">O57/G57</f>
        <v>0</v>
      </c>
      <c r="J58" s="1037" t="n">
        <f aca="false">DataDE1c!CQ81/TableDE1!B58</f>
        <v>1.18607759638913</v>
      </c>
      <c r="K58" s="1037" t="n">
        <f aca="false">DataDE1c!CR80/TableDE1!B58/1000</f>
        <v>0.872653486519292</v>
      </c>
      <c r="L58" s="1037" t="n">
        <f aca="false">DataDE1c!CU80/TableDE1!B58/1000</f>
        <v>0</v>
      </c>
      <c r="M58" s="1050" t="n">
        <f aca="false">DataDE1c!CS81/TableDE1!$B58/1000</f>
        <v>0.190961811595746</v>
      </c>
      <c r="N58" s="935" t="n">
        <f aca="false">DataDE1c!CT81/TableDE1!$B58/1000</f>
        <v>0.122462298274096</v>
      </c>
      <c r="O58" s="1039" t="n">
        <v>0</v>
      </c>
      <c r="R58" s="158" t="n">
        <f aca="false">DataDE1c!CY81/DataDE1c!CP81</f>
        <v>0.195775193378235</v>
      </c>
      <c r="S58" s="818" t="n">
        <f aca="false">N58+M58+K58-J58+L58</f>
        <v>0</v>
      </c>
      <c r="T58" s="387" t="n">
        <f aca="false">-(G58-J58-D58)-TableDE6a!H58</f>
        <v>0</v>
      </c>
    </row>
    <row r="59" customFormat="false" ht="12" hidden="false" customHeight="false" outlineLevel="0" collapsed="false">
      <c r="A59" s="416" t="n">
        <f aca="false">A58+1</f>
        <v>1919</v>
      </c>
      <c r="B59" s="819" t="n">
        <f aca="false">TableDE3b!H59</f>
        <v>154.066505274229</v>
      </c>
      <c r="C59" s="382" t="n">
        <f aca="false">B59/B58-1</f>
        <v>-0.0498872696867829</v>
      </c>
      <c r="D59" s="912" t="n">
        <f aca="false">TableDE6a!F59</f>
        <v>0.31974970060977</v>
      </c>
      <c r="E59" s="387" t="n">
        <f aca="false">TableDE12c!F59</f>
        <v>-0.0759473134471805</v>
      </c>
      <c r="F59" s="1036" t="n">
        <f aca="false">R$150</f>
        <v>-0.023539</v>
      </c>
      <c r="G59" s="821" t="n">
        <f aca="false">G58*(1+H59)*(1+I59)/(1+C59)</f>
        <v>1.21235216652434</v>
      </c>
      <c r="H59" s="387" t="n">
        <f aca="false">F58/G58</f>
        <v>-0.0200261997543836</v>
      </c>
      <c r="I59" s="388" t="n">
        <f aca="false">O58/G58</f>
        <v>0</v>
      </c>
      <c r="J59" s="1037" t="n">
        <f aca="false">DataDE1c!CQ82/TableDE1!B59</f>
        <v>1.18121942014456</v>
      </c>
      <c r="K59" s="1037" t="n">
        <f aca="false">DataDE1c!CR81/TableDE1!B59/1000</f>
        <v>1.0642255886721</v>
      </c>
      <c r="L59" s="1037" t="n">
        <f aca="false">DataDE1c!CU81/TableDE1!B59/1000</f>
        <v>0</v>
      </c>
      <c r="M59" s="1050" t="n">
        <f aca="false">DataDE1c!CS82/TableDE1!$B59/1000</f>
        <v>0.0712815424849886</v>
      </c>
      <c r="N59" s="935" t="n">
        <f aca="false">DataDE1c!CT82/TableDE1!$B59/1000</f>
        <v>0.0457122889874637</v>
      </c>
      <c r="O59" s="1039" t="n">
        <v>0</v>
      </c>
      <c r="R59" s="158" t="n">
        <f aca="false">DataDE1c!CY82/DataDE1c!CP82</f>
        <v>0.27054160965593</v>
      </c>
      <c r="S59" s="818" t="n">
        <f aca="false">N59+M59+K59-J59+L59</f>
        <v>0</v>
      </c>
      <c r="T59" s="387" t="n">
        <f aca="false">-(G59-J59-D59)-TableDE6a!H59</f>
        <v>0</v>
      </c>
    </row>
    <row r="60" customFormat="false" ht="12" hidden="false" customHeight="false" outlineLevel="0" collapsed="false">
      <c r="A60" s="864" t="n">
        <f aca="false">A59+1</f>
        <v>1920</v>
      </c>
      <c r="B60" s="882" t="n">
        <f aca="false">TableDE3b!H60</f>
        <v>178.511034773275</v>
      </c>
      <c r="C60" s="866" t="n">
        <f aca="false">B60/B59-1</f>
        <v>0.158662192379435</v>
      </c>
      <c r="D60" s="1056" t="n">
        <f aca="false">TableDE6a!F60</f>
        <v>0.695524325138224</v>
      </c>
      <c r="E60" s="448" t="n">
        <f aca="false">TableDE12c!F60</f>
        <v>-0.0911405735374432</v>
      </c>
      <c r="F60" s="1043" t="n">
        <f aca="false">R$150</f>
        <v>-0.023539</v>
      </c>
      <c r="G60" s="1044" t="n">
        <f aca="false">G59*(1+H60)*(1+I60)/(1+C60)</f>
        <v>1.0260222300712</v>
      </c>
      <c r="H60" s="448" t="n">
        <f aca="false">F59/G59</f>
        <v>-0.0194159755308422</v>
      </c>
      <c r="I60" s="1045" t="n">
        <f aca="false">O59/G59</f>
        <v>0</v>
      </c>
      <c r="J60" s="1046" t="n">
        <f aca="false">DataDE1c!CQ83/TableDE1!B60</f>
        <v>0.495914456463251</v>
      </c>
      <c r="K60" s="1046" t="n">
        <f aca="false">DataDE1c!CR82/TableDE1!B60/1000</f>
        <v>0.495914456463251</v>
      </c>
      <c r="L60" s="1046" t="n">
        <f aca="false">DataDE1c!CU82/TableDE1!B60/1000</f>
        <v>0</v>
      </c>
      <c r="M60" s="1047" t="n">
        <f aca="false">DataDE1c!CS83/TableDE1!$B60/1000</f>
        <v>0</v>
      </c>
      <c r="N60" s="1048" t="n">
        <f aca="false">DataDE1c!CT83/TableDE1!$B60/1000</f>
        <v>0</v>
      </c>
      <c r="O60" s="1049" t="n">
        <v>0</v>
      </c>
      <c r="R60" s="158" t="n">
        <f aca="false">DataDE1c!CY83/DataDE1c!CP83</f>
        <v>0.325176618420907</v>
      </c>
      <c r="S60" s="818" t="n">
        <f aca="false">N60+M60+K60-J60+L60</f>
        <v>0</v>
      </c>
      <c r="T60" s="387" t="n">
        <f aca="false">-(G60-J60-D60)-TableDE6a!H60</f>
        <v>0</v>
      </c>
    </row>
    <row r="61" customFormat="false" ht="12" hidden="false" customHeight="false" outlineLevel="0" collapsed="false">
      <c r="A61" s="416" t="n">
        <f aca="false">A60+1</f>
        <v>1921</v>
      </c>
      <c r="B61" s="819" t="n">
        <f aca="false">TableDE3b!H61</f>
        <v>189.281783104149</v>
      </c>
      <c r="C61" s="382" t="n">
        <f aca="false">B61/B60-1</f>
        <v>0.0603365968078833</v>
      </c>
      <c r="D61" s="912" t="n">
        <f aca="false">TableDE6a!F61</f>
        <v>0.668521958441133</v>
      </c>
      <c r="E61" s="387" t="n">
        <f aca="false">TableDE12c!F61</f>
        <v>-0.0649632985247869</v>
      </c>
      <c r="F61" s="1036" t="n">
        <f aca="false">R$150</f>
        <v>-0.023539</v>
      </c>
      <c r="G61" s="821" t="n">
        <f aca="false">G60*(1+H61)*(1+I61)/(1+C61)</f>
        <v>0.945438677764356</v>
      </c>
      <c r="H61" s="387" t="n">
        <f aca="false">F60/G60</f>
        <v>-0.0229419980484891</v>
      </c>
      <c r="I61" s="388" t="n">
        <f aca="false">O60/G60</f>
        <v>0</v>
      </c>
      <c r="J61" s="1037" t="n">
        <f aca="false">DataDE1c!CQ84/TableDE1!B61</f>
        <v>0.473044165530673</v>
      </c>
      <c r="K61" s="1037" t="n">
        <f aca="false">DataDE1c!CR83/TableDE1!B61/1000</f>
        <v>0.473044165530673</v>
      </c>
      <c r="L61" s="1037" t="n">
        <f aca="false">DataDE1c!CU83/TableDE1!B61/1000</f>
        <v>0</v>
      </c>
      <c r="M61" s="1050" t="n">
        <f aca="false">DataDE1c!CS84/TableDE1!$B61/1000</f>
        <v>0</v>
      </c>
      <c r="N61" s="935" t="n">
        <f aca="false">DataDE1c!CT84/TableDE1!$B61/1000</f>
        <v>0</v>
      </c>
      <c r="O61" s="1039" t="n">
        <v>0</v>
      </c>
      <c r="R61" s="158" t="n">
        <f aca="false">DataDE1c!CY84/DataDE1c!CP84</f>
        <v>0.421112501938124</v>
      </c>
      <c r="S61" s="818" t="n">
        <f aca="false">N61+M61+K61-J61+L61</f>
        <v>0</v>
      </c>
      <c r="T61" s="387" t="n">
        <f aca="false">-(G61-J61-D61)-TableDE6a!H61</f>
        <v>0</v>
      </c>
    </row>
    <row r="62" customFormat="false" ht="12" hidden="false" customHeight="false" outlineLevel="0" collapsed="false">
      <c r="A62" s="416" t="n">
        <f aca="false">A61+1</f>
        <v>1922</v>
      </c>
      <c r="B62" s="819" t="n">
        <f aca="false">TableDE3b!H62</f>
        <v>203.7369916016</v>
      </c>
      <c r="C62" s="382" t="n">
        <f aca="false">B62/B61-1</f>
        <v>0.07636872529618</v>
      </c>
      <c r="D62" s="912" t="n">
        <f aca="false">TableDE6a!F62</f>
        <v>0.89646536978602</v>
      </c>
      <c r="E62" s="387" t="n">
        <f aca="false">TableDE12c!F62</f>
        <v>-0.023539</v>
      </c>
      <c r="F62" s="1036" t="n">
        <f aca="false">R$150</f>
        <v>-0.023539</v>
      </c>
      <c r="G62" s="821" t="n">
        <f aca="false">G61*(1+H62)*(1+I62)/(1+C62)</f>
        <v>0.856490583661914</v>
      </c>
      <c r="H62" s="387" t="n">
        <f aca="false">F61/G61</f>
        <v>-0.0248974370877885</v>
      </c>
      <c r="I62" s="388" t="n">
        <f aca="false">O61/G61</f>
        <v>0</v>
      </c>
      <c r="J62" s="1037" t="n">
        <f aca="false">DataDE1c!CQ85/TableDE1!B62</f>
        <v>0.0328294322807118</v>
      </c>
      <c r="K62" s="1037" t="n">
        <f aca="false">DataDE1c!CR84/TableDE1!B62/1000</f>
        <v>0.0328294322807118</v>
      </c>
      <c r="L62" s="1037" t="n">
        <f aca="false">DataDE1c!CU84/TableDE1!B62/1000</f>
        <v>0</v>
      </c>
      <c r="M62" s="1050" t="n">
        <f aca="false">DataDE1c!CS85/TableDE1!$B62/1000</f>
        <v>0</v>
      </c>
      <c r="N62" s="935" t="n">
        <f aca="false">DataDE1c!CT85/TableDE1!$B62/1000</f>
        <v>0</v>
      </c>
      <c r="O62" s="1039" t="n">
        <v>0</v>
      </c>
      <c r="R62" s="158" t="n">
        <f aca="false">DataDE1c!CY85/DataDE1c!CP85</f>
        <v>0.279317406759702</v>
      </c>
      <c r="S62" s="818" t="n">
        <f aca="false">N62+M62+K62-J62+L62</f>
        <v>0</v>
      </c>
      <c r="T62" s="387" t="n">
        <f aca="false">-(G62-J62-D62)-TableDE6a!H62</f>
        <v>0</v>
      </c>
    </row>
    <row r="63" customFormat="false" ht="12" hidden="false" customHeight="false" outlineLevel="0" collapsed="false">
      <c r="A63" s="416" t="n">
        <f aca="false">A62+1</f>
        <v>1923</v>
      </c>
      <c r="B63" s="819" t="n">
        <f aca="false">TableDE3b!H63</f>
        <v>177.178583108415</v>
      </c>
      <c r="C63" s="382" t="n">
        <f aca="false">B63/B62-1</f>
        <v>-0.130356339731958</v>
      </c>
      <c r="D63" s="912" t="n">
        <f aca="false">TableDE6a!F63</f>
        <v>0.957809674285593</v>
      </c>
      <c r="E63" s="387" t="n">
        <f aca="false">TableDE12c!F63</f>
        <v>-0.023539</v>
      </c>
      <c r="F63" s="1036" t="n">
        <f aca="false">R$150</f>
        <v>-0.023539</v>
      </c>
      <c r="G63" s="821" t="n">
        <f aca="false">G62*(1+H63)*(1+I63)/(1+C63)</f>
        <v>0.957807918021482</v>
      </c>
      <c r="H63" s="387" t="n">
        <f aca="false">F62/G62</f>
        <v>-0.0274830808989858</v>
      </c>
      <c r="I63" s="388" t="n">
        <f aca="false">O62/G62</f>
        <v>0</v>
      </c>
      <c r="J63" s="1037" t="n">
        <f aca="false">DataDE1c!CQ86/TableDE1!B63</f>
        <v>2.52320096108218E-009</v>
      </c>
      <c r="K63" s="1037" t="n">
        <f aca="false">DataDE1c!CR85/TableDE1!B63/1000</f>
        <v>2.52320096108218E-009</v>
      </c>
      <c r="L63" s="1037" t="n">
        <f aca="false">DataDE1c!CU85/TableDE1!B63/1000</f>
        <v>0</v>
      </c>
      <c r="M63" s="1050" t="n">
        <f aca="false">DataDE1c!CS86/TableDE1!$B63/1000</f>
        <v>1.75718164252332E-013</v>
      </c>
      <c r="N63" s="935" t="n">
        <f aca="false">DataDE1c!CT86/TableDE1!$B63/1000</f>
        <v>5.99393029271834E-013</v>
      </c>
      <c r="O63" s="1039" t="n">
        <v>0</v>
      </c>
      <c r="R63" s="158" t="n">
        <f aca="false">DataDE1c!CY86/DataDE1c!CP86</f>
        <v>4.8459421875E-008</v>
      </c>
      <c r="S63" s="818" t="n">
        <f aca="false">N63+M63+K63-J63+L63</f>
        <v>7.75111193524021E-013</v>
      </c>
      <c r="T63" s="387" t="n">
        <f aca="false">-(G63-J63-D63)-TableDE6a!H63</f>
        <v>1.24287261932992E-017</v>
      </c>
    </row>
    <row r="64" customFormat="false" ht="12" hidden="false" customHeight="false" outlineLevel="0" collapsed="false">
      <c r="A64" s="416" t="n">
        <f aca="false">A63+1</f>
        <v>1924</v>
      </c>
      <c r="B64" s="819" t="n">
        <f aca="false">TableDE3b!H64</f>
        <v>197.408293654368</v>
      </c>
      <c r="C64" s="382" t="n">
        <f aca="false">B64/B63-1</f>
        <v>0.114176951813496</v>
      </c>
      <c r="D64" s="912" t="n">
        <f aca="false">TableDE6a!F64</f>
        <v>0.765732473171993</v>
      </c>
      <c r="E64" s="387" t="n">
        <f aca="false">TableDE12c!F64</f>
        <v>-0.023539</v>
      </c>
      <c r="F64" s="1036" t="n">
        <f aca="false">R$150</f>
        <v>-0.023539</v>
      </c>
      <c r="G64" s="821" t="n">
        <f aca="false">G63*(1+H64)*(1+I64)/(1+C64)</f>
        <v>0.83852831141482</v>
      </c>
      <c r="H64" s="387" t="n">
        <f aca="false">F63/G63</f>
        <v>-0.0245759087569707</v>
      </c>
      <c r="I64" s="388" t="n">
        <f aca="false">O63/G63</f>
        <v>0</v>
      </c>
      <c r="J64" s="1037" t="n">
        <f aca="false">DataDE1c!CQ87/TableDE1!B64</f>
        <v>0.0727958382428276</v>
      </c>
      <c r="K64" s="1037" t="n">
        <f aca="false">DataDE1c!CR86/TableDE1!B64/1000</f>
        <v>0.0355577178237964</v>
      </c>
      <c r="L64" s="1037" t="n">
        <f aca="false">DataDE1c!CU86/TableDE1!B64/1000</f>
        <v>0</v>
      </c>
      <c r="M64" s="1050" t="n">
        <f aca="false">DataDE1c!CS86/TableDE1!$B64/1000</f>
        <v>0.00844190383896891</v>
      </c>
      <c r="N64" s="935" t="n">
        <f aca="false">DataDE1c!CT86/TableDE1!$B64/1000</f>
        <v>0.0287962165800623</v>
      </c>
      <c r="O64" s="1039" t="n">
        <v>0</v>
      </c>
      <c r="R64" s="158" t="n">
        <f aca="false">DataDE1c!CY87/DataDE1c!CP87</f>
        <v>0</v>
      </c>
      <c r="S64" s="818" t="n">
        <f aca="false">N64+M64+K64-J64+L64</f>
        <v>0</v>
      </c>
      <c r="T64" s="387" t="n">
        <f aca="false">-(G64-J64-D64)-TableDE6a!H64</f>
        <v>-0</v>
      </c>
    </row>
    <row r="65" s="435" customFormat="true" ht="12" hidden="false" customHeight="false" outlineLevel="0" collapsed="false">
      <c r="A65" s="431" t="n">
        <f aca="false">A64+1</f>
        <v>1925</v>
      </c>
      <c r="B65" s="1057" t="n">
        <f aca="false">TableDE3b!H65</f>
        <v>214.736930413913</v>
      </c>
      <c r="C65" s="393" t="n">
        <f aca="false">B65/B64-1</f>
        <v>0.0877806926890565</v>
      </c>
      <c r="D65" s="1058" t="n">
        <f aca="false">TableDE6a!F65</f>
        <v>0.664758338861052</v>
      </c>
      <c r="E65" s="392" t="n">
        <f aca="false">TableDE12c!F65</f>
        <v>-0.100084288200861</v>
      </c>
      <c r="F65" s="1051" t="n">
        <f aca="false">DataDE1c!P88/DataDE1c!B88</f>
        <v>0.00974891717558523</v>
      </c>
      <c r="G65" s="1052" t="n">
        <f aca="false">DataDE1c!CH88/TableDE1!B65</f>
        <v>0.749224987735803</v>
      </c>
      <c r="H65" s="392" t="n">
        <f aca="false">F64/G64</f>
        <v>-0.0280718011301055</v>
      </c>
      <c r="I65" s="398" t="n">
        <f aca="false">O64/G64</f>
        <v>0</v>
      </c>
      <c r="J65" s="1053" t="n">
        <f aca="false">DataDE1c!CQ88/TableDE1!B65</f>
        <v>0.0844666488747519</v>
      </c>
      <c r="K65" s="1053" t="n">
        <f aca="false">DataDE1c!CR87/TableDE1!B65/1000</f>
        <v>0.0412584199688921</v>
      </c>
      <c r="L65" s="1053" t="n">
        <f aca="false">DataDE1c!CU87/TableDE1!B65/1000</f>
        <v>0</v>
      </c>
      <c r="M65" s="1054" t="n">
        <f aca="false">DataDE1c!CS87/TableDE1!$B65/1000</f>
        <v>0.00979533095040448</v>
      </c>
      <c r="N65" s="1054" t="n">
        <f aca="false">DataDE1c!CT87/TableDE1!$B65/1000</f>
        <v>0.0334128979554553</v>
      </c>
      <c r="O65" s="1055" t="n">
        <v>0</v>
      </c>
      <c r="R65" s="158" t="n">
        <f aca="false">DataDE1c!CY88/DataDE1c!CP88</f>
        <v>0</v>
      </c>
      <c r="S65" s="818" t="n">
        <f aca="false">N65+M65+K65-J65+L65</f>
        <v>0</v>
      </c>
      <c r="T65" s="387" t="n">
        <f aca="false">-(G65-J65-D65)-TableDE6a!H65</f>
        <v>-0</v>
      </c>
    </row>
    <row r="66" customFormat="false" ht="12" hidden="false" customHeight="false" outlineLevel="0" collapsed="false">
      <c r="A66" s="416" t="n">
        <f aca="false">A65+1</f>
        <v>1926</v>
      </c>
      <c r="B66" s="819" t="n">
        <f aca="false">TableDE3b!H66</f>
        <v>216.277482704078</v>
      </c>
      <c r="C66" s="382" t="n">
        <f aca="false">B66/B65-1</f>
        <v>0.0071741376166421</v>
      </c>
      <c r="D66" s="912" t="n">
        <f aca="false">TableDE6a!F66</f>
        <v>0.579449775844505</v>
      </c>
      <c r="E66" s="387" t="n">
        <f aca="false">TableDE12c!F66</f>
        <v>-0.0219667399965015</v>
      </c>
      <c r="F66" s="1036" t="n">
        <f aca="false">DataDE1c!P89/DataDE1c!B89</f>
        <v>0.0151481344155435</v>
      </c>
      <c r="G66" s="821" t="n">
        <f aca="false">DataDE1c!CH89/TableDE1!B66</f>
        <v>0.795146474258677</v>
      </c>
      <c r="H66" s="387" t="n">
        <f aca="false">F65/G65</f>
        <v>0.0130120021824779</v>
      </c>
      <c r="I66" s="388" t="n">
        <f aca="false">O65/G65</f>
        <v>0</v>
      </c>
      <c r="J66" s="1037" t="n">
        <f aca="false">DataDE1c!CQ89/TableDE1!B66</f>
        <v>0.215696698414172</v>
      </c>
      <c r="K66" s="1037" t="n">
        <f aca="false">DataDE1c!CR88/TableDE1!B66/1000</f>
        <v>0.105358802410539</v>
      </c>
      <c r="L66" s="1037" t="n">
        <f aca="false">DataDE1c!CU88/TableDE1!B66/1000</f>
        <v>0</v>
      </c>
      <c r="M66" s="1050" t="n">
        <f aca="false">DataDE1c!CS88/TableDE1!$B66/1000</f>
        <v>0.0250136660329607</v>
      </c>
      <c r="N66" s="935" t="n">
        <f aca="false">DataDE1c!CT88/TableDE1!$B66/1000</f>
        <v>0.0853242299706721</v>
      </c>
      <c r="O66" s="1039" t="n">
        <v>0</v>
      </c>
      <c r="R66" s="158" t="n">
        <f aca="false">DataDE1c!CY89/DataDE1c!CP89</f>
        <v>0</v>
      </c>
      <c r="S66" s="818" t="n">
        <f aca="false">N66+M66+K66-J66+L66</f>
        <v>0</v>
      </c>
      <c r="T66" s="387" t="n">
        <f aca="false">-(G66-J66-D66)-TableDE6a!H66</f>
        <v>-0</v>
      </c>
    </row>
    <row r="67" customFormat="false" ht="12" hidden="false" customHeight="false" outlineLevel="0" collapsed="false">
      <c r="A67" s="416" t="n">
        <f aca="false">A66+1</f>
        <v>1927</v>
      </c>
      <c r="B67" s="819" t="n">
        <f aca="false">TableDE3b!H67</f>
        <v>238.262757885558</v>
      </c>
      <c r="C67" s="382" t="n">
        <f aca="false">B67/B66-1</f>
        <v>0.101653093547244</v>
      </c>
      <c r="D67" s="912" t="n">
        <f aca="false">TableDE6a!F67</f>
        <v>0.602246523104808</v>
      </c>
      <c r="E67" s="387" t="n">
        <f aca="false">TableDE12c!F67</f>
        <v>0.0200897862533345</v>
      </c>
      <c r="F67" s="1036" t="n">
        <f aca="false">DataDE1c!P90/DataDE1c!B90</f>
        <v>0.0177582864567448</v>
      </c>
      <c r="G67" s="821" t="n">
        <f aca="false">DataDE1c!CH90/TableDE1!B67</f>
        <v>0.797878115232451</v>
      </c>
      <c r="H67" s="387" t="n">
        <f aca="false">F66/G66</f>
        <v>0.0190507471339369</v>
      </c>
      <c r="I67" s="388" t="n">
        <f aca="false">O66/G66</f>
        <v>0</v>
      </c>
      <c r="J67" s="1037" t="n">
        <f aca="false">DataDE1c!CQ90/TableDE1!B67</f>
        <v>0.195631592127644</v>
      </c>
      <c r="K67" s="1037" t="n">
        <f aca="false">DataDE1c!CR89/TableDE1!B67/1000</f>
        <v>0.0955578384452516</v>
      </c>
      <c r="L67" s="1037" t="n">
        <f aca="false">DataDE1c!CU89/TableDE1!B67/1000</f>
        <v>0</v>
      </c>
      <c r="M67" s="1050" t="n">
        <f aca="false">DataDE1c!CS89/TableDE1!$B67/1000</f>
        <v>0.0226867789213029</v>
      </c>
      <c r="N67" s="935" t="n">
        <f aca="false">DataDE1c!CT89/TableDE1!$B67/1000</f>
        <v>0.0773869747610893</v>
      </c>
      <c r="O67" s="1039" t="n">
        <v>0</v>
      </c>
      <c r="R67" s="158" t="n">
        <f aca="false">DataDE1c!CY90/DataDE1c!CP90</f>
        <v>0</v>
      </c>
      <c r="S67" s="818" t="n">
        <f aca="false">N67+M67+K67-J67+L67</f>
        <v>0</v>
      </c>
      <c r="T67" s="387" t="n">
        <f aca="false">-(G67-J67-D67)-TableDE6a!H67</f>
        <v>-0</v>
      </c>
    </row>
    <row r="68" customFormat="false" ht="12" hidden="false" customHeight="false" outlineLevel="0" collapsed="false">
      <c r="A68" s="416" t="n">
        <f aca="false">A67+1</f>
        <v>1928</v>
      </c>
      <c r="B68" s="819" t="n">
        <f aca="false">TableDE3b!H68</f>
        <v>246.18861413123</v>
      </c>
      <c r="C68" s="382" t="n">
        <f aca="false">B68/B67-1</f>
        <v>0.0332651914046873</v>
      </c>
      <c r="D68" s="912" t="n">
        <f aca="false">TableDE6a!F68</f>
        <v>0.602554156266893</v>
      </c>
      <c r="E68" s="387" t="n">
        <f aca="false">TableDE12c!F68</f>
        <v>-0.0144016736123652</v>
      </c>
      <c r="F68" s="1036" t="n">
        <f aca="false">DataDE1c!P91/DataDE1c!B91</f>
        <v>0.016573395088882</v>
      </c>
      <c r="G68" s="821" t="n">
        <f aca="false">DataDE1c!CH91/TableDE1!B68</f>
        <v>0.781061778272125</v>
      </c>
      <c r="H68" s="387" t="n">
        <f aca="false">F67/G67</f>
        <v>0.0222568912691272</v>
      </c>
      <c r="I68" s="388" t="n">
        <f aca="false">O67/G67</f>
        <v>0</v>
      </c>
      <c r="J68" s="1037" t="n">
        <f aca="false">DataDE1c!CQ91/TableDE1!B68</f>
        <v>0.178507622005232</v>
      </c>
      <c r="K68" s="1037" t="n">
        <f aca="false">DataDE1c!CR90/TableDE1!B68/1000</f>
        <v>0.0871934963024389</v>
      </c>
      <c r="L68" s="1037" t="n">
        <f aca="false">DataDE1c!CU90/TableDE1!B68/1000</f>
        <v>0</v>
      </c>
      <c r="M68" s="1050" t="n">
        <f aca="false">DataDE1c!CS90/TableDE1!$B68/1000</f>
        <v>0.0207009660973256</v>
      </c>
      <c r="N68" s="935" t="n">
        <f aca="false">DataDE1c!CT90/TableDE1!$B68/1000</f>
        <v>0.070613159605467</v>
      </c>
      <c r="O68" s="1039" t="n">
        <v>0</v>
      </c>
      <c r="R68" s="158" t="n">
        <f aca="false">DataDE1c!CY91/DataDE1c!CP91</f>
        <v>0.00295314060713097</v>
      </c>
      <c r="S68" s="818" t="n">
        <f aca="false">N68+M68+K68-J68+L68</f>
        <v>0</v>
      </c>
      <c r="T68" s="387" t="n">
        <f aca="false">-(G68-J68-D68)-TableDE6a!H68</f>
        <v>-0</v>
      </c>
    </row>
    <row r="69" customFormat="false" ht="12" hidden="false" customHeight="false" outlineLevel="0" collapsed="false">
      <c r="A69" s="436" t="n">
        <f aca="false">A68+1</f>
        <v>1929</v>
      </c>
      <c r="B69" s="823" t="n">
        <f aca="false">TableDE3b!H69</f>
        <v>241.111613118797</v>
      </c>
      <c r="C69" s="407" t="n">
        <f aca="false">B69/B68-1</f>
        <v>-0.0206224038034756</v>
      </c>
      <c r="D69" s="1059" t="n">
        <f aca="false">TableDE6a!F69</f>
        <v>0.595359959098357</v>
      </c>
      <c r="E69" s="406" t="n">
        <f aca="false">TableDE12c!F69</f>
        <v>-0.0226759439833653</v>
      </c>
      <c r="F69" s="1060" t="n">
        <f aca="false">DataDE1c!P92/DataDE1c!B92</f>
        <v>0.0149821775909939</v>
      </c>
      <c r="G69" s="825" t="n">
        <f aca="false">DataDE1c!CH92/TableDE1!B69</f>
        <v>0.818155687324571</v>
      </c>
      <c r="H69" s="406" t="n">
        <f aca="false">F68/G68</f>
        <v>0.0212190578900761</v>
      </c>
      <c r="I69" s="413" t="n">
        <f aca="false">O68/G68</f>
        <v>0</v>
      </c>
      <c r="J69" s="1061" t="n">
        <f aca="false">DataDE1c!CQ92/TableDE1!B69</f>
        <v>0.222795728226214</v>
      </c>
      <c r="K69" s="1061" t="n">
        <f aca="false">DataDE1c!CR91/TableDE1!B69/1000</f>
        <v>0.100957381474313</v>
      </c>
      <c r="L69" s="1061" t="n">
        <f aca="false">DataDE1c!CU91/TableDE1!B69/1000</f>
        <v>0</v>
      </c>
      <c r="M69" s="1062" t="n">
        <f aca="false">DataDE1c!CS91/TableDE1!$B69/1000</f>
        <v>0.0270152088961522</v>
      </c>
      <c r="N69" s="1063" t="n">
        <f aca="false">DataDE1c!CT91/TableDE1!$B69/1000</f>
        <v>0.0948231378557494</v>
      </c>
      <c r="O69" s="1064" t="n">
        <v>0</v>
      </c>
      <c r="R69" s="158" t="n">
        <f aca="false">DataDE1c!CY92/DataDE1c!CP92</f>
        <v>0.0117393475163486</v>
      </c>
      <c r="S69" s="818" t="n">
        <f aca="false">N69+M69+K69-J69+L69</f>
        <v>0</v>
      </c>
      <c r="T69" s="387" t="n">
        <f aca="false">-(G69-J69-D69)-TableDE6a!H69</f>
        <v>-0</v>
      </c>
    </row>
    <row r="70" customFormat="false" ht="12" hidden="false" customHeight="false" outlineLevel="0" collapsed="false">
      <c r="A70" s="416" t="n">
        <f aca="false">A69+1</f>
        <v>1930</v>
      </c>
      <c r="B70" s="819" t="n">
        <f aca="false">TableDE3b!H70</f>
        <v>222.583843289498</v>
      </c>
      <c r="C70" s="382" t="n">
        <f aca="false">B70/B69-1</f>
        <v>-0.0768431250143496</v>
      </c>
      <c r="D70" s="912" t="n">
        <f aca="false">TableDE6a!F70</f>
        <v>0.601849133959017</v>
      </c>
      <c r="E70" s="387" t="n">
        <f aca="false">TableDE12c!F70</f>
        <v>-0.0286179007956675</v>
      </c>
      <c r="F70" s="1036" t="n">
        <f aca="false">DataDE1c!P93/DataDE1c!B93</f>
        <v>0.00938161373541736</v>
      </c>
      <c r="G70" s="821" t="n">
        <f aca="false">DataDE1c!CH93/TableDE1!B70</f>
        <v>0.88589950222276</v>
      </c>
      <c r="H70" s="387" t="n">
        <f aca="false">F69/G69</f>
        <v>0.0183121352367381</v>
      </c>
      <c r="I70" s="388" t="n">
        <f aca="false">O69/G69</f>
        <v>0</v>
      </c>
      <c r="J70" s="1037" t="n">
        <f aca="false">DataDE1c!CQ93/TableDE1!B70</f>
        <v>0.284050368263744</v>
      </c>
      <c r="K70" s="1037" t="n">
        <f aca="false">DataDE1c!CR92/TableDE1!B70/1000</f>
        <v>0.128308318700683</v>
      </c>
      <c r="L70" s="1037" t="n">
        <f aca="false">DataDE1c!CU92/TableDE1!B70/1000</f>
        <v>0</v>
      </c>
      <c r="M70" s="1050" t="n">
        <f aca="false">DataDE1c!CS92/TableDE1!$B70/1000</f>
        <v>0.0345086755383975</v>
      </c>
      <c r="N70" s="935" t="n">
        <f aca="false">DataDE1c!CT92/TableDE1!$B70/1000</f>
        <v>0.121233374024664</v>
      </c>
      <c r="O70" s="1039" t="n">
        <v>0</v>
      </c>
      <c r="R70" s="158" t="n">
        <f aca="false">DataDE1c!CY93/DataDE1c!CP93</f>
        <v>0.00882368688761578</v>
      </c>
      <c r="S70" s="818" t="n">
        <f aca="false">N70+M70+K70-J70+L70</f>
        <v>0</v>
      </c>
      <c r="T70" s="387" t="n">
        <f aca="false">-(G70-J70-D70)-TableDE6a!H70</f>
        <v>-0</v>
      </c>
    </row>
    <row r="71" customFormat="false" ht="12" hidden="false" customHeight="false" outlineLevel="0" collapsed="false">
      <c r="A71" s="416" t="n">
        <f aca="false">A70+1</f>
        <v>1931</v>
      </c>
      <c r="B71" s="819" t="n">
        <f aca="false">TableDE3b!H71</f>
        <v>193.352035529746</v>
      </c>
      <c r="C71" s="382" t="n">
        <f aca="false">B71/B70-1</f>
        <v>-0.131329423231014</v>
      </c>
      <c r="D71" s="912" t="n">
        <f aca="false">TableDE6a!F71</f>
        <v>0.590391337180923</v>
      </c>
      <c r="E71" s="387" t="n">
        <f aca="false">TableDE12c!F71</f>
        <v>-0.0143373716131847</v>
      </c>
      <c r="F71" s="1036" t="n">
        <f aca="false">DataDE1c!P94/DataDE1c!B94</f>
        <v>0.000275398589298111</v>
      </c>
      <c r="G71" s="821" t="n">
        <f aca="false">DataDE1c!CH94/TableDE1!B71</f>
        <v>0.980422410296525</v>
      </c>
      <c r="H71" s="387" t="n">
        <f aca="false">F70/G70</f>
        <v>0.0105899300223993</v>
      </c>
      <c r="I71" s="388" t="n">
        <f aca="false">O70/G70</f>
        <v>0</v>
      </c>
      <c r="J71" s="1037" t="n">
        <f aca="false">DataDE1c!CQ94/TableDE1!B71</f>
        <v>0.390031073115602</v>
      </c>
      <c r="K71" s="1037" t="n">
        <f aca="false">DataDE1c!CR93/TableDE1!B71/1000</f>
        <v>0.184153377373956</v>
      </c>
      <c r="L71" s="1037" t="n">
        <f aca="false">DataDE1c!CU93/TableDE1!B71/1000</f>
        <v>0</v>
      </c>
      <c r="M71" s="1050" t="n">
        <f aca="false">DataDE1c!CS93/TableDE1!$B71/1000</f>
        <v>0.0446826039969252</v>
      </c>
      <c r="N71" s="935" t="n">
        <f aca="false">DataDE1c!CT93/TableDE1!$B71/1000</f>
        <v>0.161195091744721</v>
      </c>
      <c r="O71" s="1039" t="n">
        <v>0</v>
      </c>
      <c r="R71" s="158" t="n">
        <f aca="false">DataDE1c!CY94/DataDE1c!CP94</f>
        <v>0.00405994635070894</v>
      </c>
      <c r="S71" s="818" t="n">
        <f aca="false">N71+M71+K71-J71+L71</f>
        <v>0</v>
      </c>
      <c r="T71" s="387" t="n">
        <f aca="false">-(G71-J71-D71)-TableDE6a!H71</f>
        <v>-0</v>
      </c>
    </row>
    <row r="72" customFormat="false" ht="12" hidden="false" customHeight="false" outlineLevel="0" collapsed="false">
      <c r="A72" s="416" t="n">
        <f aca="false">A71+1</f>
        <v>1932</v>
      </c>
      <c r="B72" s="819" t="n">
        <f aca="false">TableDE3b!H72</f>
        <v>176.40359763024</v>
      </c>
      <c r="C72" s="382" t="n">
        <f aca="false">B72/B71-1</f>
        <v>-0.0876558545301615</v>
      </c>
      <c r="D72" s="912" t="n">
        <f aca="false">TableDE6a!F72</f>
        <v>0.557043070320755</v>
      </c>
      <c r="E72" s="387" t="n">
        <f aca="false">TableDE12c!F72</f>
        <v>-0.0136662762144776</v>
      </c>
      <c r="F72" s="1036" t="n">
        <f aca="false">DataDE1c!P95/DataDE1c!B95</f>
        <v>-0.0083511665962584</v>
      </c>
      <c r="G72" s="821" t="n">
        <f aca="false">DataDE1c!CH95/TableDE1!B72</f>
        <v>1.0433378867434</v>
      </c>
      <c r="H72" s="387" t="n">
        <f aca="false">F71/G71</f>
        <v>0.000280897892995752</v>
      </c>
      <c r="I72" s="388" t="n">
        <f aca="false">O71/G71</f>
        <v>0</v>
      </c>
      <c r="J72" s="1037" t="n">
        <f aca="false">DataDE1c!CQ95/TableDE1!B72</f>
        <v>0.48629481642265</v>
      </c>
      <c r="K72" s="1037" t="n">
        <f aca="false">DataDE1c!CR94/TableDE1!B72/1000</f>
        <v>0.229982832070835</v>
      </c>
      <c r="L72" s="1037" t="n">
        <f aca="false">DataDE1c!CU94/TableDE1!B72/1000</f>
        <v>0</v>
      </c>
      <c r="M72" s="1050" t="n">
        <f aca="false">DataDE1c!CS94/TableDE1!$B72/1000</f>
        <v>0.0561983586501586</v>
      </c>
      <c r="N72" s="935" t="n">
        <f aca="false">DataDE1c!CT94/TableDE1!$B72/1000</f>
        <v>0.200113625701656</v>
      </c>
      <c r="O72" s="1039" t="n">
        <v>0</v>
      </c>
      <c r="R72" s="158" t="n">
        <f aca="false">DataDE1c!CY95/DataDE1c!CP95</f>
        <v>0</v>
      </c>
      <c r="S72" s="818" t="n">
        <f aca="false">N72+M72+K72-J72+L72</f>
        <v>0</v>
      </c>
      <c r="T72" s="387" t="n">
        <f aca="false">-(G72-J72-D72)-TableDE6a!H72</f>
        <v>-0</v>
      </c>
    </row>
    <row r="73" customFormat="false" ht="12" hidden="false" customHeight="false" outlineLevel="0" collapsed="false">
      <c r="A73" s="416" t="n">
        <f aca="false">A72+1</f>
        <v>1933</v>
      </c>
      <c r="B73" s="819" t="n">
        <f aca="false">TableDE3b!H73</f>
        <v>190.125238518917</v>
      </c>
      <c r="C73" s="382" t="n">
        <f aca="false">B73/B72-1</f>
        <v>0.0777854934537023</v>
      </c>
      <c r="D73" s="912" t="n">
        <f aca="false">TableDE6a!F73</f>
        <v>0.487855273271775</v>
      </c>
      <c r="E73" s="387" t="n">
        <f aca="false">TableDE12c!F73</f>
        <v>-0.00666495801825535</v>
      </c>
      <c r="F73" s="1036" t="n">
        <f aca="false">DataDE1c!P96/DataDE1c!B96</f>
        <v>-0.00411168592592584</v>
      </c>
      <c r="G73" s="821" t="n">
        <f aca="false">DataDE1c!CH96/TableDE1!B73</f>
        <v>0.962822466125961</v>
      </c>
      <c r="H73" s="387" t="n">
        <f aca="false">F72/G72</f>
        <v>-0.00800427809856028</v>
      </c>
      <c r="I73" s="388" t="n">
        <f aca="false">O72/G72</f>
        <v>0</v>
      </c>
      <c r="J73" s="1037" t="n">
        <f aca="false">DataDE1c!CQ96/TableDE1!B73</f>
        <v>0.485209573063952</v>
      </c>
      <c r="K73" s="1037" t="n">
        <f aca="false">DataDE1c!CR95/TableDE1!B73/1000</f>
        <v>0.228281076553209</v>
      </c>
      <c r="L73" s="1037" t="n">
        <f aca="false">DataDE1c!CU95/TableDE1!B73/1000</f>
        <v>0.00976394681579168</v>
      </c>
      <c r="M73" s="1050" t="n">
        <f aca="false">DataDE1c!CS95/TableDE1!$B73/1000</f>
        <v>0.0576268141068025</v>
      </c>
      <c r="N73" s="935" t="n">
        <f aca="false">DataDE1c!CT95/TableDE1!$B73/1000</f>
        <v>0.189537735588148</v>
      </c>
      <c r="O73" s="1039" t="n">
        <v>0</v>
      </c>
      <c r="R73" s="158" t="n">
        <f aca="false">DataDE1c!CY96/DataDE1c!CP96</f>
        <v>0.00190964272143574</v>
      </c>
      <c r="S73" s="818" t="n">
        <f aca="false">N73+M73+K73-J73+L73</f>
        <v>0</v>
      </c>
      <c r="T73" s="387" t="n">
        <f aca="false">-(G73-J73-D73)-TableDE6a!H73</f>
        <v>-4.5102810375397E-017</v>
      </c>
    </row>
    <row r="74" customFormat="false" ht="12" hidden="false" customHeight="false" outlineLevel="0" collapsed="false">
      <c r="A74" s="416" t="n">
        <f aca="false">A73+1</f>
        <v>1934</v>
      </c>
      <c r="B74" s="819" t="n">
        <f aca="false">TableDE3b!H74</f>
        <v>214.48511971879</v>
      </c>
      <c r="C74" s="382" t="n">
        <f aca="false">B74/B73-1</f>
        <v>0.12812544715072</v>
      </c>
      <c r="D74" s="912" t="n">
        <f aca="false">TableDE6a!F74</f>
        <v>0.472146242980393</v>
      </c>
      <c r="E74" s="387" t="n">
        <f aca="false">TableDE12c!F74</f>
        <v>0.00684400212149451</v>
      </c>
      <c r="F74" s="1036" t="n">
        <f aca="false">DataDE1c!P97/DataDE1c!B97</f>
        <v>0.0146038945702491</v>
      </c>
      <c r="G74" s="821" t="n">
        <f aca="false">DataDE1c!CH97/TableDE1!B74</f>
        <v>0.894805746479517</v>
      </c>
      <c r="H74" s="387" t="n">
        <f aca="false">F73/G73</f>
        <v>-0.0042704507534704</v>
      </c>
      <c r="I74" s="388" t="n">
        <f aca="false">O73/G73</f>
        <v>0</v>
      </c>
      <c r="J74" s="1037" t="n">
        <f aca="false">DataDE1c!CQ97/TableDE1!B74</f>
        <v>0.44763962446319</v>
      </c>
      <c r="K74" s="1037" t="n">
        <f aca="false">DataDE1c!CR96/TableDE1!B74/1000</f>
        <v>0.20358712268779</v>
      </c>
      <c r="L74" s="1037" t="n">
        <f aca="false">DataDE1c!CU96/TableDE1!B74/1000</f>
        <v>0.024168741775876</v>
      </c>
      <c r="M74" s="1050" t="n">
        <f aca="false">DataDE1c!CS96/TableDE1!$B74/1000</f>
        <v>0.0498221348322702</v>
      </c>
      <c r="N74" s="935" t="n">
        <f aca="false">DataDE1c!CT96/TableDE1!$B74/1000</f>
        <v>0.170061625167254</v>
      </c>
      <c r="O74" s="1039" t="n">
        <v>0</v>
      </c>
      <c r="R74" s="158" t="n">
        <f aca="false">DataDE1c!CY97/DataDE1c!CP97</f>
        <v>0.00158284895224193</v>
      </c>
      <c r="S74" s="818" t="n">
        <f aca="false">N74+M74+K74-J74+L74</f>
        <v>0</v>
      </c>
      <c r="T74" s="387" t="n">
        <f aca="false">-(G74-J74-D74)-TableDE6a!H74</f>
        <v>0</v>
      </c>
    </row>
    <row r="75" s="435" customFormat="true" ht="12" hidden="false" customHeight="false" outlineLevel="0" collapsed="false">
      <c r="A75" s="416" t="n">
        <f aca="false">A74+1</f>
        <v>1935</v>
      </c>
      <c r="B75" s="819" t="n">
        <f aca="false">TableDE3b!H75</f>
        <v>236.75894333132</v>
      </c>
      <c r="C75" s="382" t="n">
        <f aca="false">B75/B74-1</f>
        <v>0.103847873650785</v>
      </c>
      <c r="D75" s="891" t="n">
        <f aca="false">TableDE6a!F75</f>
        <v>0.499401509628719</v>
      </c>
      <c r="E75" s="387" t="n">
        <f aca="false">TableDE12c!F75</f>
        <v>0.0129952061150913</v>
      </c>
      <c r="F75" s="1036" t="n">
        <f aca="false">DataDE1c!P98/DataDE1c!B98</f>
        <v>0.0338989180585727</v>
      </c>
      <c r="G75" s="821" t="n">
        <f aca="false">DataDE1c!CH98/TableDE1!B75</f>
        <v>0.885437279694606</v>
      </c>
      <c r="H75" s="387" t="n">
        <f aca="false">F74/G74</f>
        <v>0.0163207429408069</v>
      </c>
      <c r="I75" s="388" t="n">
        <f aca="false">O74/G74</f>
        <v>0</v>
      </c>
      <c r="J75" s="1037" t="n">
        <f aca="false">DataDE1c!CQ98/TableDE1!B75</f>
        <v>0.451609688152156</v>
      </c>
      <c r="K75" s="1037" t="n">
        <f aca="false">DataDE1c!CR97/TableDE1!B75/1000</f>
        <v>0.192169081668682</v>
      </c>
      <c r="L75" s="1037" t="n">
        <f aca="false">DataDE1c!CU97/TableDE1!B75/1000</f>
        <v>0.0648177114526555</v>
      </c>
      <c r="M75" s="1050" t="n">
        <f aca="false">DataDE1c!CS97/TableDE1!$B75/1000</f>
        <v>0.0445544602294801</v>
      </c>
      <c r="N75" s="935" t="n">
        <f aca="false">DataDE1c!CT97/TableDE1!$B75/1000</f>
        <v>0.150068434801339</v>
      </c>
      <c r="O75" s="1039" t="n">
        <v>0</v>
      </c>
      <c r="R75" s="158" t="n">
        <f aca="false">DataDE1c!CY98/DataDE1c!CP98</f>
        <v>0.00167233314138315</v>
      </c>
      <c r="S75" s="818" t="n">
        <f aca="false">N75+M75+K75-J75+L75</f>
        <v>0</v>
      </c>
      <c r="T75" s="387" t="n">
        <f aca="false">-(G75-J75-D75)-TableDE6a!H75</f>
        <v>0</v>
      </c>
    </row>
    <row r="76" customFormat="false" ht="12" hidden="false" customHeight="false" outlineLevel="0" collapsed="false">
      <c r="A76" s="416" t="n">
        <f aca="false">A75+1</f>
        <v>1936</v>
      </c>
      <c r="B76" s="819" t="n">
        <f aca="false">TableDE3b!H76</f>
        <v>264.874404178517</v>
      </c>
      <c r="C76" s="382" t="n">
        <f aca="false">B76/B75-1</f>
        <v>0.118751420544446</v>
      </c>
      <c r="D76" s="912" t="n">
        <f aca="false">TableDE6a!F76</f>
        <v>0.494864265373627</v>
      </c>
      <c r="E76" s="387" t="n">
        <f aca="false">TableDE12c!F76</f>
        <v>0.0198121755249621</v>
      </c>
      <c r="F76" s="1036" t="n">
        <f aca="false">DataDE1c!P99/DataDE1c!B99</f>
        <v>0.0368688278689964</v>
      </c>
      <c r="G76" s="821" t="n">
        <f aca="false">DataDE1c!CH99/TableDE1!B76</f>
        <v>0.864048646673887</v>
      </c>
      <c r="H76" s="387" t="n">
        <f aca="false">F75/G75</f>
        <v>0.038284945569792</v>
      </c>
      <c r="I76" s="388" t="n">
        <f aca="false">O75/G75</f>
        <v>0</v>
      </c>
      <c r="J76" s="1037" t="n">
        <f aca="false">DataDE1c!CQ99/TableDE1!B76</f>
        <v>0.450345503237856</v>
      </c>
      <c r="K76" s="1037" t="n">
        <f aca="false">DataDE1c!CR98/TableDE1!B76/1000</f>
        <v>0.199137455311503</v>
      </c>
      <c r="L76" s="1037" t="n">
        <f aca="false">DataDE1c!CU98/TableDE1!B76/1000</f>
        <v>0.0803644058451654</v>
      </c>
      <c r="M76" s="1050" t="n">
        <f aca="false">DataDE1c!CS98/TableDE1!$B76/1000</f>
        <v>0.0394894063204692</v>
      </c>
      <c r="N76" s="935" t="n">
        <f aca="false">DataDE1c!CT98/TableDE1!$B76/1000</f>
        <v>0.131354235760719</v>
      </c>
      <c r="O76" s="1039" t="n">
        <v>0</v>
      </c>
      <c r="R76" s="158" t="n">
        <f aca="false">DataDE1c!CY99/DataDE1c!CP99</f>
        <v>0.00170295751533005</v>
      </c>
      <c r="S76" s="818" t="n">
        <f aca="false">N76+M76+K76-J76+L76</f>
        <v>0</v>
      </c>
      <c r="T76" s="387" t="n">
        <f aca="false">-(G76-J76-D76)-TableDE6a!H76</f>
        <v>0</v>
      </c>
    </row>
    <row r="77" customFormat="false" ht="12" hidden="false" customHeight="false" outlineLevel="0" collapsed="false">
      <c r="A77" s="416" t="n">
        <f aca="false">A76+1</f>
        <v>1937</v>
      </c>
      <c r="B77" s="819" t="n">
        <f aca="false">TableDE3b!H77</f>
        <v>295.735192595547</v>
      </c>
      <c r="C77" s="382" t="n">
        <f aca="false">B77/B76-1</f>
        <v>0.116511025339508</v>
      </c>
      <c r="D77" s="891" t="n">
        <f aca="false">TableDE6a!F77</f>
        <v>0.501195510246553</v>
      </c>
      <c r="E77" s="387" t="n">
        <f aca="false">TableDE12c!F77</f>
        <v>0.0144672572830091</v>
      </c>
      <c r="F77" s="1036" t="n">
        <f aca="false">DataDE1c!P100/DataDE1c!B100</f>
        <v>0.04036980409929</v>
      </c>
      <c r="G77" s="821" t="n">
        <f aca="false">DataDE1c!CH100/TableDE1!B77</f>
        <v>0.842481187692582</v>
      </c>
      <c r="H77" s="387" t="n">
        <f aca="false">F76/G76</f>
        <v>0.0426698519937751</v>
      </c>
      <c r="I77" s="388" t="n">
        <f aca="false">O76/G76</f>
        <v>0</v>
      </c>
      <c r="J77" s="1037" t="n">
        <f aca="false">DataDE1c!CQ100/TableDE1!B77</f>
        <v>0.464294302029775</v>
      </c>
      <c r="K77" s="1037" t="n">
        <f aca="false">DataDE1c!CR99/TableDE1!B77/1000</f>
        <v>0.197715078681326</v>
      </c>
      <c r="L77" s="1037" t="n">
        <f aca="false">DataDE1c!CU99/TableDE1!B77/1000</f>
        <v>0.121894337958969</v>
      </c>
      <c r="M77" s="1050" t="n">
        <f aca="false">DataDE1c!CS99/TableDE1!$B77/1000</f>
        <v>0.0339580387970543</v>
      </c>
      <c r="N77" s="935" t="n">
        <f aca="false">DataDE1c!CT99/TableDE1!$B77/1000</f>
        <v>0.110726846592425</v>
      </c>
      <c r="O77" s="1039" t="n">
        <v>0</v>
      </c>
      <c r="R77" s="158" t="n">
        <f aca="false">DataDE1c!CY100/DataDE1c!CP100</f>
        <v>0.00286968264686023</v>
      </c>
      <c r="S77" s="818" t="n">
        <f aca="false">N77+M77+K77-J77+L77</f>
        <v>0</v>
      </c>
      <c r="T77" s="387" t="n">
        <f aca="false">-(G77-J77-D77)-TableDE6a!H77</f>
        <v>0</v>
      </c>
    </row>
    <row r="78" customFormat="false" ht="12" hidden="false" customHeight="false" outlineLevel="0" collapsed="false">
      <c r="A78" s="439" t="n">
        <f aca="false">A77+1</f>
        <v>1938</v>
      </c>
      <c r="B78" s="819" t="n">
        <f aca="false">TableDE3b!H78</f>
        <v>322.614296220089</v>
      </c>
      <c r="C78" s="382" t="n">
        <f aca="false">B78/B77-1</f>
        <v>0.0908890936808535</v>
      </c>
      <c r="D78" s="891" t="n">
        <f aca="false">TableDE6a!F78</f>
        <v>0.469177676389856</v>
      </c>
      <c r="E78" s="387" t="n">
        <f aca="false">TableDE12c!F78</f>
        <v>-0.0457205426555444</v>
      </c>
      <c r="F78" s="1036" t="n">
        <f aca="false">DataDE1c!P101/DataDE1c!B101</f>
        <v>0.0512191642214142</v>
      </c>
      <c r="G78" s="821" t="n">
        <f aca="false">DataDE1c!CH101/TableDE1!B78</f>
        <v>0.801349122980811</v>
      </c>
      <c r="H78" s="387" t="n">
        <f aca="false">F77/G77</f>
        <v>0.0479177513860651</v>
      </c>
      <c r="I78" s="388" t="n">
        <f aca="false">O77/G77</f>
        <v>0</v>
      </c>
      <c r="J78" s="1037" t="n">
        <f aca="false">DataDE1c!CQ101/TableDE1!B78</f>
        <v>0.469875049495453</v>
      </c>
      <c r="K78" s="1037" t="n">
        <f aca="false">DataDE1c!CR100/TableDE1!B78/1000</f>
        <v>0.210052987880999</v>
      </c>
      <c r="L78" s="1037" t="n">
        <f aca="false">DataDE1c!CU100/TableDE1!B78/1000</f>
        <v>0.136383760065158</v>
      </c>
      <c r="M78" s="1050" t="n">
        <f aca="false">DataDE1c!CS100/TableDE1!$B78/1000</f>
        <v>0.0281016537876193</v>
      </c>
      <c r="N78" s="935" t="n">
        <f aca="false">DataDE1c!CT100/TableDE1!$B78/1000</f>
        <v>0.0953366477616766</v>
      </c>
      <c r="O78" s="1039" t="n">
        <v>0</v>
      </c>
      <c r="R78" s="158" t="n">
        <f aca="false">DataDE1c!CY101/DataDE1c!CP101</f>
        <v>0.0023908909032529</v>
      </c>
      <c r="S78" s="818" t="n">
        <f aca="false">N78+M78+K78-J78+L78</f>
        <v>0</v>
      </c>
      <c r="T78" s="387" t="n">
        <f aca="false">-(G78-J78-D78)-TableDE6a!H78</f>
        <v>0</v>
      </c>
    </row>
    <row r="79" customFormat="false" ht="12" hidden="false" customHeight="false" outlineLevel="0" collapsed="false">
      <c r="A79" s="431" t="n">
        <f aca="false">A78+1</f>
        <v>1939</v>
      </c>
      <c r="B79" s="853" t="n">
        <f aca="false">TableDE3b!H79</f>
        <v>336.272792514232</v>
      </c>
      <c r="C79" s="393" t="n">
        <f aca="false">B79/B78-1</f>
        <v>0.0423369219968661</v>
      </c>
      <c r="D79" s="1065" t="n">
        <f aca="false">TableDE6a!F79</f>
        <v>0.322695483091399</v>
      </c>
      <c r="E79" s="392" t="n">
        <f aca="false">TableDE12c!F79</f>
        <v>-0.102953583573905</v>
      </c>
      <c r="F79" s="1066" t="n">
        <f aca="false">R$153</f>
        <v>0.0147515</v>
      </c>
      <c r="G79" s="1067" t="n">
        <f aca="false">DataDE1c!CH102/TableDE1!B79</f>
        <v>0.686369224019205</v>
      </c>
      <c r="H79" s="421" t="n">
        <f aca="false">F78/G78</f>
        <v>0.0639161668148986</v>
      </c>
      <c r="I79" s="428" t="n">
        <f aca="false">O78/G78</f>
        <v>0</v>
      </c>
      <c r="J79" s="1068" t="n">
        <f aca="false">DataDE1c!CQ102/TableDE1!B79</f>
        <v>0.484789048375952</v>
      </c>
      <c r="K79" s="1068" t="n">
        <f aca="false">DataDE1c!CR101/TableDE1!B79/1000</f>
        <v>0.279337857319597</v>
      </c>
      <c r="L79" s="1068" t="n">
        <f aca="false">DataDE1c!CU101/TableDE1!B79/1000</f>
        <v>0.109272861123848</v>
      </c>
      <c r="M79" s="1069" t="n">
        <f aca="false">DataDE1c!CS101/TableDE1!$B79/1000</f>
        <v>0.0192320235577972</v>
      </c>
      <c r="N79" s="1069" t="n">
        <f aca="false">DataDE1c!CT101/TableDE1!$B79/1000</f>
        <v>0.0769463063747096</v>
      </c>
      <c r="O79" s="1070" t="n">
        <v>0</v>
      </c>
      <c r="R79" s="158" t="n">
        <f aca="false">DataDE1c!CY102/DataDE1c!CP102</f>
        <v>0.0362473737096922</v>
      </c>
      <c r="S79" s="818" t="n">
        <f aca="false">N79+M79+K79-J79+L79</f>
        <v>0</v>
      </c>
      <c r="T79" s="387" t="n">
        <f aca="false">-(G79-J79-D79)-TableDE6a!H79</f>
        <v>0</v>
      </c>
    </row>
    <row r="80" customFormat="false" ht="12" hidden="false" customHeight="false" outlineLevel="0" collapsed="false">
      <c r="A80" s="864" t="n">
        <f aca="false">A79+1</f>
        <v>1940</v>
      </c>
      <c r="B80" s="882" t="n">
        <f aca="false">TableDE3b!H80</f>
        <v>348.409152047813</v>
      </c>
      <c r="C80" s="866" t="n">
        <f aca="false">B80/B79-1</f>
        <v>0.0360908161580349</v>
      </c>
      <c r="D80" s="1056" t="n">
        <f aca="false">TableDE6a!F80</f>
        <v>0.296357935693499</v>
      </c>
      <c r="E80" s="448" t="n">
        <f aca="false">TableDE12c!F80</f>
        <v>-0.168674103224222</v>
      </c>
      <c r="F80" s="1036" t="n">
        <f aca="false">R$153</f>
        <v>0.0147515</v>
      </c>
      <c r="G80" s="821" t="n">
        <f aca="false">G79*(1+H80)*(1+I80)/(1+C80)</f>
        <v>0.676698135998402</v>
      </c>
      <c r="H80" s="387" t="n">
        <f aca="false">F79/G79</f>
        <v>0.0214920766895971</v>
      </c>
      <c r="I80" s="388" t="n">
        <f aca="false">O79/G79</f>
        <v>0</v>
      </c>
      <c r="J80" s="1037" t="n">
        <f aca="false">DataDE1c!CQ103/TableDE1!B80</f>
        <v>0.542060584948775</v>
      </c>
      <c r="K80" s="1037" t="n">
        <f aca="false">DataDE1c!CR102/TableDE1!B80/1000</f>
        <v>0.353281064693475</v>
      </c>
      <c r="L80" s="1037" t="n">
        <f aca="false">DataDE1c!CU102/TableDE1!B80/1000</f>
        <v>0.114344766078825</v>
      </c>
      <c r="M80" s="1050" t="n">
        <f aca="false">DataDE1c!CS102/TableDE1!$B80/1000</f>
        <v>0.0156689214936403</v>
      </c>
      <c r="N80" s="935" t="n">
        <f aca="false">DataDE1c!CT102/TableDE1!$B80/1000</f>
        <v>0.0587658326828337</v>
      </c>
      <c r="O80" s="1039" t="n">
        <v>0</v>
      </c>
      <c r="R80" s="158" t="n">
        <f aca="false">DataDE1c!CY103/DataDE1c!CP103</f>
        <v>0.102318050783872</v>
      </c>
      <c r="S80" s="818" t="n">
        <f aca="false">N80+M80+K80-J80+L80</f>
        <v>0</v>
      </c>
      <c r="T80" s="387" t="n">
        <f aca="false">-(G80-J80-D80)-TableDE6a!H80</f>
        <v>0</v>
      </c>
    </row>
    <row r="81" customFormat="false" ht="12" hidden="false" customHeight="false" outlineLevel="0" collapsed="false">
      <c r="A81" s="416" t="n">
        <f aca="false">A80+1</f>
        <v>1941</v>
      </c>
      <c r="B81" s="819" t="n">
        <f aca="false">TableDE3b!H81</f>
        <v>398.029860957642</v>
      </c>
      <c r="C81" s="382" t="n">
        <f aca="false">B81/B80-1</f>
        <v>0.142420796406116</v>
      </c>
      <c r="D81" s="912" t="n">
        <f aca="false">TableDE6a!F81</f>
        <v>0.056921765372024</v>
      </c>
      <c r="E81" s="387" t="n">
        <f aca="false">TableDE12c!F81</f>
        <v>-0.248125145380181</v>
      </c>
      <c r="F81" s="1036" t="n">
        <f aca="false">R$153</f>
        <v>0.0147515</v>
      </c>
      <c r="G81" s="821" t="n">
        <f aca="false">G80*(1+H81)*(1+I81)/(1+C81)</f>
        <v>0.605249517667744</v>
      </c>
      <c r="H81" s="387" t="n">
        <f aca="false">F80/G80</f>
        <v>0.0217992325015579</v>
      </c>
      <c r="I81" s="388" t="n">
        <f aca="false">O80/G80</f>
        <v>0</v>
      </c>
      <c r="J81" s="1037" t="n">
        <f aca="false">DataDE1c!CQ104/TableDE1!B81</f>
        <v>0.74783526314125</v>
      </c>
      <c r="K81" s="1037" t="n">
        <f aca="false">DataDE1c!CR103/TableDE1!B81/1000</f>
        <v>0.581254337690216</v>
      </c>
      <c r="L81" s="1037" t="n">
        <f aca="false">DataDE1c!CU103/TableDE1!B81/1000</f>
        <v>0.098076312288452</v>
      </c>
      <c r="M81" s="1050" t="n">
        <f aca="false">DataDE1c!CS103/TableDE1!$B81/1000</f>
        <v>0.0146235163563885</v>
      </c>
      <c r="N81" s="935" t="n">
        <f aca="false">DataDE1c!CT103/TableDE1!$B81/1000</f>
        <v>0.0538810968061937</v>
      </c>
      <c r="O81" s="1039" t="n">
        <v>0</v>
      </c>
      <c r="R81" s="158" t="n">
        <f aca="false">DataDE1c!CY104/DataDE1c!CP104</f>
        <v>0.13211214185834</v>
      </c>
      <c r="S81" s="818" t="n">
        <f aca="false">N81+M81+K81-J81+L81</f>
        <v>0</v>
      </c>
      <c r="T81" s="387" t="n">
        <f aca="false">-(G81-J81-D81)-TableDE6a!H81</f>
        <v>0</v>
      </c>
    </row>
    <row r="82" customFormat="false" ht="12" hidden="false" customHeight="false" outlineLevel="0" collapsed="false">
      <c r="A82" s="416" t="n">
        <f aca="false">A81+1</f>
        <v>1942</v>
      </c>
      <c r="B82" s="819" t="n">
        <f aca="false">TableDE3b!H82</f>
        <v>420.521919127209</v>
      </c>
      <c r="C82" s="382" t="n">
        <f aca="false">B82/B81-1</f>
        <v>0.0565084692777873</v>
      </c>
      <c r="D82" s="912" t="n">
        <f aca="false">TableDE6a!F82</f>
        <v>-0.215011034870609</v>
      </c>
      <c r="E82" s="387" t="n">
        <f aca="false">TableDE12c!F82</f>
        <v>-0.292349666350638</v>
      </c>
      <c r="F82" s="1036" t="n">
        <f aca="false">R$153</f>
        <v>0.0147515</v>
      </c>
      <c r="G82" s="821" t="n">
        <f aca="false">G81*(1+H82)*(1+I82)/(1+C82)</f>
        <v>0.586839609616728</v>
      </c>
      <c r="H82" s="387" t="n">
        <f aca="false">F81/G81</f>
        <v>0.0243725927396739</v>
      </c>
      <c r="I82" s="388" t="n">
        <f aca="false">O81/G81</f>
        <v>0</v>
      </c>
      <c r="J82" s="1037" t="n">
        <f aca="false">DataDE1c!CQ105/TableDE1!B82</f>
        <v>1.04709777620683</v>
      </c>
      <c r="K82" s="1037" t="n">
        <f aca="false">DataDE1c!CR104/TableDE1!B82/1000</f>
        <v>0.893767178377386</v>
      </c>
      <c r="L82" s="1037" t="n">
        <f aca="false">DataDE1c!CU104/TableDE1!B82/1000</f>
        <v>0.0889682432028874</v>
      </c>
      <c r="M82" s="1050" t="n">
        <f aca="false">DataDE1c!CS104/TableDE1!$B82/1000</f>
        <v>0.0126308929218698</v>
      </c>
      <c r="N82" s="935" t="n">
        <f aca="false">DataDE1c!CT104/TableDE1!$B82/1000</f>
        <v>0.0517314617046862</v>
      </c>
      <c r="O82" s="1039" t="n">
        <v>0</v>
      </c>
      <c r="R82" s="158" t="n">
        <f aca="false">DataDE1c!CY105/DataDE1c!CP105</f>
        <v>0.140900563315528</v>
      </c>
      <c r="S82" s="818" t="n">
        <f aca="false">N82+M82+K82-J82+L82</f>
        <v>0</v>
      </c>
      <c r="T82" s="387" t="n">
        <f aca="false">-(G82-J82-D82)-TableDE6a!H82</f>
        <v>0</v>
      </c>
    </row>
    <row r="83" customFormat="false" ht="12" hidden="false" customHeight="false" outlineLevel="0" collapsed="false">
      <c r="A83" s="416" t="n">
        <f aca="false">A82+1</f>
        <v>1943</v>
      </c>
      <c r="B83" s="819" t="n">
        <f aca="false">TableDE3b!H83</f>
        <v>447.378792195601</v>
      </c>
      <c r="C83" s="382" t="n">
        <f aca="false">B83/B82-1</f>
        <v>0.0638655723918833</v>
      </c>
      <c r="D83" s="912" t="n">
        <f aca="false">TableDE6a!F83</f>
        <v>-0.461721748807298</v>
      </c>
      <c r="E83" s="387" t="n">
        <f aca="false">TableDE12c!F83</f>
        <v>-0.351358832544919</v>
      </c>
      <c r="F83" s="1036" t="n">
        <f aca="false">R$153</f>
        <v>0.0147515</v>
      </c>
      <c r="G83" s="821" t="n">
        <f aca="false">G82*(1+H83)*(1+I83)/(1+C83)</f>
        <v>0.565476621509778</v>
      </c>
      <c r="H83" s="387" t="n">
        <f aca="false">F82/G82</f>
        <v>0.0251371921020028</v>
      </c>
      <c r="I83" s="388" t="n">
        <f aca="false">O82/G82</f>
        <v>0</v>
      </c>
      <c r="J83" s="1037" t="n">
        <f aca="false">DataDE1c!CQ106/TableDE1!B83</f>
        <v>1.29855489032697</v>
      </c>
      <c r="K83" s="1071" t="n">
        <f aca="false">DataDE1c!CR105/TableDE1!B83/1000</f>
        <v>1.17582213414611</v>
      </c>
      <c r="L83" s="1071" t="n">
        <f aca="false">DataDE1c!CU105/TableDE1!B83/1000</f>
        <v>0.0643366887681327</v>
      </c>
      <c r="M83" s="1072" t="n">
        <f aca="false">DataDE1c!CS105/TableDE1!$B83/1000</f>
        <v>0.010498304541043</v>
      </c>
      <c r="N83" s="1072" t="n">
        <f aca="false">DataDE1c!CT105/TableDE1!$B83/1000</f>
        <v>0.0478977628716771</v>
      </c>
      <c r="O83" s="1073" t="n">
        <v>0</v>
      </c>
      <c r="R83" s="158" t="n">
        <f aca="false">DataDE1c!CY106/DataDE1c!CP106</f>
        <v>0.147505018653767</v>
      </c>
      <c r="S83" s="818" t="n">
        <f aca="false">N83+M83+K83-J83+L83</f>
        <v>-2.4980018054066E-016</v>
      </c>
      <c r="T83" s="387" t="n">
        <f aca="false">-(G83-J83-D83)-TableDE6a!H83</f>
        <v>0</v>
      </c>
    </row>
    <row r="84" customFormat="false" ht="12" hidden="false" customHeight="false" outlineLevel="0" collapsed="false">
      <c r="A84" s="416" t="n">
        <f aca="false">A83+1</f>
        <v>1944</v>
      </c>
      <c r="B84" s="819" t="n">
        <f aca="false">TableDE3b!H84</f>
        <v>409.401955589016</v>
      </c>
      <c r="C84" s="382" t="n">
        <f aca="false">B84/B83-1</f>
        <v>-0.0848874315660039</v>
      </c>
      <c r="D84" s="912" t="n">
        <f aca="false">TableDE6a!F84</f>
        <v>-0.814588537972414</v>
      </c>
      <c r="E84" s="387" t="n">
        <f aca="false">TableDE12c!F84</f>
        <v>0.0147515</v>
      </c>
      <c r="F84" s="1036" t="n">
        <f aca="false">R$153</f>
        <v>0.0147515</v>
      </c>
      <c r="G84" s="821" t="n">
        <f aca="false">G83*(1+H84)*(1+I84)/(1+C84)</f>
        <v>0.634051090023498</v>
      </c>
      <c r="H84" s="387" t="n">
        <f aca="false">F83/G83</f>
        <v>0.0260868432732279</v>
      </c>
      <c r="I84" s="388" t="n">
        <f aca="false">O83/G83</f>
        <v>0</v>
      </c>
      <c r="J84" s="1037" t="n">
        <f aca="false">DataDE1c!CQ107/TableDE1!B84</f>
        <v>1.82814498903543</v>
      </c>
      <c r="K84" s="1071" t="n">
        <f aca="false">DataDE1c!CR106/TableDE1!B84/1000</f>
        <v>1.70663160039475</v>
      </c>
      <c r="L84" s="1071" t="n">
        <f aca="false">DataDE1c!CU106/TableDE1!B84/1000</f>
        <v>0.0611843605137242</v>
      </c>
      <c r="M84" s="1072"/>
      <c r="N84" s="1072"/>
      <c r="O84" s="1073" t="n">
        <f aca="false">-TableDE6f!D$49*TableDE5c!G$79*TableDE5c!B$79/TableDE5c!B84</f>
        <v>-0.281883479677933</v>
      </c>
      <c r="R84" s="158" t="n">
        <f aca="false">DataDE1c!CY107/DataDE1c!CP107</f>
        <v>0.165339465962166</v>
      </c>
      <c r="S84" s="818"/>
      <c r="T84" s="387" t="n">
        <f aca="false">-(G84-J84-D84)-TableDE6a!H84</f>
        <v>0</v>
      </c>
    </row>
    <row r="85" customFormat="false" ht="12" hidden="false" customHeight="false" outlineLevel="0" collapsed="false">
      <c r="A85" s="416" t="n">
        <f aca="false">A84+1</f>
        <v>1945</v>
      </c>
      <c r="B85" s="819" t="n">
        <f aca="false">TableDE3b!H85</f>
        <v>183.999200459899</v>
      </c>
      <c r="C85" s="382" t="n">
        <f aca="false">B85/B84-1</f>
        <v>-0.5505658975293</v>
      </c>
      <c r="D85" s="912" t="n">
        <f aca="false">TableDE6a!F85</f>
        <v>-0.65100138332497</v>
      </c>
      <c r="E85" s="387" t="n">
        <f aca="false">TableDE12c!F85</f>
        <v>0.0147515</v>
      </c>
      <c r="F85" s="1036" t="n">
        <f aca="false">R$153</f>
        <v>0.0147515</v>
      </c>
      <c r="G85" s="821" t="n">
        <f aca="false">G84*(1+H85)*(1+I85)/(1+C85)</f>
        <v>0.801810443887088</v>
      </c>
      <c r="H85" s="387" t="n">
        <f aca="false">F84/G84</f>
        <v>0.0232654753411958</v>
      </c>
      <c r="I85" s="388" t="n">
        <f aca="false">O84/G84</f>
        <v>-0.444575341188179</v>
      </c>
      <c r="J85" s="759" t="n">
        <f aca="false">J84+(J$88-J$84)/4</f>
        <v>1.45281182721206</v>
      </c>
      <c r="K85" s="1071"/>
      <c r="L85" s="1071" t="n">
        <v>0</v>
      </c>
      <c r="M85" s="1072"/>
      <c r="N85" s="1072"/>
      <c r="O85" s="1073" t="n">
        <v>0</v>
      </c>
      <c r="R85" s="158"/>
      <c r="S85" s="818"/>
      <c r="T85" s="387" t="n">
        <f aca="false">-(G85-J85-D85)-TableDE6a!H85</f>
        <v>-0</v>
      </c>
    </row>
    <row r="86" customFormat="false" ht="12" hidden="false" customHeight="false" outlineLevel="0" collapsed="false">
      <c r="A86" s="416" t="n">
        <f aca="false">A85+1</f>
        <v>1946</v>
      </c>
      <c r="B86" s="819" t="n">
        <f aca="false">TableDE3b!H86</f>
        <v>159.024293873386</v>
      </c>
      <c r="C86" s="382" t="n">
        <f aca="false">B86/B85-1</f>
        <v>-0.135733777777778</v>
      </c>
      <c r="D86" s="912" t="n">
        <f aca="false">TableDE6a!F86</f>
        <v>-0.132674943003793</v>
      </c>
      <c r="E86" s="387" t="n">
        <f aca="false">TableDE12c!F86</f>
        <v>0.0147515</v>
      </c>
      <c r="F86" s="1036" t="n">
        <f aca="false">R$153</f>
        <v>0.0147515</v>
      </c>
      <c r="G86" s="821" t="n">
        <f aca="false">G85*(1+H86)*(1+I86)/(1+C86)</f>
        <v>0.944803722384897</v>
      </c>
      <c r="H86" s="387" t="n">
        <f aca="false">F85/G85</f>
        <v>0.0183977399053152</v>
      </c>
      <c r="I86" s="388" t="n">
        <f aca="false">O85/G85</f>
        <v>0</v>
      </c>
      <c r="J86" s="759" t="n">
        <f aca="false">J85+(J$88-J$84)/4</f>
        <v>1.07747866538869</v>
      </c>
      <c r="K86" s="1037"/>
      <c r="L86" s="1037" t="n">
        <v>0</v>
      </c>
      <c r="M86" s="959"/>
      <c r="N86" s="918"/>
      <c r="O86" s="1039" t="n">
        <v>0</v>
      </c>
      <c r="R86" s="158"/>
      <c r="S86" s="818"/>
      <c r="T86" s="387" t="n">
        <f aca="false">-(G86-J86-D86)-TableDE6a!H86</f>
        <v>-0</v>
      </c>
    </row>
    <row r="87" customFormat="false" ht="12" hidden="false" customHeight="false" outlineLevel="0" collapsed="false">
      <c r="A87" s="416" t="n">
        <f aca="false">A86+1</f>
        <v>1947</v>
      </c>
      <c r="B87" s="819" t="n">
        <f aca="false">TableDE3b!H87</f>
        <v>188.295639924172</v>
      </c>
      <c r="C87" s="382" t="n">
        <f aca="false">B87/B86-1</f>
        <v>0.184068391928162</v>
      </c>
      <c r="D87" s="912" t="n">
        <f aca="false">TableDE6a!F87</f>
        <v>0.108242839647132</v>
      </c>
      <c r="E87" s="387" t="n">
        <f aca="false">TableDE12c!F87</f>
        <v>0.0147515</v>
      </c>
      <c r="F87" s="1036" t="n">
        <f aca="false">R$153</f>
        <v>0.0147515</v>
      </c>
      <c r="G87" s="821" t="n">
        <f aca="false">G86*(1+H87)*(1+I87)/(1+C87)</f>
        <v>0.810388343212453</v>
      </c>
      <c r="H87" s="387" t="n">
        <f aca="false">F86/G86</f>
        <v>0.0156132958100164</v>
      </c>
      <c r="I87" s="388" t="n">
        <f aca="false">O86/G86</f>
        <v>0</v>
      </c>
      <c r="J87" s="759" t="n">
        <f aca="false">J86+(J$88-J$84)/4</f>
        <v>0.702145503565321</v>
      </c>
      <c r="K87" s="1037"/>
      <c r="L87" s="1037" t="n">
        <v>0</v>
      </c>
      <c r="M87" s="959"/>
      <c r="N87" s="918"/>
      <c r="O87" s="1039" t="n">
        <v>0</v>
      </c>
      <c r="R87" s="158"/>
      <c r="S87" s="818"/>
      <c r="T87" s="387" t="n">
        <f aca="false">-(G87-J87-D87)-TableDE6a!H87</f>
        <v>-0</v>
      </c>
    </row>
    <row r="88" customFormat="false" ht="12" hidden="false" customHeight="false" outlineLevel="0" collapsed="false">
      <c r="A88" s="416" t="n">
        <f aca="false">A87+1</f>
        <v>1948</v>
      </c>
      <c r="B88" s="819" t="n">
        <f aca="false">TableDE3b!H88</f>
        <v>223.700531754096</v>
      </c>
      <c r="C88" s="382" t="n">
        <f aca="false">B88/B87-1</f>
        <v>0.188028208428947</v>
      </c>
      <c r="D88" s="912" t="n">
        <f aca="false">TableDE6a!F88</f>
        <v>0.367733324226384</v>
      </c>
      <c r="E88" s="387" t="n">
        <f aca="false">TableDE12c!F88</f>
        <v>0.0147515</v>
      </c>
      <c r="F88" s="1036" t="n">
        <f aca="false">R$153</f>
        <v>0.0147515</v>
      </c>
      <c r="G88" s="821" t="n">
        <f aca="false">G87*(1+H88)*(1+I88)/(1+C88)</f>
        <v>0.694545665968336</v>
      </c>
      <c r="H88" s="387" t="n">
        <f aca="false">F87/G87</f>
        <v>0.0182030012197902</v>
      </c>
      <c r="I88" s="388" t="n">
        <f aca="false">O87/G87</f>
        <v>0</v>
      </c>
      <c r="J88" s="759" t="n">
        <f aca="false">J$90</f>
        <v>0.326812341741952</v>
      </c>
      <c r="K88" s="1037"/>
      <c r="L88" s="1037" t="n">
        <v>0</v>
      </c>
      <c r="M88" s="959"/>
      <c r="N88" s="918"/>
      <c r="O88" s="1039" t="n">
        <v>0</v>
      </c>
      <c r="R88" s="158"/>
      <c r="S88" s="818"/>
      <c r="T88" s="387" t="n">
        <f aca="false">-(G88-J88-D88)-TableDE6a!H88</f>
        <v>-0</v>
      </c>
    </row>
    <row r="89" customFormat="false" ht="12" hidden="false" customHeight="false" outlineLevel="0" collapsed="false">
      <c r="A89" s="436" t="n">
        <v>1949</v>
      </c>
      <c r="B89" s="823" t="n">
        <f aca="false">TableDE3b!H89</f>
        <v>268.758908006169</v>
      </c>
      <c r="C89" s="407" t="n">
        <f aca="false">B89/B88-1</f>
        <v>0.201422749864556</v>
      </c>
      <c r="D89" s="1059" t="n">
        <f aca="false">TableDE6a!F89</f>
        <v>0.263568659490379</v>
      </c>
      <c r="E89" s="406" t="n">
        <f aca="false">TableDE12c!F89</f>
        <v>0.0147515</v>
      </c>
      <c r="F89" s="1060" t="n">
        <f aca="false">R$153</f>
        <v>0.0147515</v>
      </c>
      <c r="G89" s="825" t="n">
        <f aca="false">G88*(1+H89)*(1+I89)/(1+C89)</f>
        <v>0.590381001232331</v>
      </c>
      <c r="H89" s="406" t="n">
        <f aca="false">F88/G88</f>
        <v>0.0212390642153579</v>
      </c>
      <c r="I89" s="413" t="n">
        <f aca="false">O88/G88</f>
        <v>0</v>
      </c>
      <c r="J89" s="1074" t="n">
        <f aca="false">J$90</f>
        <v>0.326812341741952</v>
      </c>
      <c r="K89" s="1061"/>
      <c r="L89" s="1061" t="n">
        <v>0</v>
      </c>
      <c r="M89" s="1075"/>
      <c r="N89" s="1076"/>
      <c r="O89" s="1064" t="n">
        <v>0</v>
      </c>
      <c r="R89" s="158"/>
      <c r="S89" s="818"/>
      <c r="T89" s="387" t="n">
        <f aca="false">-(G89-J89-D89)-TableDE6a!H89</f>
        <v>-0</v>
      </c>
    </row>
    <row r="90" customFormat="false" ht="12" hidden="false" customHeight="false" outlineLevel="0" collapsed="false">
      <c r="A90" s="431" t="n">
        <v>1950</v>
      </c>
      <c r="B90" s="853" t="n">
        <f aca="false">TableDE3b!H90</f>
        <v>302.234484942464</v>
      </c>
      <c r="C90" s="393" t="n">
        <f aca="false">B90/B89-1</f>
        <v>0.124556157727528</v>
      </c>
      <c r="D90" s="1065" t="n">
        <f aca="false">TableDE6a!F90</f>
        <v>0.420760497159648</v>
      </c>
      <c r="E90" s="433" t="n">
        <f aca="false">TableDE12c!F90</f>
        <v>0.0182133871569131</v>
      </c>
      <c r="F90" s="1051" t="n">
        <f aca="false">(DataDE1!ES11-DataDE1!BP11)/DataDE1!B11</f>
        <v>0.00764468468795026</v>
      </c>
      <c r="G90" s="1052" t="n">
        <f aca="false">0.5*(DataDE2!N12+DataDE2!N13)/TableDE1!$B90</f>
        <v>0.538106131444872</v>
      </c>
      <c r="H90" s="392" t="n">
        <f aca="false">F89/G89</f>
        <v>0.0249864070307284</v>
      </c>
      <c r="I90" s="398" t="n">
        <f aca="false">O89/G89</f>
        <v>0</v>
      </c>
      <c r="J90" s="1053" t="n">
        <f aca="false">0.5*(DataDE2!X12+DataDE2!X13)/TableDE1!$B90</f>
        <v>0.326812341741952</v>
      </c>
      <c r="K90" s="1053"/>
      <c r="L90" s="1053" t="n">
        <v>0</v>
      </c>
      <c r="M90" s="1077"/>
      <c r="N90" s="463"/>
      <c r="O90" s="1055" t="n">
        <v>0</v>
      </c>
      <c r="R90" s="158"/>
      <c r="S90" s="818"/>
      <c r="T90" s="387" t="n">
        <f aca="false">-(G90-J90-D90)-TableDE6a!H90</f>
        <v>0</v>
      </c>
    </row>
    <row r="91" customFormat="false" ht="12" hidden="false" customHeight="false" outlineLevel="0" collapsed="false">
      <c r="A91" s="416" t="n">
        <f aca="false">A90+1</f>
        <v>1951</v>
      </c>
      <c r="B91" s="819" t="n">
        <f aca="false">TableDE3b!H91</f>
        <v>331.73512901584</v>
      </c>
      <c r="C91" s="382" t="n">
        <f aca="false">B91/B90-1</f>
        <v>0.0976084647620275</v>
      </c>
      <c r="D91" s="891" t="n">
        <f aca="false">TableDE6a!F91</f>
        <v>0.461407464918087</v>
      </c>
      <c r="E91" s="418" t="n">
        <f aca="false">TableDE12c!F91</f>
        <v>0.0419105644183276</v>
      </c>
      <c r="F91" s="1036" t="n">
        <f aca="false">(DataDE1!ES12-DataDE1!BP12)/DataDE1!B12</f>
        <v>0.00700235283306231</v>
      </c>
      <c r="G91" s="821" t="n">
        <f aca="false">0.5*(DataDE2!N13+DataDE2!N14)/TableDE1!$B91</f>
        <v>0.512491911604244</v>
      </c>
      <c r="H91" s="387" t="n">
        <f aca="false">F90/G90</f>
        <v>0.0142066485424046</v>
      </c>
      <c r="I91" s="388" t="n">
        <f aca="false">O90/G90</f>
        <v>0</v>
      </c>
      <c r="J91" s="1037" t="n">
        <f aca="false">0.5*(DataDE2!X13+DataDE2!X14)/TableDE1!$B91</f>
        <v>0.282775738507768</v>
      </c>
      <c r="K91" s="1037"/>
      <c r="L91" s="1037" t="n">
        <v>0</v>
      </c>
      <c r="M91" s="959"/>
      <c r="N91" s="918"/>
      <c r="O91" s="1039" t="n">
        <v>0</v>
      </c>
      <c r="R91" s="158"/>
      <c r="S91" s="818"/>
      <c r="T91" s="387" t="n">
        <f aca="false">-(G91-J91-D91)-TableDE6a!H91</f>
        <v>0</v>
      </c>
    </row>
    <row r="92" customFormat="false" ht="12" hidden="false" customHeight="false" outlineLevel="0" collapsed="false">
      <c r="A92" s="416" t="n">
        <f aca="false">A91+1</f>
        <v>1952</v>
      </c>
      <c r="B92" s="819" t="n">
        <f aca="false">TableDE3b!H92</f>
        <v>362.191218417078</v>
      </c>
      <c r="C92" s="382" t="n">
        <f aca="false">B92/B91-1</f>
        <v>0.0918084542074045</v>
      </c>
      <c r="D92" s="891" t="n">
        <f aca="false">TableDE6a!F92</f>
        <v>0.504671242271868</v>
      </c>
      <c r="E92" s="418" t="n">
        <f aca="false">TableDE12c!F92</f>
        <v>0.0506269275554015</v>
      </c>
      <c r="F92" s="1036" t="n">
        <f aca="false">(DataDE1!ES13-DataDE1!BP13)/DataDE1!B13</f>
        <v>0.00590805631033068</v>
      </c>
      <c r="G92" s="821" t="n">
        <f aca="false">0.5*(DataDE2!N14+DataDE2!N15)/TableDE1!$B92</f>
        <v>0.490107771652218</v>
      </c>
      <c r="H92" s="387" t="n">
        <f aca="false">F91/G91</f>
        <v>0.0136633431172464</v>
      </c>
      <c r="I92" s="388" t="n">
        <f aca="false">O91/G91</f>
        <v>0</v>
      </c>
      <c r="J92" s="1037" t="n">
        <f aca="false">0.5*(DataDE2!X14+DataDE2!X15)/TableDE1!$B92</f>
        <v>0.260250606175196</v>
      </c>
      <c r="K92" s="1037"/>
      <c r="L92" s="1037" t="n">
        <v>0</v>
      </c>
      <c r="M92" s="959"/>
      <c r="N92" s="918"/>
      <c r="O92" s="1039" t="n">
        <v>0</v>
      </c>
      <c r="R92" s="158"/>
      <c r="S92" s="818"/>
      <c r="T92" s="387" t="n">
        <f aca="false">-(G92-J92-D92)-TableDE6a!H92</f>
        <v>0</v>
      </c>
    </row>
    <row r="93" customFormat="false" ht="12" hidden="false" customHeight="false" outlineLevel="0" collapsed="false">
      <c r="A93" s="416" t="n">
        <f aca="false">A92+1</f>
        <v>1953</v>
      </c>
      <c r="B93" s="819" t="n">
        <f aca="false">TableDE3b!H93</f>
        <v>395.064376584016</v>
      </c>
      <c r="C93" s="382" t="n">
        <f aca="false">B93/B92-1</f>
        <v>0.0907618862506039</v>
      </c>
      <c r="D93" s="891" t="n">
        <f aca="false">TableDE6a!F93</f>
        <v>0.568697888250933</v>
      </c>
      <c r="E93" s="418" t="n">
        <f aca="false">TableDE12c!F93</f>
        <v>0.120967545009749</v>
      </c>
      <c r="F93" s="1036" t="n">
        <f aca="false">(DataDE1!ES14-DataDE1!BP14)/DataDE1!B14</f>
        <v>0.0091703550822476</v>
      </c>
      <c r="G93" s="821" t="n">
        <f aca="false">0.5*(DataDE2!N15+DataDE2!N16)/TableDE1!$B93</f>
        <v>0.467774859329645</v>
      </c>
      <c r="H93" s="387" t="n">
        <f aca="false">F92/G92</f>
        <v>0.0120546064601543</v>
      </c>
      <c r="I93" s="388" t="n">
        <f aca="false">O92/G92</f>
        <v>0</v>
      </c>
      <c r="J93" s="1037" t="n">
        <f aca="false">0.5*(DataDE2!X15+DataDE2!X16)/TableDE1!$B93</f>
        <v>0.23913528862251</v>
      </c>
      <c r="K93" s="1037"/>
      <c r="L93" s="1037" t="n">
        <v>0</v>
      </c>
      <c r="M93" s="959"/>
      <c r="N93" s="918"/>
      <c r="O93" s="1039" t="n">
        <v>0</v>
      </c>
      <c r="R93" s="158"/>
      <c r="S93" s="818"/>
      <c r="T93" s="387" t="n">
        <f aca="false">-(G93-J93-D93)-TableDE6a!H93</f>
        <v>0</v>
      </c>
    </row>
    <row r="94" customFormat="false" ht="12" hidden="false" customHeight="false" outlineLevel="0" collapsed="false">
      <c r="A94" s="416" t="n">
        <f aca="false">A93+1</f>
        <v>1954</v>
      </c>
      <c r="B94" s="819" t="n">
        <f aca="false">TableDE3b!H94</f>
        <v>424.435791092933</v>
      </c>
      <c r="C94" s="382" t="n">
        <f aca="false">B94/B93-1</f>
        <v>0.0743458946181907</v>
      </c>
      <c r="D94" s="891" t="n">
        <f aca="false">TableDE6a!F94</f>
        <v>0.642953530731334</v>
      </c>
      <c r="E94" s="418" t="n">
        <f aca="false">TableDE12c!F94</f>
        <v>0.0593697505690954</v>
      </c>
      <c r="F94" s="1036" t="n">
        <f aca="false">(DataDE1!ES15-DataDE1!BP15)/DataDE1!B15</f>
        <v>0.0117215520912223</v>
      </c>
      <c r="G94" s="821" t="n">
        <f aca="false">0.5*(DataDE2!N16+DataDE2!N17)/TableDE1!$B94</f>
        <v>0.457092735227465</v>
      </c>
      <c r="H94" s="387" t="n">
        <f aca="false">F93/G93</f>
        <v>0.0196042068087827</v>
      </c>
      <c r="I94" s="388" t="n">
        <f aca="false">O93/G93</f>
        <v>0</v>
      </c>
      <c r="J94" s="1037" t="n">
        <f aca="false">0.5*(DataDE2!X16+DataDE2!X17)/TableDE1!$B94</f>
        <v>0.224938930037433</v>
      </c>
      <c r="K94" s="1037"/>
      <c r="L94" s="1037" t="n">
        <v>0</v>
      </c>
      <c r="M94" s="959"/>
      <c r="N94" s="918"/>
      <c r="O94" s="1039" t="n">
        <v>0</v>
      </c>
      <c r="R94" s="158"/>
      <c r="S94" s="818"/>
      <c r="T94" s="387" t="n">
        <f aca="false">-(G94-J94-D94)-TableDE6a!H94</f>
        <v>0</v>
      </c>
    </row>
    <row r="95" customFormat="false" ht="12" hidden="false" customHeight="false" outlineLevel="0" collapsed="false">
      <c r="A95" s="416" t="n">
        <f aca="false">A94+1</f>
        <v>1955</v>
      </c>
      <c r="B95" s="819" t="n">
        <f aca="false">TableDE3b!H95</f>
        <v>476.524962193854</v>
      </c>
      <c r="C95" s="382" t="n">
        <f aca="false">B95/B94-1</f>
        <v>0.122725680053491</v>
      </c>
      <c r="D95" s="891" t="n">
        <f aca="false">TableDE6a!F95</f>
        <v>0.671823726143848</v>
      </c>
      <c r="E95" s="418" t="n">
        <f aca="false">TableDE12c!F95</f>
        <v>0.0664355124093006</v>
      </c>
      <c r="F95" s="1036" t="n">
        <f aca="false">(DataDE1!ES16-DataDE1!BP16)/DataDE1!B16</f>
        <v>0.0170955474632083</v>
      </c>
      <c r="G95" s="821" t="n">
        <f aca="false">0.5*(DataDE2!N17+DataDE2!N18)/TableDE1!$B95</f>
        <v>0.436212858927889</v>
      </c>
      <c r="H95" s="387" t="n">
        <f aca="false">F94/G94</f>
        <v>0.0256437068189003</v>
      </c>
      <c r="I95" s="388" t="n">
        <f aca="false">O94/G94</f>
        <v>0</v>
      </c>
      <c r="J95" s="1037" t="n">
        <f aca="false">0.5*(DataDE2!X17+DataDE2!X18)/TableDE1!$B95</f>
        <v>0.207686170855988</v>
      </c>
      <c r="K95" s="1037"/>
      <c r="L95" s="1037" t="n">
        <v>0</v>
      </c>
      <c r="M95" s="959"/>
      <c r="N95" s="918"/>
      <c r="O95" s="1039" t="n">
        <v>0</v>
      </c>
      <c r="R95" s="158"/>
      <c r="S95" s="818"/>
      <c r="T95" s="387" t="n">
        <f aca="false">-(G95-J95-D95)-TableDE6a!H95</f>
        <v>0</v>
      </c>
    </row>
    <row r="96" customFormat="false" ht="12" hidden="false" customHeight="false" outlineLevel="0" collapsed="false">
      <c r="A96" s="416" t="n">
        <f aca="false">A95+1</f>
        <v>1956</v>
      </c>
      <c r="B96" s="819" t="n">
        <f aca="false">TableDE3b!H96</f>
        <v>512.023840377501</v>
      </c>
      <c r="C96" s="382" t="n">
        <f aca="false">B96/B95-1</f>
        <v>0.0744953171397669</v>
      </c>
      <c r="D96" s="891" t="n">
        <f aca="false">TableDE6a!F96</f>
        <v>0.722304238500375</v>
      </c>
      <c r="E96" s="418" t="n">
        <f aca="false">TableDE12c!F96</f>
        <v>0.0675640285720399</v>
      </c>
      <c r="F96" s="1036" t="n">
        <f aca="false">(DataDE1!ES17-DataDE1!BP17)/DataDE1!B17</f>
        <v>0.0186024814849906</v>
      </c>
      <c r="G96" s="821" t="n">
        <f aca="false">0.5*(DataDE2!N18+DataDE2!N19)/TableDE1!$B96</f>
        <v>0.435921977706634</v>
      </c>
      <c r="H96" s="387" t="n">
        <f aca="false">F95/G95</f>
        <v>0.0391908379437168</v>
      </c>
      <c r="I96" s="388" t="n">
        <f aca="false">O95/G95</f>
        <v>0</v>
      </c>
      <c r="J96" s="1037" t="n">
        <f aca="false">0.5*(DataDE2!X18+DataDE2!X19)/TableDE1!$B96</f>
        <v>0.194363520264274</v>
      </c>
      <c r="K96" s="1037"/>
      <c r="L96" s="1037" t="n">
        <v>0</v>
      </c>
      <c r="M96" s="959"/>
      <c r="N96" s="918"/>
      <c r="O96" s="1039" t="n">
        <v>0</v>
      </c>
      <c r="R96" s="158"/>
      <c r="S96" s="818"/>
      <c r="T96" s="387" t="n">
        <f aca="false">-(G96-J96-D96)-TableDE6a!H96</f>
        <v>0</v>
      </c>
    </row>
    <row r="97" customFormat="false" ht="12" hidden="false" customHeight="false" outlineLevel="0" collapsed="false">
      <c r="A97" s="416" t="n">
        <f aca="false">A96+1</f>
        <v>1957</v>
      </c>
      <c r="B97" s="819" t="n">
        <f aca="false">TableDE3b!H97</f>
        <v>540.945377576347</v>
      </c>
      <c r="C97" s="382" t="n">
        <f aca="false">B97/B96-1</f>
        <v>0.0564847472288068</v>
      </c>
      <c r="D97" s="891" t="n">
        <f aca="false">TableDE6a!F97</f>
        <v>0.765606861286913</v>
      </c>
      <c r="E97" s="418" t="n">
        <f aca="false">TableDE12c!F97</f>
        <v>0.0519822193564344</v>
      </c>
      <c r="F97" s="1036" t="n">
        <f aca="false">(DataDE1!ES18-DataDE1!BP18)/DataDE1!B18</f>
        <v>0.0176697141265622</v>
      </c>
      <c r="G97" s="821" t="n">
        <f aca="false">0.5*(DataDE2!N19+DataDE2!N20)/TableDE1!$B97</f>
        <v>0.441481477658658</v>
      </c>
      <c r="H97" s="387" t="n">
        <f aca="false">F96/G96</f>
        <v>0.0426738784377364</v>
      </c>
      <c r="I97" s="388" t="n">
        <f aca="false">O96/G96</f>
        <v>0</v>
      </c>
      <c r="J97" s="1037" t="n">
        <f aca="false">0.5*(DataDE2!X19+DataDE2!X20)/TableDE1!$B97</f>
        <v>0.183521701452203</v>
      </c>
      <c r="K97" s="1037"/>
      <c r="L97" s="1037" t="n">
        <v>0</v>
      </c>
      <c r="M97" s="959"/>
      <c r="N97" s="918"/>
      <c r="O97" s="1039" t="n">
        <v>0</v>
      </c>
      <c r="R97" s="158"/>
      <c r="S97" s="818"/>
      <c r="T97" s="387" t="n">
        <f aca="false">-(G97-J97-D97)-TableDE6a!H97</f>
        <v>0</v>
      </c>
    </row>
    <row r="98" customFormat="false" ht="12" hidden="false" customHeight="false" outlineLevel="0" collapsed="false">
      <c r="A98" s="416" t="n">
        <f aca="false">A97+1</f>
        <v>1958</v>
      </c>
      <c r="B98" s="819" t="n">
        <f aca="false">TableDE3b!H98</f>
        <v>562.107576707673</v>
      </c>
      <c r="C98" s="382" t="n">
        <f aca="false">B98/B97-1</f>
        <v>0.0391207689510922</v>
      </c>
      <c r="D98" s="891" t="n">
        <f aca="false">TableDE6a!F98</f>
        <v>0.799405613150219</v>
      </c>
      <c r="E98" s="418" t="n">
        <f aca="false">TableDE12c!F98</f>
        <v>0.0324471107060257</v>
      </c>
      <c r="F98" s="1036" t="n">
        <f aca="false">(DataDE1!ES19-DataDE1!BP19)/DataDE1!B19</f>
        <v>0.0169518263109764</v>
      </c>
      <c r="G98" s="821" t="n">
        <f aca="false">0.5*(DataDE2!N20+DataDE2!N21)/TableDE1!$B98</f>
        <v>0.45893106800737</v>
      </c>
      <c r="H98" s="387" t="n">
        <f aca="false">F97/G97</f>
        <v>0.0400236816735129</v>
      </c>
      <c r="I98" s="388" t="n">
        <f aca="false">O97/G97</f>
        <v>0</v>
      </c>
      <c r="J98" s="1037" t="n">
        <f aca="false">0.5*(DataDE2!X20+DataDE2!X21)/TableDE1!$B98</f>
        <v>0.178024341191031</v>
      </c>
      <c r="K98" s="1037"/>
      <c r="L98" s="1037" t="n">
        <v>0</v>
      </c>
      <c r="M98" s="959"/>
      <c r="N98" s="918"/>
      <c r="O98" s="1039" t="n">
        <v>0</v>
      </c>
      <c r="R98" s="158"/>
      <c r="S98" s="818"/>
      <c r="T98" s="387" t="n">
        <f aca="false">-(G98-J98-D98)-TableDE6a!H98</f>
        <v>0</v>
      </c>
    </row>
    <row r="99" customFormat="false" ht="12" hidden="false" customHeight="false" outlineLevel="0" collapsed="false">
      <c r="A99" s="416" t="n">
        <f aca="false">A98+1</f>
        <v>1959</v>
      </c>
      <c r="B99" s="819" t="n">
        <f aca="false">TableDE3b!H99</f>
        <v>604.875291138642</v>
      </c>
      <c r="C99" s="382" t="n">
        <f aca="false">B99/B98-1</f>
        <v>0.0760845720697536</v>
      </c>
      <c r="D99" s="891" t="n">
        <f aca="false">TableDE6a!F99</f>
        <v>0.808624165032682</v>
      </c>
      <c r="E99" s="418" t="n">
        <f aca="false">TableDE12c!F99</f>
        <v>0.0412896157092219</v>
      </c>
      <c r="F99" s="1060" t="n">
        <f aca="false">(DataDE1!ES20-DataDE1!BP20)/DataDE1!B20</f>
        <v>0.0223983343345031</v>
      </c>
      <c r="G99" s="825" t="n">
        <f aca="false">0.5*(DataDE2!N21+DataDE2!N22)/TableDE1!$B99</f>
        <v>0.46663883438699</v>
      </c>
      <c r="H99" s="406" t="n">
        <f aca="false">F98/G98</f>
        <v>0.0369376307090724</v>
      </c>
      <c r="I99" s="413" t="n">
        <f aca="false">O98/G98</f>
        <v>0</v>
      </c>
      <c r="J99" s="1061" t="n">
        <f aca="false">0.5*(DataDE2!X21+DataDE2!X22)/TableDE1!$B99</f>
        <v>0.171570370588638</v>
      </c>
      <c r="K99" s="1061"/>
      <c r="L99" s="1061" t="n">
        <v>0</v>
      </c>
      <c r="M99" s="1075"/>
      <c r="N99" s="1076"/>
      <c r="O99" s="1064" t="n">
        <v>0</v>
      </c>
      <c r="R99" s="158"/>
      <c r="S99" s="818"/>
      <c r="T99" s="387" t="n">
        <f aca="false">-(G99-J99-D99)-TableDE6a!H99</f>
        <v>0</v>
      </c>
    </row>
    <row r="100" customFormat="false" ht="12" hidden="false" customHeight="false" outlineLevel="0" collapsed="false">
      <c r="A100" s="864" t="n">
        <f aca="false">A99+1</f>
        <v>1960</v>
      </c>
      <c r="B100" s="882" t="n">
        <f aca="false">TableDE3b!H100</f>
        <v>657.448750329126</v>
      </c>
      <c r="C100" s="866" t="n">
        <f aca="false">B100/B99-1</f>
        <v>0.0869161957194813</v>
      </c>
      <c r="D100" s="1078" t="n">
        <f aca="false">TableDE6a!F100</f>
        <v>0.800165083569274</v>
      </c>
      <c r="E100" s="867" t="n">
        <f aca="false">TableDE12c!F100</f>
        <v>0.0566480587177657</v>
      </c>
      <c r="F100" s="1036" t="n">
        <f aca="false">(DataDE1!ES21-DataDE1!BP21)/DataDE1!B21</f>
        <v>0.0230938578146106</v>
      </c>
      <c r="G100" s="821" t="n">
        <f aca="false">0.5*(DataDE2!N22+DataDE2!N23)/TableDE1!$B100</f>
        <v>0.459965483978888</v>
      </c>
      <c r="H100" s="387" t="n">
        <f aca="false">F99/G99</f>
        <v>0.0479992934234184</v>
      </c>
      <c r="I100" s="388" t="n">
        <f aca="false">O99/G99</f>
        <v>0</v>
      </c>
      <c r="J100" s="1037" t="n">
        <f aca="false">0.5*(DataDE2!X22+DataDE2!X23)/TableDE1!$B100</f>
        <v>0.161697988639071</v>
      </c>
      <c r="K100" s="1037"/>
      <c r="L100" s="1037" t="n">
        <v>0</v>
      </c>
      <c r="M100" s="959"/>
      <c r="N100" s="918"/>
      <c r="O100" s="1039" t="n">
        <v>0</v>
      </c>
      <c r="R100" s="158"/>
      <c r="S100" s="818"/>
      <c r="T100" s="387" t="n">
        <f aca="false">-(G100-J100-D100)-TableDE6a!H100</f>
        <v>0</v>
      </c>
    </row>
    <row r="101" customFormat="false" ht="12" hidden="false" customHeight="false" outlineLevel="0" collapsed="false">
      <c r="A101" s="416" t="n">
        <f aca="false">A100+1</f>
        <v>1961</v>
      </c>
      <c r="B101" s="819" t="n">
        <f aca="false">TableDE3b!H101</f>
        <v>683.669902196683</v>
      </c>
      <c r="C101" s="382" t="n">
        <f aca="false">B101/B100-1</f>
        <v>0.039883187631629</v>
      </c>
      <c r="D101" s="891" t="n">
        <f aca="false">TableDE6a!F101</f>
        <v>0.836204763175033</v>
      </c>
      <c r="E101" s="418" t="n">
        <f aca="false">TableDE12c!F101</f>
        <v>0.0565492193875578</v>
      </c>
      <c r="F101" s="1036" t="n">
        <f aca="false">(DataDE1!ES22-DataDE1!BP22)/DataDE1!B22</f>
        <v>0.0258300154104572</v>
      </c>
      <c r="G101" s="821" t="n">
        <f aca="false">0.5*(DataDE2!N23+DataDE2!N24)/TableDE1!$B101</f>
        <v>0.47731470543064</v>
      </c>
      <c r="H101" s="387" t="n">
        <f aca="false">F100/G100</f>
        <v>0.0502078060615317</v>
      </c>
      <c r="I101" s="388" t="n">
        <f aca="false">O100/G100</f>
        <v>0</v>
      </c>
      <c r="J101" s="1037" t="n">
        <f aca="false">0.5*(DataDE2!X23+DataDE2!X24)/TableDE1!$B101</f>
        <v>0.156340521736793</v>
      </c>
      <c r="K101" s="1037"/>
      <c r="L101" s="1037" t="n">
        <v>0</v>
      </c>
      <c r="M101" s="959"/>
      <c r="N101" s="918"/>
      <c r="O101" s="1039" t="n">
        <v>0</v>
      </c>
      <c r="R101" s="158"/>
      <c r="S101" s="818"/>
      <c r="T101" s="387" t="n">
        <f aca="false">-(G101-J101-D101)-TableDE6a!H101</f>
        <v>0</v>
      </c>
    </row>
    <row r="102" customFormat="false" ht="12" hidden="false" customHeight="false" outlineLevel="0" collapsed="false">
      <c r="A102" s="416" t="n">
        <f aca="false">A101+1</f>
        <v>1962</v>
      </c>
      <c r="B102" s="819" t="n">
        <f aca="false">TableDE3b!H102</f>
        <v>711.56733112705</v>
      </c>
      <c r="C102" s="382" t="n">
        <f aca="false">B102/B101-1</f>
        <v>0.0408054074645245</v>
      </c>
      <c r="D102" s="891" t="n">
        <f aca="false">TableDE6a!F102</f>
        <v>0.87808885895813</v>
      </c>
      <c r="E102" s="418" t="n">
        <f aca="false">TableDE12c!F102</f>
        <v>0.0475806060995372</v>
      </c>
      <c r="F102" s="1036" t="n">
        <f aca="false">(DataDE1!ES23-DataDE1!BP23)/DataDE1!B23</f>
        <v>0.0312806891955296</v>
      </c>
      <c r="G102" s="821" t="n">
        <f aca="false">0.5*(DataDE2!N24+DataDE2!N25)/TableDE1!$B102</f>
        <v>0.503894189145053</v>
      </c>
      <c r="H102" s="387" t="n">
        <f aca="false">F101/G101</f>
        <v>0.0541152726211379</v>
      </c>
      <c r="I102" s="388" t="n">
        <f aca="false">O101/G101</f>
        <v>0</v>
      </c>
      <c r="J102" s="1037" t="n">
        <f aca="false">0.5*(DataDE2!X24+DataDE2!X25)/TableDE1!$B102</f>
        <v>0.152437016759038</v>
      </c>
      <c r="K102" s="1037"/>
      <c r="L102" s="1037" t="n">
        <v>0</v>
      </c>
      <c r="M102" s="959"/>
      <c r="N102" s="918"/>
      <c r="O102" s="1039" t="n">
        <v>0</v>
      </c>
      <c r="R102" s="158"/>
      <c r="S102" s="818"/>
      <c r="T102" s="387" t="n">
        <f aca="false">-(G102-J102-D102)-TableDE6a!H102</f>
        <v>0</v>
      </c>
    </row>
    <row r="103" customFormat="false" ht="12" hidden="false" customHeight="false" outlineLevel="0" collapsed="false">
      <c r="A103" s="416" t="n">
        <f aca="false">A102+1</f>
        <v>1963</v>
      </c>
      <c r="B103" s="819" t="n">
        <f aca="false">TableDE3b!H103</f>
        <v>727.3212112817</v>
      </c>
      <c r="C103" s="382" t="n">
        <f aca="false">B103/B102-1</f>
        <v>0.0221396900412749</v>
      </c>
      <c r="D103" s="891" t="n">
        <f aca="false">TableDE6a!F103</f>
        <v>0.919292314460756</v>
      </c>
      <c r="E103" s="418" t="n">
        <f aca="false">TableDE12c!F103</f>
        <v>0.0471801522244819</v>
      </c>
      <c r="F103" s="1036" t="n">
        <f aca="false">(DataDE1!ES24-DataDE1!BP24)/DataDE1!B24</f>
        <v>0.0365884918575942</v>
      </c>
      <c r="G103" s="821" t="n">
        <f aca="false">0.5*(DataDE2!N25+DataDE2!N26)/TableDE1!$B103</f>
        <v>0.536235875689112</v>
      </c>
      <c r="H103" s="387" t="n">
        <f aca="false">F102/G102</f>
        <v>0.0620778922825105</v>
      </c>
      <c r="I103" s="388" t="n">
        <f aca="false">O102/G102</f>
        <v>0</v>
      </c>
      <c r="J103" s="1037" t="n">
        <f aca="false">0.5*(DataDE2!X25+DataDE2!X26)/TableDE1!$B103</f>
        <v>0.157365832566191</v>
      </c>
      <c r="K103" s="1037"/>
      <c r="L103" s="1037" t="n">
        <v>0</v>
      </c>
      <c r="M103" s="959"/>
      <c r="N103" s="918"/>
      <c r="O103" s="1039" t="n">
        <v>0</v>
      </c>
      <c r="R103" s="158"/>
      <c r="S103" s="818"/>
      <c r="T103" s="387" t="n">
        <f aca="false">-(G103-J103-D103)-TableDE6a!H103</f>
        <v>0</v>
      </c>
    </row>
    <row r="104" customFormat="false" ht="12" hidden="false" customHeight="false" outlineLevel="0" collapsed="false">
      <c r="A104" s="416" t="n">
        <f aca="false">A103+1</f>
        <v>1964</v>
      </c>
      <c r="B104" s="819" t="n">
        <f aca="false">TableDE3b!H104</f>
        <v>774.00515371377</v>
      </c>
      <c r="C104" s="382" t="n">
        <f aca="false">B104/B103-1</f>
        <v>0.0641861418420651</v>
      </c>
      <c r="D104" s="891" t="n">
        <f aca="false">TableDE6a!F104</f>
        <v>0.908341278245443</v>
      </c>
      <c r="E104" s="418" t="n">
        <f aca="false">TableDE12c!F104</f>
        <v>0.0508055776572743</v>
      </c>
      <c r="F104" s="1036" t="n">
        <f aca="false">(DataDE1!ES25-DataDE1!BP25)/DataDE1!B25</f>
        <v>0.0421225000211844</v>
      </c>
      <c r="G104" s="821" t="n">
        <f aca="false">0.5*(DataDE2!N26+DataDE2!N27)/TableDE1!$B104</f>
        <v>0.53577977394667</v>
      </c>
      <c r="H104" s="387" t="n">
        <f aca="false">F103/G103</f>
        <v>0.0682320850140336</v>
      </c>
      <c r="I104" s="388" t="n">
        <f aca="false">O103/G103</f>
        <v>0</v>
      </c>
      <c r="J104" s="1037" t="n">
        <f aca="false">0.5*(DataDE2!X26+DataDE2!X27)/TableDE1!$B104</f>
        <v>0.158878044466395</v>
      </c>
      <c r="K104" s="1037"/>
      <c r="L104" s="1037" t="n">
        <v>0</v>
      </c>
      <c r="M104" s="959"/>
      <c r="N104" s="918"/>
      <c r="O104" s="1039" t="n">
        <v>0</v>
      </c>
      <c r="R104" s="158"/>
      <c r="S104" s="818"/>
      <c r="T104" s="387" t="n">
        <f aca="false">-(G104-J104-D104)-TableDE6a!H104</f>
        <v>0</v>
      </c>
    </row>
    <row r="105" customFormat="false" ht="12" hidden="false" customHeight="false" outlineLevel="0" collapsed="false">
      <c r="A105" s="416" t="n">
        <f aca="false">A104+1</f>
        <v>1965</v>
      </c>
      <c r="B105" s="819" t="n">
        <f aca="false">TableDE3b!H105</f>
        <v>813.418767410794</v>
      </c>
      <c r="C105" s="382" t="n">
        <f aca="false">B105/B104-1</f>
        <v>0.0509216424566588</v>
      </c>
      <c r="D105" s="891" t="n">
        <f aca="false">TableDE6a!F105</f>
        <v>0.886753721177405</v>
      </c>
      <c r="E105" s="418" t="n">
        <f aca="false">TableDE12c!F105</f>
        <v>0.0323344910147986</v>
      </c>
      <c r="F105" s="1036" t="n">
        <f aca="false">(DataDE1!ES26-DataDE1!BP26)/DataDE1!B26</f>
        <v>0.0371136014178694</v>
      </c>
      <c r="G105" s="821" t="n">
        <f aca="false">0.5*(DataDE2!N27+DataDE2!N28)/TableDE1!$B105</f>
        <v>0.532841155621737</v>
      </c>
      <c r="H105" s="387" t="n">
        <f aca="false">F104/G104</f>
        <v>0.0786190559432675</v>
      </c>
      <c r="I105" s="388" t="n">
        <f aca="false">O104/G104</f>
        <v>0</v>
      </c>
      <c r="J105" s="1037" t="n">
        <f aca="false">0.5*(DataDE2!X27+DataDE2!X28)/TableDE1!$B105</f>
        <v>0.162565434074883</v>
      </c>
      <c r="K105" s="1037"/>
      <c r="L105" s="1037" t="n">
        <v>0</v>
      </c>
      <c r="M105" s="959"/>
      <c r="N105" s="918"/>
      <c r="O105" s="1039" t="n">
        <v>0</v>
      </c>
      <c r="R105" s="158"/>
      <c r="S105" s="818"/>
      <c r="T105" s="387" t="n">
        <f aca="false">-(G105-J105-D105)-TableDE6a!H105</f>
        <v>0</v>
      </c>
    </row>
    <row r="106" customFormat="false" ht="12" hidden="false" customHeight="false" outlineLevel="0" collapsed="false">
      <c r="A106" s="416" t="n">
        <f aca="false">A105+1</f>
        <v>1966</v>
      </c>
      <c r="B106" s="819" t="n">
        <f aca="false">TableDE3b!H106</f>
        <v>832.655391548034</v>
      </c>
      <c r="C106" s="382" t="n">
        <f aca="false">B106/B105-1</f>
        <v>0.023649102907316</v>
      </c>
      <c r="D106" s="891" t="n">
        <f aca="false">TableDE6a!F106</f>
        <v>0.885005971686818</v>
      </c>
      <c r="E106" s="418" t="n">
        <f aca="false">TableDE12c!F106</f>
        <v>0.0345603667089753</v>
      </c>
      <c r="F106" s="1036" t="n">
        <f aca="false">(DataDE1!ES27-DataDE1!BP27)/DataDE1!B27</f>
        <v>0.034308610097912</v>
      </c>
      <c r="G106" s="821" t="n">
        <f aca="false">0.5*(DataDE2!N28+DataDE2!N29)/TableDE1!$B106</f>
        <v>0.544996965070686</v>
      </c>
      <c r="H106" s="387" t="n">
        <f aca="false">F105/G105</f>
        <v>0.0696522800956769</v>
      </c>
      <c r="I106" s="388" t="n">
        <f aca="false">O105/G105</f>
        <v>0</v>
      </c>
      <c r="J106" s="1037" t="n">
        <f aca="false">0.5*(DataDE2!X28+DataDE2!X29)/TableDE1!$B106</f>
        <v>0.170609664768587</v>
      </c>
      <c r="K106" s="1037"/>
      <c r="L106" s="1037" t="n">
        <v>0</v>
      </c>
      <c r="M106" s="959"/>
      <c r="N106" s="918"/>
      <c r="O106" s="1039" t="n">
        <v>0</v>
      </c>
      <c r="R106" s="158"/>
      <c r="S106" s="818"/>
      <c r="T106" s="387" t="n">
        <f aca="false">-(G106-J106-D106)-TableDE6a!H106</f>
        <v>0</v>
      </c>
    </row>
    <row r="107" customFormat="false" ht="12" hidden="false" customHeight="false" outlineLevel="0" collapsed="false">
      <c r="A107" s="416" t="n">
        <f aca="false">A106+1</f>
        <v>1967</v>
      </c>
      <c r="B107" s="819" t="n">
        <f aca="false">TableDE3b!H107</f>
        <v>826.063922057928</v>
      </c>
      <c r="C107" s="382" t="n">
        <f aca="false">B107/B106-1</f>
        <v>-0.00791620345825395</v>
      </c>
      <c r="D107" s="891" t="n">
        <f aca="false">TableDE6a!F107</f>
        <v>0.916340463392484</v>
      </c>
      <c r="E107" s="418" t="n">
        <f aca="false">TableDE12c!F107</f>
        <v>0.0155511963122977</v>
      </c>
      <c r="F107" s="1036" t="n">
        <f aca="false">(DataDE1!ES28-DataDE1!BP28)/DataDE1!B28</f>
        <v>0.0278103863778948</v>
      </c>
      <c r="G107" s="821" t="n">
        <f aca="false">0.5*(DataDE2!N29+DataDE2!N30)/TableDE1!$B107</f>
        <v>0.574288524444604</v>
      </c>
      <c r="H107" s="387" t="n">
        <f aca="false">F106/G106</f>
        <v>0.0629519287203042</v>
      </c>
      <c r="I107" s="388" t="n">
        <f aca="false">O106/G106</f>
        <v>0</v>
      </c>
      <c r="J107" s="1037" t="n">
        <f aca="false">0.5*(DataDE2!X29+DataDE2!X30)/TableDE1!$B107</f>
        <v>0.192086268613467</v>
      </c>
      <c r="K107" s="1037"/>
      <c r="L107" s="1037" t="n">
        <v>0</v>
      </c>
      <c r="M107" s="959"/>
      <c r="N107" s="918"/>
      <c r="O107" s="1039" t="n">
        <v>0</v>
      </c>
      <c r="R107" s="158"/>
      <c r="S107" s="818"/>
      <c r="T107" s="387" t="n">
        <f aca="false">-(G107-J107-D107)-TableDE6a!H107</f>
        <v>0</v>
      </c>
    </row>
    <row r="108" customFormat="false" ht="12" hidden="false" customHeight="false" outlineLevel="0" collapsed="false">
      <c r="A108" s="416" t="n">
        <f aca="false">A107+1</f>
        <v>1968</v>
      </c>
      <c r="B108" s="819" t="n">
        <f aca="false">TableDE3b!H108</f>
        <v>874.33692386071</v>
      </c>
      <c r="C108" s="382" t="n">
        <f aca="false">B108/B107-1</f>
        <v>0.0584373684817543</v>
      </c>
      <c r="D108" s="891" t="n">
        <f aca="false">TableDE6a!F108</f>
        <v>0.887310051537117</v>
      </c>
      <c r="E108" s="418" t="n">
        <f aca="false">TableDE12c!F108</f>
        <v>0.0227085051450599</v>
      </c>
      <c r="F108" s="1036" t="n">
        <f aca="false">(DataDE1!ES29-DataDE1!BP29)/DataDE1!B29</f>
        <v>0.0282062829667689</v>
      </c>
      <c r="G108" s="821" t="n">
        <f aca="false">0.5*(DataDE2!N30+DataDE2!N31)/TableDE1!$B108</f>
        <v>0.569313711204908</v>
      </c>
      <c r="H108" s="387" t="n">
        <f aca="false">F107/G107</f>
        <v>0.0484258089690896</v>
      </c>
      <c r="I108" s="388" t="n">
        <f aca="false">O107/G107</f>
        <v>0</v>
      </c>
      <c r="J108" s="1037" t="n">
        <f aca="false">0.5*(DataDE2!X30+DataDE2!X31)/TableDE1!$B108</f>
        <v>0.201725338840509</v>
      </c>
      <c r="K108" s="1037"/>
      <c r="L108" s="1037" t="n">
        <v>0</v>
      </c>
      <c r="M108" s="959"/>
      <c r="N108" s="918"/>
      <c r="O108" s="1039" t="n">
        <v>0</v>
      </c>
      <c r="R108" s="158"/>
      <c r="S108" s="818"/>
      <c r="T108" s="387" t="n">
        <f aca="false">-(G108-J108-D108)-TableDE6a!H108</f>
        <v>0</v>
      </c>
    </row>
    <row r="109" customFormat="false" ht="12" hidden="false" customHeight="false" outlineLevel="0" collapsed="false">
      <c r="A109" s="436" t="n">
        <f aca="false">A108+1</f>
        <v>1969</v>
      </c>
      <c r="B109" s="823" t="n">
        <f aca="false">TableDE3b!H109</f>
        <v>943.251480634596</v>
      </c>
      <c r="C109" s="407" t="n">
        <f aca="false">B109/B108-1</f>
        <v>0.078819222765508</v>
      </c>
      <c r="D109" s="990" t="n">
        <f aca="false">TableDE6a!F109</f>
        <v>0.878590037672151</v>
      </c>
      <c r="E109" s="437" t="n">
        <f aca="false">TableDE12c!F109</f>
        <v>0.0437313113421748</v>
      </c>
      <c r="F109" s="1060" t="n">
        <f aca="false">(DataDE1!ES30-DataDE1!BP30)/DataDE1!B30</f>
        <v>0.029383672673674</v>
      </c>
      <c r="G109" s="825" t="n">
        <f aca="false">0.5*(DataDE2!N31+DataDE2!N32)/TableDE1!$B109</f>
        <v>0.5835308902344</v>
      </c>
      <c r="H109" s="406" t="n">
        <f aca="false">F108/G108</f>
        <v>0.0495443591321076</v>
      </c>
      <c r="I109" s="413" t="n">
        <f aca="false">O108/G108</f>
        <v>0</v>
      </c>
      <c r="J109" s="1061" t="n">
        <f aca="false">0.5*(DataDE2!X31+DataDE2!X32)/TableDE1!$B109</f>
        <v>0.190721852132709</v>
      </c>
      <c r="K109" s="1061"/>
      <c r="L109" s="1061" t="n">
        <v>0</v>
      </c>
      <c r="M109" s="1075"/>
      <c r="N109" s="1076"/>
      <c r="O109" s="1064" t="n">
        <v>0</v>
      </c>
      <c r="R109" s="158"/>
      <c r="S109" s="818"/>
      <c r="T109" s="387" t="n">
        <f aca="false">-(G109-J109-D109)-TableDE6a!H109</f>
        <v>0</v>
      </c>
    </row>
    <row r="110" customFormat="false" ht="12" hidden="false" customHeight="false" outlineLevel="0" collapsed="false">
      <c r="A110" s="416" t="n">
        <f aca="false">A109+1</f>
        <v>1970</v>
      </c>
      <c r="B110" s="819" t="n">
        <f aca="false">TableDE3b!H110</f>
        <v>987.979706433215</v>
      </c>
      <c r="C110" s="382" t="n">
        <f aca="false">B110/B109-1</f>
        <v>0.0474191948986147</v>
      </c>
      <c r="D110" s="891" t="n">
        <f aca="false">TableDE6a!F110</f>
        <v>0.882905474927309</v>
      </c>
      <c r="E110" s="418" t="n">
        <f aca="false">TableDE12c!F110</f>
        <v>0.0417600772296961</v>
      </c>
      <c r="F110" s="1036" t="n">
        <f aca="false">(DataDE1!ES31-DataDE1!BP31)/DataDE1!B31</f>
        <v>0.036216990533134</v>
      </c>
      <c r="G110" s="821" t="n">
        <f aca="false">0.5*(DataDE2!N32+DataDE2!N33)/TableDE1!$B110</f>
        <v>0.607233796656733</v>
      </c>
      <c r="H110" s="387" t="n">
        <f aca="false">F109/G109</f>
        <v>0.0503549566362645</v>
      </c>
      <c r="I110" s="388" t="n">
        <f aca="false">O109/G109</f>
        <v>0</v>
      </c>
      <c r="J110" s="1037" t="n">
        <f aca="false">0.5*(DataDE2!X32+DataDE2!X33)/TableDE1!$B110</f>
        <v>0.176756429228794</v>
      </c>
      <c r="K110" s="1037"/>
      <c r="L110" s="1037" t="n">
        <v>0</v>
      </c>
      <c r="M110" s="959"/>
      <c r="N110" s="918"/>
      <c r="O110" s="1039" t="n">
        <v>0</v>
      </c>
      <c r="R110" s="158"/>
      <c r="S110" s="818"/>
      <c r="T110" s="387" t="n">
        <f aca="false">-(G110-J110-D110)-TableDE6a!H110</f>
        <v>0</v>
      </c>
    </row>
    <row r="111" customFormat="false" ht="12" hidden="false" customHeight="false" outlineLevel="0" collapsed="false">
      <c r="A111" s="416" t="n">
        <v>1971</v>
      </c>
      <c r="B111" s="819" t="n">
        <f aca="false">TableDE3b!H111</f>
        <v>1013.5760890425</v>
      </c>
      <c r="C111" s="382" t="n">
        <f aca="false">B111/B110-1</f>
        <v>0.0259078019949348</v>
      </c>
      <c r="D111" s="891" t="n">
        <f aca="false">TableDE6a!F111</f>
        <v>0.885153516324211</v>
      </c>
      <c r="E111" s="418" t="n">
        <f aca="false">TableDE12c!F111</f>
        <v>0.0357364359451684</v>
      </c>
      <c r="F111" s="1036" t="n">
        <f aca="false">(DataDE1!ES32-DataDE1!BP32)/DataDE1!B32</f>
        <v>0.0345236080555085</v>
      </c>
      <c r="G111" s="821" t="n">
        <f aca="false">0.5*(DataDE2!N33+DataDE2!N34)/TableDE1!$B111</f>
        <v>0.626709244139214</v>
      </c>
      <c r="H111" s="387" t="n">
        <f aca="false">F110/G110</f>
        <v>0.0596425803908397</v>
      </c>
      <c r="I111" s="388" t="n">
        <f aca="false">O110/G110</f>
        <v>0</v>
      </c>
      <c r="J111" s="1037" t="n">
        <f aca="false">0.5*(DataDE2!X33+DataDE2!X34)/TableDE1!$B111</f>
        <v>0.175767990241672</v>
      </c>
      <c r="K111" s="1037"/>
      <c r="L111" s="1037" t="n">
        <v>0</v>
      </c>
      <c r="M111" s="959"/>
      <c r="N111" s="918"/>
      <c r="O111" s="1039" t="n">
        <v>0</v>
      </c>
      <c r="R111" s="158"/>
      <c r="S111" s="818"/>
      <c r="T111" s="387" t="n">
        <f aca="false">-(G111-J111-D111)-TableDE6a!H111</f>
        <v>0</v>
      </c>
    </row>
    <row r="112" customFormat="false" ht="12" hidden="false" customHeight="false" outlineLevel="0" collapsed="false">
      <c r="A112" s="416" t="n">
        <v>1972</v>
      </c>
      <c r="B112" s="819" t="n">
        <f aca="false">TableDE3b!H112</f>
        <v>1054.09684746279</v>
      </c>
      <c r="C112" s="382" t="n">
        <f aca="false">B112/B111-1</f>
        <v>0.0399780133512939</v>
      </c>
      <c r="D112" s="891" t="n">
        <f aca="false">TableDE6a!F112</f>
        <v>0.880906045221999</v>
      </c>
      <c r="E112" s="418" t="n">
        <f aca="false">TableDE12c!F112</f>
        <v>0.0245693129929431</v>
      </c>
      <c r="F112" s="1036" t="n">
        <f aca="false">(DataDE1!ES33-DataDE1!BP33)/DataDE1!B33</f>
        <v>0.029291199667912</v>
      </c>
      <c r="G112" s="821" t="n">
        <f aca="false">0.5*(DataDE2!N34+DataDE2!N35)/TableDE1!$B112</f>
        <v>0.639006980882753</v>
      </c>
      <c r="H112" s="387" t="n">
        <f aca="false">F111/G111</f>
        <v>0.0550871211464684</v>
      </c>
      <c r="I112" s="388" t="n">
        <f aca="false">O111/G111</f>
        <v>0</v>
      </c>
      <c r="J112" s="1037" t="n">
        <f aca="false">0.5*(DataDE2!X34+DataDE2!X35)/TableDE1!$B112</f>
        <v>0.18048672479065</v>
      </c>
      <c r="K112" s="1037"/>
      <c r="L112" s="1037" t="n">
        <v>0</v>
      </c>
      <c r="M112" s="959"/>
      <c r="N112" s="918"/>
      <c r="O112" s="1039" t="n">
        <v>0</v>
      </c>
      <c r="R112" s="158"/>
      <c r="S112" s="818"/>
      <c r="T112" s="387" t="n">
        <f aca="false">-(G112-J112-D112)-TableDE6a!H112</f>
        <v>0</v>
      </c>
    </row>
    <row r="113" customFormat="false" ht="12" hidden="false" customHeight="false" outlineLevel="0" collapsed="false">
      <c r="A113" s="416" t="n">
        <v>1973</v>
      </c>
      <c r="B113" s="819" t="n">
        <f aca="false">TableDE3b!H113</f>
        <v>1105.10702888404</v>
      </c>
      <c r="C113" s="382" t="n">
        <f aca="false">B113/B112-1</f>
        <v>0.0483923100083512</v>
      </c>
      <c r="D113" s="891" t="n">
        <f aca="false">TableDE6a!F113</f>
        <v>0.875650845704334</v>
      </c>
      <c r="E113" s="418" t="n">
        <f aca="false">TableDE12c!F113</f>
        <v>0.038715826232714</v>
      </c>
      <c r="F113" s="1036" t="n">
        <f aca="false">(DataDE1!ES34-DataDE1!BP34)/DataDE1!B34</f>
        <v>0.0264236159612609</v>
      </c>
      <c r="G113" s="821" t="n">
        <f aca="false">0.5*(DataDE2!N35+DataDE2!N36)/TableDE1!$B113</f>
        <v>0.633654284473094</v>
      </c>
      <c r="H113" s="387" t="n">
        <f aca="false">F112/G112</f>
        <v>0.0458386223378152</v>
      </c>
      <c r="I113" s="388" t="n">
        <f aca="false">O112/G112</f>
        <v>0</v>
      </c>
      <c r="J113" s="1037" t="n">
        <f aca="false">0.5*(DataDE2!X35+DataDE2!X36)/TableDE1!$B113</f>
        <v>0.173505012721343</v>
      </c>
      <c r="K113" s="1037"/>
      <c r="L113" s="1037" t="n">
        <v>0</v>
      </c>
      <c r="M113" s="959"/>
      <c r="N113" s="918"/>
      <c r="O113" s="1039" t="n">
        <v>0</v>
      </c>
      <c r="R113" s="158"/>
      <c r="S113" s="818"/>
      <c r="T113" s="387" t="n">
        <f aca="false">-(G113-J113-D113)-TableDE6a!H113</f>
        <v>0</v>
      </c>
    </row>
    <row r="114" customFormat="false" ht="12" hidden="false" customHeight="false" outlineLevel="0" collapsed="false">
      <c r="A114" s="416" t="n">
        <v>1974</v>
      </c>
      <c r="B114" s="819" t="n">
        <f aca="false">TableDE3b!H114</f>
        <v>1108.89535968749</v>
      </c>
      <c r="C114" s="382" t="n">
        <f aca="false">B114/B113-1</f>
        <v>0.00342802163449707</v>
      </c>
      <c r="D114" s="891" t="n">
        <f aca="false">TableDE6a!F114</f>
        <v>0.895630631193923</v>
      </c>
      <c r="E114" s="418" t="n">
        <f aca="false">TableDE12c!F114</f>
        <v>0.011830343664165</v>
      </c>
      <c r="F114" s="1036" t="n">
        <f aca="false">(DataDE1!ES35-DataDE1!BP35)/DataDE1!B35</f>
        <v>0.030732962778727</v>
      </c>
      <c r="G114" s="821" t="n">
        <f aca="false">0.5*(DataDE2!N36+DataDE2!N37)/TableDE1!$B114</f>
        <v>0.651773306531558</v>
      </c>
      <c r="H114" s="387" t="n">
        <f aca="false">F113/G113</f>
        <v>0.0417003666016921</v>
      </c>
      <c r="I114" s="388" t="n">
        <f aca="false">O113/G113</f>
        <v>0</v>
      </c>
      <c r="J114" s="1037" t="n">
        <f aca="false">0.5*(DataDE2!X36+DataDE2!X37)/TableDE1!$B114</f>
        <v>0.175266673579949</v>
      </c>
      <c r="K114" s="1037"/>
      <c r="L114" s="1037" t="n">
        <v>0</v>
      </c>
      <c r="M114" s="959"/>
      <c r="N114" s="918"/>
      <c r="O114" s="1039" t="n">
        <v>0</v>
      </c>
      <c r="R114" s="158"/>
      <c r="S114" s="818"/>
      <c r="T114" s="387" t="n">
        <f aca="false">-(G114-J114-D114)-TableDE6a!H114</f>
        <v>0</v>
      </c>
    </row>
    <row r="115" customFormat="false" ht="12" hidden="false" customHeight="false" outlineLevel="0" collapsed="false">
      <c r="A115" s="416" t="n">
        <v>1975</v>
      </c>
      <c r="B115" s="819" t="n">
        <f aca="false">TableDE3b!H115</f>
        <v>1095.39871502593</v>
      </c>
      <c r="C115" s="382" t="n">
        <f aca="false">B115/B114-1</f>
        <v>-0.0121712518170902</v>
      </c>
      <c r="D115" s="891" t="n">
        <f aca="false">TableDE6a!F115</f>
        <v>0.874489859685344</v>
      </c>
      <c r="E115" s="418" t="n">
        <f aca="false">TableDE12c!F115</f>
        <v>-0.0356602722695345</v>
      </c>
      <c r="F115" s="1036" t="n">
        <f aca="false">(DataDE1!ES36-DataDE1!BP36)/DataDE1!B36</f>
        <v>0.0286566793062721</v>
      </c>
      <c r="G115" s="821" t="n">
        <f aca="false">0.5*(DataDE2!N37+DataDE2!N38)/TableDE1!$B115</f>
        <v>0.668116588412773</v>
      </c>
      <c r="H115" s="387" t="n">
        <f aca="false">F114/G114</f>
        <v>0.0471528405209994</v>
      </c>
      <c r="I115" s="388" t="n">
        <f aca="false">O114/G114</f>
        <v>0</v>
      </c>
      <c r="J115" s="1037" t="n">
        <f aca="false">0.5*(DataDE2!X37+DataDE2!X38)/TableDE1!$B115</f>
        <v>0.210265909228043</v>
      </c>
      <c r="K115" s="1037"/>
      <c r="L115" s="1037" t="n">
        <v>0</v>
      </c>
      <c r="M115" s="959"/>
      <c r="N115" s="918"/>
      <c r="O115" s="1039" t="n">
        <v>0</v>
      </c>
      <c r="R115" s="158"/>
      <c r="S115" s="818"/>
      <c r="T115" s="387" t="n">
        <f aca="false">-(G115-J115-D115)-TableDE6a!H115</f>
        <v>0</v>
      </c>
    </row>
    <row r="116" customFormat="false" ht="12" hidden="false" customHeight="false" outlineLevel="0" collapsed="false">
      <c r="A116" s="416" t="n">
        <v>1976</v>
      </c>
      <c r="B116" s="819" t="n">
        <f aca="false">TableDE3b!H116</f>
        <v>1153.11079471715</v>
      </c>
      <c r="C116" s="382" t="n">
        <f aca="false">B116/B115-1</f>
        <v>0.0526859114398899</v>
      </c>
      <c r="D116" s="891" t="n">
        <f aca="false">TableDE6a!F116</f>
        <v>0.803281601595922</v>
      </c>
      <c r="E116" s="418" t="n">
        <f aca="false">TableDE12c!F116</f>
        <v>-0.0157384372082388</v>
      </c>
      <c r="F116" s="1036" t="n">
        <f aca="false">(DataDE1!ES37-DataDE1!BP37)/DataDE1!B37</f>
        <v>0.0236266981689309</v>
      </c>
      <c r="G116" s="821" t="n">
        <f aca="false">0.5*(DataDE2!N38+DataDE2!N39)/TableDE1!$B116</f>
        <v>0.650153209306222</v>
      </c>
      <c r="H116" s="387" t="n">
        <f aca="false">F115/G115</f>
        <v>0.0428917344716003</v>
      </c>
      <c r="I116" s="388" t="n">
        <f aca="false">O115/G115</f>
        <v>0</v>
      </c>
      <c r="J116" s="1037" t="n">
        <f aca="false">0.5*(DataDE2!X38+DataDE2!X39)/TableDE1!$B116</f>
        <v>0.24297251538191</v>
      </c>
      <c r="K116" s="1037"/>
      <c r="L116" s="1037" t="n">
        <v>0</v>
      </c>
      <c r="M116" s="959"/>
      <c r="N116" s="918"/>
      <c r="O116" s="1039" t="n">
        <v>0</v>
      </c>
      <c r="R116" s="158"/>
      <c r="S116" s="818"/>
      <c r="T116" s="387" t="n">
        <f aca="false">-(G116-J116-D116)-TableDE6a!H116</f>
        <v>0</v>
      </c>
    </row>
    <row r="117" customFormat="false" ht="12" hidden="false" customHeight="false" outlineLevel="0" collapsed="false">
      <c r="A117" s="416" t="n">
        <v>1977</v>
      </c>
      <c r="B117" s="819" t="n">
        <f aca="false">TableDE3b!H117</f>
        <v>1189.42391763973</v>
      </c>
      <c r="C117" s="382" t="n">
        <f aca="false">B117/B116-1</f>
        <v>0.0314914430503441</v>
      </c>
      <c r="D117" s="891" t="n">
        <f aca="false">TableDE6a!F117</f>
        <v>0.77609111733559</v>
      </c>
      <c r="E117" s="418" t="n">
        <f aca="false">TableDE12c!F117</f>
        <v>-0.00786471273222387</v>
      </c>
      <c r="F117" s="1036" t="n">
        <f aca="false">(DataDE1!ES38-DataDE1!BP38)/DataDE1!B38</f>
        <v>0.0211218402336122</v>
      </c>
      <c r="G117" s="821" t="n">
        <f aca="false">0.5*(DataDE2!N39+DataDE2!N40)/TableDE1!$B117</f>
        <v>0.65573108907454</v>
      </c>
      <c r="H117" s="387" t="n">
        <f aca="false">F116/G116</f>
        <v>0.0363402007876619</v>
      </c>
      <c r="I117" s="388" t="n">
        <f aca="false">O116/G116</f>
        <v>0</v>
      </c>
      <c r="J117" s="1037" t="n">
        <f aca="false">0.5*(DataDE2!X39+DataDE2!X40)/TableDE1!$B117</f>
        <v>0.262930554733412</v>
      </c>
      <c r="K117" s="1037"/>
      <c r="L117" s="1037" t="n">
        <v>0</v>
      </c>
      <c r="M117" s="959"/>
      <c r="N117" s="918"/>
      <c r="O117" s="1039" t="n">
        <v>0</v>
      </c>
      <c r="R117" s="158"/>
      <c r="S117" s="818"/>
      <c r="T117" s="387" t="n">
        <f aca="false">-(G117-J117-D117)-TableDE6a!H117</f>
        <v>0</v>
      </c>
    </row>
    <row r="118" customFormat="false" ht="12" hidden="false" customHeight="false" outlineLevel="0" collapsed="false">
      <c r="A118" s="416" t="n">
        <v>1978</v>
      </c>
      <c r="B118" s="819" t="n">
        <f aca="false">TableDE3b!H118</f>
        <v>1227.98418781201</v>
      </c>
      <c r="C118" s="382" t="n">
        <f aca="false">B118/B117-1</f>
        <v>0.0324192826463412</v>
      </c>
      <c r="D118" s="891" t="n">
        <f aca="false">TableDE6a!F118</f>
        <v>0.760166366480359</v>
      </c>
      <c r="E118" s="418" t="n">
        <f aca="false">TableDE12c!F118</f>
        <v>-0.00891541091299099</v>
      </c>
      <c r="F118" s="1036" t="n">
        <f aca="false">(DataDE1!ES39-DataDE1!BP39)/DataDE1!B39</f>
        <v>0.0210986727443357</v>
      </c>
      <c r="G118" s="821" t="n">
        <f aca="false">0.5*(DataDE2!N40+DataDE2!N41)/TableDE1!$B118</f>
        <v>0.665621482652261</v>
      </c>
      <c r="H118" s="387" t="n">
        <f aca="false">F117/G117</f>
        <v>0.0322111313395592</v>
      </c>
      <c r="I118" s="388" t="n">
        <f aca="false">O117/G117</f>
        <v>0</v>
      </c>
      <c r="J118" s="1037" t="n">
        <f aca="false">0.5*(DataDE2!X40+DataDE2!X41)/TableDE1!$B118</f>
        <v>0.277127013005193</v>
      </c>
      <c r="K118" s="1037"/>
      <c r="L118" s="1037" t="n">
        <v>0</v>
      </c>
      <c r="M118" s="959"/>
      <c r="N118" s="918"/>
      <c r="O118" s="1039" t="n">
        <v>0</v>
      </c>
      <c r="R118" s="158"/>
      <c r="S118" s="818"/>
      <c r="T118" s="387" t="n">
        <f aca="false">-(G118-J118-D118)-TableDE6a!H118</f>
        <v>0</v>
      </c>
    </row>
    <row r="119" customFormat="false" ht="12.75" hidden="false" customHeight="true" outlineLevel="0" collapsed="false">
      <c r="A119" s="416" t="n">
        <v>1979</v>
      </c>
      <c r="B119" s="819" t="n">
        <f aca="false">TableDE3b!H119</f>
        <v>1272.90238653352</v>
      </c>
      <c r="C119" s="382" t="n">
        <f aca="false">B119/B118-1</f>
        <v>0.0365788087235408</v>
      </c>
      <c r="D119" s="891" t="n">
        <f aca="false">TableDE6a!F119</f>
        <v>0.756038274676088</v>
      </c>
      <c r="E119" s="418" t="n">
        <f aca="false">TableDE12c!F119</f>
        <v>-0.00970513162382568</v>
      </c>
      <c r="F119" s="1060" t="n">
        <f aca="false">(DataDE1!ES40-DataDE1!BP40)/DataDE1!B40</f>
        <v>0.0210846175312393</v>
      </c>
      <c r="G119" s="825" t="n">
        <f aca="false">0.5*(DataDE2!N41+DataDE2!N42)/TableDE1!$B119</f>
        <v>0.68889654262867</v>
      </c>
      <c r="H119" s="406" t="n">
        <f aca="false">F118/G118</f>
        <v>0.0316977040168011</v>
      </c>
      <c r="I119" s="413" t="n">
        <f aca="false">O118/G118</f>
        <v>0</v>
      </c>
      <c r="J119" s="1061" t="n">
        <f aca="false">0.5*(DataDE2!X41+DataDE2!X42)/TableDE1!$B119</f>
        <v>0.288357569979759</v>
      </c>
      <c r="K119" s="1061"/>
      <c r="L119" s="1061" t="n">
        <v>0</v>
      </c>
      <c r="M119" s="1075"/>
      <c r="N119" s="1076"/>
      <c r="O119" s="1064" t="n">
        <v>0</v>
      </c>
      <c r="R119" s="158"/>
      <c r="S119" s="818"/>
      <c r="T119" s="387" t="n">
        <f aca="false">-(G119-J119-D119)-TableDE6a!H119</f>
        <v>0</v>
      </c>
    </row>
    <row r="120" customFormat="false" ht="12" hidden="false" customHeight="false" outlineLevel="0" collapsed="false">
      <c r="A120" s="864" t="n">
        <v>1980</v>
      </c>
      <c r="B120" s="882" t="n">
        <f aca="false">TableDE3b!H120</f>
        <v>1283.62831050316</v>
      </c>
      <c r="C120" s="866" t="n">
        <f aca="false">B120/B119-1</f>
        <v>0.00842635231351685</v>
      </c>
      <c r="D120" s="1078" t="n">
        <f aca="false">TableDE6a!F120</f>
        <v>0.76644696362933</v>
      </c>
      <c r="E120" s="867" t="n">
        <f aca="false">TableDE12c!F120</f>
        <v>-0.0141138791280892</v>
      </c>
      <c r="F120" s="1036" t="n">
        <f aca="false">(DataDE1!ES41-DataDE1!BP41)/DataDE1!B41</f>
        <v>0.0202230808485821</v>
      </c>
      <c r="G120" s="821" t="n">
        <f aca="false">0.5*(DataDE2!N42+DataDE2!N43)/TableDE1!$B120</f>
        <v>0.726265168755404</v>
      </c>
      <c r="H120" s="387" t="n">
        <f aca="false">F119/G119</f>
        <v>0.0306063628230522</v>
      </c>
      <c r="I120" s="388" t="n">
        <f aca="false">O119/G119</f>
        <v>0</v>
      </c>
      <c r="J120" s="1037" t="n">
        <f aca="false">0.5*(DataDE2!X42+DataDE2!X43)/TableDE1!$B120</f>
        <v>0.305233397761703</v>
      </c>
      <c r="K120" s="1037"/>
      <c r="L120" s="1037" t="n">
        <v>0</v>
      </c>
      <c r="M120" s="959"/>
      <c r="N120" s="918"/>
      <c r="O120" s="1039" t="n">
        <v>0</v>
      </c>
      <c r="R120" s="158"/>
      <c r="S120" s="818"/>
      <c r="T120" s="387" t="n">
        <f aca="false">-(G120-J120-D120)-TableDE6a!H120</f>
        <v>0</v>
      </c>
    </row>
    <row r="121" customFormat="false" ht="12" hidden="false" customHeight="false" outlineLevel="0" collapsed="false">
      <c r="A121" s="416" t="n">
        <v>1981</v>
      </c>
      <c r="B121" s="819" t="n">
        <f aca="false">TableDE3b!H121</f>
        <v>1280.24661681225</v>
      </c>
      <c r="C121" s="382" t="n">
        <f aca="false">B121/B120-1</f>
        <v>-0.00263448045142589</v>
      </c>
      <c r="D121" s="891" t="n">
        <f aca="false">TableDE6a!F121</f>
        <v>0.767627228442021</v>
      </c>
      <c r="E121" s="418" t="n">
        <f aca="false">TableDE12c!F121</f>
        <v>-0.0292557725767526</v>
      </c>
      <c r="F121" s="1036" t="n">
        <f aca="false">(DataDE1!ES42-DataDE1!BP42)/DataDE1!B42</f>
        <v>0.0165291575461638</v>
      </c>
      <c r="G121" s="821" t="n">
        <f aca="false">0.5*(DataDE2!N43+DataDE2!N44)/TableDE1!$B121</f>
        <v>0.755684070810994</v>
      </c>
      <c r="H121" s="387" t="n">
        <f aca="false">F120/G120</f>
        <v>0.0278453128672523</v>
      </c>
      <c r="I121" s="388" t="n">
        <f aca="false">O120/G120</f>
        <v>0</v>
      </c>
      <c r="J121" s="1037" t="n">
        <f aca="false">0.5*(DataDE2!X43+DataDE2!X44)/TableDE1!$B121</f>
        <v>0.337981103871444</v>
      </c>
      <c r="K121" s="1037"/>
      <c r="L121" s="1037" t="n">
        <v>0</v>
      </c>
      <c r="M121" s="959"/>
      <c r="N121" s="918"/>
      <c r="O121" s="1039" t="n">
        <v>0</v>
      </c>
      <c r="R121" s="158"/>
      <c r="S121" s="818"/>
      <c r="T121" s="387" t="n">
        <f aca="false">-(G121-J121-D121)-TableDE6a!H121</f>
        <v>0</v>
      </c>
    </row>
    <row r="122" customFormat="false" ht="12" hidden="false" customHeight="false" outlineLevel="0" collapsed="false">
      <c r="A122" s="416" t="n">
        <v>1982</v>
      </c>
      <c r="B122" s="819" t="n">
        <f aca="false">TableDE3b!H122</f>
        <v>1268.93056625048</v>
      </c>
      <c r="C122" s="382" t="n">
        <f aca="false">B122/B121-1</f>
        <v>-0.00883896150410413</v>
      </c>
      <c r="D122" s="891" t="n">
        <f aca="false">TableDE6a!F122</f>
        <v>0.739875599645673</v>
      </c>
      <c r="E122" s="418" t="n">
        <f aca="false">TableDE12c!F122</f>
        <v>-0.0288475910709209</v>
      </c>
      <c r="F122" s="1036" t="n">
        <f aca="false">(DataDE1!ES43-DataDE1!BP43)/DataDE1!B43</f>
        <v>0.0119397327774093</v>
      </c>
      <c r="G122" s="821" t="n">
        <f aca="false">0.5*(DataDE2!N44+DataDE2!N45)/TableDE1!$B122</f>
        <v>0.756657513300531</v>
      </c>
      <c r="H122" s="387" t="n">
        <f aca="false">F121/G121</f>
        <v>0.0218731056861167</v>
      </c>
      <c r="I122" s="388" t="n">
        <f aca="false">O121/G121</f>
        <v>0</v>
      </c>
      <c r="J122" s="1037" t="n">
        <f aca="false">0.5*(DataDE2!X44+DataDE2!X45)/TableDE1!$B122</f>
        <v>0.37372328495685</v>
      </c>
      <c r="K122" s="1037"/>
      <c r="L122" s="1037" t="n">
        <v>0</v>
      </c>
      <c r="M122" s="959"/>
      <c r="N122" s="918"/>
      <c r="O122" s="1039" t="n">
        <v>0</v>
      </c>
      <c r="R122" s="158"/>
      <c r="S122" s="818"/>
      <c r="T122" s="387" t="n">
        <f aca="false">-(G122-J122-D122)-TableDE6a!H122</f>
        <v>0</v>
      </c>
    </row>
    <row r="123" customFormat="false" ht="12" hidden="false" customHeight="false" outlineLevel="0" collapsed="false">
      <c r="A123" s="416" t="n">
        <v>1983</v>
      </c>
      <c r="B123" s="819" t="n">
        <f aca="false">TableDE3b!H123</f>
        <v>1292.27637407554</v>
      </c>
      <c r="C123" s="382" t="n">
        <f aca="false">B123/B122-1</f>
        <v>0.018398018336053</v>
      </c>
      <c r="D123" s="891" t="n">
        <f aca="false">TableDE6a!F123</f>
        <v>0.705064384572948</v>
      </c>
      <c r="E123" s="418" t="n">
        <f aca="false">TableDE12c!F123</f>
        <v>-0.0247204137306872</v>
      </c>
      <c r="F123" s="1036" t="n">
        <f aca="false">(DataDE1!ES44-DataDE1!BP44)/DataDE1!B44</f>
        <v>0.00915379145387549</v>
      </c>
      <c r="G123" s="821" t="n">
        <f aca="false">0.5*(DataDE2!N45+DataDE2!N46)/TableDE1!$B123</f>
        <v>0.74469524046787</v>
      </c>
      <c r="H123" s="387" t="n">
        <f aca="false">F122/G122</f>
        <v>0.0157795734100733</v>
      </c>
      <c r="I123" s="388" t="n">
        <f aca="false">O122/G122</f>
        <v>0</v>
      </c>
      <c r="J123" s="1037" t="n">
        <f aca="false">0.5*(DataDE2!X45+DataDE2!X46)/TableDE1!$B123</f>
        <v>0.396065927135101</v>
      </c>
      <c r="K123" s="1037"/>
      <c r="L123" s="1037" t="n">
        <v>0</v>
      </c>
      <c r="M123" s="959"/>
      <c r="N123" s="918"/>
      <c r="O123" s="1039" t="n">
        <v>0</v>
      </c>
      <c r="R123" s="158"/>
      <c r="S123" s="818"/>
      <c r="T123" s="387" t="n">
        <f aca="false">-(G123-J123-D123)-TableDE6a!H123</f>
        <v>0</v>
      </c>
    </row>
    <row r="124" customFormat="false" ht="12" hidden="false" customHeight="false" outlineLevel="0" collapsed="false">
      <c r="A124" s="416" t="n">
        <v>1984</v>
      </c>
      <c r="B124" s="819" t="n">
        <f aca="false">TableDE3b!H124</f>
        <v>1333.40857624787</v>
      </c>
      <c r="C124" s="382" t="n">
        <f aca="false">B124/B123-1</f>
        <v>0.0318292611375461</v>
      </c>
      <c r="D124" s="891" t="n">
        <f aca="false">TableDE6a!F124</f>
        <v>0.679308154837053</v>
      </c>
      <c r="E124" s="418" t="n">
        <f aca="false">TableDE12c!F124</f>
        <v>-0.0155791229988574</v>
      </c>
      <c r="F124" s="1036" t="n">
        <f aca="false">(DataDE1!ES45-DataDE1!BP45)/DataDE1!B45</f>
        <v>0.00786327726652824</v>
      </c>
      <c r="G124" s="821" t="n">
        <f aca="false">0.5*(DataDE2!N46+DataDE2!N47)/TableDE1!$B124</f>
        <v>0.734479538793661</v>
      </c>
      <c r="H124" s="387" t="n">
        <f aca="false">F123/G123</f>
        <v>0.0122919967208659</v>
      </c>
      <c r="I124" s="388" t="n">
        <f aca="false">O123/G123</f>
        <v>0</v>
      </c>
      <c r="J124" s="1037" t="n">
        <f aca="false">0.5*(DataDE2!X46+DataDE2!X47)/TableDE1!$B124</f>
        <v>0.40699725386934</v>
      </c>
      <c r="K124" s="1037"/>
      <c r="L124" s="1037" t="n">
        <v>0</v>
      </c>
      <c r="M124" s="959"/>
      <c r="N124" s="918"/>
      <c r="O124" s="1039" t="n">
        <v>0</v>
      </c>
      <c r="R124" s="158"/>
      <c r="S124" s="818"/>
      <c r="T124" s="387" t="n">
        <f aca="false">-(G124-J124-D124)-TableDE6a!H124</f>
        <v>0</v>
      </c>
    </row>
    <row r="125" customFormat="false" ht="12" hidden="false" customHeight="false" outlineLevel="0" collapsed="false">
      <c r="A125" s="416" t="n">
        <v>1985</v>
      </c>
      <c r="B125" s="819" t="n">
        <f aca="false">TableDE3b!H125</f>
        <v>1365.03233867622</v>
      </c>
      <c r="C125" s="382" t="n">
        <f aca="false">B125/B124-1</f>
        <v>0.0237164834482584</v>
      </c>
      <c r="D125" s="891" t="n">
        <f aca="false">TableDE6a!F125</f>
        <v>0.661449752579315</v>
      </c>
      <c r="E125" s="418" t="n">
        <f aca="false">TableDE12c!F125</f>
        <v>-0.00606410078621719</v>
      </c>
      <c r="F125" s="1036" t="n">
        <f aca="false">(DataDE1!ES46-DataDE1!BP46)/DataDE1!B46</f>
        <v>0.00765063285188798</v>
      </c>
      <c r="G125" s="821" t="n">
        <f aca="false">0.5*(DataDE2!N47+DataDE2!N48)/TableDE1!$B125</f>
        <v>0.723958456346055</v>
      </c>
      <c r="H125" s="387" t="n">
        <f aca="false">F124/G124</f>
        <v>0.0107059173893982</v>
      </c>
      <c r="I125" s="388" t="n">
        <f aca="false">O124/G124</f>
        <v>0</v>
      </c>
      <c r="J125" s="1037" t="n">
        <f aca="false">0.5*(DataDE2!X47+DataDE2!X48)/TableDE1!$B125</f>
        <v>0.414860789890671</v>
      </c>
      <c r="K125" s="1037"/>
      <c r="L125" s="1037" t="n">
        <v>0</v>
      </c>
      <c r="M125" s="959"/>
      <c r="N125" s="918"/>
      <c r="O125" s="1039" t="n">
        <v>0</v>
      </c>
      <c r="R125" s="158"/>
      <c r="S125" s="818"/>
      <c r="T125" s="387" t="n">
        <f aca="false">-(G125-J125-D125)-TableDE6a!H125</f>
        <v>0</v>
      </c>
    </row>
    <row r="126" customFormat="false" ht="12" hidden="false" customHeight="false" outlineLevel="0" collapsed="false">
      <c r="A126" s="416" t="n">
        <v>1986</v>
      </c>
      <c r="B126" s="819" t="n">
        <f aca="false">TableDE3b!H126</f>
        <v>1395.2218625527</v>
      </c>
      <c r="C126" s="382" t="n">
        <f aca="false">B126/B125-1</f>
        <v>0.0221163433430156</v>
      </c>
      <c r="D126" s="891" t="n">
        <f aca="false">TableDE6a!F126</f>
        <v>0.643169497723947</v>
      </c>
      <c r="E126" s="418" t="n">
        <f aca="false">TableDE12c!F126</f>
        <v>-0.00452115339532704</v>
      </c>
      <c r="F126" s="1036" t="n">
        <f aca="false">(DataDE1!ES47-DataDE1!BP47)/DataDE1!B47</f>
        <v>0.00916509449759431</v>
      </c>
      <c r="G126" s="821" t="n">
        <f aca="false">0.5*(DataDE2!N48+DataDE2!N49)/TableDE1!$B126</f>
        <v>0.70921456336826</v>
      </c>
      <c r="H126" s="387" t="n">
        <f aca="false">F125/G125</f>
        <v>0.0105677788343023</v>
      </c>
      <c r="I126" s="388" t="n">
        <f aca="false">O125/G125</f>
        <v>0</v>
      </c>
      <c r="J126" s="1037" t="n">
        <f aca="false">0.5*(DataDE2!X48+DataDE2!X49)/TableDE1!$B126</f>
        <v>0.416918498827927</v>
      </c>
      <c r="K126" s="1037"/>
      <c r="L126" s="1037" t="n">
        <v>0</v>
      </c>
      <c r="M126" s="959"/>
      <c r="N126" s="918"/>
      <c r="O126" s="1039" t="n">
        <v>0</v>
      </c>
      <c r="R126" s="158"/>
      <c r="S126" s="818"/>
      <c r="T126" s="387" t="n">
        <f aca="false">-(G126-J126-D126)-TableDE6a!H126</f>
        <v>0</v>
      </c>
    </row>
    <row r="127" customFormat="false" ht="12" hidden="false" customHeight="false" outlineLevel="0" collapsed="false">
      <c r="A127" s="416" t="n">
        <v>1987</v>
      </c>
      <c r="B127" s="819" t="n">
        <f aca="false">TableDE3b!H127</f>
        <v>1410.01234124384</v>
      </c>
      <c r="C127" s="382" t="n">
        <f aca="false">B127/B126-1</f>
        <v>0.0106008077196225</v>
      </c>
      <c r="D127" s="891" t="n">
        <f aca="false">TableDE6a!F127</f>
        <v>0.642815221523697</v>
      </c>
      <c r="E127" s="418" t="n">
        <f aca="false">TableDE12c!F127</f>
        <v>-0.013032196606177</v>
      </c>
      <c r="F127" s="1036" t="n">
        <f aca="false">(DataDE1!ES48-DataDE1!BP48)/DataDE1!B48</f>
        <v>0.00848455766881871</v>
      </c>
      <c r="G127" s="821" t="n">
        <f aca="false">0.5*(DataDE2!N49+DataDE2!N50)/TableDE1!$B127</f>
        <v>0.717194170435303</v>
      </c>
      <c r="H127" s="387" t="n">
        <f aca="false">F126/G126</f>
        <v>0.0129228797193147</v>
      </c>
      <c r="I127" s="388" t="n">
        <f aca="false">O126/G126</f>
        <v>0</v>
      </c>
      <c r="J127" s="1037" t="n">
        <f aca="false">0.5*(DataDE2!X49+DataDE2!X50)/TableDE1!$B127</f>
        <v>0.430934757944411</v>
      </c>
      <c r="K127" s="1037"/>
      <c r="L127" s="1037" t="n">
        <v>0</v>
      </c>
      <c r="M127" s="959"/>
      <c r="N127" s="918"/>
      <c r="O127" s="1039" t="n">
        <v>0</v>
      </c>
      <c r="R127" s="158"/>
      <c r="S127" s="818"/>
      <c r="T127" s="387" t="n">
        <f aca="false">-(G127-J127-D127)-TableDE6a!H127</f>
        <v>0</v>
      </c>
    </row>
    <row r="128" customFormat="false" ht="12" hidden="false" customHeight="false" outlineLevel="0" collapsed="false">
      <c r="A128" s="416" t="n">
        <v>1988</v>
      </c>
      <c r="B128" s="819" t="n">
        <f aca="false">TableDE3b!H128</f>
        <v>1472.69847374004</v>
      </c>
      <c r="C128" s="382" t="n">
        <f aca="false">B128/B127-1</f>
        <v>0.04445786087298</v>
      </c>
      <c r="D128" s="891" t="n">
        <f aca="false">TableDE6a!F128</f>
        <v>0.617912345468143</v>
      </c>
      <c r="E128" s="418" t="n">
        <f aca="false">TableDE12c!F128</f>
        <v>-0.0157613748844851</v>
      </c>
      <c r="F128" s="1036" t="n">
        <f aca="false">(DataDE1!ES49-DataDE1!BP49)/DataDE1!B49</f>
        <v>0.00759831604887566</v>
      </c>
      <c r="G128" s="821" t="n">
        <f aca="false">0.5*(DataDE2!N50+DataDE2!N51)/TableDE1!$B128</f>
        <v>0.701847809752314</v>
      </c>
      <c r="H128" s="387" t="n">
        <f aca="false">F127/G127</f>
        <v>0.0118302100303869</v>
      </c>
      <c r="I128" s="388" t="n">
        <f aca="false">O127/G127</f>
        <v>0</v>
      </c>
      <c r="J128" s="1037" t="n">
        <f aca="false">0.5*(DataDE2!X50+DataDE2!X51)/TableDE1!$B128</f>
        <v>0.431207141852136</v>
      </c>
      <c r="K128" s="1037"/>
      <c r="L128" s="1037" t="n">
        <v>0</v>
      </c>
      <c r="M128" s="959"/>
      <c r="N128" s="918"/>
      <c r="O128" s="1039" t="n">
        <v>0</v>
      </c>
      <c r="R128" s="158"/>
      <c r="S128" s="818"/>
      <c r="T128" s="387" t="n">
        <f aca="false">-(G128-J128-D128)-TableDE6a!H128</f>
        <v>0</v>
      </c>
    </row>
    <row r="129" customFormat="false" ht="12" hidden="false" customHeight="false" outlineLevel="0" collapsed="false">
      <c r="A129" s="436" t="n">
        <v>1989</v>
      </c>
      <c r="B129" s="823" t="n">
        <f aca="false">TableDE3b!H129</f>
        <v>1533.8950285176</v>
      </c>
      <c r="C129" s="407" t="n">
        <f aca="false">B129/B128-1</f>
        <v>0.0415540287905278</v>
      </c>
      <c r="D129" s="990" t="n">
        <f aca="false">TableDE6a!F129</f>
        <v>0.60842329434915</v>
      </c>
      <c r="E129" s="437" t="n">
        <f aca="false">TableDE12c!F129</f>
        <v>0.00795399808337326</v>
      </c>
      <c r="F129" s="1060" t="n">
        <f aca="false">(DataDE1!ES50-DataDE1!BP50)/DataDE1!B50</f>
        <v>0.00768567321514135</v>
      </c>
      <c r="G129" s="825" t="n">
        <f aca="false">0.5*(DataDE2!N51+DataDE2!N52)/TableDE1!$B129</f>
        <v>0.688907477819209</v>
      </c>
      <c r="H129" s="406" t="n">
        <f aca="false">F128/G128</f>
        <v>0.0108261590950282</v>
      </c>
      <c r="I129" s="413" t="n">
        <f aca="false">O128/G128</f>
        <v>0</v>
      </c>
      <c r="J129" s="1061" t="n">
        <f aca="false">0.5*(DataDE2!X51+DataDE2!X52)/TableDE1!$B129</f>
        <v>0.421232685956626</v>
      </c>
      <c r="K129" s="1061"/>
      <c r="L129" s="1061" t="n">
        <v>0</v>
      </c>
      <c r="M129" s="1075"/>
      <c r="N129" s="1076"/>
      <c r="O129" s="1064" t="n">
        <v>0</v>
      </c>
      <c r="R129" s="158"/>
      <c r="S129" s="818"/>
      <c r="T129" s="387" t="n">
        <f aca="false">-(G129-J129-D129)-TableDE6a!H129</f>
        <v>0</v>
      </c>
    </row>
    <row r="130" customFormat="false" ht="12" hidden="false" customHeight="false" outlineLevel="0" collapsed="false">
      <c r="A130" s="439" t="n">
        <v>1990</v>
      </c>
      <c r="B130" s="819" t="n">
        <f aca="false">TableDE3b!H130</f>
        <v>1615.71808458809</v>
      </c>
      <c r="C130" s="382" t="n">
        <f aca="false">B130/B129-1</f>
        <v>0.0533433217718748</v>
      </c>
      <c r="D130" s="891" t="n">
        <f aca="false">TableDE6a!F130</f>
        <v>0.639367835886903</v>
      </c>
      <c r="E130" s="418" t="n">
        <f aca="false">TableDE12c!F130</f>
        <v>-0.0151429846018478</v>
      </c>
      <c r="F130" s="1036" t="n">
        <f aca="false">(DataDE1!ES51-DataDE1!BP51)/DataDE1!B51</f>
        <v>0.00738231412230532</v>
      </c>
      <c r="G130" s="821" t="n">
        <f aca="false">0.5*(DataDE2!N52+DataDE2!N53)/TableDE1!$B130</f>
        <v>0.702492499279102</v>
      </c>
      <c r="H130" s="387" t="n">
        <f aca="false">F129/G129</f>
        <v>0.0111563213676689</v>
      </c>
      <c r="I130" s="388" t="n">
        <f aca="false">O129/G129</f>
        <v>0</v>
      </c>
      <c r="J130" s="1037" t="n">
        <f aca="false">(DataDE2!X52*AVERAGE(DataDE2!X52:DataDE2!X51)/DataDE2!X51)/TableDE1!$B130</f>
        <v>0.398306400378893</v>
      </c>
      <c r="K130" s="1037"/>
      <c r="L130" s="1037" t="n">
        <v>0</v>
      </c>
      <c r="M130" s="959"/>
      <c r="N130" s="918"/>
      <c r="O130" s="1039" t="n">
        <v>0</v>
      </c>
      <c r="R130" s="158"/>
      <c r="S130" s="818"/>
      <c r="T130" s="387" t="n">
        <f aca="false">-(G130-J130-D130)-TableDE6a!H130</f>
        <v>0</v>
      </c>
    </row>
    <row r="131" customFormat="false" ht="12" hidden="false" customHeight="false" outlineLevel="0" collapsed="false">
      <c r="A131" s="439" t="n">
        <v>1991</v>
      </c>
      <c r="B131" s="819" t="n">
        <f aca="false">TableDE3b!H131</f>
        <v>1698.19795186175</v>
      </c>
      <c r="C131" s="382" t="n">
        <f aca="false">B131/B130-1</f>
        <v>0.0510484273589613</v>
      </c>
      <c r="D131" s="891" t="n">
        <f aca="false">TableDE6a!F131</f>
        <v>0.587610617975047</v>
      </c>
      <c r="E131" s="418" t="n">
        <f aca="false">TableDE12c!F131</f>
        <v>-0.0245458713183073</v>
      </c>
      <c r="F131" s="1036" t="n">
        <f aca="false">(DataDE1!ES52-DataDE1!BP52)/DataDE1!B52</f>
        <v>0.00907130026980918</v>
      </c>
      <c r="G131" s="821" t="n">
        <f aca="false">0.5*(DataDE2!N53+DataDE2!N54)/TableDE1!$B131</f>
        <v>0.669476942893942</v>
      </c>
      <c r="H131" s="387" t="n">
        <f aca="false">F130/G130</f>
        <v>0.0105087444063546</v>
      </c>
      <c r="I131" s="388" t="n">
        <f aca="false">O130/G130</f>
        <v>0</v>
      </c>
      <c r="J131" s="1037" t="n">
        <f aca="false">0.5*(DataDE2!X53+DataDE2!X54)/TableDE1!$B131</f>
        <v>0.415502087340139</v>
      </c>
      <c r="K131" s="1037"/>
      <c r="L131" s="1037" t="n">
        <v>0</v>
      </c>
      <c r="M131" s="959"/>
      <c r="N131" s="918"/>
      <c r="O131" s="1039" t="n">
        <v>0</v>
      </c>
      <c r="R131" s="158"/>
      <c r="S131" s="818"/>
      <c r="T131" s="387" t="n">
        <f aca="false">-(G131-J131-D131)-TableDE6a!H131</f>
        <v>0</v>
      </c>
    </row>
    <row r="132" customFormat="false" ht="12" hidden="false" customHeight="false" outlineLevel="0" collapsed="false">
      <c r="A132" s="416" t="n">
        <v>1992</v>
      </c>
      <c r="B132" s="819" t="n">
        <f aca="false">TableDE3b!H132</f>
        <v>1724.2721202782</v>
      </c>
      <c r="C132" s="382" t="n">
        <f aca="false">B132/B131-1</f>
        <v>0.0153540218252324</v>
      </c>
      <c r="D132" s="891" t="n">
        <f aca="false">TableDE6a!F132</f>
        <v>0.538480715750443</v>
      </c>
      <c r="E132" s="418" t="n">
        <f aca="false">TableDE12c!F132</f>
        <v>-0.0183361892187982</v>
      </c>
      <c r="F132" s="1036" t="n">
        <f aca="false">(DataDE1!ES53-DataDE1!BP53)/DataDE1!B53</f>
        <v>0.0107025478243771</v>
      </c>
      <c r="G132" s="821" t="n">
        <f aca="false">0.5*(DataDE2!N54+DataDE2!N55)/TableDE1!$B132</f>
        <v>0.66832986881654</v>
      </c>
      <c r="H132" s="387" t="n">
        <f aca="false">F131/G131</f>
        <v>0.0135498322475405</v>
      </c>
      <c r="I132" s="388" t="n">
        <f aca="false">O131/G131</f>
        <v>0</v>
      </c>
      <c r="J132" s="1037" t="n">
        <f aca="false">0.5*(DataDE2!X54+DataDE2!X55)/TableDE1!$B132</f>
        <v>0.439689317115649</v>
      </c>
      <c r="K132" s="1037"/>
      <c r="L132" s="1037" t="n">
        <v>0</v>
      </c>
      <c r="M132" s="959"/>
      <c r="N132" s="918"/>
      <c r="O132" s="1039" t="n">
        <v>0</v>
      </c>
      <c r="R132" s="158"/>
      <c r="S132" s="818"/>
      <c r="T132" s="387" t="n">
        <f aca="false">-(G132-J132-D132)-TableDE6a!H132</f>
        <v>0</v>
      </c>
    </row>
    <row r="133" customFormat="false" ht="12" hidden="false" customHeight="false" outlineLevel="0" collapsed="false">
      <c r="A133" s="416" t="n">
        <v>1993</v>
      </c>
      <c r="B133" s="819" t="n">
        <f aca="false">TableDE3b!H133</f>
        <v>1693.86181557471</v>
      </c>
      <c r="C133" s="382" t="n">
        <f aca="false">B133/B132-1</f>
        <v>-0.0176366040753381</v>
      </c>
      <c r="D133" s="891" t="n">
        <f aca="false">TableDE6a!F133</f>
        <v>0.496256651404529</v>
      </c>
      <c r="E133" s="418" t="n">
        <f aca="false">TableDE12c!F133</f>
        <v>-0.0269562277593273</v>
      </c>
      <c r="F133" s="1036" t="n">
        <f aca="false">(DataDE1!ES54-DataDE1!BP54)/DataDE1!B54</f>
        <v>0.00868979361740159</v>
      </c>
      <c r="G133" s="821" t="n">
        <f aca="false">0.5*(DataDE2!N55+DataDE2!N56)/TableDE1!$B133</f>
        <v>0.685142790358729</v>
      </c>
      <c r="H133" s="387" t="n">
        <f aca="false">F132/G132</f>
        <v>0.016013870281346</v>
      </c>
      <c r="I133" s="388" t="n">
        <f aca="false">O132/G132</f>
        <v>0</v>
      </c>
      <c r="J133" s="1037" t="n">
        <f aca="false">0.5*(DataDE2!X55+DataDE2!X56)/TableDE1!$B133</f>
        <v>0.499663133000591</v>
      </c>
      <c r="K133" s="1037"/>
      <c r="L133" s="1037" t="n">
        <v>0</v>
      </c>
      <c r="M133" s="959"/>
      <c r="N133" s="918"/>
      <c r="O133" s="1039" t="n">
        <v>0</v>
      </c>
      <c r="R133" s="158"/>
      <c r="S133" s="818"/>
      <c r="T133" s="387" t="n">
        <f aca="false">-(G133-J133-D133)-TableDE6a!H133</f>
        <v>0</v>
      </c>
    </row>
    <row r="134" customFormat="false" ht="12" hidden="false" customHeight="false" outlineLevel="0" collapsed="false">
      <c r="A134" s="416" t="n">
        <v>1994</v>
      </c>
      <c r="B134" s="819" t="n">
        <f aca="false">TableDE3b!H134</f>
        <v>1724.164738671</v>
      </c>
      <c r="C134" s="382" t="n">
        <f aca="false">B134/B133-1</f>
        <v>0.0178898436800854</v>
      </c>
      <c r="D134" s="891" t="n">
        <f aca="false">TableDE6a!F134</f>
        <v>0.463799488639359</v>
      </c>
      <c r="E134" s="418" t="n">
        <f aca="false">TableDE12c!F134</f>
        <v>-0.0227212557330381</v>
      </c>
      <c r="F134" s="1036" t="n">
        <f aca="false">(DataDE1!ES55-DataDE1!BP55)/DataDE1!B55</f>
        <v>0.00747271864621224</v>
      </c>
      <c r="G134" s="821" t="n">
        <f aca="false">0.5*(DataDE2!N56+DataDE2!N57)/TableDE1!$B134</f>
        <v>0.676119589857135</v>
      </c>
      <c r="H134" s="387" t="n">
        <f aca="false">F133/G133</f>
        <v>0.0126831862491785</v>
      </c>
      <c r="I134" s="388" t="n">
        <f aca="false">O133/G133</f>
        <v>0</v>
      </c>
      <c r="J134" s="1037" t="n">
        <f aca="false">0.5*(DataDE2!X56+DataDE2!X57)/TableDE1!$B134</f>
        <v>0.530338974115662</v>
      </c>
      <c r="K134" s="1037"/>
      <c r="L134" s="1037" t="n">
        <v>0</v>
      </c>
      <c r="M134" s="959"/>
      <c r="N134" s="918"/>
      <c r="O134" s="1039" t="n">
        <v>0</v>
      </c>
      <c r="R134" s="158"/>
      <c r="S134" s="818"/>
      <c r="T134" s="387" t="n">
        <f aca="false">-(G134-J134-D134)-TableDE6a!H134</f>
        <v>0</v>
      </c>
    </row>
    <row r="135" customFormat="false" ht="12" hidden="false" customHeight="false" outlineLevel="0" collapsed="false">
      <c r="A135" s="416" t="n">
        <v>1995</v>
      </c>
      <c r="B135" s="819" t="n">
        <f aca="false">TableDE3b!H135</f>
        <v>1747.95162281849</v>
      </c>
      <c r="C135" s="382" t="n">
        <f aca="false">B135/B134-1</f>
        <v>0.0137961782966414</v>
      </c>
      <c r="D135" s="891" t="n">
        <f aca="false">TableDE6a!F135</f>
        <v>0.390628086429586</v>
      </c>
      <c r="E135" s="418" t="n">
        <f aca="false">TableDE12c!F135</f>
        <v>-0.108725125368779</v>
      </c>
      <c r="F135" s="1036" t="n">
        <f aca="false">(DataDE1!ES56-DataDE1!BP56)/DataDE1!B56</f>
        <v>0.00398248978889618</v>
      </c>
      <c r="G135" s="821" t="n">
        <f aca="false">0.5*(DataDE2!N57+DataDE2!N58)/TableDE1!$B135</f>
        <v>0.667427056717027</v>
      </c>
      <c r="H135" s="387" t="n">
        <f aca="false">F134/G134</f>
        <v>0.0110523622718745</v>
      </c>
      <c r="I135" s="388" t="n">
        <f aca="false">O134/G134</f>
        <v>0</v>
      </c>
      <c r="J135" s="1037" t="n">
        <f aca="false">0.5*(DataDE2!X57+DataDE2!X58)/TableDE1!$B135</f>
        <v>0.591829842548284</v>
      </c>
      <c r="K135" s="1037"/>
      <c r="L135" s="1037" t="n">
        <v>0</v>
      </c>
      <c r="M135" s="959"/>
      <c r="N135" s="918"/>
      <c r="O135" s="1039" t="n">
        <v>0</v>
      </c>
      <c r="R135" s="158"/>
      <c r="S135" s="818"/>
      <c r="T135" s="387" t="n">
        <f aca="false">-(G135-J135-D135)-TableDE6a!H135</f>
        <v>0</v>
      </c>
    </row>
    <row r="136" customFormat="false" ht="12" hidden="false" customHeight="false" outlineLevel="0" collapsed="false">
      <c r="A136" s="416" t="n">
        <v>1996</v>
      </c>
      <c r="B136" s="819" t="n">
        <f aca="false">TableDE3b!H136</f>
        <v>1763.88972937868</v>
      </c>
      <c r="C136" s="382" t="n">
        <f aca="false">B136/B135-1</f>
        <v>0.00911816228328677</v>
      </c>
      <c r="D136" s="891" t="n">
        <f aca="false">TableDE6a!F136</f>
        <v>0.307514211497195</v>
      </c>
      <c r="E136" s="418" t="n">
        <f aca="false">TableDE12c!F136</f>
        <v>-0.0374580682402841</v>
      </c>
      <c r="F136" s="1036" t="n">
        <f aca="false">(DataDE1!ES57-DataDE1!BP57)/DataDE1!B57</f>
        <v>0.00303053119000113</v>
      </c>
      <c r="G136" s="821" t="n">
        <f aca="false">0.5*(DataDE2!N58+DataDE2!N59)/TableDE1!$B136</f>
        <v>0.661264415414925</v>
      </c>
      <c r="H136" s="387" t="n">
        <f aca="false">F135/G135</f>
        <v>0.00596692889330176</v>
      </c>
      <c r="I136" s="388" t="n">
        <f aca="false">O135/G135</f>
        <v>0</v>
      </c>
      <c r="J136" s="1037" t="n">
        <f aca="false">0.5*(DataDE2!X58+DataDE2!X59)/TableDE1!$B136</f>
        <v>0.669257990437827</v>
      </c>
      <c r="K136" s="1037"/>
      <c r="L136" s="1037" t="n">
        <v>0</v>
      </c>
      <c r="M136" s="959"/>
      <c r="N136" s="918"/>
      <c r="O136" s="1039" t="n">
        <v>0</v>
      </c>
      <c r="R136" s="158"/>
      <c r="S136" s="818"/>
      <c r="T136" s="387" t="n">
        <f aca="false">-(G136-J136-D136)-TableDE6a!H136</f>
        <v>0</v>
      </c>
    </row>
    <row r="137" customFormat="false" ht="12" hidden="false" customHeight="false" outlineLevel="0" collapsed="false">
      <c r="A137" s="416" t="n">
        <v>1997</v>
      </c>
      <c r="B137" s="819" t="n">
        <f aca="false">TableDE3b!H137</f>
        <v>1789.41099594195</v>
      </c>
      <c r="C137" s="382" t="n">
        <f aca="false">B137/B136-1</f>
        <v>0.0144687426533505</v>
      </c>
      <c r="D137" s="891" t="n">
        <f aca="false">TableDE6a!F137</f>
        <v>0.278079698969835</v>
      </c>
      <c r="E137" s="418" t="n">
        <f aca="false">TableDE12c!F137</f>
        <v>-0.0323051754981186</v>
      </c>
      <c r="F137" s="1036" t="n">
        <f aca="false">(DataDE1!ES58-DataDE1!BP58)/DataDE1!B58</f>
        <v>0.00108568256122386</v>
      </c>
      <c r="G137" s="821" t="n">
        <f aca="false">0.5*(DataDE2!N59+DataDE2!N60)/TableDE1!$B137</f>
        <v>0.648753932514959</v>
      </c>
      <c r="H137" s="387" t="n">
        <f aca="false">F136/G136</f>
        <v>0.00458293402662467</v>
      </c>
      <c r="I137" s="388" t="n">
        <f aca="false">O136/G136</f>
        <v>0</v>
      </c>
      <c r="J137" s="1037" t="n">
        <f aca="false">0.5*(DataDE2!X59+DataDE2!X60)/TableDE1!$B137</f>
        <v>0.696903337240146</v>
      </c>
      <c r="K137" s="1037"/>
      <c r="L137" s="1037" t="n">
        <v>0</v>
      </c>
      <c r="M137" s="959"/>
      <c r="N137" s="918"/>
      <c r="O137" s="1039" t="n">
        <v>0</v>
      </c>
      <c r="R137" s="158"/>
      <c r="S137" s="818"/>
      <c r="T137" s="387" t="n">
        <f aca="false">-(G137-J137-D137)-TableDE6a!H137</f>
        <v>0</v>
      </c>
    </row>
    <row r="138" customFormat="false" ht="12" hidden="false" customHeight="false" outlineLevel="0" collapsed="false">
      <c r="A138" s="416" t="n">
        <v>1998</v>
      </c>
      <c r="B138" s="819" t="n">
        <f aca="false">TableDE3b!H138</f>
        <v>1816.55837858552</v>
      </c>
      <c r="C138" s="382" t="n">
        <f aca="false">B138/B137-1</f>
        <v>0.0151711276532507</v>
      </c>
      <c r="D138" s="891" t="n">
        <f aca="false">TableDE6a!F138</f>
        <v>0.244536063791229</v>
      </c>
      <c r="E138" s="418" t="n">
        <f aca="false">TableDE12c!F138</f>
        <v>-0.0273831098223995</v>
      </c>
      <c r="F138" s="1036" t="n">
        <f aca="false">(DataDE1!ES59-DataDE1!BP59)/DataDE1!B59</f>
        <v>0.00134106560347952</v>
      </c>
      <c r="G138" s="821" t="n">
        <f aca="false">0.5*(DataDE2!N60+DataDE2!N61)/TableDE1!$B138</f>
        <v>0.638610003624502</v>
      </c>
      <c r="H138" s="387" t="n">
        <f aca="false">F137/G137</f>
        <v>0.00167348898682603</v>
      </c>
      <c r="I138" s="388" t="n">
        <f aca="false">O137/G137</f>
        <v>0</v>
      </c>
      <c r="J138" s="1037" t="n">
        <f aca="false">0.5*(DataDE2!X60+DataDE2!X61)/TableDE1!$B138</f>
        <v>0.717681527123354</v>
      </c>
      <c r="K138" s="1037"/>
      <c r="L138" s="1037" t="n">
        <v>0</v>
      </c>
      <c r="M138" s="959"/>
      <c r="N138" s="918"/>
      <c r="O138" s="1039" t="n">
        <v>0</v>
      </c>
      <c r="R138" s="158"/>
      <c r="S138" s="818"/>
      <c r="T138" s="387" t="n">
        <f aca="false">-(G138-J138-D138)-TableDE6a!H138</f>
        <v>0</v>
      </c>
    </row>
    <row r="139" customFormat="false" ht="12" hidden="false" customHeight="false" outlineLevel="0" collapsed="false">
      <c r="A139" s="445" t="n">
        <f aca="false">A138+1</f>
        <v>1999</v>
      </c>
      <c r="B139" s="823" t="n">
        <f aca="false">TableDE3b!H139</f>
        <v>1847.76437085111</v>
      </c>
      <c r="C139" s="407" t="n">
        <f aca="false">B139/B138-1</f>
        <v>0.0171786344074958</v>
      </c>
      <c r="D139" s="990" t="n">
        <f aca="false">TableDE6a!F139</f>
        <v>0.220509522426456</v>
      </c>
      <c r="E139" s="437" t="n">
        <f aca="false">TableDE12c!F139</f>
        <v>-0.0175689212658633</v>
      </c>
      <c r="F139" s="1060" t="n">
        <f aca="false">(DataDE1!ES60-DataDE1!BP60)/DataDE1!B60</f>
        <v>0.00262585429176027</v>
      </c>
      <c r="G139" s="825" t="n">
        <f aca="false">0.5*(DataDE2!N61+DataDE2!N62)/TableDE1!$B139</f>
        <v>0.631399408441855</v>
      </c>
      <c r="H139" s="406" t="n">
        <f aca="false">F138/G138</f>
        <v>0.00209997587865545</v>
      </c>
      <c r="I139" s="413" t="n">
        <f aca="false">O138/G138</f>
        <v>0</v>
      </c>
      <c r="J139" s="1061" t="n">
        <f aca="false">0.5*(DataDE2!X61+DataDE2!X62)/TableDE1!$B139</f>
        <v>0.727414985744516</v>
      </c>
      <c r="K139" s="1061"/>
      <c r="L139" s="1061" t="n">
        <v>0</v>
      </c>
      <c r="M139" s="1075"/>
      <c r="N139" s="1076"/>
      <c r="O139" s="1064" t="n">
        <v>0</v>
      </c>
      <c r="R139" s="158"/>
      <c r="S139" s="818"/>
      <c r="T139" s="387" t="n">
        <f aca="false">-(G139-J139-D139)-TableDE6a!H139</f>
        <v>0</v>
      </c>
    </row>
    <row r="140" customFormat="false" ht="12" hidden="false" customHeight="false" outlineLevel="0" collapsed="false">
      <c r="A140" s="446" t="n">
        <f aca="false">A139+1</f>
        <v>2000</v>
      </c>
      <c r="B140" s="819" t="n">
        <f aca="false">TableDE3b!H140</f>
        <v>1901.57730243133</v>
      </c>
      <c r="C140" s="382" t="n">
        <f aca="false">B140/B139-1</f>
        <v>0.0291232650813749</v>
      </c>
      <c r="D140" s="891" t="n">
        <f aca="false">TableDE6a!F140</f>
        <v>0.230007596272608</v>
      </c>
      <c r="E140" s="418" t="n">
        <f aca="false">TableDE12c!F140</f>
        <v>-0.0150881689503806</v>
      </c>
      <c r="F140" s="1036" t="n">
        <f aca="false">(DataDE1!ES61-DataDE1!BP61)/DataDE1!B61</f>
        <v>0.00169901364429729</v>
      </c>
      <c r="G140" s="821" t="n">
        <f aca="false">0.5*(DataDE2!N62+DataDE2!N63)/TableDE1!$B140</f>
        <v>0.630290571923944</v>
      </c>
      <c r="H140" s="387" t="n">
        <f aca="false">F139/G139</f>
        <v>0.0041587848462517</v>
      </c>
      <c r="I140" s="388" t="n">
        <f aca="false">O139/G139</f>
        <v>0</v>
      </c>
      <c r="J140" s="514" t="n">
        <f aca="false">0.5*(DataDE2!X62+DataDE2!X63)/TableDE1!$B140</f>
        <v>0.719094477915722</v>
      </c>
      <c r="K140" s="1037"/>
      <c r="L140" s="1037" t="n">
        <v>0</v>
      </c>
      <c r="M140" s="959"/>
      <c r="N140" s="918"/>
      <c r="O140" s="1039" t="n">
        <v>0</v>
      </c>
      <c r="R140" s="158"/>
      <c r="S140" s="818"/>
      <c r="T140" s="387" t="n">
        <f aca="false">-(G140-J140-D140)-TableDE6a!H140</f>
        <v>0</v>
      </c>
    </row>
    <row r="141" customFormat="false" ht="12" hidden="false" customHeight="false" outlineLevel="0" collapsed="false">
      <c r="A141" s="446" t="n">
        <f aca="false">A140+1</f>
        <v>2001</v>
      </c>
      <c r="B141" s="819" t="n">
        <f aca="false">TableDE3b!H141</f>
        <v>1927.24588892589</v>
      </c>
      <c r="C141" s="382" t="n">
        <f aca="false">B141/B140-1</f>
        <v>0.0134985763985209</v>
      </c>
      <c r="D141" s="891" t="n">
        <f aca="false">TableDE6a!F141</f>
        <v>0.217883653563265</v>
      </c>
      <c r="E141" s="418" t="n">
        <f aca="false">TableDE12c!F141</f>
        <v>-0.0356269943648584</v>
      </c>
      <c r="F141" s="1036" t="n">
        <f aca="false">(DataDE1!ES62-DataDE1!BP62)/DataDE1!B62</f>
        <v>0.00168601624912304</v>
      </c>
      <c r="G141" s="821" t="n">
        <f aca="false">0.5*(DataDE2!N63+DataDE2!N64)/TableDE1!$B141</f>
        <v>0.629175436214271</v>
      </c>
      <c r="H141" s="387" t="n">
        <f aca="false">F140/G140</f>
        <v>0.00269560377384528</v>
      </c>
      <c r="I141" s="388" t="n">
        <f aca="false">O140/G140</f>
        <v>0</v>
      </c>
      <c r="J141" s="514" t="n">
        <f aca="false">0.5*(DataDE2!X63+DataDE2!X64)/TableDE1!$B141</f>
        <v>0.710389933690904</v>
      </c>
      <c r="K141" s="1037"/>
      <c r="L141" s="1037" t="n">
        <v>0</v>
      </c>
      <c r="M141" s="959"/>
      <c r="N141" s="918"/>
      <c r="O141" s="1039" t="n">
        <v>0</v>
      </c>
      <c r="R141" s="158"/>
      <c r="S141" s="818"/>
      <c r="T141" s="387" t="n">
        <f aca="false">-(G141-J141-D141)-TableDE6a!H141</f>
        <v>0</v>
      </c>
    </row>
    <row r="142" customFormat="false" ht="12" hidden="false" customHeight="false" outlineLevel="0" collapsed="false">
      <c r="A142" s="446" t="n">
        <f aca="false">A141+1</f>
        <v>2002</v>
      </c>
      <c r="B142" s="819" t="n">
        <f aca="false">TableDE3b!H142</f>
        <v>1921.47609110833</v>
      </c>
      <c r="C142" s="382" t="n">
        <f aca="false">B142/B141-1</f>
        <v>-0.00299380470894706</v>
      </c>
      <c r="D142" s="891" t="n">
        <f aca="false">TableDE6a!F142</f>
        <v>0.173281451933244</v>
      </c>
      <c r="E142" s="418" t="n">
        <f aca="false">TableDE12c!F142</f>
        <v>-0.0458988144857644</v>
      </c>
      <c r="F142" s="1036" t="n">
        <f aca="false">(DataDE1!ES63-DataDE1!BP63)/DataDE1!B63</f>
        <v>0.000895149965592674</v>
      </c>
      <c r="G142" s="821" t="n">
        <f aca="false">0.5*(DataDE2!N64+DataDE2!N65)/TableDE1!$B142</f>
        <v>0.627206404798004</v>
      </c>
      <c r="H142" s="387" t="n">
        <f aca="false">F141/G141</f>
        <v>0.00267972357482319</v>
      </c>
      <c r="I142" s="388" t="n">
        <f aca="false">O141/G141</f>
        <v>0</v>
      </c>
      <c r="J142" s="514" t="n">
        <f aca="false">0.5*(DataDE2!X64+DataDE2!X65)/TableDE1!$B142</f>
        <v>0.727253400171198</v>
      </c>
      <c r="K142" s="1037"/>
      <c r="L142" s="1037" t="n">
        <v>0</v>
      </c>
      <c r="M142" s="959"/>
      <c r="N142" s="918"/>
      <c r="O142" s="1039" t="n">
        <v>0</v>
      </c>
      <c r="R142" s="158"/>
      <c r="S142" s="818"/>
      <c r="T142" s="387" t="n">
        <f aca="false">-(G142-J142-D142)-TableDE6a!H142</f>
        <v>0</v>
      </c>
    </row>
    <row r="143" customFormat="false" ht="12" hidden="false" customHeight="false" outlineLevel="0" collapsed="false">
      <c r="A143" s="446" t="n">
        <f aca="false">A142+1</f>
        <v>2003</v>
      </c>
      <c r="B143" s="819" t="n">
        <f aca="false">TableDE3b!H143</f>
        <v>1926.23959411821</v>
      </c>
      <c r="C143" s="382" t="n">
        <f aca="false">B143/B142-1</f>
        <v>0.00247908523656948</v>
      </c>
      <c r="D143" s="891" t="n">
        <f aca="false">TableDE6a!F143</f>
        <v>0.126422853988407</v>
      </c>
      <c r="E143" s="418" t="n">
        <f aca="false">TableDE12c!F143</f>
        <v>-0.0506651945901187</v>
      </c>
      <c r="F143" s="1036" t="n">
        <f aca="false">(DataDE1!ES64-DataDE1!BP64)/DataDE1!B64</f>
        <v>-0.00066795473364615</v>
      </c>
      <c r="G143" s="821" t="n">
        <f aca="false">0.5*(DataDE2!N65+DataDE2!N66)/TableDE1!$B143</f>
        <v>0.621813414297543</v>
      </c>
      <c r="H143" s="387" t="n">
        <f aca="false">F142/G142</f>
        <v>0.00142720156992173</v>
      </c>
      <c r="I143" s="388" t="n">
        <f aca="false">O142/G142</f>
        <v>0</v>
      </c>
      <c r="J143" s="514" t="n">
        <f aca="false">0.5*(DataDE2!X65+DataDE2!X66)/TableDE1!$B143</f>
        <v>0.759563897322661</v>
      </c>
      <c r="K143" s="1037"/>
      <c r="L143" s="1037" t="n">
        <v>0</v>
      </c>
      <c r="M143" s="959"/>
      <c r="N143" s="918"/>
      <c r="O143" s="1039" t="n">
        <v>0</v>
      </c>
      <c r="R143" s="158"/>
      <c r="S143" s="818"/>
      <c r="T143" s="387" t="n">
        <f aca="false">-(G143-J143-D143)-TableDE6a!H143</f>
        <v>0</v>
      </c>
    </row>
    <row r="144" customFormat="false" ht="12" hidden="false" customHeight="false" outlineLevel="0" collapsed="false">
      <c r="A144" s="446" t="n">
        <f aca="false">A143+1</f>
        <v>2004</v>
      </c>
      <c r="B144" s="819" t="n">
        <f aca="false">TableDE3b!H144</f>
        <v>1990.07999695766</v>
      </c>
      <c r="C144" s="382" t="n">
        <f aca="false">B144/B143-1</f>
        <v>0.0331425036814659</v>
      </c>
      <c r="D144" s="891" t="n">
        <f aca="false">TableDE6a!F144</f>
        <v>0.0793225768933906</v>
      </c>
      <c r="E144" s="418" t="n">
        <f aca="false">TableDE12c!F144</f>
        <v>-0.0466752661795958</v>
      </c>
      <c r="F144" s="1036" t="n">
        <f aca="false">(DataDE1!ES65-DataDE1!BP65)/DataDE1!B65</f>
        <v>-0.00227323190137345</v>
      </c>
      <c r="G144" s="821" t="n">
        <f aca="false">0.5*(DataDE2!N66+DataDE2!N67)/TableDE1!$B144</f>
        <v>0.600606371393227</v>
      </c>
      <c r="H144" s="387" t="n">
        <f aca="false">F143/G143</f>
        <v>-0.00107420444507575</v>
      </c>
      <c r="I144" s="388" t="n">
        <f aca="false">O143/G143</f>
        <v>0</v>
      </c>
      <c r="J144" s="514" t="n">
        <f aca="false">0.5*(DataDE2!X66+DataDE2!X67)/TableDE1!$B144</f>
        <v>0.775647871091891</v>
      </c>
      <c r="K144" s="1037"/>
      <c r="L144" s="1037" t="n">
        <v>0</v>
      </c>
      <c r="M144" s="959"/>
      <c r="N144" s="918"/>
      <c r="O144" s="1039" t="n">
        <v>0</v>
      </c>
      <c r="R144" s="158"/>
      <c r="S144" s="818"/>
      <c r="T144" s="387" t="n">
        <f aca="false">-(G144-J144-D144)-TableDE6a!H144</f>
        <v>0</v>
      </c>
    </row>
    <row r="145" customFormat="false" ht="12" hidden="false" customHeight="false" outlineLevel="0" collapsed="false">
      <c r="A145" s="446" t="n">
        <f aca="false">A144+1</f>
        <v>2005</v>
      </c>
      <c r="B145" s="819" t="n">
        <f aca="false">TableDE3b!H145</f>
        <v>2009.27321931616</v>
      </c>
      <c r="C145" s="382" t="n">
        <f aca="false">B145/B144-1</f>
        <v>0.00964444765428429</v>
      </c>
      <c r="D145" s="891" t="n">
        <f aca="false">TableDE6a!F145</f>
        <v>0.035261730926349</v>
      </c>
      <c r="E145" s="418" t="n">
        <f aca="false">TableDE12c!F145</f>
        <v>-0.0423962989753491</v>
      </c>
      <c r="F145" s="1036" t="n">
        <f aca="false">(DataDE1!ES66-DataDE1!BP66)/DataDE1!B66</f>
        <v>-0.00308071793217217</v>
      </c>
      <c r="G145" s="821" t="n">
        <f aca="false">0.5*(DataDE2!N67+DataDE2!N68)/TableDE1!$B145</f>
        <v>0.593173503744217</v>
      </c>
      <c r="H145" s="387" t="n">
        <f aca="false">F144/G144</f>
        <v>-0.00378489474911869</v>
      </c>
      <c r="I145" s="388" t="n">
        <f aca="false">O144/G144</f>
        <v>0</v>
      </c>
      <c r="J145" s="514" t="n">
        <f aca="false">0.5*(DataDE2!X67+DataDE2!X68)/TableDE1!$B145</f>
        <v>0.810119533937334</v>
      </c>
      <c r="K145" s="1037"/>
      <c r="L145" s="1037" t="n">
        <v>0</v>
      </c>
      <c r="M145" s="959"/>
      <c r="N145" s="918"/>
      <c r="O145" s="1039" t="n">
        <v>0</v>
      </c>
      <c r="R145" s="158"/>
      <c r="S145" s="818"/>
      <c r="T145" s="387" t="n">
        <f aca="false">-(G145-J145-D145)-TableDE6a!H145</f>
        <v>0</v>
      </c>
    </row>
    <row r="146" customFormat="false" ht="12" hidden="false" customHeight="false" outlineLevel="0" collapsed="false">
      <c r="A146" s="446" t="n">
        <f aca="false">A145+1</f>
        <v>2006</v>
      </c>
      <c r="B146" s="819" t="n">
        <f aca="false">TableDE3b!H146</f>
        <v>2110.9803999689</v>
      </c>
      <c r="C146" s="382" t="n">
        <f aca="false">B146/B145-1</f>
        <v>0.0506188902907654</v>
      </c>
      <c r="D146" s="891" t="n">
        <f aca="false">TableDE6a!F146</f>
        <v>0.0223015010863125</v>
      </c>
      <c r="E146" s="418" t="n">
        <f aca="false">TableDE12c!F146</f>
        <v>-0.0218151293699388</v>
      </c>
      <c r="F146" s="1036" t="n">
        <f aca="false">(DataDE1!ES67-DataDE1!BP67)/DataDE1!B67</f>
        <v>-0.00222694054908158</v>
      </c>
      <c r="G146" s="821" t="n">
        <f aca="false">0.5*(DataDE2!N68+DataDE2!N69)/TableDE1!$B146</f>
        <v>0.568568536440845</v>
      </c>
      <c r="H146" s="387" t="n">
        <f aca="false">F145/G145</f>
        <v>-0.00519362026915586</v>
      </c>
      <c r="I146" s="388" t="n">
        <f aca="false">O145/G145</f>
        <v>0</v>
      </c>
      <c r="J146" s="514" t="n">
        <f aca="false">0.5*(DataDE2!X68+DataDE2!X69)/TableDE1!$B146</f>
        <v>0.793106853644085</v>
      </c>
      <c r="K146" s="1037"/>
      <c r="L146" s="1037" t="n">
        <v>0</v>
      </c>
      <c r="M146" s="959"/>
      <c r="N146" s="918"/>
      <c r="O146" s="1039" t="n">
        <v>0</v>
      </c>
      <c r="R146" s="158"/>
      <c r="S146" s="818"/>
      <c r="T146" s="387" t="n">
        <f aca="false">-(G146-J146-D146)-TableDE6a!H146</f>
        <v>0</v>
      </c>
    </row>
    <row r="147" customFormat="false" ht="13" hidden="false" customHeight="false" outlineLevel="0" collapsed="false">
      <c r="A147" s="446" t="n">
        <f aca="false">A146+1</f>
        <v>2007</v>
      </c>
      <c r="B147" s="819" t="n">
        <f aca="false">TableDE3b!H147</f>
        <v>2172.29537972607</v>
      </c>
      <c r="C147" s="382" t="n">
        <f aca="false">B147/B146-1</f>
        <v>0.0290457361698271</v>
      </c>
      <c r="D147" s="891" t="n">
        <f aca="false">TableDE6a!F147</f>
        <v>0.0577148253068933</v>
      </c>
      <c r="E147" s="418" t="n">
        <f aca="false">TableDE12c!F147</f>
        <v>-1.41643059490225E-005</v>
      </c>
      <c r="F147" s="1036" t="n">
        <f aca="false">(DataDE1!ES68-DataDE1!BP68)/DataDE1!B68</f>
        <v>-0.00195467422096317</v>
      </c>
      <c r="G147" s="821" t="n">
        <f aca="false">0.5*(DataDE2!N69+DataDE2!N70)/TableDE1!$B147</f>
        <v>0.563805476864967</v>
      </c>
      <c r="H147" s="387" t="n">
        <f aca="false">F146/G146</f>
        <v>-0.00391674953211779</v>
      </c>
      <c r="I147" s="388" t="n">
        <f aca="false">O146/G146</f>
        <v>0</v>
      </c>
      <c r="J147" s="514" t="n">
        <f aca="false">0.5*(DataDE2!X69+DataDE2!X70)/TableDE1!$B147</f>
        <v>0.757932011331445</v>
      </c>
      <c r="K147" s="1037"/>
      <c r="L147" s="1037" t="n">
        <v>0</v>
      </c>
      <c r="M147" s="959"/>
      <c r="N147" s="918"/>
      <c r="O147" s="1039" t="n">
        <v>0</v>
      </c>
      <c r="R147" s="158"/>
      <c r="S147" s="818"/>
      <c r="T147" s="387" t="n">
        <f aca="false">-(G147-J147-D147)-TableDE6a!H147</f>
        <v>0</v>
      </c>
    </row>
    <row r="148" customFormat="false" ht="12" hidden="false" customHeight="false" outlineLevel="0" collapsed="false">
      <c r="A148" s="446" t="n">
        <f aca="false">A147+1</f>
        <v>2008</v>
      </c>
      <c r="B148" s="819" t="n">
        <f aca="false">TableDE3b!H148</f>
        <v>2177.40619020797</v>
      </c>
      <c r="C148" s="382" t="n">
        <f aca="false">B148/B147-1</f>
        <v>0.00235272354284577</v>
      </c>
      <c r="D148" s="891" t="n">
        <f aca="false">TableDE6a!F148</f>
        <v>0.0808587414287116</v>
      </c>
      <c r="E148" s="418" t="n">
        <f aca="false">TableDE12c!F148</f>
        <v>-0.00258482478814251</v>
      </c>
      <c r="F148" s="1036" t="n">
        <f aca="false">(DataDE1!ES69-DataDE1!BP69)/DataDE1!B69</f>
        <v>-0.00129007530113442</v>
      </c>
      <c r="G148" s="821" t="n">
        <f aca="false">0.5*(DataDE2!N70+DataDE2!N71)/TableDE1!$B148</f>
        <v>0.581300451993774</v>
      </c>
      <c r="H148" s="387" t="n">
        <f aca="false">F147/G147</f>
        <v>-0.00346693017569129</v>
      </c>
      <c r="I148" s="388" t="n">
        <f aca="false">O147/G147</f>
        <v>0</v>
      </c>
      <c r="J148" s="514" t="n">
        <f aca="false">0.5*(DataDE2!X70+DataDE2!X71)/TableDE1!$B148</f>
        <v>0.775424065513389</v>
      </c>
      <c r="K148" s="1037"/>
      <c r="L148" s="1037" t="n">
        <v>0</v>
      </c>
      <c r="M148" s="959"/>
      <c r="N148" s="918"/>
      <c r="O148" s="1039" t="n">
        <v>0</v>
      </c>
      <c r="Q148" s="1079" t="s">
        <v>317</v>
      </c>
      <c r="R148" s="1080"/>
      <c r="S148" s="818"/>
      <c r="T148" s="387" t="n">
        <f aca="false">-(G148-J148-D148)-TableDE6a!H148</f>
        <v>0</v>
      </c>
    </row>
    <row r="149" customFormat="false" ht="12" hidden="false" customHeight="false" outlineLevel="0" collapsed="false">
      <c r="A149" s="446" t="n">
        <f aca="false">A148+1</f>
        <v>2009</v>
      </c>
      <c r="B149" s="819" t="n">
        <f aca="false">TableDE3b!H149</f>
        <v>2063.58453491818</v>
      </c>
      <c r="C149" s="382" t="n">
        <f aca="false">B149/B148-1</f>
        <v>-0.0522739651433245</v>
      </c>
      <c r="D149" s="891" t="n">
        <f aca="false">TableDE6a!F149</f>
        <v>0.0667289018017314</v>
      </c>
      <c r="E149" s="418" t="n">
        <f aca="false">TableDE12c!F149</f>
        <v>-0.038267295842758</v>
      </c>
      <c r="F149" s="1060" t="n">
        <f aca="false">(DataDE1!ES70-DataDE1!BP70)/DataDE1!B70</f>
        <v>-0.000492356290460965</v>
      </c>
      <c r="G149" s="825" t="n">
        <f aca="false">0.5*(DataDE2!N71+DataDE2!N72)/TableDE1!$B149</f>
        <v>0.621458447079011</v>
      </c>
      <c r="H149" s="406" t="n">
        <f aca="false">F148/G148</f>
        <v>-0.00221929175645685</v>
      </c>
      <c r="I149" s="413" t="n">
        <f aca="false">O148/G148</f>
        <v>0</v>
      </c>
      <c r="J149" s="842" t="n">
        <f aca="false">0.5*(DataDE2!X71+DataDE2!X72)/TableDE1!$B149</f>
        <v>0.867741400826769</v>
      </c>
      <c r="K149" s="1061"/>
      <c r="L149" s="1061" t="n">
        <v>0</v>
      </c>
      <c r="M149" s="1075"/>
      <c r="N149" s="1076"/>
      <c r="O149" s="1064" t="n">
        <v>0</v>
      </c>
      <c r="Q149" s="914"/>
      <c r="R149" s="1081" t="s">
        <v>318</v>
      </c>
      <c r="S149" s="818"/>
      <c r="T149" s="387" t="n">
        <f aca="false">-(G149-J149-D149)-TableDE6a!H149</f>
        <v>0</v>
      </c>
    </row>
    <row r="150" customFormat="false" ht="12" hidden="false" customHeight="false" outlineLevel="0" collapsed="false">
      <c r="A150" s="881" t="n">
        <f aca="false">A149+1</f>
        <v>2010</v>
      </c>
      <c r="B150" s="882" t="n">
        <f aca="false">TableDE3b!H150</f>
        <v>2146.06</v>
      </c>
      <c r="C150" s="866" t="n">
        <f aca="false">B150/B149-1</f>
        <v>0.0399670881838112</v>
      </c>
      <c r="D150" s="1078" t="n">
        <f aca="false">TableDE6a!F150</f>
        <v>0.0386755263133369</v>
      </c>
      <c r="E150" s="867" t="n">
        <f aca="false">TableDE12c!F150</f>
        <v>-0.0530926441944773</v>
      </c>
      <c r="F150" s="1036" t="n">
        <f aca="false">(DataDE1!ES71-DataDE1!BP71)/DataDE1!B71</f>
        <v>-0.00101581502847078</v>
      </c>
      <c r="G150" s="821" t="n">
        <f aca="false">0.5*(DataDE2!N72+DataDE2!N73)/TableDE1!$B150</f>
        <v>0.602336374565483</v>
      </c>
      <c r="H150" s="387" t="n">
        <f aca="false">F149/G149</f>
        <v>-0.000792259390430923</v>
      </c>
      <c r="I150" s="388" t="n">
        <f aca="false">O149/G149</f>
        <v>0</v>
      </c>
      <c r="J150" s="514" t="n">
        <f aca="false">0.5*(DataDE2!X72+DataDE2!X73)/TableDE1!$B150</f>
        <v>0.928049541951297</v>
      </c>
      <c r="K150" s="1037"/>
      <c r="L150" s="1037" t="n">
        <v>0</v>
      </c>
      <c r="M150" s="959"/>
      <c r="N150" s="918"/>
      <c r="O150" s="1039" t="n">
        <v>0</v>
      </c>
      <c r="Q150" s="914" t="s">
        <v>319</v>
      </c>
      <c r="R150" s="1082" t="n">
        <v>-0.023539</v>
      </c>
      <c r="S150" s="818"/>
      <c r="T150" s="387" t="n">
        <f aca="false">-(G150-J150-D150)-TableDE6a!H150</f>
        <v>0</v>
      </c>
    </row>
    <row r="151" customFormat="false" ht="13" hidden="false" customHeight="false" outlineLevel="0" collapsed="false">
      <c r="A151" s="449" t="n">
        <f aca="false">A150+1</f>
        <v>2011</v>
      </c>
      <c r="B151" s="887" t="n">
        <f aca="false">TableDE3b!H151</f>
        <v>2211.53020629425</v>
      </c>
      <c r="C151" s="451" t="n">
        <f aca="false">B151/B150-1</f>
        <v>0.0305071648948529</v>
      </c>
      <c r="D151" s="993" t="n">
        <f aca="false">TableDE6a!F151</f>
        <v>0.0141562345762106</v>
      </c>
      <c r="E151" s="458" t="n">
        <f aca="false">TableDE12c!F151</f>
        <v>-0.0128325929914299</v>
      </c>
      <c r="F151" s="1083" t="n">
        <f aca="false">(DataDE1!ES72-DataDE1!BP72)/DataDE1!B72</f>
        <v>-0.000852514919011082</v>
      </c>
      <c r="G151" s="1084" t="n">
        <f aca="false">0.5*(DataDE2!N73+DataDE2!N74)/TableDE1!$B151</f>
        <v>0.593529860456769</v>
      </c>
      <c r="H151" s="450" t="n">
        <f aca="false">F150/G150</f>
        <v>-0.00168645805128999</v>
      </c>
      <c r="I151" s="1085" t="n">
        <f aca="false">O150/G150</f>
        <v>0</v>
      </c>
      <c r="J151" s="739" t="n">
        <f aca="false">0.5*(DataDE2!X73+DataDE2!X74)/TableDE1!$B151</f>
        <v>0.983600305110602</v>
      </c>
      <c r="K151" s="1086"/>
      <c r="L151" s="1086" t="n">
        <v>0</v>
      </c>
      <c r="M151" s="1087"/>
      <c r="N151" s="1088"/>
      <c r="O151" s="1089" t="n">
        <v>0</v>
      </c>
      <c r="Q151" s="1090" t="s">
        <v>320</v>
      </c>
      <c r="R151" s="1091" t="n">
        <f aca="false">G64*(1+H65)/(1+C65)/G65</f>
        <v>0.999996116866751</v>
      </c>
      <c r="T151" s="387" t="n">
        <f aca="false">-(G151-J151-D151)-TableDE6a!H151</f>
        <v>0</v>
      </c>
    </row>
    <row r="152" customFormat="false" ht="13" hidden="false" customHeight="false" outlineLevel="0" collapsed="false">
      <c r="A152" s="446"/>
      <c r="B152" s="819"/>
      <c r="C152" s="393"/>
      <c r="D152" s="1065"/>
      <c r="E152" s="891"/>
      <c r="F152" s="836"/>
      <c r="G152" s="29"/>
      <c r="H152" s="29"/>
      <c r="I152" s="830"/>
      <c r="J152" s="29"/>
      <c r="K152" s="1037"/>
      <c r="L152" s="1037"/>
      <c r="M152" s="935"/>
      <c r="N152" s="935"/>
      <c r="O152" s="1092"/>
      <c r="Q152" s="914"/>
      <c r="R152" s="831"/>
    </row>
    <row r="153" customFormat="false" ht="13.75" hidden="false" customHeight="true" outlineLevel="0" collapsed="false">
      <c r="A153" s="446"/>
      <c r="B153" s="894" t="s">
        <v>321</v>
      </c>
      <c r="C153" s="845" t="s">
        <v>258</v>
      </c>
      <c r="D153" s="114"/>
      <c r="E153" s="891" t="s">
        <v>147</v>
      </c>
      <c r="F153" s="839"/>
      <c r="G153" s="29"/>
      <c r="H153" s="32"/>
      <c r="I153" s="911"/>
      <c r="J153" s="32"/>
      <c r="K153" s="1037"/>
      <c r="L153" s="1037"/>
      <c r="M153" s="935"/>
      <c r="N153" s="935" t="s">
        <v>322</v>
      </c>
      <c r="O153" s="996"/>
      <c r="Q153" s="914" t="s">
        <v>323</v>
      </c>
      <c r="R153" s="1082" t="n">
        <v>0.0147515</v>
      </c>
    </row>
    <row r="154" customFormat="false" ht="13" hidden="false" customHeight="false" outlineLevel="0" collapsed="false">
      <c r="A154" s="446" t="s">
        <v>72</v>
      </c>
      <c r="B154" s="898"/>
      <c r="C154" s="900"/>
      <c r="D154" s="899"/>
      <c r="E154" s="903" t="n">
        <f aca="false">SUMPRODUCT($B10:$B149,E10:E149)/SUM($B10:$B149)</f>
        <v>-0.0169331194965574</v>
      </c>
      <c r="F154" s="901"/>
      <c r="G154" s="1093"/>
      <c r="H154" s="1094"/>
      <c r="I154" s="1095"/>
      <c r="J154" s="1094"/>
      <c r="K154" s="1032"/>
      <c r="L154" s="1032"/>
      <c r="M154" s="1093"/>
      <c r="N154" s="1034" t="n">
        <f aca="false">SUMPRODUCT(O10:O149,B10:B149)/SUM(B10:B149)</f>
        <v>-0.00129568540219433</v>
      </c>
      <c r="O154" s="996"/>
      <c r="Q154" s="1096" t="s">
        <v>320</v>
      </c>
      <c r="R154" s="1097" t="n">
        <f aca="false">G89*(1+H90)/(1+C90)/G90</f>
        <v>1.00000320196199</v>
      </c>
    </row>
    <row r="155" customFormat="false" ht="12" hidden="false" customHeight="false" outlineLevel="0" collapsed="false">
      <c r="A155" s="446"/>
      <c r="B155" s="894"/>
      <c r="C155" s="845"/>
      <c r="D155" s="32"/>
      <c r="E155" s="891"/>
      <c r="F155" s="1006"/>
      <c r="G155" s="29"/>
      <c r="H155" s="913"/>
      <c r="I155" s="1098"/>
      <c r="J155" s="913"/>
      <c r="K155" s="1037"/>
      <c r="L155" s="1037"/>
      <c r="M155" s="909"/>
      <c r="N155" s="935"/>
      <c r="O155" s="996"/>
    </row>
    <row r="156" customFormat="false" ht="12" hidden="false" customHeight="false" outlineLevel="0" collapsed="false">
      <c r="A156" s="446" t="s">
        <v>75</v>
      </c>
      <c r="B156" s="894"/>
      <c r="C156" s="845"/>
      <c r="D156" s="32"/>
      <c r="E156" s="891"/>
      <c r="F156" s="839"/>
      <c r="G156" s="29"/>
      <c r="H156" s="913"/>
      <c r="I156" s="1098"/>
      <c r="J156" s="913"/>
      <c r="K156" s="1037"/>
      <c r="L156" s="1037"/>
      <c r="M156" s="909"/>
      <c r="N156" s="918" t="n">
        <f aca="false">SUMPRODUCT(O50:O89,B50:B89)/SUM(B50:B89)</f>
        <v>-0.0122235509732914</v>
      </c>
      <c r="O156" s="996"/>
    </row>
    <row r="157" customFormat="false" ht="12" hidden="false" customHeight="false" outlineLevel="0" collapsed="false">
      <c r="A157" s="446"/>
      <c r="B157" s="916"/>
      <c r="C157" s="393"/>
      <c r="D157" s="32"/>
      <c r="E157" s="387"/>
      <c r="F157" s="397"/>
      <c r="G157" s="29"/>
      <c r="H157" s="684"/>
      <c r="I157" s="1099"/>
      <c r="J157" s="684"/>
      <c r="K157" s="1037"/>
      <c r="L157" s="1037"/>
      <c r="M157" s="915"/>
      <c r="N157" s="935"/>
      <c r="O157" s="996"/>
    </row>
    <row r="158" customFormat="false" ht="12" hidden="false" customHeight="false" outlineLevel="0" collapsed="false">
      <c r="A158" s="446" t="s">
        <v>74</v>
      </c>
      <c r="B158" s="919"/>
      <c r="C158" s="920"/>
      <c r="D158" s="32"/>
      <c r="E158" s="891"/>
      <c r="F158" s="1006"/>
      <c r="G158" s="29"/>
      <c r="H158" s="913"/>
      <c r="I158" s="1098"/>
      <c r="J158" s="913"/>
      <c r="K158" s="1037"/>
      <c r="L158" s="1037"/>
      <c r="M158" s="915"/>
      <c r="N158" s="387" t="n">
        <f aca="false">SUMPRODUCT(O50:O149,B50:B149)/SUM(B50:B149)</f>
        <v>-0.00136956911662102</v>
      </c>
      <c r="O158" s="996"/>
    </row>
    <row r="159" customFormat="false" ht="13" hidden="false" customHeight="false" outlineLevel="0" collapsed="false">
      <c r="A159" s="449"/>
      <c r="B159" s="950"/>
      <c r="C159" s="952"/>
      <c r="D159" s="1100"/>
      <c r="E159" s="458"/>
      <c r="F159" s="1013"/>
      <c r="G159" s="1101"/>
      <c r="H159" s="1101"/>
      <c r="I159" s="1102"/>
      <c r="J159" s="1101"/>
      <c r="K159" s="1101"/>
      <c r="L159" s="1101"/>
      <c r="M159" s="1101"/>
      <c r="N159" s="1087"/>
      <c r="O159" s="1015"/>
    </row>
    <row r="160" customFormat="false" ht="13" hidden="false" customHeight="false" outlineLevel="0" collapsed="false">
      <c r="A160" s="31"/>
      <c r="B160" s="461"/>
      <c r="C160" s="114"/>
      <c r="D160" s="114"/>
      <c r="E160" s="418"/>
      <c r="F160" s="912"/>
      <c r="M160" s="948"/>
      <c r="N160" s="935"/>
      <c r="O160" s="29"/>
    </row>
    <row r="161" customFormat="false" ht="12" hidden="false" customHeight="false" outlineLevel="0" collapsed="false">
      <c r="A161" s="31"/>
      <c r="B161" s="462"/>
      <c r="C161" s="433"/>
      <c r="D161" s="891"/>
      <c r="E161" s="418"/>
      <c r="F161" s="433"/>
      <c r="N161" s="935"/>
      <c r="O161" s="918"/>
    </row>
    <row r="162" customFormat="false" ht="12" hidden="false" customHeight="false" outlineLevel="0" collapsed="false">
      <c r="A162" s="31"/>
      <c r="B162" s="464"/>
      <c r="C162" s="25"/>
      <c r="D162" s="114"/>
      <c r="E162" s="113"/>
      <c r="F162" s="912"/>
      <c r="N162" s="465"/>
      <c r="O162" s="922"/>
    </row>
    <row r="163" customFormat="false" ht="12" hidden="false" customHeight="false" outlineLevel="0" collapsed="false">
      <c r="B163" s="130"/>
      <c r="C163" s="25"/>
      <c r="D163" s="130"/>
      <c r="E163" s="25"/>
      <c r="F163" s="130"/>
      <c r="N163" s="465"/>
      <c r="O163" s="922"/>
    </row>
    <row r="164" customFormat="false" ht="12" hidden="false" customHeight="false" outlineLevel="0" collapsed="false">
      <c r="B164" s="130"/>
      <c r="C164" s="25"/>
      <c r="D164" s="130"/>
      <c r="E164" s="25"/>
      <c r="F164" s="130"/>
      <c r="M164" s="846"/>
      <c r="N164" s="935"/>
      <c r="O164" s="29"/>
    </row>
    <row r="165" customFormat="false" ht="12" hidden="false" customHeight="false" outlineLevel="0" collapsed="false">
      <c r="B165" s="130"/>
      <c r="C165" s="130"/>
      <c r="D165" s="130"/>
      <c r="E165" s="158"/>
      <c r="F165" s="130"/>
      <c r="M165" s="846"/>
      <c r="N165" s="935"/>
      <c r="O165" s="29"/>
    </row>
    <row r="166" customFormat="false" ht="12" hidden="false" customHeight="false" outlineLevel="0" collapsed="false">
      <c r="B166" s="130"/>
      <c r="C166" s="130"/>
      <c r="D166" s="130"/>
      <c r="E166" s="130"/>
      <c r="F166" s="130"/>
      <c r="M166" s="846"/>
      <c r="N166" s="935"/>
      <c r="O166" s="29"/>
    </row>
    <row r="167" customFormat="false" ht="12" hidden="false" customHeight="false" outlineLevel="0" collapsed="false">
      <c r="B167" s="130"/>
      <c r="C167" s="130"/>
      <c r="D167" s="130"/>
      <c r="E167" s="130"/>
      <c r="F167" s="130"/>
      <c r="N167" s="465"/>
      <c r="O167" s="922"/>
    </row>
    <row r="168" customFormat="false" ht="12" hidden="false" customHeight="false" outlineLevel="0" collapsed="false">
      <c r="B168" s="130"/>
      <c r="C168" s="130"/>
      <c r="D168" s="130"/>
      <c r="E168" s="130"/>
      <c r="F168" s="130"/>
      <c r="N168" s="465"/>
      <c r="O168" s="922"/>
    </row>
    <row r="169" customFormat="false" ht="12" hidden="false" customHeight="false" outlineLevel="0" collapsed="false">
      <c r="B169" s="130"/>
      <c r="C169" s="130"/>
      <c r="D169" s="130"/>
      <c r="E169" s="960"/>
      <c r="F169" s="130"/>
      <c r="N169" s="465"/>
      <c r="O169" s="922"/>
    </row>
    <row r="170" customFormat="false" ht="12" hidden="false" customHeight="false" outlineLevel="0" collapsed="false">
      <c r="F170" s="130"/>
      <c r="N170" s="465"/>
      <c r="O170" s="922"/>
    </row>
    <row r="171" customFormat="false" ht="12" hidden="false" customHeight="false" outlineLevel="0" collapsed="false">
      <c r="B171" s="130"/>
      <c r="C171" s="25"/>
      <c r="D171" s="130"/>
      <c r="E171" s="25"/>
      <c r="F171" s="130"/>
      <c r="N171" s="465"/>
      <c r="O171" s="922"/>
    </row>
    <row r="172" customFormat="false" ht="12" hidden="false" customHeight="false" outlineLevel="0" collapsed="false">
      <c r="B172" s="130"/>
      <c r="C172" s="25"/>
      <c r="D172" s="130"/>
      <c r="E172" s="158"/>
      <c r="F172" s="130"/>
      <c r="N172" s="465"/>
      <c r="O172" s="922"/>
    </row>
    <row r="173" customFormat="false" ht="12" hidden="false" customHeight="false" outlineLevel="0" collapsed="false">
      <c r="B173" s="130"/>
      <c r="C173" s="130"/>
      <c r="D173" s="130"/>
      <c r="E173" s="130"/>
      <c r="F173" s="130"/>
      <c r="N173" s="465"/>
      <c r="O173" s="465"/>
    </row>
    <row r="174" customFormat="false" ht="12" hidden="false" customHeight="false" outlineLevel="0" collapsed="false">
      <c r="B174" s="130"/>
      <c r="C174" s="130"/>
      <c r="D174" s="130"/>
      <c r="E174" s="130"/>
      <c r="F174" s="130"/>
      <c r="N174" s="465"/>
      <c r="O174" s="918"/>
    </row>
    <row r="175" customFormat="false" ht="12" hidden="false" customHeight="false" outlineLevel="0" collapsed="false">
      <c r="B175" s="130"/>
      <c r="C175" s="25"/>
      <c r="D175" s="130"/>
      <c r="E175" s="25"/>
      <c r="F175" s="130"/>
      <c r="N175" s="465"/>
      <c r="O175" s="922"/>
    </row>
    <row r="176" customFormat="false" ht="12" hidden="false" customHeight="false" outlineLevel="0" collapsed="false">
      <c r="B176" s="130"/>
      <c r="C176" s="130"/>
      <c r="D176" s="130"/>
      <c r="E176" s="158"/>
      <c r="F176" s="130"/>
      <c r="N176" s="465"/>
      <c r="O176" s="465"/>
    </row>
    <row r="177" customFormat="false" ht="12" hidden="false" customHeight="false" outlineLevel="0" collapsed="false">
      <c r="B177" s="130"/>
      <c r="C177" s="130"/>
      <c r="D177" s="130"/>
      <c r="E177" s="130"/>
      <c r="F177" s="130"/>
      <c r="G177" s="29"/>
      <c r="H177" s="29"/>
      <c r="I177" s="29"/>
      <c r="J177" s="29"/>
      <c r="K177" s="29"/>
      <c r="L177" s="29"/>
      <c r="N177" s="465"/>
      <c r="O177" s="918"/>
    </row>
    <row r="178" customFormat="false" ht="12" hidden="false" customHeight="false" outlineLevel="0" collapsed="false">
      <c r="A178" s="32"/>
      <c r="B178" s="461"/>
      <c r="C178" s="466"/>
      <c r="D178" s="114"/>
      <c r="E178" s="466"/>
      <c r="F178" s="912"/>
      <c r="G178" s="29"/>
      <c r="H178" s="29"/>
      <c r="I178" s="29"/>
      <c r="J178" s="29"/>
      <c r="K178" s="29"/>
      <c r="L178" s="29"/>
      <c r="N178" s="465"/>
      <c r="O178" s="922"/>
    </row>
    <row r="179" customFormat="false" ht="12" hidden="false" customHeight="false" outlineLevel="0" collapsed="false">
      <c r="G179" s="114"/>
      <c r="H179" s="114"/>
      <c r="I179" s="114"/>
      <c r="J179" s="114"/>
      <c r="K179" s="114"/>
      <c r="L179" s="114"/>
      <c r="M179" s="197"/>
      <c r="N179" s="465"/>
      <c r="O179" s="29"/>
    </row>
    <row r="180" customFormat="false" ht="12" hidden="false" customHeight="false" outlineLevel="0" collapsed="false">
      <c r="M180" s="197"/>
      <c r="N180" s="465"/>
      <c r="O180" s="29"/>
    </row>
    <row r="181" customFormat="false" ht="12" hidden="false" customHeight="false" outlineLevel="0" collapsed="false">
      <c r="M181" s="197"/>
      <c r="N181" s="465"/>
      <c r="O181" s="29"/>
    </row>
    <row r="182" customFormat="false" ht="12" hidden="false" customHeight="false" outlineLevel="0" collapsed="false">
      <c r="M182" s="197"/>
      <c r="N182" s="465"/>
      <c r="O182" s="29"/>
    </row>
    <row r="183" customFormat="false" ht="12" hidden="false" customHeight="false" outlineLevel="0" collapsed="false">
      <c r="M183" s="197"/>
      <c r="N183" s="197"/>
    </row>
    <row r="184" customFormat="false" ht="12" hidden="false" customHeight="false" outlineLevel="0" collapsed="false">
      <c r="G184" s="197"/>
      <c r="H184" s="197"/>
      <c r="I184" s="197"/>
      <c r="J184" s="197"/>
      <c r="K184" s="197"/>
      <c r="L184" s="197"/>
      <c r="M184" s="197"/>
      <c r="N184" s="197"/>
    </row>
    <row r="185" customFormat="false" ht="12" hidden="false" customHeight="false" outlineLevel="0" collapsed="false">
      <c r="G185" s="197"/>
      <c r="H185" s="197"/>
      <c r="I185" s="197"/>
      <c r="J185" s="197"/>
      <c r="K185" s="197"/>
      <c r="L185" s="197"/>
      <c r="M185" s="197"/>
      <c r="N185" s="197"/>
    </row>
    <row r="186" customFormat="false" ht="12" hidden="false" customHeight="false" outlineLevel="0" collapsed="false">
      <c r="G186" s="197"/>
      <c r="H186" s="197"/>
      <c r="I186" s="197"/>
      <c r="J186" s="197"/>
      <c r="K186" s="197"/>
      <c r="L186" s="197"/>
      <c r="M186" s="197"/>
      <c r="N186" s="197"/>
    </row>
    <row r="187" customFormat="false" ht="12" hidden="false" customHeight="false" outlineLevel="0" collapsed="false">
      <c r="G187" s="197"/>
      <c r="H187" s="197"/>
      <c r="I187" s="197"/>
      <c r="J187" s="197"/>
      <c r="K187" s="197"/>
      <c r="L187" s="197"/>
      <c r="M187" s="197"/>
      <c r="N187" s="197"/>
    </row>
    <row r="188" customFormat="false" ht="12" hidden="false" customHeight="false" outlineLevel="0" collapsed="false">
      <c r="G188" s="197"/>
      <c r="H188" s="197"/>
      <c r="I188" s="197"/>
      <c r="J188" s="197"/>
      <c r="K188" s="197"/>
      <c r="L188" s="197"/>
      <c r="M188" s="197"/>
      <c r="N188" s="197"/>
    </row>
    <row r="189" customFormat="false" ht="12" hidden="false" customHeight="false" outlineLevel="0" collapsed="false">
      <c r="G189" s="197"/>
      <c r="H189" s="197"/>
      <c r="I189" s="197"/>
      <c r="J189" s="197"/>
      <c r="K189" s="197"/>
      <c r="L189" s="197"/>
      <c r="M189" s="197"/>
      <c r="N189" s="197"/>
    </row>
    <row r="190" customFormat="false" ht="12" hidden="false" customHeight="false" outlineLevel="0" collapsed="false">
      <c r="G190" s="197"/>
      <c r="H190" s="197"/>
      <c r="I190" s="197"/>
      <c r="J190" s="197"/>
      <c r="K190" s="197"/>
      <c r="L190" s="197"/>
      <c r="M190" s="197"/>
      <c r="N190" s="197"/>
    </row>
    <row r="191" customFormat="false" ht="12" hidden="false" customHeight="false" outlineLevel="0" collapsed="false">
      <c r="G191" s="197"/>
      <c r="H191" s="197"/>
      <c r="I191" s="197"/>
      <c r="J191" s="197"/>
      <c r="K191" s="197"/>
      <c r="L191" s="197"/>
      <c r="M191" s="197"/>
      <c r="N191" s="197"/>
    </row>
    <row r="192" customFormat="false" ht="12" hidden="false" customHeight="false" outlineLevel="0" collapsed="false">
      <c r="G192" s="197"/>
      <c r="H192" s="197"/>
      <c r="I192" s="197"/>
      <c r="J192" s="197"/>
      <c r="K192" s="197"/>
      <c r="L192" s="197"/>
      <c r="M192" s="197"/>
      <c r="N192" s="197"/>
    </row>
    <row r="193" customFormat="false" ht="12" hidden="false" customHeight="false" outlineLevel="0" collapsed="false">
      <c r="G193" s="197"/>
      <c r="H193" s="197"/>
      <c r="I193" s="197"/>
      <c r="J193" s="197"/>
      <c r="K193" s="197"/>
      <c r="L193" s="197"/>
      <c r="M193" s="197"/>
      <c r="N193" s="197"/>
    </row>
    <row r="194" customFormat="false" ht="12" hidden="false" customHeight="false" outlineLevel="0" collapsed="false">
      <c r="B194" s="130"/>
      <c r="C194" s="130"/>
      <c r="D194" s="130"/>
      <c r="E194" s="130"/>
      <c r="F194" s="130"/>
      <c r="G194" s="197"/>
      <c r="H194" s="197"/>
      <c r="I194" s="197"/>
      <c r="J194" s="197"/>
      <c r="K194" s="197"/>
      <c r="L194" s="197"/>
      <c r="M194" s="197"/>
      <c r="N194" s="197"/>
    </row>
    <row r="195" customFormat="false" ht="12" hidden="false" customHeight="false" outlineLevel="0" collapsed="false">
      <c r="B195" s="130"/>
      <c r="C195" s="130"/>
      <c r="D195" s="130"/>
      <c r="E195" s="130"/>
      <c r="F195" s="130"/>
      <c r="G195" s="197"/>
      <c r="H195" s="197"/>
      <c r="I195" s="197"/>
      <c r="J195" s="197"/>
      <c r="K195" s="197"/>
      <c r="L195" s="197"/>
      <c r="M195" s="197"/>
      <c r="N195" s="197"/>
    </row>
    <row r="196" customFormat="false" ht="12" hidden="false" customHeight="false" outlineLevel="0" collapsed="false">
      <c r="B196" s="130"/>
      <c r="C196" s="130"/>
      <c r="D196" s="130"/>
      <c r="E196" s="130"/>
      <c r="F196" s="130"/>
      <c r="G196" s="197"/>
      <c r="H196" s="197"/>
      <c r="I196" s="197"/>
      <c r="J196" s="197"/>
      <c r="K196" s="197"/>
      <c r="L196" s="197"/>
      <c r="M196" s="197"/>
      <c r="N196" s="197"/>
    </row>
    <row r="197" customFormat="false" ht="12" hidden="false" customHeight="false" outlineLevel="0" collapsed="false">
      <c r="B197" s="130"/>
      <c r="C197" s="130"/>
      <c r="D197" s="130"/>
      <c r="E197" s="130"/>
      <c r="F197" s="130"/>
      <c r="G197" s="197"/>
      <c r="H197" s="197"/>
      <c r="I197" s="197"/>
      <c r="J197" s="197"/>
      <c r="K197" s="197"/>
      <c r="L197" s="197"/>
      <c r="M197" s="197"/>
      <c r="N197" s="197"/>
    </row>
    <row r="198" customFormat="false" ht="12" hidden="false" customHeight="false" outlineLevel="0" collapsed="false">
      <c r="B198" s="130"/>
      <c r="C198" s="130"/>
      <c r="D198" s="130"/>
      <c r="E198" s="130"/>
      <c r="F198" s="130"/>
      <c r="G198" s="197"/>
      <c r="H198" s="197"/>
      <c r="I198" s="197"/>
      <c r="J198" s="197"/>
      <c r="K198" s="197"/>
      <c r="L198" s="197"/>
      <c r="M198" s="197"/>
      <c r="N198" s="197"/>
    </row>
    <row r="199" customFormat="false" ht="12" hidden="false" customHeight="false" outlineLevel="0" collapsed="false">
      <c r="B199" s="130"/>
      <c r="C199" s="130"/>
      <c r="D199" s="130"/>
      <c r="E199" s="130"/>
      <c r="F199" s="130"/>
      <c r="G199" s="197"/>
      <c r="H199" s="197"/>
      <c r="I199" s="197"/>
      <c r="J199" s="197"/>
      <c r="K199" s="197"/>
      <c r="L199" s="197"/>
      <c r="M199" s="197"/>
      <c r="N199" s="197"/>
    </row>
    <row r="200" customFormat="false" ht="12" hidden="false" customHeight="false" outlineLevel="0" collapsed="false">
      <c r="B200" s="130"/>
      <c r="C200" s="130"/>
      <c r="D200" s="130"/>
      <c r="E200" s="130"/>
      <c r="F200" s="130"/>
      <c r="G200" s="197"/>
      <c r="H200" s="197"/>
      <c r="I200" s="197"/>
      <c r="J200" s="197"/>
      <c r="K200" s="197"/>
      <c r="L200" s="197"/>
      <c r="M200" s="197"/>
      <c r="N200" s="197"/>
    </row>
    <row r="201" customFormat="false" ht="12" hidden="false" customHeight="false" outlineLevel="0" collapsed="false">
      <c r="B201" s="130"/>
      <c r="C201" s="130"/>
      <c r="D201" s="130"/>
      <c r="E201" s="130"/>
      <c r="F201" s="130"/>
      <c r="G201" s="197"/>
      <c r="H201" s="197"/>
      <c r="I201" s="197"/>
      <c r="J201" s="197"/>
      <c r="K201" s="197"/>
      <c r="L201" s="197"/>
      <c r="M201" s="197"/>
      <c r="N201" s="197"/>
    </row>
    <row r="202" customFormat="false" ht="12" hidden="false" customHeight="false" outlineLevel="0" collapsed="false">
      <c r="B202" s="130"/>
      <c r="C202" s="130"/>
      <c r="D202" s="130"/>
      <c r="E202" s="130"/>
      <c r="F202" s="130"/>
      <c r="G202" s="197"/>
      <c r="H202" s="197"/>
      <c r="I202" s="197"/>
      <c r="J202" s="197"/>
      <c r="K202" s="197"/>
      <c r="L202" s="197"/>
      <c r="M202" s="197"/>
      <c r="N202" s="197"/>
    </row>
    <row r="203" customFormat="false" ht="12" hidden="false" customHeight="false" outlineLevel="0" collapsed="false">
      <c r="B203" s="130"/>
      <c r="C203" s="130"/>
      <c r="D203" s="130"/>
      <c r="E203" s="130"/>
      <c r="F203" s="130"/>
      <c r="G203" s="197"/>
      <c r="H203" s="197"/>
      <c r="I203" s="197"/>
      <c r="J203" s="197"/>
      <c r="K203" s="197"/>
      <c r="L203" s="197"/>
      <c r="M203" s="197"/>
      <c r="N203" s="197"/>
    </row>
    <row r="204" customFormat="false" ht="12" hidden="false" customHeight="false" outlineLevel="0" collapsed="false">
      <c r="B204" s="130"/>
      <c r="C204" s="130"/>
      <c r="D204" s="130"/>
      <c r="E204" s="130"/>
      <c r="F204" s="130"/>
      <c r="G204" s="197"/>
      <c r="H204" s="197"/>
      <c r="I204" s="197"/>
      <c r="J204" s="197"/>
      <c r="K204" s="197"/>
      <c r="L204" s="197"/>
      <c r="M204" s="197"/>
      <c r="N204" s="197"/>
    </row>
    <row r="205" customFormat="false" ht="12" hidden="false" customHeight="false" outlineLevel="0" collapsed="false">
      <c r="B205" s="130"/>
      <c r="C205" s="130"/>
      <c r="D205" s="130"/>
      <c r="E205" s="130"/>
      <c r="F205" s="130"/>
      <c r="G205" s="197"/>
      <c r="H205" s="197"/>
      <c r="I205" s="197"/>
      <c r="J205" s="197"/>
      <c r="K205" s="197"/>
      <c r="L205" s="197"/>
      <c r="M205" s="197"/>
      <c r="N205" s="197"/>
    </row>
    <row r="206" customFormat="false" ht="12" hidden="false" customHeight="false" outlineLevel="0" collapsed="false">
      <c r="B206" s="130"/>
      <c r="C206" s="130"/>
      <c r="D206" s="130"/>
      <c r="E206" s="130"/>
      <c r="F206" s="130"/>
      <c r="G206" s="197"/>
      <c r="H206" s="197"/>
      <c r="I206" s="197"/>
      <c r="J206" s="197"/>
      <c r="K206" s="197"/>
      <c r="L206" s="197"/>
      <c r="M206" s="197"/>
      <c r="N206" s="197"/>
    </row>
    <row r="207" customFormat="false" ht="12" hidden="false" customHeight="false" outlineLevel="0" collapsed="false">
      <c r="B207" s="130"/>
      <c r="C207" s="130"/>
      <c r="D207" s="130"/>
      <c r="E207" s="130"/>
      <c r="F207" s="130"/>
      <c r="G207" s="197"/>
      <c r="H207" s="197"/>
      <c r="I207" s="197"/>
      <c r="J207" s="197"/>
      <c r="K207" s="197"/>
      <c r="L207" s="197"/>
      <c r="M207" s="197"/>
      <c r="N207" s="197"/>
    </row>
    <row r="208" customFormat="false" ht="12" hidden="false" customHeight="false" outlineLevel="0" collapsed="false">
      <c r="B208" s="130"/>
      <c r="C208" s="130"/>
      <c r="D208" s="130"/>
      <c r="E208" s="130"/>
      <c r="F208" s="130"/>
      <c r="G208" s="197"/>
      <c r="H208" s="197"/>
      <c r="I208" s="197"/>
      <c r="J208" s="197"/>
      <c r="K208" s="197"/>
      <c r="L208" s="197"/>
      <c r="M208" s="197"/>
      <c r="N208" s="197"/>
    </row>
    <row r="209" customFormat="false" ht="12" hidden="false" customHeight="false" outlineLevel="0" collapsed="false">
      <c r="B209" s="130"/>
      <c r="C209" s="130"/>
      <c r="D209" s="130"/>
      <c r="E209" s="130"/>
      <c r="F209" s="130"/>
      <c r="G209" s="197"/>
      <c r="H209" s="197"/>
      <c r="I209" s="197"/>
      <c r="J209" s="197"/>
      <c r="K209" s="197"/>
      <c r="L209" s="197"/>
      <c r="M209" s="197"/>
      <c r="N209" s="197"/>
    </row>
    <row r="210" customFormat="false" ht="12" hidden="false" customHeight="false" outlineLevel="0" collapsed="false">
      <c r="B210" s="130"/>
      <c r="C210" s="130"/>
      <c r="D210" s="130"/>
      <c r="E210" s="130"/>
      <c r="F210" s="130"/>
      <c r="G210" s="197"/>
      <c r="H210" s="197"/>
      <c r="I210" s="197"/>
      <c r="J210" s="197"/>
      <c r="K210" s="197"/>
      <c r="L210" s="197"/>
      <c r="M210" s="197"/>
      <c r="N210" s="197"/>
    </row>
    <row r="211" customFormat="false" ht="12" hidden="false" customHeight="false" outlineLevel="0" collapsed="false">
      <c r="B211" s="130"/>
      <c r="C211" s="130"/>
      <c r="D211" s="130"/>
      <c r="E211" s="130"/>
      <c r="F211" s="130"/>
      <c r="G211" s="197"/>
      <c r="H211" s="197"/>
      <c r="I211" s="197"/>
      <c r="J211" s="197"/>
      <c r="K211" s="197"/>
      <c r="L211" s="197"/>
      <c r="M211" s="197"/>
      <c r="N211" s="197"/>
    </row>
    <row r="212" customFormat="false" ht="12" hidden="false" customHeight="false" outlineLevel="0" collapsed="false">
      <c r="B212" s="130"/>
      <c r="C212" s="130"/>
      <c r="D212" s="130"/>
      <c r="E212" s="130"/>
      <c r="F212" s="130"/>
      <c r="G212" s="197"/>
      <c r="H212" s="197"/>
      <c r="I212" s="197"/>
      <c r="J212" s="197"/>
      <c r="K212" s="197"/>
      <c r="L212" s="197"/>
      <c r="M212" s="197"/>
      <c r="N212" s="197"/>
    </row>
    <row r="213" customFormat="false" ht="12" hidden="false" customHeight="false" outlineLevel="0" collapsed="false">
      <c r="B213" s="130"/>
      <c r="C213" s="130"/>
      <c r="D213" s="130"/>
      <c r="E213" s="130"/>
      <c r="F213" s="130"/>
      <c r="G213" s="197"/>
      <c r="H213" s="197"/>
      <c r="I213" s="197"/>
      <c r="J213" s="197"/>
      <c r="K213" s="197"/>
      <c r="L213" s="197"/>
      <c r="M213" s="197"/>
      <c r="N213" s="197"/>
    </row>
    <row r="214" customFormat="false" ht="12" hidden="false" customHeight="false" outlineLevel="0" collapsed="false">
      <c r="B214" s="130"/>
      <c r="C214" s="130"/>
      <c r="D214" s="130"/>
      <c r="E214" s="130"/>
      <c r="F214" s="130"/>
      <c r="G214" s="197"/>
      <c r="H214" s="197"/>
      <c r="I214" s="197"/>
      <c r="J214" s="197"/>
      <c r="K214" s="197"/>
      <c r="L214" s="197"/>
      <c r="M214" s="197"/>
      <c r="N214" s="197"/>
    </row>
    <row r="215" customFormat="false" ht="12" hidden="false" customHeight="false" outlineLevel="0" collapsed="false">
      <c r="B215" s="130"/>
      <c r="C215" s="130"/>
      <c r="D215" s="130"/>
      <c r="E215" s="130"/>
      <c r="F215" s="130"/>
      <c r="G215" s="197"/>
      <c r="H215" s="197"/>
      <c r="I215" s="197"/>
      <c r="J215" s="197"/>
      <c r="K215" s="197"/>
      <c r="L215" s="197"/>
      <c r="M215" s="197"/>
      <c r="N215" s="197"/>
    </row>
    <row r="216" customFormat="false" ht="12" hidden="false" customHeight="false" outlineLevel="0" collapsed="false">
      <c r="B216" s="130"/>
      <c r="C216" s="130"/>
      <c r="D216" s="130"/>
      <c r="E216" s="130"/>
      <c r="F216" s="130"/>
      <c r="G216" s="197"/>
      <c r="H216" s="197"/>
      <c r="I216" s="197"/>
      <c r="J216" s="197"/>
      <c r="K216" s="197"/>
      <c r="L216" s="197"/>
      <c r="M216" s="197"/>
      <c r="N216" s="197"/>
    </row>
    <row r="217" customFormat="false" ht="12" hidden="false" customHeight="false" outlineLevel="0" collapsed="false">
      <c r="B217" s="130"/>
      <c r="C217" s="130"/>
      <c r="D217" s="130"/>
      <c r="E217" s="130"/>
      <c r="F217" s="130"/>
      <c r="G217" s="197"/>
      <c r="H217" s="197"/>
      <c r="I217" s="197"/>
      <c r="J217" s="197"/>
      <c r="K217" s="197"/>
      <c r="L217" s="197"/>
      <c r="M217" s="197"/>
      <c r="N217" s="197"/>
    </row>
    <row r="218" customFormat="false" ht="12" hidden="false" customHeight="false" outlineLevel="0" collapsed="false">
      <c r="B218" s="130"/>
      <c r="C218" s="130"/>
      <c r="D218" s="130"/>
      <c r="E218" s="130"/>
      <c r="F218" s="130"/>
      <c r="G218" s="197"/>
      <c r="H218" s="197"/>
      <c r="I218" s="197"/>
      <c r="J218" s="197"/>
      <c r="K218" s="197"/>
      <c r="L218" s="197"/>
      <c r="M218" s="197"/>
      <c r="N218" s="197"/>
    </row>
    <row r="219" customFormat="false" ht="12" hidden="false" customHeight="false" outlineLevel="0" collapsed="false">
      <c r="B219" s="130"/>
      <c r="C219" s="130"/>
      <c r="D219" s="130"/>
      <c r="E219" s="130"/>
      <c r="F219" s="130"/>
      <c r="G219" s="197"/>
      <c r="H219" s="197"/>
      <c r="I219" s="197"/>
      <c r="J219" s="197"/>
      <c r="K219" s="197"/>
      <c r="L219" s="197"/>
      <c r="M219" s="197"/>
      <c r="N219" s="197"/>
    </row>
    <row r="220" customFormat="false" ht="12" hidden="false" customHeight="false" outlineLevel="0" collapsed="false">
      <c r="B220" s="130"/>
      <c r="C220" s="130"/>
      <c r="D220" s="130"/>
      <c r="E220" s="130"/>
      <c r="F220" s="130"/>
      <c r="G220" s="197"/>
      <c r="H220" s="197"/>
      <c r="I220" s="197"/>
      <c r="J220" s="197"/>
      <c r="K220" s="197"/>
      <c r="L220" s="197"/>
      <c r="M220" s="197"/>
      <c r="N220" s="197"/>
    </row>
    <row r="221" customFormat="false" ht="12" hidden="false" customHeight="false" outlineLevel="0" collapsed="false">
      <c r="B221" s="130"/>
      <c r="C221" s="130"/>
      <c r="D221" s="130"/>
      <c r="E221" s="130"/>
      <c r="F221" s="130"/>
      <c r="G221" s="197"/>
      <c r="H221" s="197"/>
      <c r="I221" s="197"/>
      <c r="J221" s="197"/>
      <c r="K221" s="197"/>
      <c r="L221" s="197"/>
      <c r="M221" s="197"/>
      <c r="N221" s="197"/>
    </row>
    <row r="222" customFormat="false" ht="12" hidden="false" customHeight="false" outlineLevel="0" collapsed="false">
      <c r="B222" s="130"/>
      <c r="C222" s="130"/>
      <c r="D222" s="130"/>
      <c r="E222" s="130"/>
      <c r="F222" s="130"/>
      <c r="G222" s="197"/>
      <c r="H222" s="197"/>
      <c r="I222" s="197"/>
      <c r="J222" s="197"/>
      <c r="K222" s="197"/>
      <c r="L222" s="197"/>
      <c r="M222" s="197"/>
      <c r="N222" s="197"/>
    </row>
    <row r="223" customFormat="false" ht="12" hidden="false" customHeight="false" outlineLevel="0" collapsed="false">
      <c r="B223" s="130"/>
      <c r="C223" s="130"/>
      <c r="D223" s="130"/>
      <c r="E223" s="130"/>
      <c r="F223" s="130"/>
      <c r="G223" s="197"/>
      <c r="H223" s="197"/>
      <c r="I223" s="197"/>
      <c r="J223" s="197"/>
      <c r="K223" s="197"/>
      <c r="L223" s="197"/>
      <c r="M223" s="197"/>
      <c r="N223" s="197"/>
    </row>
    <row r="224" customFormat="false" ht="12" hidden="false" customHeight="false" outlineLevel="0" collapsed="false">
      <c r="B224" s="130"/>
      <c r="C224" s="130"/>
      <c r="D224" s="130"/>
      <c r="E224" s="130"/>
      <c r="F224" s="130"/>
      <c r="G224" s="197"/>
      <c r="H224" s="197"/>
      <c r="I224" s="197"/>
      <c r="J224" s="197"/>
      <c r="K224" s="197"/>
      <c r="L224" s="197"/>
      <c r="M224" s="197"/>
      <c r="N224" s="197"/>
    </row>
    <row r="225" customFormat="false" ht="12" hidden="false" customHeight="false" outlineLevel="0" collapsed="false">
      <c r="B225" s="130"/>
      <c r="C225" s="130"/>
      <c r="D225" s="130"/>
      <c r="E225" s="130"/>
      <c r="F225" s="130"/>
      <c r="G225" s="197"/>
      <c r="H225" s="197"/>
      <c r="I225" s="197"/>
      <c r="J225" s="197"/>
      <c r="K225" s="197"/>
      <c r="L225" s="197"/>
      <c r="M225" s="197"/>
      <c r="N225" s="197"/>
    </row>
    <row r="226" customFormat="false" ht="12" hidden="false" customHeight="false" outlineLevel="0" collapsed="false">
      <c r="B226" s="130"/>
      <c r="C226" s="130"/>
      <c r="D226" s="130"/>
      <c r="E226" s="130"/>
      <c r="F226" s="130"/>
      <c r="G226" s="197"/>
      <c r="H226" s="197"/>
      <c r="I226" s="197"/>
      <c r="J226" s="197"/>
      <c r="K226" s="197"/>
      <c r="L226" s="197"/>
      <c r="M226" s="197"/>
      <c r="N226" s="197"/>
    </row>
    <row r="227" customFormat="false" ht="12" hidden="false" customHeight="false" outlineLevel="0" collapsed="false">
      <c r="B227" s="130"/>
      <c r="C227" s="130"/>
      <c r="D227" s="130"/>
      <c r="E227" s="130"/>
      <c r="F227" s="130"/>
      <c r="G227" s="197"/>
      <c r="H227" s="197"/>
      <c r="I227" s="197"/>
      <c r="J227" s="197"/>
      <c r="K227" s="197"/>
      <c r="L227" s="197"/>
      <c r="M227" s="197"/>
      <c r="N227" s="197"/>
    </row>
    <row r="228" customFormat="false" ht="12" hidden="false" customHeight="false" outlineLevel="0" collapsed="false">
      <c r="B228" s="130"/>
      <c r="C228" s="130"/>
      <c r="D228" s="130"/>
      <c r="E228" s="130"/>
      <c r="F228" s="130"/>
      <c r="G228" s="197"/>
      <c r="H228" s="197"/>
      <c r="I228" s="197"/>
      <c r="J228" s="197"/>
      <c r="K228" s="197"/>
      <c r="L228" s="197"/>
      <c r="M228" s="197"/>
      <c r="N228" s="197"/>
    </row>
    <row r="229" customFormat="false" ht="12" hidden="false" customHeight="false" outlineLevel="0" collapsed="false">
      <c r="B229" s="130"/>
      <c r="C229" s="130"/>
      <c r="D229" s="130"/>
      <c r="E229" s="130"/>
      <c r="F229" s="130"/>
      <c r="G229" s="197"/>
      <c r="H229" s="197"/>
      <c r="I229" s="197"/>
      <c r="J229" s="197"/>
      <c r="K229" s="197"/>
      <c r="L229" s="197"/>
      <c r="M229" s="197"/>
      <c r="N229" s="197"/>
    </row>
    <row r="230" customFormat="false" ht="12" hidden="false" customHeight="false" outlineLevel="0" collapsed="false">
      <c r="B230" s="130"/>
      <c r="C230" s="130"/>
      <c r="D230" s="130"/>
      <c r="E230" s="130"/>
      <c r="F230" s="130"/>
      <c r="G230" s="197"/>
      <c r="H230" s="197"/>
      <c r="I230" s="197"/>
      <c r="J230" s="197"/>
      <c r="K230" s="197"/>
      <c r="L230" s="197"/>
      <c r="M230" s="197"/>
      <c r="N230" s="197"/>
    </row>
    <row r="231" customFormat="false" ht="12" hidden="false" customHeight="false" outlineLevel="0" collapsed="false">
      <c r="B231" s="130"/>
      <c r="C231" s="130"/>
      <c r="D231" s="130"/>
      <c r="E231" s="130"/>
      <c r="F231" s="130"/>
      <c r="G231" s="197"/>
      <c r="H231" s="197"/>
      <c r="I231" s="197"/>
      <c r="J231" s="197"/>
      <c r="K231" s="197"/>
      <c r="L231" s="197"/>
      <c r="M231" s="197"/>
      <c r="N231" s="197"/>
    </row>
    <row r="232" customFormat="false" ht="12" hidden="false" customHeight="false" outlineLevel="0" collapsed="false">
      <c r="B232" s="130"/>
      <c r="C232" s="130"/>
      <c r="D232" s="130"/>
      <c r="E232" s="130"/>
      <c r="F232" s="130"/>
      <c r="G232" s="197"/>
      <c r="H232" s="197"/>
      <c r="I232" s="197"/>
      <c r="J232" s="197"/>
      <c r="K232" s="197"/>
      <c r="L232" s="197"/>
      <c r="M232" s="197"/>
      <c r="N232" s="197"/>
    </row>
    <row r="233" customFormat="false" ht="12" hidden="false" customHeight="false" outlineLevel="0" collapsed="false">
      <c r="B233" s="130"/>
      <c r="C233" s="130"/>
      <c r="D233" s="130"/>
      <c r="E233" s="130"/>
      <c r="F233" s="130"/>
      <c r="G233" s="197"/>
      <c r="H233" s="197"/>
      <c r="I233" s="197"/>
      <c r="J233" s="197"/>
      <c r="K233" s="197"/>
      <c r="L233" s="197"/>
      <c r="M233" s="197"/>
      <c r="N233" s="197"/>
    </row>
    <row r="234" customFormat="false" ht="12" hidden="false" customHeight="false" outlineLevel="0" collapsed="false">
      <c r="B234" s="130"/>
      <c r="C234" s="130"/>
      <c r="D234" s="130"/>
      <c r="E234" s="130"/>
      <c r="F234" s="130"/>
      <c r="G234" s="197"/>
      <c r="H234" s="197"/>
      <c r="I234" s="197"/>
      <c r="J234" s="197"/>
      <c r="K234" s="197"/>
      <c r="L234" s="197"/>
      <c r="M234" s="197"/>
      <c r="N234" s="197"/>
    </row>
    <row r="235" customFormat="false" ht="12" hidden="false" customHeight="false" outlineLevel="0" collapsed="false">
      <c r="B235" s="130"/>
      <c r="C235" s="130"/>
      <c r="D235" s="130"/>
      <c r="E235" s="130"/>
      <c r="F235" s="130"/>
      <c r="G235" s="197"/>
      <c r="H235" s="197"/>
      <c r="I235" s="197"/>
      <c r="J235" s="197"/>
      <c r="K235" s="197"/>
      <c r="L235" s="197"/>
      <c r="M235" s="197"/>
      <c r="N235" s="197"/>
    </row>
    <row r="236" customFormat="false" ht="12" hidden="false" customHeight="false" outlineLevel="0" collapsed="false">
      <c r="B236" s="130"/>
      <c r="C236" s="130"/>
      <c r="D236" s="130"/>
      <c r="E236" s="130"/>
      <c r="F236" s="130"/>
      <c r="G236" s="197"/>
      <c r="H236" s="197"/>
      <c r="I236" s="197"/>
      <c r="J236" s="197"/>
      <c r="K236" s="197"/>
      <c r="L236" s="197"/>
      <c r="M236" s="197"/>
      <c r="N236" s="197"/>
    </row>
    <row r="237" customFormat="false" ht="12" hidden="false" customHeight="false" outlineLevel="0" collapsed="false">
      <c r="B237" s="130"/>
      <c r="C237" s="130"/>
      <c r="D237" s="130"/>
      <c r="E237" s="130"/>
      <c r="F237" s="130"/>
      <c r="G237" s="197"/>
      <c r="H237" s="197"/>
      <c r="I237" s="197"/>
      <c r="J237" s="197"/>
      <c r="K237" s="197"/>
      <c r="L237" s="197"/>
      <c r="M237" s="197"/>
      <c r="N237" s="197"/>
    </row>
    <row r="238" customFormat="false" ht="12" hidden="false" customHeight="false" outlineLevel="0" collapsed="false">
      <c r="B238" s="130"/>
      <c r="C238" s="130"/>
      <c r="D238" s="130"/>
      <c r="E238" s="130"/>
      <c r="F238" s="130"/>
      <c r="G238" s="197"/>
      <c r="H238" s="197"/>
      <c r="I238" s="197"/>
      <c r="J238" s="197"/>
      <c r="K238" s="197"/>
      <c r="L238" s="197"/>
      <c r="M238" s="197"/>
      <c r="N238" s="197"/>
    </row>
    <row r="239" customFormat="false" ht="12" hidden="false" customHeight="false" outlineLevel="0" collapsed="false">
      <c r="B239" s="130"/>
      <c r="C239" s="130"/>
      <c r="D239" s="130"/>
      <c r="E239" s="130"/>
      <c r="F239" s="130"/>
      <c r="G239" s="197"/>
      <c r="H239" s="197"/>
      <c r="I239" s="197"/>
      <c r="J239" s="197"/>
      <c r="K239" s="197"/>
      <c r="L239" s="197"/>
      <c r="M239" s="197"/>
      <c r="N239" s="197"/>
    </row>
    <row r="240" customFormat="false" ht="12" hidden="false" customHeight="false" outlineLevel="0" collapsed="false">
      <c r="B240" s="130"/>
      <c r="C240" s="130"/>
      <c r="D240" s="130"/>
      <c r="E240" s="130"/>
      <c r="F240" s="130"/>
      <c r="G240" s="197"/>
      <c r="H240" s="197"/>
      <c r="I240" s="197"/>
      <c r="J240" s="197"/>
      <c r="K240" s="197"/>
      <c r="L240" s="197"/>
      <c r="M240" s="197"/>
      <c r="N240" s="197"/>
    </row>
    <row r="241" customFormat="false" ht="12" hidden="false" customHeight="false" outlineLevel="0" collapsed="false">
      <c r="B241" s="130"/>
      <c r="C241" s="130"/>
      <c r="D241" s="130"/>
      <c r="E241" s="130"/>
      <c r="F241" s="130"/>
      <c r="G241" s="197"/>
      <c r="H241" s="197"/>
      <c r="I241" s="197"/>
      <c r="J241" s="197"/>
      <c r="K241" s="197"/>
      <c r="L241" s="197"/>
      <c r="M241" s="197"/>
      <c r="N241" s="197"/>
    </row>
    <row r="242" customFormat="false" ht="12" hidden="false" customHeight="false" outlineLevel="0" collapsed="false">
      <c r="B242" s="130"/>
      <c r="C242" s="130"/>
      <c r="D242" s="130"/>
      <c r="E242" s="130"/>
      <c r="F242" s="130"/>
      <c r="G242" s="197"/>
      <c r="H242" s="197"/>
      <c r="I242" s="197"/>
      <c r="J242" s="197"/>
      <c r="K242" s="197"/>
      <c r="L242" s="197"/>
      <c r="M242" s="197"/>
      <c r="N242" s="197"/>
    </row>
    <row r="243" customFormat="false" ht="12" hidden="false" customHeight="false" outlineLevel="0" collapsed="false">
      <c r="B243" s="130"/>
      <c r="C243" s="130"/>
      <c r="D243" s="130"/>
      <c r="E243" s="130"/>
      <c r="F243" s="130"/>
      <c r="G243" s="197"/>
      <c r="H243" s="197"/>
      <c r="I243" s="197"/>
      <c r="J243" s="197"/>
      <c r="K243" s="197"/>
      <c r="L243" s="197"/>
      <c r="M243" s="197"/>
      <c r="N243" s="197"/>
    </row>
    <row r="244" customFormat="false" ht="12" hidden="false" customHeight="false" outlineLevel="0" collapsed="false">
      <c r="B244" s="130"/>
      <c r="C244" s="130"/>
      <c r="D244" s="130"/>
      <c r="E244" s="130"/>
      <c r="F244" s="130"/>
      <c r="G244" s="197"/>
      <c r="H244" s="197"/>
      <c r="I244" s="197"/>
      <c r="J244" s="197"/>
      <c r="K244" s="197"/>
      <c r="L244" s="197"/>
      <c r="M244" s="197"/>
      <c r="N244" s="197"/>
    </row>
    <row r="245" customFormat="false" ht="12" hidden="false" customHeight="false" outlineLevel="0" collapsed="false">
      <c r="B245" s="130"/>
      <c r="C245" s="130"/>
      <c r="D245" s="130"/>
      <c r="E245" s="130"/>
      <c r="F245" s="130"/>
      <c r="G245" s="197"/>
      <c r="H245" s="197"/>
      <c r="I245" s="197"/>
      <c r="J245" s="197"/>
      <c r="K245" s="197"/>
      <c r="L245" s="197"/>
      <c r="M245" s="197"/>
      <c r="N245" s="197"/>
    </row>
    <row r="246" customFormat="false" ht="12" hidden="false" customHeight="false" outlineLevel="0" collapsed="false">
      <c r="B246" s="130"/>
      <c r="C246" s="130"/>
      <c r="D246" s="130"/>
      <c r="E246" s="130"/>
      <c r="F246" s="130"/>
      <c r="G246" s="197"/>
      <c r="H246" s="197"/>
      <c r="I246" s="197"/>
      <c r="J246" s="197"/>
      <c r="K246" s="197"/>
      <c r="L246" s="197"/>
      <c r="M246" s="197"/>
      <c r="N246" s="197"/>
    </row>
    <row r="247" customFormat="false" ht="12" hidden="false" customHeight="false" outlineLevel="0" collapsed="false">
      <c r="B247" s="130"/>
      <c r="C247" s="130"/>
      <c r="D247" s="130"/>
      <c r="E247" s="130"/>
      <c r="F247" s="130"/>
      <c r="G247" s="197"/>
      <c r="H247" s="197"/>
      <c r="I247" s="197"/>
      <c r="J247" s="197"/>
      <c r="K247" s="197"/>
      <c r="L247" s="197"/>
      <c r="M247" s="197"/>
      <c r="N247" s="197"/>
      <c r="O247" s="197"/>
    </row>
    <row r="248" customFormat="false" ht="12" hidden="false" customHeight="false" outlineLevel="0" collapsed="false">
      <c r="B248" s="130"/>
      <c r="C248" s="130"/>
      <c r="D248" s="130"/>
      <c r="E248" s="130"/>
      <c r="F248" s="130"/>
      <c r="G248" s="197"/>
      <c r="H248" s="197"/>
      <c r="I248" s="197"/>
      <c r="J248" s="197"/>
      <c r="K248" s="197"/>
      <c r="L248" s="197"/>
      <c r="M248" s="197"/>
      <c r="N248" s="197"/>
      <c r="O248" s="197"/>
    </row>
    <row r="249" customFormat="false" ht="12" hidden="false" customHeight="false" outlineLevel="0" collapsed="false">
      <c r="B249" s="130"/>
      <c r="C249" s="130"/>
      <c r="D249" s="130"/>
      <c r="E249" s="130"/>
      <c r="F249" s="130"/>
      <c r="G249" s="197"/>
      <c r="H249" s="197"/>
      <c r="I249" s="197"/>
      <c r="J249" s="197"/>
      <c r="K249" s="197"/>
      <c r="L249" s="197"/>
      <c r="M249" s="197"/>
      <c r="N249" s="197"/>
      <c r="O249" s="197"/>
    </row>
    <row r="250" customFormat="false" ht="12" hidden="false" customHeight="false" outlineLevel="0" collapsed="false">
      <c r="B250" s="130"/>
      <c r="C250" s="130"/>
      <c r="D250" s="130"/>
      <c r="E250" s="130"/>
      <c r="F250" s="130"/>
      <c r="G250" s="197"/>
      <c r="H250" s="197"/>
      <c r="I250" s="197"/>
      <c r="J250" s="197"/>
      <c r="K250" s="197"/>
      <c r="L250" s="197"/>
      <c r="M250" s="197"/>
      <c r="N250" s="197"/>
      <c r="O250" s="197"/>
    </row>
    <row r="251" customFormat="false" ht="12" hidden="false" customHeight="false" outlineLevel="0" collapsed="false">
      <c r="B251" s="130"/>
      <c r="C251" s="130"/>
      <c r="D251" s="130"/>
      <c r="E251" s="130"/>
      <c r="F251" s="130"/>
      <c r="G251" s="197"/>
      <c r="H251" s="197"/>
      <c r="I251" s="197"/>
      <c r="J251" s="197"/>
      <c r="K251" s="197"/>
      <c r="L251" s="197"/>
      <c r="M251" s="197"/>
      <c r="N251" s="197"/>
      <c r="O251" s="197"/>
    </row>
    <row r="252" customFormat="false" ht="12" hidden="false" customHeight="false" outlineLevel="0" collapsed="false">
      <c r="B252" s="130"/>
      <c r="C252" s="130"/>
      <c r="D252" s="130"/>
      <c r="E252" s="130"/>
      <c r="F252" s="130"/>
      <c r="G252" s="197"/>
      <c r="H252" s="197"/>
      <c r="I252" s="197"/>
      <c r="J252" s="197"/>
      <c r="K252" s="197"/>
      <c r="L252" s="197"/>
      <c r="M252" s="197"/>
      <c r="N252" s="197"/>
      <c r="O252" s="197"/>
    </row>
    <row r="253" customFormat="false" ht="12" hidden="false" customHeight="false" outlineLevel="0" collapsed="false">
      <c r="B253" s="130"/>
      <c r="C253" s="130"/>
      <c r="D253" s="130"/>
      <c r="E253" s="130"/>
      <c r="F253" s="130"/>
      <c r="G253" s="197"/>
      <c r="H253" s="197"/>
      <c r="I253" s="197"/>
      <c r="J253" s="197"/>
      <c r="K253" s="197"/>
      <c r="L253" s="197"/>
      <c r="M253" s="197"/>
      <c r="N253" s="197"/>
      <c r="O253" s="197"/>
    </row>
    <row r="254" customFormat="false" ht="12" hidden="false" customHeight="false" outlineLevel="0" collapsed="false">
      <c r="B254" s="130"/>
      <c r="C254" s="130"/>
      <c r="D254" s="130"/>
      <c r="E254" s="130"/>
      <c r="F254" s="130"/>
      <c r="G254" s="197"/>
      <c r="H254" s="197"/>
      <c r="I254" s="197"/>
      <c r="J254" s="197"/>
      <c r="K254" s="197"/>
      <c r="L254" s="197"/>
      <c r="M254" s="197"/>
      <c r="N254" s="197"/>
      <c r="O254" s="197"/>
    </row>
    <row r="255" customFormat="false" ht="12" hidden="false" customHeight="false" outlineLevel="0" collapsed="false">
      <c r="B255" s="130"/>
      <c r="C255" s="130"/>
      <c r="D255" s="130"/>
      <c r="E255" s="130"/>
      <c r="F255" s="130"/>
      <c r="G255" s="197"/>
      <c r="H255" s="197"/>
      <c r="I255" s="197"/>
      <c r="J255" s="197"/>
      <c r="K255" s="197"/>
      <c r="L255" s="197"/>
      <c r="M255" s="197"/>
      <c r="N255" s="197"/>
      <c r="O255" s="197"/>
    </row>
    <row r="256" customFormat="false" ht="12" hidden="false" customHeight="false" outlineLevel="0" collapsed="false">
      <c r="B256" s="130"/>
      <c r="C256" s="130"/>
      <c r="D256" s="130"/>
      <c r="E256" s="130"/>
      <c r="F256" s="130"/>
      <c r="G256" s="197"/>
      <c r="H256" s="197"/>
      <c r="I256" s="197"/>
      <c r="J256" s="197"/>
      <c r="K256" s="197"/>
      <c r="L256" s="197"/>
      <c r="M256" s="197"/>
      <c r="N256" s="197"/>
      <c r="O256" s="197"/>
    </row>
    <row r="257" customFormat="false" ht="12" hidden="false" customHeight="false" outlineLevel="0" collapsed="false">
      <c r="B257" s="130"/>
      <c r="C257" s="130"/>
      <c r="D257" s="130"/>
      <c r="E257" s="130"/>
      <c r="F257" s="130"/>
      <c r="G257" s="197"/>
      <c r="H257" s="197"/>
      <c r="I257" s="197"/>
      <c r="J257" s="197"/>
      <c r="K257" s="197"/>
      <c r="L257" s="197"/>
      <c r="M257" s="197"/>
      <c r="N257" s="197"/>
      <c r="O257" s="197"/>
    </row>
    <row r="258" customFormat="false" ht="12" hidden="false" customHeight="false" outlineLevel="0" collapsed="false">
      <c r="B258" s="130"/>
      <c r="C258" s="130"/>
      <c r="D258" s="130"/>
      <c r="E258" s="130"/>
      <c r="F258" s="130"/>
      <c r="G258" s="197"/>
      <c r="H258" s="197"/>
      <c r="I258" s="197"/>
      <c r="J258" s="197"/>
      <c r="K258" s="197"/>
      <c r="L258" s="197"/>
      <c r="M258" s="197"/>
      <c r="N258" s="197"/>
      <c r="O258" s="197"/>
    </row>
    <row r="259" customFormat="false" ht="12" hidden="false" customHeight="false" outlineLevel="0" collapsed="false">
      <c r="B259" s="130"/>
      <c r="C259" s="130"/>
      <c r="D259" s="130"/>
      <c r="E259" s="130"/>
      <c r="F259" s="130"/>
      <c r="G259" s="197"/>
      <c r="H259" s="197"/>
      <c r="I259" s="197"/>
      <c r="J259" s="197"/>
      <c r="K259" s="197"/>
      <c r="L259" s="197"/>
      <c r="M259" s="197"/>
      <c r="N259" s="197"/>
      <c r="O259" s="197"/>
    </row>
    <row r="260" customFormat="false" ht="12" hidden="false" customHeight="false" outlineLevel="0" collapsed="false">
      <c r="B260" s="130"/>
      <c r="C260" s="130"/>
      <c r="D260" s="130"/>
      <c r="E260" s="130"/>
      <c r="F260" s="130"/>
      <c r="G260" s="197"/>
      <c r="H260" s="197"/>
      <c r="I260" s="197"/>
      <c r="J260" s="197"/>
      <c r="K260" s="197"/>
      <c r="L260" s="197"/>
      <c r="M260" s="197"/>
      <c r="N260" s="197"/>
      <c r="O260" s="197"/>
    </row>
    <row r="261" customFormat="false" ht="12" hidden="false" customHeight="false" outlineLevel="0" collapsed="false">
      <c r="B261" s="130"/>
      <c r="C261" s="130"/>
      <c r="D261" s="130"/>
      <c r="E261" s="130"/>
      <c r="F261" s="130"/>
      <c r="G261" s="197"/>
      <c r="H261" s="197"/>
      <c r="I261" s="197"/>
      <c r="J261" s="197"/>
      <c r="K261" s="197"/>
      <c r="L261" s="197"/>
      <c r="M261" s="197"/>
      <c r="N261" s="197"/>
      <c r="O261" s="197"/>
    </row>
    <row r="262" customFormat="false" ht="12" hidden="false" customHeight="false" outlineLevel="0" collapsed="false">
      <c r="B262" s="130"/>
      <c r="C262" s="130"/>
      <c r="D262" s="130"/>
      <c r="E262" s="130"/>
      <c r="F262" s="130"/>
      <c r="G262" s="197"/>
      <c r="H262" s="197"/>
      <c r="I262" s="197"/>
      <c r="J262" s="197"/>
      <c r="K262" s="197"/>
      <c r="L262" s="197"/>
      <c r="M262" s="197"/>
      <c r="N262" s="197"/>
      <c r="O262" s="197"/>
    </row>
    <row r="263" customFormat="false" ht="12" hidden="false" customHeight="false" outlineLevel="0" collapsed="false">
      <c r="B263" s="130"/>
      <c r="C263" s="130"/>
      <c r="D263" s="130"/>
      <c r="E263" s="130"/>
      <c r="F263" s="130"/>
      <c r="G263" s="197"/>
      <c r="H263" s="197"/>
      <c r="I263" s="197"/>
      <c r="J263" s="197"/>
      <c r="K263" s="197"/>
      <c r="L263" s="197"/>
      <c r="M263" s="197"/>
      <c r="N263" s="197"/>
      <c r="O263" s="197"/>
    </row>
    <row r="264" customFormat="false" ht="12" hidden="false" customHeight="false" outlineLevel="0" collapsed="false">
      <c r="B264" s="130"/>
      <c r="C264" s="130"/>
      <c r="D264" s="130"/>
      <c r="E264" s="130"/>
      <c r="F264" s="130"/>
      <c r="G264" s="197"/>
      <c r="H264" s="197"/>
      <c r="I264" s="197"/>
      <c r="J264" s="197"/>
      <c r="K264" s="197"/>
      <c r="L264" s="197"/>
      <c r="M264" s="197"/>
      <c r="N264" s="197"/>
      <c r="O264" s="197"/>
    </row>
    <row r="265" customFormat="false" ht="12" hidden="false" customHeight="false" outlineLevel="0" collapsed="false">
      <c r="B265" s="130"/>
      <c r="C265" s="130"/>
      <c r="D265" s="130"/>
      <c r="E265" s="130"/>
      <c r="F265" s="130"/>
      <c r="G265" s="197"/>
      <c r="H265" s="197"/>
      <c r="I265" s="197"/>
      <c r="J265" s="197"/>
      <c r="K265" s="197"/>
      <c r="L265" s="197"/>
      <c r="M265" s="197"/>
      <c r="N265" s="197"/>
      <c r="O265" s="197"/>
    </row>
    <row r="266" customFormat="false" ht="12" hidden="false" customHeight="false" outlineLevel="0" collapsed="false">
      <c r="B266" s="130"/>
      <c r="C266" s="130"/>
      <c r="D266" s="130"/>
      <c r="E266" s="130"/>
      <c r="F266" s="130"/>
      <c r="G266" s="197"/>
      <c r="H266" s="197"/>
      <c r="I266" s="197"/>
      <c r="J266" s="197"/>
      <c r="K266" s="197"/>
      <c r="L266" s="197"/>
      <c r="M266" s="197"/>
      <c r="N266" s="197"/>
      <c r="O266" s="197"/>
    </row>
    <row r="267" customFormat="false" ht="12" hidden="false" customHeight="false" outlineLevel="0" collapsed="false">
      <c r="B267" s="130"/>
      <c r="C267" s="130"/>
      <c r="D267" s="130"/>
      <c r="E267" s="130"/>
      <c r="F267" s="130"/>
      <c r="G267" s="197"/>
      <c r="H267" s="197"/>
      <c r="I267" s="197"/>
      <c r="J267" s="197"/>
      <c r="K267" s="197"/>
      <c r="L267" s="197"/>
      <c r="M267" s="197"/>
      <c r="N267" s="197"/>
      <c r="O267" s="197"/>
    </row>
    <row r="268" customFormat="false" ht="12" hidden="false" customHeight="false" outlineLevel="0" collapsed="false">
      <c r="B268" s="130"/>
      <c r="C268" s="130"/>
      <c r="D268" s="130"/>
      <c r="E268" s="130"/>
      <c r="F268" s="130"/>
      <c r="G268" s="197"/>
      <c r="H268" s="197"/>
      <c r="I268" s="197"/>
      <c r="J268" s="197"/>
      <c r="K268" s="197"/>
      <c r="L268" s="197"/>
      <c r="M268" s="197"/>
      <c r="N268" s="197"/>
      <c r="O268" s="197"/>
    </row>
    <row r="269" customFormat="false" ht="12" hidden="false" customHeight="false" outlineLevel="0" collapsed="false">
      <c r="B269" s="130"/>
      <c r="C269" s="130"/>
      <c r="D269" s="130"/>
      <c r="E269" s="130"/>
      <c r="F269" s="130"/>
      <c r="G269" s="197"/>
      <c r="H269" s="197"/>
      <c r="I269" s="197"/>
      <c r="J269" s="197"/>
      <c r="K269" s="197"/>
      <c r="L269" s="197"/>
      <c r="M269" s="197"/>
      <c r="N269" s="197"/>
      <c r="O269" s="197"/>
    </row>
    <row r="270" customFormat="false" ht="12" hidden="false" customHeight="false" outlineLevel="0" collapsed="false">
      <c r="B270" s="130"/>
      <c r="C270" s="130"/>
      <c r="D270" s="130"/>
      <c r="E270" s="130"/>
      <c r="F270" s="130"/>
      <c r="G270" s="197"/>
      <c r="H270" s="197"/>
      <c r="I270" s="197"/>
      <c r="J270" s="197"/>
      <c r="K270" s="197"/>
      <c r="L270" s="197"/>
      <c r="M270" s="197"/>
      <c r="N270" s="197"/>
      <c r="O270" s="197"/>
    </row>
    <row r="271" customFormat="false" ht="12" hidden="false" customHeight="false" outlineLevel="0" collapsed="false">
      <c r="B271" s="130"/>
      <c r="C271" s="130"/>
      <c r="D271" s="130"/>
      <c r="E271" s="130"/>
      <c r="F271" s="130"/>
      <c r="G271" s="197"/>
      <c r="H271" s="197"/>
      <c r="I271" s="197"/>
      <c r="J271" s="197"/>
      <c r="K271" s="197"/>
      <c r="L271" s="197"/>
      <c r="M271" s="197"/>
      <c r="N271" s="197"/>
      <c r="O271" s="197"/>
    </row>
    <row r="272" customFormat="false" ht="12" hidden="false" customHeight="false" outlineLevel="0" collapsed="false">
      <c r="B272" s="130"/>
      <c r="C272" s="130"/>
      <c r="D272" s="130"/>
      <c r="E272" s="130"/>
      <c r="F272" s="130"/>
      <c r="G272" s="197"/>
      <c r="H272" s="197"/>
      <c r="I272" s="197"/>
      <c r="J272" s="197"/>
      <c r="K272" s="197"/>
      <c r="L272" s="197"/>
      <c r="M272" s="197"/>
      <c r="N272" s="197"/>
      <c r="O272" s="197"/>
    </row>
    <row r="273" customFormat="false" ht="12" hidden="false" customHeight="false" outlineLevel="0" collapsed="false">
      <c r="B273" s="130"/>
      <c r="C273" s="130"/>
      <c r="D273" s="130"/>
      <c r="E273" s="130"/>
      <c r="F273" s="130"/>
      <c r="G273" s="197"/>
      <c r="H273" s="197"/>
      <c r="I273" s="197"/>
      <c r="J273" s="197"/>
      <c r="K273" s="197"/>
      <c r="L273" s="197"/>
      <c r="M273" s="197"/>
      <c r="N273" s="197"/>
      <c r="O273" s="197"/>
    </row>
    <row r="274" customFormat="false" ht="12" hidden="false" customHeight="false" outlineLevel="0" collapsed="false">
      <c r="B274" s="130"/>
      <c r="C274" s="130"/>
      <c r="D274" s="130"/>
      <c r="E274" s="130"/>
      <c r="F274" s="130"/>
      <c r="G274" s="197"/>
      <c r="H274" s="197"/>
      <c r="I274" s="197"/>
      <c r="J274" s="197"/>
      <c r="K274" s="197"/>
      <c r="L274" s="197"/>
      <c r="M274" s="197"/>
      <c r="N274" s="197"/>
      <c r="O274" s="197"/>
    </row>
    <row r="275" customFormat="false" ht="12" hidden="false" customHeight="false" outlineLevel="0" collapsed="false">
      <c r="B275" s="130"/>
      <c r="C275" s="130"/>
      <c r="D275" s="130"/>
      <c r="E275" s="130"/>
      <c r="F275" s="130"/>
      <c r="G275" s="197"/>
      <c r="H275" s="197"/>
      <c r="I275" s="197"/>
      <c r="J275" s="197"/>
      <c r="K275" s="197"/>
      <c r="L275" s="197"/>
      <c r="M275" s="197"/>
      <c r="N275" s="197"/>
      <c r="O275" s="197"/>
    </row>
    <row r="276" customFormat="false" ht="12" hidden="false" customHeight="false" outlineLevel="0" collapsed="false">
      <c r="B276" s="130"/>
      <c r="C276" s="130"/>
      <c r="D276" s="130"/>
      <c r="E276" s="130"/>
      <c r="F276" s="130"/>
      <c r="G276" s="197"/>
      <c r="H276" s="197"/>
      <c r="I276" s="197"/>
      <c r="J276" s="197"/>
      <c r="K276" s="197"/>
      <c r="L276" s="197"/>
      <c r="M276" s="197"/>
      <c r="N276" s="197"/>
      <c r="O276" s="197"/>
    </row>
    <row r="277" customFormat="false" ht="12" hidden="false" customHeight="false" outlineLevel="0" collapsed="false">
      <c r="B277" s="130"/>
      <c r="C277" s="130"/>
      <c r="D277" s="130"/>
      <c r="E277" s="130"/>
      <c r="F277" s="130"/>
      <c r="G277" s="197"/>
      <c r="H277" s="197"/>
      <c r="I277" s="197"/>
      <c r="J277" s="197"/>
      <c r="K277" s="197"/>
      <c r="L277" s="197"/>
      <c r="M277" s="197"/>
      <c r="N277" s="197"/>
      <c r="O277" s="197"/>
    </row>
    <row r="278" customFormat="false" ht="12" hidden="false" customHeight="false" outlineLevel="0" collapsed="false">
      <c r="B278" s="130"/>
      <c r="C278" s="130"/>
      <c r="D278" s="130"/>
      <c r="E278" s="130"/>
      <c r="F278" s="130"/>
      <c r="G278" s="197"/>
      <c r="H278" s="197"/>
      <c r="I278" s="197"/>
      <c r="J278" s="197"/>
      <c r="K278" s="197"/>
      <c r="L278" s="197"/>
      <c r="M278" s="197"/>
      <c r="N278" s="197"/>
      <c r="O278" s="197"/>
    </row>
    <row r="279" customFormat="false" ht="12" hidden="false" customHeight="false" outlineLevel="0" collapsed="false">
      <c r="B279" s="130"/>
      <c r="C279" s="130"/>
      <c r="D279" s="130"/>
      <c r="E279" s="130"/>
      <c r="F279" s="130"/>
      <c r="G279" s="197"/>
      <c r="H279" s="197"/>
      <c r="I279" s="197"/>
      <c r="J279" s="197"/>
      <c r="K279" s="197"/>
      <c r="L279" s="197"/>
      <c r="M279" s="197"/>
      <c r="N279" s="197"/>
      <c r="O279" s="197"/>
    </row>
    <row r="280" customFormat="false" ht="12" hidden="false" customHeight="false" outlineLevel="0" collapsed="false">
      <c r="B280" s="130"/>
      <c r="C280" s="130"/>
      <c r="D280" s="130"/>
      <c r="E280" s="130"/>
      <c r="F280" s="130"/>
      <c r="G280" s="197"/>
      <c r="H280" s="197"/>
      <c r="I280" s="197"/>
      <c r="J280" s="197"/>
      <c r="K280" s="197"/>
      <c r="L280" s="197"/>
      <c r="M280" s="197"/>
      <c r="N280" s="197"/>
      <c r="O280" s="197"/>
    </row>
    <row r="281" customFormat="false" ht="12" hidden="false" customHeight="false" outlineLevel="0" collapsed="false">
      <c r="B281" s="130"/>
      <c r="C281" s="130"/>
      <c r="D281" s="130"/>
      <c r="E281" s="130"/>
      <c r="F281" s="130"/>
      <c r="G281" s="197"/>
      <c r="H281" s="197"/>
      <c r="I281" s="197"/>
      <c r="J281" s="197"/>
      <c r="K281" s="197"/>
      <c r="L281" s="197"/>
      <c r="M281" s="197"/>
      <c r="N281" s="197"/>
      <c r="O281" s="197"/>
    </row>
    <row r="282" customFormat="false" ht="12" hidden="false" customHeight="false" outlineLevel="0" collapsed="false">
      <c r="B282" s="130"/>
      <c r="C282" s="130"/>
      <c r="D282" s="130"/>
      <c r="E282" s="130"/>
      <c r="F282" s="130"/>
      <c r="G282" s="197"/>
      <c r="H282" s="197"/>
      <c r="I282" s="197"/>
      <c r="J282" s="197"/>
      <c r="K282" s="197"/>
      <c r="L282" s="197"/>
      <c r="M282" s="197"/>
      <c r="N282" s="197"/>
      <c r="O282" s="197"/>
    </row>
    <row r="283" customFormat="false" ht="12" hidden="false" customHeight="false" outlineLevel="0" collapsed="false">
      <c r="B283" s="130"/>
      <c r="C283" s="130"/>
      <c r="D283" s="130"/>
      <c r="E283" s="130"/>
      <c r="F283" s="130"/>
      <c r="G283" s="197"/>
      <c r="H283" s="197"/>
      <c r="I283" s="197"/>
      <c r="J283" s="197"/>
      <c r="K283" s="197"/>
      <c r="L283" s="197"/>
      <c r="M283" s="197"/>
      <c r="N283" s="197"/>
      <c r="O283" s="197"/>
    </row>
    <row r="284" customFormat="false" ht="12" hidden="false" customHeight="false" outlineLevel="0" collapsed="false">
      <c r="B284" s="130"/>
      <c r="C284" s="130"/>
      <c r="D284" s="130"/>
      <c r="E284" s="130"/>
      <c r="F284" s="130"/>
      <c r="G284" s="197"/>
      <c r="H284" s="197"/>
      <c r="I284" s="197"/>
      <c r="J284" s="197"/>
      <c r="K284" s="197"/>
      <c r="L284" s="197"/>
      <c r="M284" s="197"/>
      <c r="N284" s="197"/>
      <c r="O284" s="197"/>
    </row>
    <row r="285" customFormat="false" ht="12" hidden="false" customHeight="false" outlineLevel="0" collapsed="false">
      <c r="B285" s="130"/>
      <c r="C285" s="130"/>
      <c r="D285" s="130"/>
      <c r="E285" s="130"/>
      <c r="F285" s="130"/>
      <c r="G285" s="197"/>
      <c r="H285" s="197"/>
      <c r="I285" s="197"/>
      <c r="J285" s="197"/>
      <c r="K285" s="197"/>
      <c r="L285" s="197"/>
      <c r="M285" s="197"/>
      <c r="N285" s="197"/>
      <c r="O285" s="197"/>
    </row>
    <row r="286" customFormat="false" ht="12" hidden="false" customHeight="false" outlineLevel="0" collapsed="false">
      <c r="B286" s="130"/>
      <c r="C286" s="130"/>
      <c r="D286" s="130"/>
      <c r="E286" s="130"/>
      <c r="F286" s="130"/>
      <c r="G286" s="197"/>
      <c r="H286" s="197"/>
      <c r="I286" s="197"/>
      <c r="J286" s="197"/>
      <c r="K286" s="197"/>
      <c r="L286" s="197"/>
      <c r="M286" s="197"/>
      <c r="N286" s="197"/>
      <c r="O286" s="197"/>
    </row>
    <row r="287" customFormat="false" ht="12" hidden="false" customHeight="false" outlineLevel="0" collapsed="false">
      <c r="B287" s="130"/>
      <c r="C287" s="130"/>
      <c r="D287" s="130"/>
      <c r="E287" s="130"/>
      <c r="F287" s="130"/>
      <c r="G287" s="197"/>
      <c r="H287" s="197"/>
      <c r="I287" s="197"/>
      <c r="J287" s="197"/>
      <c r="K287" s="197"/>
      <c r="L287" s="197"/>
      <c r="M287" s="197"/>
      <c r="N287" s="197"/>
      <c r="O287" s="197"/>
    </row>
    <row r="288" customFormat="false" ht="12" hidden="false" customHeight="false" outlineLevel="0" collapsed="false">
      <c r="B288" s="130"/>
      <c r="C288" s="130"/>
      <c r="D288" s="130"/>
      <c r="E288" s="130"/>
      <c r="F288" s="130"/>
      <c r="G288" s="197"/>
      <c r="H288" s="197"/>
      <c r="I288" s="197"/>
      <c r="J288" s="197"/>
      <c r="K288" s="197"/>
      <c r="L288" s="197"/>
      <c r="M288" s="197"/>
      <c r="N288" s="197"/>
      <c r="O288" s="197"/>
    </row>
    <row r="289" customFormat="false" ht="12" hidden="false" customHeight="false" outlineLevel="0" collapsed="false">
      <c r="B289" s="130"/>
      <c r="C289" s="130"/>
      <c r="D289" s="130"/>
      <c r="E289" s="130"/>
      <c r="F289" s="130"/>
      <c r="G289" s="197"/>
      <c r="H289" s="197"/>
      <c r="I289" s="197"/>
      <c r="J289" s="197"/>
      <c r="K289" s="197"/>
      <c r="L289" s="197"/>
      <c r="M289" s="197"/>
      <c r="N289" s="197"/>
      <c r="O289" s="197"/>
    </row>
    <row r="290" customFormat="false" ht="12" hidden="false" customHeight="false" outlineLevel="0" collapsed="false">
      <c r="B290" s="130"/>
      <c r="C290" s="130"/>
      <c r="D290" s="130"/>
      <c r="E290" s="130"/>
      <c r="F290" s="130"/>
      <c r="G290" s="197"/>
      <c r="H290" s="197"/>
      <c r="I290" s="197"/>
      <c r="J290" s="197"/>
      <c r="K290" s="197"/>
      <c r="L290" s="197"/>
      <c r="M290" s="197"/>
      <c r="N290" s="197"/>
      <c r="O290" s="197"/>
    </row>
    <row r="291" customFormat="false" ht="12" hidden="false" customHeight="false" outlineLevel="0" collapsed="false">
      <c r="B291" s="130"/>
      <c r="C291" s="130"/>
      <c r="D291" s="130"/>
      <c r="E291" s="130"/>
      <c r="F291" s="130"/>
      <c r="G291" s="197"/>
      <c r="H291" s="197"/>
      <c r="I291" s="197"/>
      <c r="J291" s="197"/>
      <c r="K291" s="197"/>
      <c r="L291" s="197"/>
      <c r="M291" s="197"/>
      <c r="N291" s="197"/>
      <c r="O291" s="197"/>
    </row>
    <row r="292" customFormat="false" ht="12" hidden="false" customHeight="false" outlineLevel="0" collapsed="false">
      <c r="B292" s="130"/>
      <c r="C292" s="130"/>
      <c r="D292" s="130"/>
      <c r="E292" s="130"/>
      <c r="F292" s="130"/>
      <c r="G292" s="197"/>
      <c r="H292" s="197"/>
      <c r="I292" s="197"/>
      <c r="J292" s="197"/>
      <c r="K292" s="197"/>
      <c r="L292" s="197"/>
      <c r="M292" s="197"/>
      <c r="N292" s="197"/>
      <c r="O292" s="197"/>
    </row>
    <row r="293" customFormat="false" ht="12" hidden="false" customHeight="false" outlineLevel="0" collapsed="false">
      <c r="B293" s="130"/>
      <c r="C293" s="130"/>
      <c r="D293" s="130"/>
      <c r="E293" s="130"/>
      <c r="F293" s="130"/>
      <c r="G293" s="197"/>
      <c r="H293" s="197"/>
      <c r="I293" s="197"/>
      <c r="J293" s="197"/>
      <c r="K293" s="197"/>
      <c r="L293" s="197"/>
      <c r="M293" s="197"/>
      <c r="N293" s="197"/>
      <c r="O293" s="197"/>
    </row>
    <row r="294" customFormat="false" ht="12" hidden="false" customHeight="false" outlineLevel="0" collapsed="false">
      <c r="B294" s="130"/>
      <c r="C294" s="130"/>
      <c r="D294" s="130"/>
      <c r="E294" s="130"/>
      <c r="F294" s="130"/>
      <c r="G294" s="197"/>
      <c r="H294" s="197"/>
      <c r="I294" s="197"/>
      <c r="J294" s="197"/>
      <c r="K294" s="197"/>
      <c r="L294" s="197"/>
      <c r="M294" s="197"/>
      <c r="N294" s="197"/>
      <c r="O294" s="197"/>
    </row>
    <row r="295" customFormat="false" ht="12" hidden="false" customHeight="false" outlineLevel="0" collapsed="false">
      <c r="B295" s="130"/>
      <c r="C295" s="130"/>
      <c r="D295" s="130"/>
      <c r="E295" s="130"/>
      <c r="F295" s="130"/>
      <c r="G295" s="197"/>
      <c r="H295" s="197"/>
      <c r="I295" s="197"/>
      <c r="J295" s="197"/>
      <c r="K295" s="197"/>
      <c r="L295" s="197"/>
      <c r="M295" s="197"/>
      <c r="N295" s="197"/>
      <c r="O295" s="197"/>
    </row>
    <row r="296" customFormat="false" ht="12" hidden="false" customHeight="false" outlineLevel="0" collapsed="false">
      <c r="B296" s="130"/>
      <c r="C296" s="130"/>
      <c r="D296" s="130"/>
      <c r="E296" s="130"/>
      <c r="F296" s="130"/>
      <c r="G296" s="197"/>
      <c r="H296" s="197"/>
      <c r="I296" s="197"/>
      <c r="J296" s="197"/>
      <c r="K296" s="197"/>
      <c r="L296" s="197"/>
      <c r="M296" s="197"/>
      <c r="N296" s="197"/>
      <c r="O296" s="197"/>
    </row>
    <row r="297" customFormat="false" ht="12" hidden="false" customHeight="false" outlineLevel="0" collapsed="false">
      <c r="B297" s="130"/>
      <c r="C297" s="130"/>
      <c r="D297" s="130"/>
      <c r="E297" s="130"/>
      <c r="F297" s="130"/>
      <c r="G297" s="197"/>
      <c r="H297" s="197"/>
      <c r="I297" s="197"/>
      <c r="J297" s="197"/>
      <c r="K297" s="197"/>
      <c r="L297" s="197"/>
      <c r="M297" s="197"/>
      <c r="N297" s="197"/>
      <c r="O297" s="197"/>
    </row>
    <row r="298" customFormat="false" ht="12" hidden="false" customHeight="false" outlineLevel="0" collapsed="false">
      <c r="B298" s="130"/>
      <c r="C298" s="130"/>
      <c r="D298" s="130"/>
      <c r="E298" s="130"/>
      <c r="F298" s="130"/>
      <c r="G298" s="197"/>
      <c r="H298" s="197"/>
      <c r="I298" s="197"/>
      <c r="J298" s="197"/>
      <c r="K298" s="197"/>
      <c r="L298" s="197"/>
      <c r="M298" s="197"/>
      <c r="N298" s="197"/>
      <c r="O298" s="197"/>
    </row>
    <row r="299" customFormat="false" ht="12" hidden="false" customHeight="false" outlineLevel="0" collapsed="false">
      <c r="B299" s="130"/>
      <c r="C299" s="130"/>
      <c r="D299" s="130"/>
      <c r="E299" s="130"/>
      <c r="F299" s="130"/>
      <c r="G299" s="197"/>
      <c r="H299" s="197"/>
      <c r="I299" s="197"/>
      <c r="J299" s="197"/>
      <c r="K299" s="197"/>
      <c r="L299" s="197"/>
      <c r="M299" s="197"/>
      <c r="N299" s="197"/>
      <c r="O299" s="197"/>
    </row>
    <row r="300" customFormat="false" ht="12" hidden="false" customHeight="false" outlineLevel="0" collapsed="false">
      <c r="B300" s="130"/>
      <c r="C300" s="130"/>
      <c r="D300" s="130"/>
      <c r="E300" s="130"/>
      <c r="F300" s="130"/>
      <c r="G300" s="197"/>
      <c r="H300" s="197"/>
      <c r="I300" s="197"/>
      <c r="J300" s="197"/>
      <c r="K300" s="197"/>
      <c r="L300" s="197"/>
      <c r="M300" s="197"/>
      <c r="N300" s="197"/>
      <c r="O300" s="197"/>
    </row>
    <row r="301" customFormat="false" ht="12" hidden="false" customHeight="false" outlineLevel="0" collapsed="false">
      <c r="B301" s="130"/>
      <c r="C301" s="130"/>
      <c r="D301" s="130"/>
      <c r="E301" s="130"/>
      <c r="F301" s="130"/>
      <c r="G301" s="197"/>
      <c r="H301" s="197"/>
      <c r="I301" s="197"/>
      <c r="J301" s="197"/>
      <c r="K301" s="197"/>
      <c r="L301" s="197"/>
      <c r="M301" s="197"/>
      <c r="N301" s="197"/>
      <c r="O301" s="197"/>
    </row>
    <row r="302" customFormat="false" ht="12" hidden="false" customHeight="false" outlineLevel="0" collapsed="false">
      <c r="B302" s="130"/>
      <c r="C302" s="130"/>
      <c r="D302" s="130"/>
      <c r="E302" s="130"/>
      <c r="F302" s="130"/>
      <c r="G302" s="197"/>
      <c r="H302" s="197"/>
      <c r="I302" s="197"/>
      <c r="J302" s="197"/>
      <c r="K302" s="197"/>
      <c r="L302" s="197"/>
      <c r="M302" s="197"/>
      <c r="N302" s="197"/>
      <c r="O302" s="197"/>
    </row>
    <row r="303" customFormat="false" ht="12" hidden="false" customHeight="false" outlineLevel="0" collapsed="false">
      <c r="B303" s="130"/>
      <c r="C303" s="130"/>
      <c r="D303" s="130"/>
      <c r="E303" s="130"/>
      <c r="F303" s="130"/>
      <c r="G303" s="197"/>
      <c r="H303" s="197"/>
      <c r="I303" s="197"/>
      <c r="J303" s="197"/>
      <c r="K303" s="197"/>
      <c r="L303" s="197"/>
      <c r="M303" s="197"/>
      <c r="N303" s="197"/>
      <c r="O303" s="197"/>
    </row>
    <row r="304" customFormat="false" ht="12" hidden="false" customHeight="false" outlineLevel="0" collapsed="false">
      <c r="B304" s="130"/>
      <c r="C304" s="130"/>
      <c r="D304" s="130"/>
      <c r="E304" s="130"/>
      <c r="F304" s="130"/>
      <c r="G304" s="197"/>
      <c r="H304" s="197"/>
      <c r="I304" s="197"/>
      <c r="J304" s="197"/>
      <c r="K304" s="197"/>
      <c r="L304" s="197"/>
      <c r="M304" s="197"/>
      <c r="N304" s="197"/>
      <c r="O304" s="197"/>
    </row>
    <row r="305" customFormat="false" ht="12" hidden="false" customHeight="false" outlineLevel="0" collapsed="false">
      <c r="B305" s="130"/>
      <c r="C305" s="130"/>
      <c r="D305" s="130"/>
      <c r="E305" s="130"/>
      <c r="F305" s="130"/>
      <c r="G305" s="197"/>
      <c r="H305" s="197"/>
      <c r="I305" s="197"/>
      <c r="J305" s="197"/>
      <c r="K305" s="197"/>
      <c r="L305" s="197"/>
      <c r="M305" s="197"/>
      <c r="N305" s="197"/>
      <c r="O305" s="197"/>
    </row>
    <row r="306" customFormat="false" ht="12" hidden="false" customHeight="false" outlineLevel="0" collapsed="false">
      <c r="B306" s="130"/>
      <c r="C306" s="130"/>
      <c r="D306" s="130"/>
      <c r="E306" s="130"/>
      <c r="F306" s="130"/>
      <c r="G306" s="197"/>
      <c r="H306" s="197"/>
      <c r="I306" s="197"/>
      <c r="J306" s="197"/>
      <c r="K306" s="197"/>
      <c r="L306" s="197"/>
      <c r="M306" s="197"/>
      <c r="N306" s="197"/>
      <c r="O306" s="197"/>
    </row>
    <row r="307" customFormat="false" ht="12" hidden="false" customHeight="false" outlineLevel="0" collapsed="false">
      <c r="B307" s="130"/>
      <c r="C307" s="130"/>
      <c r="D307" s="130"/>
      <c r="E307" s="130"/>
      <c r="F307" s="130"/>
      <c r="G307" s="197"/>
      <c r="H307" s="197"/>
      <c r="I307" s="197"/>
      <c r="J307" s="197"/>
      <c r="K307" s="197"/>
      <c r="L307" s="197"/>
      <c r="M307" s="197"/>
      <c r="N307" s="197"/>
      <c r="O307" s="197"/>
    </row>
    <row r="308" customFormat="false" ht="12" hidden="false" customHeight="false" outlineLevel="0" collapsed="false">
      <c r="B308" s="130"/>
      <c r="C308" s="130"/>
      <c r="D308" s="130"/>
      <c r="E308" s="130"/>
      <c r="F308" s="130"/>
      <c r="G308" s="197"/>
      <c r="H308" s="197"/>
      <c r="I308" s="197"/>
      <c r="J308" s="197"/>
      <c r="K308" s="197"/>
      <c r="L308" s="197"/>
      <c r="M308" s="197"/>
      <c r="N308" s="197"/>
      <c r="O308" s="197"/>
    </row>
    <row r="309" customFormat="false" ht="12" hidden="false" customHeight="false" outlineLevel="0" collapsed="false">
      <c r="B309" s="130"/>
      <c r="C309" s="130"/>
      <c r="D309" s="130"/>
      <c r="E309" s="130"/>
      <c r="F309" s="130"/>
      <c r="G309" s="197"/>
      <c r="H309" s="197"/>
      <c r="I309" s="197"/>
      <c r="J309" s="197"/>
      <c r="K309" s="197"/>
      <c r="L309" s="197"/>
      <c r="M309" s="197"/>
      <c r="N309" s="197"/>
      <c r="O309" s="197"/>
    </row>
    <row r="310" customFormat="false" ht="12" hidden="false" customHeight="false" outlineLevel="0" collapsed="false">
      <c r="B310" s="130"/>
      <c r="C310" s="130"/>
      <c r="D310" s="130"/>
      <c r="E310" s="130"/>
      <c r="F310" s="130"/>
      <c r="G310" s="197"/>
      <c r="H310" s="197"/>
      <c r="I310" s="197"/>
      <c r="J310" s="197"/>
      <c r="K310" s="197"/>
      <c r="L310" s="197"/>
      <c r="M310" s="197"/>
      <c r="N310" s="197"/>
      <c r="O310" s="197"/>
    </row>
    <row r="311" customFormat="false" ht="12" hidden="false" customHeight="false" outlineLevel="0" collapsed="false">
      <c r="B311" s="130"/>
      <c r="C311" s="130"/>
      <c r="D311" s="130"/>
      <c r="E311" s="130"/>
      <c r="F311" s="130"/>
      <c r="G311" s="197"/>
      <c r="H311" s="197"/>
      <c r="I311" s="197"/>
      <c r="J311" s="197"/>
      <c r="K311" s="197"/>
      <c r="L311" s="197"/>
      <c r="M311" s="197"/>
      <c r="N311" s="197"/>
      <c r="O311" s="197"/>
    </row>
    <row r="312" customFormat="false" ht="12" hidden="false" customHeight="false" outlineLevel="0" collapsed="false">
      <c r="B312" s="130"/>
      <c r="C312" s="130"/>
      <c r="D312" s="130"/>
      <c r="E312" s="130"/>
      <c r="F312" s="130"/>
      <c r="G312" s="197"/>
      <c r="H312" s="197"/>
      <c r="I312" s="197"/>
      <c r="J312" s="197"/>
      <c r="K312" s="197"/>
      <c r="L312" s="197"/>
      <c r="M312" s="197"/>
      <c r="N312" s="197"/>
      <c r="O312" s="197"/>
    </row>
    <row r="313" customFormat="false" ht="12" hidden="false" customHeight="false" outlineLevel="0" collapsed="false">
      <c r="B313" s="130"/>
      <c r="C313" s="130"/>
      <c r="D313" s="130"/>
      <c r="E313" s="130"/>
      <c r="F313" s="130"/>
      <c r="G313" s="197"/>
      <c r="H313" s="197"/>
      <c r="I313" s="197"/>
      <c r="J313" s="197"/>
      <c r="K313" s="197"/>
      <c r="L313" s="197"/>
      <c r="M313" s="197"/>
      <c r="N313" s="197"/>
      <c r="O313" s="197"/>
    </row>
    <row r="314" customFormat="false" ht="12" hidden="false" customHeight="false" outlineLevel="0" collapsed="false">
      <c r="B314" s="130"/>
      <c r="C314" s="130"/>
      <c r="D314" s="130"/>
      <c r="E314" s="130"/>
      <c r="F314" s="130"/>
      <c r="G314" s="197"/>
      <c r="H314" s="197"/>
      <c r="I314" s="197"/>
      <c r="J314" s="197"/>
      <c r="K314" s="197"/>
      <c r="L314" s="197"/>
      <c r="M314" s="197"/>
      <c r="N314" s="197"/>
      <c r="O314" s="197"/>
    </row>
    <row r="315" customFormat="false" ht="12" hidden="false" customHeight="false" outlineLevel="0" collapsed="false">
      <c r="B315" s="130"/>
      <c r="C315" s="130"/>
      <c r="D315" s="130"/>
      <c r="E315" s="130"/>
      <c r="F315" s="130"/>
      <c r="G315" s="197"/>
      <c r="H315" s="197"/>
      <c r="I315" s="197"/>
      <c r="J315" s="197"/>
      <c r="K315" s="197"/>
      <c r="L315" s="197"/>
      <c r="M315" s="197"/>
      <c r="N315" s="197"/>
      <c r="O315" s="197"/>
    </row>
    <row r="316" customFormat="false" ht="12" hidden="false" customHeight="false" outlineLevel="0" collapsed="false">
      <c r="B316" s="130"/>
      <c r="C316" s="130"/>
      <c r="D316" s="130"/>
      <c r="E316" s="130"/>
      <c r="F316" s="130"/>
      <c r="G316" s="197"/>
      <c r="H316" s="197"/>
      <c r="I316" s="197"/>
      <c r="J316" s="197"/>
      <c r="K316" s="197"/>
      <c r="L316" s="197"/>
      <c r="M316" s="197"/>
      <c r="N316" s="197"/>
      <c r="O316" s="197"/>
    </row>
    <row r="317" customFormat="false" ht="12" hidden="false" customHeight="false" outlineLevel="0" collapsed="false">
      <c r="B317" s="130"/>
      <c r="C317" s="130"/>
      <c r="D317" s="130"/>
      <c r="E317" s="130"/>
      <c r="F317" s="130"/>
      <c r="G317" s="197"/>
      <c r="H317" s="197"/>
      <c r="I317" s="197"/>
      <c r="J317" s="197"/>
      <c r="K317" s="197"/>
      <c r="L317" s="197"/>
      <c r="M317" s="197"/>
      <c r="N317" s="197"/>
      <c r="O317" s="197"/>
    </row>
    <row r="318" customFormat="false" ht="12" hidden="false" customHeight="false" outlineLevel="0" collapsed="false">
      <c r="B318" s="130"/>
      <c r="C318" s="130"/>
      <c r="D318" s="130"/>
      <c r="E318" s="130"/>
      <c r="F318" s="130"/>
      <c r="G318" s="197"/>
      <c r="H318" s="197"/>
      <c r="I318" s="197"/>
      <c r="J318" s="197"/>
      <c r="K318" s="197"/>
      <c r="L318" s="197"/>
      <c r="M318" s="197"/>
      <c r="N318" s="197"/>
      <c r="O318" s="197"/>
    </row>
    <row r="319" customFormat="false" ht="12" hidden="false" customHeight="false" outlineLevel="0" collapsed="false">
      <c r="B319" s="130"/>
      <c r="C319" s="130"/>
      <c r="D319" s="130"/>
      <c r="E319" s="130"/>
      <c r="F319" s="130"/>
      <c r="G319" s="197"/>
      <c r="H319" s="197"/>
      <c r="I319" s="197"/>
      <c r="J319" s="197"/>
      <c r="K319" s="197"/>
      <c r="L319" s="197"/>
      <c r="M319" s="197"/>
      <c r="N319" s="197"/>
      <c r="O319" s="197"/>
    </row>
    <row r="320" customFormat="false" ht="12" hidden="false" customHeight="false" outlineLevel="0" collapsed="false">
      <c r="B320" s="130"/>
      <c r="C320" s="130"/>
      <c r="D320" s="130"/>
      <c r="E320" s="130"/>
      <c r="F320" s="130"/>
      <c r="G320" s="197"/>
      <c r="H320" s="197"/>
      <c r="I320" s="197"/>
      <c r="J320" s="197"/>
      <c r="K320" s="197"/>
      <c r="L320" s="197"/>
      <c r="M320" s="197"/>
      <c r="N320" s="197"/>
      <c r="O320" s="197"/>
    </row>
    <row r="321" customFormat="false" ht="12" hidden="false" customHeight="false" outlineLevel="0" collapsed="false">
      <c r="B321" s="130"/>
      <c r="C321" s="130"/>
      <c r="D321" s="130"/>
      <c r="E321" s="130"/>
      <c r="F321" s="130"/>
      <c r="G321" s="197"/>
      <c r="H321" s="197"/>
      <c r="I321" s="197"/>
      <c r="J321" s="197"/>
      <c r="K321" s="197"/>
      <c r="L321" s="197"/>
      <c r="M321" s="197"/>
      <c r="N321" s="197"/>
      <c r="O321" s="197"/>
    </row>
    <row r="322" customFormat="false" ht="12" hidden="false" customHeight="false" outlineLevel="0" collapsed="false">
      <c r="B322" s="130"/>
      <c r="C322" s="130"/>
      <c r="D322" s="130"/>
      <c r="E322" s="130"/>
      <c r="F322" s="130"/>
      <c r="G322" s="197"/>
      <c r="H322" s="197"/>
      <c r="I322" s="197"/>
      <c r="J322" s="197"/>
      <c r="K322" s="197"/>
      <c r="L322" s="197"/>
      <c r="M322" s="197"/>
      <c r="N322" s="197"/>
      <c r="O322" s="197"/>
    </row>
    <row r="323" customFormat="false" ht="12" hidden="false" customHeight="false" outlineLevel="0" collapsed="false">
      <c r="B323" s="130"/>
      <c r="C323" s="130"/>
      <c r="D323" s="130"/>
      <c r="E323" s="130"/>
      <c r="F323" s="130"/>
      <c r="G323" s="197"/>
      <c r="H323" s="197"/>
      <c r="I323" s="197"/>
      <c r="J323" s="197"/>
      <c r="K323" s="197"/>
      <c r="L323" s="197"/>
      <c r="M323" s="197"/>
      <c r="N323" s="197"/>
      <c r="O323" s="197"/>
    </row>
    <row r="324" customFormat="false" ht="12" hidden="false" customHeight="false" outlineLevel="0" collapsed="false">
      <c r="B324" s="130"/>
      <c r="C324" s="130"/>
      <c r="D324" s="130"/>
      <c r="E324" s="130"/>
      <c r="F324" s="130"/>
      <c r="G324" s="197"/>
      <c r="H324" s="197"/>
      <c r="I324" s="197"/>
      <c r="J324" s="197"/>
      <c r="K324" s="197"/>
      <c r="L324" s="197"/>
      <c r="M324" s="197"/>
      <c r="N324" s="197"/>
      <c r="O324" s="197"/>
    </row>
    <row r="325" customFormat="false" ht="12" hidden="false" customHeight="false" outlineLevel="0" collapsed="false">
      <c r="B325" s="130"/>
      <c r="C325" s="130"/>
      <c r="D325" s="130"/>
      <c r="E325" s="130"/>
      <c r="F325" s="130"/>
      <c r="G325" s="197"/>
      <c r="H325" s="197"/>
      <c r="I325" s="197"/>
      <c r="J325" s="197"/>
      <c r="K325" s="197"/>
      <c r="L325" s="197"/>
      <c r="M325" s="197"/>
      <c r="N325" s="197"/>
      <c r="O325" s="197"/>
    </row>
    <row r="326" customFormat="false" ht="12" hidden="false" customHeight="false" outlineLevel="0" collapsed="false">
      <c r="B326" s="130"/>
      <c r="C326" s="130"/>
      <c r="D326" s="130"/>
      <c r="E326" s="130"/>
      <c r="F326" s="130"/>
      <c r="G326" s="197"/>
      <c r="H326" s="197"/>
      <c r="I326" s="197"/>
      <c r="J326" s="197"/>
      <c r="K326" s="197"/>
      <c r="L326" s="197"/>
      <c r="M326" s="197"/>
      <c r="N326" s="197"/>
      <c r="O326" s="197"/>
    </row>
    <row r="327" customFormat="false" ht="12" hidden="false" customHeight="false" outlineLevel="0" collapsed="false">
      <c r="B327" s="130"/>
      <c r="C327" s="130"/>
      <c r="D327" s="130"/>
      <c r="E327" s="130"/>
      <c r="F327" s="130"/>
      <c r="G327" s="197"/>
      <c r="H327" s="197"/>
      <c r="I327" s="197"/>
      <c r="J327" s="197"/>
      <c r="K327" s="197"/>
      <c r="L327" s="197"/>
      <c r="M327" s="197"/>
      <c r="N327" s="197"/>
      <c r="O327" s="197"/>
    </row>
    <row r="328" customFormat="false" ht="12" hidden="false" customHeight="false" outlineLevel="0" collapsed="false">
      <c r="B328" s="130"/>
      <c r="C328" s="130"/>
      <c r="D328" s="130"/>
      <c r="E328" s="130"/>
      <c r="F328" s="130"/>
      <c r="G328" s="197"/>
      <c r="H328" s="197"/>
      <c r="I328" s="197"/>
      <c r="J328" s="197"/>
      <c r="K328" s="197"/>
      <c r="L328" s="197"/>
      <c r="M328" s="197"/>
      <c r="N328" s="197"/>
      <c r="O328" s="197"/>
    </row>
    <row r="329" customFormat="false" ht="12" hidden="false" customHeight="false" outlineLevel="0" collapsed="false">
      <c r="B329" s="130"/>
      <c r="C329" s="130"/>
      <c r="D329" s="130"/>
      <c r="E329" s="130"/>
      <c r="F329" s="130"/>
      <c r="G329" s="197"/>
      <c r="H329" s="197"/>
      <c r="I329" s="197"/>
      <c r="J329" s="197"/>
      <c r="K329" s="197"/>
      <c r="L329" s="197"/>
      <c r="M329" s="197"/>
      <c r="N329" s="197"/>
      <c r="O329" s="197"/>
    </row>
    <row r="330" customFormat="false" ht="12" hidden="false" customHeight="false" outlineLevel="0" collapsed="false">
      <c r="B330" s="130"/>
      <c r="C330" s="130"/>
      <c r="D330" s="130"/>
      <c r="E330" s="130"/>
      <c r="F330" s="130"/>
      <c r="G330" s="197"/>
      <c r="H330" s="197"/>
      <c r="I330" s="197"/>
      <c r="J330" s="197"/>
      <c r="K330" s="197"/>
      <c r="L330" s="197"/>
      <c r="M330" s="197"/>
      <c r="N330" s="197"/>
      <c r="O330" s="197"/>
    </row>
    <row r="331" customFormat="false" ht="12" hidden="false" customHeight="false" outlineLevel="0" collapsed="false">
      <c r="B331" s="130"/>
      <c r="C331" s="130"/>
      <c r="D331" s="130"/>
      <c r="E331" s="130"/>
      <c r="F331" s="130"/>
      <c r="G331" s="197"/>
      <c r="H331" s="197"/>
      <c r="I331" s="197"/>
      <c r="J331" s="197"/>
      <c r="K331" s="197"/>
      <c r="L331" s="197"/>
      <c r="M331" s="197"/>
      <c r="N331" s="197"/>
      <c r="O331" s="197"/>
    </row>
    <row r="332" customFormat="false" ht="12" hidden="false" customHeight="false" outlineLevel="0" collapsed="false">
      <c r="B332" s="130"/>
      <c r="C332" s="130"/>
      <c r="D332" s="130"/>
      <c r="E332" s="130"/>
      <c r="F332" s="130"/>
      <c r="G332" s="197"/>
      <c r="H332" s="197"/>
      <c r="I332" s="197"/>
      <c r="J332" s="197"/>
      <c r="K332" s="197"/>
      <c r="L332" s="197"/>
      <c r="M332" s="197"/>
      <c r="N332" s="197"/>
      <c r="O332" s="197"/>
    </row>
    <row r="333" customFormat="false" ht="12" hidden="false" customHeight="false" outlineLevel="0" collapsed="false">
      <c r="B333" s="130"/>
      <c r="C333" s="130"/>
      <c r="D333" s="130"/>
      <c r="E333" s="130"/>
      <c r="F333" s="130"/>
      <c r="G333" s="197"/>
      <c r="H333" s="197"/>
      <c r="I333" s="197"/>
      <c r="J333" s="197"/>
      <c r="K333" s="197"/>
      <c r="L333" s="197"/>
      <c r="M333" s="197"/>
      <c r="N333" s="197"/>
      <c r="O333" s="197"/>
    </row>
    <row r="334" customFormat="false" ht="12" hidden="false" customHeight="false" outlineLevel="0" collapsed="false">
      <c r="B334" s="130"/>
      <c r="C334" s="130"/>
      <c r="D334" s="130"/>
      <c r="E334" s="130"/>
      <c r="F334" s="130"/>
      <c r="G334" s="197"/>
      <c r="H334" s="197"/>
      <c r="I334" s="197"/>
      <c r="J334" s="197"/>
      <c r="K334" s="197"/>
      <c r="L334" s="197"/>
      <c r="M334" s="197"/>
      <c r="N334" s="197"/>
      <c r="O334" s="197"/>
    </row>
    <row r="335" customFormat="false" ht="12" hidden="false" customHeight="false" outlineLevel="0" collapsed="false">
      <c r="B335" s="130"/>
      <c r="C335" s="130"/>
      <c r="D335" s="130"/>
      <c r="E335" s="130"/>
      <c r="F335" s="130"/>
      <c r="G335" s="197"/>
      <c r="H335" s="197"/>
      <c r="I335" s="197"/>
      <c r="J335" s="197"/>
      <c r="K335" s="197"/>
      <c r="L335" s="197"/>
      <c r="M335" s="197"/>
      <c r="N335" s="197"/>
      <c r="O335" s="197"/>
    </row>
    <row r="336" customFormat="false" ht="12" hidden="false" customHeight="false" outlineLevel="0" collapsed="false">
      <c r="B336" s="130"/>
      <c r="C336" s="130"/>
      <c r="D336" s="130"/>
      <c r="E336" s="130"/>
      <c r="F336" s="130"/>
      <c r="G336" s="197"/>
      <c r="H336" s="197"/>
      <c r="I336" s="197"/>
      <c r="J336" s="197"/>
      <c r="K336" s="197"/>
      <c r="L336" s="197"/>
      <c r="M336" s="197"/>
      <c r="N336" s="197"/>
      <c r="O336" s="197"/>
    </row>
    <row r="337" customFormat="false" ht="12" hidden="false" customHeight="false" outlineLevel="0" collapsed="false">
      <c r="B337" s="130"/>
      <c r="C337" s="130"/>
      <c r="D337" s="130"/>
      <c r="E337" s="130"/>
      <c r="F337" s="130"/>
      <c r="G337" s="197"/>
      <c r="H337" s="197"/>
      <c r="I337" s="197"/>
      <c r="J337" s="197"/>
      <c r="K337" s="197"/>
      <c r="L337" s="197"/>
      <c r="M337" s="197"/>
      <c r="N337" s="197"/>
      <c r="O337" s="197"/>
    </row>
    <row r="338" customFormat="false" ht="12" hidden="false" customHeight="false" outlineLevel="0" collapsed="false">
      <c r="B338" s="130"/>
      <c r="C338" s="130"/>
      <c r="D338" s="130"/>
      <c r="E338" s="130"/>
      <c r="F338" s="130"/>
      <c r="G338" s="197"/>
      <c r="H338" s="197"/>
      <c r="I338" s="197"/>
      <c r="J338" s="197"/>
      <c r="K338" s="197"/>
      <c r="L338" s="197"/>
      <c r="M338" s="197"/>
      <c r="N338" s="197"/>
      <c r="O338" s="197"/>
    </row>
    <row r="339" customFormat="false" ht="12" hidden="false" customHeight="false" outlineLevel="0" collapsed="false">
      <c r="B339" s="130"/>
      <c r="C339" s="130"/>
      <c r="D339" s="130"/>
      <c r="E339" s="130"/>
      <c r="F339" s="130"/>
      <c r="G339" s="197"/>
      <c r="H339" s="197"/>
      <c r="I339" s="197"/>
      <c r="J339" s="197"/>
      <c r="K339" s="197"/>
      <c r="L339" s="197"/>
      <c r="M339" s="197"/>
      <c r="N339" s="197"/>
      <c r="O339" s="197"/>
    </row>
    <row r="340" customFormat="false" ht="12" hidden="false" customHeight="false" outlineLevel="0" collapsed="false">
      <c r="B340" s="130"/>
      <c r="C340" s="130"/>
      <c r="D340" s="130"/>
      <c r="E340" s="130"/>
      <c r="F340" s="130"/>
      <c r="G340" s="197"/>
      <c r="H340" s="197"/>
      <c r="I340" s="197"/>
      <c r="J340" s="197"/>
      <c r="K340" s="197"/>
      <c r="L340" s="197"/>
      <c r="M340" s="197"/>
      <c r="N340" s="197"/>
      <c r="O340" s="197"/>
    </row>
    <row r="341" customFormat="false" ht="12" hidden="false" customHeight="false" outlineLevel="0" collapsed="false">
      <c r="B341" s="130"/>
      <c r="C341" s="130"/>
      <c r="D341" s="130"/>
      <c r="E341" s="130"/>
      <c r="F341" s="130"/>
      <c r="G341" s="197"/>
      <c r="H341" s="197"/>
      <c r="I341" s="197"/>
      <c r="J341" s="197"/>
      <c r="K341" s="197"/>
      <c r="L341" s="197"/>
      <c r="M341" s="197"/>
      <c r="N341" s="197"/>
      <c r="O341" s="197"/>
    </row>
    <row r="342" customFormat="false" ht="12" hidden="false" customHeight="false" outlineLevel="0" collapsed="false">
      <c r="B342" s="130"/>
      <c r="C342" s="130"/>
      <c r="D342" s="130"/>
      <c r="E342" s="130"/>
      <c r="F342" s="130"/>
      <c r="G342" s="197"/>
      <c r="H342" s="197"/>
      <c r="I342" s="197"/>
      <c r="J342" s="197"/>
      <c r="K342" s="197"/>
      <c r="L342" s="197"/>
      <c r="M342" s="197"/>
      <c r="N342" s="197"/>
      <c r="O342" s="197"/>
    </row>
    <row r="343" customFormat="false" ht="12" hidden="false" customHeight="false" outlineLevel="0" collapsed="false">
      <c r="B343" s="130"/>
      <c r="C343" s="130"/>
      <c r="D343" s="130"/>
      <c r="E343" s="130"/>
      <c r="F343" s="130"/>
      <c r="G343" s="197"/>
      <c r="H343" s="197"/>
      <c r="I343" s="197"/>
      <c r="J343" s="197"/>
      <c r="K343" s="197"/>
      <c r="L343" s="197"/>
      <c r="M343" s="197"/>
      <c r="N343" s="197"/>
      <c r="O343" s="197"/>
    </row>
    <row r="344" customFormat="false" ht="12" hidden="false" customHeight="false" outlineLevel="0" collapsed="false">
      <c r="B344" s="130"/>
      <c r="C344" s="130"/>
      <c r="D344" s="130"/>
      <c r="E344" s="130"/>
      <c r="F344" s="130"/>
      <c r="G344" s="197"/>
      <c r="H344" s="197"/>
      <c r="I344" s="197"/>
      <c r="J344" s="197"/>
      <c r="K344" s="197"/>
      <c r="L344" s="197"/>
      <c r="M344" s="197"/>
      <c r="N344" s="197"/>
      <c r="O344" s="197"/>
    </row>
    <row r="345" customFormat="false" ht="12" hidden="false" customHeight="false" outlineLevel="0" collapsed="false">
      <c r="B345" s="130"/>
      <c r="C345" s="130"/>
      <c r="D345" s="130"/>
      <c r="E345" s="130"/>
      <c r="F345" s="130"/>
      <c r="G345" s="197"/>
      <c r="H345" s="197"/>
      <c r="I345" s="197"/>
      <c r="J345" s="197"/>
      <c r="K345" s="197"/>
      <c r="L345" s="197"/>
      <c r="M345" s="197"/>
      <c r="N345" s="197"/>
      <c r="O345" s="197"/>
    </row>
    <row r="346" customFormat="false" ht="12" hidden="false" customHeight="false" outlineLevel="0" collapsed="false">
      <c r="B346" s="130"/>
      <c r="C346" s="130"/>
      <c r="D346" s="130"/>
      <c r="E346" s="130"/>
      <c r="F346" s="130"/>
      <c r="G346" s="197"/>
      <c r="H346" s="197"/>
      <c r="I346" s="197"/>
      <c r="J346" s="197"/>
      <c r="K346" s="197"/>
      <c r="L346" s="197"/>
      <c r="M346" s="197"/>
      <c r="N346" s="197"/>
      <c r="O346" s="197"/>
    </row>
    <row r="347" customFormat="false" ht="12" hidden="false" customHeight="false" outlineLevel="0" collapsed="false">
      <c r="B347" s="130"/>
      <c r="C347" s="130"/>
      <c r="D347" s="130"/>
      <c r="E347" s="130"/>
      <c r="F347" s="130"/>
      <c r="G347" s="197"/>
      <c r="H347" s="197"/>
      <c r="I347" s="197"/>
      <c r="J347" s="197"/>
      <c r="K347" s="197"/>
      <c r="L347" s="197"/>
      <c r="M347" s="197"/>
      <c r="N347" s="197"/>
      <c r="O347" s="197"/>
    </row>
    <row r="348" customFormat="false" ht="12" hidden="false" customHeight="false" outlineLevel="0" collapsed="false">
      <c r="B348" s="130"/>
      <c r="C348" s="130"/>
      <c r="D348" s="130"/>
      <c r="E348" s="130"/>
      <c r="F348" s="130"/>
      <c r="G348" s="197"/>
      <c r="H348" s="197"/>
      <c r="I348" s="197"/>
      <c r="J348" s="197"/>
      <c r="K348" s="197"/>
      <c r="L348" s="197"/>
      <c r="M348" s="197"/>
      <c r="N348" s="197"/>
      <c r="O348" s="197"/>
    </row>
    <row r="349" customFormat="false" ht="12" hidden="false" customHeight="false" outlineLevel="0" collapsed="false">
      <c r="B349" s="130"/>
      <c r="C349" s="130"/>
      <c r="D349" s="130"/>
      <c r="E349" s="130"/>
      <c r="F349" s="130"/>
      <c r="G349" s="197"/>
      <c r="H349" s="197"/>
      <c r="I349" s="197"/>
      <c r="J349" s="197"/>
      <c r="K349" s="197"/>
      <c r="L349" s="197"/>
      <c r="M349" s="197"/>
      <c r="N349" s="197"/>
      <c r="O349" s="197"/>
    </row>
    <row r="350" customFormat="false" ht="12" hidden="false" customHeight="false" outlineLevel="0" collapsed="false">
      <c r="B350" s="130"/>
      <c r="C350" s="130"/>
      <c r="D350" s="130"/>
      <c r="E350" s="130"/>
      <c r="F350" s="130"/>
      <c r="G350" s="197"/>
      <c r="H350" s="197"/>
      <c r="I350" s="197"/>
      <c r="J350" s="197"/>
      <c r="K350" s="197"/>
      <c r="L350" s="197"/>
      <c r="M350" s="197"/>
      <c r="N350" s="197"/>
      <c r="O350" s="197"/>
    </row>
    <row r="351" customFormat="false" ht="12" hidden="false" customHeight="false" outlineLevel="0" collapsed="false">
      <c r="B351" s="130"/>
      <c r="C351" s="130"/>
      <c r="D351" s="130"/>
      <c r="E351" s="130"/>
      <c r="F351" s="130"/>
      <c r="G351" s="197"/>
      <c r="H351" s="197"/>
      <c r="I351" s="197"/>
      <c r="J351" s="197"/>
      <c r="K351" s="197"/>
      <c r="L351" s="197"/>
      <c r="M351" s="197"/>
      <c r="N351" s="197"/>
      <c r="O351" s="197"/>
    </row>
    <row r="352" customFormat="false" ht="12" hidden="false" customHeight="false" outlineLevel="0" collapsed="false">
      <c r="B352" s="130"/>
      <c r="C352" s="130"/>
      <c r="D352" s="130"/>
      <c r="E352" s="130"/>
      <c r="F352" s="130"/>
      <c r="G352" s="197"/>
      <c r="H352" s="197"/>
      <c r="I352" s="197"/>
      <c r="J352" s="197"/>
      <c r="K352" s="197"/>
      <c r="L352" s="197"/>
      <c r="M352" s="197"/>
      <c r="N352" s="197"/>
      <c r="O352" s="197"/>
    </row>
    <row r="353" customFormat="false" ht="12" hidden="false" customHeight="false" outlineLevel="0" collapsed="false">
      <c r="B353" s="130"/>
      <c r="C353" s="130"/>
      <c r="D353" s="130"/>
      <c r="E353" s="130"/>
      <c r="F353" s="130"/>
      <c r="G353" s="197"/>
      <c r="H353" s="197"/>
      <c r="I353" s="197"/>
      <c r="J353" s="197"/>
      <c r="K353" s="197"/>
      <c r="L353" s="197"/>
      <c r="M353" s="197"/>
      <c r="N353" s="197"/>
      <c r="O353" s="197"/>
    </row>
    <row r="354" customFormat="false" ht="12" hidden="false" customHeight="false" outlineLevel="0" collapsed="false">
      <c r="B354" s="130"/>
      <c r="C354" s="130"/>
      <c r="D354" s="130"/>
      <c r="E354" s="130"/>
      <c r="F354" s="130"/>
      <c r="G354" s="197"/>
      <c r="H354" s="197"/>
      <c r="I354" s="197"/>
      <c r="J354" s="197"/>
      <c r="K354" s="197"/>
      <c r="L354" s="197"/>
      <c r="M354" s="197"/>
      <c r="N354" s="197"/>
      <c r="O354" s="197"/>
    </row>
    <row r="355" customFormat="false" ht="12" hidden="false" customHeight="false" outlineLevel="0" collapsed="false">
      <c r="B355" s="130"/>
      <c r="C355" s="130"/>
      <c r="D355" s="130"/>
      <c r="E355" s="130"/>
      <c r="F355" s="130"/>
      <c r="G355" s="197"/>
      <c r="H355" s="197"/>
      <c r="I355" s="197"/>
      <c r="J355" s="197"/>
      <c r="K355" s="197"/>
      <c r="L355" s="197"/>
      <c r="M355" s="197"/>
      <c r="N355" s="197"/>
      <c r="O355" s="197"/>
    </row>
    <row r="356" customFormat="false" ht="12" hidden="false" customHeight="false" outlineLevel="0" collapsed="false">
      <c r="B356" s="130"/>
      <c r="C356" s="130"/>
      <c r="D356" s="130"/>
      <c r="E356" s="130"/>
      <c r="F356" s="130"/>
      <c r="G356" s="197"/>
      <c r="H356" s="197"/>
      <c r="I356" s="197"/>
      <c r="J356" s="197"/>
      <c r="K356" s="197"/>
      <c r="L356" s="197"/>
      <c r="M356" s="197"/>
      <c r="N356" s="197"/>
      <c r="O356" s="197"/>
    </row>
    <row r="357" customFormat="false" ht="12" hidden="false" customHeight="false" outlineLevel="0" collapsed="false">
      <c r="B357" s="130"/>
      <c r="C357" s="130"/>
      <c r="D357" s="130"/>
      <c r="E357" s="130"/>
      <c r="F357" s="130"/>
      <c r="G357" s="197"/>
      <c r="H357" s="197"/>
      <c r="I357" s="197"/>
      <c r="J357" s="197"/>
      <c r="K357" s="197"/>
      <c r="L357" s="197"/>
      <c r="M357" s="197"/>
      <c r="N357" s="197"/>
      <c r="O357" s="197"/>
    </row>
    <row r="358" customFormat="false" ht="12" hidden="false" customHeight="false" outlineLevel="0" collapsed="false">
      <c r="B358" s="130"/>
      <c r="C358" s="130"/>
      <c r="D358" s="130"/>
      <c r="E358" s="130"/>
      <c r="F358" s="130"/>
      <c r="G358" s="197"/>
      <c r="H358" s="197"/>
      <c r="I358" s="197"/>
      <c r="J358" s="197"/>
      <c r="K358" s="197"/>
      <c r="L358" s="197"/>
      <c r="M358" s="197"/>
      <c r="N358" s="197"/>
      <c r="O358" s="197"/>
    </row>
    <row r="359" customFormat="false" ht="12" hidden="false" customHeight="false" outlineLevel="0" collapsed="false">
      <c r="B359" s="130"/>
      <c r="C359" s="130"/>
      <c r="D359" s="130"/>
      <c r="E359" s="130"/>
      <c r="F359" s="130"/>
      <c r="G359" s="197"/>
      <c r="H359" s="197"/>
      <c r="I359" s="197"/>
      <c r="J359" s="197"/>
      <c r="K359" s="197"/>
      <c r="L359" s="197"/>
      <c r="M359" s="197"/>
      <c r="N359" s="197"/>
      <c r="O359" s="197"/>
    </row>
    <row r="360" customFormat="false" ht="12" hidden="false" customHeight="false" outlineLevel="0" collapsed="false">
      <c r="B360" s="130"/>
      <c r="C360" s="130"/>
      <c r="D360" s="130"/>
      <c r="E360" s="130"/>
      <c r="F360" s="130"/>
      <c r="G360" s="197"/>
      <c r="H360" s="197"/>
      <c r="I360" s="197"/>
      <c r="J360" s="197"/>
      <c r="K360" s="197"/>
      <c r="L360" s="197"/>
      <c r="M360" s="197"/>
      <c r="N360" s="197"/>
      <c r="O360" s="197"/>
    </row>
    <row r="361" customFormat="false" ht="12" hidden="false" customHeight="false" outlineLevel="0" collapsed="false">
      <c r="B361" s="130"/>
      <c r="C361" s="130"/>
      <c r="D361" s="130"/>
      <c r="E361" s="130"/>
      <c r="F361" s="130"/>
      <c r="G361" s="197"/>
      <c r="H361" s="197"/>
      <c r="I361" s="197"/>
      <c r="J361" s="197"/>
      <c r="K361" s="197"/>
      <c r="L361" s="197"/>
      <c r="M361" s="197"/>
      <c r="N361" s="197"/>
      <c r="O361" s="197"/>
    </row>
    <row r="362" customFormat="false" ht="12" hidden="false" customHeight="false" outlineLevel="0" collapsed="false">
      <c r="B362" s="130"/>
      <c r="C362" s="130"/>
      <c r="D362" s="130"/>
      <c r="E362" s="130"/>
      <c r="F362" s="130"/>
      <c r="G362" s="197"/>
      <c r="H362" s="197"/>
      <c r="I362" s="197"/>
      <c r="J362" s="197"/>
      <c r="K362" s="197"/>
      <c r="L362" s="197"/>
      <c r="M362" s="197"/>
      <c r="N362" s="197"/>
      <c r="O362" s="197"/>
    </row>
    <row r="363" customFormat="false" ht="12" hidden="false" customHeight="false" outlineLevel="0" collapsed="false">
      <c r="B363" s="130"/>
      <c r="C363" s="130"/>
      <c r="D363" s="130"/>
      <c r="E363" s="130"/>
      <c r="F363" s="130"/>
      <c r="G363" s="197"/>
      <c r="H363" s="197"/>
      <c r="I363" s="197"/>
      <c r="J363" s="197"/>
      <c r="K363" s="197"/>
      <c r="L363" s="197"/>
      <c r="M363" s="197"/>
      <c r="N363" s="197"/>
      <c r="O363" s="197"/>
    </row>
    <row r="364" customFormat="false" ht="12" hidden="false" customHeight="false" outlineLevel="0" collapsed="false">
      <c r="B364" s="130"/>
      <c r="C364" s="130"/>
      <c r="D364" s="130"/>
      <c r="E364" s="130"/>
      <c r="F364" s="130"/>
      <c r="G364" s="197"/>
      <c r="H364" s="197"/>
      <c r="I364" s="197"/>
      <c r="J364" s="197"/>
      <c r="K364" s="197"/>
      <c r="L364" s="197"/>
      <c r="M364" s="197"/>
      <c r="N364" s="197"/>
      <c r="O364" s="197"/>
    </row>
    <row r="365" customFormat="false" ht="12" hidden="false" customHeight="false" outlineLevel="0" collapsed="false">
      <c r="B365" s="130"/>
      <c r="C365" s="130"/>
      <c r="D365" s="130"/>
      <c r="E365" s="130"/>
      <c r="F365" s="130"/>
      <c r="G365" s="197"/>
      <c r="H365" s="197"/>
      <c r="I365" s="197"/>
      <c r="J365" s="197"/>
      <c r="K365" s="197"/>
      <c r="L365" s="197"/>
      <c r="M365" s="197"/>
      <c r="N365" s="197"/>
      <c r="O365" s="197"/>
    </row>
    <row r="366" customFormat="false" ht="12" hidden="false" customHeight="false" outlineLevel="0" collapsed="false">
      <c r="B366" s="130"/>
      <c r="C366" s="130"/>
      <c r="D366" s="130"/>
      <c r="E366" s="130"/>
      <c r="F366" s="130"/>
      <c r="G366" s="197"/>
      <c r="H366" s="197"/>
      <c r="I366" s="197"/>
      <c r="J366" s="197"/>
      <c r="K366" s="197"/>
      <c r="L366" s="197"/>
      <c r="M366" s="197"/>
      <c r="N366" s="197"/>
      <c r="O366" s="197"/>
    </row>
    <row r="367" customFormat="false" ht="12" hidden="false" customHeight="false" outlineLevel="0" collapsed="false">
      <c r="B367" s="130"/>
      <c r="C367" s="130"/>
      <c r="D367" s="130"/>
      <c r="E367" s="130"/>
      <c r="F367" s="130"/>
      <c r="G367" s="197"/>
      <c r="H367" s="197"/>
      <c r="I367" s="197"/>
      <c r="J367" s="197"/>
      <c r="K367" s="197"/>
      <c r="L367" s="197"/>
      <c r="M367" s="197"/>
      <c r="N367" s="197"/>
      <c r="O367" s="197"/>
    </row>
    <row r="368" customFormat="false" ht="12" hidden="false" customHeight="false" outlineLevel="0" collapsed="false">
      <c r="B368" s="130"/>
      <c r="C368" s="130"/>
      <c r="D368" s="130"/>
      <c r="E368" s="130"/>
      <c r="F368" s="130"/>
      <c r="G368" s="197"/>
      <c r="H368" s="197"/>
      <c r="I368" s="197"/>
      <c r="J368" s="197"/>
      <c r="K368" s="197"/>
      <c r="L368" s="197"/>
      <c r="M368" s="197"/>
      <c r="N368" s="197"/>
      <c r="O368" s="197"/>
    </row>
  </sheetData>
  <mergeCells count="18">
    <mergeCell ref="A3:O3"/>
    <mergeCell ref="B6:O6"/>
    <mergeCell ref="A7:A9"/>
    <mergeCell ref="B7:B8"/>
    <mergeCell ref="C7:C8"/>
    <mergeCell ref="D7:E7"/>
    <mergeCell ref="F7:I7"/>
    <mergeCell ref="J7:N7"/>
    <mergeCell ref="O7:O9"/>
    <mergeCell ref="F8:F9"/>
    <mergeCell ref="G8:G9"/>
    <mergeCell ref="H8:H9"/>
    <mergeCell ref="I8:I9"/>
    <mergeCell ref="J8:J9"/>
    <mergeCell ref="K8:K9"/>
    <mergeCell ref="L8:L9"/>
    <mergeCell ref="M8:M9"/>
    <mergeCell ref="N8:N9"/>
  </mergeCells>
  <hyperlinks>
    <hyperlink ref="B1" location="Index!A1" display="Back to index"/>
  </hyperlinks>
  <printOptions headings="false" gridLines="false" gridLinesSet="true" horizontalCentered="true" verticalCentered="true"/>
  <pageMargins left="0.790277777777778" right="0.790277777777778" top="0.979861111111111" bottom="0.979861111111111" header="0.511811023622047" footer="0.511811023622047"/>
  <pageSetup paperSize="9" scale="100" fitToWidth="1" fitToHeight="2"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C0C0"/>
    <pageSetUpPr fitToPage="true"/>
  </sheetPr>
  <dimension ref="A1:Y1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A3" activeCellId="0" sqref="A3"/>
    </sheetView>
  </sheetViews>
  <sheetFormatPr defaultColWidth="11.9921875" defaultRowHeight="12" zeroHeight="false" outlineLevelRow="0" outlineLevelCol="0"/>
  <cols>
    <col collapsed="false" customWidth="true" hidden="false" outlineLevel="0" max="1" min="1" style="1103" width="10.82"/>
    <col collapsed="false" customWidth="true" hidden="false" outlineLevel="0" max="13" min="2" style="1103" width="9.66"/>
    <col collapsed="false" customWidth="true" hidden="false" outlineLevel="0" max="14" min="14" style="1103" width="10.32"/>
    <col collapsed="false" customWidth="true" hidden="false" outlineLevel="0" max="18" min="15" style="1103" width="9.66"/>
    <col collapsed="false" customWidth="true" hidden="false" outlineLevel="0" max="19" min="19" style="1103" width="10.82"/>
    <col collapsed="false" customWidth="true" hidden="false" outlineLevel="0" max="25" min="20" style="1103" width="11.82"/>
    <col collapsed="false" customWidth="false" hidden="false" outlineLevel="0" max="257" min="26" style="1103" width="11.99"/>
  </cols>
  <sheetData>
    <row r="1" customFormat="false" ht="12" hidden="false" customHeight="true" outlineLevel="0" collapsed="false">
      <c r="B1" s="21" t="s">
        <v>9</v>
      </c>
      <c r="C1" s="1104"/>
      <c r="D1" s="1104"/>
      <c r="E1" s="1104"/>
      <c r="F1" s="1104"/>
      <c r="G1" s="1104"/>
    </row>
    <row r="2" customFormat="false" ht="13" hidden="false" customHeight="true" outlineLevel="0" collapsed="false"/>
    <row r="3" customFormat="false" ht="19" hidden="false" customHeight="true" outlineLevel="0" collapsed="false">
      <c r="A3" s="1105" t="s">
        <v>324</v>
      </c>
      <c r="B3" s="1105"/>
      <c r="C3" s="1105"/>
      <c r="D3" s="1105"/>
      <c r="E3" s="1105"/>
      <c r="F3" s="1105"/>
      <c r="G3" s="1105"/>
      <c r="H3" s="1105"/>
      <c r="I3" s="1105"/>
      <c r="J3" s="1105"/>
      <c r="K3" s="1105"/>
      <c r="L3" s="1105"/>
      <c r="M3" s="1105"/>
      <c r="N3" s="1105"/>
      <c r="O3" s="1105"/>
      <c r="P3" s="1105"/>
      <c r="Q3" s="1105"/>
      <c r="R3" s="1105"/>
    </row>
    <row r="4" customFormat="false" ht="12" hidden="false" customHeight="true" outlineLevel="0" collapsed="false">
      <c r="A4" s="1106"/>
      <c r="B4" s="1107"/>
      <c r="C4" s="1107"/>
      <c r="D4" s="1107"/>
      <c r="E4" s="1107"/>
      <c r="F4" s="1107"/>
      <c r="G4" s="1107"/>
      <c r="H4" s="1107"/>
      <c r="I4" s="1107"/>
      <c r="J4" s="1107"/>
      <c r="K4" s="1107"/>
      <c r="L4" s="1107"/>
      <c r="M4" s="1107"/>
      <c r="N4" s="1107"/>
      <c r="O4" s="1107"/>
      <c r="P4" s="1107"/>
      <c r="Q4" s="1107"/>
      <c r="R4" s="1108"/>
    </row>
    <row r="5" customFormat="false" ht="12" hidden="false" customHeight="true" outlineLevel="0" collapsed="false">
      <c r="A5" s="1106"/>
      <c r="B5" s="1109" t="s">
        <v>11</v>
      </c>
      <c r="C5" s="1109" t="s">
        <v>12</v>
      </c>
      <c r="D5" s="1109" t="s">
        <v>13</v>
      </c>
      <c r="E5" s="1109" t="s">
        <v>14</v>
      </c>
      <c r="F5" s="1109" t="s">
        <v>15</v>
      </c>
      <c r="G5" s="1109" t="s">
        <v>16</v>
      </c>
      <c r="H5" s="1109" t="s">
        <v>17</v>
      </c>
      <c r="I5" s="1109" t="s">
        <v>18</v>
      </c>
      <c r="J5" s="1109" t="s">
        <v>19</v>
      </c>
      <c r="K5" s="1109" t="s">
        <v>20</v>
      </c>
      <c r="L5" s="1109" t="s">
        <v>21</v>
      </c>
      <c r="M5" s="1109" t="s">
        <v>22</v>
      </c>
      <c r="N5" s="1109" t="s">
        <v>23</v>
      </c>
      <c r="O5" s="1109" t="s">
        <v>24</v>
      </c>
      <c r="P5" s="1110" t="s">
        <v>25</v>
      </c>
      <c r="Q5" s="1110" t="s">
        <v>26</v>
      </c>
      <c r="R5" s="1111" t="s">
        <v>27</v>
      </c>
    </row>
    <row r="6" customFormat="false" ht="39" hidden="false" customHeight="true" outlineLevel="0" collapsed="false">
      <c r="A6" s="1112"/>
      <c r="B6" s="1113" t="s">
        <v>325</v>
      </c>
      <c r="C6" s="1113"/>
      <c r="D6" s="1113"/>
      <c r="E6" s="1113"/>
      <c r="F6" s="1113" t="s">
        <v>326</v>
      </c>
      <c r="G6" s="1113"/>
      <c r="H6" s="1113"/>
      <c r="I6" s="1113"/>
      <c r="J6" s="1114" t="s">
        <v>327</v>
      </c>
      <c r="K6" s="1114"/>
      <c r="L6" s="1114"/>
      <c r="M6" s="1114"/>
      <c r="N6" s="1114"/>
      <c r="O6" s="1114"/>
      <c r="P6" s="1114"/>
      <c r="Q6" s="1114"/>
      <c r="R6" s="1114"/>
      <c r="U6" s="1115"/>
    </row>
    <row r="7" customFormat="false" ht="15" hidden="false" customHeight="true" outlineLevel="0" collapsed="false">
      <c r="A7" s="1112"/>
      <c r="B7" s="1116" t="s">
        <v>328</v>
      </c>
      <c r="C7" s="1116"/>
      <c r="D7" s="1116"/>
      <c r="E7" s="1116"/>
      <c r="F7" s="1116" t="s">
        <v>328</v>
      </c>
      <c r="G7" s="1116"/>
      <c r="H7" s="1116"/>
      <c r="I7" s="1116"/>
      <c r="J7" s="1117" t="s">
        <v>328</v>
      </c>
      <c r="K7" s="1117"/>
      <c r="L7" s="1117"/>
      <c r="M7" s="1117"/>
      <c r="N7" s="1117"/>
      <c r="O7" s="1117"/>
      <c r="P7" s="1117"/>
      <c r="Q7" s="1118" t="s">
        <v>329</v>
      </c>
      <c r="R7" s="1119" t="s">
        <v>330</v>
      </c>
    </row>
    <row r="8" customFormat="false" ht="53" hidden="false" customHeight="true" outlineLevel="0" collapsed="false">
      <c r="A8" s="1112"/>
      <c r="B8" s="1120" t="s">
        <v>331</v>
      </c>
      <c r="C8" s="1121" t="s">
        <v>332</v>
      </c>
      <c r="D8" s="1122" t="s">
        <v>333</v>
      </c>
      <c r="E8" s="1123" t="s">
        <v>334</v>
      </c>
      <c r="F8" s="1124" t="s">
        <v>335</v>
      </c>
      <c r="G8" s="1121" t="s">
        <v>332</v>
      </c>
      <c r="H8" s="1122" t="s">
        <v>333</v>
      </c>
      <c r="I8" s="1123" t="s">
        <v>334</v>
      </c>
      <c r="J8" s="1120" t="s">
        <v>336</v>
      </c>
      <c r="K8" s="1121" t="s">
        <v>332</v>
      </c>
      <c r="L8" s="1122" t="s">
        <v>333</v>
      </c>
      <c r="M8" s="1123" t="s">
        <v>334</v>
      </c>
      <c r="N8" s="1125" t="s">
        <v>337</v>
      </c>
      <c r="O8" s="1125" t="s">
        <v>338</v>
      </c>
      <c r="P8" s="1125" t="s">
        <v>339</v>
      </c>
      <c r="Q8" s="1118"/>
      <c r="R8" s="1119"/>
      <c r="U8" s="1126"/>
      <c r="V8" s="1127"/>
      <c r="W8" s="1127"/>
      <c r="X8" s="1109" t="s">
        <v>314</v>
      </c>
      <c r="Y8" s="1109"/>
    </row>
    <row r="9" customFormat="false" ht="13.75" hidden="false" customHeight="true" outlineLevel="0" collapsed="false">
      <c r="A9" s="1112"/>
      <c r="B9" s="1128" t="s">
        <v>340</v>
      </c>
      <c r="C9" s="1129" t="s">
        <v>341</v>
      </c>
      <c r="D9" s="1129" t="s">
        <v>342</v>
      </c>
      <c r="E9" s="1130" t="s">
        <v>343</v>
      </c>
      <c r="F9" s="1128" t="s">
        <v>344</v>
      </c>
      <c r="G9" s="1129" t="s">
        <v>345</v>
      </c>
      <c r="H9" s="1129" t="s">
        <v>346</v>
      </c>
      <c r="I9" s="1130" t="s">
        <v>347</v>
      </c>
      <c r="J9" s="1128" t="s">
        <v>348</v>
      </c>
      <c r="K9" s="1129" t="s">
        <v>349</v>
      </c>
      <c r="L9" s="1129" t="s">
        <v>350</v>
      </c>
      <c r="M9" s="1130" t="s">
        <v>351</v>
      </c>
      <c r="N9" s="1129"/>
      <c r="O9" s="1129"/>
      <c r="P9" s="1129"/>
      <c r="Q9" s="1118"/>
      <c r="R9" s="1119"/>
    </row>
    <row r="10" customFormat="false" ht="12" hidden="false" customHeight="true" outlineLevel="0" collapsed="false">
      <c r="A10" s="1112" t="n">
        <v>1870</v>
      </c>
      <c r="B10" s="1131" t="n">
        <f aca="false">TableDE5a!F10</f>
        <v>7.03716354197713</v>
      </c>
      <c r="C10" s="1132"/>
      <c r="D10" s="1132"/>
      <c r="E10" s="1133"/>
      <c r="F10" s="1131" t="n">
        <f aca="false">G10+H10-I10</f>
        <v>0.413954817761924</v>
      </c>
      <c r="G10" s="978" t="n">
        <f aca="false">TableDE5c!G10</f>
        <v>0.728533706119913</v>
      </c>
      <c r="H10" s="978" t="n">
        <v>0</v>
      </c>
      <c r="I10" s="820" t="n">
        <f aca="false">TableDE5c!J10</f>
        <v>0.314578888357989</v>
      </c>
      <c r="J10" s="1131" t="n">
        <f aca="false">F10+B10</f>
        <v>7.45111835973905</v>
      </c>
      <c r="K10" s="1132"/>
      <c r="L10" s="1132"/>
      <c r="M10" s="1133"/>
      <c r="N10" s="978" t="n">
        <f aca="false">DataDE1c!BU33/DataDE1c!B33</f>
        <v>3.32013047530289</v>
      </c>
      <c r="O10" s="1132"/>
      <c r="P10" s="1132"/>
      <c r="Q10" s="1134" t="n">
        <f aca="false">B10/J10</f>
        <v>0.94444393475231</v>
      </c>
      <c r="R10" s="1135" t="n">
        <f aca="false">F10/J10</f>
        <v>0.0555560652476901</v>
      </c>
      <c r="S10" s="158"/>
      <c r="V10" s="158"/>
      <c r="X10" s="1002" t="n">
        <f aca="false">DataDE1c!DC33/DataDE1c!B33-J10</f>
        <v>0</v>
      </c>
      <c r="Y10" s="1136" t="n">
        <f aca="false">TableDE5c!J10-I10</f>
        <v>0</v>
      </c>
    </row>
    <row r="11" customFormat="false" ht="12" hidden="false" customHeight="true" outlineLevel="0" collapsed="false">
      <c r="A11" s="1112" t="n">
        <v>1871</v>
      </c>
      <c r="B11" s="1131" t="n">
        <f aca="false">TableDE5a!F11</f>
        <v>6.89700494608442</v>
      </c>
      <c r="C11" s="1132"/>
      <c r="D11" s="1132"/>
      <c r="E11" s="1133"/>
      <c r="F11" s="1131" t="n">
        <f aca="false">G11+H11-I11</f>
        <v>0.43103330411183</v>
      </c>
      <c r="G11" s="978" t="n">
        <f aca="false">TableDE5c!G11</f>
        <v>0.752358524227503</v>
      </c>
      <c r="H11" s="978" t="n">
        <v>0</v>
      </c>
      <c r="I11" s="820" t="n">
        <f aca="false">TableDE5c!J11</f>
        <v>0.321325220115673</v>
      </c>
      <c r="J11" s="1131" t="n">
        <f aca="false">F11+B11</f>
        <v>7.32803825019625</v>
      </c>
      <c r="K11" s="1132"/>
      <c r="L11" s="1132"/>
      <c r="M11" s="1133"/>
      <c r="N11" s="978" t="n">
        <f aca="false">DataDE1c!BU34/DataDE1c!B34</f>
        <v>3.16135017483765</v>
      </c>
      <c r="O11" s="1132"/>
      <c r="P11" s="1132"/>
      <c r="Q11" s="1134" t="n">
        <f aca="false">B11/J11</f>
        <v>0.941180260064788</v>
      </c>
      <c r="R11" s="1135" t="n">
        <f aca="false">F11/J11</f>
        <v>0.0588197399352121</v>
      </c>
      <c r="S11" s="158"/>
      <c r="V11" s="158"/>
      <c r="X11" s="1002" t="n">
        <f aca="false">DataDE1c!DC34/DataDE1c!B34-J11</f>
        <v>0</v>
      </c>
      <c r="Y11" s="1136" t="n">
        <f aca="false">TableDE5c!J11-I11</f>
        <v>0</v>
      </c>
    </row>
    <row r="12" customFormat="false" ht="12" hidden="false" customHeight="true" outlineLevel="0" collapsed="false">
      <c r="A12" s="1112" t="n">
        <v>1872</v>
      </c>
      <c r="B12" s="1131" t="n">
        <f aca="false">TableDE5a!F12</f>
        <v>6.29577980988563</v>
      </c>
      <c r="C12" s="1132"/>
      <c r="D12" s="1132"/>
      <c r="E12" s="1133"/>
      <c r="F12" s="1131" t="n">
        <f aca="false">G12+H12-I12</f>
        <v>0.516318584292513</v>
      </c>
      <c r="G12" s="978" t="n">
        <f aca="false">TableDE5c!G12</f>
        <v>0.731626871955254</v>
      </c>
      <c r="H12" s="978" t="n">
        <v>0</v>
      </c>
      <c r="I12" s="820" t="n">
        <f aca="false">TableDE5c!J12</f>
        <v>0.215308287662741</v>
      </c>
      <c r="J12" s="1131" t="n">
        <f aca="false">F12+B12</f>
        <v>6.81209839417814</v>
      </c>
      <c r="K12" s="1132"/>
      <c r="L12" s="1132"/>
      <c r="M12" s="1133"/>
      <c r="N12" s="978" t="n">
        <f aca="false">DataDE1c!BU35/DataDE1c!B35</f>
        <v>2.74252721477116</v>
      </c>
      <c r="O12" s="1132"/>
      <c r="P12" s="1132"/>
      <c r="Q12" s="1134" t="n">
        <f aca="false">B12/J12</f>
        <v>0.924205647890557</v>
      </c>
      <c r="R12" s="1135" t="n">
        <f aca="false">F12/J12</f>
        <v>0.0757943521094435</v>
      </c>
      <c r="S12" s="158"/>
      <c r="V12" s="158"/>
      <c r="X12" s="1002" t="n">
        <f aca="false">DataDE1c!DC35/DataDE1c!B35-J12</f>
        <v>0</v>
      </c>
      <c r="Y12" s="1136" t="n">
        <f aca="false">TableDE5c!J12-I12</f>
        <v>0</v>
      </c>
    </row>
    <row r="13" customFormat="false" ht="12" hidden="false" customHeight="true" outlineLevel="0" collapsed="false">
      <c r="A13" s="1112" t="n">
        <v>1873</v>
      </c>
      <c r="B13" s="1131" t="n">
        <f aca="false">TableDE5a!F13</f>
        <v>6.3314291286276</v>
      </c>
      <c r="C13" s="1132"/>
      <c r="D13" s="1132"/>
      <c r="E13" s="1133"/>
      <c r="F13" s="1131" t="n">
        <f aca="false">G13+H13-I13</f>
        <v>0.603430734628923</v>
      </c>
      <c r="G13" s="978" t="n">
        <f aca="false">TableDE5c!G13</f>
        <v>0.789107520891365</v>
      </c>
      <c r="H13" s="978" t="n">
        <v>0</v>
      </c>
      <c r="I13" s="820" t="n">
        <f aca="false">TableDE5c!J13</f>
        <v>0.185676786262442</v>
      </c>
      <c r="J13" s="1131" t="n">
        <f aca="false">F13+B13</f>
        <v>6.93485986325652</v>
      </c>
      <c r="K13" s="1132"/>
      <c r="L13" s="1132"/>
      <c r="M13" s="1133"/>
      <c r="N13" s="978" t="n">
        <f aca="false">DataDE1c!BU36/DataDE1c!B36</f>
        <v>2.6100278551532</v>
      </c>
      <c r="O13" s="1132"/>
      <c r="P13" s="1132"/>
      <c r="Q13" s="1134" t="n">
        <f aca="false">B13/J13</f>
        <v>0.912985879090921</v>
      </c>
      <c r="R13" s="1135" t="n">
        <f aca="false">F13/J13</f>
        <v>0.0870141209090791</v>
      </c>
      <c r="S13" s="158"/>
      <c r="V13" s="158"/>
      <c r="X13" s="1002" t="n">
        <f aca="false">DataDE1c!DC36/DataDE1c!B36-J13</f>
        <v>0</v>
      </c>
      <c r="Y13" s="1136" t="n">
        <f aca="false">TableDE5c!J13-I13</f>
        <v>0</v>
      </c>
    </row>
    <row r="14" customFormat="false" ht="12" hidden="false" customHeight="true" outlineLevel="0" collapsed="false">
      <c r="A14" s="1112" t="n">
        <v>1874</v>
      </c>
      <c r="B14" s="1131" t="n">
        <f aca="false">TableDE5a!F14</f>
        <v>6.01261626677786</v>
      </c>
      <c r="C14" s="1132"/>
      <c r="D14" s="1132"/>
      <c r="E14" s="1133"/>
      <c r="F14" s="1131" t="n">
        <f aca="false">G14+H14-I14</f>
        <v>0.606186062697826</v>
      </c>
      <c r="G14" s="978" t="n">
        <f aca="false">TableDE5c!G14</f>
        <v>0.780740892345477</v>
      </c>
      <c r="H14" s="978" t="n">
        <v>0</v>
      </c>
      <c r="I14" s="820" t="n">
        <f aca="false">TableDE5c!J14</f>
        <v>0.174554829647651</v>
      </c>
      <c r="J14" s="1131" t="n">
        <f aca="false">F14+B14</f>
        <v>6.61880232947568</v>
      </c>
      <c r="K14" s="1132"/>
      <c r="L14" s="1132"/>
      <c r="M14" s="1133"/>
      <c r="N14" s="978" t="n">
        <f aca="false">DataDE1c!BU37/DataDE1c!B37</f>
        <v>2.47134670487106</v>
      </c>
      <c r="O14" s="1132"/>
      <c r="P14" s="1132"/>
      <c r="Q14" s="1134" t="n">
        <f aca="false">B14/J14</f>
        <v>0.90841453898717</v>
      </c>
      <c r="R14" s="1135" t="n">
        <f aca="false">F14/J14</f>
        <v>0.0915854610128303</v>
      </c>
      <c r="S14" s="158"/>
      <c r="V14" s="158"/>
      <c r="X14" s="1002" t="n">
        <f aca="false">DataDE1c!DC37/DataDE1c!B37-J14</f>
        <v>0</v>
      </c>
      <c r="Y14" s="1136" t="n">
        <f aca="false">TableDE5c!J14-I14</f>
        <v>0</v>
      </c>
    </row>
    <row r="15" customFormat="false" ht="12" hidden="false" customHeight="true" outlineLevel="0" collapsed="false">
      <c r="A15" s="1112" t="n">
        <v>1875</v>
      </c>
      <c r="B15" s="1131" t="n">
        <f aca="false">TableDE5a!F15</f>
        <v>6.38557214085435</v>
      </c>
      <c r="C15" s="1132"/>
      <c r="D15" s="1132"/>
      <c r="E15" s="1133"/>
      <c r="F15" s="1131" t="n">
        <f aca="false">G15+H15-I15</f>
        <v>0.630772259181533</v>
      </c>
      <c r="G15" s="978" t="n">
        <f aca="false">TableDE5c!G15</f>
        <v>0.838378467273325</v>
      </c>
      <c r="H15" s="978" t="n">
        <v>0</v>
      </c>
      <c r="I15" s="820" t="n">
        <f aca="false">TableDE5c!J15</f>
        <v>0.207606208091793</v>
      </c>
      <c r="J15" s="1131" t="n">
        <f aca="false">F15+B15</f>
        <v>7.01634440003588</v>
      </c>
      <c r="K15" s="1132"/>
      <c r="L15" s="1132"/>
      <c r="M15" s="1133"/>
      <c r="N15" s="978" t="n">
        <f aca="false">DataDE1c!BU38/DataDE1c!B38</f>
        <v>2.69433176186822</v>
      </c>
      <c r="O15" s="1132"/>
      <c r="P15" s="1132"/>
      <c r="Q15" s="1134" t="n">
        <f aca="false">B15/J15</f>
        <v>0.910099587018803</v>
      </c>
      <c r="R15" s="1135" t="n">
        <f aca="false">F15/J15</f>
        <v>0.0899004129811967</v>
      </c>
      <c r="S15" s="158"/>
      <c r="V15" s="158"/>
      <c r="X15" s="1002" t="n">
        <f aca="false">DataDE1c!DC38/DataDE1c!B38-J15</f>
        <v>0</v>
      </c>
      <c r="Y15" s="1136" t="n">
        <f aca="false">TableDE5c!J15-I15</f>
        <v>0</v>
      </c>
    </row>
    <row r="16" customFormat="false" ht="12" hidden="false" customHeight="true" outlineLevel="0" collapsed="false">
      <c r="A16" s="1112" t="n">
        <v>1876</v>
      </c>
      <c r="B16" s="1131" t="n">
        <f aca="false">TableDE5a!F16</f>
        <v>6.3737554293766</v>
      </c>
      <c r="C16" s="1132"/>
      <c r="D16" s="1132"/>
      <c r="E16" s="1133"/>
      <c r="F16" s="1131" t="n">
        <f aca="false">G16+H16-I16</f>
        <v>0.606244063091629</v>
      </c>
      <c r="G16" s="978" t="n">
        <f aca="false">TableDE5c!G16</f>
        <v>0.840869807949978</v>
      </c>
      <c r="H16" s="978" t="n">
        <v>0</v>
      </c>
      <c r="I16" s="820" t="n">
        <f aca="false">TableDE5c!J16</f>
        <v>0.234625744858348</v>
      </c>
      <c r="J16" s="1131" t="n">
        <f aca="false">F16+B16</f>
        <v>6.97999949246823</v>
      </c>
      <c r="K16" s="1132"/>
      <c r="L16" s="1132"/>
      <c r="M16" s="1133"/>
      <c r="N16" s="978" t="n">
        <f aca="false">DataDE1c!BU39/DataDE1c!B39</f>
        <v>2.75513622152747</v>
      </c>
      <c r="O16" s="1132"/>
      <c r="P16" s="1132"/>
      <c r="Q16" s="1134" t="n">
        <f aca="false">B16/J16</f>
        <v>0.913145543384953</v>
      </c>
      <c r="R16" s="1135" t="n">
        <f aca="false">F16/J16</f>
        <v>0.0868544566150467</v>
      </c>
      <c r="S16" s="158"/>
      <c r="V16" s="158"/>
      <c r="X16" s="1002" t="n">
        <f aca="false">DataDE1c!DC39/DataDE1c!B39-J16</f>
        <v>0</v>
      </c>
      <c r="Y16" s="1136" t="n">
        <f aca="false">TableDE5c!J16-I16</f>
        <v>0</v>
      </c>
    </row>
    <row r="17" customFormat="false" ht="12" hidden="false" customHeight="true" outlineLevel="0" collapsed="false">
      <c r="A17" s="1112" t="n">
        <v>1877</v>
      </c>
      <c r="B17" s="1131" t="n">
        <f aca="false">TableDE5a!F17</f>
        <v>6.40825540946898</v>
      </c>
      <c r="C17" s="1132"/>
      <c r="D17" s="1132"/>
      <c r="E17" s="1133"/>
      <c r="F17" s="1131" t="n">
        <f aca="false">G17+H17-I17</f>
        <v>0.576124713107427</v>
      </c>
      <c r="G17" s="978" t="n">
        <f aca="false">TableDE5c!G17</f>
        <v>0.846769840358333</v>
      </c>
      <c r="H17" s="978" t="n">
        <v>0</v>
      </c>
      <c r="I17" s="820" t="n">
        <f aca="false">TableDE5c!J17</f>
        <v>0.270645127250906</v>
      </c>
      <c r="J17" s="1131" t="n">
        <f aca="false">F17+B17</f>
        <v>6.9843801225764</v>
      </c>
      <c r="K17" s="1132"/>
      <c r="L17" s="1132"/>
      <c r="M17" s="1133"/>
      <c r="N17" s="978" t="n">
        <f aca="false">DataDE1c!BU40/DataDE1c!B40</f>
        <v>2.81095670150454</v>
      </c>
      <c r="O17" s="1132"/>
      <c r="P17" s="1132"/>
      <c r="Q17" s="1134" t="n">
        <f aca="false">B17/J17</f>
        <v>0.917512405826087</v>
      </c>
      <c r="R17" s="1135" t="n">
        <f aca="false">F17/J17</f>
        <v>0.082487594173913</v>
      </c>
      <c r="S17" s="158"/>
      <c r="V17" s="158"/>
      <c r="X17" s="1002" t="n">
        <f aca="false">DataDE1c!DC40/DataDE1c!B40-J17</f>
        <v>0</v>
      </c>
      <c r="Y17" s="1136" t="n">
        <f aca="false">TableDE5c!J17-I17</f>
        <v>0</v>
      </c>
    </row>
    <row r="18" customFormat="false" ht="12" hidden="false" customHeight="true" outlineLevel="0" collapsed="false">
      <c r="A18" s="1112" t="n">
        <v>1878</v>
      </c>
      <c r="B18" s="1131" t="n">
        <f aca="false">TableDE5a!F18</f>
        <v>6.14869271330516</v>
      </c>
      <c r="C18" s="1132"/>
      <c r="D18" s="1132"/>
      <c r="E18" s="1133"/>
      <c r="F18" s="1131" t="n">
        <f aca="false">G18+H18-I18</f>
        <v>0.526492370157868</v>
      </c>
      <c r="G18" s="978" t="n">
        <f aca="false">TableDE5c!G18</f>
        <v>0.80747678191787</v>
      </c>
      <c r="H18" s="978" t="n">
        <v>0</v>
      </c>
      <c r="I18" s="820" t="n">
        <f aca="false">TableDE5c!J18</f>
        <v>0.280984411760001</v>
      </c>
      <c r="J18" s="1131" t="n">
        <f aca="false">F18+B18</f>
        <v>6.67518508346303</v>
      </c>
      <c r="K18" s="1132"/>
      <c r="L18" s="1132"/>
      <c r="M18" s="1133"/>
      <c r="N18" s="978" t="n">
        <f aca="false">DataDE1c!BU41/DataDE1c!B41</f>
        <v>2.71343851404274</v>
      </c>
      <c r="O18" s="1132"/>
      <c r="P18" s="1132"/>
      <c r="Q18" s="1134" t="n">
        <f aca="false">B18/J18</f>
        <v>0.921126925534666</v>
      </c>
      <c r="R18" s="1135" t="n">
        <f aca="false">F18/J18</f>
        <v>0.0788730744653343</v>
      </c>
      <c r="S18" s="158"/>
      <c r="V18" s="158"/>
      <c r="X18" s="1002" t="n">
        <f aca="false">DataDE1c!DC41/DataDE1c!B41-J18</f>
        <v>0</v>
      </c>
      <c r="Y18" s="1136" t="n">
        <f aca="false">TableDE5c!J18-I18</f>
        <v>0</v>
      </c>
    </row>
    <row r="19" customFormat="false" ht="12" hidden="false" customHeight="true" outlineLevel="0" collapsed="false">
      <c r="A19" s="1137" t="n">
        <v>1879</v>
      </c>
      <c r="B19" s="1138" t="n">
        <f aca="false">TableDE5a!F19</f>
        <v>6.49960650209336</v>
      </c>
      <c r="C19" s="1139"/>
      <c r="D19" s="1139"/>
      <c r="E19" s="1140"/>
      <c r="F19" s="1138" t="n">
        <f aca="false">G19+H19-I19</f>
        <v>0.521320958142765</v>
      </c>
      <c r="G19" s="981" t="n">
        <f aca="false">TableDE5c!G19</f>
        <v>0.850426310109126</v>
      </c>
      <c r="H19" s="981" t="n">
        <v>0</v>
      </c>
      <c r="I19" s="824" t="n">
        <f aca="false">TableDE5c!J19</f>
        <v>0.329105351966361</v>
      </c>
      <c r="J19" s="1138" t="n">
        <f aca="false">F19+B19</f>
        <v>7.02092746023613</v>
      </c>
      <c r="K19" s="1139"/>
      <c r="L19" s="1139"/>
      <c r="M19" s="1140"/>
      <c r="N19" s="981" t="n">
        <f aca="false">DataDE1c!BU42/DataDE1c!B42</f>
        <v>2.88403885357957</v>
      </c>
      <c r="O19" s="1139"/>
      <c r="P19" s="1139"/>
      <c r="Q19" s="1141" t="n">
        <f aca="false">B19/J19</f>
        <v>0.925747565247565</v>
      </c>
      <c r="R19" s="1142" t="n">
        <f aca="false">F19/J19</f>
        <v>0.0742524347524353</v>
      </c>
      <c r="S19" s="158"/>
      <c r="V19" s="158"/>
      <c r="X19" s="1002" t="n">
        <f aca="false">DataDE1c!DC42/DataDE1c!B42-J19</f>
        <v>0</v>
      </c>
      <c r="Y19" s="1136" t="n">
        <f aca="false">TableDE5c!J19-I19</f>
        <v>0</v>
      </c>
    </row>
    <row r="20" customFormat="false" ht="12" hidden="false" customHeight="true" outlineLevel="0" collapsed="false">
      <c r="A20" s="1112" t="n">
        <v>1880</v>
      </c>
      <c r="B20" s="1131" t="n">
        <f aca="false">TableDE5a!F20</f>
        <v>6.45979339331592</v>
      </c>
      <c r="C20" s="1132"/>
      <c r="D20" s="1132"/>
      <c r="E20" s="1133"/>
      <c r="F20" s="1131" t="n">
        <f aca="false">G20+H20-I20</f>
        <v>0.479762327066336</v>
      </c>
      <c r="G20" s="978" t="n">
        <f aca="false">TableDE5c!G20</f>
        <v>0.84833274210713</v>
      </c>
      <c r="H20" s="978" t="n">
        <v>0</v>
      </c>
      <c r="I20" s="820" t="n">
        <f aca="false">TableDE5c!J20</f>
        <v>0.368570415040795</v>
      </c>
      <c r="J20" s="1131" t="n">
        <f aca="false">F20+B20</f>
        <v>6.93955572038226</v>
      </c>
      <c r="K20" s="1132"/>
      <c r="L20" s="1132"/>
      <c r="M20" s="1133"/>
      <c r="N20" s="978" t="n">
        <f aca="false">DataDE1c!BU43/DataDE1c!B43</f>
        <v>2.82606125103465</v>
      </c>
      <c r="O20" s="1132"/>
      <c r="P20" s="1132"/>
      <c r="Q20" s="1134" t="n">
        <f aca="false">B20/J20</f>
        <v>0.930865555894707</v>
      </c>
      <c r="R20" s="1135" t="n">
        <f aca="false">F20/J20</f>
        <v>0.0691344441052933</v>
      </c>
      <c r="S20" s="158"/>
      <c r="U20" s="158"/>
      <c r="V20" s="1143"/>
      <c r="W20" s="158"/>
      <c r="X20" s="1002" t="n">
        <f aca="false">DataDE1c!DC43/DataDE1c!B43-J20</f>
        <v>0</v>
      </c>
      <c r="Y20" s="1136" t="n">
        <f aca="false">TableDE5c!J20-I20</f>
        <v>0</v>
      </c>
    </row>
    <row r="21" customFormat="false" ht="12" hidden="false" customHeight="true" outlineLevel="0" collapsed="false">
      <c r="A21" s="1112" t="n">
        <v>1881</v>
      </c>
      <c r="B21" s="1131" t="n">
        <f aca="false">TableDE5a!F21</f>
        <v>6.41567616515221</v>
      </c>
      <c r="C21" s="1132"/>
      <c r="D21" s="1132"/>
      <c r="E21" s="1133"/>
      <c r="F21" s="1131" t="n">
        <f aca="false">G21+H21-I21</f>
        <v>0.440406494702902</v>
      </c>
      <c r="G21" s="978" t="n">
        <f aca="false">TableDE5c!G21</f>
        <v>0.831096269000461</v>
      </c>
      <c r="H21" s="978" t="n">
        <v>0</v>
      </c>
      <c r="I21" s="820" t="n">
        <f aca="false">TableDE5c!J21</f>
        <v>0.390689774297559</v>
      </c>
      <c r="J21" s="1131" t="n">
        <f aca="false">F21+B21</f>
        <v>6.85608265985512</v>
      </c>
      <c r="K21" s="1132"/>
      <c r="L21" s="1132"/>
      <c r="M21" s="1133"/>
      <c r="N21" s="978" t="n">
        <f aca="false">DataDE1c!BU44/DataDE1c!B44</f>
        <v>2.74355135882082</v>
      </c>
      <c r="O21" s="1132"/>
      <c r="P21" s="1132"/>
      <c r="Q21" s="1134" t="n">
        <f aca="false">B21/J21</f>
        <v>0.935764121211425</v>
      </c>
      <c r="R21" s="1135" t="n">
        <f aca="false">F21/J21</f>
        <v>0.0642358787885747</v>
      </c>
      <c r="S21" s="158"/>
      <c r="U21" s="158"/>
      <c r="V21" s="1143"/>
      <c r="W21" s="158"/>
      <c r="X21" s="1002" t="n">
        <f aca="false">DataDE1c!DC44/DataDE1c!B44-J21</f>
        <v>0</v>
      </c>
      <c r="Y21" s="1136" t="n">
        <f aca="false">TableDE5c!J21-I21</f>
        <v>0</v>
      </c>
    </row>
    <row r="22" customFormat="false" ht="12" hidden="false" customHeight="true" outlineLevel="0" collapsed="false">
      <c r="A22" s="1112" t="n">
        <v>1882</v>
      </c>
      <c r="B22" s="1131" t="n">
        <f aca="false">TableDE5a!F22</f>
        <v>6.4956121267504</v>
      </c>
      <c r="C22" s="1132"/>
      <c r="D22" s="1132"/>
      <c r="E22" s="1133"/>
      <c r="F22" s="1131" t="n">
        <f aca="false">G22+H22-I22</f>
        <v>0.433439945171055</v>
      </c>
      <c r="G22" s="978" t="n">
        <f aca="false">TableDE5c!G22</f>
        <v>0.848940544862642</v>
      </c>
      <c r="H22" s="978" t="n">
        <v>0</v>
      </c>
      <c r="I22" s="820" t="n">
        <f aca="false">TableDE5c!J22</f>
        <v>0.415500599691587</v>
      </c>
      <c r="J22" s="1131" t="n">
        <f aca="false">F22+B22</f>
        <v>6.92905207192145</v>
      </c>
      <c r="K22" s="1132"/>
      <c r="L22" s="1132"/>
      <c r="M22" s="1133"/>
      <c r="N22" s="978" t="n">
        <f aca="false">DataDE1c!BU45/DataDE1c!B45</f>
        <v>2.69004511965275</v>
      </c>
      <c r="O22" s="1132"/>
      <c r="P22" s="1132"/>
      <c r="Q22" s="1134" t="n">
        <f aca="false">B22/J22</f>
        <v>0.937445996844578</v>
      </c>
      <c r="R22" s="1135" t="n">
        <f aca="false">F22/J22</f>
        <v>0.0625540031554216</v>
      </c>
      <c r="S22" s="158"/>
      <c r="U22" s="158"/>
      <c r="V22" s="1143"/>
      <c r="W22" s="158"/>
      <c r="X22" s="1002" t="n">
        <f aca="false">DataDE1c!DC45/DataDE1c!B45-J22</f>
        <v>0</v>
      </c>
      <c r="Y22" s="1136" t="n">
        <f aca="false">TableDE5c!J22-I22</f>
        <v>0</v>
      </c>
    </row>
    <row r="23" customFormat="false" ht="12" hidden="false" customHeight="true" outlineLevel="0" collapsed="false">
      <c r="A23" s="1112" t="n">
        <v>1883</v>
      </c>
      <c r="B23" s="1131" t="n">
        <f aca="false">TableDE5a!F23</f>
        <v>6.40803833582627</v>
      </c>
      <c r="C23" s="1132"/>
      <c r="D23" s="1132"/>
      <c r="E23" s="1133"/>
      <c r="F23" s="1131" t="n">
        <f aca="false">G23+H23-I23</f>
        <v>0.428808376267243</v>
      </c>
      <c r="G23" s="978" t="n">
        <f aca="false">TableDE5c!G23</f>
        <v>0.858119771757797</v>
      </c>
      <c r="H23" s="978" t="n">
        <v>0</v>
      </c>
      <c r="I23" s="820" t="n">
        <f aca="false">TableDE5c!J23</f>
        <v>0.429311395490555</v>
      </c>
      <c r="J23" s="1131" t="n">
        <f aca="false">F23+B23</f>
        <v>6.83684671209351</v>
      </c>
      <c r="K23" s="1132"/>
      <c r="L23" s="1132"/>
      <c r="M23" s="1133"/>
      <c r="N23" s="978" t="n">
        <f aca="false">DataDE1c!BU46/DataDE1c!B46</f>
        <v>2.56218492050302</v>
      </c>
      <c r="O23" s="1132"/>
      <c r="P23" s="1132"/>
      <c r="Q23" s="1134" t="n">
        <f aca="false">B23/J23</f>
        <v>0.937279802469648</v>
      </c>
      <c r="R23" s="1135" t="n">
        <f aca="false">F23/J23</f>
        <v>0.062720197530352</v>
      </c>
      <c r="S23" s="158"/>
      <c r="U23" s="158"/>
      <c r="V23" s="1143"/>
      <c r="W23" s="158"/>
      <c r="X23" s="1002" t="n">
        <f aca="false">DataDE1c!DC46/DataDE1c!B46-J23</f>
        <v>0</v>
      </c>
      <c r="Y23" s="1136" t="n">
        <f aca="false">TableDE5c!J23-I23</f>
        <v>0</v>
      </c>
    </row>
    <row r="24" customFormat="false" ht="12" hidden="false" customHeight="true" outlineLevel="0" collapsed="false">
      <c r="A24" s="1112" t="n">
        <v>1884</v>
      </c>
      <c r="B24" s="1131" t="n">
        <f aca="false">TableDE5a!F24</f>
        <v>6.28028631397664</v>
      </c>
      <c r="C24" s="1132"/>
      <c r="D24" s="1132"/>
      <c r="E24" s="1133"/>
      <c r="F24" s="1131" t="n">
        <f aca="false">G24+H24-I24</f>
        <v>0.40924492761423</v>
      </c>
      <c r="G24" s="978" t="n">
        <f aca="false">TableDE5c!G24</f>
        <v>0.853623593993865</v>
      </c>
      <c r="H24" s="978" t="n">
        <v>0</v>
      </c>
      <c r="I24" s="820" t="n">
        <f aca="false">TableDE5c!J24</f>
        <v>0.444378666379635</v>
      </c>
      <c r="J24" s="1131" t="n">
        <f aca="false">F24+B24</f>
        <v>6.68953124159087</v>
      </c>
      <c r="K24" s="1132"/>
      <c r="L24" s="1132"/>
      <c r="M24" s="1133"/>
      <c r="N24" s="978" t="n">
        <f aca="false">DataDE1c!BU47/DataDE1c!B47</f>
        <v>2.45411979979549</v>
      </c>
      <c r="O24" s="1132"/>
      <c r="P24" s="1132"/>
      <c r="Q24" s="1134" t="n">
        <f aca="false">B24/J24</f>
        <v>0.938823078503643</v>
      </c>
      <c r="R24" s="1135" t="n">
        <f aca="false">F24/J24</f>
        <v>0.0611769214963566</v>
      </c>
      <c r="S24" s="158"/>
      <c r="U24" s="158"/>
      <c r="V24" s="1143"/>
      <c r="W24" s="158"/>
      <c r="X24" s="1002" t="n">
        <f aca="false">DataDE1c!DC47/DataDE1c!B47-J24</f>
        <v>0</v>
      </c>
      <c r="Y24" s="1136" t="n">
        <f aca="false">TableDE5c!J24-I24</f>
        <v>0</v>
      </c>
    </row>
    <row r="25" customFormat="false" ht="12" hidden="false" customHeight="true" outlineLevel="0" collapsed="false">
      <c r="A25" s="1112" t="n">
        <v>1885</v>
      </c>
      <c r="B25" s="1131" t="n">
        <f aca="false">TableDE5a!F25</f>
        <v>6.38547560585033</v>
      </c>
      <c r="C25" s="1132"/>
      <c r="D25" s="1132"/>
      <c r="E25" s="1133"/>
      <c r="F25" s="1131" t="n">
        <f aca="false">G25+H25-I25</f>
        <v>0.404030105690189</v>
      </c>
      <c r="G25" s="978" t="n">
        <f aca="false">TableDE5c!G25</f>
        <v>0.872082844026903</v>
      </c>
      <c r="H25" s="978" t="n">
        <v>0</v>
      </c>
      <c r="I25" s="820" t="n">
        <f aca="false">TableDE5c!J25</f>
        <v>0.468052738336714</v>
      </c>
      <c r="J25" s="1131" t="n">
        <f aca="false">F25+B25</f>
        <v>6.78950571154052</v>
      </c>
      <c r="K25" s="1132"/>
      <c r="L25" s="1132"/>
      <c r="M25" s="1133"/>
      <c r="N25" s="978" t="n">
        <f aca="false">DataDE1c!BU48/DataDE1c!B48</f>
        <v>2.43674602327319</v>
      </c>
      <c r="O25" s="1132"/>
      <c r="P25" s="1132"/>
      <c r="Q25" s="1134" t="n">
        <f aca="false">B25/J25</f>
        <v>0.940491970571078</v>
      </c>
      <c r="R25" s="1135" t="n">
        <f aca="false">F25/J25</f>
        <v>0.0595080294289223</v>
      </c>
      <c r="S25" s="158"/>
      <c r="U25" s="158"/>
      <c r="V25" s="1143"/>
      <c r="W25" s="158"/>
      <c r="X25" s="1002" t="n">
        <f aca="false">DataDE1c!DC48/DataDE1c!B48-J25</f>
        <v>0</v>
      </c>
      <c r="Y25" s="1136" t="n">
        <f aca="false">TableDE5c!J25-I25</f>
        <v>0</v>
      </c>
    </row>
    <row r="26" customFormat="false" ht="12" hidden="false" customHeight="true" outlineLevel="0" collapsed="false">
      <c r="A26" s="1112" t="n">
        <v>1886</v>
      </c>
      <c r="B26" s="1131" t="n">
        <f aca="false">TableDE5a!F26</f>
        <v>6.51861730220767</v>
      </c>
      <c r="C26" s="1132"/>
      <c r="D26" s="1132"/>
      <c r="E26" s="1133"/>
      <c r="F26" s="1131" t="n">
        <f aca="false">G26+H26-I26</f>
        <v>0.40111122847787</v>
      </c>
      <c r="G26" s="978" t="n">
        <f aca="false">TableDE5c!G26</f>
        <v>0.890653850216541</v>
      </c>
      <c r="H26" s="978" t="n">
        <v>0</v>
      </c>
      <c r="I26" s="820" t="n">
        <f aca="false">TableDE5c!J26</f>
        <v>0.489542621738671</v>
      </c>
      <c r="J26" s="1131" t="n">
        <f aca="false">F26+B26</f>
        <v>6.91972853068554</v>
      </c>
      <c r="K26" s="1132"/>
      <c r="L26" s="1132"/>
      <c r="M26" s="1133"/>
      <c r="N26" s="978" t="n">
        <f aca="false">DataDE1c!BU49/DataDE1c!B49</f>
        <v>2.44533643181578</v>
      </c>
      <c r="O26" s="1132"/>
      <c r="P26" s="1132"/>
      <c r="Q26" s="1134" t="n">
        <f aca="false">B26/J26</f>
        <v>0.942033675642167</v>
      </c>
      <c r="R26" s="1135" t="n">
        <f aca="false">F26/J26</f>
        <v>0.0579663243578332</v>
      </c>
      <c r="S26" s="158"/>
      <c r="U26" s="158"/>
      <c r="V26" s="1143"/>
      <c r="W26" s="158"/>
      <c r="X26" s="1002" t="n">
        <f aca="false">DataDE1c!DC49/DataDE1c!B49-J26</f>
        <v>0</v>
      </c>
      <c r="Y26" s="1136" t="n">
        <f aca="false">TableDE5c!J26-I26</f>
        <v>0</v>
      </c>
    </row>
    <row r="27" customFormat="false" ht="12" hidden="false" customHeight="true" outlineLevel="0" collapsed="false">
      <c r="A27" s="1112" t="n">
        <v>1887</v>
      </c>
      <c r="B27" s="1131" t="n">
        <f aca="false">TableDE5a!F27</f>
        <v>6.64824238018589</v>
      </c>
      <c r="C27" s="1132"/>
      <c r="D27" s="1132"/>
      <c r="E27" s="1133"/>
      <c r="F27" s="1131" t="n">
        <f aca="false">G27+H27-I27</f>
        <v>0.405490420063347</v>
      </c>
      <c r="G27" s="978" t="n">
        <f aca="false">TableDE5c!G27</f>
        <v>0.913642452879173</v>
      </c>
      <c r="H27" s="978" t="n">
        <v>0</v>
      </c>
      <c r="I27" s="820" t="n">
        <f aca="false">TableDE5c!J27</f>
        <v>0.508152032815827</v>
      </c>
      <c r="J27" s="1131" t="n">
        <f aca="false">F27+B27</f>
        <v>7.05373280024924</v>
      </c>
      <c r="K27" s="1132"/>
      <c r="L27" s="1132"/>
      <c r="M27" s="1133"/>
      <c r="N27" s="978" t="n">
        <f aca="false">DataDE1c!BU50/DataDE1c!B50</f>
        <v>2.45339841113246</v>
      </c>
      <c r="O27" s="1132"/>
      <c r="P27" s="1132"/>
      <c r="Q27" s="1134" t="n">
        <f aca="false">B27/J27</f>
        <v>0.942514065737078</v>
      </c>
      <c r="R27" s="1135" t="n">
        <f aca="false">F27/J27</f>
        <v>0.0574859342629224</v>
      </c>
      <c r="S27" s="158"/>
      <c r="U27" s="158"/>
      <c r="V27" s="1143"/>
      <c r="W27" s="158"/>
      <c r="X27" s="1002" t="n">
        <f aca="false">DataDE1c!DC50/DataDE1c!B50-J27</f>
        <v>0</v>
      </c>
      <c r="Y27" s="1136" t="n">
        <f aca="false">TableDE5c!J27-I27</f>
        <v>0</v>
      </c>
    </row>
    <row r="28" customFormat="false" ht="12" hidden="false" customHeight="true" outlineLevel="0" collapsed="false">
      <c r="A28" s="1112" t="n">
        <v>1888</v>
      </c>
      <c r="B28" s="1131" t="n">
        <f aca="false">TableDE5a!F28</f>
        <v>6.48403381642512</v>
      </c>
      <c r="C28" s="1132"/>
      <c r="D28" s="1132"/>
      <c r="E28" s="1133"/>
      <c r="F28" s="1131" t="n">
        <f aca="false">G28+H28-I28</f>
        <v>0.393985507246377</v>
      </c>
      <c r="G28" s="978" t="n">
        <f aca="false">TableDE5c!G28</f>
        <v>0.89780193236715</v>
      </c>
      <c r="H28" s="978" t="n">
        <v>0</v>
      </c>
      <c r="I28" s="820" t="n">
        <f aca="false">TableDE5c!J28</f>
        <v>0.503816425120773</v>
      </c>
      <c r="J28" s="1131" t="n">
        <f aca="false">F28+B28</f>
        <v>6.8780193236715</v>
      </c>
      <c r="K28" s="1132"/>
      <c r="L28" s="1132"/>
      <c r="M28" s="1133"/>
      <c r="N28" s="978" t="n">
        <f aca="false">DataDE1c!BU51/DataDE1c!B51</f>
        <v>2.31159420289855</v>
      </c>
      <c r="O28" s="1132"/>
      <c r="P28" s="1132"/>
      <c r="Q28" s="1134" t="n">
        <f aca="false">B28/J28</f>
        <v>0.942718173836699</v>
      </c>
      <c r="R28" s="1135" t="n">
        <f aca="false">F28/J28</f>
        <v>0.0572818261633011</v>
      </c>
      <c r="S28" s="158"/>
      <c r="U28" s="158"/>
      <c r="V28" s="1143"/>
      <c r="W28" s="158"/>
      <c r="X28" s="1002" t="n">
        <f aca="false">DataDE1c!DC51/DataDE1c!B51-J28</f>
        <v>0</v>
      </c>
      <c r="Y28" s="1136" t="n">
        <f aca="false">TableDE5c!J28-I28</f>
        <v>0</v>
      </c>
    </row>
    <row r="29" customFormat="false" ht="12" hidden="false" customHeight="true" outlineLevel="0" collapsed="false">
      <c r="A29" s="1137" t="n">
        <v>1889</v>
      </c>
      <c r="B29" s="1138" t="n">
        <f aca="false">TableDE5a!F29</f>
        <v>6.33770174886481</v>
      </c>
      <c r="C29" s="1139"/>
      <c r="D29" s="1139"/>
      <c r="E29" s="1140"/>
      <c r="F29" s="1138" t="n">
        <f aca="false">G29+H29-I29</f>
        <v>0.382767612282516</v>
      </c>
      <c r="G29" s="981" t="n">
        <f aca="false">TableDE5c!G29</f>
        <v>0.879710470709886</v>
      </c>
      <c r="H29" s="981" t="n">
        <v>0</v>
      </c>
      <c r="I29" s="824" t="n">
        <f aca="false">TableDE5c!J29</f>
        <v>0.496942858427371</v>
      </c>
      <c r="J29" s="1138" t="n">
        <f aca="false">F29+B29</f>
        <v>6.72046936114733</v>
      </c>
      <c r="K29" s="1139"/>
      <c r="L29" s="1139"/>
      <c r="M29" s="1140"/>
      <c r="N29" s="981" t="n">
        <f aca="false">DataDE1c!BU52/DataDE1c!B52</f>
        <v>2.1557343883469</v>
      </c>
      <c r="O29" s="1139"/>
      <c r="P29" s="1139"/>
      <c r="Q29" s="1141" t="n">
        <f aca="false">B29/J29</f>
        <v>0.943044511965877</v>
      </c>
      <c r="R29" s="1142" t="n">
        <f aca="false">F29/J29</f>
        <v>0.0569554880341228</v>
      </c>
      <c r="S29" s="158"/>
      <c r="U29" s="158"/>
      <c r="V29" s="1143"/>
      <c r="W29" s="158"/>
      <c r="X29" s="1002" t="n">
        <f aca="false">DataDE1c!DC52/DataDE1c!B52-J29</f>
        <v>0</v>
      </c>
      <c r="Y29" s="1136" t="n">
        <f aca="false">TableDE5c!J29-I29</f>
        <v>0</v>
      </c>
    </row>
    <row r="30" customFormat="false" ht="12" hidden="false" customHeight="true" outlineLevel="0" collapsed="false">
      <c r="A30" s="1112" t="n">
        <v>1890</v>
      </c>
      <c r="B30" s="1131" t="n">
        <f aca="false">TableDE5a!F30</f>
        <v>6.22249492213947</v>
      </c>
      <c r="C30" s="1132"/>
      <c r="D30" s="1132"/>
      <c r="E30" s="1133"/>
      <c r="F30" s="1131" t="n">
        <f aca="false">G30+H30-I30</f>
        <v>0.343305687203792</v>
      </c>
      <c r="G30" s="978" t="n">
        <f aca="false">TableDE5c!G30</f>
        <v>0.840470548408937</v>
      </c>
      <c r="H30" s="978" t="n">
        <v>0</v>
      </c>
      <c r="I30" s="820" t="n">
        <f aca="false">TableDE5c!J30</f>
        <v>0.497164861205146</v>
      </c>
      <c r="J30" s="1131" t="n">
        <f aca="false">F30+B30</f>
        <v>6.56580060934326</v>
      </c>
      <c r="K30" s="1132"/>
      <c r="L30" s="1132"/>
      <c r="M30" s="1133"/>
      <c r="N30" s="978" t="n">
        <f aca="false">DataDE1c!BU53/DataDE1c!B53</f>
        <v>1.99729180771835</v>
      </c>
      <c r="O30" s="1132"/>
      <c r="P30" s="1132"/>
      <c r="Q30" s="1134" t="n">
        <f aca="false">B30/J30</f>
        <v>0.947713050147265</v>
      </c>
      <c r="R30" s="1135" t="n">
        <f aca="false">F30/J30</f>
        <v>0.0522869498527355</v>
      </c>
      <c r="S30" s="158"/>
      <c r="U30" s="158"/>
      <c r="V30" s="1143"/>
      <c r="W30" s="158"/>
      <c r="X30" s="1002" t="n">
        <f aca="false">DataDE1c!DC53/DataDE1c!B53-J30</f>
        <v>0</v>
      </c>
      <c r="Y30" s="1136" t="n">
        <f aca="false">TableDE5c!J30-I30</f>
        <v>0</v>
      </c>
    </row>
    <row r="31" customFormat="false" ht="12" hidden="false" customHeight="true" outlineLevel="0" collapsed="false">
      <c r="A31" s="1112" t="n">
        <v>1891</v>
      </c>
      <c r="B31" s="1131" t="n">
        <f aca="false">TableDE5a!F31</f>
        <v>6.54865871502682</v>
      </c>
      <c r="C31" s="1132"/>
      <c r="D31" s="1132"/>
      <c r="E31" s="1133"/>
      <c r="F31" s="1131" t="n">
        <f aca="false">G31+H31-I31</f>
        <v>0.341852525162949</v>
      </c>
      <c r="G31" s="978" t="n">
        <f aca="false">TableDE5c!G31</f>
        <v>0.886143750277125</v>
      </c>
      <c r="H31" s="978" t="n">
        <v>0</v>
      </c>
      <c r="I31" s="820" t="n">
        <f aca="false">TableDE5c!J31</f>
        <v>0.544291225114176</v>
      </c>
      <c r="J31" s="1131" t="n">
        <f aca="false">F31+B31</f>
        <v>6.89051124018977</v>
      </c>
      <c r="K31" s="1132"/>
      <c r="L31" s="1132"/>
      <c r="M31" s="1133"/>
      <c r="N31" s="978" t="n">
        <f aca="false">DataDE1c!BU54/DataDE1c!B54</f>
        <v>2.0396399592072</v>
      </c>
      <c r="O31" s="1132"/>
      <c r="P31" s="1132"/>
      <c r="Q31" s="1134" t="n">
        <f aca="false">B31/J31</f>
        <v>0.950387930119169</v>
      </c>
      <c r="R31" s="1135" t="n">
        <f aca="false">F31/J31</f>
        <v>0.0496120698808314</v>
      </c>
      <c r="S31" s="158"/>
      <c r="U31" s="158"/>
      <c r="V31" s="1143"/>
      <c r="W31" s="158"/>
      <c r="X31" s="1002" t="n">
        <f aca="false">DataDE1c!DC54/DataDE1c!B54-J31</f>
        <v>0</v>
      </c>
      <c r="Y31" s="1136" t="n">
        <f aca="false">TableDE5c!J31-I31</f>
        <v>0</v>
      </c>
    </row>
    <row r="32" customFormat="false" ht="12" hidden="false" customHeight="true" outlineLevel="0" collapsed="false">
      <c r="A32" s="1112" t="n">
        <v>1892</v>
      </c>
      <c r="B32" s="1131" t="n">
        <f aca="false">TableDE5a!F32</f>
        <v>6.0335495675316</v>
      </c>
      <c r="C32" s="1132"/>
      <c r="D32" s="1132"/>
      <c r="E32" s="1133"/>
      <c r="F32" s="1131" t="n">
        <f aca="false">G32+H32-I32</f>
        <v>0.293733366600133</v>
      </c>
      <c r="G32" s="978" t="n">
        <f aca="false">TableDE5c!G32</f>
        <v>0.833063040585496</v>
      </c>
      <c r="H32" s="978" t="n">
        <v>0</v>
      </c>
      <c r="I32" s="820" t="n">
        <f aca="false">TableDE5c!J32</f>
        <v>0.539329673985363</v>
      </c>
      <c r="J32" s="1131" t="n">
        <f aca="false">F32+B32</f>
        <v>6.32728293413174</v>
      </c>
      <c r="K32" s="1132"/>
      <c r="L32" s="1132"/>
      <c r="M32" s="1133"/>
      <c r="N32" s="978" t="n">
        <f aca="false">DataDE1c!BU55/DataDE1c!B55</f>
        <v>1.87125748502994</v>
      </c>
      <c r="O32" s="1132"/>
      <c r="P32" s="1132"/>
      <c r="Q32" s="1134" t="n">
        <f aca="false">B32/J32</f>
        <v>0.953576697982696</v>
      </c>
      <c r="R32" s="1135" t="n">
        <f aca="false">F32/J32</f>
        <v>0.0464233020173043</v>
      </c>
      <c r="S32" s="158"/>
      <c r="U32" s="158"/>
      <c r="V32" s="1143"/>
      <c r="W32" s="158"/>
      <c r="X32" s="1002" t="n">
        <f aca="false">DataDE1c!DC55/DataDE1c!B55-J32</f>
        <v>0</v>
      </c>
      <c r="Y32" s="1136" t="n">
        <f aca="false">TableDE5c!J32-I32</f>
        <v>0</v>
      </c>
    </row>
    <row r="33" customFormat="false" ht="12" hidden="false" customHeight="true" outlineLevel="0" collapsed="false">
      <c r="A33" s="1112" t="n">
        <v>1893</v>
      </c>
      <c r="B33" s="1131" t="n">
        <f aca="false">TableDE5a!F33</f>
        <v>5.91598323609171</v>
      </c>
      <c r="C33" s="1132"/>
      <c r="D33" s="1132"/>
      <c r="E33" s="1133"/>
      <c r="F33" s="1131" t="n">
        <f aca="false">G33+H33-I33</f>
        <v>0.259398471526009</v>
      </c>
      <c r="G33" s="978" t="n">
        <f aca="false">TableDE5c!G33</f>
        <v>0.807972717561016</v>
      </c>
      <c r="H33" s="978" t="n">
        <v>0</v>
      </c>
      <c r="I33" s="820" t="n">
        <f aca="false">TableDE5c!J33</f>
        <v>0.548574246035007</v>
      </c>
      <c r="J33" s="1131" t="n">
        <f aca="false">F33+B33</f>
        <v>6.17538170761772</v>
      </c>
      <c r="K33" s="1132"/>
      <c r="L33" s="1132"/>
      <c r="M33" s="1133"/>
      <c r="N33" s="978" t="n">
        <f aca="false">DataDE1c!BU56/DataDE1c!B56</f>
        <v>1.82225326649684</v>
      </c>
      <c r="O33" s="1132"/>
      <c r="P33" s="1132"/>
      <c r="Q33" s="1134" t="n">
        <f aca="false">B33/J33</f>
        <v>0.95799474691483</v>
      </c>
      <c r="R33" s="1135" t="n">
        <f aca="false">F33/J33</f>
        <v>0.0420052530851695</v>
      </c>
      <c r="S33" s="158"/>
      <c r="U33" s="158"/>
      <c r="V33" s="1143"/>
      <c r="W33" s="158"/>
      <c r="X33" s="1002" t="n">
        <f aca="false">DataDE1c!DC56/DataDE1c!B56-J33</f>
        <v>0</v>
      </c>
      <c r="Y33" s="1136" t="n">
        <f aca="false">TableDE5c!J33-I33</f>
        <v>0</v>
      </c>
    </row>
    <row r="34" customFormat="false" ht="12" hidden="false" customHeight="true" outlineLevel="0" collapsed="false">
      <c r="A34" s="1112" t="n">
        <v>1894</v>
      </c>
      <c r="B34" s="1131" t="n">
        <f aca="false">TableDE5a!F34</f>
        <v>5.9968304015931</v>
      </c>
      <c r="C34" s="1132"/>
      <c r="D34" s="1132"/>
      <c r="E34" s="1133"/>
      <c r="F34" s="1131" t="n">
        <f aca="false">G34+H34-I34</f>
        <v>0.238658313972784</v>
      </c>
      <c r="G34" s="978" t="n">
        <f aca="false">TableDE5c!G34</f>
        <v>0.813359608363757</v>
      </c>
      <c r="H34" s="978" t="n">
        <v>0</v>
      </c>
      <c r="I34" s="820" t="n">
        <f aca="false">TableDE5c!J34</f>
        <v>0.574701294390973</v>
      </c>
      <c r="J34" s="1131" t="n">
        <f aca="false">F34+B34</f>
        <v>6.23548871556588</v>
      </c>
      <c r="K34" s="1132"/>
      <c r="L34" s="1132"/>
      <c r="M34" s="1133"/>
      <c r="N34" s="978" t="n">
        <f aca="false">DataDE1c!BU57/DataDE1c!B57</f>
        <v>1.82749751078659</v>
      </c>
      <c r="O34" s="1132"/>
      <c r="P34" s="1132"/>
      <c r="Q34" s="1134" t="n">
        <f aca="false">B34/J34</f>
        <v>0.961725804526434</v>
      </c>
      <c r="R34" s="1135" t="n">
        <f aca="false">F34/J34</f>
        <v>0.0382741954735661</v>
      </c>
      <c r="S34" s="158"/>
      <c r="U34" s="158"/>
      <c r="V34" s="1143"/>
      <c r="W34" s="158"/>
      <c r="X34" s="1002" t="n">
        <f aca="false">DataDE1c!DC57/DataDE1c!B57-J34</f>
        <v>0</v>
      </c>
      <c r="Y34" s="1136" t="n">
        <f aca="false">TableDE5c!J34-I34</f>
        <v>0</v>
      </c>
    </row>
    <row r="35" customFormat="false" ht="12" hidden="false" customHeight="true" outlineLevel="0" collapsed="false">
      <c r="A35" s="1112" t="n">
        <v>1895</v>
      </c>
      <c r="B35" s="1131" t="n">
        <f aca="false">TableDE5a!F35</f>
        <v>5.82088369328314</v>
      </c>
      <c r="C35" s="1132"/>
      <c r="D35" s="1132"/>
      <c r="E35" s="1133"/>
      <c r="F35" s="1131" t="n">
        <f aca="false">G35+H35-I35</f>
        <v>0.228301961561323</v>
      </c>
      <c r="G35" s="978" t="n">
        <f aca="false">TableDE5c!G35</f>
        <v>0.796718842876957</v>
      </c>
      <c r="H35" s="978" t="n">
        <v>0</v>
      </c>
      <c r="I35" s="820" t="n">
        <f aca="false">TableDE5c!J35</f>
        <v>0.568416881315633</v>
      </c>
      <c r="J35" s="1131" t="n">
        <f aca="false">F35+B35</f>
        <v>6.04918565484446</v>
      </c>
      <c r="K35" s="1132"/>
      <c r="L35" s="1132"/>
      <c r="M35" s="1133"/>
      <c r="N35" s="978" t="n">
        <f aca="false">DataDE1c!BU58/DataDE1c!B58</f>
        <v>1.73370319001387</v>
      </c>
      <c r="O35" s="1132"/>
      <c r="P35" s="1132"/>
      <c r="Q35" s="1134" t="n">
        <f aca="false">B35/J35</f>
        <v>0.962259058559645</v>
      </c>
      <c r="R35" s="1135" t="n">
        <f aca="false">F35/J35</f>
        <v>0.0377409414403555</v>
      </c>
      <c r="S35" s="158"/>
      <c r="U35" s="158"/>
      <c r="V35" s="1143"/>
      <c r="W35" s="158"/>
      <c r="X35" s="1002" t="n">
        <f aca="false">DataDE1c!DC58/DataDE1c!B58-J35</f>
        <v>0</v>
      </c>
      <c r="Y35" s="1136" t="n">
        <f aca="false">TableDE5c!J35-I35</f>
        <v>0</v>
      </c>
    </row>
    <row r="36" customFormat="false" ht="12" hidden="false" customHeight="true" outlineLevel="0" collapsed="false">
      <c r="A36" s="1112" t="n">
        <v>1896</v>
      </c>
      <c r="B36" s="1131" t="n">
        <f aca="false">TableDE5a!F36</f>
        <v>5.66284823978929</v>
      </c>
      <c r="C36" s="1132"/>
      <c r="D36" s="1132"/>
      <c r="E36" s="1133"/>
      <c r="F36" s="1131" t="n">
        <f aca="false">G36+H36-I36</f>
        <v>0.24320807211485</v>
      </c>
      <c r="G36" s="978" t="n">
        <f aca="false">TableDE5c!G36</f>
        <v>0.789055161924547</v>
      </c>
      <c r="H36" s="978" t="n">
        <v>0</v>
      </c>
      <c r="I36" s="820" t="n">
        <f aca="false">TableDE5c!J36</f>
        <v>0.545847089809697</v>
      </c>
      <c r="J36" s="1131" t="n">
        <f aca="false">F36+B36</f>
        <v>5.90605631190414</v>
      </c>
      <c r="K36" s="1132"/>
      <c r="L36" s="1132"/>
      <c r="M36" s="1133"/>
      <c r="N36" s="978" t="n">
        <f aca="false">DataDE1c!BU59/DataDE1c!B59</f>
        <v>1.62851949400898</v>
      </c>
      <c r="O36" s="1132"/>
      <c r="P36" s="1132"/>
      <c r="Q36" s="1134" t="n">
        <f aca="false">B36/J36</f>
        <v>0.958820563287783</v>
      </c>
      <c r="R36" s="1135" t="n">
        <f aca="false">F36/J36</f>
        <v>0.0411794367122175</v>
      </c>
      <c r="S36" s="158"/>
      <c r="U36" s="158"/>
      <c r="V36" s="1143"/>
      <c r="W36" s="158"/>
      <c r="X36" s="1002" t="n">
        <f aca="false">DataDE1c!DC59/DataDE1c!B59-J36</f>
        <v>0</v>
      </c>
      <c r="Y36" s="1136" t="n">
        <f aca="false">TableDE5c!J36-I36</f>
        <v>0</v>
      </c>
    </row>
    <row r="37" customFormat="false" ht="12" hidden="false" customHeight="true" outlineLevel="0" collapsed="false">
      <c r="A37" s="1112" t="n">
        <v>1897</v>
      </c>
      <c r="B37" s="1131" t="n">
        <f aca="false">TableDE5a!F37</f>
        <v>5.63600641539695</v>
      </c>
      <c r="C37" s="1132"/>
      <c r="D37" s="1132"/>
      <c r="E37" s="1133"/>
      <c r="F37" s="1131" t="n">
        <f aca="false">G37+H37-I37</f>
        <v>0.268317004288553</v>
      </c>
      <c r="G37" s="978" t="n">
        <f aca="false">TableDE5c!G37</f>
        <v>0.793291726229908</v>
      </c>
      <c r="H37" s="978" t="n">
        <v>0</v>
      </c>
      <c r="I37" s="820" t="n">
        <f aca="false">TableDE5c!J37</f>
        <v>0.524974721941355</v>
      </c>
      <c r="J37" s="1131" t="n">
        <f aca="false">F37+B37</f>
        <v>5.90432341968551</v>
      </c>
      <c r="K37" s="1132"/>
      <c r="L37" s="1132"/>
      <c r="M37" s="1133"/>
      <c r="N37" s="978" t="n">
        <f aca="false">DataDE1c!BU60/DataDE1c!B60</f>
        <v>1.55677974966005</v>
      </c>
      <c r="O37" s="1132"/>
      <c r="P37" s="1132"/>
      <c r="Q37" s="1134" t="n">
        <f aca="false">B37/J37</f>
        <v>0.95455584235207</v>
      </c>
      <c r="R37" s="1135" t="n">
        <f aca="false">F37/J37</f>
        <v>0.04544415764793</v>
      </c>
      <c r="S37" s="158"/>
      <c r="U37" s="158"/>
      <c r="V37" s="1143"/>
      <c r="W37" s="158"/>
      <c r="X37" s="1002" t="n">
        <f aca="false">DataDE1c!DC60/DataDE1c!B60-J37</f>
        <v>0</v>
      </c>
      <c r="Y37" s="1136" t="n">
        <f aca="false">TableDE5c!J37-I37</f>
        <v>0</v>
      </c>
    </row>
    <row r="38" customFormat="false" ht="12" hidden="false" customHeight="true" outlineLevel="0" collapsed="false">
      <c r="A38" s="1112" t="n">
        <v>1898</v>
      </c>
      <c r="B38" s="1131" t="n">
        <f aca="false">TableDE5a!F38</f>
        <v>5.55933124211752</v>
      </c>
      <c r="C38" s="1132"/>
      <c r="D38" s="1132"/>
      <c r="E38" s="1133"/>
      <c r="F38" s="1131" t="n">
        <f aca="false">G38+H38-I38</f>
        <v>0.287177828800569</v>
      </c>
      <c r="G38" s="978" t="n">
        <f aca="false">TableDE5c!G38</f>
        <v>0.786812405005983</v>
      </c>
      <c r="H38" s="978" t="n">
        <v>0</v>
      </c>
      <c r="I38" s="820" t="n">
        <f aca="false">TableDE5c!J38</f>
        <v>0.499634576205414</v>
      </c>
      <c r="J38" s="1131" t="n">
        <f aca="false">F38+B38</f>
        <v>5.84650907091809</v>
      </c>
      <c r="K38" s="1132"/>
      <c r="L38" s="1132"/>
      <c r="M38" s="1133"/>
      <c r="N38" s="978" t="n">
        <f aca="false">DataDE1c!BU61/DataDE1c!B61</f>
        <v>1.4746305339068</v>
      </c>
      <c r="O38" s="1132"/>
      <c r="P38" s="1132"/>
      <c r="Q38" s="1134" t="n">
        <f aca="false">B38/J38</f>
        <v>0.950880461260368</v>
      </c>
      <c r="R38" s="1135" t="n">
        <f aca="false">F38/J38</f>
        <v>0.0491195387396317</v>
      </c>
      <c r="S38" s="158"/>
      <c r="U38" s="158"/>
      <c r="V38" s="1143"/>
      <c r="W38" s="158"/>
      <c r="X38" s="1002" t="n">
        <f aca="false">DataDE1c!DC61/DataDE1c!B61-J38</f>
        <v>0</v>
      </c>
      <c r="Y38" s="1136" t="n">
        <f aca="false">TableDE5c!J38-I38</f>
        <v>0</v>
      </c>
    </row>
    <row r="39" customFormat="false" ht="12" hidden="false" customHeight="true" outlineLevel="0" collapsed="false">
      <c r="A39" s="1137" t="n">
        <v>1899</v>
      </c>
      <c r="B39" s="1138" t="n">
        <f aca="false">TableDE5a!F39</f>
        <v>5.83392682078366</v>
      </c>
      <c r="C39" s="1139"/>
      <c r="D39" s="1139"/>
      <c r="E39" s="1140"/>
      <c r="F39" s="1138" t="n">
        <f aca="false">G39+H39-I39</f>
        <v>0.3322728566459</v>
      </c>
      <c r="G39" s="981" t="n">
        <f aca="false">TableDE5c!G39</f>
        <v>0.83167515258847</v>
      </c>
      <c r="H39" s="981" t="n">
        <v>0</v>
      </c>
      <c r="I39" s="824" t="n">
        <f aca="false">TableDE5c!J39</f>
        <v>0.49940229594257</v>
      </c>
      <c r="J39" s="1138" t="n">
        <f aca="false">F39+B39</f>
        <v>6.16619967742956</v>
      </c>
      <c r="K39" s="1139"/>
      <c r="L39" s="1139"/>
      <c r="M39" s="1140"/>
      <c r="N39" s="981" t="n">
        <f aca="false">DataDE1c!BU62/DataDE1c!B62</f>
        <v>1.47212295626324</v>
      </c>
      <c r="O39" s="1139"/>
      <c r="P39" s="1139"/>
      <c r="Q39" s="1141" t="n">
        <f aca="false">B39/J39</f>
        <v>0.946113834447799</v>
      </c>
      <c r="R39" s="1142" t="n">
        <f aca="false">F39/J39</f>
        <v>0.0538861655522014</v>
      </c>
      <c r="S39" s="158"/>
      <c r="U39" s="158"/>
      <c r="V39" s="1143"/>
      <c r="W39" s="158"/>
      <c r="X39" s="1002" t="n">
        <f aca="false">DataDE1c!DC62/DataDE1c!B62-J39</f>
        <v>0</v>
      </c>
      <c r="Y39" s="1136" t="n">
        <f aca="false">TableDE5c!J39-I39</f>
        <v>0</v>
      </c>
    </row>
    <row r="40" customFormat="false" ht="12" hidden="false" customHeight="true" outlineLevel="0" collapsed="false">
      <c r="A40" s="1112" t="n">
        <v>1900</v>
      </c>
      <c r="B40" s="1131" t="n">
        <f aca="false">TableDE5a!F40</f>
        <v>6.14296546174796</v>
      </c>
      <c r="C40" s="1132"/>
      <c r="D40" s="1132"/>
      <c r="E40" s="1133"/>
      <c r="F40" s="1131" t="n">
        <f aca="false">G40+H40-I40</f>
        <v>0.384098786828423</v>
      </c>
      <c r="G40" s="978" t="n">
        <f aca="false">TableDE5c!G40</f>
        <v>0.885584303045308</v>
      </c>
      <c r="H40" s="978" t="n">
        <v>0</v>
      </c>
      <c r="I40" s="820" t="n">
        <f aca="false">TableDE5c!J40</f>
        <v>0.501485516216885</v>
      </c>
      <c r="J40" s="1131" t="n">
        <f aca="false">F40+B40</f>
        <v>6.52706424857638</v>
      </c>
      <c r="K40" s="1132"/>
      <c r="L40" s="1132"/>
      <c r="M40" s="1133"/>
      <c r="N40" s="978" t="n">
        <f aca="false">DataDE1c!BU63/DataDE1c!B63</f>
        <v>1.47004208962615</v>
      </c>
      <c r="O40" s="1132"/>
      <c r="P40" s="1132"/>
      <c r="Q40" s="1134" t="n">
        <f aca="false">B40/J40</f>
        <v>0.941152902407511</v>
      </c>
      <c r="R40" s="1135" t="n">
        <f aca="false">F40/J40</f>
        <v>0.0588470975924894</v>
      </c>
      <c r="S40" s="158"/>
      <c r="U40" s="158"/>
      <c r="V40" s="1143"/>
      <c r="W40" s="158"/>
      <c r="X40" s="1002" t="n">
        <f aca="false">DataDE1c!DC63/DataDE1c!B63-J40</f>
        <v>0</v>
      </c>
      <c r="Y40" s="1136" t="n">
        <f aca="false">TableDE5c!J40-I40</f>
        <v>0</v>
      </c>
    </row>
    <row r="41" customFormat="false" ht="12" hidden="false" customHeight="true" outlineLevel="0" collapsed="false">
      <c r="A41" s="1112" t="n">
        <v>1901</v>
      </c>
      <c r="B41" s="1131" t="n">
        <f aca="false">TableDE5a!F41</f>
        <v>6.47546881467095</v>
      </c>
      <c r="C41" s="1132"/>
      <c r="D41" s="1132"/>
      <c r="E41" s="1133"/>
      <c r="F41" s="1131" t="n">
        <f aca="false">G41+H41-I41</f>
        <v>0.391475250846769</v>
      </c>
      <c r="G41" s="978" t="n">
        <f aca="false">TableDE5c!G41</f>
        <v>0.939343696196827</v>
      </c>
      <c r="H41" s="978" t="n">
        <v>0</v>
      </c>
      <c r="I41" s="820" t="n">
        <f aca="false">TableDE5c!J41</f>
        <v>0.547868445350059</v>
      </c>
      <c r="J41" s="1131" t="n">
        <f aca="false">F41+B41</f>
        <v>6.86694406551772</v>
      </c>
      <c r="K41" s="1132"/>
      <c r="L41" s="1132"/>
      <c r="M41" s="1133"/>
      <c r="N41" s="978" t="n">
        <f aca="false">DataDE1c!BU64/DataDE1c!B64</f>
        <v>1.544143398389</v>
      </c>
      <c r="O41" s="1132"/>
      <c r="P41" s="1132"/>
      <c r="Q41" s="1134" t="n">
        <f aca="false">B41/J41</f>
        <v>0.942991344168281</v>
      </c>
      <c r="R41" s="1135" t="n">
        <f aca="false">F41/J41</f>
        <v>0.0570086558317195</v>
      </c>
      <c r="S41" s="158"/>
      <c r="U41" s="158"/>
      <c r="V41" s="1143"/>
      <c r="W41" s="158"/>
      <c r="X41" s="1002" t="n">
        <f aca="false">DataDE1c!DC64/DataDE1c!B64-J41</f>
        <v>0</v>
      </c>
      <c r="Y41" s="1136" t="n">
        <f aca="false">TableDE5c!J41-I41</f>
        <v>0</v>
      </c>
    </row>
    <row r="42" customFormat="false" ht="12" hidden="false" customHeight="true" outlineLevel="0" collapsed="false">
      <c r="A42" s="1112" t="n">
        <v>1902</v>
      </c>
      <c r="B42" s="1131" t="n">
        <f aca="false">TableDE5a!F42</f>
        <v>6.34062970396387</v>
      </c>
      <c r="C42" s="1132"/>
      <c r="D42" s="1132"/>
      <c r="E42" s="1133"/>
      <c r="F42" s="1131" t="n">
        <f aca="false">G42+H42-I42</f>
        <v>0.346467443745417</v>
      </c>
      <c r="G42" s="978" t="n">
        <f aca="false">TableDE5c!G42</f>
        <v>0.921229109575823</v>
      </c>
      <c r="H42" s="978" t="n">
        <v>0</v>
      </c>
      <c r="I42" s="820" t="n">
        <f aca="false">TableDE5c!J42</f>
        <v>0.574761665830406</v>
      </c>
      <c r="J42" s="1131" t="n">
        <f aca="false">F42+B42</f>
        <v>6.68709714770929</v>
      </c>
      <c r="K42" s="1132"/>
      <c r="L42" s="1132"/>
      <c r="M42" s="1133"/>
      <c r="N42" s="978" t="n">
        <f aca="false">DataDE1c!BU65/DataDE1c!B65</f>
        <v>1.55230807827396</v>
      </c>
      <c r="O42" s="1132"/>
      <c r="P42" s="1132"/>
      <c r="Q42" s="1134" t="n">
        <f aca="false">B42/J42</f>
        <v>0.948188663018885</v>
      </c>
      <c r="R42" s="1135" t="n">
        <f aca="false">F42/J42</f>
        <v>0.0518113369811147</v>
      </c>
      <c r="S42" s="158"/>
      <c r="U42" s="158"/>
      <c r="V42" s="1143"/>
      <c r="W42" s="158"/>
      <c r="X42" s="1002" t="n">
        <f aca="false">DataDE1c!DC65/DataDE1c!B65-J42</f>
        <v>0</v>
      </c>
      <c r="Y42" s="1136" t="n">
        <f aca="false">TableDE5c!J42-I42</f>
        <v>0</v>
      </c>
    </row>
    <row r="43" customFormat="false" ht="12" hidden="false" customHeight="true" outlineLevel="0" collapsed="false">
      <c r="A43" s="1112" t="n">
        <v>1903</v>
      </c>
      <c r="B43" s="1131" t="n">
        <f aca="false">TableDE5a!F43</f>
        <v>6.03795321637427</v>
      </c>
      <c r="C43" s="1132"/>
      <c r="D43" s="1132"/>
      <c r="E43" s="1133"/>
      <c r="F43" s="1131" t="n">
        <f aca="false">G43+H43-I43</f>
        <v>0.32831983805668</v>
      </c>
      <c r="G43" s="978" t="n">
        <f aca="false">TableDE5c!G43</f>
        <v>0.88206252811516</v>
      </c>
      <c r="H43" s="978" t="n">
        <v>0</v>
      </c>
      <c r="I43" s="820" t="n">
        <f aca="false">TableDE5c!J43</f>
        <v>0.55374269005848</v>
      </c>
      <c r="J43" s="1131" t="n">
        <f aca="false">F43+B43</f>
        <v>6.36627305443095</v>
      </c>
      <c r="K43" s="1132"/>
      <c r="L43" s="1132"/>
      <c r="M43" s="1133"/>
      <c r="N43" s="978" t="n">
        <f aca="false">DataDE1c!BU66/DataDE1c!B66</f>
        <v>1.48684210526316</v>
      </c>
      <c r="O43" s="1132"/>
      <c r="P43" s="1132"/>
      <c r="Q43" s="1134" t="n">
        <f aca="false">B43/J43</f>
        <v>0.94842825068143</v>
      </c>
      <c r="R43" s="1135" t="n">
        <f aca="false">F43/J43</f>
        <v>0.05157174931857</v>
      </c>
      <c r="S43" s="158"/>
      <c r="U43" s="158"/>
      <c r="V43" s="1143"/>
      <c r="W43" s="158"/>
      <c r="X43" s="1002" t="n">
        <f aca="false">DataDE1c!DC66/DataDE1c!B66-J43</f>
        <v>0</v>
      </c>
      <c r="Y43" s="1136" t="n">
        <f aca="false">TableDE5c!J43-I43</f>
        <v>0</v>
      </c>
    </row>
    <row r="44" customFormat="false" ht="12" hidden="false" customHeight="true" outlineLevel="0" collapsed="false">
      <c r="A44" s="1112" t="n">
        <v>1904</v>
      </c>
      <c r="B44" s="1131" t="n">
        <f aca="false">TableDE5a!F44</f>
        <v>5.98776374836246</v>
      </c>
      <c r="C44" s="1132"/>
      <c r="D44" s="1132"/>
      <c r="E44" s="1133"/>
      <c r="F44" s="1131" t="n">
        <f aca="false">G44+H44-I44</f>
        <v>0.324853505888709</v>
      </c>
      <c r="G44" s="978" t="n">
        <f aca="false">TableDE5c!G44</f>
        <v>0.877463813328016</v>
      </c>
      <c r="H44" s="978" t="n">
        <v>0</v>
      </c>
      <c r="I44" s="820" t="n">
        <f aca="false">TableDE5c!J44</f>
        <v>0.552610307439307</v>
      </c>
      <c r="J44" s="1131" t="n">
        <f aca="false">F44+B44</f>
        <v>6.31261725425117</v>
      </c>
      <c r="K44" s="1132"/>
      <c r="L44" s="1132"/>
      <c r="M44" s="1133"/>
      <c r="N44" s="978" t="n">
        <f aca="false">DataDE1c!BU67/DataDE1c!B67</f>
        <v>1.46612035565962</v>
      </c>
      <c r="O44" s="1132"/>
      <c r="P44" s="1132"/>
      <c r="Q44" s="1134" t="n">
        <f aca="false">B44/J44</f>
        <v>0.948539014357327</v>
      </c>
      <c r="R44" s="1135" t="n">
        <f aca="false">F44/J44</f>
        <v>0.051460985642673</v>
      </c>
      <c r="S44" s="158"/>
      <c r="U44" s="158"/>
      <c r="V44" s="1143"/>
      <c r="W44" s="158"/>
      <c r="X44" s="1002" t="n">
        <f aca="false">DataDE1c!DC67/DataDE1c!B67-J44</f>
        <v>0</v>
      </c>
      <c r="Y44" s="1136" t="n">
        <f aca="false">TableDE5c!J44-I44</f>
        <v>0</v>
      </c>
    </row>
    <row r="45" customFormat="false" ht="12" hidden="false" customHeight="true" outlineLevel="0" collapsed="false">
      <c r="A45" s="1112" t="n">
        <v>1905</v>
      </c>
      <c r="B45" s="1131" t="n">
        <f aca="false">TableDE5a!F45</f>
        <v>5.8569581965306</v>
      </c>
      <c r="C45" s="1132"/>
      <c r="D45" s="1132"/>
      <c r="E45" s="1133"/>
      <c r="F45" s="1131" t="n">
        <f aca="false">G45+H45-I45</f>
        <v>0.323140162234291</v>
      </c>
      <c r="G45" s="978" t="n">
        <f aca="false">TableDE5c!G45</f>
        <v>0.857924681765844</v>
      </c>
      <c r="H45" s="978" t="n">
        <v>0</v>
      </c>
      <c r="I45" s="820" t="n">
        <f aca="false">TableDE5c!J45</f>
        <v>0.534784519531553</v>
      </c>
      <c r="J45" s="1131" t="n">
        <f aca="false">F45+B45</f>
        <v>6.18009835876489</v>
      </c>
      <c r="K45" s="1132"/>
      <c r="L45" s="1132"/>
      <c r="M45" s="1133"/>
      <c r="N45" s="978" t="n">
        <f aca="false">DataDE1c!BU68/DataDE1c!B68</f>
        <v>1.40637522297769</v>
      </c>
      <c r="O45" s="1132"/>
      <c r="P45" s="1132"/>
      <c r="Q45" s="1134" t="n">
        <f aca="false">B45/J45</f>
        <v>0.947712780044026</v>
      </c>
      <c r="R45" s="1135" t="n">
        <f aca="false">F45/J45</f>
        <v>0.0522872199559736</v>
      </c>
      <c r="S45" s="158"/>
      <c r="U45" s="158"/>
      <c r="V45" s="1143"/>
      <c r="W45" s="158"/>
      <c r="X45" s="1002" t="n">
        <f aca="false">DataDE1c!DC68/DataDE1c!B68-J45</f>
        <v>0</v>
      </c>
      <c r="Y45" s="1136" t="n">
        <f aca="false">TableDE5c!J45-I45</f>
        <v>0</v>
      </c>
    </row>
    <row r="46" customFormat="false" ht="12" hidden="false" customHeight="true" outlineLevel="0" collapsed="false">
      <c r="A46" s="1112" t="n">
        <v>1906</v>
      </c>
      <c r="B46" s="1131" t="n">
        <f aca="false">TableDE5a!F46</f>
        <v>6.00781985822634</v>
      </c>
      <c r="C46" s="1132"/>
      <c r="D46" s="1132"/>
      <c r="E46" s="1133"/>
      <c r="F46" s="1131" t="n">
        <f aca="false">G46+H46-I46</f>
        <v>0.34157422907237</v>
      </c>
      <c r="G46" s="978" t="n">
        <f aca="false">TableDE5c!G46</f>
        <v>0.880908983447029</v>
      </c>
      <c r="H46" s="978" t="n">
        <v>0</v>
      </c>
      <c r="I46" s="820" t="n">
        <f aca="false">TableDE5c!J46</f>
        <v>0.539334754374659</v>
      </c>
      <c r="J46" s="1131" t="n">
        <f aca="false">F46+B46</f>
        <v>6.34939408729871</v>
      </c>
      <c r="K46" s="1132"/>
      <c r="L46" s="1132"/>
      <c r="M46" s="1133"/>
      <c r="N46" s="978" t="n">
        <f aca="false">DataDE1c!BU69/DataDE1c!B69</f>
        <v>1.38923313339612</v>
      </c>
      <c r="O46" s="1132"/>
      <c r="P46" s="1132"/>
      <c r="Q46" s="1134" t="n">
        <f aca="false">B46/J46</f>
        <v>0.946203649611913</v>
      </c>
      <c r="R46" s="1135" t="n">
        <f aca="false">F46/J46</f>
        <v>0.0537963503880871</v>
      </c>
      <c r="S46" s="158"/>
      <c r="U46" s="158"/>
      <c r="V46" s="1143"/>
      <c r="W46" s="158"/>
      <c r="X46" s="1002" t="n">
        <f aca="false">DataDE1c!DC69/DataDE1c!B69-J46</f>
        <v>0</v>
      </c>
      <c r="Y46" s="1136" t="n">
        <f aca="false">TableDE5c!J46-I46</f>
        <v>0</v>
      </c>
    </row>
    <row r="47" customFormat="false" ht="12" hidden="false" customHeight="true" outlineLevel="0" collapsed="false">
      <c r="A47" s="1112" t="n">
        <v>1907</v>
      </c>
      <c r="B47" s="1131" t="n">
        <f aca="false">TableDE5a!F47</f>
        <v>5.98964466060084</v>
      </c>
      <c r="C47" s="1132"/>
      <c r="D47" s="1132"/>
      <c r="E47" s="1133"/>
      <c r="F47" s="1131" t="n">
        <f aca="false">G47+H47-I47</f>
        <v>0.360969052123963</v>
      </c>
      <c r="G47" s="978" t="n">
        <f aca="false">TableDE5c!G47</f>
        <v>0.889789474249484</v>
      </c>
      <c r="H47" s="978" t="n">
        <v>0</v>
      </c>
      <c r="I47" s="820" t="n">
        <f aca="false">TableDE5c!J47</f>
        <v>0.528820422125521</v>
      </c>
      <c r="J47" s="1131" t="n">
        <f aca="false">F47+B47</f>
        <v>6.3506137127248</v>
      </c>
      <c r="K47" s="1132"/>
      <c r="L47" s="1132"/>
      <c r="M47" s="1133"/>
      <c r="N47" s="978" t="n">
        <f aca="false">DataDE1c!BU70/DataDE1c!B70</f>
        <v>1.33921299420566</v>
      </c>
      <c r="O47" s="1132"/>
      <c r="P47" s="1132"/>
      <c r="Q47" s="1134" t="n">
        <f aca="false">B47/J47</f>
        <v>0.94315997343679</v>
      </c>
      <c r="R47" s="1135" t="n">
        <f aca="false">F47/J47</f>
        <v>0.0568400265632099</v>
      </c>
      <c r="S47" s="158"/>
      <c r="U47" s="158"/>
      <c r="V47" s="1143"/>
      <c r="W47" s="158"/>
      <c r="X47" s="1002" t="n">
        <f aca="false">DataDE1c!DC70/DataDE1c!B70-J47</f>
        <v>0</v>
      </c>
      <c r="Y47" s="1136" t="n">
        <f aca="false">TableDE5c!J47-I47</f>
        <v>0</v>
      </c>
    </row>
    <row r="48" customFormat="false" ht="12" hidden="false" customHeight="true" outlineLevel="0" collapsed="false">
      <c r="A48" s="1112" t="n">
        <v>1908</v>
      </c>
      <c r="B48" s="1131" t="n">
        <f aca="false">TableDE5a!F48</f>
        <v>6.2572030141844</v>
      </c>
      <c r="C48" s="1132"/>
      <c r="D48" s="1132"/>
      <c r="E48" s="1133"/>
      <c r="F48" s="1131" t="n">
        <f aca="false">G48+H48-I48</f>
        <v>0.350257676720443</v>
      </c>
      <c r="G48" s="978" t="n">
        <f aca="false">TableDE5c!G48</f>
        <v>0.940239946223989</v>
      </c>
      <c r="H48" s="978" t="n">
        <v>0</v>
      </c>
      <c r="I48" s="820" t="n">
        <f aca="false">TableDE5c!J48</f>
        <v>0.589982269503546</v>
      </c>
      <c r="J48" s="1131" t="n">
        <f aca="false">F48+B48</f>
        <v>6.60746069090484</v>
      </c>
      <c r="K48" s="1132"/>
      <c r="L48" s="1132"/>
      <c r="M48" s="1133"/>
      <c r="N48" s="978" t="n">
        <f aca="false">DataDE1c!BU71/DataDE1c!B71</f>
        <v>1.40340045592705</v>
      </c>
      <c r="O48" s="1132"/>
      <c r="P48" s="1132"/>
      <c r="Q48" s="1134" t="n">
        <f aca="false">B48/J48</f>
        <v>0.946990577302628</v>
      </c>
      <c r="R48" s="1135" t="n">
        <f aca="false">F48/J48</f>
        <v>0.0530094226973718</v>
      </c>
      <c r="S48" s="158"/>
      <c r="U48" s="158"/>
      <c r="V48" s="1143"/>
      <c r="W48" s="158"/>
      <c r="X48" s="1002" t="n">
        <f aca="false">DataDE1c!DC71/DataDE1c!B71-J48</f>
        <v>0</v>
      </c>
      <c r="Y48" s="1136" t="n">
        <f aca="false">TableDE5c!J48-I48</f>
        <v>0</v>
      </c>
    </row>
    <row r="49" customFormat="false" ht="12" hidden="false" customHeight="true" outlineLevel="0" collapsed="false">
      <c r="A49" s="1137" t="n">
        <v>1909</v>
      </c>
      <c r="B49" s="1138" t="n">
        <f aca="false">TableDE5a!F49</f>
        <v>6.02744850113271</v>
      </c>
      <c r="C49" s="1139"/>
      <c r="D49" s="1139"/>
      <c r="E49" s="1140"/>
      <c r="F49" s="1138" t="n">
        <f aca="false">G49+H49-I49</f>
        <v>0.288971446866184</v>
      </c>
      <c r="G49" s="981" t="n">
        <f aca="false">TableDE5c!G49</f>
        <v>0.907718012981171</v>
      </c>
      <c r="H49" s="981" t="n">
        <v>0</v>
      </c>
      <c r="I49" s="824" t="n">
        <f aca="false">TableDE5c!J49</f>
        <v>0.618746566114987</v>
      </c>
      <c r="J49" s="1138" t="n">
        <f aca="false">F49+B49</f>
        <v>6.3164199479989</v>
      </c>
      <c r="K49" s="1139"/>
      <c r="L49" s="1139"/>
      <c r="M49" s="1140"/>
      <c r="N49" s="981" t="n">
        <f aca="false">DataDE1c!BU72/DataDE1c!B72</f>
        <v>1.3829619092777</v>
      </c>
      <c r="O49" s="1139"/>
      <c r="P49" s="1139"/>
      <c r="Q49" s="1141" t="n">
        <f aca="false">B49/J49</f>
        <v>0.95425075450252</v>
      </c>
      <c r="R49" s="1142" t="n">
        <f aca="false">F49/J49</f>
        <v>0.0457492454974804</v>
      </c>
      <c r="S49" s="158"/>
      <c r="U49" s="158"/>
      <c r="V49" s="1143"/>
      <c r="W49" s="158"/>
      <c r="X49" s="1002" t="n">
        <f aca="false">DataDE1c!DC72/DataDE1c!B72-J49</f>
        <v>0</v>
      </c>
      <c r="Y49" s="1136" t="n">
        <f aca="false">TableDE5c!J49-I49</f>
        <v>0</v>
      </c>
    </row>
    <row r="50" customFormat="false" ht="12" hidden="false" customHeight="true" outlineLevel="0" collapsed="false">
      <c r="A50" s="1112" t="n">
        <v>1910</v>
      </c>
      <c r="B50" s="1131" t="n">
        <f aca="false">TableDE5a!F50</f>
        <v>6.08069505693412</v>
      </c>
      <c r="C50" s="1132"/>
      <c r="D50" s="1132"/>
      <c r="E50" s="1133"/>
      <c r="F50" s="1131" t="n">
        <f aca="false">G50+H50-I50</f>
        <v>0.286008907610961</v>
      </c>
      <c r="G50" s="978" t="n">
        <f aca="false">TableDE5c!G50</f>
        <v>0.916979310647447</v>
      </c>
      <c r="H50" s="978" t="n">
        <v>0</v>
      </c>
      <c r="I50" s="820" t="n">
        <f aca="false">TableDE5c!J50</f>
        <v>0.630970403036486</v>
      </c>
      <c r="J50" s="1131" t="n">
        <f aca="false">F50+B50</f>
        <v>6.36670396454508</v>
      </c>
      <c r="K50" s="1132"/>
      <c r="L50" s="1132"/>
      <c r="M50" s="1133"/>
      <c r="N50" s="978" t="n">
        <f aca="false">DataDE1c!BU73/DataDE1c!B73</f>
        <v>1.40196142960574</v>
      </c>
      <c r="O50" s="1132"/>
      <c r="P50" s="1132"/>
      <c r="Q50" s="1134" t="n">
        <f aca="false">B50/J50</f>
        <v>0.955077398100542</v>
      </c>
      <c r="R50" s="1135" t="n">
        <f aca="false">F50/J50</f>
        <v>0.0449226018994583</v>
      </c>
      <c r="S50" s="158"/>
      <c r="U50" s="158"/>
      <c r="V50" s="1143"/>
      <c r="W50" s="158"/>
      <c r="X50" s="1002" t="n">
        <f aca="false">DataDE1c!DC73/DataDE1c!B73-J50</f>
        <v>0</v>
      </c>
      <c r="Y50" s="1136" t="n">
        <f aca="false">TableDE5c!J50-I50</f>
        <v>0</v>
      </c>
    </row>
    <row r="51" customFormat="false" ht="12" hidden="false" customHeight="true" outlineLevel="0" collapsed="false">
      <c r="A51" s="1112" t="n">
        <v>1911</v>
      </c>
      <c r="B51" s="1131" t="n">
        <f aca="false">TableDE5a!F51</f>
        <v>6.04758327594961</v>
      </c>
      <c r="C51" s="1132"/>
      <c r="D51" s="1132"/>
      <c r="E51" s="1133"/>
      <c r="F51" s="1131" t="n">
        <f aca="false">G51+H51-I51</f>
        <v>0.303065762010319</v>
      </c>
      <c r="G51" s="978" t="n">
        <f aca="false">TableDE5c!G51</f>
        <v>0.920145939239068</v>
      </c>
      <c r="H51" s="978" t="n">
        <v>0</v>
      </c>
      <c r="I51" s="820" t="n">
        <f aca="false">TableDE5c!J51</f>
        <v>0.617080177228749</v>
      </c>
      <c r="J51" s="1131" t="n">
        <f aca="false">F51+B51</f>
        <v>6.35064903795993</v>
      </c>
      <c r="K51" s="1132"/>
      <c r="L51" s="1132"/>
      <c r="M51" s="1133"/>
      <c r="N51" s="978" t="n">
        <f aca="false">DataDE1c!BU74/DataDE1c!B74</f>
        <v>1.38764267679402</v>
      </c>
      <c r="O51" s="1132"/>
      <c r="P51" s="1132"/>
      <c r="Q51" s="1134" t="n">
        <f aca="false">B51/J51</f>
        <v>0.952277986045396</v>
      </c>
      <c r="R51" s="1135" t="n">
        <f aca="false">F51/J51</f>
        <v>0.0477220139546044</v>
      </c>
      <c r="S51" s="158"/>
      <c r="U51" s="158"/>
      <c r="V51" s="1143"/>
      <c r="W51" s="158"/>
      <c r="X51" s="1002" t="n">
        <f aca="false">DataDE1c!DC74/DataDE1c!B74-J51</f>
        <v>0</v>
      </c>
      <c r="Y51" s="1136" t="n">
        <f aca="false">TableDE5c!J51-I51</f>
        <v>0</v>
      </c>
    </row>
    <row r="52" customFormat="false" ht="12" hidden="false" customHeight="true" outlineLevel="0" collapsed="false">
      <c r="A52" s="1112" t="n">
        <v>1912</v>
      </c>
      <c r="B52" s="1131" t="n">
        <f aca="false">TableDE5a!F52</f>
        <v>5.97790320487868</v>
      </c>
      <c r="C52" s="1132"/>
      <c r="D52" s="1132"/>
      <c r="E52" s="1133"/>
      <c r="F52" s="1131" t="n">
        <f aca="false">G52+H52-I52</f>
        <v>0.308586599594774</v>
      </c>
      <c r="G52" s="978" t="n">
        <f aca="false">TableDE5c!G52</f>
        <v>0.911616312842471</v>
      </c>
      <c r="H52" s="978" t="n">
        <v>0</v>
      </c>
      <c r="I52" s="820" t="n">
        <f aca="false">TableDE5c!J52</f>
        <v>0.603029713247697</v>
      </c>
      <c r="J52" s="1131" t="n">
        <f aca="false">F52+B52</f>
        <v>6.28648980447346</v>
      </c>
      <c r="K52" s="1132"/>
      <c r="L52" s="1132"/>
      <c r="M52" s="1133"/>
      <c r="N52" s="978" t="n">
        <f aca="false">DataDE1c!BU75/DataDE1c!B75</f>
        <v>1.34488127676139</v>
      </c>
      <c r="O52" s="1132"/>
      <c r="P52" s="1132"/>
      <c r="Q52" s="1134" t="n">
        <f aca="false">B52/J52</f>
        <v>0.950912733625181</v>
      </c>
      <c r="R52" s="1135" t="n">
        <f aca="false">F52/J52</f>
        <v>0.0490872663748193</v>
      </c>
      <c r="S52" s="158"/>
      <c r="U52" s="158"/>
      <c r="V52" s="1143"/>
      <c r="W52" s="158"/>
      <c r="X52" s="1002" t="n">
        <f aca="false">DataDE1c!DC75/DataDE1c!B75-J52</f>
        <v>0</v>
      </c>
      <c r="Y52" s="1136" t="n">
        <f aca="false">TableDE5c!J52-I52</f>
        <v>0</v>
      </c>
    </row>
    <row r="53" customFormat="false" ht="12" hidden="false" customHeight="true" outlineLevel="0" collapsed="false">
      <c r="A53" s="1112" t="n">
        <v>1913</v>
      </c>
      <c r="B53" s="1131" t="n">
        <f aca="false">TableDE5a!F53</f>
        <v>6.23157086651953</v>
      </c>
      <c r="C53" s="1132"/>
      <c r="D53" s="1132"/>
      <c r="E53" s="1133"/>
      <c r="F53" s="1131" t="n">
        <f aca="false">G53+H53-I53</f>
        <v>0.328221859706362</v>
      </c>
      <c r="G53" s="978" t="n">
        <f aca="false">TableDE5c!G53</f>
        <v>0.950964398810095</v>
      </c>
      <c r="H53" s="978" t="n">
        <v>0</v>
      </c>
      <c r="I53" s="820" t="n">
        <f aca="false">TableDE5c!J53</f>
        <v>0.622742539103733</v>
      </c>
      <c r="J53" s="1131" t="n">
        <f aca="false">F53+B53</f>
        <v>6.55979272622589</v>
      </c>
      <c r="K53" s="1132"/>
      <c r="L53" s="1132"/>
      <c r="M53" s="1133"/>
      <c r="N53" s="978" t="n">
        <f aca="false">DataDE1c!BU76/DataDE1c!B76</f>
        <v>1.37702715670281</v>
      </c>
      <c r="O53" s="1132"/>
      <c r="P53" s="1132"/>
      <c r="Q53" s="1134" t="n">
        <f aca="false">B53/J53</f>
        <v>0.949964598973663</v>
      </c>
      <c r="R53" s="1135" t="n">
        <f aca="false">F53/J53</f>
        <v>0.0500354010263372</v>
      </c>
      <c r="S53" s="158"/>
      <c r="U53" s="158"/>
      <c r="V53" s="1143"/>
      <c r="W53" s="158"/>
      <c r="X53" s="1002" t="n">
        <f aca="false">DataDE1c!DC76/DataDE1c!B76-J53</f>
        <v>0</v>
      </c>
      <c r="Y53" s="1136" t="n">
        <f aca="false">TableDE5c!J53-I53</f>
        <v>0</v>
      </c>
    </row>
    <row r="54" customFormat="false" ht="12" hidden="false" customHeight="true" outlineLevel="0" collapsed="false">
      <c r="A54" s="1112" t="n">
        <v>1914</v>
      </c>
      <c r="B54" s="1131" t="n">
        <f aca="false">TableDE5a!F54</f>
        <v>5.96562010164426</v>
      </c>
      <c r="C54" s="1132"/>
      <c r="D54" s="1132"/>
      <c r="E54" s="1133"/>
      <c r="F54" s="1131" t="n">
        <f aca="false">G54+H54-I54</f>
        <v>0.412727926109899</v>
      </c>
      <c r="G54" s="978" t="n">
        <f aca="false">TableDE5c!G54</f>
        <v>1.06406023117339</v>
      </c>
      <c r="H54" s="1144" t="n">
        <f aca="false">AVERAGE(DataDE1c!CY76:CY77)/TableDE1!B54</f>
        <v>0.0363908611456458</v>
      </c>
      <c r="I54" s="820" t="n">
        <f aca="false">TableDE5c!J54</f>
        <v>0.687723166209134</v>
      </c>
      <c r="J54" s="1134" t="n">
        <f aca="false">F54+B54</f>
        <v>6.37834802775416</v>
      </c>
      <c r="K54" s="1132"/>
      <c r="L54" s="1132"/>
      <c r="M54" s="1133"/>
      <c r="N54" s="978"/>
      <c r="O54" s="1132"/>
      <c r="P54" s="1132"/>
      <c r="Q54" s="1134" t="n">
        <f aca="false">B54/J54</f>
        <v>0.93529234774992</v>
      </c>
      <c r="R54" s="1135" t="n">
        <f aca="false">F54/J54</f>
        <v>0.0647076522500799</v>
      </c>
      <c r="S54" s="158"/>
      <c r="Y54" s="1136" t="n">
        <f aca="false">TableDE5c!J54-I54</f>
        <v>0</v>
      </c>
    </row>
    <row r="55" customFormat="false" ht="12" hidden="false" customHeight="true" outlineLevel="0" collapsed="false">
      <c r="A55" s="1112" t="n">
        <v>1915</v>
      </c>
      <c r="B55" s="1131" t="n">
        <f aca="false">TableDE5a!F55</f>
        <v>5.70219272616711</v>
      </c>
      <c r="C55" s="1132"/>
      <c r="D55" s="1132"/>
      <c r="E55" s="1133"/>
      <c r="F55" s="1131" t="n">
        <f aca="false">G55+H55-I55</f>
        <v>0.410653413875877</v>
      </c>
      <c r="G55" s="978" t="n">
        <f aca="false">TableDE5c!G55</f>
        <v>1.13267351129876</v>
      </c>
      <c r="H55" s="1144" t="n">
        <f aca="false">AVERAGE(DataDE1c!CY77:CY78)/TableDE1!B55</f>
        <v>0.0883721862283636</v>
      </c>
      <c r="I55" s="820" t="n">
        <f aca="false">TableDE5c!J55</f>
        <v>0.810392283651242</v>
      </c>
      <c r="J55" s="1134" t="n">
        <f aca="false">F55+B55</f>
        <v>6.11284614004299</v>
      </c>
      <c r="K55" s="1132"/>
      <c r="L55" s="1132"/>
      <c r="M55" s="1133"/>
      <c r="N55" s="978"/>
      <c r="O55" s="1132"/>
      <c r="P55" s="1132"/>
      <c r="Q55" s="1134" t="n">
        <f aca="false">B55/J55</f>
        <v>0.932821241616759</v>
      </c>
      <c r="R55" s="1135" t="n">
        <f aca="false">F55/J55</f>
        <v>0.0671787583832412</v>
      </c>
      <c r="S55" s="158"/>
      <c r="Y55" s="1136" t="n">
        <f aca="false">TableDE5c!J55-I55</f>
        <v>0</v>
      </c>
    </row>
    <row r="56" customFormat="false" ht="12" hidden="false" customHeight="true" outlineLevel="0" collapsed="false">
      <c r="A56" s="1112" t="n">
        <v>1916</v>
      </c>
      <c r="B56" s="1131" t="n">
        <f aca="false">TableDE5a!F56</f>
        <v>5.38245399174567</v>
      </c>
      <c r="C56" s="1132"/>
      <c r="D56" s="1132"/>
      <c r="E56" s="1133"/>
      <c r="F56" s="1131" t="n">
        <f aca="false">G56+H56-I56</f>
        <v>0.294656702616014</v>
      </c>
      <c r="G56" s="978" t="n">
        <f aca="false">TableDE5c!G56</f>
        <v>1.16302066732731</v>
      </c>
      <c r="H56" s="1144" t="n">
        <f aca="false">AVERAGE(DataDE1c!CY78:CY79)/TableDE1!B56</f>
        <v>0.111153555147096</v>
      </c>
      <c r="I56" s="820" t="n">
        <f aca="false">TableDE5c!J56</f>
        <v>0.979517519858392</v>
      </c>
      <c r="J56" s="1134" t="n">
        <f aca="false">F56+B56</f>
        <v>5.67711069436168</v>
      </c>
      <c r="K56" s="1132"/>
      <c r="L56" s="1132"/>
      <c r="M56" s="1133"/>
      <c r="N56" s="978"/>
      <c r="O56" s="1132"/>
      <c r="P56" s="1132"/>
      <c r="Q56" s="1134" t="n">
        <f aca="false">B56/J56</f>
        <v>0.948097418127031</v>
      </c>
      <c r="R56" s="1135" t="n">
        <f aca="false">F56/J56</f>
        <v>0.0519025818729689</v>
      </c>
      <c r="S56" s="158"/>
      <c r="Y56" s="1136" t="n">
        <f aca="false">TableDE5c!J56-I56</f>
        <v>0</v>
      </c>
    </row>
    <row r="57" customFormat="false" ht="12" hidden="false" customHeight="true" outlineLevel="0" collapsed="false">
      <c r="A57" s="1112" t="n">
        <v>1917</v>
      </c>
      <c r="B57" s="1131" t="n">
        <f aca="false">TableDE5a!F57</f>
        <v>5.05737723526901</v>
      </c>
      <c r="C57" s="1132"/>
      <c r="D57" s="1132"/>
      <c r="E57" s="1133"/>
      <c r="F57" s="1131" t="n">
        <f aca="false">G57+H57-I57</f>
        <v>0.291870055037673</v>
      </c>
      <c r="G57" s="978" t="n">
        <f aca="false">TableDE5c!G57</f>
        <v>1.16749836499595</v>
      </c>
      <c r="H57" s="1144" t="n">
        <f aca="false">AVERAGE(DataDE1c!CY79:CY80)/TableDE1!B57</f>
        <v>0.120291655247212</v>
      </c>
      <c r="I57" s="820" t="n">
        <f aca="false">TableDE5c!J57</f>
        <v>0.995919965205486</v>
      </c>
      <c r="J57" s="1134" t="n">
        <f aca="false">F57+B57</f>
        <v>5.34924729030668</v>
      </c>
      <c r="K57" s="1132"/>
      <c r="L57" s="1132"/>
      <c r="M57" s="1133"/>
      <c r="N57" s="978"/>
      <c r="O57" s="1132"/>
      <c r="P57" s="1132"/>
      <c r="Q57" s="1134" t="n">
        <f aca="false">B57/J57</f>
        <v>0.945437172895976</v>
      </c>
      <c r="R57" s="1135" t="n">
        <f aca="false">F57/J57</f>
        <v>0.0545628271040241</v>
      </c>
      <c r="S57" s="158"/>
      <c r="Y57" s="1136" t="n">
        <f aca="false">TableDE5c!J57-I57</f>
        <v>0</v>
      </c>
    </row>
    <row r="58" customFormat="false" ht="12" hidden="false" customHeight="true" outlineLevel="0" collapsed="false">
      <c r="A58" s="1112" t="n">
        <v>1918</v>
      </c>
      <c r="B58" s="1131" t="n">
        <f aca="false">TableDE5a!F58</f>
        <v>4.73767664933573</v>
      </c>
      <c r="C58" s="1132"/>
      <c r="D58" s="1132"/>
      <c r="E58" s="1133"/>
      <c r="F58" s="1131" t="n">
        <f aca="false">G58+H58-I58</f>
        <v>0.188622256496887</v>
      </c>
      <c r="G58" s="978" t="n">
        <f aca="false">TableDE5c!G58</f>
        <v>1.17541022703758</v>
      </c>
      <c r="H58" s="1144" t="n">
        <f aca="false">AVERAGE(DataDE1c!CY80:CY81)/TableDE1!B58</f>
        <v>0.199289625848441</v>
      </c>
      <c r="I58" s="820" t="n">
        <f aca="false">TableDE5c!J58</f>
        <v>1.18607759638913</v>
      </c>
      <c r="J58" s="1134" t="n">
        <f aca="false">F58+B58</f>
        <v>4.92629890583262</v>
      </c>
      <c r="K58" s="1132"/>
      <c r="L58" s="1132"/>
      <c r="M58" s="1133"/>
      <c r="N58" s="978"/>
      <c r="O58" s="1132"/>
      <c r="P58" s="1132"/>
      <c r="Q58" s="1134" t="n">
        <f aca="false">B58/J58</f>
        <v>0.961711162862334</v>
      </c>
      <c r="R58" s="1135" t="n">
        <f aca="false">F58/J58</f>
        <v>0.0382888371376659</v>
      </c>
      <c r="S58" s="158"/>
      <c r="Y58" s="1136" t="n">
        <f aca="false">TableDE5c!J58-I58</f>
        <v>0</v>
      </c>
    </row>
    <row r="59" customFormat="false" ht="12" hidden="false" customHeight="true" outlineLevel="0" collapsed="false">
      <c r="A59" s="1137" t="n">
        <v>1919</v>
      </c>
      <c r="B59" s="1138" t="n">
        <f aca="false">TableDE5a!F59</f>
        <v>4.41605949556904</v>
      </c>
      <c r="C59" s="1139"/>
      <c r="D59" s="1139"/>
      <c r="E59" s="1140"/>
      <c r="F59" s="1138" t="n">
        <f aca="false">G59+H59-I59</f>
        <v>0.31974970060977</v>
      </c>
      <c r="G59" s="981" t="n">
        <f aca="false">TableDE5c!G59</f>
        <v>1.21235216652434</v>
      </c>
      <c r="H59" s="1145" t="n">
        <f aca="false">AVERAGE(DataDE1c!CY81:CY82)/TableDE1!B59</f>
        <v>0.288616954229989</v>
      </c>
      <c r="I59" s="824" t="n">
        <f aca="false">TableDE5c!J59</f>
        <v>1.18121942014456</v>
      </c>
      <c r="J59" s="1141" t="n">
        <f aca="false">F59+B59</f>
        <v>4.73580919617881</v>
      </c>
      <c r="K59" s="1139"/>
      <c r="L59" s="1139"/>
      <c r="M59" s="1140"/>
      <c r="N59" s="1139"/>
      <c r="O59" s="1139"/>
      <c r="P59" s="1139"/>
      <c r="Q59" s="1141" t="n">
        <f aca="false">B59/J59</f>
        <v>0.932482562670015</v>
      </c>
      <c r="R59" s="1142" t="n">
        <f aca="false">F59/J59</f>
        <v>0.0675174373299851</v>
      </c>
      <c r="S59" s="158"/>
      <c r="Y59" s="1136" t="n">
        <f aca="false">TableDE5c!J59-I59</f>
        <v>0</v>
      </c>
    </row>
    <row r="60" customFormat="false" ht="12" hidden="false" customHeight="true" outlineLevel="0" collapsed="false">
      <c r="A60" s="1112" t="n">
        <v>1920</v>
      </c>
      <c r="B60" s="1131" t="n">
        <f aca="false">TableDE5a!F60</f>
        <v>3.33691358368194</v>
      </c>
      <c r="C60" s="1132"/>
      <c r="D60" s="1132"/>
      <c r="E60" s="1133"/>
      <c r="F60" s="1131" t="n">
        <f aca="false">G60+H60-I60</f>
        <v>0.695524325138224</v>
      </c>
      <c r="G60" s="978" t="n">
        <f aca="false">TableDE5c!G60</f>
        <v>1.0260222300712</v>
      </c>
      <c r="H60" s="1144" t="n">
        <f aca="false">AVERAGE(DataDE1c!CY82:CY83)/TableDE1!B60</f>
        <v>0.165416551530272</v>
      </c>
      <c r="I60" s="820" t="n">
        <f aca="false">TableDE5c!J60</f>
        <v>0.495914456463251</v>
      </c>
      <c r="J60" s="1134" t="n">
        <f aca="false">F60+B60</f>
        <v>4.03243790882016</v>
      </c>
      <c r="K60" s="1132"/>
      <c r="L60" s="1132"/>
      <c r="M60" s="1133"/>
      <c r="N60" s="1132"/>
      <c r="O60" s="1132"/>
      <c r="P60" s="1132"/>
      <c r="Q60" s="1134" t="n">
        <f aca="false">B60/J60</f>
        <v>0.827517660317372</v>
      </c>
      <c r="R60" s="1135" t="n">
        <f aca="false">F60/J60</f>
        <v>0.172482339682628</v>
      </c>
      <c r="S60" s="158"/>
      <c r="Y60" s="1136" t="n">
        <f aca="false">TableDE5c!J60-I60</f>
        <v>0</v>
      </c>
    </row>
    <row r="61" customFormat="false" ht="12" hidden="false" customHeight="true" outlineLevel="0" collapsed="false">
      <c r="A61" s="1112" t="n">
        <v>1921</v>
      </c>
      <c r="B61" s="1131" t="n">
        <f aca="false">TableDE5a!F61</f>
        <v>2.85482987521863</v>
      </c>
      <c r="C61" s="1132"/>
      <c r="D61" s="1132"/>
      <c r="E61" s="1133"/>
      <c r="F61" s="1131" t="n">
        <f aca="false">G61+H61-I61</f>
        <v>0.668521958441133</v>
      </c>
      <c r="G61" s="978" t="n">
        <f aca="false">TableDE5c!G61</f>
        <v>0.945438677764356</v>
      </c>
      <c r="H61" s="1144" t="n">
        <f aca="false">AVERAGE(DataDE1c!CY83:CY84)/TableDE1!B61</f>
        <v>0.19612744620745</v>
      </c>
      <c r="I61" s="820" t="n">
        <f aca="false">TableDE5c!J61</f>
        <v>0.473044165530673</v>
      </c>
      <c r="J61" s="1134" t="n">
        <f aca="false">F61+B61</f>
        <v>3.52335183365976</v>
      </c>
      <c r="K61" s="1132"/>
      <c r="L61" s="1132"/>
      <c r="M61" s="1133"/>
      <c r="N61" s="1132"/>
      <c r="O61" s="1132"/>
      <c r="P61" s="1132"/>
      <c r="Q61" s="1134" t="n">
        <f aca="false">B61/J61</f>
        <v>0.81025966465951</v>
      </c>
      <c r="R61" s="1135" t="n">
        <f aca="false">F61/J61</f>
        <v>0.18974033534049</v>
      </c>
      <c r="S61" s="158"/>
      <c r="Y61" s="1136" t="n">
        <f aca="false">TableDE5c!J61-I61</f>
        <v>0</v>
      </c>
    </row>
    <row r="62" customFormat="false" ht="12" hidden="false" customHeight="true" outlineLevel="0" collapsed="false">
      <c r="A62" s="1112" t="n">
        <v>1922</v>
      </c>
      <c r="B62" s="1131" t="n">
        <f aca="false">TableDE5a!F62</f>
        <v>2.36589441802819</v>
      </c>
      <c r="C62" s="1132"/>
      <c r="D62" s="1132"/>
      <c r="E62" s="1133"/>
      <c r="F62" s="1131" t="n">
        <f aca="false">G62+H62-I62</f>
        <v>0.89646536978602</v>
      </c>
      <c r="G62" s="978" t="n">
        <f aca="false">TableDE5c!G62</f>
        <v>0.856490583661914</v>
      </c>
      <c r="H62" s="1144" t="n">
        <f aca="false">AVERAGE(DataDE1c!CY84:CY85)/TableDE1!B62</f>
        <v>0.0728042184048173</v>
      </c>
      <c r="I62" s="820" t="n">
        <f aca="false">TableDE5c!J62</f>
        <v>0.0328294322807118</v>
      </c>
      <c r="J62" s="1134" t="n">
        <f aca="false">F62+B62</f>
        <v>3.26235978781421</v>
      </c>
      <c r="K62" s="1132"/>
      <c r="L62" s="1132"/>
      <c r="M62" s="1133"/>
      <c r="N62" s="1132"/>
      <c r="O62" s="1132"/>
      <c r="P62" s="1132"/>
      <c r="Q62" s="1134" t="n">
        <f aca="false">B62/J62</f>
        <v>0.725209532947727</v>
      </c>
      <c r="R62" s="1135" t="n">
        <f aca="false">F62/J62</f>
        <v>0.274790467052273</v>
      </c>
      <c r="S62" s="158"/>
      <c r="Y62" s="1136" t="n">
        <f aca="false">TableDE5c!J62-I62</f>
        <v>0</v>
      </c>
    </row>
    <row r="63" customFormat="false" ht="12" hidden="false" customHeight="true" outlineLevel="0" collapsed="false">
      <c r="A63" s="1112" t="n">
        <v>1923</v>
      </c>
      <c r="B63" s="1131" t="n">
        <f aca="false">TableDE5a!F63</f>
        <v>2.40337983915697</v>
      </c>
      <c r="C63" s="1132"/>
      <c r="D63" s="1132"/>
      <c r="E63" s="1133"/>
      <c r="F63" s="1131" t="n">
        <f aca="false">G63+H63-I63</f>
        <v>0.957809674285593</v>
      </c>
      <c r="G63" s="978" t="n">
        <f aca="false">TableDE5c!G63</f>
        <v>0.957807918021482</v>
      </c>
      <c r="H63" s="1144" t="n">
        <f aca="false">AVERAGE(DataDE1c!CY85:CY86)/TableDE1!B63</f>
        <v>1.75878731111113E-006</v>
      </c>
      <c r="I63" s="820" t="n">
        <f aca="false">TableDE5c!J63</f>
        <v>2.52320096108218E-009</v>
      </c>
      <c r="J63" s="1134" t="n">
        <f aca="false">F63+B63</f>
        <v>3.36118951344257</v>
      </c>
      <c r="K63" s="1132"/>
      <c r="L63" s="1132"/>
      <c r="M63" s="1133"/>
      <c r="N63" s="1132"/>
      <c r="O63" s="1132"/>
      <c r="P63" s="1132"/>
      <c r="Q63" s="1134" t="n">
        <f aca="false">B63/J63</f>
        <v>0.715038479545715</v>
      </c>
      <c r="R63" s="1135" t="n">
        <f aca="false">F63/J63</f>
        <v>0.284961520454285</v>
      </c>
      <c r="S63" s="158"/>
      <c r="Y63" s="1136" t="n">
        <f aca="false">TableDE5c!J63-I63</f>
        <v>0</v>
      </c>
    </row>
    <row r="64" customFormat="false" ht="12" hidden="false" customHeight="true" outlineLevel="0" collapsed="false">
      <c r="A64" s="1112" t="n">
        <v>1924</v>
      </c>
      <c r="B64" s="1131" t="n">
        <f aca="false">TableDE5a!F64</f>
        <v>2.21310046375039</v>
      </c>
      <c r="C64" s="1132"/>
      <c r="D64" s="1132"/>
      <c r="E64" s="1133"/>
      <c r="F64" s="1131" t="n">
        <f aca="false">G64+H64-I64</f>
        <v>0.765732473171993</v>
      </c>
      <c r="G64" s="978" t="n">
        <f aca="false">TableDE5c!G64</f>
        <v>0.83852831141482</v>
      </c>
      <c r="H64" s="1144" t="n">
        <v>0</v>
      </c>
      <c r="I64" s="820" t="n">
        <f aca="false">TableDE5c!J64</f>
        <v>0.0727958382428276</v>
      </c>
      <c r="J64" s="1134" t="n">
        <f aca="false">F64+B64</f>
        <v>2.97883293692238</v>
      </c>
      <c r="K64" s="1132"/>
      <c r="L64" s="1132"/>
      <c r="M64" s="1133"/>
      <c r="N64" s="1132"/>
      <c r="O64" s="1132"/>
      <c r="P64" s="1132"/>
      <c r="Q64" s="1134" t="n">
        <f aca="false">B64/J64</f>
        <v>0.742942122171135</v>
      </c>
      <c r="R64" s="1135" t="n">
        <f aca="false">F64/J64</f>
        <v>0.257057877828865</v>
      </c>
      <c r="S64" s="158"/>
      <c r="Y64" s="1136" t="n">
        <f aca="false">TableDE5c!J64-I64</f>
        <v>0</v>
      </c>
    </row>
    <row r="65" customFormat="false" ht="12" hidden="false" customHeight="true" outlineLevel="0" collapsed="false">
      <c r="A65" s="1112" t="n">
        <v>1925</v>
      </c>
      <c r="B65" s="1131" t="n">
        <f aca="false">TableDE5a!F65</f>
        <v>2.30106747206493</v>
      </c>
      <c r="C65" s="1132"/>
      <c r="D65" s="1132"/>
      <c r="E65" s="1133"/>
      <c r="F65" s="1131" t="n">
        <f aca="false">G65+H65-I65</f>
        <v>0.664758338861052</v>
      </c>
      <c r="G65" s="514" t="n">
        <f aca="false">TableDE5c!G65</f>
        <v>0.749224987735803</v>
      </c>
      <c r="H65" s="978" t="n">
        <v>0</v>
      </c>
      <c r="I65" s="820" t="n">
        <f aca="false">TableDE5c!J65</f>
        <v>0.0844666488747519</v>
      </c>
      <c r="J65" s="1131" t="n">
        <f aca="false">F65+B65</f>
        <v>2.96582581092598</v>
      </c>
      <c r="K65" s="1132"/>
      <c r="L65" s="1132"/>
      <c r="M65" s="1133"/>
      <c r="N65" s="1132"/>
      <c r="O65" s="1132"/>
      <c r="P65" s="1132"/>
      <c r="Q65" s="1134" t="n">
        <f aca="false">B65/J65</f>
        <v>0.775860626604533</v>
      </c>
      <c r="R65" s="1135" t="n">
        <f aca="false">F65/J65</f>
        <v>0.224139373395467</v>
      </c>
      <c r="S65" s="158"/>
      <c r="U65" s="1146"/>
      <c r="Y65" s="1136" t="n">
        <f aca="false">TableDE5c!J65-I65</f>
        <v>0</v>
      </c>
    </row>
    <row r="66" customFormat="false" ht="12" hidden="false" customHeight="true" outlineLevel="0" collapsed="false">
      <c r="A66" s="1112" t="n">
        <v>1926</v>
      </c>
      <c r="B66" s="1131" t="n">
        <f aca="false">TableDE5a!F66</f>
        <v>2.6717317802794</v>
      </c>
      <c r="C66" s="1132"/>
      <c r="D66" s="1132"/>
      <c r="E66" s="1133"/>
      <c r="F66" s="1131" t="n">
        <f aca="false">G66+H66-I66</f>
        <v>0.579449775844505</v>
      </c>
      <c r="G66" s="978" t="n">
        <f aca="false">TableDE5c!G66</f>
        <v>0.795146474258677</v>
      </c>
      <c r="H66" s="978" t="n">
        <v>0</v>
      </c>
      <c r="I66" s="820" t="n">
        <f aca="false">TableDE5c!J66</f>
        <v>0.215696698414172</v>
      </c>
      <c r="J66" s="1131" t="n">
        <f aca="false">F66+B66</f>
        <v>3.25118155612391</v>
      </c>
      <c r="K66" s="1132"/>
      <c r="L66" s="1132"/>
      <c r="M66" s="1133"/>
      <c r="N66" s="1132"/>
      <c r="O66" s="1132"/>
      <c r="P66" s="1132"/>
      <c r="Q66" s="1134" t="n">
        <f aca="false">B66/J66</f>
        <v>0.821772556886878</v>
      </c>
      <c r="R66" s="1135" t="n">
        <f aca="false">F66/J66</f>
        <v>0.178227443113122</v>
      </c>
      <c r="S66" s="158"/>
      <c r="U66" s="1146"/>
      <c r="Y66" s="1136" t="n">
        <f aca="false">TableDE5c!J66-I66</f>
        <v>0</v>
      </c>
    </row>
    <row r="67" customFormat="false" ht="12" hidden="false" customHeight="true" outlineLevel="0" collapsed="false">
      <c r="A67" s="1112" t="n">
        <v>1927</v>
      </c>
      <c r="B67" s="1131" t="n">
        <f aca="false">TableDE5a!F67</f>
        <v>2.74751038725353</v>
      </c>
      <c r="C67" s="1132"/>
      <c r="D67" s="1132"/>
      <c r="E67" s="1133"/>
      <c r="F67" s="1131" t="n">
        <f aca="false">G67+H67-I67</f>
        <v>0.602246523104808</v>
      </c>
      <c r="G67" s="978" t="n">
        <f aca="false">TableDE5c!G67</f>
        <v>0.797878115232451</v>
      </c>
      <c r="H67" s="978" t="n">
        <v>0</v>
      </c>
      <c r="I67" s="820" t="n">
        <f aca="false">TableDE5c!J67</f>
        <v>0.195631592127644</v>
      </c>
      <c r="J67" s="1131" t="n">
        <f aca="false">F67+B67</f>
        <v>3.34975691035834</v>
      </c>
      <c r="K67" s="1132"/>
      <c r="L67" s="1132"/>
      <c r="M67" s="1133"/>
      <c r="N67" s="1147" t="n">
        <f aca="false">TableDE6f!E35</f>
        <v>0.48102245059557</v>
      </c>
      <c r="O67" s="1132"/>
      <c r="P67" s="1132"/>
      <c r="Q67" s="1134" t="n">
        <f aca="false">B67/J67</f>
        <v>0.82021187231751</v>
      </c>
      <c r="R67" s="1135" t="n">
        <f aca="false">F67/J67</f>
        <v>0.17978812768249</v>
      </c>
      <c r="S67" s="158"/>
      <c r="U67" s="1146"/>
      <c r="Y67" s="1136" t="n">
        <f aca="false">TableDE5c!J67-I67</f>
        <v>0</v>
      </c>
    </row>
    <row r="68" customFormat="false" ht="12" hidden="false" customHeight="true" outlineLevel="0" collapsed="false">
      <c r="A68" s="1112" t="n">
        <v>1928</v>
      </c>
      <c r="B68" s="1131" t="n">
        <f aca="false">TableDE5a!F68</f>
        <v>2.7994292717406</v>
      </c>
      <c r="C68" s="1132"/>
      <c r="D68" s="1132"/>
      <c r="E68" s="1133"/>
      <c r="F68" s="1131" t="n">
        <f aca="false">G68+H68-I68</f>
        <v>0.602554156266893</v>
      </c>
      <c r="G68" s="978" t="n">
        <f aca="false">TableDE5c!G68</f>
        <v>0.781061778272125</v>
      </c>
      <c r="H68" s="978" t="n">
        <v>0</v>
      </c>
      <c r="I68" s="820" t="n">
        <f aca="false">TableDE5c!J68</f>
        <v>0.178507622005232</v>
      </c>
      <c r="J68" s="1131" t="n">
        <f aca="false">F68+B68</f>
        <v>3.4019834280075</v>
      </c>
      <c r="K68" s="1132"/>
      <c r="L68" s="1132"/>
      <c r="M68" s="1133"/>
      <c r="N68" s="1132"/>
      <c r="O68" s="1132"/>
      <c r="P68" s="1132"/>
      <c r="Q68" s="1134" t="n">
        <f aca="false">B68/J68</f>
        <v>0.822881513382385</v>
      </c>
      <c r="R68" s="1135" t="n">
        <f aca="false">F68/J68</f>
        <v>0.177118486617615</v>
      </c>
      <c r="S68" s="158"/>
      <c r="U68" s="1146"/>
      <c r="Y68" s="1136" t="n">
        <f aca="false">TableDE5c!J68-I68</f>
        <v>0</v>
      </c>
    </row>
    <row r="69" customFormat="false" ht="12" hidden="false" customHeight="true" outlineLevel="0" collapsed="false">
      <c r="A69" s="1137" t="n">
        <v>1929</v>
      </c>
      <c r="B69" s="1138" t="n">
        <f aca="false">TableDE5a!F69</f>
        <v>3.04610714401076</v>
      </c>
      <c r="C69" s="1139"/>
      <c r="D69" s="1139"/>
      <c r="E69" s="1140"/>
      <c r="F69" s="1138" t="n">
        <f aca="false">G69+H69-I69</f>
        <v>0.595359959098357</v>
      </c>
      <c r="G69" s="981" t="n">
        <f aca="false">TableDE5c!G69</f>
        <v>0.818155687324571</v>
      </c>
      <c r="H69" s="981" t="n">
        <v>0</v>
      </c>
      <c r="I69" s="824" t="n">
        <f aca="false">TableDE5c!J69</f>
        <v>0.222795728226214</v>
      </c>
      <c r="J69" s="1138" t="n">
        <f aca="false">F69+B69</f>
        <v>3.64146710310912</v>
      </c>
      <c r="K69" s="1139"/>
      <c r="L69" s="1139"/>
      <c r="M69" s="1140"/>
      <c r="N69" s="1139"/>
      <c r="O69" s="1139"/>
      <c r="P69" s="1139"/>
      <c r="Q69" s="1141" t="n">
        <f aca="false">B69/J69</f>
        <v>0.836505468197136</v>
      </c>
      <c r="R69" s="1148" t="n">
        <f aca="false">F69/J69</f>
        <v>0.163494531802864</v>
      </c>
      <c r="S69" s="158"/>
      <c r="U69" s="1146"/>
      <c r="Y69" s="1136" t="n">
        <f aca="false">TableDE5c!J69-I69</f>
        <v>0</v>
      </c>
    </row>
    <row r="70" customFormat="false" ht="12" hidden="false" customHeight="true" outlineLevel="0" collapsed="false">
      <c r="A70" s="1112" t="n">
        <v>1930</v>
      </c>
      <c r="B70" s="1131" t="n">
        <f aca="false">TableDE5a!F70</f>
        <v>3.20522144595527</v>
      </c>
      <c r="C70" s="1132"/>
      <c r="D70" s="1132"/>
      <c r="E70" s="1133"/>
      <c r="F70" s="1131" t="n">
        <f aca="false">G70+H70-I70</f>
        <v>0.601849133959017</v>
      </c>
      <c r="G70" s="978" t="n">
        <f aca="false">TableDE5c!G70</f>
        <v>0.88589950222276</v>
      </c>
      <c r="H70" s="978" t="n">
        <v>0</v>
      </c>
      <c r="I70" s="820" t="n">
        <f aca="false">TableDE5c!J70</f>
        <v>0.284050368263744</v>
      </c>
      <c r="J70" s="1131" t="n">
        <f aca="false">F70+B70</f>
        <v>3.80707057991429</v>
      </c>
      <c r="K70" s="1132"/>
      <c r="L70" s="1132"/>
      <c r="M70" s="1133"/>
      <c r="N70" s="1132"/>
      <c r="O70" s="1132"/>
      <c r="P70" s="1132"/>
      <c r="Q70" s="1134" t="n">
        <f aca="false">B70/J70</f>
        <v>0.8419127984823</v>
      </c>
      <c r="R70" s="1149" t="n">
        <f aca="false">F70/J70</f>
        <v>0.1580872015177</v>
      </c>
      <c r="S70" s="158"/>
      <c r="U70" s="1146"/>
      <c r="Y70" s="1136" t="n">
        <f aca="false">TableDE5c!J70-I70</f>
        <v>0</v>
      </c>
    </row>
    <row r="71" customFormat="false" ht="12" hidden="false" customHeight="true" outlineLevel="0" collapsed="false">
      <c r="A71" s="1112" t="n">
        <v>1931</v>
      </c>
      <c r="B71" s="1131" t="n">
        <f aca="false">TableDE5a!F71</f>
        <v>3.36622157328003</v>
      </c>
      <c r="C71" s="1132"/>
      <c r="D71" s="1132"/>
      <c r="E71" s="1133"/>
      <c r="F71" s="1131" t="n">
        <f aca="false">G71+H71-I71</f>
        <v>0.590391337180923</v>
      </c>
      <c r="G71" s="978" t="n">
        <f aca="false">TableDE5c!G71</f>
        <v>0.980422410296525</v>
      </c>
      <c r="H71" s="978" t="n">
        <v>0</v>
      </c>
      <c r="I71" s="820" t="n">
        <f aca="false">TableDE5c!J71</f>
        <v>0.390031073115602</v>
      </c>
      <c r="J71" s="1131" t="n">
        <f aca="false">F71+B71</f>
        <v>3.95661291046095</v>
      </c>
      <c r="K71" s="1132"/>
      <c r="L71" s="1132"/>
      <c r="M71" s="1133"/>
      <c r="N71" s="1132"/>
      <c r="O71" s="1132"/>
      <c r="P71" s="1132"/>
      <c r="Q71" s="1134" t="n">
        <f aca="false">B71/J71</f>
        <v>0.850783649919359</v>
      </c>
      <c r="R71" s="1149" t="n">
        <f aca="false">F71/J71</f>
        <v>0.149216350080641</v>
      </c>
      <c r="S71" s="158"/>
      <c r="U71" s="1146"/>
      <c r="Y71" s="1136" t="n">
        <f aca="false">TableDE5c!J71-I71</f>
        <v>0</v>
      </c>
    </row>
    <row r="72" customFormat="false" ht="12" hidden="false" customHeight="true" outlineLevel="0" collapsed="false">
      <c r="A72" s="1112" t="n">
        <v>1932</v>
      </c>
      <c r="B72" s="1131" t="n">
        <f aca="false">TableDE5a!F72</f>
        <v>3.48602055818593</v>
      </c>
      <c r="C72" s="1132"/>
      <c r="D72" s="1132"/>
      <c r="E72" s="1133"/>
      <c r="F72" s="1131" t="n">
        <f aca="false">G72+H72-I72</f>
        <v>0.557043070320755</v>
      </c>
      <c r="G72" s="978" t="n">
        <f aca="false">TableDE5c!G72</f>
        <v>1.0433378867434</v>
      </c>
      <c r="H72" s="978" t="n">
        <v>0</v>
      </c>
      <c r="I72" s="820" t="n">
        <f aca="false">TableDE5c!J72</f>
        <v>0.48629481642265</v>
      </c>
      <c r="J72" s="1131" t="n">
        <f aca="false">F72+B72</f>
        <v>4.04306362850669</v>
      </c>
      <c r="K72" s="1132"/>
      <c r="L72" s="1132"/>
      <c r="M72" s="1133"/>
      <c r="N72" s="1132"/>
      <c r="O72" s="1132"/>
      <c r="P72" s="1132"/>
      <c r="Q72" s="1134" t="n">
        <f aca="false">B72/J72</f>
        <v>0.862222531846104</v>
      </c>
      <c r="R72" s="1149" t="n">
        <f aca="false">F72/J72</f>
        <v>0.137777468153896</v>
      </c>
      <c r="S72" s="158"/>
      <c r="U72" s="1146"/>
      <c r="Y72" s="1136" t="n">
        <f aca="false">TableDE5c!J72-I72</f>
        <v>0</v>
      </c>
    </row>
    <row r="73" customFormat="false" ht="12" hidden="false" customHeight="true" outlineLevel="0" collapsed="false">
      <c r="A73" s="1112" t="n">
        <v>1933</v>
      </c>
      <c r="B73" s="1131" t="n">
        <f aca="false">TableDE5a!F73</f>
        <v>3.31267321846689</v>
      </c>
      <c r="C73" s="1132"/>
      <c r="D73" s="1132"/>
      <c r="E73" s="1133"/>
      <c r="F73" s="1131" t="n">
        <f aca="false">G73+H73-I73</f>
        <v>0.487855273271775</v>
      </c>
      <c r="G73" s="978" t="n">
        <f aca="false">TableDE5c!G73</f>
        <v>0.962822466125961</v>
      </c>
      <c r="H73" s="978" t="n">
        <f aca="false">TableDE5c!L73+AVERAGE(DataDE1c!CY95:CY96)/TableDE1!B73</f>
        <v>0.0102423802097655</v>
      </c>
      <c r="I73" s="820" t="n">
        <f aca="false">TableDE5c!J73</f>
        <v>0.485209573063952</v>
      </c>
      <c r="J73" s="1131" t="n">
        <f aca="false">F73+B73</f>
        <v>3.80052849173866</v>
      </c>
      <c r="K73" s="1132"/>
      <c r="L73" s="1132"/>
      <c r="M73" s="1133"/>
      <c r="N73" s="1132"/>
      <c r="O73" s="1132"/>
      <c r="P73" s="1132"/>
      <c r="Q73" s="1134" t="n">
        <f aca="false">B73/J73</f>
        <v>0.871634885955403</v>
      </c>
      <c r="R73" s="1149" t="n">
        <f aca="false">F73/J73</f>
        <v>0.128365114044597</v>
      </c>
      <c r="S73" s="158"/>
      <c r="U73" s="1146"/>
      <c r="Y73" s="1136" t="n">
        <f aca="false">TableDE5c!J73-I73</f>
        <v>0</v>
      </c>
    </row>
    <row r="74" customFormat="false" ht="12" hidden="false" customHeight="true" outlineLevel="0" collapsed="false">
      <c r="A74" s="1112" t="n">
        <v>1934</v>
      </c>
      <c r="B74" s="1131" t="n">
        <f aca="false">TableDE5a!F74</f>
        <v>3.04876431192634</v>
      </c>
      <c r="C74" s="1132"/>
      <c r="D74" s="1132"/>
      <c r="E74" s="1133"/>
      <c r="F74" s="1131" t="n">
        <f aca="false">G74+H74-I74</f>
        <v>0.472146242980393</v>
      </c>
      <c r="G74" s="978" t="n">
        <f aca="false">TableDE5c!G74</f>
        <v>0.894805746479517</v>
      </c>
      <c r="H74" s="978" t="n">
        <f aca="false">TableDE5c!L74+AVERAGE(DataDE1c!CY96:CY97)/TableDE1!B74</f>
        <v>0.0249801209640662</v>
      </c>
      <c r="I74" s="820" t="n">
        <f aca="false">TableDE5c!J74</f>
        <v>0.44763962446319</v>
      </c>
      <c r="J74" s="1131" t="n">
        <f aca="false">F74+B74</f>
        <v>3.52091055490673</v>
      </c>
      <c r="K74" s="1132"/>
      <c r="L74" s="1132"/>
      <c r="M74" s="1133"/>
      <c r="N74" s="1132"/>
      <c r="O74" s="1132"/>
      <c r="P74" s="1132"/>
      <c r="Q74" s="1134" t="n">
        <f aca="false">B74/J74</f>
        <v>0.865902233067974</v>
      </c>
      <c r="R74" s="1149" t="n">
        <f aca="false">F74/J74</f>
        <v>0.134097766932026</v>
      </c>
      <c r="S74" s="158"/>
      <c r="U74" s="1146"/>
      <c r="Y74" s="1136" t="n">
        <f aca="false">TableDE5c!J74-I74</f>
        <v>0</v>
      </c>
    </row>
    <row r="75" customFormat="false" ht="12" hidden="false" customHeight="true" outlineLevel="0" collapsed="false">
      <c r="A75" s="1112" t="n">
        <v>1935</v>
      </c>
      <c r="B75" s="1131" t="n">
        <f aca="false">TableDE5a!F75</f>
        <v>2.904961969977</v>
      </c>
      <c r="C75" s="1132"/>
      <c r="D75" s="1132"/>
      <c r="E75" s="1133"/>
      <c r="F75" s="1131" t="n">
        <f aca="false">G75+H75-I75</f>
        <v>0.499401509628719</v>
      </c>
      <c r="G75" s="978" t="n">
        <f aca="false">TableDE5c!G75</f>
        <v>0.885437279694606</v>
      </c>
      <c r="H75" s="978" t="n">
        <f aca="false">TableDE5c!L75+AVERAGE(DataDE1c!CY97:CY98)/TableDE1!B75</f>
        <v>0.0655739180862698</v>
      </c>
      <c r="I75" s="820" t="n">
        <f aca="false">TableDE5c!J75</f>
        <v>0.451609688152156</v>
      </c>
      <c r="J75" s="1131" t="n">
        <f aca="false">F75+B75</f>
        <v>3.40436347960572</v>
      </c>
      <c r="K75" s="1132"/>
      <c r="L75" s="1132"/>
      <c r="M75" s="1133"/>
      <c r="N75" s="1132"/>
      <c r="O75" s="1132"/>
      <c r="P75" s="1132"/>
      <c r="Q75" s="1134" t="n">
        <f aca="false">B75/J75</f>
        <v>0.853305467344939</v>
      </c>
      <c r="R75" s="1149" t="n">
        <f aca="false">F75/J75</f>
        <v>0.146694532655061</v>
      </c>
      <c r="S75" s="158"/>
      <c r="U75" s="1146"/>
      <c r="Y75" s="1136" t="n">
        <f aca="false">TableDE5c!J75-I75</f>
        <v>0</v>
      </c>
    </row>
    <row r="76" customFormat="false" ht="12" hidden="false" customHeight="true" outlineLevel="0" collapsed="false">
      <c r="A76" s="1112" t="n">
        <v>1936</v>
      </c>
      <c r="B76" s="1131" t="n">
        <f aca="false">TableDE5a!F76</f>
        <v>2.77195921904878</v>
      </c>
      <c r="C76" s="1132"/>
      <c r="D76" s="1132"/>
      <c r="E76" s="1133"/>
      <c r="F76" s="1131" t="n">
        <f aca="false">G76+H76-I76</f>
        <v>0.494864265373627</v>
      </c>
      <c r="G76" s="978" t="n">
        <f aca="false">TableDE5c!G76</f>
        <v>0.864048646673887</v>
      </c>
      <c r="H76" s="978" t="n">
        <f aca="false">TableDE5c!L76+AVERAGE(DataDE1c!CY98:CY99)/TableDE1!B76</f>
        <v>0.081161121937596</v>
      </c>
      <c r="I76" s="820" t="n">
        <f aca="false">TableDE5c!J76</f>
        <v>0.450345503237856</v>
      </c>
      <c r="J76" s="1131" t="n">
        <f aca="false">F76+B76</f>
        <v>3.2668234844224</v>
      </c>
      <c r="K76" s="1132"/>
      <c r="L76" s="1132"/>
      <c r="M76" s="1133"/>
      <c r="N76" s="1132"/>
      <c r="O76" s="1132"/>
      <c r="P76" s="1132"/>
      <c r="Q76" s="1134" t="n">
        <f aca="false">B76/J76</f>
        <v>0.848518211120574</v>
      </c>
      <c r="R76" s="1149" t="n">
        <f aca="false">F76/J76</f>
        <v>0.151481788879427</v>
      </c>
      <c r="S76" s="158"/>
      <c r="U76" s="1146"/>
      <c r="Y76" s="1136" t="n">
        <f aca="false">TableDE5c!J76-I76</f>
        <v>0</v>
      </c>
    </row>
    <row r="77" customFormat="false" ht="12" hidden="false" customHeight="true" outlineLevel="0" collapsed="false">
      <c r="A77" s="1112" t="n">
        <v>1937</v>
      </c>
      <c r="B77" s="1131" t="n">
        <f aca="false">TableDE5a!F77</f>
        <v>2.6705544819023</v>
      </c>
      <c r="C77" s="1132"/>
      <c r="D77" s="1132"/>
      <c r="E77" s="1133"/>
      <c r="F77" s="1131" t="n">
        <f aca="false">G77+H77-I77</f>
        <v>0.501195510246553</v>
      </c>
      <c r="G77" s="978" t="n">
        <f aca="false">TableDE5c!G77</f>
        <v>0.842481187692582</v>
      </c>
      <c r="H77" s="978" t="n">
        <f aca="false">TableDE5c!L77+AVERAGE(DataDE1c!CY99:CY100)/TableDE1!B77</f>
        <v>0.123008624583746</v>
      </c>
      <c r="I77" s="820" t="n">
        <f aca="false">TableDE5c!J77</f>
        <v>0.464294302029775</v>
      </c>
      <c r="J77" s="1131" t="n">
        <f aca="false">F77+B77</f>
        <v>3.17174999214885</v>
      </c>
      <c r="K77" s="1132"/>
      <c r="L77" s="1132"/>
      <c r="M77" s="1133"/>
      <c r="N77" s="1132"/>
      <c r="O77" s="1132"/>
      <c r="P77" s="1132"/>
      <c r="Q77" s="1134" t="n">
        <f aca="false">B77/J77</f>
        <v>0.841981394659989</v>
      </c>
      <c r="R77" s="1149" t="n">
        <f aca="false">F77/J77</f>
        <v>0.158018605340011</v>
      </c>
      <c r="S77" s="158"/>
      <c r="U77" s="1146"/>
      <c r="Y77" s="1136" t="n">
        <f aca="false">TableDE5c!J77-I77</f>
        <v>0</v>
      </c>
    </row>
    <row r="78" customFormat="false" ht="12" hidden="false" customHeight="true" outlineLevel="0" collapsed="false">
      <c r="A78" s="1112" t="n">
        <v>1938</v>
      </c>
      <c r="B78" s="1131" t="n">
        <f aca="false">TableDE5a!F78</f>
        <v>2.6478701221546</v>
      </c>
      <c r="C78" s="1132"/>
      <c r="D78" s="1132"/>
      <c r="E78" s="1133"/>
      <c r="F78" s="1131" t="n">
        <f aca="false">G78+H78-I78</f>
        <v>0.469177676389856</v>
      </c>
      <c r="G78" s="978" t="n">
        <f aca="false">TableDE5c!G78</f>
        <v>0.801349122980811</v>
      </c>
      <c r="H78" s="978" t="n">
        <f aca="false">TableDE5c!L78+AVERAGE(DataDE1c!CY100:CY101)/TableDE1!B78</f>
        <v>0.137703602904498</v>
      </c>
      <c r="I78" s="820" t="n">
        <f aca="false">TableDE5c!J78</f>
        <v>0.469875049495453</v>
      </c>
      <c r="J78" s="1131" t="n">
        <f aca="false">F78+B78</f>
        <v>3.11704779854446</v>
      </c>
      <c r="K78" s="1132"/>
      <c r="L78" s="1132"/>
      <c r="M78" s="1133"/>
      <c r="N78" s="1132"/>
      <c r="O78" s="1132"/>
      <c r="P78" s="1132"/>
      <c r="Q78" s="1134" t="n">
        <f aca="false">B78/J78</f>
        <v>0.849480114931525</v>
      </c>
      <c r="R78" s="1149" t="n">
        <f aca="false">F78/J78</f>
        <v>0.150519885068475</v>
      </c>
      <c r="S78" s="158"/>
      <c r="U78" s="1146"/>
      <c r="Y78" s="1136" t="n">
        <f aca="false">TableDE5c!J78-I78</f>
        <v>0</v>
      </c>
    </row>
    <row r="79" customFormat="false" ht="12" hidden="false" customHeight="true" outlineLevel="0" collapsed="false">
      <c r="A79" s="1137" t="n">
        <v>1939</v>
      </c>
      <c r="B79" s="1138" t="n">
        <f aca="false">TableDE5a!F79</f>
        <v>2.81626544087146</v>
      </c>
      <c r="C79" s="1139"/>
      <c r="D79" s="1139"/>
      <c r="E79" s="1140"/>
      <c r="F79" s="1138" t="n">
        <f aca="false">G79+H79-I79</f>
        <v>0.322695483091399</v>
      </c>
      <c r="G79" s="981" t="n">
        <f aca="false">TableDE5c!G79</f>
        <v>0.686369224019205</v>
      </c>
      <c r="H79" s="981" t="n">
        <f aca="false">TableDE5c!L79+AVERAGE(DataDE1c!CY101:CY102)/TableDE1!B79</f>
        <v>0.121115307448145</v>
      </c>
      <c r="I79" s="824" t="n">
        <f aca="false">TableDE5c!J79</f>
        <v>0.484789048375952</v>
      </c>
      <c r="J79" s="1138" t="n">
        <f aca="false">F79+B79</f>
        <v>3.13896092396286</v>
      </c>
      <c r="K79" s="1139"/>
      <c r="L79" s="1139"/>
      <c r="M79" s="1140"/>
      <c r="N79" s="1139"/>
      <c r="O79" s="1139"/>
      <c r="P79" s="1139"/>
      <c r="Q79" s="1141" t="n">
        <f aca="false">B79/J79</f>
        <v>0.897196718624963</v>
      </c>
      <c r="R79" s="1148" t="n">
        <f aca="false">F79/J79</f>
        <v>0.102803281375037</v>
      </c>
      <c r="S79" s="158"/>
      <c r="Y79" s="1136" t="n">
        <f aca="false">TableDE5c!J79-I79</f>
        <v>0</v>
      </c>
    </row>
    <row r="80" customFormat="false" ht="12" hidden="false" customHeight="true" outlineLevel="0" collapsed="false">
      <c r="A80" s="1112" t="n">
        <v>1940</v>
      </c>
      <c r="B80" s="1131" t="n">
        <f aca="false">TableDE5a!F80</f>
        <v>2.87248866113009</v>
      </c>
      <c r="C80" s="1132"/>
      <c r="D80" s="1132"/>
      <c r="E80" s="1133"/>
      <c r="F80" s="1131" t="n">
        <f aca="false">G80+H80-I80</f>
        <v>0.296357935693499</v>
      </c>
      <c r="G80" s="978" t="n">
        <f aca="false">TableDE5c!G80</f>
        <v>0.676698135998402</v>
      </c>
      <c r="H80" s="978" t="n">
        <f aca="false">TableDE5c!L80+AVERAGE(DataDE1c!CY102:CY103)/TableDE1!B80</f>
        <v>0.161720384643872</v>
      </c>
      <c r="I80" s="820" t="n">
        <f aca="false">TableDE5c!J80</f>
        <v>0.542060584948775</v>
      </c>
      <c r="J80" s="1131" t="n">
        <f aca="false">F80+B80</f>
        <v>3.16884659682359</v>
      </c>
      <c r="K80" s="1132"/>
      <c r="L80" s="1132"/>
      <c r="M80" s="1133"/>
      <c r="N80" s="1132"/>
      <c r="O80" s="1132"/>
      <c r="P80" s="1132"/>
      <c r="Q80" s="1134" t="n">
        <f aca="false">B80/J80</f>
        <v>0.906477664147402</v>
      </c>
      <c r="R80" s="1149" t="n">
        <f aca="false">F80/J80</f>
        <v>0.0935223358525982</v>
      </c>
      <c r="S80" s="158"/>
      <c r="Y80" s="1136" t="n">
        <f aca="false">TableDE5c!J80-I80</f>
        <v>0</v>
      </c>
    </row>
    <row r="81" customFormat="false" ht="12" hidden="false" customHeight="true" outlineLevel="0" collapsed="false">
      <c r="A81" s="1112" t="n">
        <v>1941</v>
      </c>
      <c r="B81" s="1131" t="n">
        <f aca="false">TableDE5a!F81</f>
        <v>2.63187893442654</v>
      </c>
      <c r="C81" s="1132"/>
      <c r="D81" s="1132"/>
      <c r="E81" s="1133"/>
      <c r="F81" s="1131" t="n">
        <f aca="false">G81+H81-I81</f>
        <v>0.056921765372024</v>
      </c>
      <c r="G81" s="978" t="n">
        <f aca="false">TableDE5c!G81</f>
        <v>0.605249517667744</v>
      </c>
      <c r="H81" s="978" t="n">
        <f aca="false">TableDE5c!L81+AVERAGE(DataDE1c!CY103:CY104)/TableDE1!B81</f>
        <v>0.19950751084553</v>
      </c>
      <c r="I81" s="820" t="n">
        <f aca="false">TableDE5c!J81</f>
        <v>0.74783526314125</v>
      </c>
      <c r="J81" s="1131" t="n">
        <f aca="false">F81+B81</f>
        <v>2.68880069979857</v>
      </c>
      <c r="K81" s="1132"/>
      <c r="L81" s="1132"/>
      <c r="M81" s="1133"/>
      <c r="N81" s="1132"/>
      <c r="O81" s="1132"/>
      <c r="P81" s="1132"/>
      <c r="Q81" s="1134" t="n">
        <f aca="false">B81/J81</f>
        <v>0.978830054092039</v>
      </c>
      <c r="R81" s="1149" t="n">
        <f aca="false">F81/J81</f>
        <v>0.0211699459079612</v>
      </c>
      <c r="S81" s="158"/>
      <c r="Y81" s="1136" t="n">
        <f aca="false">TableDE5c!J81-I81</f>
        <v>0</v>
      </c>
    </row>
    <row r="82" customFormat="false" ht="12" hidden="false" customHeight="true" outlineLevel="0" collapsed="false">
      <c r="A82" s="1112" t="n">
        <v>1942</v>
      </c>
      <c r="B82" s="1131" t="n">
        <f aca="false">TableDE5a!F82</f>
        <v>2.6963992530691</v>
      </c>
      <c r="C82" s="1132"/>
      <c r="D82" s="1132"/>
      <c r="E82" s="1133"/>
      <c r="F82" s="1131" t="n">
        <f aca="false">G82+H82-I82</f>
        <v>-0.215011034870609</v>
      </c>
      <c r="G82" s="978" t="n">
        <f aca="false">TableDE5c!G82</f>
        <v>0.586839609616728</v>
      </c>
      <c r="H82" s="978" t="n">
        <f aca="false">TableDE5c!L82+AVERAGE(DataDE1c!CY104:CY105)/TableDE1!B82</f>
        <v>0.245247131719492</v>
      </c>
      <c r="I82" s="820" t="n">
        <f aca="false">TableDE5c!J82</f>
        <v>1.04709777620683</v>
      </c>
      <c r="J82" s="1131" t="n">
        <f aca="false">F82+B82</f>
        <v>2.48138821819849</v>
      </c>
      <c r="K82" s="1132"/>
      <c r="L82" s="1132"/>
      <c r="M82" s="1133"/>
      <c r="N82" s="1132"/>
      <c r="O82" s="1132"/>
      <c r="P82" s="1132"/>
      <c r="Q82" s="1134" t="n">
        <f aca="false">B82/J82</f>
        <v>1.0866494945425</v>
      </c>
      <c r="R82" s="1149" t="n">
        <f aca="false">F82/J82</f>
        <v>-0.0866494945424981</v>
      </c>
      <c r="S82" s="158"/>
      <c r="Y82" s="1136" t="n">
        <f aca="false">TableDE5c!J82-I82</f>
        <v>0</v>
      </c>
    </row>
    <row r="83" customFormat="false" ht="12" hidden="false" customHeight="true" outlineLevel="0" collapsed="false">
      <c r="A83" s="1112" t="n">
        <v>1943</v>
      </c>
      <c r="B83" s="1131" t="n">
        <f aca="false">TableDE5a!F83</f>
        <v>2.78709097712112</v>
      </c>
      <c r="C83" s="1132"/>
      <c r="D83" s="1132"/>
      <c r="E83" s="1133"/>
      <c r="F83" s="1131" t="n">
        <f aca="false">G83+H83-I83</f>
        <v>-0.461721748807298</v>
      </c>
      <c r="G83" s="978" t="n">
        <f aca="false">TableDE5c!G83</f>
        <v>0.565476621509778</v>
      </c>
      <c r="H83" s="978" t="n">
        <f aca="false">TableDE5c!L83+AVERAGE(DataDE1c!CY105:CY106)/TableDE1!B83</f>
        <v>0.27135652000989</v>
      </c>
      <c r="I83" s="820" t="n">
        <f aca="false">TableDE5c!J83</f>
        <v>1.29855489032697</v>
      </c>
      <c r="J83" s="1131" t="n">
        <f aca="false">F83+B83</f>
        <v>2.32536922831382</v>
      </c>
      <c r="K83" s="1132"/>
      <c r="L83" s="1132"/>
      <c r="M83" s="1133"/>
      <c r="N83" s="1132"/>
      <c r="O83" s="1132"/>
      <c r="P83" s="1132"/>
      <c r="Q83" s="1134" t="n">
        <f aca="false">B83/J83</f>
        <v>1.19855846683845</v>
      </c>
      <c r="R83" s="1149" t="n">
        <f aca="false">F83/J83</f>
        <v>-0.198558466838448</v>
      </c>
      <c r="S83" s="158"/>
      <c r="Y83" s="1136" t="n">
        <f aca="false">TableDE5c!J83-I83</f>
        <v>0</v>
      </c>
    </row>
    <row r="84" customFormat="false" ht="12" hidden="false" customHeight="true" outlineLevel="0" collapsed="false">
      <c r="A84" s="1112" t="n">
        <v>1944</v>
      </c>
      <c r="B84" s="1131" t="n">
        <f aca="false">TableDE5a!F84</f>
        <v>2.96206288722261</v>
      </c>
      <c r="C84" s="1132"/>
      <c r="D84" s="1132"/>
      <c r="E84" s="1133"/>
      <c r="F84" s="1131" t="n">
        <f aca="false">G84+H84-I84</f>
        <v>-0.814588537972414</v>
      </c>
      <c r="G84" s="978" t="n">
        <f aca="false">TableDE5c!G84</f>
        <v>0.634051090023498</v>
      </c>
      <c r="H84" s="978" t="n">
        <f aca="false">TableDE5c!L84+AVERAGE(DataDE1c!CY106:CY107)/TableDE1!B84</f>
        <v>0.379505361039514</v>
      </c>
      <c r="I84" s="820" t="n">
        <f aca="false">TableDE5c!J84</f>
        <v>1.82814498903543</v>
      </c>
      <c r="J84" s="1131" t="n">
        <f aca="false">F84+B84</f>
        <v>2.1474743492502</v>
      </c>
      <c r="K84" s="1132"/>
      <c r="L84" s="1132"/>
      <c r="M84" s="1133"/>
      <c r="N84" s="1132"/>
      <c r="O84" s="1132"/>
      <c r="P84" s="1132"/>
      <c r="Q84" s="1134" t="n">
        <f aca="false">B84/J84</f>
        <v>1.37932398971696</v>
      </c>
      <c r="R84" s="1149" t="n">
        <f aca="false">F84/J84</f>
        <v>-0.379323989716959</v>
      </c>
      <c r="S84" s="158"/>
      <c r="Y84" s="1136" t="n">
        <f aca="false">TableDE5c!J84-I84</f>
        <v>0</v>
      </c>
    </row>
    <row r="85" customFormat="false" ht="12" hidden="false" customHeight="true" outlineLevel="0" collapsed="false">
      <c r="A85" s="1112" t="n">
        <v>1945</v>
      </c>
      <c r="B85" s="1131" t="n">
        <f aca="false">TableDE5a!F85</f>
        <v>2.60485268254877</v>
      </c>
      <c r="C85" s="1132"/>
      <c r="D85" s="1132"/>
      <c r="E85" s="1133"/>
      <c r="F85" s="1131" t="n">
        <f aca="false">G85+H85-I85</f>
        <v>-0.65100138332497</v>
      </c>
      <c r="G85" s="978" t="n">
        <f aca="false">TableDE5c!G85</f>
        <v>0.801810443887088</v>
      </c>
      <c r="H85" s="978" t="n">
        <f aca="false">TableDE5c!L85</f>
        <v>0</v>
      </c>
      <c r="I85" s="820" t="n">
        <f aca="false">TableDE5c!J85</f>
        <v>1.45281182721206</v>
      </c>
      <c r="J85" s="1131" t="n">
        <f aca="false">F85+B85</f>
        <v>1.9538512992238</v>
      </c>
      <c r="K85" s="978"/>
      <c r="L85" s="1132"/>
      <c r="M85" s="1133"/>
      <c r="N85" s="1132"/>
      <c r="O85" s="1132"/>
      <c r="P85" s="1132"/>
      <c r="Q85" s="1134" t="n">
        <f aca="false">B85/J85</f>
        <v>1.33318880693919</v>
      </c>
      <c r="R85" s="1149" t="n">
        <f aca="false">F85/J85</f>
        <v>-0.333188806939193</v>
      </c>
      <c r="S85" s="158"/>
      <c r="Y85" s="1136" t="n">
        <f aca="false">TableDE5c!J85-I85</f>
        <v>0</v>
      </c>
    </row>
    <row r="86" customFormat="false" ht="12" hidden="false" customHeight="true" outlineLevel="0" collapsed="false">
      <c r="A86" s="1112" t="n">
        <v>1946</v>
      </c>
      <c r="B86" s="1131" t="n">
        <f aca="false">TableDE5a!F86</f>
        <v>2.35122106335948</v>
      </c>
      <c r="C86" s="1132"/>
      <c r="D86" s="1132"/>
      <c r="E86" s="1133"/>
      <c r="F86" s="1131" t="n">
        <f aca="false">G86+H86-I86</f>
        <v>-0.132674943003793</v>
      </c>
      <c r="G86" s="978" t="n">
        <f aca="false">TableDE5c!G86</f>
        <v>0.944803722384897</v>
      </c>
      <c r="H86" s="978" t="n">
        <f aca="false">TableDE5c!L86</f>
        <v>0</v>
      </c>
      <c r="I86" s="820" t="n">
        <f aca="false">TableDE5c!J86</f>
        <v>1.07747866538869</v>
      </c>
      <c r="J86" s="1131" t="n">
        <f aca="false">F86+B86</f>
        <v>2.21854612035569</v>
      </c>
      <c r="K86" s="978"/>
      <c r="L86" s="1132"/>
      <c r="M86" s="1133"/>
      <c r="N86" s="1132"/>
      <c r="O86" s="1132"/>
      <c r="P86" s="1132"/>
      <c r="Q86" s="1134" t="n">
        <f aca="false">B86/J86</f>
        <v>1.05980265264106</v>
      </c>
      <c r="R86" s="1149" t="n">
        <f aca="false">F86/J86</f>
        <v>-0.0598026526410555</v>
      </c>
      <c r="S86" s="158"/>
      <c r="Y86" s="1136" t="n">
        <f aca="false">TableDE5c!J86-I86</f>
        <v>0</v>
      </c>
    </row>
    <row r="87" customFormat="false" ht="12" hidden="false" customHeight="true" outlineLevel="0" collapsed="false">
      <c r="A87" s="1112" t="n">
        <v>1947</v>
      </c>
      <c r="B87" s="1131" t="n">
        <f aca="false">TableDE5a!F87</f>
        <v>2.14452547648039</v>
      </c>
      <c r="C87" s="1132"/>
      <c r="D87" s="1132"/>
      <c r="E87" s="1133"/>
      <c r="F87" s="1131" t="n">
        <f aca="false">G87+H87-I87</f>
        <v>0.108242839647132</v>
      </c>
      <c r="G87" s="978" t="n">
        <f aca="false">TableDE5c!G87</f>
        <v>0.810388343212453</v>
      </c>
      <c r="H87" s="978" t="n">
        <f aca="false">TableDE5c!L87</f>
        <v>0</v>
      </c>
      <c r="I87" s="820" t="n">
        <f aca="false">TableDE5c!J87</f>
        <v>0.702145503565321</v>
      </c>
      <c r="J87" s="1131" t="n">
        <f aca="false">F87+B87</f>
        <v>2.25276831612752</v>
      </c>
      <c r="K87" s="1132"/>
      <c r="L87" s="1132"/>
      <c r="M87" s="1133"/>
      <c r="N87" s="1132"/>
      <c r="O87" s="1132"/>
      <c r="P87" s="1132"/>
      <c r="Q87" s="1134" t="n">
        <f aca="false">B87/J87</f>
        <v>0.951951188734224</v>
      </c>
      <c r="R87" s="1149" t="n">
        <f aca="false">F87/J87</f>
        <v>0.0480488112657763</v>
      </c>
      <c r="S87" s="158"/>
      <c r="Y87" s="1136" t="n">
        <f aca="false">TableDE5c!J87-I87</f>
        <v>0</v>
      </c>
    </row>
    <row r="88" customFormat="false" ht="12" hidden="false" customHeight="true" outlineLevel="0" collapsed="false">
      <c r="A88" s="1112" t="n">
        <v>1948</v>
      </c>
      <c r="B88" s="1131" t="n">
        <f aca="false">TableDE5a!F88</f>
        <v>1.98808149388641</v>
      </c>
      <c r="C88" s="1132"/>
      <c r="D88" s="1132"/>
      <c r="E88" s="1133"/>
      <c r="F88" s="1131" t="n">
        <f aca="false">G88+H88-I88</f>
        <v>0.367733324226384</v>
      </c>
      <c r="G88" s="978" t="n">
        <f aca="false">TableDE5c!G88</f>
        <v>0.694545665968336</v>
      </c>
      <c r="H88" s="978" t="n">
        <f aca="false">TableDE5c!L88</f>
        <v>0</v>
      </c>
      <c r="I88" s="820" t="n">
        <f aca="false">TableDE5c!J88</f>
        <v>0.326812341741952</v>
      </c>
      <c r="J88" s="1131" t="n">
        <f aca="false">F88+B88</f>
        <v>2.35581481811279</v>
      </c>
      <c r="K88" s="1132"/>
      <c r="L88" s="1132"/>
      <c r="M88" s="1133"/>
      <c r="N88" s="1132"/>
      <c r="O88" s="1132"/>
      <c r="P88" s="1132"/>
      <c r="Q88" s="1134" t="n">
        <f aca="false">B88/J88</f>
        <v>0.843903976917434</v>
      </c>
      <c r="R88" s="1149" t="n">
        <f aca="false">F88/J88</f>
        <v>0.156096023082566</v>
      </c>
      <c r="S88" s="158"/>
      <c r="Y88" s="1136" t="n">
        <f aca="false">TableDE5c!J88-I88</f>
        <v>0</v>
      </c>
    </row>
    <row r="89" customFormat="false" ht="12" hidden="false" customHeight="true" outlineLevel="0" collapsed="false">
      <c r="A89" s="1112" t="n">
        <v>1949</v>
      </c>
      <c r="B89" s="1131" t="n">
        <f aca="false">TableDE5a!F89</f>
        <v>1.83084764388668</v>
      </c>
      <c r="C89" s="1132"/>
      <c r="D89" s="1132"/>
      <c r="E89" s="1133"/>
      <c r="F89" s="1131" t="n">
        <f aca="false">G89+H89-I89</f>
        <v>0.263568659490379</v>
      </c>
      <c r="G89" s="978" t="n">
        <f aca="false">TableDE5c!G89</f>
        <v>0.590381001232331</v>
      </c>
      <c r="H89" s="978" t="n">
        <f aca="false">TableDE5c!L89</f>
        <v>0</v>
      </c>
      <c r="I89" s="820" t="n">
        <f aca="false">TableDE5c!J89</f>
        <v>0.326812341741952</v>
      </c>
      <c r="J89" s="1131" t="n">
        <f aca="false">F89+B89</f>
        <v>2.09441630337706</v>
      </c>
      <c r="K89" s="1132"/>
      <c r="L89" s="1132"/>
      <c r="M89" s="1133"/>
      <c r="N89" s="1132"/>
      <c r="O89" s="1132"/>
      <c r="P89" s="1132"/>
      <c r="Q89" s="1134" t="n">
        <f aca="false">B89/J89</f>
        <v>0.87415650887295</v>
      </c>
      <c r="R89" s="1149" t="n">
        <f aca="false">F89/J89</f>
        <v>0.12584349112705</v>
      </c>
      <c r="S89" s="158"/>
      <c r="Y89" s="1136" t="n">
        <f aca="false">TableDE5c!J89-I89</f>
        <v>0</v>
      </c>
    </row>
    <row r="90" customFormat="false" ht="12" hidden="false" customHeight="true" outlineLevel="0" collapsed="false">
      <c r="A90" s="1150" t="n">
        <v>1950</v>
      </c>
      <c r="B90" s="1151" t="n">
        <f aca="false">TableDE5a!F90</f>
        <v>1.81096491207406</v>
      </c>
      <c r="C90" s="1047" t="n">
        <f aca="false">TableDE6c!F9+TableDE6c!D9</f>
        <v>1.55299579493711</v>
      </c>
      <c r="D90" s="1047" t="n">
        <f aca="false">TableDE6c!H9</f>
        <v>0.309010516621446</v>
      </c>
      <c r="E90" s="1152" t="n">
        <f aca="false">TableDE6c!E9</f>
        <v>0.0510413994844916</v>
      </c>
      <c r="F90" s="1151" t="n">
        <f aca="false">G90+H90-I90</f>
        <v>0.420760497159648</v>
      </c>
      <c r="G90" s="1047" t="n">
        <f aca="false">TableDE5c!G90</f>
        <v>0.538106131444872</v>
      </c>
      <c r="H90" s="1047" t="n">
        <f aca="false">0.5*(DataDE2!W12+DataDE2!W13)/TableDE1!$B90</f>
        <v>0.209466707456729</v>
      </c>
      <c r="I90" s="1153" t="n">
        <f aca="false">TableDE5c!J90</f>
        <v>0.326812341741952</v>
      </c>
      <c r="J90" s="1151" t="n">
        <f aca="false">F90+B90</f>
        <v>2.23172540923371</v>
      </c>
      <c r="K90" s="1047" t="n">
        <f aca="false">G90+C90</f>
        <v>2.09110192638198</v>
      </c>
      <c r="L90" s="1047" t="n">
        <f aca="false">H90+D90</f>
        <v>0.518477224078174</v>
      </c>
      <c r="M90" s="1152" t="n">
        <f aca="false">I90+E90</f>
        <v>0.377853741226444</v>
      </c>
      <c r="N90" s="1047" t="n">
        <f aca="false">TableDE6f!E36</f>
        <v>0.366129084040597</v>
      </c>
      <c r="O90" s="1047"/>
      <c r="P90" s="1047"/>
      <c r="Q90" s="1151" t="n">
        <f aca="false">B90/J90</f>
        <v>0.811464037905935</v>
      </c>
      <c r="R90" s="1154" t="n">
        <f aca="false">F90/J90</f>
        <v>0.188535962094065</v>
      </c>
      <c r="S90" s="158"/>
      <c r="U90" s="158"/>
      <c r="Y90" s="1136" t="n">
        <f aca="false">TableDE5c!J90-I90</f>
        <v>0</v>
      </c>
    </row>
    <row r="91" customFormat="false" ht="12" hidden="false" customHeight="true" outlineLevel="0" collapsed="false">
      <c r="A91" s="1112" t="n">
        <v>1951</v>
      </c>
      <c r="B91" s="1155" t="n">
        <f aca="false">TableDE5a!F91</f>
        <v>1.7259870972447</v>
      </c>
      <c r="C91" s="1050" t="n">
        <f aca="false">TableDE6c!F10+TableDE6c!D10</f>
        <v>1.50270079075789</v>
      </c>
      <c r="D91" s="1050" t="n">
        <f aca="false">TableDE6c!H10</f>
        <v>0.297866280344165</v>
      </c>
      <c r="E91" s="1156" t="n">
        <f aca="false">TableDE6c!E10</f>
        <v>0.0745799738573544</v>
      </c>
      <c r="F91" s="1155" t="n">
        <f aca="false">G91+H91-I91</f>
        <v>0.461407464918087</v>
      </c>
      <c r="G91" s="1050" t="n">
        <f aca="false">TableDE5c!G91</f>
        <v>0.512491911604244</v>
      </c>
      <c r="H91" s="1050" t="n">
        <f aca="false">0.5*(DataDE2!W13+DataDE2!W14)/TableDE1!$B91</f>
        <v>0.231691291821611</v>
      </c>
      <c r="I91" s="1157" t="n">
        <f aca="false">TableDE5c!J91</f>
        <v>0.282775738507768</v>
      </c>
      <c r="J91" s="1155" t="n">
        <f aca="false">F91+B91</f>
        <v>2.18739456216279</v>
      </c>
      <c r="K91" s="1050" t="n">
        <f aca="false">G91+C91</f>
        <v>2.01519270236214</v>
      </c>
      <c r="L91" s="1050" t="n">
        <f aca="false">H91+D91</f>
        <v>0.529557572165776</v>
      </c>
      <c r="M91" s="1156" t="n">
        <f aca="false">I91+E91</f>
        <v>0.357355712365122</v>
      </c>
      <c r="N91" s="1050"/>
      <c r="O91" s="1050"/>
      <c r="P91" s="1050"/>
      <c r="Q91" s="1155" t="n">
        <f aca="false">B91/J91</f>
        <v>0.789060705873809</v>
      </c>
      <c r="R91" s="1149" t="n">
        <f aca="false">F91/J91</f>
        <v>0.210939294126191</v>
      </c>
      <c r="S91" s="158"/>
      <c r="U91" s="158"/>
      <c r="Y91" s="1136" t="n">
        <f aca="false">TableDE5c!J91-I91</f>
        <v>0</v>
      </c>
    </row>
    <row r="92" customFormat="false" ht="12" hidden="false" customHeight="true" outlineLevel="0" collapsed="false">
      <c r="A92" s="1112" t="n">
        <v>1952</v>
      </c>
      <c r="B92" s="1155" t="n">
        <f aca="false">TableDE5a!F92</f>
        <v>1.6928524202708</v>
      </c>
      <c r="C92" s="1050" t="n">
        <f aca="false">TableDE6c!F11+TableDE6c!D11</f>
        <v>1.47858094785032</v>
      </c>
      <c r="D92" s="1050" t="n">
        <f aca="false">TableDE6c!H11</f>
        <v>0.312608746072238</v>
      </c>
      <c r="E92" s="1156" t="n">
        <f aca="false">TableDE6c!E11</f>
        <v>0.0983372736517542</v>
      </c>
      <c r="F92" s="1155" t="n">
        <f aca="false">G92+H92-I92</f>
        <v>0.504671242271868</v>
      </c>
      <c r="G92" s="1050" t="n">
        <f aca="false">TableDE5c!G92</f>
        <v>0.490107771652218</v>
      </c>
      <c r="H92" s="1050" t="n">
        <f aca="false">0.5*(DataDE2!W14+DataDE2!W15)/TableDE1!$B92</f>
        <v>0.274814076794846</v>
      </c>
      <c r="I92" s="1157" t="n">
        <f aca="false">TableDE5c!J92</f>
        <v>0.260250606175196</v>
      </c>
      <c r="J92" s="1155" t="n">
        <f aca="false">F92+B92</f>
        <v>2.19752366254267</v>
      </c>
      <c r="K92" s="1050" t="n">
        <f aca="false">G92+C92</f>
        <v>1.96868871950253</v>
      </c>
      <c r="L92" s="1050" t="n">
        <f aca="false">H92+D92</f>
        <v>0.587422822867084</v>
      </c>
      <c r="M92" s="1156" t="n">
        <f aca="false">I92+E92</f>
        <v>0.35858787982695</v>
      </c>
      <c r="N92" s="1050"/>
      <c r="O92" s="1050"/>
      <c r="P92" s="1050"/>
      <c r="Q92" s="1155" t="n">
        <f aca="false">B92/J92</f>
        <v>0.770345479835274</v>
      </c>
      <c r="R92" s="1149" t="n">
        <f aca="false">F92/J92</f>
        <v>0.229654520164726</v>
      </c>
      <c r="S92" s="158"/>
      <c r="U92" s="158"/>
      <c r="Y92" s="1136" t="n">
        <f aca="false">TableDE5c!J92-I92</f>
        <v>0</v>
      </c>
    </row>
    <row r="93" customFormat="false" ht="12" hidden="false" customHeight="true" outlineLevel="0" collapsed="false">
      <c r="A93" s="1112" t="n">
        <v>1953</v>
      </c>
      <c r="B93" s="1155" t="n">
        <f aca="false">TableDE5a!F93</f>
        <v>1.68102603404635</v>
      </c>
      <c r="C93" s="1050" t="n">
        <f aca="false">TableDE6c!F12+TableDE6c!D12</f>
        <v>1.4628926188891</v>
      </c>
      <c r="D93" s="1050" t="n">
        <f aca="false">TableDE6c!H12</f>
        <v>0.34781498062908</v>
      </c>
      <c r="E93" s="1156" t="n">
        <f aca="false">TableDE6c!E12</f>
        <v>0.129681565471822</v>
      </c>
      <c r="F93" s="1155" t="n">
        <f aca="false">G93+H93-I93</f>
        <v>0.568697888250933</v>
      </c>
      <c r="G93" s="1050" t="n">
        <f aca="false">TableDE5c!G93</f>
        <v>0.467774859329645</v>
      </c>
      <c r="H93" s="1050" t="n">
        <f aca="false">0.5*(DataDE2!W15+DataDE2!W16)/TableDE1!$B93</f>
        <v>0.340058317543798</v>
      </c>
      <c r="I93" s="1157" t="n">
        <f aca="false">TableDE5c!J93</f>
        <v>0.23913528862251</v>
      </c>
      <c r="J93" s="1155" t="n">
        <f aca="false">F93+B93</f>
        <v>2.24972392229729</v>
      </c>
      <c r="K93" s="1050" t="n">
        <f aca="false">G93+C93</f>
        <v>1.93066747821874</v>
      </c>
      <c r="L93" s="1050" t="n">
        <f aca="false">H93+D93</f>
        <v>0.687873298172878</v>
      </c>
      <c r="M93" s="1156" t="n">
        <f aca="false">I93+E93</f>
        <v>0.368816854094332</v>
      </c>
      <c r="N93" s="1050"/>
      <c r="O93" s="1050"/>
      <c r="P93" s="1050"/>
      <c r="Q93" s="1155" t="n">
        <f aca="false">B93/J93</f>
        <v>0.747214365898634</v>
      </c>
      <c r="R93" s="1149" t="n">
        <f aca="false">F93/J93</f>
        <v>0.252785634101366</v>
      </c>
      <c r="S93" s="158"/>
      <c r="U93" s="158"/>
      <c r="Y93" s="1136" t="n">
        <f aca="false">TableDE5c!J93-I93</f>
        <v>0</v>
      </c>
    </row>
    <row r="94" customFormat="false" ht="12" hidden="false" customHeight="true" outlineLevel="0" collapsed="false">
      <c r="A94" s="1112" t="n">
        <v>1954</v>
      </c>
      <c r="B94" s="1155" t="n">
        <f aca="false">TableDE5a!F94</f>
        <v>1.70211908841729</v>
      </c>
      <c r="C94" s="1050" t="n">
        <f aca="false">TableDE6c!F13+TableDE6c!D13</f>
        <v>1.47117577925607</v>
      </c>
      <c r="D94" s="1050" t="n">
        <f aca="false">TableDE6c!H13</f>
        <v>0.39764628648486</v>
      </c>
      <c r="E94" s="1156" t="n">
        <f aca="false">TableDE6c!E13</f>
        <v>0.166702977323641</v>
      </c>
      <c r="F94" s="1155" t="n">
        <f aca="false">G94+H94-I94</f>
        <v>0.642953530731334</v>
      </c>
      <c r="G94" s="1050" t="n">
        <f aca="false">TableDE5c!G94</f>
        <v>0.457092735227465</v>
      </c>
      <c r="H94" s="1050" t="n">
        <f aca="false">0.5*(DataDE2!W16+DataDE2!W17)/TableDE1!$B94</f>
        <v>0.410799725541303</v>
      </c>
      <c r="I94" s="1157" t="n">
        <f aca="false">TableDE5c!J94</f>
        <v>0.224938930037433</v>
      </c>
      <c r="J94" s="1155" t="n">
        <f aca="false">F94+B94</f>
        <v>2.34507261914863</v>
      </c>
      <c r="K94" s="1050" t="n">
        <f aca="false">G94+C94</f>
        <v>1.92826851448354</v>
      </c>
      <c r="L94" s="1050" t="n">
        <f aca="false">H94+D94</f>
        <v>0.808446012026163</v>
      </c>
      <c r="M94" s="1156" t="n">
        <f aca="false">I94+E94</f>
        <v>0.391641907361074</v>
      </c>
      <c r="N94" s="1050"/>
      <c r="O94" s="1050"/>
      <c r="P94" s="1050"/>
      <c r="Q94" s="1155" t="n">
        <f aca="false">B94/J94</f>
        <v>0.725827880347365</v>
      </c>
      <c r="R94" s="1149" t="n">
        <f aca="false">F94/J94</f>
        <v>0.274172119652635</v>
      </c>
      <c r="S94" s="158"/>
      <c r="U94" s="158"/>
      <c r="Y94" s="1136" t="n">
        <f aca="false">TableDE5c!J94-I94</f>
        <v>0</v>
      </c>
    </row>
    <row r="95" customFormat="false" ht="12" hidden="false" customHeight="true" outlineLevel="0" collapsed="false">
      <c r="A95" s="1112" t="n">
        <v>1955</v>
      </c>
      <c r="B95" s="1155" t="n">
        <f aca="false">TableDE5a!F95</f>
        <v>1.60198436608059</v>
      </c>
      <c r="C95" s="1050" t="n">
        <f aca="false">TableDE6c!F14+TableDE6c!D14</f>
        <v>1.37717313222364</v>
      </c>
      <c r="D95" s="1050" t="n">
        <f aca="false">TableDE6c!H14</f>
        <v>0.417360590828855</v>
      </c>
      <c r="E95" s="1156" t="n">
        <f aca="false">TableDE6c!E14</f>
        <v>0.192549356971909</v>
      </c>
      <c r="F95" s="1155" t="n">
        <f aca="false">G95+H95-I95</f>
        <v>0.671823726143848</v>
      </c>
      <c r="G95" s="1050" t="n">
        <f aca="false">TableDE5c!G95</f>
        <v>0.436212858927889</v>
      </c>
      <c r="H95" s="1050" t="n">
        <f aca="false">0.5*(DataDE2!W17+DataDE2!W18)/TableDE1!$B95</f>
        <v>0.443297038071947</v>
      </c>
      <c r="I95" s="1157" t="n">
        <f aca="false">TableDE5c!J95</f>
        <v>0.207686170855988</v>
      </c>
      <c r="J95" s="1155" t="n">
        <f aca="false">F95+B95</f>
        <v>2.27380809222443</v>
      </c>
      <c r="K95" s="1050" t="n">
        <f aca="false">G95+C95</f>
        <v>1.81338599115153</v>
      </c>
      <c r="L95" s="1050" t="n">
        <f aca="false">H95+D95</f>
        <v>0.860657628900802</v>
      </c>
      <c r="M95" s="1156" t="n">
        <f aca="false">I95+E95</f>
        <v>0.400235527827897</v>
      </c>
      <c r="N95" s="1050"/>
      <c r="O95" s="1050"/>
      <c r="P95" s="1050"/>
      <c r="Q95" s="1155" t="n">
        <f aca="false">B95/J95</f>
        <v>0.704538070542879</v>
      </c>
      <c r="R95" s="1149" t="n">
        <f aca="false">F95/J95</f>
        <v>0.295461929457121</v>
      </c>
      <c r="S95" s="158"/>
      <c r="U95" s="158"/>
      <c r="Y95" s="1136" t="n">
        <f aca="false">TableDE5c!J95-I95</f>
        <v>0</v>
      </c>
    </row>
    <row r="96" customFormat="false" ht="12" hidden="false" customHeight="true" outlineLevel="0" collapsed="false">
      <c r="A96" s="1112" t="n">
        <v>1956</v>
      </c>
      <c r="B96" s="1155" t="n">
        <f aca="false">TableDE5a!F96</f>
        <v>1.54136823480604</v>
      </c>
      <c r="C96" s="1050" t="n">
        <f aca="false">TableDE6c!F15+TableDE6c!D15</f>
        <v>1.33096407850398</v>
      </c>
      <c r="D96" s="1050" t="n">
        <f aca="false">TableDE6c!H15</f>
        <v>0.42734497968274</v>
      </c>
      <c r="E96" s="1156" t="n">
        <f aca="false">TableDE6c!E15</f>
        <v>0.216940823380678</v>
      </c>
      <c r="F96" s="1155" t="n">
        <f aca="false">G96+H96-I96</f>
        <v>0.722304238500375</v>
      </c>
      <c r="G96" s="1050" t="n">
        <f aca="false">TableDE5c!G96</f>
        <v>0.435921977706634</v>
      </c>
      <c r="H96" s="1050" t="n">
        <f aca="false">0.5*(DataDE2!W18+DataDE2!W19)/TableDE1!$B96</f>
        <v>0.480745781058015</v>
      </c>
      <c r="I96" s="1157" t="n">
        <f aca="false">TableDE5c!J96</f>
        <v>0.194363520264274</v>
      </c>
      <c r="J96" s="1155" t="n">
        <f aca="false">F96+B96</f>
        <v>2.26367247330641</v>
      </c>
      <c r="K96" s="1050" t="n">
        <f aca="false">G96+C96</f>
        <v>1.76688605621061</v>
      </c>
      <c r="L96" s="1050" t="n">
        <f aca="false">H96+D96</f>
        <v>0.908090760740755</v>
      </c>
      <c r="M96" s="1156" t="n">
        <f aca="false">I96+E96</f>
        <v>0.411304343644952</v>
      </c>
      <c r="N96" s="1050"/>
      <c r="O96" s="1050"/>
      <c r="P96" s="1050"/>
      <c r="Q96" s="1155" t="n">
        <f aca="false">B96/J96</f>
        <v>0.680914864222673</v>
      </c>
      <c r="R96" s="1149" t="n">
        <f aca="false">F96/J96</f>
        <v>0.319085135777327</v>
      </c>
      <c r="S96" s="158"/>
      <c r="U96" s="158"/>
      <c r="Y96" s="1136" t="n">
        <f aca="false">TableDE5c!J96-I96</f>
        <v>0</v>
      </c>
    </row>
    <row r="97" customFormat="false" ht="12" hidden="false" customHeight="true" outlineLevel="0" collapsed="false">
      <c r="A97" s="1112" t="n">
        <v>1957</v>
      </c>
      <c r="B97" s="1155" t="n">
        <f aca="false">TableDE5a!F97</f>
        <v>1.53818303519292</v>
      </c>
      <c r="C97" s="1050" t="n">
        <f aca="false">TableDE6c!F16+TableDE6c!D16</f>
        <v>1.34073214948229</v>
      </c>
      <c r="D97" s="1050" t="n">
        <f aca="false">TableDE6c!H16</f>
        <v>0.434321199506621</v>
      </c>
      <c r="E97" s="1156" t="n">
        <f aca="false">TableDE6c!E16</f>
        <v>0.236870313795996</v>
      </c>
      <c r="F97" s="1155" t="n">
        <f aca="false">G97+H97-I97</f>
        <v>0.765606861286913</v>
      </c>
      <c r="G97" s="1050" t="n">
        <f aca="false">TableDE5c!G97</f>
        <v>0.441481477658658</v>
      </c>
      <c r="H97" s="1050" t="n">
        <f aca="false">0.5*(DataDE2!W19+DataDE2!W20)/TableDE1!$B97</f>
        <v>0.507647085080458</v>
      </c>
      <c r="I97" s="1157" t="n">
        <f aca="false">TableDE5c!J97</f>
        <v>0.183521701452203</v>
      </c>
      <c r="J97" s="1155" t="n">
        <f aca="false">F97+B97</f>
        <v>2.30378989647983</v>
      </c>
      <c r="K97" s="1050" t="n">
        <f aca="false">G97+C97</f>
        <v>1.78221362714095</v>
      </c>
      <c r="L97" s="1050" t="n">
        <f aca="false">H97+D97</f>
        <v>0.94196828458708</v>
      </c>
      <c r="M97" s="1156" t="n">
        <f aca="false">I97+E97</f>
        <v>0.420392015248199</v>
      </c>
      <c r="N97" s="1050"/>
      <c r="O97" s="1050"/>
      <c r="P97" s="1050"/>
      <c r="Q97" s="1155" t="n">
        <f aca="false">B97/J97</f>
        <v>0.667675050378182</v>
      </c>
      <c r="R97" s="1149" t="n">
        <f aca="false">F97/J97</f>
        <v>0.332324949621818</v>
      </c>
      <c r="S97" s="158"/>
      <c r="U97" s="158"/>
      <c r="Y97" s="1136" t="n">
        <f aca="false">TableDE5c!J97-I97</f>
        <v>0</v>
      </c>
    </row>
    <row r="98" customFormat="false" ht="12" hidden="false" customHeight="true" outlineLevel="0" collapsed="false">
      <c r="A98" s="1112" t="n">
        <v>1958</v>
      </c>
      <c r="B98" s="1155" t="n">
        <f aca="false">TableDE5a!F98</f>
        <v>1.61165062318547</v>
      </c>
      <c r="C98" s="1050" t="n">
        <f aca="false">TableDE6c!F17+TableDE6c!D17</f>
        <v>1.40057151735155</v>
      </c>
      <c r="D98" s="1050" t="n">
        <f aca="false">TableDE6c!H17</f>
        <v>0.46943468633784</v>
      </c>
      <c r="E98" s="1156" t="n">
        <f aca="false">TableDE6c!E17</f>
        <v>0.258355580503916</v>
      </c>
      <c r="F98" s="1155" t="n">
        <f aca="false">G98+H98-I98</f>
        <v>0.799405613150219</v>
      </c>
      <c r="G98" s="1050" t="n">
        <f aca="false">TableDE5c!G98</f>
        <v>0.45893106800737</v>
      </c>
      <c r="H98" s="1050" t="n">
        <f aca="false">0.5*(DataDE2!W20+DataDE2!W21)/TableDE1!$B98</f>
        <v>0.51849888633388</v>
      </c>
      <c r="I98" s="1157" t="n">
        <f aca="false">TableDE5c!J98</f>
        <v>0.178024341191031</v>
      </c>
      <c r="J98" s="1155" t="n">
        <f aca="false">F98+B98</f>
        <v>2.41105623633569</v>
      </c>
      <c r="K98" s="1050" t="n">
        <f aca="false">G98+C98</f>
        <v>1.85950258535892</v>
      </c>
      <c r="L98" s="1050" t="n">
        <f aca="false">H98+D98</f>
        <v>0.98793357267172</v>
      </c>
      <c r="M98" s="1156" t="n">
        <f aca="false">I98+E98</f>
        <v>0.436379921694947</v>
      </c>
      <c r="N98" s="1050"/>
      <c r="O98" s="1050"/>
      <c r="P98" s="1050"/>
      <c r="Q98" s="1155" t="n">
        <f aca="false">B98/J98</f>
        <v>0.668441738893179</v>
      </c>
      <c r="R98" s="1149" t="n">
        <f aca="false">F98/J98</f>
        <v>0.331558261106821</v>
      </c>
      <c r="S98" s="158"/>
      <c r="U98" s="158"/>
      <c r="Y98" s="1136" t="n">
        <f aca="false">TableDE5c!J98-I98</f>
        <v>0</v>
      </c>
    </row>
    <row r="99" customFormat="false" ht="12" hidden="false" customHeight="true" outlineLevel="0" collapsed="false">
      <c r="A99" s="1137" t="n">
        <v>1959</v>
      </c>
      <c r="B99" s="1158" t="n">
        <f aca="false">TableDE5a!F99</f>
        <v>1.65921444356448</v>
      </c>
      <c r="C99" s="1062" t="n">
        <f aca="false">TableDE6c!F18+TableDE6c!D18</f>
        <v>1.41654818724184</v>
      </c>
      <c r="D99" s="1062" t="n">
        <f aca="false">TableDE6c!H18</f>
        <v>0.522739459149112</v>
      </c>
      <c r="E99" s="1159" t="n">
        <f aca="false">TableDE6c!E18</f>
        <v>0.280073202826474</v>
      </c>
      <c r="F99" s="1158" t="n">
        <f aca="false">G99+H99-I99</f>
        <v>0.808624165032682</v>
      </c>
      <c r="G99" s="1062" t="n">
        <f aca="false">TableDE5c!G99</f>
        <v>0.46663883438699</v>
      </c>
      <c r="H99" s="1062" t="n">
        <f aca="false">0.5*(DataDE2!W21+DataDE2!W22)/TableDE1!$B99</f>
        <v>0.51355570123433</v>
      </c>
      <c r="I99" s="1160" t="n">
        <f aca="false">TableDE5c!J99</f>
        <v>0.171570370588638</v>
      </c>
      <c r="J99" s="1158" t="n">
        <f aca="false">F99+B99</f>
        <v>2.46783860859716</v>
      </c>
      <c r="K99" s="1062" t="n">
        <f aca="false">G99+C99</f>
        <v>1.88318702162883</v>
      </c>
      <c r="L99" s="1062" t="n">
        <f aca="false">H99+D99</f>
        <v>1.03629516038344</v>
      </c>
      <c r="M99" s="1159" t="n">
        <f aca="false">I99+E99</f>
        <v>0.451643573415112</v>
      </c>
      <c r="N99" s="1062"/>
      <c r="O99" s="1062"/>
      <c r="P99" s="1062"/>
      <c r="Q99" s="1158" t="n">
        <f aca="false">B99/J99</f>
        <v>0.672335069961344</v>
      </c>
      <c r="R99" s="1148" t="n">
        <f aca="false">F99/J99</f>
        <v>0.327664930038656</v>
      </c>
      <c r="S99" s="158"/>
      <c r="U99" s="158"/>
      <c r="Y99" s="1136" t="n">
        <f aca="false">TableDE5c!J99-I99</f>
        <v>0</v>
      </c>
    </row>
    <row r="100" customFormat="false" ht="12" hidden="false" customHeight="true" outlineLevel="0" collapsed="false">
      <c r="A100" s="1112" t="n">
        <v>1960</v>
      </c>
      <c r="B100" s="1155" t="n">
        <f aca="false">TableDE5a!F100</f>
        <v>1.72291064507652</v>
      </c>
      <c r="C100" s="1050" t="n">
        <f aca="false">TableDE6c!F19+TableDE6c!D19</f>
        <v>1.44466139404519</v>
      </c>
      <c r="D100" s="1050" t="n">
        <f aca="false">TableDE6c!H19</f>
        <v>0.58203197200807</v>
      </c>
      <c r="E100" s="1156" t="n">
        <f aca="false">TableDE6c!E19</f>
        <v>0.303782720976738</v>
      </c>
      <c r="F100" s="1155" t="n">
        <f aca="false">G100+H100-I100</f>
        <v>0.800165083569274</v>
      </c>
      <c r="G100" s="1050" t="n">
        <f aca="false">TableDE5c!G100</f>
        <v>0.459965483978888</v>
      </c>
      <c r="H100" s="1050" t="n">
        <f aca="false">0.5*(DataDE2!W22+DataDE2!W23)/TableDE1!$B100</f>
        <v>0.501897588229457</v>
      </c>
      <c r="I100" s="1157" t="n">
        <f aca="false">TableDE5c!J100</f>
        <v>0.161697988639071</v>
      </c>
      <c r="J100" s="1155" t="n">
        <f aca="false">F100+B100</f>
        <v>2.52307572864579</v>
      </c>
      <c r="K100" s="1050" t="n">
        <f aca="false">G100+C100</f>
        <v>1.90462687802408</v>
      </c>
      <c r="L100" s="1050" t="n">
        <f aca="false">H100+D100</f>
        <v>1.08392956023753</v>
      </c>
      <c r="M100" s="1156" t="n">
        <f aca="false">I100+E100</f>
        <v>0.465480709615809</v>
      </c>
      <c r="N100" s="1050"/>
      <c r="O100" s="1050"/>
      <c r="P100" s="1050"/>
      <c r="Q100" s="1155" t="n">
        <f aca="false">B100/J100</f>
        <v>0.682861249670558</v>
      </c>
      <c r="R100" s="1149" t="n">
        <f aca="false">F100/J100</f>
        <v>0.317138750329442</v>
      </c>
      <c r="S100" s="158"/>
      <c r="U100" s="158"/>
      <c r="Y100" s="1136" t="n">
        <f aca="false">TableDE5c!J100-I100</f>
        <v>0</v>
      </c>
    </row>
    <row r="101" customFormat="false" ht="12" hidden="false" customHeight="true" outlineLevel="0" collapsed="false">
      <c r="A101" s="1112" t="n">
        <v>1961</v>
      </c>
      <c r="B101" s="1155" t="n">
        <f aca="false">TableDE5a!F101</f>
        <v>1.85092968455441</v>
      </c>
      <c r="C101" s="1050" t="n">
        <f aca="false">TableDE6c!F20+TableDE6c!D20</f>
        <v>1.54948034944243</v>
      </c>
      <c r="D101" s="1050" t="n">
        <f aca="false">TableDE6c!H20</f>
        <v>0.633039806519651</v>
      </c>
      <c r="E101" s="1156" t="n">
        <f aca="false">TableDE6c!E20</f>
        <v>0.331590471407676</v>
      </c>
      <c r="F101" s="1155" t="n">
        <f aca="false">G101+H101-I101</f>
        <v>0.836204763175033</v>
      </c>
      <c r="G101" s="1050" t="n">
        <f aca="false">TableDE5c!G101</f>
        <v>0.47731470543064</v>
      </c>
      <c r="H101" s="1050" t="n">
        <f aca="false">0.5*(DataDE2!W23+DataDE2!W24)/TableDE1!$B101</f>
        <v>0.515230579481186</v>
      </c>
      <c r="I101" s="1157" t="n">
        <f aca="false">TableDE5c!J101</f>
        <v>0.156340521736793</v>
      </c>
      <c r="J101" s="1155" t="n">
        <f aca="false">F101+B101</f>
        <v>2.68713444772944</v>
      </c>
      <c r="K101" s="1050" t="n">
        <f aca="false">G101+C101</f>
        <v>2.02679505487307</v>
      </c>
      <c r="L101" s="1050" t="n">
        <f aca="false">H101+D101</f>
        <v>1.14827038600084</v>
      </c>
      <c r="M101" s="1156" t="n">
        <f aca="false">I101+E101</f>
        <v>0.487930993144468</v>
      </c>
      <c r="N101" s="1050"/>
      <c r="O101" s="1050"/>
      <c r="P101" s="1050"/>
      <c r="Q101" s="1155" t="n">
        <f aca="false">B101/J101</f>
        <v>0.688811713949927</v>
      </c>
      <c r="R101" s="1149" t="n">
        <f aca="false">F101/J101</f>
        <v>0.311188286050073</v>
      </c>
      <c r="S101" s="158"/>
      <c r="U101" s="158"/>
      <c r="Y101" s="1136" t="n">
        <f aca="false">TableDE5c!J101-I101</f>
        <v>0</v>
      </c>
    </row>
    <row r="102" customFormat="false" ht="12" hidden="false" customHeight="true" outlineLevel="0" collapsed="false">
      <c r="A102" s="1112" t="n">
        <v>1962</v>
      </c>
      <c r="B102" s="1155" t="n">
        <f aca="false">TableDE5a!F102</f>
        <v>1.92458454459699</v>
      </c>
      <c r="C102" s="1050" t="n">
        <f aca="false">TableDE6c!F21+TableDE6c!D21</f>
        <v>1.63801146850035</v>
      </c>
      <c r="D102" s="1050" t="n">
        <f aca="false">TableDE6c!H21</f>
        <v>0.641844960733228</v>
      </c>
      <c r="E102" s="1156" t="n">
        <f aca="false">TableDE6c!E21</f>
        <v>0.355271884636581</v>
      </c>
      <c r="F102" s="1155" t="n">
        <f aca="false">G102+H102-I102</f>
        <v>0.87808885895813</v>
      </c>
      <c r="G102" s="1050" t="n">
        <f aca="false">TableDE5c!G102</f>
        <v>0.503894189145053</v>
      </c>
      <c r="H102" s="1050" t="n">
        <f aca="false">0.5*(DataDE2!W24+DataDE2!W25)/TableDE1!$B102</f>
        <v>0.526631686572115</v>
      </c>
      <c r="I102" s="1157" t="n">
        <f aca="false">TableDE5c!J102</f>
        <v>0.152437016759038</v>
      </c>
      <c r="J102" s="1155" t="n">
        <f aca="false">F102+B102</f>
        <v>2.80267340355512</v>
      </c>
      <c r="K102" s="1050" t="n">
        <f aca="false">G102+C102</f>
        <v>2.1419056576454</v>
      </c>
      <c r="L102" s="1050" t="n">
        <f aca="false">H102+D102</f>
        <v>1.16847664730534</v>
      </c>
      <c r="M102" s="1156" t="n">
        <f aca="false">I102+E102</f>
        <v>0.507708901395619</v>
      </c>
      <c r="N102" s="1050"/>
      <c r="O102" s="1050"/>
      <c r="P102" s="1050"/>
      <c r="Q102" s="1155" t="n">
        <f aca="false">B102/J102</f>
        <v>0.686695974691773</v>
      </c>
      <c r="R102" s="1149" t="n">
        <f aca="false">F102/J102</f>
        <v>0.313304025308227</v>
      </c>
      <c r="S102" s="158"/>
      <c r="U102" s="158"/>
      <c r="Y102" s="1136" t="n">
        <f aca="false">TableDE5c!J102-I102</f>
        <v>0</v>
      </c>
    </row>
    <row r="103" customFormat="false" ht="12" hidden="false" customHeight="true" outlineLevel="0" collapsed="false">
      <c r="A103" s="1112" t="n">
        <v>1963</v>
      </c>
      <c r="B103" s="1155" t="n">
        <f aca="false">TableDE5a!F103</f>
        <v>2.03219589620557</v>
      </c>
      <c r="C103" s="1050" t="n">
        <f aca="false">TableDE6c!F22+TableDE6c!D22</f>
        <v>1.74747570344567</v>
      </c>
      <c r="D103" s="1050" t="n">
        <f aca="false">TableDE6c!H22</f>
        <v>0.672037321750197</v>
      </c>
      <c r="E103" s="1156" t="n">
        <f aca="false">TableDE6c!E22</f>
        <v>0.387317128990295</v>
      </c>
      <c r="F103" s="1155" t="n">
        <f aca="false">G103+H103-I103</f>
        <v>0.919292314460756</v>
      </c>
      <c r="G103" s="1050" t="n">
        <f aca="false">TableDE5c!G103</f>
        <v>0.536235875689112</v>
      </c>
      <c r="H103" s="1050" t="n">
        <f aca="false">0.5*(DataDE2!W25+DataDE2!W26)/TableDE1!$B103</f>
        <v>0.540422271337834</v>
      </c>
      <c r="I103" s="1157" t="n">
        <f aca="false">TableDE5c!J103</f>
        <v>0.157365832566191</v>
      </c>
      <c r="J103" s="1155" t="n">
        <f aca="false">F103+B103</f>
        <v>2.95148821066632</v>
      </c>
      <c r="K103" s="1050" t="n">
        <f aca="false">G103+C103</f>
        <v>2.28371157913478</v>
      </c>
      <c r="L103" s="1050" t="n">
        <f aca="false">H103+D103</f>
        <v>1.21245959308803</v>
      </c>
      <c r="M103" s="1156" t="n">
        <f aca="false">I103+E103</f>
        <v>0.544682961556486</v>
      </c>
      <c r="N103" s="1050"/>
      <c r="O103" s="1050"/>
      <c r="P103" s="1050"/>
      <c r="Q103" s="1155" t="n">
        <f aca="false">B103/J103</f>
        <v>0.688532615126653</v>
      </c>
      <c r="R103" s="1149" t="n">
        <f aca="false">F103/J103</f>
        <v>0.311467384873347</v>
      </c>
      <c r="S103" s="158"/>
      <c r="U103" s="158"/>
      <c r="Y103" s="1136" t="n">
        <f aca="false">TableDE5c!J103-I103</f>
        <v>0</v>
      </c>
    </row>
    <row r="104" customFormat="false" ht="12" hidden="false" customHeight="true" outlineLevel="0" collapsed="false">
      <c r="A104" s="1112" t="n">
        <v>1964</v>
      </c>
      <c r="B104" s="1155" t="n">
        <f aca="false">TableDE5a!F104</f>
        <v>2.05916032080744</v>
      </c>
      <c r="C104" s="1050" t="n">
        <f aca="false">TableDE6c!F23+TableDE6c!D23</f>
        <v>1.76765315493827</v>
      </c>
      <c r="D104" s="1050" t="n">
        <f aca="false">TableDE6c!H23</f>
        <v>0.693576737409423</v>
      </c>
      <c r="E104" s="1156" t="n">
        <f aca="false">TableDE6c!E23</f>
        <v>0.402069571540253</v>
      </c>
      <c r="F104" s="1155" t="n">
        <f aca="false">G104+H104-I104</f>
        <v>0.908341278245443</v>
      </c>
      <c r="G104" s="1050" t="n">
        <f aca="false">TableDE5c!G104</f>
        <v>0.53577977394667</v>
      </c>
      <c r="H104" s="1050" t="n">
        <f aca="false">0.5*(DataDE2!W26+DataDE2!W27)/TableDE1!$B104</f>
        <v>0.531439548765169</v>
      </c>
      <c r="I104" s="1157" t="n">
        <f aca="false">TableDE5c!J104</f>
        <v>0.158878044466395</v>
      </c>
      <c r="J104" s="1155" t="n">
        <f aca="false">F104+B104</f>
        <v>2.96750159905288</v>
      </c>
      <c r="K104" s="1050" t="n">
        <f aca="false">G104+C104</f>
        <v>2.30343292888494</v>
      </c>
      <c r="L104" s="1050" t="n">
        <f aca="false">H104+D104</f>
        <v>1.22501628617459</v>
      </c>
      <c r="M104" s="1156" t="n">
        <f aca="false">I104+E104</f>
        <v>0.560947616006648</v>
      </c>
      <c r="N104" s="1050"/>
      <c r="O104" s="1050"/>
      <c r="P104" s="1050"/>
      <c r="Q104" s="1155" t="n">
        <f aca="false">B104/J104</f>
        <v>0.693903693755261</v>
      </c>
      <c r="R104" s="1149" t="n">
        <f aca="false">F104/J104</f>
        <v>0.306096306244739</v>
      </c>
      <c r="S104" s="158"/>
      <c r="U104" s="158"/>
      <c r="Y104" s="1136" t="n">
        <f aca="false">TableDE5c!J104-I104</f>
        <v>0</v>
      </c>
    </row>
    <row r="105" customFormat="false" ht="12" hidden="false" customHeight="true" outlineLevel="0" collapsed="false">
      <c r="A105" s="1112" t="n">
        <v>1965</v>
      </c>
      <c r="B105" s="1155" t="n">
        <f aca="false">TableDE5a!F105</f>
        <v>2.08023135044425</v>
      </c>
      <c r="C105" s="1050" t="n">
        <f aca="false">TableDE6c!F24+TableDE6c!D24</f>
        <v>1.78123634412315</v>
      </c>
      <c r="D105" s="1050" t="n">
        <f aca="false">TableDE6c!H24</f>
        <v>0.71787024125582</v>
      </c>
      <c r="E105" s="1156" t="n">
        <f aca="false">TableDE6c!E24</f>
        <v>0.418875234934723</v>
      </c>
      <c r="F105" s="1155" t="n">
        <f aca="false">G105+H105-I105</f>
        <v>0.886753721177405</v>
      </c>
      <c r="G105" s="1050" t="n">
        <f aca="false">TableDE5c!G105</f>
        <v>0.532841155621737</v>
      </c>
      <c r="H105" s="1050" t="n">
        <f aca="false">0.5*(DataDE2!W27+DataDE2!W28)/TableDE1!$B105</f>
        <v>0.516477999630551</v>
      </c>
      <c r="I105" s="1157" t="n">
        <f aca="false">TableDE5c!J105</f>
        <v>0.162565434074883</v>
      </c>
      <c r="J105" s="1155" t="n">
        <f aca="false">F105+B105</f>
        <v>2.96698507162165</v>
      </c>
      <c r="K105" s="1050" t="n">
        <f aca="false">G105+C105</f>
        <v>2.31407749974489</v>
      </c>
      <c r="L105" s="1050" t="n">
        <f aca="false">H105+D105</f>
        <v>1.23434824088637</v>
      </c>
      <c r="M105" s="1156" t="n">
        <f aca="false">I105+E105</f>
        <v>0.581440669009605</v>
      </c>
      <c r="N105" s="1050"/>
      <c r="O105" s="1050"/>
      <c r="P105" s="1050"/>
      <c r="Q105" s="1155" t="n">
        <f aca="false">B105/J105</f>
        <v>0.701126328656337</v>
      </c>
      <c r="R105" s="1149" t="n">
        <f aca="false">F105/J105</f>
        <v>0.298873671343663</v>
      </c>
      <c r="S105" s="158"/>
      <c r="U105" s="158"/>
      <c r="Y105" s="1136" t="n">
        <f aca="false">TableDE5c!J105-I105</f>
        <v>0</v>
      </c>
    </row>
    <row r="106" customFormat="false" ht="12" hidden="false" customHeight="true" outlineLevel="0" collapsed="false">
      <c r="A106" s="1112" t="n">
        <v>1966</v>
      </c>
      <c r="B106" s="1155" t="n">
        <f aca="false">TableDE5a!F106</f>
        <v>2.15670604416821</v>
      </c>
      <c r="C106" s="1050" t="n">
        <f aca="false">TableDE6c!F25+TableDE6c!D25</f>
        <v>1.84423215150505</v>
      </c>
      <c r="D106" s="1050" t="n">
        <f aca="false">TableDE6c!H25</f>
        <v>0.755615469065951</v>
      </c>
      <c r="E106" s="1156" t="n">
        <f aca="false">TableDE6c!E25</f>
        <v>0.443141576402789</v>
      </c>
      <c r="F106" s="1155" t="n">
        <f aca="false">G106+H106-I106</f>
        <v>0.885005971686818</v>
      </c>
      <c r="G106" s="1050" t="n">
        <f aca="false">TableDE5c!G106</f>
        <v>0.544996965070686</v>
      </c>
      <c r="H106" s="1050" t="n">
        <f aca="false">0.5*(DataDE2!W28+DataDE2!W29)/TableDE1!$B106</f>
        <v>0.510618671384718</v>
      </c>
      <c r="I106" s="1157" t="n">
        <f aca="false">TableDE5c!J106</f>
        <v>0.170609664768587</v>
      </c>
      <c r="J106" s="1155" t="n">
        <f aca="false">F106+B106</f>
        <v>3.04171201585503</v>
      </c>
      <c r="K106" s="1050" t="n">
        <f aca="false">G106+C106</f>
        <v>2.38922911657574</v>
      </c>
      <c r="L106" s="1050" t="n">
        <f aca="false">H106+D106</f>
        <v>1.26623414045067</v>
      </c>
      <c r="M106" s="1156" t="n">
        <f aca="false">I106+E106</f>
        <v>0.613751241171376</v>
      </c>
      <c r="N106" s="1050"/>
      <c r="O106" s="1050"/>
      <c r="P106" s="1050"/>
      <c r="Q106" s="1155" t="n">
        <f aca="false">B106/J106</f>
        <v>0.709043470560759</v>
      </c>
      <c r="R106" s="1149" t="n">
        <f aca="false">F106/J106</f>
        <v>0.290956529439241</v>
      </c>
      <c r="S106" s="158"/>
      <c r="U106" s="158"/>
      <c r="Y106" s="1136" t="n">
        <f aca="false">TableDE5c!J106-I106</f>
        <v>0</v>
      </c>
    </row>
    <row r="107" customFormat="false" ht="12" hidden="false" customHeight="true" outlineLevel="0" collapsed="false">
      <c r="A107" s="1112" t="n">
        <v>1967</v>
      </c>
      <c r="B107" s="1155" t="n">
        <f aca="false">TableDE5a!F107</f>
        <v>2.36200777433169</v>
      </c>
      <c r="C107" s="1050" t="n">
        <f aca="false">TableDE6c!F26+TableDE6c!D26</f>
        <v>2.00373577895517</v>
      </c>
      <c r="D107" s="1050" t="n">
        <f aca="false">TableDE6c!H26</f>
        <v>0.841159119201834</v>
      </c>
      <c r="E107" s="1156" t="n">
        <f aca="false">TableDE6c!E26</f>
        <v>0.482887123825316</v>
      </c>
      <c r="F107" s="1155" t="n">
        <f aca="false">G107+H107-I107</f>
        <v>0.916340463392484</v>
      </c>
      <c r="G107" s="1050" t="n">
        <f aca="false">TableDE5c!G107</f>
        <v>0.574288524444604</v>
      </c>
      <c r="H107" s="1050" t="n">
        <f aca="false">0.5*(DataDE2!W29+DataDE2!W30)/TableDE1!$B107</f>
        <v>0.534138207561347</v>
      </c>
      <c r="I107" s="1157" t="n">
        <f aca="false">TableDE5c!J107</f>
        <v>0.192086268613467</v>
      </c>
      <c r="J107" s="1155" t="n">
        <f aca="false">F107+B107</f>
        <v>3.27834823772418</v>
      </c>
      <c r="K107" s="1050" t="n">
        <f aca="false">G107+C107</f>
        <v>2.57802430339978</v>
      </c>
      <c r="L107" s="1050" t="n">
        <f aca="false">H107+D107</f>
        <v>1.37529732676318</v>
      </c>
      <c r="M107" s="1156" t="n">
        <f aca="false">I107+E107</f>
        <v>0.674973392438783</v>
      </c>
      <c r="N107" s="1050"/>
      <c r="O107" s="1050"/>
      <c r="P107" s="1050"/>
      <c r="Q107" s="1155" t="n">
        <f aca="false">B107/J107</f>
        <v>0.720487148726883</v>
      </c>
      <c r="R107" s="1149" t="n">
        <f aca="false">F107/J107</f>
        <v>0.279512851273118</v>
      </c>
      <c r="S107" s="158"/>
      <c r="U107" s="158"/>
      <c r="Y107" s="1136" t="n">
        <f aca="false">TableDE5c!J107-I107</f>
        <v>0</v>
      </c>
    </row>
    <row r="108" customFormat="false" ht="12" hidden="false" customHeight="true" outlineLevel="0" collapsed="false">
      <c r="A108" s="1112" t="n">
        <v>1968</v>
      </c>
      <c r="B108" s="1155" t="n">
        <f aca="false">TableDE5a!F108</f>
        <v>2.40188261173434</v>
      </c>
      <c r="C108" s="1050" t="n">
        <f aca="false">TableDE6c!F27+TableDE6c!D27</f>
        <v>2.00793464219398</v>
      </c>
      <c r="D108" s="1050" t="n">
        <f aca="false">TableDE6c!H27</f>
        <v>0.878805671925413</v>
      </c>
      <c r="E108" s="1156" t="n">
        <f aca="false">TableDE6c!E27</f>
        <v>0.484857702385057</v>
      </c>
      <c r="F108" s="1155" t="n">
        <f aca="false">G108+H108-I108</f>
        <v>0.887310051537117</v>
      </c>
      <c r="G108" s="1050" t="n">
        <f aca="false">TableDE5c!G108</f>
        <v>0.569313711204908</v>
      </c>
      <c r="H108" s="1050" t="n">
        <f aca="false">0.5*(DataDE2!W30+DataDE2!W31)/TableDE1!$B108</f>
        <v>0.519721679172718</v>
      </c>
      <c r="I108" s="1157" t="n">
        <f aca="false">TableDE5c!J108</f>
        <v>0.201725338840509</v>
      </c>
      <c r="J108" s="1155" t="n">
        <f aca="false">F108+B108</f>
        <v>3.28919266327145</v>
      </c>
      <c r="K108" s="1050" t="n">
        <f aca="false">G108+C108</f>
        <v>2.57724835339889</v>
      </c>
      <c r="L108" s="1050" t="n">
        <f aca="false">H108+D108</f>
        <v>1.39852735109813</v>
      </c>
      <c r="M108" s="1156" t="n">
        <f aca="false">I108+E108</f>
        <v>0.686583041225566</v>
      </c>
      <c r="N108" s="1050"/>
      <c r="O108" s="1050"/>
      <c r="P108" s="1050"/>
      <c r="Q108" s="1155" t="n">
        <f aca="false">B108/J108</f>
        <v>0.730234698184389</v>
      </c>
      <c r="R108" s="1149" t="n">
        <f aca="false">F108/J108</f>
        <v>0.269765301815611</v>
      </c>
      <c r="S108" s="158"/>
      <c r="U108" s="158"/>
      <c r="Y108" s="1136" t="n">
        <f aca="false">TableDE5c!J108-I108</f>
        <v>0</v>
      </c>
    </row>
    <row r="109" customFormat="false" ht="12" hidden="false" customHeight="true" outlineLevel="0" collapsed="false">
      <c r="A109" s="1137" t="n">
        <v>1969</v>
      </c>
      <c r="B109" s="1158" t="n">
        <f aca="false">TableDE5a!F109</f>
        <v>2.34281054543449</v>
      </c>
      <c r="C109" s="1062" t="n">
        <f aca="false">TableDE6c!F28+TableDE6c!D28</f>
        <v>1.93138095096346</v>
      </c>
      <c r="D109" s="1062" t="n">
        <f aca="false">TableDE6c!H28</f>
        <v>0.886204879258455</v>
      </c>
      <c r="E109" s="1159" t="n">
        <f aca="false">TableDE6c!E28</f>
        <v>0.474775284787434</v>
      </c>
      <c r="F109" s="1158" t="n">
        <f aca="false">G109+H109-I109</f>
        <v>0.878590037672151</v>
      </c>
      <c r="G109" s="1062" t="n">
        <f aca="false">TableDE5c!G109</f>
        <v>0.5835308902344</v>
      </c>
      <c r="H109" s="1062" t="n">
        <f aca="false">0.5*(DataDE2!W31+DataDE2!W32)/TableDE1!$B109</f>
        <v>0.48578099957046</v>
      </c>
      <c r="I109" s="1160" t="n">
        <f aca="false">TableDE5c!J109</f>
        <v>0.190721852132709</v>
      </c>
      <c r="J109" s="1158" t="n">
        <f aca="false">F109+B109</f>
        <v>3.22140058310664</v>
      </c>
      <c r="K109" s="1062" t="n">
        <f aca="false">G109+C109</f>
        <v>2.51491184119786</v>
      </c>
      <c r="L109" s="1062" t="n">
        <f aca="false">H109+D109</f>
        <v>1.37198587882892</v>
      </c>
      <c r="M109" s="1159" t="n">
        <f aca="false">I109+E109</f>
        <v>0.665497136920142</v>
      </c>
      <c r="N109" s="1062"/>
      <c r="O109" s="1062"/>
      <c r="P109" s="1062"/>
      <c r="Q109" s="1158" t="n">
        <f aca="false">B109/J109</f>
        <v>0.727264581039822</v>
      </c>
      <c r="R109" s="1148" t="n">
        <f aca="false">F109/J109</f>
        <v>0.272735418960178</v>
      </c>
      <c r="S109" s="158"/>
      <c r="U109" s="158"/>
      <c r="Y109" s="1136" t="n">
        <f aca="false">TableDE5c!J109-I109</f>
        <v>0</v>
      </c>
    </row>
    <row r="110" customFormat="false" ht="12" hidden="false" customHeight="true" outlineLevel="0" collapsed="false">
      <c r="A110" s="1112" t="n">
        <v>1970</v>
      </c>
      <c r="B110" s="1155" t="n">
        <f aca="false">TableDE5a!F110</f>
        <v>2.25028311964994</v>
      </c>
      <c r="C110" s="1050" t="n">
        <f aca="false">TableDE6c!F29+TableDE6c!D29</f>
        <v>1.8385697481138</v>
      </c>
      <c r="D110" s="1050" t="n">
        <f aca="false">TableDE6c!H29</f>
        <v>0.876954144580871</v>
      </c>
      <c r="E110" s="1156" t="n">
        <f aca="false">TableDE6c!E29</f>
        <v>0.465240773044731</v>
      </c>
      <c r="F110" s="1155" t="n">
        <f aca="false">G110+H110-I110</f>
        <v>0.882905474927309</v>
      </c>
      <c r="G110" s="1050" t="n">
        <f aca="false">TableDE5c!G110</f>
        <v>0.607233796656733</v>
      </c>
      <c r="H110" s="1050" t="n">
        <f aca="false">0.5*(DataDE2!W32+DataDE2!W33)/TableDE1!$B110</f>
        <v>0.45242810749937</v>
      </c>
      <c r="I110" s="1157" t="n">
        <f aca="false">TableDE5c!J110</f>
        <v>0.176756429228794</v>
      </c>
      <c r="J110" s="1155" t="n">
        <f aca="false">F110+B110</f>
        <v>3.13318859457725</v>
      </c>
      <c r="K110" s="1050" t="n">
        <f aca="false">G110+C110</f>
        <v>2.44580354477053</v>
      </c>
      <c r="L110" s="1050" t="n">
        <f aca="false">H110+D110</f>
        <v>1.32938225208024</v>
      </c>
      <c r="M110" s="1156" t="n">
        <f aca="false">I110+E110</f>
        <v>0.641997202273525</v>
      </c>
      <c r="N110" s="1050" t="n">
        <f aca="false">9*AVERAGE(DataDE2b!BK38:BK39)/DataDE1!B31</f>
        <v>0.157511210762332</v>
      </c>
      <c r="O110" s="1050"/>
      <c r="P110" s="1050"/>
      <c r="Q110" s="1155" t="n">
        <f aca="false">B110/J110</f>
        <v>0.718208640087803</v>
      </c>
      <c r="R110" s="1149" t="n">
        <f aca="false">F110/J110</f>
        <v>0.281791359912197</v>
      </c>
      <c r="S110" s="158"/>
      <c r="U110" s="158"/>
      <c r="Y110" s="1136" t="n">
        <f aca="false">TableDE5c!J110-I110</f>
        <v>0</v>
      </c>
    </row>
    <row r="111" customFormat="false" ht="12" hidden="false" customHeight="true" outlineLevel="0" collapsed="false">
      <c r="A111" s="1112" t="n">
        <v>1971</v>
      </c>
      <c r="B111" s="1155" t="n">
        <f aca="false">TableDE5a!F111</f>
        <v>2.19997368560301</v>
      </c>
      <c r="C111" s="1050" t="n">
        <f aca="false">TableDE6c!F30+TableDE6c!D30</f>
        <v>1.77945313074319</v>
      </c>
      <c r="D111" s="1050" t="n">
        <f aca="false">TableDE6c!H30</f>
        <v>0.888632588769206</v>
      </c>
      <c r="E111" s="1156" t="n">
        <f aca="false">TableDE6c!E30</f>
        <v>0.468112033909388</v>
      </c>
      <c r="F111" s="1155" t="n">
        <f aca="false">G111+H111-I111</f>
        <v>0.885153516324211</v>
      </c>
      <c r="G111" s="1050" t="n">
        <f aca="false">TableDE5c!G111</f>
        <v>0.626709244139214</v>
      </c>
      <c r="H111" s="1050" t="n">
        <f aca="false">0.5*(DataDE2!W33+DataDE2!W34)/TableDE1!$B111</f>
        <v>0.43421226242667</v>
      </c>
      <c r="I111" s="1157" t="n">
        <f aca="false">TableDE5c!J111</f>
        <v>0.175767990241672</v>
      </c>
      <c r="J111" s="1155" t="n">
        <f aca="false">F111+B111</f>
        <v>3.08512720192722</v>
      </c>
      <c r="K111" s="1050" t="n">
        <f aca="false">G111+C111</f>
        <v>2.4061623748824</v>
      </c>
      <c r="L111" s="1050" t="n">
        <f aca="false">H111+D111</f>
        <v>1.32284485119588</v>
      </c>
      <c r="M111" s="1156" t="n">
        <f aca="false">I111+E111</f>
        <v>0.64388002415106</v>
      </c>
      <c r="N111" s="1050" t="n">
        <f aca="false">9*AVERAGE(DataDE2b!BK39:BK40)/DataDE1!B32</f>
        <v>0.145329158910137</v>
      </c>
      <c r="O111" s="1050"/>
      <c r="P111" s="1050"/>
      <c r="Q111" s="1155" t="n">
        <f aca="false">B111/J111</f>
        <v>0.71309010669924</v>
      </c>
      <c r="R111" s="1149" t="n">
        <f aca="false">F111/J111</f>
        <v>0.28690989330076</v>
      </c>
      <c r="S111" s="158"/>
      <c r="U111" s="158"/>
      <c r="Y111" s="1136" t="n">
        <f aca="false">TableDE5c!J111-I111</f>
        <v>0</v>
      </c>
    </row>
    <row r="112" customFormat="false" ht="12" hidden="false" customHeight="true" outlineLevel="0" collapsed="false">
      <c r="A112" s="1112" t="n">
        <v>1972</v>
      </c>
      <c r="B112" s="1155" t="n">
        <f aca="false">TableDE5a!F112</f>
        <v>2.21783938845911</v>
      </c>
      <c r="C112" s="1050" t="n">
        <f aca="false">TableDE6c!F31+TableDE6c!D31</f>
        <v>1.77852477613592</v>
      </c>
      <c r="D112" s="1050" t="n">
        <f aca="false">TableDE6c!H31</f>
        <v>0.929446224621558</v>
      </c>
      <c r="E112" s="1156" t="n">
        <f aca="false">TableDE6c!E31</f>
        <v>0.490131612298375</v>
      </c>
      <c r="F112" s="1155" t="n">
        <f aca="false">G112+H112-I112</f>
        <v>0.880906045221999</v>
      </c>
      <c r="G112" s="1050" t="n">
        <f aca="false">TableDE5c!G112</f>
        <v>0.639006980882753</v>
      </c>
      <c r="H112" s="1050" t="n">
        <f aca="false">0.5*(DataDE2!W34+DataDE2!W35)/TableDE1!$B112</f>
        <v>0.422385789129896</v>
      </c>
      <c r="I112" s="1157" t="n">
        <f aca="false">TableDE5c!J112</f>
        <v>0.18048672479065</v>
      </c>
      <c r="J112" s="1155" t="n">
        <f aca="false">F112+B112</f>
        <v>3.0987454336811</v>
      </c>
      <c r="K112" s="1050" t="n">
        <f aca="false">G112+C112</f>
        <v>2.41753175701868</v>
      </c>
      <c r="L112" s="1050" t="n">
        <f aca="false">H112+D112</f>
        <v>1.35183201375145</v>
      </c>
      <c r="M112" s="1156" t="n">
        <f aca="false">I112+E112</f>
        <v>0.670618337089025</v>
      </c>
      <c r="N112" s="1050" t="n">
        <f aca="false">9*AVERAGE(DataDE2b!BK40:BK41)/DataDE1!B33</f>
        <v>0.155393835616438</v>
      </c>
      <c r="O112" s="1050"/>
      <c r="P112" s="1050"/>
      <c r="Q112" s="1155" t="n">
        <f aca="false">B112/J112</f>
        <v>0.715721712520431</v>
      </c>
      <c r="R112" s="1149" t="n">
        <f aca="false">F112/J112</f>
        <v>0.284278287479569</v>
      </c>
      <c r="S112" s="158"/>
      <c r="U112" s="158"/>
      <c r="Y112" s="1136" t="n">
        <f aca="false">TableDE5c!J112-I112</f>
        <v>0</v>
      </c>
    </row>
    <row r="113" customFormat="false" ht="12" hidden="false" customHeight="true" outlineLevel="0" collapsed="false">
      <c r="A113" s="1112" t="n">
        <v>1973</v>
      </c>
      <c r="B113" s="1155" t="n">
        <f aca="false">TableDE5a!F113</f>
        <v>2.18479912165755</v>
      </c>
      <c r="C113" s="1050" t="n">
        <f aca="false">TableDE6c!F32+TableDE6c!D32</f>
        <v>1.75602585960498</v>
      </c>
      <c r="D113" s="1050" t="n">
        <f aca="false">TableDE6c!H32</f>
        <v>0.933587979715583</v>
      </c>
      <c r="E113" s="1156" t="n">
        <f aca="false">TableDE6c!E32</f>
        <v>0.504814717663012</v>
      </c>
      <c r="F113" s="1155" t="n">
        <f aca="false">G113+H113-I113</f>
        <v>0.875650845704334</v>
      </c>
      <c r="G113" s="1050" t="n">
        <f aca="false">TableDE5c!G113</f>
        <v>0.633654284473094</v>
      </c>
      <c r="H113" s="1050" t="n">
        <f aca="false">0.5*(DataDE2!W35+DataDE2!W36)/TableDE1!$B113</f>
        <v>0.415501573952583</v>
      </c>
      <c r="I113" s="1157" t="n">
        <f aca="false">TableDE5c!J113</f>
        <v>0.173505012721343</v>
      </c>
      <c r="J113" s="1155" t="n">
        <f aca="false">F113+B113</f>
        <v>3.06044996736188</v>
      </c>
      <c r="K113" s="1050" t="n">
        <f aca="false">G113+C113</f>
        <v>2.38968014407807</v>
      </c>
      <c r="L113" s="1050" t="n">
        <f aca="false">H113+D113</f>
        <v>1.34908955366817</v>
      </c>
      <c r="M113" s="1156" t="n">
        <f aca="false">I113+E113</f>
        <v>0.678319730384355</v>
      </c>
      <c r="N113" s="1050" t="n">
        <f aca="false">9*AVERAGE(DataDE2b!BK41:BK42)/DataDE1!B34</f>
        <v>0.148449504120687</v>
      </c>
      <c r="O113" s="1050"/>
      <c r="P113" s="1050"/>
      <c r="Q113" s="1155" t="n">
        <f aca="false">B113/J113</f>
        <v>0.713881666080904</v>
      </c>
      <c r="R113" s="1149" t="n">
        <f aca="false">F113/J113</f>
        <v>0.286118333919096</v>
      </c>
      <c r="S113" s="158"/>
      <c r="U113" s="158"/>
      <c r="Y113" s="1136" t="n">
        <f aca="false">TableDE5c!J113-I113</f>
        <v>0</v>
      </c>
    </row>
    <row r="114" customFormat="false" ht="12" hidden="false" customHeight="true" outlineLevel="0" collapsed="false">
      <c r="A114" s="1112" t="n">
        <v>1974</v>
      </c>
      <c r="B114" s="1155" t="n">
        <f aca="false">TableDE5a!F114</f>
        <v>2.20126698092742</v>
      </c>
      <c r="C114" s="1050" t="n">
        <f aca="false">TableDE6c!F33+TableDE6c!D33</f>
        <v>1.76116316929549</v>
      </c>
      <c r="D114" s="1050" t="n">
        <f aca="false">TableDE6c!H33</f>
        <v>0.956629847376911</v>
      </c>
      <c r="E114" s="1156" t="n">
        <f aca="false">TableDE6c!E33</f>
        <v>0.516526035744983</v>
      </c>
      <c r="F114" s="1155" t="n">
        <f aca="false">G114+H114-I114</f>
        <v>0.895630631193923</v>
      </c>
      <c r="G114" s="1050" t="n">
        <f aca="false">TableDE5c!G114</f>
        <v>0.651773306531558</v>
      </c>
      <c r="H114" s="1050" t="n">
        <f aca="false">0.5*(DataDE2!W36+DataDE2!W37)/TableDE1!$B114</f>
        <v>0.419123998242314</v>
      </c>
      <c r="I114" s="1157" t="n">
        <f aca="false">TableDE5c!J114</f>
        <v>0.175266673579949</v>
      </c>
      <c r="J114" s="1155" t="n">
        <f aca="false">F114+B114</f>
        <v>3.09689761212134</v>
      </c>
      <c r="K114" s="1050" t="n">
        <f aca="false">G114+C114</f>
        <v>2.41293647582705</v>
      </c>
      <c r="L114" s="1050" t="n">
        <f aca="false">H114+D114</f>
        <v>1.37575384561923</v>
      </c>
      <c r="M114" s="1156" t="n">
        <f aca="false">I114+E114</f>
        <v>0.691792709324932</v>
      </c>
      <c r="N114" s="1050" t="n">
        <f aca="false">9*AVERAGE(DataDE2b!BK42:BK43)/DataDE1!B35</f>
        <v>0.135962540822285</v>
      </c>
      <c r="O114" s="1050"/>
      <c r="P114" s="1050"/>
      <c r="Q114" s="1155" t="n">
        <f aca="false">B114/J114</f>
        <v>0.710797467863193</v>
      </c>
      <c r="R114" s="1149" t="n">
        <f aca="false">F114/J114</f>
        <v>0.289202532136807</v>
      </c>
      <c r="S114" s="158"/>
      <c r="U114" s="158"/>
      <c r="Y114" s="1136" t="n">
        <f aca="false">TableDE5c!J114-I114</f>
        <v>0</v>
      </c>
    </row>
    <row r="115" customFormat="false" ht="12" hidden="false" customHeight="true" outlineLevel="0" collapsed="false">
      <c r="A115" s="1112" t="n">
        <v>1975</v>
      </c>
      <c r="B115" s="1155" t="n">
        <f aca="false">TableDE5a!F115</f>
        <v>2.29465431841867</v>
      </c>
      <c r="C115" s="1050" t="n">
        <f aca="false">TableDE6c!F34+TableDE6c!D34</f>
        <v>1.79356331255286</v>
      </c>
      <c r="D115" s="1050" t="n">
        <f aca="false">TableDE6c!H34</f>
        <v>1.0310301154302</v>
      </c>
      <c r="E115" s="1156" t="n">
        <f aca="false">TableDE6c!E34</f>
        <v>0.529939109564397</v>
      </c>
      <c r="F115" s="1155" t="n">
        <f aca="false">G115+H115-I115</f>
        <v>0.874489859685344</v>
      </c>
      <c r="G115" s="1050" t="n">
        <f aca="false">TableDE5c!G115</f>
        <v>0.668116588412773</v>
      </c>
      <c r="H115" s="1050" t="n">
        <f aca="false">0.5*(DataDE2!W37+DataDE2!W38)/TableDE1!$B115</f>
        <v>0.416639180500613</v>
      </c>
      <c r="I115" s="1157" t="n">
        <f aca="false">TableDE5c!J115</f>
        <v>0.210265909228043</v>
      </c>
      <c r="J115" s="1155" t="n">
        <f aca="false">F115+B115</f>
        <v>3.16914417810401</v>
      </c>
      <c r="K115" s="1050" t="n">
        <f aca="false">G115+C115</f>
        <v>2.46167990096564</v>
      </c>
      <c r="L115" s="1050" t="n">
        <f aca="false">H115+D115</f>
        <v>1.44766929593082</v>
      </c>
      <c r="M115" s="1156" t="n">
        <f aca="false">I115+E115</f>
        <v>0.740205018792439</v>
      </c>
      <c r="N115" s="1050" t="n">
        <f aca="false">9*AVERAGE(DataDE2b!BK43:BK44)/DataDE1!B36</f>
        <v>0.142009075651147</v>
      </c>
      <c r="O115" s="1050"/>
      <c r="P115" s="1050"/>
      <c r="Q115" s="1155" t="n">
        <f aca="false">B115/J115</f>
        <v>0.724061194272165</v>
      </c>
      <c r="R115" s="1149" t="n">
        <f aca="false">F115/J115</f>
        <v>0.275938805727835</v>
      </c>
      <c r="S115" s="158"/>
      <c r="U115" s="158"/>
      <c r="Y115" s="1136" t="n">
        <f aca="false">TableDE5c!J115-I115</f>
        <v>0</v>
      </c>
    </row>
    <row r="116" customFormat="false" ht="12" hidden="false" customHeight="true" outlineLevel="0" collapsed="false">
      <c r="A116" s="1112" t="n">
        <v>1976</v>
      </c>
      <c r="B116" s="1155" t="n">
        <f aca="false">TableDE5a!F116</f>
        <v>2.28676888070146</v>
      </c>
      <c r="C116" s="1050" t="n">
        <f aca="false">TableDE6c!F35+TableDE6c!D35</f>
        <v>1.74699267563805</v>
      </c>
      <c r="D116" s="1050" t="n">
        <f aca="false">TableDE6c!H35</f>
        <v>1.0685781006725</v>
      </c>
      <c r="E116" s="1156" t="n">
        <f aca="false">TableDE6c!E35</f>
        <v>0.528801895609094</v>
      </c>
      <c r="F116" s="1155" t="n">
        <f aca="false">G116+H116-I116</f>
        <v>0.803281601595922</v>
      </c>
      <c r="G116" s="1050" t="n">
        <f aca="false">TableDE5c!G116</f>
        <v>0.650153209306222</v>
      </c>
      <c r="H116" s="1050" t="n">
        <f aca="false">0.5*(DataDE2!W38+DataDE2!W39)/TableDE1!$B116</f>
        <v>0.39610090767161</v>
      </c>
      <c r="I116" s="1157" t="n">
        <f aca="false">TableDE5c!J116</f>
        <v>0.24297251538191</v>
      </c>
      <c r="J116" s="1155" t="n">
        <f aca="false">F116+B116</f>
        <v>3.09005048229739</v>
      </c>
      <c r="K116" s="1050" t="n">
        <f aca="false">G116+C116</f>
        <v>2.39714588494427</v>
      </c>
      <c r="L116" s="1050" t="n">
        <f aca="false">H116+D116</f>
        <v>1.46467900834411</v>
      </c>
      <c r="M116" s="1156" t="n">
        <f aca="false">I116+E116</f>
        <v>0.771774410991003</v>
      </c>
      <c r="N116" s="1050" t="n">
        <f aca="false">9*AVERAGE(DataDE2b!BK44:BK45)/DataDE1!B37</f>
        <v>0.138644894537279</v>
      </c>
      <c r="O116" s="1050"/>
      <c r="P116" s="1050"/>
      <c r="Q116" s="1155" t="n">
        <f aca="false">B116/J116</f>
        <v>0.740042563641646</v>
      </c>
      <c r="R116" s="1149" t="n">
        <f aca="false">F116/J116</f>
        <v>0.259957436358354</v>
      </c>
      <c r="S116" s="158"/>
      <c r="U116" s="158"/>
      <c r="Y116" s="1136" t="n">
        <f aca="false">TableDE5c!J116-I116</f>
        <v>0</v>
      </c>
    </row>
    <row r="117" customFormat="false" ht="12" hidden="false" customHeight="true" outlineLevel="0" collapsed="false">
      <c r="A117" s="1112" t="n">
        <v>1977</v>
      </c>
      <c r="B117" s="1155" t="n">
        <f aca="false">TableDE5a!F117</f>
        <v>2.36449969898551</v>
      </c>
      <c r="C117" s="1050" t="n">
        <f aca="false">TableDE6c!F36+TableDE6c!D36</f>
        <v>1.79795014338729</v>
      </c>
      <c r="D117" s="1050" t="n">
        <f aca="false">TableDE6c!H36</f>
        <v>1.11371586718584</v>
      </c>
      <c r="E117" s="1156" t="n">
        <f aca="false">TableDE6c!E36</f>
        <v>0.547166311587617</v>
      </c>
      <c r="F117" s="1155" t="n">
        <f aca="false">G117+H117-I117</f>
        <v>0.77609111733559</v>
      </c>
      <c r="G117" s="1050" t="n">
        <f aca="false">TableDE5c!G117</f>
        <v>0.65573108907454</v>
      </c>
      <c r="H117" s="1050" t="n">
        <f aca="false">0.5*(DataDE2!W39+DataDE2!W40)/TableDE1!$B117</f>
        <v>0.383290582994462</v>
      </c>
      <c r="I117" s="1157" t="n">
        <f aca="false">TableDE5c!J117</f>
        <v>0.262930554733412</v>
      </c>
      <c r="J117" s="1155" t="n">
        <f aca="false">F117+B117</f>
        <v>3.1405908163211</v>
      </c>
      <c r="K117" s="1050" t="n">
        <f aca="false">G117+C117</f>
        <v>2.45368123246183</v>
      </c>
      <c r="L117" s="1050" t="n">
        <f aca="false">H117+D117</f>
        <v>1.4970064501803</v>
      </c>
      <c r="M117" s="1156" t="n">
        <f aca="false">I117+E117</f>
        <v>0.810096866321029</v>
      </c>
      <c r="N117" s="1050" t="n">
        <f aca="false">9*AVERAGE(DataDE2b!BK45:BK46)/DataDE1!B38</f>
        <v>0.133099840556083</v>
      </c>
      <c r="O117" s="1050"/>
      <c r="P117" s="1050"/>
      <c r="Q117" s="1155" t="n">
        <f aca="false">B117/J117</f>
        <v>0.752883720699182</v>
      </c>
      <c r="R117" s="1149" t="n">
        <f aca="false">F117/J117</f>
        <v>0.247116279300819</v>
      </c>
      <c r="S117" s="158"/>
      <c r="U117" s="158"/>
      <c r="Y117" s="1136" t="n">
        <f aca="false">TableDE5c!J117-I117</f>
        <v>0</v>
      </c>
    </row>
    <row r="118" customFormat="false" ht="12" hidden="false" customHeight="true" outlineLevel="0" collapsed="false">
      <c r="A118" s="1112" t="n">
        <v>1978</v>
      </c>
      <c r="B118" s="1155" t="n">
        <f aca="false">TableDE5a!F118</f>
        <v>2.45751763593208</v>
      </c>
      <c r="C118" s="1050" t="n">
        <f aca="false">TableDE6c!F37+TableDE6c!D37</f>
        <v>1.88658409977516</v>
      </c>
      <c r="D118" s="1050" t="n">
        <f aca="false">TableDE6c!H37</f>
        <v>1.14117130916897</v>
      </c>
      <c r="E118" s="1156" t="n">
        <f aca="false">TableDE6c!E37</f>
        <v>0.570237773012049</v>
      </c>
      <c r="F118" s="1155" t="n">
        <f aca="false">G118+H118-I118</f>
        <v>0.760166366480359</v>
      </c>
      <c r="G118" s="1050" t="n">
        <f aca="false">TableDE5c!G118</f>
        <v>0.665621482652261</v>
      </c>
      <c r="H118" s="1050" t="n">
        <f aca="false">0.5*(DataDE2!W40+DataDE2!W41)/TableDE1!$B118</f>
        <v>0.371671896833291</v>
      </c>
      <c r="I118" s="1157" t="n">
        <f aca="false">TableDE5c!J118</f>
        <v>0.277127013005193</v>
      </c>
      <c r="J118" s="1155" t="n">
        <f aca="false">F118+B118</f>
        <v>3.21768400241244</v>
      </c>
      <c r="K118" s="1050" t="n">
        <f aca="false">G118+C118</f>
        <v>2.55220558242742</v>
      </c>
      <c r="L118" s="1050" t="n">
        <f aca="false">H118+D118</f>
        <v>1.51284320600226</v>
      </c>
      <c r="M118" s="1156" t="n">
        <f aca="false">I118+E118</f>
        <v>0.847364786017242</v>
      </c>
      <c r="N118" s="1050" t="n">
        <f aca="false">9*AVERAGE(DataDE2b!BK46:BK47)/DataDE1!B39</f>
        <v>0.125108928810833</v>
      </c>
      <c r="O118" s="1050"/>
      <c r="P118" s="1050"/>
      <c r="Q118" s="1155" t="n">
        <f aca="false">B118/J118</f>
        <v>0.763753567500591</v>
      </c>
      <c r="R118" s="1149" t="n">
        <f aca="false">F118/J118</f>
        <v>0.236246432499409</v>
      </c>
      <c r="S118" s="158"/>
      <c r="U118" s="158"/>
      <c r="Y118" s="1136" t="n">
        <f aca="false">TableDE5c!J118-I118</f>
        <v>0</v>
      </c>
    </row>
    <row r="119" customFormat="false" ht="12" hidden="false" customHeight="true" outlineLevel="0" collapsed="false">
      <c r="A119" s="1112" t="n">
        <v>1979</v>
      </c>
      <c r="B119" s="1155" t="n">
        <f aca="false">TableDE5a!F119</f>
        <v>2.48603507321817</v>
      </c>
      <c r="C119" s="1050" t="n">
        <f aca="false">TableDE6c!F38+TableDE6c!D38</f>
        <v>1.93471076477988</v>
      </c>
      <c r="D119" s="1050" t="n">
        <f aca="false">TableDE6c!H38</f>
        <v>1.14629254686007</v>
      </c>
      <c r="E119" s="1156" t="n">
        <f aca="false">TableDE6c!E38</f>
        <v>0.594968238421783</v>
      </c>
      <c r="F119" s="1155" t="n">
        <f aca="false">G119+H119-I119</f>
        <v>0.756038274676088</v>
      </c>
      <c r="G119" s="1050" t="n">
        <f aca="false">TableDE5c!G119</f>
        <v>0.68889654262867</v>
      </c>
      <c r="H119" s="1050" t="n">
        <f aca="false">0.5*(DataDE2!W41+DataDE2!W42)/TableDE1!$B119</f>
        <v>0.355499302027177</v>
      </c>
      <c r="I119" s="1157" t="n">
        <f aca="false">TableDE5c!J119</f>
        <v>0.288357569979759</v>
      </c>
      <c r="J119" s="1155" t="n">
        <f aca="false">F119+B119</f>
        <v>3.24207334789426</v>
      </c>
      <c r="K119" s="1050" t="n">
        <f aca="false">G119+C119</f>
        <v>2.62360730740855</v>
      </c>
      <c r="L119" s="1050" t="n">
        <f aca="false">H119+D119</f>
        <v>1.50179184888725</v>
      </c>
      <c r="M119" s="1156" t="n">
        <f aca="false">I119+E119</f>
        <v>0.883325808401542</v>
      </c>
      <c r="N119" s="1050" t="n">
        <f aca="false">9*AVERAGE(DataDE2b!BK47:BK48)/DataDE1!B40</f>
        <v>0.115740597190785</v>
      </c>
      <c r="O119" s="1050"/>
      <c r="P119" s="1050"/>
      <c r="Q119" s="1155" t="n">
        <f aca="false">B119/J119</f>
        <v>0.766804080738291</v>
      </c>
      <c r="R119" s="1149" t="n">
        <f aca="false">F119/J119</f>
        <v>0.233195919261709</v>
      </c>
      <c r="S119" s="158"/>
      <c r="U119" s="158"/>
      <c r="Y119" s="1136" t="n">
        <f aca="false">TableDE5c!J119-I119</f>
        <v>0</v>
      </c>
    </row>
    <row r="120" customFormat="false" ht="12" hidden="false" customHeight="true" outlineLevel="0" collapsed="false">
      <c r="A120" s="1150" t="n">
        <v>1980</v>
      </c>
      <c r="B120" s="1151" t="n">
        <f aca="false">TableDE5a!F120</f>
        <v>2.5296440222246</v>
      </c>
      <c r="C120" s="1047" t="n">
        <f aca="false">TableDE6c!F39+TableDE6c!D39</f>
        <v>1.98606891827199</v>
      </c>
      <c r="D120" s="1047" t="n">
        <f aca="false">TableDE6c!H39</f>
        <v>1.16996563869738</v>
      </c>
      <c r="E120" s="1152" t="n">
        <f aca="false">TableDE6c!E39</f>
        <v>0.626390534744762</v>
      </c>
      <c r="F120" s="1151" t="n">
        <f aca="false">G120+H120-I120</f>
        <v>0.76644696362933</v>
      </c>
      <c r="G120" s="1047" t="n">
        <f aca="false">TableDE5c!G120</f>
        <v>0.726265168755404</v>
      </c>
      <c r="H120" s="1047" t="n">
        <f aca="false">0.5*(DataDE2!W42+DataDE2!W43)/TableDE1!$B120</f>
        <v>0.345415192635629</v>
      </c>
      <c r="I120" s="1153" t="n">
        <f aca="false">TableDE5c!J120</f>
        <v>0.305233397761703</v>
      </c>
      <c r="J120" s="1151" t="n">
        <f aca="false">F120+B120</f>
        <v>3.29609098585393</v>
      </c>
      <c r="K120" s="1047" t="n">
        <f aca="false">G120+C120</f>
        <v>2.71233408702739</v>
      </c>
      <c r="L120" s="1047" t="n">
        <f aca="false">H120+D120</f>
        <v>1.51538083133301</v>
      </c>
      <c r="M120" s="1152" t="n">
        <f aca="false">I120+E120</f>
        <v>0.931623932506465</v>
      </c>
      <c r="N120" s="1047" t="n">
        <f aca="false">9*AVERAGE(DataDE2b!BK48:BK49)/DataDE1!B41</f>
        <v>0.111146752205293</v>
      </c>
      <c r="O120" s="1047"/>
      <c r="P120" s="1047"/>
      <c r="Q120" s="1151" t="n">
        <f aca="false">B120/J120</f>
        <v>0.767467898514105</v>
      </c>
      <c r="R120" s="1154" t="n">
        <f aca="false">F120/J120</f>
        <v>0.232532101485895</v>
      </c>
      <c r="S120" s="158"/>
      <c r="U120" s="158"/>
      <c r="Y120" s="1136" t="n">
        <f aca="false">TableDE5c!J120-I120</f>
        <v>0</v>
      </c>
    </row>
    <row r="121" customFormat="false" ht="12" hidden="false" customHeight="true" outlineLevel="0" collapsed="false">
      <c r="A121" s="1112" t="n">
        <v>1981</v>
      </c>
      <c r="B121" s="1155" t="n">
        <f aca="false">TableDE5a!F121</f>
        <v>2.62013228686627</v>
      </c>
      <c r="C121" s="1050" t="n">
        <f aca="false">TableDE6c!F40+TableDE6c!D40</f>
        <v>2.06041583082647</v>
      </c>
      <c r="D121" s="1050" t="n">
        <f aca="false">TableDE6c!H40</f>
        <v>1.2203001572873</v>
      </c>
      <c r="E121" s="1156" t="n">
        <f aca="false">TableDE6c!E40</f>
        <v>0.6605837012475</v>
      </c>
      <c r="F121" s="1155" t="n">
        <f aca="false">G121+H121-I121</f>
        <v>0.767627228442021</v>
      </c>
      <c r="G121" s="1050" t="n">
        <f aca="false">TableDE5c!G121</f>
        <v>0.755684070810994</v>
      </c>
      <c r="H121" s="1050" t="n">
        <f aca="false">0.5*(DataDE2!W43+DataDE2!W44)/TableDE1!$B121</f>
        <v>0.34992426150247</v>
      </c>
      <c r="I121" s="1157" t="n">
        <f aca="false">TableDE5c!J121</f>
        <v>0.337981103871444</v>
      </c>
      <c r="J121" s="1155" t="n">
        <f aca="false">F121+B121</f>
        <v>3.38775951530829</v>
      </c>
      <c r="K121" s="1050" t="n">
        <f aca="false">G121+C121</f>
        <v>2.81609990163746</v>
      </c>
      <c r="L121" s="1050" t="n">
        <f aca="false">H121+D121</f>
        <v>1.57022441878977</v>
      </c>
      <c r="M121" s="1156" t="n">
        <f aca="false">I121+E121</f>
        <v>0.998564805118943</v>
      </c>
      <c r="N121" s="1050" t="n">
        <f aca="false">9*AVERAGE(DataDE2b!BK49:BK50)/DataDE1!B42</f>
        <v>0.113402929786159</v>
      </c>
      <c r="O121" s="1050"/>
      <c r="P121" s="1050"/>
      <c r="Q121" s="1155" t="n">
        <f aca="false">B121/J121</f>
        <v>0.77341153497663</v>
      </c>
      <c r="R121" s="1149" t="n">
        <f aca="false">F121/J121</f>
        <v>0.22658846502337</v>
      </c>
      <c r="S121" s="158"/>
      <c r="U121" s="158"/>
      <c r="Y121" s="1136" t="n">
        <f aca="false">TableDE5c!J121-I121</f>
        <v>0</v>
      </c>
    </row>
    <row r="122" customFormat="false" ht="12" hidden="false" customHeight="true" outlineLevel="0" collapsed="false">
      <c r="A122" s="1112" t="n">
        <v>1982</v>
      </c>
      <c r="B122" s="1155" t="n">
        <f aca="false">TableDE5a!F122</f>
        <v>2.72744244161063</v>
      </c>
      <c r="C122" s="1050" t="n">
        <f aca="false">TableDE6c!F41+TableDE6c!D41</f>
        <v>2.13167405481173</v>
      </c>
      <c r="D122" s="1050" t="n">
        <f aca="false">TableDE6c!H41</f>
        <v>1.28192297623773</v>
      </c>
      <c r="E122" s="1156" t="n">
        <f aca="false">TableDE6c!E41</f>
        <v>0.686154589438827</v>
      </c>
      <c r="F122" s="1155" t="n">
        <f aca="false">G122+H122-I122</f>
        <v>0.739875599645673</v>
      </c>
      <c r="G122" s="1050" t="n">
        <f aca="false">TableDE5c!G122</f>
        <v>0.756657513300531</v>
      </c>
      <c r="H122" s="1050" t="n">
        <f aca="false">0.5*(DataDE2!W44+DataDE2!W45)/TableDE1!$B122</f>
        <v>0.356941371301992</v>
      </c>
      <c r="I122" s="1157" t="n">
        <f aca="false">TableDE5c!J122</f>
        <v>0.37372328495685</v>
      </c>
      <c r="J122" s="1155" t="n">
        <f aca="false">F122+B122</f>
        <v>3.4673180412563</v>
      </c>
      <c r="K122" s="1050" t="n">
        <f aca="false">G122+C122</f>
        <v>2.88833156811226</v>
      </c>
      <c r="L122" s="1050" t="n">
        <f aca="false">H122+D122</f>
        <v>1.63886434753972</v>
      </c>
      <c r="M122" s="1156" t="n">
        <f aca="false">I122+E122</f>
        <v>1.05987787439568</v>
      </c>
      <c r="N122" s="1050" t="n">
        <f aca="false">9*AVERAGE(DataDE2b!BK50:BK51)/DataDE1!B43</f>
        <v>0.116229643567841</v>
      </c>
      <c r="O122" s="1050"/>
      <c r="P122" s="1050"/>
      <c r="Q122" s="1155" t="n">
        <f aca="false">B122/J122</f>
        <v>0.786614440659272</v>
      </c>
      <c r="R122" s="1149" t="n">
        <f aca="false">F122/J122</f>
        <v>0.213385559340728</v>
      </c>
      <c r="S122" s="158"/>
      <c r="U122" s="158"/>
      <c r="Y122" s="1136" t="n">
        <f aca="false">TableDE5c!J122-I122</f>
        <v>0</v>
      </c>
    </row>
    <row r="123" customFormat="false" ht="12" hidden="false" customHeight="true" outlineLevel="0" collapsed="false">
      <c r="A123" s="1112" t="n">
        <v>1983</v>
      </c>
      <c r="B123" s="1155" t="n">
        <f aca="false">TableDE5a!F123</f>
        <v>2.79661246602516</v>
      </c>
      <c r="C123" s="1050" t="n">
        <f aca="false">TableDE6c!F42+TableDE6c!D42</f>
        <v>2.17332824067042</v>
      </c>
      <c r="D123" s="1050" t="n">
        <f aca="false">TableDE6c!H42</f>
        <v>1.32827227449604</v>
      </c>
      <c r="E123" s="1156" t="n">
        <f aca="false">TableDE6c!E42</f>
        <v>0.704988049141301</v>
      </c>
      <c r="F123" s="1155" t="n">
        <f aca="false">G123+H123-I123</f>
        <v>0.705064384572948</v>
      </c>
      <c r="G123" s="1050" t="n">
        <f aca="false">TableDE5c!G123</f>
        <v>0.74469524046787</v>
      </c>
      <c r="H123" s="1050" t="n">
        <f aca="false">0.5*(DataDE2!W45+DataDE2!W46)/TableDE1!$B123</f>
        <v>0.356435071240179</v>
      </c>
      <c r="I123" s="1157" t="n">
        <f aca="false">TableDE5c!J123</f>
        <v>0.396065927135101</v>
      </c>
      <c r="J123" s="1155" t="n">
        <f aca="false">F123+B123</f>
        <v>3.50167685059811</v>
      </c>
      <c r="K123" s="1050" t="n">
        <f aca="false">G123+C123</f>
        <v>2.91802348113829</v>
      </c>
      <c r="L123" s="1050" t="n">
        <f aca="false">H123+D123</f>
        <v>1.68470734573622</v>
      </c>
      <c r="M123" s="1156" t="n">
        <f aca="false">I123+E123</f>
        <v>1.1010539762764</v>
      </c>
      <c r="N123" s="1050" t="n">
        <f aca="false">9*AVERAGE(DataDE2b!BK51:BK52)/DataDE1!B44</f>
        <v>0.110776391492663</v>
      </c>
      <c r="O123" s="1050"/>
      <c r="P123" s="1050"/>
      <c r="Q123" s="1155" t="n">
        <f aca="false">B123/J123</f>
        <v>0.798649500038098</v>
      </c>
      <c r="R123" s="1149" t="n">
        <f aca="false">F123/J123</f>
        <v>0.201350499961902</v>
      </c>
      <c r="S123" s="158"/>
      <c r="U123" s="158"/>
      <c r="Y123" s="1136" t="n">
        <f aca="false">TableDE5c!J123-I123</f>
        <v>0</v>
      </c>
    </row>
    <row r="124" customFormat="false" ht="12" hidden="false" customHeight="true" outlineLevel="0" collapsed="false">
      <c r="A124" s="1112" t="n">
        <v>1984</v>
      </c>
      <c r="B124" s="1155" t="n">
        <f aca="false">TableDE5a!F124</f>
        <v>2.83672792160897</v>
      </c>
      <c r="C124" s="1050" t="n">
        <f aca="false">TableDE6c!F43+TableDE6c!D43</f>
        <v>2.19586012515278</v>
      </c>
      <c r="D124" s="1050" t="n">
        <f aca="false">TableDE6c!H43</f>
        <v>1.36117732334495</v>
      </c>
      <c r="E124" s="1156" t="n">
        <f aca="false">TableDE6c!E43</f>
        <v>0.720309526888765</v>
      </c>
      <c r="F124" s="1155" t="n">
        <f aca="false">G124+H124-I124</f>
        <v>0.679308154837053</v>
      </c>
      <c r="G124" s="1050" t="n">
        <f aca="false">TableDE5c!G124</f>
        <v>0.734479538793661</v>
      </c>
      <c r="H124" s="1050" t="n">
        <f aca="false">0.5*(DataDE2!W46+DataDE2!W47)/TableDE1!$B124</f>
        <v>0.351825869912732</v>
      </c>
      <c r="I124" s="1157" t="n">
        <f aca="false">TableDE5c!J124</f>
        <v>0.40699725386934</v>
      </c>
      <c r="J124" s="1155" t="n">
        <f aca="false">F124+B124</f>
        <v>3.51603607644602</v>
      </c>
      <c r="K124" s="1050" t="n">
        <f aca="false">G124+C124</f>
        <v>2.93033966394644</v>
      </c>
      <c r="L124" s="1050" t="n">
        <f aca="false">H124+D124</f>
        <v>1.71300319325768</v>
      </c>
      <c r="M124" s="1156" t="n">
        <f aca="false">I124+E124</f>
        <v>1.12730678075811</v>
      </c>
      <c r="N124" s="1050" t="n">
        <f aca="false">9*AVERAGE(DataDE2b!BK52:BK53)/DataDE1!B45</f>
        <v>0.102615768328194</v>
      </c>
      <c r="O124" s="1050"/>
      <c r="P124" s="1050"/>
      <c r="Q124" s="1155" t="n">
        <f aca="false">B124/J124</f>
        <v>0.806797160191914</v>
      </c>
      <c r="R124" s="1149" t="n">
        <f aca="false">F124/J124</f>
        <v>0.193202839808086</v>
      </c>
      <c r="S124" s="158"/>
      <c r="U124" s="158"/>
      <c r="Y124" s="1136" t="n">
        <f aca="false">TableDE5c!J124-I124</f>
        <v>0</v>
      </c>
    </row>
    <row r="125" customFormat="false" ht="12" hidden="false" customHeight="true" outlineLevel="0" collapsed="false">
      <c r="A125" s="1112" t="n">
        <v>1985</v>
      </c>
      <c r="B125" s="1155" t="n">
        <f aca="false">TableDE5a!F125</f>
        <v>2.90342841424184</v>
      </c>
      <c r="C125" s="1050" t="n">
        <f aca="false">TableDE6c!F44+TableDE6c!D44</f>
        <v>2.22526977139728</v>
      </c>
      <c r="D125" s="1050" t="n">
        <f aca="false">TableDE6c!H44</f>
        <v>1.40912918559522</v>
      </c>
      <c r="E125" s="1156" t="n">
        <f aca="false">TableDE6c!E44</f>
        <v>0.730970542750664</v>
      </c>
      <c r="F125" s="1155" t="n">
        <f aca="false">G125+H125-I125</f>
        <v>0.661449752579315</v>
      </c>
      <c r="G125" s="1050" t="n">
        <f aca="false">TableDE5c!G125</f>
        <v>0.723958456346055</v>
      </c>
      <c r="H125" s="1050" t="n">
        <f aca="false">0.5*(DataDE2!W47+DataDE2!W48)/TableDE1!$B125</f>
        <v>0.352352086123931</v>
      </c>
      <c r="I125" s="1157" t="n">
        <f aca="false">TableDE5c!J125</f>
        <v>0.414860789890671</v>
      </c>
      <c r="J125" s="1155" t="n">
        <f aca="false">F125+B125</f>
        <v>3.56487816682115</v>
      </c>
      <c r="K125" s="1050" t="n">
        <f aca="false">G125+C125</f>
        <v>2.94922822774334</v>
      </c>
      <c r="L125" s="1050" t="n">
        <f aca="false">H125+D125</f>
        <v>1.76148127171915</v>
      </c>
      <c r="M125" s="1156" t="n">
        <f aca="false">I125+E125</f>
        <v>1.14583133264134</v>
      </c>
      <c r="N125" s="1050" t="n">
        <f aca="false">9*AVERAGE(DataDE2b!BK53:BK54)/DataDE1!B46</f>
        <v>0.092442208929264</v>
      </c>
      <c r="O125" s="1050"/>
      <c r="P125" s="1050"/>
      <c r="Q125" s="1155" t="n">
        <f aca="false">B125/J125</f>
        <v>0.814453756446567</v>
      </c>
      <c r="R125" s="1149" t="n">
        <f aca="false">F125/J125</f>
        <v>0.185546243553434</v>
      </c>
      <c r="S125" s="158"/>
      <c r="U125" s="158"/>
      <c r="Y125" s="1136" t="n">
        <f aca="false">TableDE5c!J125-I125</f>
        <v>0</v>
      </c>
    </row>
    <row r="126" customFormat="false" ht="12" hidden="false" customHeight="true" outlineLevel="0" collapsed="false">
      <c r="A126" s="1112" t="n">
        <v>1986</v>
      </c>
      <c r="B126" s="1155" t="n">
        <f aca="false">TableDE5a!F126</f>
        <v>2.94643285549051</v>
      </c>
      <c r="C126" s="1050" t="n">
        <f aca="false">TableDE6c!F45+TableDE6c!D45</f>
        <v>2.23241617778299</v>
      </c>
      <c r="D126" s="1050" t="n">
        <f aca="false">TableDE6c!H45</f>
        <v>1.4382907463536</v>
      </c>
      <c r="E126" s="1156" t="n">
        <f aca="false">TableDE6c!E45</f>
        <v>0.724274068646082</v>
      </c>
      <c r="F126" s="1155" t="n">
        <f aca="false">G126+H126-I126</f>
        <v>0.643169497723947</v>
      </c>
      <c r="G126" s="1050" t="n">
        <f aca="false">TableDE5c!G126</f>
        <v>0.70921456336826</v>
      </c>
      <c r="H126" s="1050" t="n">
        <f aca="false">0.5*(DataDE2!W48+DataDE2!W49)/TableDE1!$B126</f>
        <v>0.350873433183614</v>
      </c>
      <c r="I126" s="1157" t="n">
        <f aca="false">TableDE5c!J126</f>
        <v>0.416918498827927</v>
      </c>
      <c r="J126" s="1155" t="n">
        <f aca="false">F126+B126</f>
        <v>3.58960235321446</v>
      </c>
      <c r="K126" s="1050" t="n">
        <f aca="false">G126+C126</f>
        <v>2.94163074115125</v>
      </c>
      <c r="L126" s="1050" t="n">
        <f aca="false">H126+D126</f>
        <v>1.78916417953721</v>
      </c>
      <c r="M126" s="1156" t="n">
        <f aca="false">I126+E126</f>
        <v>1.14119256747401</v>
      </c>
      <c r="N126" s="1050" t="n">
        <f aca="false">9*AVERAGE(DataDE2b!BK54:BK55)/DataDE1!B47</f>
        <v>0.0802755110014624</v>
      </c>
      <c r="O126" s="1050"/>
      <c r="P126" s="1050"/>
      <c r="Q126" s="1155" t="n">
        <f aca="false">B126/J126</f>
        <v>0.820824304634191</v>
      </c>
      <c r="R126" s="1149" t="n">
        <f aca="false">F126/J126</f>
        <v>0.17917569536581</v>
      </c>
      <c r="S126" s="158"/>
      <c r="U126" s="158"/>
      <c r="Y126" s="1136" t="n">
        <f aca="false">TableDE5c!J126-I126</f>
        <v>0</v>
      </c>
    </row>
    <row r="127" customFormat="false" ht="12" hidden="false" customHeight="true" outlineLevel="0" collapsed="false">
      <c r="A127" s="1112" t="n">
        <v>1987</v>
      </c>
      <c r="B127" s="1155" t="n">
        <f aca="false">TableDE5a!F127</f>
        <v>3.04244965338094</v>
      </c>
      <c r="C127" s="1050" t="n">
        <f aca="false">TableDE6c!F46+TableDE6c!D46</f>
        <v>2.29677180532716</v>
      </c>
      <c r="D127" s="1050" t="n">
        <f aca="false">TableDE6c!H46</f>
        <v>1.47533740109042</v>
      </c>
      <c r="E127" s="1156" t="n">
        <f aca="false">TableDE6c!E46</f>
        <v>0.729659553036637</v>
      </c>
      <c r="F127" s="1155" t="n">
        <f aca="false">G127+H127-I127</f>
        <v>0.642815221523697</v>
      </c>
      <c r="G127" s="1050" t="n">
        <f aca="false">TableDE5c!G127</f>
        <v>0.717194170435303</v>
      </c>
      <c r="H127" s="1050" t="n">
        <f aca="false">0.5*(DataDE2!W49+DataDE2!W50)/TableDE1!$B127</f>
        <v>0.356555809032805</v>
      </c>
      <c r="I127" s="1157" t="n">
        <f aca="false">TableDE5c!J127</f>
        <v>0.430934757944411</v>
      </c>
      <c r="J127" s="1155" t="n">
        <f aca="false">F127+B127</f>
        <v>3.68526487490464</v>
      </c>
      <c r="K127" s="1050" t="n">
        <f aca="false">G127+C127</f>
        <v>3.01396597576246</v>
      </c>
      <c r="L127" s="1050" t="n">
        <f aca="false">H127+D127</f>
        <v>1.83189321012323</v>
      </c>
      <c r="M127" s="1156" t="n">
        <f aca="false">I127+E127</f>
        <v>1.16059431098105</v>
      </c>
      <c r="N127" s="1050" t="n">
        <f aca="false">9*AVERAGE(DataDE2b!BK55:BK56)/DataDE1!B48</f>
        <v>0.0746433868434828</v>
      </c>
      <c r="O127" s="1050"/>
      <c r="P127" s="1050"/>
      <c r="Q127" s="1155" t="n">
        <f aca="false">B127/J127</f>
        <v>0.825571500734983</v>
      </c>
      <c r="R127" s="1149" t="n">
        <f aca="false">F127/J127</f>
        <v>0.174428499265017</v>
      </c>
      <c r="S127" s="158"/>
      <c r="U127" s="158"/>
      <c r="Y127" s="1136" t="n">
        <f aca="false">TableDE5c!J127-I127</f>
        <v>0</v>
      </c>
    </row>
    <row r="128" customFormat="false" ht="12" hidden="false" customHeight="true" outlineLevel="0" collapsed="false">
      <c r="A128" s="1112" t="n">
        <v>1988</v>
      </c>
      <c r="B128" s="1155" t="n">
        <f aca="false">TableDE5a!F128</f>
        <v>3.03297460198842</v>
      </c>
      <c r="C128" s="1050" t="n">
        <f aca="false">TableDE6c!F47+TableDE6c!D47</f>
        <v>2.27160864701649</v>
      </c>
      <c r="D128" s="1050" t="n">
        <f aca="false">TableDE6c!H47</f>
        <v>1.46843740526228</v>
      </c>
      <c r="E128" s="1156" t="n">
        <f aca="false">TableDE6c!E47</f>
        <v>0.707071450290343</v>
      </c>
      <c r="F128" s="1155" t="n">
        <f aca="false">G128+H128-I128</f>
        <v>0.617912345468143</v>
      </c>
      <c r="G128" s="1050" t="n">
        <f aca="false">TableDE5c!G128</f>
        <v>0.701847809752314</v>
      </c>
      <c r="H128" s="1050" t="n">
        <f aca="false">0.5*(DataDE2!W50+DataDE2!W51)/TableDE1!$B128</f>
        <v>0.347271677567965</v>
      </c>
      <c r="I128" s="1157" t="n">
        <f aca="false">TableDE5c!J128</f>
        <v>0.431207141852136</v>
      </c>
      <c r="J128" s="1155" t="n">
        <f aca="false">F128+B128</f>
        <v>3.65088694745656</v>
      </c>
      <c r="K128" s="1050" t="n">
        <f aca="false">G128+C128</f>
        <v>2.9734564567688</v>
      </c>
      <c r="L128" s="1050" t="n">
        <f aca="false">H128+D128</f>
        <v>1.81570908283024</v>
      </c>
      <c r="M128" s="1156" t="n">
        <f aca="false">I128+E128</f>
        <v>1.13827859214248</v>
      </c>
      <c r="N128" s="1050" t="n">
        <f aca="false">9*AVERAGE(DataDE2b!BK56:BK57)/DataDE1!B49</f>
        <v>0.0711572029982544</v>
      </c>
      <c r="O128" s="1050"/>
      <c r="P128" s="1050"/>
      <c r="Q128" s="1155" t="n">
        <f aca="false">B128/J128</f>
        <v>0.830750074061148</v>
      </c>
      <c r="R128" s="1149" t="n">
        <f aca="false">F128/J128</f>
        <v>0.169249925938852</v>
      </c>
      <c r="S128" s="158"/>
      <c r="U128" s="158"/>
      <c r="Y128" s="1136" t="n">
        <f aca="false">TableDE5c!J128-I128</f>
        <v>0</v>
      </c>
    </row>
    <row r="129" customFormat="false" ht="12" hidden="false" customHeight="true" outlineLevel="0" collapsed="false">
      <c r="A129" s="1112" t="n">
        <v>1989</v>
      </c>
      <c r="B129" s="1158" t="n">
        <f aca="false">TableDE5a!F129</f>
        <v>3.01193899964686</v>
      </c>
      <c r="C129" s="1063" t="n">
        <f aca="false">TableDE6c!F48+TableDE6c!D48</f>
        <v>2.22193718068608</v>
      </c>
      <c r="D129" s="1063" t="n">
        <f aca="false">TableDE6c!H48</f>
        <v>1.47537148273977</v>
      </c>
      <c r="E129" s="1160" t="n">
        <f aca="false">TableDE6c!E48</f>
        <v>0.685369663778982</v>
      </c>
      <c r="F129" s="1158" t="n">
        <f aca="false">G129+H129-I129</f>
        <v>0.60842329434915</v>
      </c>
      <c r="G129" s="1063" t="n">
        <f aca="false">TableDE5c!G129</f>
        <v>0.688907477819209</v>
      </c>
      <c r="H129" s="1063" t="n">
        <f aca="false">0.5*(DataDE2!W51+DataDE2!W52)/TableDE1!$B129</f>
        <v>0.340748502486567</v>
      </c>
      <c r="I129" s="1160" t="n">
        <f aca="false">TableDE5c!J129</f>
        <v>0.421232685956626</v>
      </c>
      <c r="J129" s="1158" t="n">
        <f aca="false">F129+B129</f>
        <v>3.62036229399601</v>
      </c>
      <c r="K129" s="1063" t="n">
        <f aca="false">G129+C129</f>
        <v>2.91084465850529</v>
      </c>
      <c r="L129" s="1063" t="n">
        <f aca="false">H129+D129</f>
        <v>1.81611998522633</v>
      </c>
      <c r="M129" s="1160" t="n">
        <f aca="false">I129+E129</f>
        <v>1.10660234973561</v>
      </c>
      <c r="N129" s="1063" t="n">
        <f aca="false">9*AVERAGE(DataDE2b!BK57:BK58)/DataDE1!B50</f>
        <v>0.0636080498322952</v>
      </c>
      <c r="O129" s="1063"/>
      <c r="P129" s="1063"/>
      <c r="Q129" s="1158" t="n">
        <f aca="false">B129/J129</f>
        <v>0.831944085994334</v>
      </c>
      <c r="R129" s="1148" t="n">
        <f aca="false">F129/J129</f>
        <v>0.168055914005666</v>
      </c>
      <c r="S129" s="158"/>
      <c r="U129" s="158"/>
      <c r="Y129" s="1136" t="n">
        <f aca="false">TableDE5c!J129-I129</f>
        <v>0</v>
      </c>
    </row>
    <row r="130" s="1163" customFormat="true" ht="12" hidden="false" customHeight="true" outlineLevel="0" collapsed="false">
      <c r="A130" s="1150" t="n">
        <v>1990</v>
      </c>
      <c r="B130" s="1161" t="n">
        <f aca="false">TableDE5a!F130</f>
        <v>2.93337465632571</v>
      </c>
      <c r="C130" s="891" t="n">
        <f aca="false">TableDE6c!F49+TableDE6c!D49</f>
        <v>2.13581682562185</v>
      </c>
      <c r="D130" s="891" t="n">
        <f aca="false">TableDE6c!H49</f>
        <v>1.45702149707251</v>
      </c>
      <c r="E130" s="845" t="n">
        <f aca="false">TableDE6c!E49</f>
        <v>0.659463666368644</v>
      </c>
      <c r="F130" s="1161" t="n">
        <f aca="false">G130+H130-I130</f>
        <v>0.639367835886903</v>
      </c>
      <c r="G130" s="891" t="n">
        <f aca="false">TableDE5c!G130</f>
        <v>0.702492499279102</v>
      </c>
      <c r="H130" s="891" t="n">
        <f aca="false">(DataDE2!W52*AVERAGE(DataDE2!W52:DataDE2!W51)/DataDE2!W51)/TableDE1!$B130</f>
        <v>0.335181736986694</v>
      </c>
      <c r="I130" s="845" t="n">
        <f aca="false">TableDE5c!J130</f>
        <v>0.398306400378893</v>
      </c>
      <c r="J130" s="1161" t="n">
        <f aca="false">F130+B130</f>
        <v>3.57274249221261</v>
      </c>
      <c r="K130" s="891" t="n">
        <f aca="false">G130+C130</f>
        <v>2.83830932490095</v>
      </c>
      <c r="L130" s="891" t="n">
        <f aca="false">H130+D130</f>
        <v>1.7922032340592</v>
      </c>
      <c r="M130" s="845" t="n">
        <f aca="false">I130+E130</f>
        <v>1.05777006674754</v>
      </c>
      <c r="N130" s="891" t="n">
        <f aca="false">9*AVERAGE(DataDE2b!BL58:BL59)/DataDE1!B51</f>
        <v>0.0644610646722393</v>
      </c>
      <c r="O130" s="891"/>
      <c r="P130" s="891"/>
      <c r="Q130" s="1161" t="n">
        <f aca="false">B130/J130</f>
        <v>0.821042843899186</v>
      </c>
      <c r="R130" s="1162" t="n">
        <f aca="false">F130/J130</f>
        <v>0.178957156100814</v>
      </c>
      <c r="S130" s="158"/>
      <c r="U130" s="1164"/>
      <c r="Y130" s="1136" t="n">
        <f aca="false">TableDE5c!J130-I130</f>
        <v>0</v>
      </c>
    </row>
    <row r="131" customFormat="false" ht="12" hidden="false" customHeight="true" outlineLevel="0" collapsed="false">
      <c r="A131" s="1112" t="n">
        <v>1991</v>
      </c>
      <c r="B131" s="1161" t="n">
        <f aca="false">TableDE5a!F131</f>
        <v>2.86881455730272</v>
      </c>
      <c r="C131" s="1050" t="n">
        <f aca="false">TableDE6c!F50+TableDE6c!D50</f>
        <v>2.08707950916384</v>
      </c>
      <c r="D131" s="1050" t="n">
        <f aca="false">TableDE6c!H50</f>
        <v>1.38603596045982</v>
      </c>
      <c r="E131" s="1156" t="n">
        <f aca="false">TableDE6c!E50</f>
        <v>0.604300912320944</v>
      </c>
      <c r="F131" s="1155" t="n">
        <f aca="false">G131+H131-I131</f>
        <v>0.587610617975047</v>
      </c>
      <c r="G131" s="1050" t="n">
        <f aca="false">TableDE5c!G131</f>
        <v>0.669476942893942</v>
      </c>
      <c r="H131" s="1050" t="n">
        <f aca="false">0.5*(DataDE2!W53+DataDE2!W54)/TableDE1!$B131</f>
        <v>0.333635762421244</v>
      </c>
      <c r="I131" s="1157" t="n">
        <f aca="false">TableDE5c!J131</f>
        <v>0.415502087340139</v>
      </c>
      <c r="J131" s="1155" t="n">
        <f aca="false">F131+B131</f>
        <v>3.45642517527776</v>
      </c>
      <c r="K131" s="1050" t="n">
        <f aca="false">G131+C131</f>
        <v>2.75655645205779</v>
      </c>
      <c r="L131" s="1050" t="n">
        <f aca="false">H131+D131</f>
        <v>1.71967172288106</v>
      </c>
      <c r="M131" s="1156" t="n">
        <f aca="false">I131+E131</f>
        <v>1.01980299966108</v>
      </c>
      <c r="N131" s="1050" t="n">
        <f aca="false">9*AVERAGE(DataDE2b!BL59:BL60)/DataDE1!B52</f>
        <v>0.0548561894526406</v>
      </c>
      <c r="O131" s="1050"/>
      <c r="P131" s="1050"/>
      <c r="Q131" s="1155" t="n">
        <f aca="false">B131/J131</f>
        <v>0.829994694467001</v>
      </c>
      <c r="R131" s="1149" t="n">
        <f aca="false">F131/J131</f>
        <v>0.170005305532999</v>
      </c>
      <c r="S131" s="158"/>
      <c r="U131" s="158"/>
      <c r="Y131" s="1136" t="n">
        <f aca="false">TableDE5c!J131-I131</f>
        <v>0</v>
      </c>
    </row>
    <row r="132" customFormat="false" ht="12" hidden="false" customHeight="true" outlineLevel="0" collapsed="false">
      <c r="A132" s="1112" t="n">
        <v>1992</v>
      </c>
      <c r="B132" s="1155" t="n">
        <f aca="false">TableDE5a!F132</f>
        <v>2.89751818871317</v>
      </c>
      <c r="C132" s="1050" t="n">
        <f aca="false">TableDE6c!F51+TableDE6c!D51</f>
        <v>2.10420236523498</v>
      </c>
      <c r="D132" s="1050" t="n">
        <f aca="false">TableDE6c!H51</f>
        <v>1.39940728672154</v>
      </c>
      <c r="E132" s="1156" t="n">
        <f aca="false">TableDE6c!E51</f>
        <v>0.60609146324335</v>
      </c>
      <c r="F132" s="1155" t="n">
        <f aca="false">G132+H132-I132</f>
        <v>0.538480715750443</v>
      </c>
      <c r="G132" s="1050" t="n">
        <f aca="false">TableDE5c!G132</f>
        <v>0.66832986881654</v>
      </c>
      <c r="H132" s="1050" t="n">
        <f aca="false">0.5*(DataDE2!W54+DataDE2!W55)/TableDE1!$B132</f>
        <v>0.309840164049552</v>
      </c>
      <c r="I132" s="1157" t="n">
        <f aca="false">TableDE5c!J132</f>
        <v>0.439689317115649</v>
      </c>
      <c r="J132" s="1155" t="n">
        <f aca="false">F132+B132</f>
        <v>3.43599890446361</v>
      </c>
      <c r="K132" s="1050" t="n">
        <f aca="false">G132+C132</f>
        <v>2.77253223405152</v>
      </c>
      <c r="L132" s="1050" t="n">
        <f aca="false">H132+D132</f>
        <v>1.70924745077109</v>
      </c>
      <c r="M132" s="1156" t="n">
        <f aca="false">I132+E132</f>
        <v>1.045780780359</v>
      </c>
      <c r="N132" s="1050" t="n">
        <f aca="false">9*AVERAGE(DataDE2b!BL60:BL61)/DataDE1!B53</f>
        <v>0.0505948200792157</v>
      </c>
      <c r="O132" s="1050"/>
      <c r="P132" s="1050"/>
      <c r="Q132" s="1155" t="n">
        <f aca="false">B132/J132</f>
        <v>0.843282628800924</v>
      </c>
      <c r="R132" s="1149" t="n">
        <f aca="false">F132/J132</f>
        <v>0.156717371199076</v>
      </c>
      <c r="S132" s="158"/>
      <c r="U132" s="158"/>
      <c r="Y132" s="1136" t="n">
        <f aca="false">TableDE5c!J132-I132</f>
        <v>0</v>
      </c>
    </row>
    <row r="133" customFormat="false" ht="12" hidden="false" customHeight="true" outlineLevel="0" collapsed="false">
      <c r="A133" s="1112" t="n">
        <v>1993</v>
      </c>
      <c r="B133" s="1155" t="n">
        <f aca="false">TableDE5a!F133</f>
        <v>3.03685599967001</v>
      </c>
      <c r="C133" s="1050" t="n">
        <f aca="false">TableDE6c!F52+TableDE6c!D52</f>
        <v>2.18939487687168</v>
      </c>
      <c r="D133" s="1050" t="n">
        <f aca="false">TableDE6c!H52</f>
        <v>1.494348884214</v>
      </c>
      <c r="E133" s="1156" t="n">
        <f aca="false">TableDE6c!E52</f>
        <v>0.646887761415666</v>
      </c>
      <c r="F133" s="1155" t="n">
        <f aca="false">G133+H133-I133</f>
        <v>0.496256651404529</v>
      </c>
      <c r="G133" s="1050" t="n">
        <f aca="false">TableDE5c!G133</f>
        <v>0.685142790358729</v>
      </c>
      <c r="H133" s="1050" t="n">
        <f aca="false">0.5*(DataDE2!W55+DataDE2!W56)/TableDE1!$B133</f>
        <v>0.310776994046391</v>
      </c>
      <c r="I133" s="1157" t="n">
        <f aca="false">TableDE5c!J133</f>
        <v>0.499663133000591</v>
      </c>
      <c r="J133" s="1155" t="n">
        <f aca="false">F133+B133</f>
        <v>3.53311265107454</v>
      </c>
      <c r="K133" s="1050" t="n">
        <f aca="false">G133+C133</f>
        <v>2.8745376672304</v>
      </c>
      <c r="L133" s="1050" t="n">
        <f aca="false">H133+D133</f>
        <v>1.80512587826039</v>
      </c>
      <c r="M133" s="1156" t="n">
        <f aca="false">I133+E133</f>
        <v>1.14655089441626</v>
      </c>
      <c r="N133" s="1050" t="n">
        <f aca="false">9*AVERAGE(DataDE2b!BL61:BL62)/DataDE1!B54</f>
        <v>0.0501484964732088</v>
      </c>
      <c r="O133" s="1050"/>
      <c r="P133" s="1050"/>
      <c r="Q133" s="1155" t="n">
        <f aca="false">B133/J133</f>
        <v>0.859541231652039</v>
      </c>
      <c r="R133" s="1149" t="n">
        <f aca="false">F133/J133</f>
        <v>0.140458768347961</v>
      </c>
      <c r="S133" s="158"/>
      <c r="U133" s="158"/>
      <c r="Y133" s="1136" t="n">
        <f aca="false">TableDE5c!J133-I133</f>
        <v>0</v>
      </c>
    </row>
    <row r="134" customFormat="false" ht="12" hidden="false" customHeight="true" outlineLevel="0" collapsed="false">
      <c r="A134" s="1112" t="n">
        <v>1994</v>
      </c>
      <c r="B134" s="1155" t="n">
        <f aca="false">TableDE5a!F134</f>
        <v>3.07172228372608</v>
      </c>
      <c r="C134" s="1050" t="n">
        <f aca="false">TableDE6c!F53+TableDE6c!D53</f>
        <v>2.21067926617112</v>
      </c>
      <c r="D134" s="1050" t="n">
        <f aca="false">TableDE6c!H53</f>
        <v>1.54162712847277</v>
      </c>
      <c r="E134" s="1156" t="n">
        <f aca="false">TableDE6c!E53</f>
        <v>0.680584110917813</v>
      </c>
      <c r="F134" s="1155" t="n">
        <f aca="false">G134+H134-I134</f>
        <v>0.463799488639359</v>
      </c>
      <c r="G134" s="1050" t="n">
        <f aca="false">TableDE5c!G134</f>
        <v>0.676119589857135</v>
      </c>
      <c r="H134" s="1050" t="n">
        <f aca="false">0.5*(DataDE2!W56+DataDE2!W57)/TableDE1!$B134</f>
        <v>0.318018872897886</v>
      </c>
      <c r="I134" s="1157" t="n">
        <f aca="false">TableDE5c!J134</f>
        <v>0.530338974115662</v>
      </c>
      <c r="J134" s="1155" t="n">
        <f aca="false">F134+B134</f>
        <v>3.53552177236544</v>
      </c>
      <c r="K134" s="1050" t="n">
        <f aca="false">G134+C134</f>
        <v>2.88679885602826</v>
      </c>
      <c r="L134" s="1050" t="n">
        <f aca="false">H134+D134</f>
        <v>1.85964600137066</v>
      </c>
      <c r="M134" s="1156" t="n">
        <f aca="false">I134+E134</f>
        <v>1.21092308503348</v>
      </c>
      <c r="N134" s="1050" t="n">
        <f aca="false">9*AVERAGE(DataDE2b!BL62:BL63)/DataDE1!B55</f>
        <v>0.0490471295271232</v>
      </c>
      <c r="O134" s="1050"/>
      <c r="P134" s="1050"/>
      <c r="Q134" s="1155" t="n">
        <f aca="false">B134/J134</f>
        <v>0.868817244383973</v>
      </c>
      <c r="R134" s="1149" t="n">
        <f aca="false">F134/J134</f>
        <v>0.131182755616027</v>
      </c>
      <c r="S134" s="158"/>
      <c r="U134" s="158"/>
      <c r="Y134" s="1136" t="n">
        <f aca="false">TableDE5c!J134-I134</f>
        <v>0</v>
      </c>
    </row>
    <row r="135" customFormat="false" ht="12" hidden="false" customHeight="true" outlineLevel="0" collapsed="false">
      <c r="A135" s="1112" t="n">
        <v>1995</v>
      </c>
      <c r="B135" s="1155" t="n">
        <f aca="false">TableDE5a!F135</f>
        <v>3.10277372448817</v>
      </c>
      <c r="C135" s="1050" t="n">
        <f aca="false">TableDE6c!F54+TableDE6c!D54</f>
        <v>2.23650254560747</v>
      </c>
      <c r="D135" s="1050" t="n">
        <f aca="false">TableDE6c!H54</f>
        <v>1.57856337256351</v>
      </c>
      <c r="E135" s="1156" t="n">
        <f aca="false">TableDE6c!E54</f>
        <v>0.712292193682815</v>
      </c>
      <c r="F135" s="1155" t="n">
        <f aca="false">G135+H135-I135</f>
        <v>0.390628086429586</v>
      </c>
      <c r="G135" s="1050" t="n">
        <f aca="false">TableDE5c!G135</f>
        <v>0.667427056717027</v>
      </c>
      <c r="H135" s="1050" t="n">
        <f aca="false">0.5*(DataDE2!W57+DataDE2!W58)/TableDE1!$B135</f>
        <v>0.315030872260844</v>
      </c>
      <c r="I135" s="1157" t="n">
        <f aca="false">TableDE5c!J135</f>
        <v>0.591829842548284</v>
      </c>
      <c r="J135" s="1155" t="n">
        <f aca="false">F135+B135</f>
        <v>3.49340181091776</v>
      </c>
      <c r="K135" s="1050" t="n">
        <f aca="false">G135+C135</f>
        <v>2.9039296023245</v>
      </c>
      <c r="L135" s="1050" t="n">
        <f aca="false">H135+D135</f>
        <v>1.89359424482436</v>
      </c>
      <c r="M135" s="1156" t="n">
        <f aca="false">I135+E135</f>
        <v>1.3041220362311</v>
      </c>
      <c r="N135" s="1050" t="n">
        <f aca="false">9*AVERAGE(DataDE2b!BL63:BL64)/DataDE1!B56</f>
        <v>0.0455055213238433</v>
      </c>
      <c r="O135" s="1050" t="n">
        <v>0.00656683623049431</v>
      </c>
      <c r="P135" s="1050" t="n">
        <v>0.00927958058092929</v>
      </c>
      <c r="Q135" s="1155" t="n">
        <f aca="false">B135/J135</f>
        <v>0.888181174805379</v>
      </c>
      <c r="R135" s="1149" t="n">
        <f aca="false">F135/J135</f>
        <v>0.111818825194621</v>
      </c>
      <c r="S135" s="158"/>
      <c r="U135" s="158"/>
      <c r="Y135" s="1136" t="n">
        <f aca="false">TableDE5c!J135-I135</f>
        <v>0</v>
      </c>
    </row>
    <row r="136" customFormat="false" ht="12" hidden="false" customHeight="true" outlineLevel="0" collapsed="false">
      <c r="A136" s="1112" t="n">
        <v>1996</v>
      </c>
      <c r="B136" s="1155" t="n">
        <f aca="false">TableDE5a!F136</f>
        <v>3.20750040783546</v>
      </c>
      <c r="C136" s="1050" t="n">
        <f aca="false">TableDE6c!F55+TableDE6c!D55</f>
        <v>2.29115687234123</v>
      </c>
      <c r="D136" s="1050" t="n">
        <f aca="false">TableDE6c!H55</f>
        <v>1.66569413595352</v>
      </c>
      <c r="E136" s="1156" t="n">
        <f aca="false">TableDE6c!E55</f>
        <v>0.749350600459286</v>
      </c>
      <c r="F136" s="1155" t="n">
        <f aca="false">G136+H136-I136</f>
        <v>0.307514211497195</v>
      </c>
      <c r="G136" s="1050" t="n">
        <f aca="false">TableDE5c!G136</f>
        <v>0.661264415414925</v>
      </c>
      <c r="H136" s="1050" t="n">
        <f aca="false">0.5*(DataDE2!W58+DataDE2!W59)/TableDE1!$B136</f>
        <v>0.315507786520097</v>
      </c>
      <c r="I136" s="1157" t="n">
        <f aca="false">TableDE5c!J136</f>
        <v>0.669257990437827</v>
      </c>
      <c r="J136" s="1155" t="n">
        <f aca="false">F136+B136</f>
        <v>3.51501461933266</v>
      </c>
      <c r="K136" s="1050" t="n">
        <f aca="false">G136+C136</f>
        <v>2.95242128775615</v>
      </c>
      <c r="L136" s="1050" t="n">
        <f aca="false">H136+D136</f>
        <v>1.98120192247362</v>
      </c>
      <c r="M136" s="1156" t="n">
        <f aca="false">I136+E136</f>
        <v>1.41860859089711</v>
      </c>
      <c r="N136" s="1050" t="n">
        <f aca="false">9*AVERAGE(DataDE2b!BL64:BL65)/DataDE1!B57</f>
        <v>0.0423521439596431</v>
      </c>
      <c r="O136" s="1050"/>
      <c r="P136" s="1050"/>
      <c r="Q136" s="1155" t="n">
        <f aca="false">B136/J136</f>
        <v>0.912514101703629</v>
      </c>
      <c r="R136" s="1149" t="n">
        <f aca="false">F136/J136</f>
        <v>0.0874858982963714</v>
      </c>
      <c r="S136" s="158"/>
      <c r="U136" s="158"/>
      <c r="Y136" s="1136" t="n">
        <f aca="false">TableDE5c!J136-I136</f>
        <v>0</v>
      </c>
    </row>
    <row r="137" customFormat="false" ht="12" hidden="false" customHeight="true" outlineLevel="0" collapsed="false">
      <c r="A137" s="1112" t="n">
        <v>1997</v>
      </c>
      <c r="B137" s="1155" t="n">
        <f aca="false">TableDE5a!F137</f>
        <v>3.31142434149651</v>
      </c>
      <c r="C137" s="1050" t="n">
        <f aca="false">TableDE6c!F56+TableDE6c!D56</f>
        <v>2.3311023379187</v>
      </c>
      <c r="D137" s="1050" t="n">
        <f aca="false">TableDE6c!H56</f>
        <v>1.76044044167541</v>
      </c>
      <c r="E137" s="1156" t="n">
        <f aca="false">TableDE6c!E56</f>
        <v>0.780118438097588</v>
      </c>
      <c r="F137" s="1155" t="n">
        <f aca="false">G137+H137-I137</f>
        <v>0.278079698969835</v>
      </c>
      <c r="G137" s="1050" t="n">
        <f aca="false">TableDE5c!G137</f>
        <v>0.648753932514959</v>
      </c>
      <c r="H137" s="1050" t="n">
        <f aca="false">0.5*(DataDE2!W59+DataDE2!W60)/TableDE1!$B137</f>
        <v>0.326229103695022</v>
      </c>
      <c r="I137" s="1157" t="n">
        <f aca="false">TableDE5c!J137</f>
        <v>0.696903337240146</v>
      </c>
      <c r="J137" s="1155" t="n">
        <f aca="false">F137+B137</f>
        <v>3.58950404046635</v>
      </c>
      <c r="K137" s="1050" t="n">
        <f aca="false">G137+C137</f>
        <v>2.97985627043366</v>
      </c>
      <c r="L137" s="1050" t="n">
        <f aca="false">H137+D137</f>
        <v>2.08666954537043</v>
      </c>
      <c r="M137" s="1156" t="n">
        <f aca="false">I137+E137</f>
        <v>1.47702177533773</v>
      </c>
      <c r="N137" s="1050" t="n">
        <f aca="false">9*AVERAGE(DataDE2b!BL65:BL66)/DataDE1!B58</f>
        <v>0.0415273579668127</v>
      </c>
      <c r="O137" s="1050"/>
      <c r="P137" s="1050"/>
      <c r="Q137" s="1155" t="n">
        <f aca="false">B137/J137</f>
        <v>0.922529771290157</v>
      </c>
      <c r="R137" s="1149" t="n">
        <f aca="false">F137/J137</f>
        <v>0.0774702287098435</v>
      </c>
      <c r="S137" s="158"/>
      <c r="U137" s="158"/>
      <c r="Y137" s="1136" t="n">
        <f aca="false">TableDE5c!J137-I137</f>
        <v>0</v>
      </c>
    </row>
    <row r="138" customFormat="false" ht="12" hidden="false" customHeight="true" outlineLevel="0" collapsed="false">
      <c r="A138" s="1112" t="n">
        <v>1998</v>
      </c>
      <c r="B138" s="1155" t="n">
        <f aca="false">TableDE5a!F138</f>
        <v>3.4068805122629</v>
      </c>
      <c r="C138" s="1050" t="n">
        <f aca="false">TableDE6c!F57+TableDE6c!D57</f>
        <v>2.36124199589223</v>
      </c>
      <c r="D138" s="1050" t="n">
        <f aca="false">TableDE6c!H57</f>
        <v>1.85118400386614</v>
      </c>
      <c r="E138" s="1156" t="n">
        <f aca="false">TableDE6c!E57</f>
        <v>0.80554548749547</v>
      </c>
      <c r="F138" s="1155" t="n">
        <f aca="false">G138+H138-I138</f>
        <v>0.244536063791229</v>
      </c>
      <c r="G138" s="1050" t="n">
        <f aca="false">TableDE5c!G138</f>
        <v>0.638610003624502</v>
      </c>
      <c r="H138" s="1050" t="n">
        <f aca="false">0.5*(DataDE2!W60+DataDE2!W61)/TableDE1!$B138</f>
        <v>0.323607587290081</v>
      </c>
      <c r="I138" s="1157" t="n">
        <f aca="false">TableDE5c!J138</f>
        <v>0.717681527123354</v>
      </c>
      <c r="J138" s="1155" t="n">
        <f aca="false">F138+B138</f>
        <v>3.65141657605413</v>
      </c>
      <c r="K138" s="1050" t="n">
        <f aca="false">G138+C138</f>
        <v>2.99985199951673</v>
      </c>
      <c r="L138" s="1050" t="n">
        <f aca="false">H138+D138</f>
        <v>2.17479159115622</v>
      </c>
      <c r="M138" s="1156" t="n">
        <f aca="false">I138+E138</f>
        <v>1.52322701461882</v>
      </c>
      <c r="N138" s="1050" t="n">
        <f aca="false">9*AVERAGE(DataDE2b!BL66:BL67)/DataDE1!B59</f>
        <v>0.0392805364262414</v>
      </c>
      <c r="O138" s="1050"/>
      <c r="P138" s="1050"/>
      <c r="Q138" s="1155" t="n">
        <f aca="false">B138/J138</f>
        <v>0.933029809473154</v>
      </c>
      <c r="R138" s="1149" t="n">
        <f aca="false">F138/J138</f>
        <v>0.0669701905268461</v>
      </c>
      <c r="S138" s="158"/>
      <c r="U138" s="158"/>
      <c r="Y138" s="1136" t="n">
        <f aca="false">TableDE5c!J138-I138</f>
        <v>0</v>
      </c>
    </row>
    <row r="139" customFormat="false" ht="12" hidden="false" customHeight="true" outlineLevel="0" collapsed="false">
      <c r="A139" s="1112" t="n">
        <v>1999</v>
      </c>
      <c r="B139" s="1158" t="n">
        <f aca="false">TableDE5a!F139</f>
        <v>3.50800500275626</v>
      </c>
      <c r="C139" s="1062" t="n">
        <f aca="false">TableDE6c!F58+TableDE6c!D58</f>
        <v>2.39133527358082</v>
      </c>
      <c r="D139" s="1062" t="n">
        <f aca="false">TableDE6c!H58</f>
        <v>1.95812858980362</v>
      </c>
      <c r="E139" s="1159" t="n">
        <f aca="false">TableDE6c!E58</f>
        <v>0.84145886062819</v>
      </c>
      <c r="F139" s="1158" t="n">
        <f aca="false">G139+H139-I139</f>
        <v>0.220509522426456</v>
      </c>
      <c r="G139" s="1062" t="n">
        <f aca="false">TableDE5c!G139</f>
        <v>0.631399408441855</v>
      </c>
      <c r="H139" s="1062" t="n">
        <f aca="false">0.5*(DataDE2!W61+DataDE2!W62)/TableDE1!$B139</f>
        <v>0.316525099729116</v>
      </c>
      <c r="I139" s="1160" t="n">
        <f aca="false">TableDE5c!J139</f>
        <v>0.727414985744516</v>
      </c>
      <c r="J139" s="1158" t="n">
        <f aca="false">F139+B139</f>
        <v>3.72851452518271</v>
      </c>
      <c r="K139" s="1062" t="n">
        <f aca="false">G139+C139</f>
        <v>3.02273468202268</v>
      </c>
      <c r="L139" s="1062" t="n">
        <f aca="false">H139+D139</f>
        <v>2.27465368953274</v>
      </c>
      <c r="M139" s="1159" t="n">
        <f aca="false">I139+E139</f>
        <v>1.56887384637271</v>
      </c>
      <c r="N139" s="1062" t="n">
        <f aca="false">9*AVERAGE(DataDE2b!BL67:BL68)/DataDE1!B60</f>
        <v>0.0370494407463828</v>
      </c>
      <c r="O139" s="1062"/>
      <c r="P139" s="1062"/>
      <c r="Q139" s="1158" t="n">
        <f aca="false">B139/J139</f>
        <v>0.940858612474991</v>
      </c>
      <c r="R139" s="1148" t="n">
        <f aca="false">F139/J139</f>
        <v>0.0591413875250089</v>
      </c>
      <c r="S139" s="158"/>
      <c r="U139" s="158"/>
      <c r="Y139" s="1136" t="n">
        <f aca="false">TableDE5c!J139-I139</f>
        <v>0</v>
      </c>
    </row>
    <row r="140" customFormat="false" ht="12" hidden="false" customHeight="true" outlineLevel="0" collapsed="false">
      <c r="A140" s="1150" t="n">
        <v>2000</v>
      </c>
      <c r="B140" s="1155" t="n">
        <f aca="false">TableDE5a!F140</f>
        <v>3.56473937826538</v>
      </c>
      <c r="C140" s="1050" t="n">
        <f aca="false">TableDE6c!F59+TableDE6c!D59</f>
        <v>2.41268635512285</v>
      </c>
      <c r="D140" s="1050" t="n">
        <f aca="false">TableDE6c!H59</f>
        <v>2.0167523905064</v>
      </c>
      <c r="E140" s="1156" t="n">
        <f aca="false">TableDE6c!E59</f>
        <v>0.864699367363861</v>
      </c>
      <c r="F140" s="1155" t="n">
        <f aca="false">G140+H140-I140</f>
        <v>0.230007596272608</v>
      </c>
      <c r="G140" s="1050" t="n">
        <f aca="false">TableDE5c!G140</f>
        <v>0.630290571923944</v>
      </c>
      <c r="H140" s="1050" t="n">
        <f aca="false">0.5*(DataDE2!W62+DataDE2!W63)/TableDE1!$B140</f>
        <v>0.318811502264385</v>
      </c>
      <c r="I140" s="1157" t="n">
        <f aca="false">TableDE5c!J140</f>
        <v>0.719094477915722</v>
      </c>
      <c r="J140" s="1155" t="n">
        <f aca="false">F140+B140</f>
        <v>3.79474697453799</v>
      </c>
      <c r="K140" s="1050" t="n">
        <f aca="false">G140+C140</f>
        <v>3.04297692704679</v>
      </c>
      <c r="L140" s="1050" t="n">
        <f aca="false">H140+D140</f>
        <v>2.33556389277078</v>
      </c>
      <c r="M140" s="1156" t="n">
        <f aca="false">I140+E140</f>
        <v>1.58379384527958</v>
      </c>
      <c r="N140" s="1050" t="n">
        <f aca="false">9*AVERAGE(DataDE2b!BL68:BL69)/DataDE1!B61</f>
        <v>0.0331394640858669</v>
      </c>
      <c r="O140" s="1050" t="n">
        <v>0.0131537444629046</v>
      </c>
      <c r="P140" s="1050" t="n">
        <v>0.0258090402194382</v>
      </c>
      <c r="Q140" s="1155" t="n">
        <f aca="false">B140/J140</f>
        <v>0.939387896527512</v>
      </c>
      <c r="R140" s="1149" t="n">
        <f aca="false">F140/J140</f>
        <v>0.060612103472488</v>
      </c>
      <c r="S140" s="158"/>
      <c r="U140" s="158"/>
      <c r="Y140" s="1136" t="n">
        <f aca="false">TableDE5c!J140-I140</f>
        <v>0</v>
      </c>
    </row>
    <row r="141" customFormat="false" ht="12" hidden="false" customHeight="true" outlineLevel="0" collapsed="false">
      <c r="A141" s="1112" t="n">
        <v>2001</v>
      </c>
      <c r="B141" s="1155" t="n">
        <f aca="false">TableDE5a!F141</f>
        <v>3.58484961640301</v>
      </c>
      <c r="C141" s="1050" t="n">
        <f aca="false">TableDE6c!F60+TableDE6c!D60</f>
        <v>2.43207843935999</v>
      </c>
      <c r="D141" s="1050" t="n">
        <f aca="false">TableDE6c!H60</f>
        <v>2.01563808359925</v>
      </c>
      <c r="E141" s="1156" t="n">
        <f aca="false">TableDE6c!E60</f>
        <v>0.862866906556227</v>
      </c>
      <c r="F141" s="1155" t="n">
        <f aca="false">G141+H141-I141</f>
        <v>0.217883653563265</v>
      </c>
      <c r="G141" s="1050" t="n">
        <f aca="false">TableDE5c!G141</f>
        <v>0.629175436214271</v>
      </c>
      <c r="H141" s="1050" t="n">
        <f aca="false">0.5*(DataDE2!W63+DataDE2!W64)/TableDE1!$B141</f>
        <v>0.299098151039899</v>
      </c>
      <c r="I141" s="1157" t="n">
        <f aca="false">TableDE5c!J141</f>
        <v>0.710389933690904</v>
      </c>
      <c r="J141" s="1155" t="n">
        <f aca="false">F141+B141</f>
        <v>3.80273326996628</v>
      </c>
      <c r="K141" s="1050" t="n">
        <f aca="false">G141+C141</f>
        <v>3.06125387557426</v>
      </c>
      <c r="L141" s="1050" t="n">
        <f aca="false">H141+D141</f>
        <v>2.31473623463915</v>
      </c>
      <c r="M141" s="1156" t="n">
        <f aca="false">I141+E141</f>
        <v>1.57325684024713</v>
      </c>
      <c r="N141" s="1050" t="n">
        <f aca="false">9*AVERAGE(DataDE2b!BL69:BL70)/DataDE1!B62</f>
        <v>0.0299154728766379</v>
      </c>
      <c r="O141" s="1050"/>
      <c r="P141" s="1050"/>
      <c r="Q141" s="1155" t="n">
        <f aca="false">B141/J141</f>
        <v>0.942703408812789</v>
      </c>
      <c r="R141" s="1149" t="n">
        <f aca="false">F141/J141</f>
        <v>0.0572965911872113</v>
      </c>
      <c r="S141" s="158"/>
      <c r="U141" s="158"/>
      <c r="Y141" s="1136" t="n">
        <f aca="false">TableDE5c!J141-I141</f>
        <v>0</v>
      </c>
    </row>
    <row r="142" customFormat="false" ht="12" hidden="false" customHeight="true" outlineLevel="0" collapsed="false">
      <c r="A142" s="1112" t="n">
        <v>2002</v>
      </c>
      <c r="B142" s="1155" t="n">
        <f aca="false">TableDE5a!F142</f>
        <v>3.63016879171539</v>
      </c>
      <c r="C142" s="1050" t="n">
        <f aca="false">TableDE6c!F61+TableDE6c!D61</f>
        <v>2.48401318108324</v>
      </c>
      <c r="D142" s="1050" t="n">
        <f aca="false">TableDE6c!H61</f>
        <v>2.0101151946112</v>
      </c>
      <c r="E142" s="1156" t="n">
        <f aca="false">TableDE6c!E61</f>
        <v>0.863959583979054</v>
      </c>
      <c r="F142" s="1155" t="n">
        <f aca="false">G142+H142-I142</f>
        <v>0.173281451933244</v>
      </c>
      <c r="G142" s="1050" t="n">
        <f aca="false">TableDE5c!G142</f>
        <v>0.627206404798004</v>
      </c>
      <c r="H142" s="1050" t="n">
        <f aca="false">0.5*(DataDE2!W64+DataDE2!W65)/TableDE1!$B142</f>
        <v>0.273328447306438</v>
      </c>
      <c r="I142" s="1157" t="n">
        <f aca="false">TableDE5c!J142</f>
        <v>0.727253400171198</v>
      </c>
      <c r="J142" s="1155" t="n">
        <f aca="false">F142+B142</f>
        <v>3.80345024364863</v>
      </c>
      <c r="K142" s="1050" t="n">
        <f aca="false">G142+C142</f>
        <v>3.11121958588125</v>
      </c>
      <c r="L142" s="1050" t="n">
        <f aca="false">H142+D142</f>
        <v>2.28344364191764</v>
      </c>
      <c r="M142" s="1156" t="n">
        <f aca="false">I142+E142</f>
        <v>1.59121298415025</v>
      </c>
      <c r="N142" s="1050" t="n">
        <f aca="false">9*AVERAGE(DataDE2b!BL70:BL71)/DataDE1!B63</f>
        <v>0.031520468163432</v>
      </c>
      <c r="O142" s="1050"/>
      <c r="P142" s="1050"/>
      <c r="Q142" s="1155" t="n">
        <f aca="false">B142/J142</f>
        <v>0.954440983624643</v>
      </c>
      <c r="R142" s="1149" t="n">
        <f aca="false">F142/J142</f>
        <v>0.0455590163753572</v>
      </c>
      <c r="S142" s="158"/>
      <c r="U142" s="158"/>
      <c r="Y142" s="1136" t="n">
        <f aca="false">TableDE5c!J142-I142</f>
        <v>0</v>
      </c>
    </row>
    <row r="143" customFormat="false" ht="12" hidden="false" customHeight="true" outlineLevel="0" collapsed="false">
      <c r="A143" s="1112" t="n">
        <v>2003</v>
      </c>
      <c r="B143" s="1155" t="n">
        <f aca="false">TableDE5a!F143</f>
        <v>3.70546508418438</v>
      </c>
      <c r="C143" s="1050" t="n">
        <f aca="false">TableDE6c!F62+TableDE6c!D62</f>
        <v>2.5286226883798</v>
      </c>
      <c r="D143" s="1050" t="n">
        <f aca="false">TableDE6c!H62</f>
        <v>2.03844879933757</v>
      </c>
      <c r="E143" s="1156" t="n">
        <f aca="false">TableDE6c!E62</f>
        <v>0.861606403532984</v>
      </c>
      <c r="F143" s="1155" t="n">
        <f aca="false">G143+H143-I143</f>
        <v>0.126422853988407</v>
      </c>
      <c r="G143" s="1050" t="n">
        <f aca="false">TableDE5c!G143</f>
        <v>0.621813414297543</v>
      </c>
      <c r="H143" s="1050" t="n">
        <f aca="false">0.5*(DataDE2!W65+DataDE2!W66)/TableDE1!$B143</f>
        <v>0.264173337013525</v>
      </c>
      <c r="I143" s="1157" t="n">
        <f aca="false">TableDE5c!J143</f>
        <v>0.759563897322661</v>
      </c>
      <c r="J143" s="1155" t="n">
        <f aca="false">F143+B143</f>
        <v>3.83188793817279</v>
      </c>
      <c r="K143" s="1050" t="n">
        <f aca="false">G143+C143</f>
        <v>3.15043610267734</v>
      </c>
      <c r="L143" s="1050" t="n">
        <f aca="false">H143+D143</f>
        <v>2.30262213635109</v>
      </c>
      <c r="M143" s="1156" t="n">
        <f aca="false">I143+E143</f>
        <v>1.62117030085564</v>
      </c>
      <c r="N143" s="1050" t="n">
        <f aca="false">9*AVERAGE(DataDE2b!BL71:BL72)/DataDE1!B64</f>
        <v>0.0309025669334805</v>
      </c>
      <c r="O143" s="1050"/>
      <c r="P143" s="1050"/>
      <c r="Q143" s="1155" t="n">
        <f aca="false">B143/J143</f>
        <v>0.967007684977163</v>
      </c>
      <c r="R143" s="1149" t="n">
        <f aca="false">F143/J143</f>
        <v>0.0329923150228374</v>
      </c>
      <c r="S143" s="158"/>
      <c r="U143" s="158"/>
      <c r="Y143" s="1136" t="n">
        <f aca="false">TableDE5c!J143-I143</f>
        <v>0</v>
      </c>
    </row>
    <row r="144" customFormat="false" ht="12" hidden="false" customHeight="true" outlineLevel="0" collapsed="false">
      <c r="A144" s="1112" t="n">
        <v>2004</v>
      </c>
      <c r="B144" s="1155" t="n">
        <f aca="false">TableDE5a!F144</f>
        <v>3.7228401653644</v>
      </c>
      <c r="C144" s="1050" t="n">
        <f aca="false">TableDE6c!F63+TableDE6c!D63</f>
        <v>2.4970395119424</v>
      </c>
      <c r="D144" s="1050" t="n">
        <f aca="false">TableDE6c!H63</f>
        <v>2.05671977923218</v>
      </c>
      <c r="E144" s="1156" t="n">
        <f aca="false">TableDE6c!E63</f>
        <v>0.830919125810169</v>
      </c>
      <c r="F144" s="1155" t="n">
        <f aca="false">G144+H144-I144</f>
        <v>0.0793225768933906</v>
      </c>
      <c r="G144" s="1050" t="n">
        <f aca="false">TableDE5c!G144</f>
        <v>0.600606371393227</v>
      </c>
      <c r="H144" s="1050" t="n">
        <f aca="false">0.5*(DataDE2!W66+DataDE2!W67)/TableDE1!$B144</f>
        <v>0.254364076592055</v>
      </c>
      <c r="I144" s="1157" t="n">
        <f aca="false">TableDE5c!J144</f>
        <v>0.775647871091891</v>
      </c>
      <c r="J144" s="1155" t="n">
        <f aca="false">F144+B144</f>
        <v>3.8021627422578</v>
      </c>
      <c r="K144" s="1050" t="n">
        <f aca="false">G144+C144</f>
        <v>3.09764588333562</v>
      </c>
      <c r="L144" s="1050" t="n">
        <f aca="false">H144+D144</f>
        <v>2.31108385582423</v>
      </c>
      <c r="M144" s="1156" t="n">
        <f aca="false">I144+E144</f>
        <v>1.60656699690206</v>
      </c>
      <c r="N144" s="1050" t="n">
        <f aca="false">9*AVERAGE(DataDE2b!BL72:BL73)/DataDE1!B65</f>
        <v>0.0302842068535299</v>
      </c>
      <c r="O144" s="1050"/>
      <c r="P144" s="1050"/>
      <c r="Q144" s="1155" t="n">
        <f aca="false">B144/J144</f>
        <v>0.979137511392717</v>
      </c>
      <c r="R144" s="1149" t="n">
        <f aca="false">F144/J144</f>
        <v>0.0208624886072834</v>
      </c>
      <c r="S144" s="158"/>
      <c r="U144" s="158"/>
      <c r="Y144" s="1136" t="n">
        <f aca="false">TableDE5c!J144-I144</f>
        <v>0</v>
      </c>
    </row>
    <row r="145" customFormat="false" ht="12" hidden="false" customHeight="true" outlineLevel="0" collapsed="false">
      <c r="A145" s="1112" t="n">
        <v>2005</v>
      </c>
      <c r="B145" s="1155" t="n">
        <f aca="false">TableDE5a!F145</f>
        <v>3.83695092187362</v>
      </c>
      <c r="C145" s="1050" t="n">
        <f aca="false">TableDE6c!F64+TableDE6c!D64</f>
        <v>2.52790599647175</v>
      </c>
      <c r="D145" s="1050" t="n">
        <f aca="false">TableDE6c!H64</f>
        <v>2.12686625416964</v>
      </c>
      <c r="E145" s="1156" t="n">
        <f aca="false">TableDE6c!E64</f>
        <v>0.817821328767765</v>
      </c>
      <c r="F145" s="1155" t="n">
        <f aca="false">G145+H145-I145</f>
        <v>0.035261730926349</v>
      </c>
      <c r="G145" s="1050" t="n">
        <f aca="false">TableDE5c!G145</f>
        <v>0.593173503744217</v>
      </c>
      <c r="H145" s="1050" t="n">
        <f aca="false">0.5*(DataDE2!W67+DataDE2!W68)/TableDE1!$B145</f>
        <v>0.252207761119466</v>
      </c>
      <c r="I145" s="1157" t="n">
        <f aca="false">TableDE5c!J145</f>
        <v>0.810119533937334</v>
      </c>
      <c r="J145" s="1155" t="n">
        <f aca="false">F145+B145</f>
        <v>3.87221265279997</v>
      </c>
      <c r="K145" s="1050" t="n">
        <f aca="false">G145+C145</f>
        <v>3.12107950021596</v>
      </c>
      <c r="L145" s="1050" t="n">
        <f aca="false">H145+D145</f>
        <v>2.3790740152891</v>
      </c>
      <c r="M145" s="1156" t="n">
        <f aca="false">I145+E145</f>
        <v>1.6279408627051</v>
      </c>
      <c r="N145" s="1050" t="n">
        <f aca="false">9*AVERAGE(DataDE2b!BL73:BL74)/DataDE1!B66</f>
        <v>0.0322460619370014</v>
      </c>
      <c r="O145" s="1050" t="n">
        <v>0.0184463966820546</v>
      </c>
      <c r="P145" s="1050" t="n">
        <v>0.0104430458310875</v>
      </c>
      <c r="Q145" s="1155" t="n">
        <f aca="false">B145/J145</f>
        <v>0.990893648131424</v>
      </c>
      <c r="R145" s="1149" t="n">
        <f aca="false">F145/J145</f>
        <v>0.0091063518685761</v>
      </c>
      <c r="S145" s="158"/>
      <c r="U145" s="158"/>
      <c r="Y145" s="1136" t="n">
        <f aca="false">TableDE5c!J145-I145</f>
        <v>0</v>
      </c>
    </row>
    <row r="146" customFormat="false" ht="12" hidden="false" customHeight="true" outlineLevel="0" collapsed="false">
      <c r="A146" s="1112" t="n">
        <v>2006</v>
      </c>
      <c r="B146" s="1155" t="n">
        <f aca="false">TableDE5a!F146</f>
        <v>3.77789847916255</v>
      </c>
      <c r="C146" s="1050" t="n">
        <f aca="false">TableDE6c!F65+TableDE6c!D65</f>
        <v>2.47064487458029</v>
      </c>
      <c r="D146" s="1050" t="n">
        <f aca="false">TableDE6c!H65</f>
        <v>2.08154750148134</v>
      </c>
      <c r="E146" s="1156" t="n">
        <f aca="false">TableDE6c!E65</f>
        <v>0.774293896899072</v>
      </c>
      <c r="F146" s="1155" t="n">
        <f aca="false">G146+H146-I146</f>
        <v>0.0223015010863125</v>
      </c>
      <c r="G146" s="1050" t="n">
        <f aca="false">TableDE5c!G146</f>
        <v>0.568568536440845</v>
      </c>
      <c r="H146" s="1050" t="n">
        <f aca="false">0.5*(DataDE2!W68+DataDE2!W69)/TableDE1!$B146</f>
        <v>0.246839818289552</v>
      </c>
      <c r="I146" s="1157" t="n">
        <f aca="false">TableDE5c!J146</f>
        <v>0.793106853644085</v>
      </c>
      <c r="J146" s="1155" t="n">
        <f aca="false">F146+B146</f>
        <v>3.80019998024887</v>
      </c>
      <c r="K146" s="1050" t="n">
        <f aca="false">G146+C146</f>
        <v>3.03921341102113</v>
      </c>
      <c r="L146" s="1050" t="n">
        <f aca="false">H146+D146</f>
        <v>2.32838731977089</v>
      </c>
      <c r="M146" s="1156" t="n">
        <f aca="false">I146+E146</f>
        <v>1.56740075054316</v>
      </c>
      <c r="N146" s="1050" t="n">
        <f aca="false">9*AVERAGE(DataDE2b!BL74:BL75)/DataDE1!B67</f>
        <v>0.0330856211732175</v>
      </c>
      <c r="O146" s="1050"/>
      <c r="P146" s="1050"/>
      <c r="Q146" s="1155" t="n">
        <f aca="false">B146/J146</f>
        <v>0.994131492762954</v>
      </c>
      <c r="R146" s="1149" t="n">
        <f aca="false">F146/J146</f>
        <v>0.00586850723704598</v>
      </c>
      <c r="S146" s="158"/>
      <c r="U146" s="158"/>
      <c r="Y146" s="1136" t="n">
        <f aca="false">TableDE5c!J146-I146</f>
        <v>0</v>
      </c>
    </row>
    <row r="147" customFormat="false" ht="12" hidden="false" customHeight="true" outlineLevel="0" collapsed="false">
      <c r="A147" s="1112" t="n">
        <v>2007</v>
      </c>
      <c r="B147" s="1155" t="n">
        <f aca="false">TableDE5a!F147</f>
        <v>3.79048630783758</v>
      </c>
      <c r="C147" s="1050" t="n">
        <f aca="false">TableDE6c!F66+TableDE6c!D66</f>
        <v>2.47167138810198</v>
      </c>
      <c r="D147" s="1050" t="n">
        <f aca="false">TableDE6c!H66</f>
        <v>2.05406043437205</v>
      </c>
      <c r="E147" s="1156" t="n">
        <f aca="false">TableDE6c!E66</f>
        <v>0.73524551463645</v>
      </c>
      <c r="F147" s="1155" t="n">
        <f aca="false">G147+H147-I147</f>
        <v>0.0577148253068933</v>
      </c>
      <c r="G147" s="1050" t="n">
        <f aca="false">TableDE5c!G147</f>
        <v>0.563805476864967</v>
      </c>
      <c r="H147" s="1050" t="n">
        <f aca="false">0.5*(DataDE2!W69+DataDE2!W70)/TableDE1!$B147</f>
        <v>0.251841359773371</v>
      </c>
      <c r="I147" s="1157" t="n">
        <f aca="false">TableDE5c!J147</f>
        <v>0.757932011331445</v>
      </c>
      <c r="J147" s="1155" t="n">
        <f aca="false">F147+B147</f>
        <v>3.84820113314448</v>
      </c>
      <c r="K147" s="1050" t="n">
        <f aca="false">G147+C147</f>
        <v>3.03547686496695</v>
      </c>
      <c r="L147" s="1050" t="n">
        <f aca="false">H147+D147</f>
        <v>2.30590179414542</v>
      </c>
      <c r="M147" s="1156" t="n">
        <f aca="false">I147+E147</f>
        <v>1.49317752596789</v>
      </c>
      <c r="N147" s="1050" t="n">
        <f aca="false">9*AVERAGE(DataDE2b!BL75:BL76)/DataDE1!B68</f>
        <v>0.0326558073654391</v>
      </c>
      <c r="O147" s="1050"/>
      <c r="P147" s="1050"/>
      <c r="Q147" s="1155" t="n">
        <f aca="false">B147/J147</f>
        <v>0.985002128706372</v>
      </c>
      <c r="R147" s="1149" t="n">
        <f aca="false">F147/J147</f>
        <v>0.0149978712936278</v>
      </c>
      <c r="S147" s="158"/>
      <c r="U147" s="158"/>
      <c r="Y147" s="1136" t="n">
        <f aca="false">TableDE5c!J147-I147</f>
        <v>0</v>
      </c>
    </row>
    <row r="148" customFormat="false" ht="12" hidden="false" customHeight="true" outlineLevel="0" collapsed="false">
      <c r="A148" s="1112" t="n">
        <v>2008</v>
      </c>
      <c r="B148" s="1155" t="n">
        <f aca="false">TableDE5a!F148</f>
        <v>3.89654156987207</v>
      </c>
      <c r="C148" s="1050" t="n">
        <f aca="false">TableDE6c!F67+TableDE6c!D67</f>
        <v>2.56502961096751</v>
      </c>
      <c r="D148" s="1050" t="n">
        <f aca="false">TableDE6c!H67</f>
        <v>2.05114961601563</v>
      </c>
      <c r="E148" s="1156" t="n">
        <f aca="false">TableDE6c!E67</f>
        <v>0.719637657111073</v>
      </c>
      <c r="F148" s="1155" t="n">
        <f aca="false">G148+H148-I148</f>
        <v>0.0808587414287116</v>
      </c>
      <c r="G148" s="1050" t="n">
        <f aca="false">TableDE5c!G148</f>
        <v>0.581300451993774</v>
      </c>
      <c r="H148" s="1050" t="n">
        <f aca="false">0.5*(DataDE2!W70+DataDE2!W71)/TableDE1!$B148</f>
        <v>0.274982354948327</v>
      </c>
      <c r="I148" s="1157" t="n">
        <f aca="false">TableDE5c!J148</f>
        <v>0.775424065513389</v>
      </c>
      <c r="J148" s="1155" t="n">
        <f aca="false">F148+B148</f>
        <v>3.97740031130078</v>
      </c>
      <c r="K148" s="1050" t="n">
        <f aca="false">G148+C148</f>
        <v>3.14633006296128</v>
      </c>
      <c r="L148" s="1050" t="n">
        <f aca="false">H148+D148</f>
        <v>2.32613197096396</v>
      </c>
      <c r="M148" s="1156" t="n">
        <f aca="false">I148+E148</f>
        <v>1.49506172262446</v>
      </c>
      <c r="N148" s="1050" t="n">
        <f aca="false">9*AVERAGE(DataDE2b!BL76:BL77)/DataDE1!B69</f>
        <v>0.033254495398264</v>
      </c>
      <c r="O148" s="1050"/>
      <c r="P148" s="1050"/>
      <c r="Q148" s="1155" t="n">
        <f aca="false">B148/J148</f>
        <v>0.979670454291721</v>
      </c>
      <c r="R148" s="1149" t="n">
        <f aca="false">F148/J148</f>
        <v>0.0203295457082788</v>
      </c>
      <c r="S148" s="158"/>
      <c r="U148" s="158"/>
      <c r="Y148" s="1136" t="n">
        <f aca="false">TableDE5c!J148-I148</f>
        <v>0</v>
      </c>
    </row>
    <row r="149" customFormat="false" ht="12" hidden="false" customHeight="true" outlineLevel="0" collapsed="false">
      <c r="A149" s="1112" t="n">
        <v>2009</v>
      </c>
      <c r="B149" s="1161" t="n">
        <f aca="false">TableDE5a!F149</f>
        <v>4.15195285079167</v>
      </c>
      <c r="C149" s="891" t="n">
        <f aca="false">TableDE6c!F68+TableDE6c!D68</f>
        <v>2.75821893768037</v>
      </c>
      <c r="D149" s="891" t="n">
        <f aca="false">TableDE6c!H68</f>
        <v>2.14006805241401</v>
      </c>
      <c r="E149" s="845" t="n">
        <f aca="false">TableDE6c!E68</f>
        <v>0.746334139302706</v>
      </c>
      <c r="F149" s="1161" t="n">
        <f aca="false">G149+H149-I149</f>
        <v>0.0667289018017314</v>
      </c>
      <c r="G149" s="891" t="n">
        <f aca="false">TableDE5c!G149</f>
        <v>0.621458447079011</v>
      </c>
      <c r="H149" s="891" t="n">
        <f aca="false">0.5*(DataDE2!W71+DataDE2!W72)/TableDE1!$B149</f>
        <v>0.313011855549489</v>
      </c>
      <c r="I149" s="845" t="n">
        <f aca="false">TableDE5c!J149</f>
        <v>0.867741400826769</v>
      </c>
      <c r="J149" s="1161" t="n">
        <f aca="false">F149+B149</f>
        <v>4.2186817525934</v>
      </c>
      <c r="K149" s="891" t="n">
        <f aca="false">G149+C149</f>
        <v>3.37967738475938</v>
      </c>
      <c r="L149" s="891" t="n">
        <f aca="false">H149+D149</f>
        <v>2.4530799079635</v>
      </c>
      <c r="M149" s="845" t="n">
        <f aca="false">I149+E149</f>
        <v>1.61407554012948</v>
      </c>
      <c r="N149" s="891" t="n">
        <f aca="false">9*AVERAGE(DataDE2b!BL77:BL78)/DataDE1!B70</f>
        <v>0.0361516262382029</v>
      </c>
      <c r="O149" s="891"/>
      <c r="P149" s="891"/>
      <c r="Q149" s="1161" t="n">
        <f aca="false">B149/J149</f>
        <v>0.984182522950277</v>
      </c>
      <c r="R149" s="1162" t="n">
        <f aca="false">F149/J149</f>
        <v>0.015817477049723</v>
      </c>
      <c r="S149" s="158"/>
      <c r="U149" s="158"/>
      <c r="Y149" s="1136" t="n">
        <f aca="false">TableDE5c!J149-I149</f>
        <v>0</v>
      </c>
    </row>
    <row r="150" customFormat="false" ht="12" hidden="false" customHeight="true" outlineLevel="0" collapsed="false">
      <c r="A150" s="1150" t="n">
        <v>2010</v>
      </c>
      <c r="B150" s="1165" t="n">
        <f aca="false">TableDE5a!F150</f>
        <v>4.11719616413334</v>
      </c>
      <c r="C150" s="1166" t="n">
        <f aca="false">TableDE6c!F69+TableDE6c!D69</f>
        <v>2.70495699095086</v>
      </c>
      <c r="D150" s="1166" t="n">
        <f aca="false">TableDE6c!H69</f>
        <v>2.12617540982079</v>
      </c>
      <c r="E150" s="1167" t="n">
        <f aca="false">TableDE6c!E69</f>
        <v>0.713936236638305</v>
      </c>
      <c r="F150" s="1165" t="n">
        <f aca="false">G150+H150-I150</f>
        <v>0.0386755263133369</v>
      </c>
      <c r="G150" s="1166" t="n">
        <f aca="false">TableDE5c!G150</f>
        <v>0.602336374565483</v>
      </c>
      <c r="H150" s="1166" t="n">
        <f aca="false">0.5*(DataDE2!W72+DataDE2!W73)/TableDE1!$B150</f>
        <v>0.364388693699151</v>
      </c>
      <c r="I150" s="868" t="n">
        <f aca="false">TableDE5c!J150</f>
        <v>0.928049541951297</v>
      </c>
      <c r="J150" s="1165" t="n">
        <f aca="false">F150+B150</f>
        <v>4.15587169044668</v>
      </c>
      <c r="K150" s="1166" t="n">
        <f aca="false">G150+C150</f>
        <v>3.30729336551634</v>
      </c>
      <c r="L150" s="1166" t="n">
        <f aca="false">H150+D150</f>
        <v>2.49056410351994</v>
      </c>
      <c r="M150" s="1167" t="n">
        <f aca="false">I150+E150</f>
        <v>1.6419857785896</v>
      </c>
      <c r="N150" s="1166" t="n">
        <f aca="false">N149</f>
        <v>0.0361516262382029</v>
      </c>
      <c r="O150" s="1166"/>
      <c r="P150" s="1166"/>
      <c r="Q150" s="1165" t="n">
        <f aca="false">B150/J150</f>
        <v>0.990693763139454</v>
      </c>
      <c r="R150" s="1168" t="n">
        <f aca="false">F150/J150</f>
        <v>0.00930623686054658</v>
      </c>
      <c r="S150" s="158"/>
      <c r="U150" s="158"/>
      <c r="Y150" s="1136" t="n">
        <f aca="false">TableDE5c!J150-I150</f>
        <v>0</v>
      </c>
    </row>
    <row r="151" customFormat="false" ht="13" hidden="false" customHeight="true" outlineLevel="0" collapsed="false">
      <c r="A151" s="1169" t="n">
        <v>2011</v>
      </c>
      <c r="B151" s="1170" t="n">
        <f aca="false">TableDE5a!F151</f>
        <v>4.11609907120743</v>
      </c>
      <c r="C151" s="1171" t="n">
        <f aca="false">TableDE6c!F70+TableDE6c!D70</f>
        <v>2.70792390182618</v>
      </c>
      <c r="D151" s="1171" t="n">
        <f aca="false">TableDE6c!H70</f>
        <v>2.10010319917441</v>
      </c>
      <c r="E151" s="1172" t="n">
        <f aca="false">TableDE6c!E70</f>
        <v>0.691928029793153</v>
      </c>
      <c r="F151" s="1170" t="n">
        <f aca="false">G151+H151-I151</f>
        <v>0.0141562345762106</v>
      </c>
      <c r="G151" s="1171" t="n">
        <f aca="false">TableDE5c!G151</f>
        <v>0.593529860456769</v>
      </c>
      <c r="H151" s="1171" t="n">
        <f aca="false">0.5*(DataDE2!W73+DataDE2!W74)/TableDE1!$B151</f>
        <v>0.404226679230044</v>
      </c>
      <c r="I151" s="888" t="n">
        <f aca="false">TableDE5c!J151</f>
        <v>0.983600305110602</v>
      </c>
      <c r="J151" s="1170" t="n">
        <f aca="false">F151+B151</f>
        <v>4.13025530578364</v>
      </c>
      <c r="K151" s="1171" t="n">
        <f aca="false">G151+C151</f>
        <v>3.30145376228294</v>
      </c>
      <c r="L151" s="1171" t="n">
        <f aca="false">H151+D151</f>
        <v>2.50432987840445</v>
      </c>
      <c r="M151" s="1172" t="n">
        <f aca="false">I151+E151</f>
        <v>1.67552833490376</v>
      </c>
      <c r="N151" s="1171"/>
      <c r="O151" s="1171"/>
      <c r="P151" s="1171"/>
      <c r="Q151" s="1170" t="n">
        <f aca="false">B151/J151</f>
        <v>0.996572552172165</v>
      </c>
      <c r="R151" s="1173" t="n">
        <f aca="false">F151/J151</f>
        <v>0.00342744782783464</v>
      </c>
      <c r="S151" s="158"/>
      <c r="Y151" s="158"/>
    </row>
    <row r="152" customFormat="false" ht="12" hidden="false" customHeight="true" outlineLevel="0" collapsed="false">
      <c r="A152" s="288"/>
      <c r="B152" s="288"/>
      <c r="C152" s="288"/>
      <c r="D152" s="288"/>
      <c r="E152" s="288"/>
      <c r="F152" s="288"/>
      <c r="G152" s="288"/>
      <c r="H152" s="288"/>
      <c r="I152" s="288"/>
      <c r="J152" s="288"/>
      <c r="K152" s="288"/>
      <c r="L152" s="288"/>
      <c r="M152" s="288"/>
      <c r="N152" s="288"/>
      <c r="O152" s="288"/>
      <c r="P152" s="288"/>
      <c r="Q152" s="288"/>
      <c r="R152" s="288"/>
      <c r="S152" s="288"/>
      <c r="T152" s="288"/>
      <c r="U152" s="288"/>
    </row>
    <row r="153" customFormat="false" ht="12" hidden="false" customHeight="true" outlineLevel="0" collapsed="false">
      <c r="A153" s="288"/>
      <c r="B153" s="288"/>
      <c r="C153" s="288"/>
      <c r="D153" s="288"/>
      <c r="E153" s="288"/>
      <c r="F153" s="288"/>
      <c r="G153" s="288"/>
      <c r="H153" s="288"/>
      <c r="I153" s="288"/>
      <c r="J153" s="288"/>
      <c r="K153" s="288"/>
      <c r="L153" s="288"/>
      <c r="M153" s="288"/>
      <c r="N153" s="288"/>
      <c r="O153" s="288"/>
      <c r="P153" s="288"/>
      <c r="Q153" s="288"/>
      <c r="R153" s="288"/>
      <c r="S153" s="288"/>
      <c r="T153" s="288"/>
      <c r="U153" s="288"/>
    </row>
    <row r="154" customFormat="false" ht="12" hidden="false" customHeight="true" outlineLevel="0" collapsed="false">
      <c r="A154" s="288"/>
      <c r="B154" s="288"/>
      <c r="C154" s="288"/>
      <c r="D154" s="288"/>
      <c r="E154" s="288"/>
      <c r="F154" s="288"/>
      <c r="G154" s="288"/>
      <c r="H154" s="288"/>
      <c r="I154" s="288"/>
      <c r="J154" s="288"/>
      <c r="K154" s="288"/>
      <c r="L154" s="288"/>
      <c r="M154" s="288"/>
      <c r="N154" s="288"/>
      <c r="O154" s="288"/>
      <c r="P154" s="288"/>
      <c r="Q154" s="288"/>
      <c r="R154" s="288"/>
      <c r="S154" s="288"/>
      <c r="T154" s="288"/>
      <c r="U154" s="288"/>
    </row>
    <row r="155" customFormat="false" ht="12" hidden="false" customHeight="true" outlineLevel="0" collapsed="false">
      <c r="C155" s="1143"/>
    </row>
    <row r="157" customFormat="false" ht="12" hidden="false" customHeight="true" outlineLevel="0" collapsed="false">
      <c r="Y157" s="1174"/>
    </row>
  </sheetData>
  <mergeCells count="11">
    <mergeCell ref="A3:R3"/>
    <mergeCell ref="A6:A9"/>
    <mergeCell ref="B6:E6"/>
    <mergeCell ref="F6:I6"/>
    <mergeCell ref="J6:R6"/>
    <mergeCell ref="B7:E7"/>
    <mergeCell ref="F7:I7"/>
    <mergeCell ref="J7:P7"/>
    <mergeCell ref="Q7:Q9"/>
    <mergeCell ref="R7:R9"/>
    <mergeCell ref="X8:Y8"/>
  </mergeCells>
  <hyperlinks>
    <hyperlink ref="B1" location="Index!A1" display="Back to index"/>
  </hyperlinks>
  <printOptions headings="false" gridLines="false" gridLinesSet="true" horizontalCentered="true" verticalCentered="true"/>
  <pageMargins left="0.790277777777778" right="0" top="0.979861111111111" bottom="0.979861111111111" header="0.511811023622047" footer="0.511811023622047"/>
  <pageSetup paperSize="9" scale="100" fitToWidth="1" fitToHeight="3"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C0C0"/>
    <pageSetUpPr fitToPage="true"/>
  </sheetPr>
  <dimension ref="A1:AL3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A3" activeCellId="0" sqref="A3"/>
    </sheetView>
  </sheetViews>
  <sheetFormatPr defaultColWidth="11.9921875" defaultRowHeight="12" zeroHeight="false" outlineLevelRow="0" outlineLevelCol="0"/>
  <cols>
    <col collapsed="false" customWidth="true" hidden="false" outlineLevel="0" max="1" min="1" style="1175" width="9.66"/>
    <col collapsed="false" customWidth="true" hidden="false" outlineLevel="0" max="15" min="2" style="1175" width="10.5"/>
    <col collapsed="false" customWidth="true" hidden="false" outlineLevel="0" max="18" min="16" style="1175" width="10.82"/>
    <col collapsed="false" customWidth="true" hidden="false" outlineLevel="0" max="25" min="19" style="1175" width="12.99"/>
    <col collapsed="false" customWidth="true" hidden="false" outlineLevel="0" max="29" min="26" style="1176" width="12.99"/>
    <col collapsed="false" customWidth="true" hidden="false" outlineLevel="0" max="41" min="30" style="1176" width="10.82"/>
    <col collapsed="false" customWidth="true" hidden="false" outlineLevel="0" max="93" min="42" style="1175" width="10.82"/>
    <col collapsed="false" customWidth="false" hidden="false" outlineLevel="0" max="257" min="94" style="1175" width="11.99"/>
  </cols>
  <sheetData>
    <row r="1" customFormat="false" ht="12" hidden="false" customHeight="true" outlineLevel="0" collapsed="false">
      <c r="B1" s="21" t="s">
        <v>9</v>
      </c>
    </row>
    <row r="2" customFormat="false" ht="13" hidden="false" customHeight="true" outlineLevel="0" collapsed="false"/>
    <row r="3" customFormat="false" ht="19" hidden="false" customHeight="true" outlineLevel="0" collapsed="false">
      <c r="A3" s="1105" t="s">
        <v>352</v>
      </c>
      <c r="B3" s="1105"/>
      <c r="C3" s="1105"/>
      <c r="D3" s="1105"/>
      <c r="E3" s="1105"/>
      <c r="F3" s="1105"/>
      <c r="G3" s="1105"/>
      <c r="H3" s="1105"/>
      <c r="I3" s="1105"/>
      <c r="J3" s="1105"/>
      <c r="K3" s="1105"/>
      <c r="L3" s="1105"/>
      <c r="M3" s="1105"/>
      <c r="N3" s="1105"/>
      <c r="O3" s="1105"/>
      <c r="P3" s="1177"/>
      <c r="Q3" s="1178"/>
    </row>
    <row r="4" customFormat="false" ht="12" hidden="false" customHeight="true" outlineLevel="0" collapsed="false">
      <c r="A4" s="1179"/>
      <c r="B4" s="1180"/>
      <c r="C4" s="1180"/>
      <c r="D4" s="1180"/>
      <c r="E4" s="1180"/>
      <c r="F4" s="1180"/>
      <c r="G4" s="1180"/>
      <c r="H4" s="1180"/>
      <c r="I4" s="1180"/>
      <c r="J4" s="1180"/>
      <c r="K4" s="1180"/>
      <c r="L4" s="1180"/>
      <c r="M4" s="1180"/>
      <c r="N4" s="1180"/>
      <c r="O4" s="1181"/>
      <c r="P4" s="1180"/>
    </row>
    <row r="5" customFormat="false" ht="12" hidden="false" customHeight="true" outlineLevel="0" collapsed="false">
      <c r="A5" s="1179"/>
      <c r="B5" s="1182" t="s">
        <v>11</v>
      </c>
      <c r="C5" s="1182" t="s">
        <v>12</v>
      </c>
      <c r="D5" s="1182" t="s">
        <v>13</v>
      </c>
      <c r="E5" s="1182" t="s">
        <v>14</v>
      </c>
      <c r="F5" s="1182" t="s">
        <v>15</v>
      </c>
      <c r="G5" s="1182" t="s">
        <v>16</v>
      </c>
      <c r="H5" s="1182" t="s">
        <v>17</v>
      </c>
      <c r="I5" s="1182" t="s">
        <v>18</v>
      </c>
      <c r="J5" s="1182" t="s">
        <v>19</v>
      </c>
      <c r="K5" s="1182" t="s">
        <v>20</v>
      </c>
      <c r="L5" s="1182" t="s">
        <v>21</v>
      </c>
      <c r="M5" s="1183" t="s">
        <v>22</v>
      </c>
      <c r="N5" s="1183" t="s">
        <v>23</v>
      </c>
      <c r="O5" s="1184" t="s">
        <v>24</v>
      </c>
      <c r="P5" s="1109"/>
      <c r="Q5" s="1185"/>
    </row>
    <row r="6" customFormat="false" ht="39" hidden="false" customHeight="true" outlineLevel="0" collapsed="false">
      <c r="A6" s="1186"/>
      <c r="B6" s="1187" t="s">
        <v>353</v>
      </c>
      <c r="C6" s="1187"/>
      <c r="D6" s="1187"/>
      <c r="E6" s="1187"/>
      <c r="F6" s="1187"/>
      <c r="G6" s="1187"/>
      <c r="H6" s="1187"/>
      <c r="I6" s="1187"/>
      <c r="J6" s="1188"/>
      <c r="K6" s="1189" t="s">
        <v>354</v>
      </c>
      <c r="L6" s="1189"/>
      <c r="M6" s="1189"/>
      <c r="N6" s="1189"/>
      <c r="O6" s="1189"/>
      <c r="P6" s="1190"/>
      <c r="Q6" s="1190"/>
    </row>
    <row r="7" customFormat="false" ht="15" hidden="false" customHeight="true" outlineLevel="0" collapsed="false">
      <c r="A7" s="1186"/>
      <c r="B7" s="1116" t="s">
        <v>355</v>
      </c>
      <c r="C7" s="1116"/>
      <c r="D7" s="1116"/>
      <c r="E7" s="1116"/>
      <c r="F7" s="1116"/>
      <c r="G7" s="1116"/>
      <c r="H7" s="1191" t="s">
        <v>356</v>
      </c>
      <c r="I7" s="1192" t="s">
        <v>357</v>
      </c>
      <c r="J7" s="1193" t="s">
        <v>279</v>
      </c>
      <c r="K7" s="1194" t="s">
        <v>355</v>
      </c>
      <c r="L7" s="1194"/>
      <c r="M7" s="1194"/>
      <c r="N7" s="1194"/>
      <c r="O7" s="1195" t="s">
        <v>358</v>
      </c>
      <c r="P7" s="1196"/>
      <c r="Q7" s="1196"/>
    </row>
    <row r="8" customFormat="false" ht="79" hidden="false" customHeight="true" outlineLevel="0" collapsed="false">
      <c r="A8" s="1186"/>
      <c r="B8" s="1120" t="s">
        <v>359</v>
      </c>
      <c r="C8" s="1122" t="s">
        <v>332</v>
      </c>
      <c r="D8" s="1122" t="s">
        <v>333</v>
      </c>
      <c r="E8" s="1123" t="s">
        <v>360</v>
      </c>
      <c r="F8" s="1197" t="s">
        <v>361</v>
      </c>
      <c r="G8" s="1198" t="s">
        <v>362</v>
      </c>
      <c r="H8" s="1191"/>
      <c r="I8" s="1192"/>
      <c r="J8" s="1193"/>
      <c r="K8" s="1120" t="s">
        <v>363</v>
      </c>
      <c r="L8" s="1122" t="s">
        <v>364</v>
      </c>
      <c r="M8" s="1122" t="s">
        <v>365</v>
      </c>
      <c r="N8" s="1132" t="s">
        <v>366</v>
      </c>
      <c r="O8" s="1195"/>
      <c r="P8" s="1196"/>
      <c r="Q8" s="1199"/>
      <c r="S8" s="1190"/>
      <c r="T8" s="1190"/>
    </row>
    <row r="9" customFormat="false" ht="19" hidden="false" customHeight="true" outlineLevel="0" collapsed="false">
      <c r="A9" s="1186"/>
      <c r="B9" s="1128" t="s">
        <v>367</v>
      </c>
      <c r="C9" s="1129" t="s">
        <v>368</v>
      </c>
      <c r="D9" s="1129" t="s">
        <v>369</v>
      </c>
      <c r="E9" s="1130" t="s">
        <v>370</v>
      </c>
      <c r="F9" s="1197"/>
      <c r="G9" s="1198"/>
      <c r="H9" s="1191"/>
      <c r="I9" s="1192"/>
      <c r="J9" s="1193"/>
      <c r="K9" s="1128" t="s">
        <v>371</v>
      </c>
      <c r="L9" s="1129" t="s">
        <v>372</v>
      </c>
      <c r="M9" s="1129" t="s">
        <v>373</v>
      </c>
      <c r="N9" s="1129"/>
      <c r="O9" s="1195"/>
      <c r="P9" s="1196"/>
      <c r="Q9" s="1199"/>
    </row>
    <row r="10" customFormat="false" ht="12" hidden="false" customHeight="true" outlineLevel="0" collapsed="false">
      <c r="A10" s="1186" t="n">
        <v>1870</v>
      </c>
      <c r="B10" s="1124"/>
      <c r="C10" s="1199"/>
      <c r="D10" s="1199"/>
      <c r="E10" s="1133"/>
      <c r="F10" s="1124"/>
      <c r="G10" s="1133"/>
      <c r="H10" s="1196"/>
      <c r="I10" s="1200"/>
      <c r="J10" s="1201"/>
      <c r="K10" s="1131" t="n">
        <f aca="false">L10-M10</f>
        <v>0</v>
      </c>
      <c r="L10" s="1144" t="n">
        <f aca="false">DataDE1c!CB33/TableDE1!B10</f>
        <v>0</v>
      </c>
      <c r="M10" s="1144" t="n">
        <f aca="false">DataDE1c!CC33/TableDE1!B10</f>
        <v>0</v>
      </c>
      <c r="N10" s="1202" t="n">
        <v>0</v>
      </c>
      <c r="O10" s="1203" t="n">
        <f aca="false">K10/TableDE6a!J10</f>
        <v>0</v>
      </c>
      <c r="P10" s="1196"/>
      <c r="Q10" s="1199"/>
    </row>
    <row r="11" customFormat="false" ht="12" hidden="false" customHeight="true" outlineLevel="0" collapsed="false">
      <c r="A11" s="1186" t="n">
        <v>1871</v>
      </c>
      <c r="B11" s="1124"/>
      <c r="C11" s="1199"/>
      <c r="D11" s="1199"/>
      <c r="E11" s="1133"/>
      <c r="F11" s="1124"/>
      <c r="G11" s="1133"/>
      <c r="H11" s="1196"/>
      <c r="I11" s="1200"/>
      <c r="J11" s="1201"/>
      <c r="K11" s="1131" t="n">
        <f aca="false">L11-M11</f>
        <v>0</v>
      </c>
      <c r="L11" s="1144" t="n">
        <f aca="false">DataDE1c!CB34/TableDE1!B11</f>
        <v>0</v>
      </c>
      <c r="M11" s="1144" t="n">
        <f aca="false">DataDE1c!CC34/TableDE1!B11</f>
        <v>0</v>
      </c>
      <c r="N11" s="1202" t="n">
        <v>0</v>
      </c>
      <c r="O11" s="1203" t="n">
        <f aca="false">K11/TableDE6a!J11</f>
        <v>0</v>
      </c>
      <c r="P11" s="1196"/>
      <c r="Q11" s="1199"/>
    </row>
    <row r="12" customFormat="false" ht="12" hidden="false" customHeight="true" outlineLevel="0" collapsed="false">
      <c r="A12" s="1186" t="n">
        <v>1872</v>
      </c>
      <c r="B12" s="1124"/>
      <c r="C12" s="1199"/>
      <c r="D12" s="1199"/>
      <c r="E12" s="1133"/>
      <c r="F12" s="1124"/>
      <c r="G12" s="1133"/>
      <c r="H12" s="1196"/>
      <c r="I12" s="1200"/>
      <c r="J12" s="1201"/>
      <c r="K12" s="1131" t="n">
        <f aca="false">L12-M12</f>
        <v>0</v>
      </c>
      <c r="L12" s="1144" t="n">
        <f aca="false">DataDE1c!CB35/TableDE1!B12</f>
        <v>0</v>
      </c>
      <c r="M12" s="1144" t="n">
        <f aca="false">DataDE1c!CC35/TableDE1!B12</f>
        <v>0</v>
      </c>
      <c r="N12" s="1202" t="n">
        <v>0</v>
      </c>
      <c r="O12" s="1203" t="n">
        <f aca="false">K12/TableDE6a!J12</f>
        <v>0</v>
      </c>
      <c r="P12" s="1196"/>
      <c r="Q12" s="1199"/>
    </row>
    <row r="13" customFormat="false" ht="12" hidden="false" customHeight="true" outlineLevel="0" collapsed="false">
      <c r="A13" s="1186" t="n">
        <v>1873</v>
      </c>
      <c r="B13" s="1124"/>
      <c r="C13" s="1199"/>
      <c r="D13" s="1199"/>
      <c r="E13" s="1133"/>
      <c r="F13" s="1124"/>
      <c r="G13" s="1133"/>
      <c r="H13" s="1196"/>
      <c r="I13" s="1200"/>
      <c r="J13" s="1201"/>
      <c r="K13" s="1131" t="n">
        <f aca="false">L13-M13</f>
        <v>0.0148331223094454</v>
      </c>
      <c r="L13" s="1144" t="n">
        <f aca="false">DataDE1c!CB36/TableDE1!B13</f>
        <v>0.0148331223094454</v>
      </c>
      <c r="M13" s="1144" t="n">
        <f aca="false">DataDE1c!CC36/TableDE1!B13</f>
        <v>0</v>
      </c>
      <c r="N13" s="1202" t="n">
        <v>0</v>
      </c>
      <c r="O13" s="1203" t="n">
        <f aca="false">K13/TableDE6a!J13</f>
        <v>0.00213892170886349</v>
      </c>
      <c r="P13" s="1196"/>
      <c r="Q13" s="1199"/>
    </row>
    <row r="14" customFormat="false" ht="12" hidden="false" customHeight="true" outlineLevel="0" collapsed="false">
      <c r="A14" s="1186" t="n">
        <v>1874</v>
      </c>
      <c r="B14" s="1124"/>
      <c r="C14" s="1199"/>
      <c r="D14" s="1199"/>
      <c r="E14" s="1133"/>
      <c r="F14" s="1124"/>
      <c r="G14" s="1133"/>
      <c r="H14" s="1196"/>
      <c r="I14" s="1200"/>
      <c r="J14" s="1201"/>
      <c r="K14" s="1131" t="n">
        <f aca="false">L14-M14</f>
        <v>0.0306525136754363</v>
      </c>
      <c r="L14" s="1144" t="n">
        <f aca="false">DataDE1c!CB37/TableDE1!B14</f>
        <v>0.0306525136754363</v>
      </c>
      <c r="M14" s="1144" t="n">
        <f aca="false">DataDE1c!CC37/TableDE1!B14</f>
        <v>0</v>
      </c>
      <c r="N14" s="1202" t="n">
        <v>0</v>
      </c>
      <c r="O14" s="1203" t="n">
        <f aca="false">K14/TableDE6a!J14</f>
        <v>0.00463112692441814</v>
      </c>
      <c r="P14" s="1196"/>
      <c r="Q14" s="1199"/>
    </row>
    <row r="15" customFormat="false" ht="12" hidden="false" customHeight="true" outlineLevel="0" collapsed="false">
      <c r="A15" s="1186" t="n">
        <v>1875</v>
      </c>
      <c r="B15" s="1124"/>
      <c r="C15" s="1199"/>
      <c r="D15" s="1199"/>
      <c r="E15" s="1133"/>
      <c r="F15" s="1124"/>
      <c r="G15" s="1133"/>
      <c r="H15" s="1196"/>
      <c r="I15" s="1200"/>
      <c r="J15" s="1201"/>
      <c r="K15" s="1131" t="n">
        <f aca="false">L15-M15</f>
        <v>0.054733831019326</v>
      </c>
      <c r="L15" s="1144" t="n">
        <f aca="false">DataDE1c!CB38/TableDE1!B15</f>
        <v>0.054733831019326</v>
      </c>
      <c r="M15" s="1144" t="n">
        <f aca="false">DataDE1c!CC38/TableDE1!B15</f>
        <v>0</v>
      </c>
      <c r="N15" s="1202" t="n">
        <v>0</v>
      </c>
      <c r="O15" s="1203" t="n">
        <f aca="false">K15/TableDE6a!J15</f>
        <v>0.00780090427417533</v>
      </c>
      <c r="P15" s="1196"/>
      <c r="Q15" s="1199"/>
    </row>
    <row r="16" customFormat="false" ht="12" hidden="false" customHeight="true" outlineLevel="0" collapsed="false">
      <c r="A16" s="1186" t="n">
        <v>1876</v>
      </c>
      <c r="B16" s="1124"/>
      <c r="C16" s="1199"/>
      <c r="D16" s="1199"/>
      <c r="E16" s="1133"/>
      <c r="F16" s="1124"/>
      <c r="G16" s="1133"/>
      <c r="H16" s="1196"/>
      <c r="I16" s="1200"/>
      <c r="J16" s="1201"/>
      <c r="K16" s="1131" t="n">
        <f aca="false">L16-M16</f>
        <v>0.0929036907710423</v>
      </c>
      <c r="L16" s="1144" t="n">
        <f aca="false">DataDE1c!CB39/TableDE1!B16</f>
        <v>0.0929036907710423</v>
      </c>
      <c r="M16" s="1144" t="n">
        <f aca="false">DataDE1c!CC39/TableDE1!B16</f>
        <v>0</v>
      </c>
      <c r="N16" s="1202" t="n">
        <v>0</v>
      </c>
      <c r="O16" s="1203" t="n">
        <f aca="false">K16/TableDE6a!J16</f>
        <v>0.0133099853189517</v>
      </c>
      <c r="P16" s="1196"/>
      <c r="Q16" s="1199"/>
    </row>
    <row r="17" customFormat="false" ht="12" hidden="false" customHeight="true" outlineLevel="0" collapsed="false">
      <c r="A17" s="1186" t="n">
        <v>1877</v>
      </c>
      <c r="B17" s="1124"/>
      <c r="C17" s="1199"/>
      <c r="D17" s="1199"/>
      <c r="E17" s="1133"/>
      <c r="F17" s="1124"/>
      <c r="G17" s="1133"/>
      <c r="H17" s="1196"/>
      <c r="I17" s="1200"/>
      <c r="J17" s="1201"/>
      <c r="K17" s="1131" t="n">
        <f aca="false">L17-M17</f>
        <v>0.110850204119987</v>
      </c>
      <c r="L17" s="1144" t="n">
        <f aca="false">DataDE1c!CB40/TableDE1!B17</f>
        <v>0.110850204119987</v>
      </c>
      <c r="M17" s="1144" t="n">
        <f aca="false">DataDE1c!CC40/TableDE1!B17</f>
        <v>0</v>
      </c>
      <c r="N17" s="1202" t="n">
        <v>0</v>
      </c>
      <c r="O17" s="1203" t="n">
        <f aca="false">K17/TableDE6a!J17</f>
        <v>0.0158711585243869</v>
      </c>
      <c r="P17" s="1196"/>
      <c r="Q17" s="1199"/>
    </row>
    <row r="18" customFormat="false" ht="12" hidden="false" customHeight="true" outlineLevel="0" collapsed="false">
      <c r="A18" s="1186" t="n">
        <v>1878</v>
      </c>
      <c r="B18" s="1124"/>
      <c r="C18" s="1199"/>
      <c r="D18" s="1199"/>
      <c r="E18" s="1133"/>
      <c r="F18" s="1124"/>
      <c r="G18" s="1133"/>
      <c r="H18" s="1196"/>
      <c r="I18" s="1200"/>
      <c r="J18" s="1201"/>
      <c r="K18" s="1131" t="n">
        <f aca="false">L18-M18</f>
        <v>0.141513829127122</v>
      </c>
      <c r="L18" s="1144" t="n">
        <f aca="false">DataDE1c!CB41/TableDE1!B18</f>
        <v>0.141513829127122</v>
      </c>
      <c r="M18" s="1144" t="n">
        <f aca="false">DataDE1c!CC41/TableDE1!B18</f>
        <v>0</v>
      </c>
      <c r="N18" s="1202" t="n">
        <v>0</v>
      </c>
      <c r="O18" s="1203" t="n">
        <f aca="false">K18/TableDE6a!J18</f>
        <v>0.0211999858217723</v>
      </c>
      <c r="P18" s="1196"/>
      <c r="Q18" s="1199"/>
    </row>
    <row r="19" customFormat="false" ht="12" hidden="false" customHeight="true" outlineLevel="0" collapsed="false">
      <c r="A19" s="1204" t="n">
        <v>1879</v>
      </c>
      <c r="B19" s="1205"/>
      <c r="C19" s="1206"/>
      <c r="D19" s="1206"/>
      <c r="E19" s="1140"/>
      <c r="F19" s="1205"/>
      <c r="G19" s="1140"/>
      <c r="H19" s="1207"/>
      <c r="I19" s="1208"/>
      <c r="J19" s="1209"/>
      <c r="K19" s="1138" t="n">
        <f aca="false">L19-M19</f>
        <v>0.195564107316116</v>
      </c>
      <c r="L19" s="1145" t="n">
        <f aca="false">DataDE1c!CB42/TableDE1!B19</f>
        <v>0.195564107316116</v>
      </c>
      <c r="M19" s="1145" t="n">
        <f aca="false">DataDE1c!CC42/TableDE1!B19</f>
        <v>0</v>
      </c>
      <c r="N19" s="1210" t="n">
        <v>0</v>
      </c>
      <c r="O19" s="1211" t="n">
        <f aca="false">K19/TableDE6a!J19</f>
        <v>0.0278544549026773</v>
      </c>
      <c r="P19" s="1196"/>
      <c r="Q19" s="1199"/>
    </row>
    <row r="20" customFormat="false" ht="12" hidden="false" customHeight="true" outlineLevel="0" collapsed="false">
      <c r="A20" s="1186" t="n">
        <v>1880</v>
      </c>
      <c r="B20" s="1124"/>
      <c r="C20" s="1199"/>
      <c r="D20" s="1199"/>
      <c r="E20" s="1133"/>
      <c r="F20" s="1124"/>
      <c r="G20" s="1133"/>
      <c r="H20" s="1196"/>
      <c r="I20" s="1200"/>
      <c r="J20" s="1201"/>
      <c r="K20" s="1131" t="n">
        <f aca="false">L20-M20</f>
        <v>0.243995829167876</v>
      </c>
      <c r="L20" s="1144" t="n">
        <f aca="false">DataDE1c!CB43/TableDE1!B20</f>
        <v>0.243995829167876</v>
      </c>
      <c r="M20" s="1144" t="n">
        <f aca="false">DataDE1c!CC43/TableDE1!B20</f>
        <v>0</v>
      </c>
      <c r="N20" s="1202" t="n">
        <v>0</v>
      </c>
      <c r="O20" s="1203" t="n">
        <f aca="false">K20/TableDE6a!J20</f>
        <v>0.0351601513121701</v>
      </c>
      <c r="P20" s="1196"/>
      <c r="Q20" s="1199"/>
    </row>
    <row r="21" customFormat="false" ht="12" hidden="false" customHeight="true" outlineLevel="0" collapsed="false">
      <c r="A21" s="1186" t="n">
        <v>1881</v>
      </c>
      <c r="B21" s="1124"/>
      <c r="C21" s="1199"/>
      <c r="D21" s="1199"/>
      <c r="E21" s="1133"/>
      <c r="F21" s="1124"/>
      <c r="G21" s="1133"/>
      <c r="H21" s="1196"/>
      <c r="I21" s="1200"/>
      <c r="J21" s="1201"/>
      <c r="K21" s="1131" t="n">
        <f aca="false">L21-M21</f>
        <v>0.298938486663038</v>
      </c>
      <c r="L21" s="1144" t="n">
        <f aca="false">DataDE1c!CB44/TableDE1!B21</f>
        <v>0.298938486663038</v>
      </c>
      <c r="M21" s="1144" t="n">
        <f aca="false">DataDE1c!CC44/TableDE1!B21</f>
        <v>0</v>
      </c>
      <c r="N21" s="1202" t="n">
        <v>0</v>
      </c>
      <c r="O21" s="1203" t="n">
        <f aca="false">K21/TableDE6a!J21</f>
        <v>0.0436019373589867</v>
      </c>
      <c r="P21" s="1196"/>
      <c r="Q21" s="1199"/>
    </row>
    <row r="22" customFormat="false" ht="12" hidden="false" customHeight="true" outlineLevel="0" collapsed="false">
      <c r="A22" s="1186" t="n">
        <v>1882</v>
      </c>
      <c r="B22" s="1124"/>
      <c r="C22" s="1199"/>
      <c r="D22" s="1199"/>
      <c r="E22" s="1133"/>
      <c r="F22" s="1124"/>
      <c r="G22" s="1133"/>
      <c r="H22" s="1196"/>
      <c r="I22" s="1200"/>
      <c r="J22" s="1201"/>
      <c r="K22" s="1131" t="n">
        <f aca="false">L22-M22</f>
        <v>0.368763077689915</v>
      </c>
      <c r="L22" s="1144" t="n">
        <f aca="false">DataDE1c!CB45/TableDE1!B22</f>
        <v>0.368763077689915</v>
      </c>
      <c r="M22" s="1144" t="n">
        <f aca="false">DataDE1c!CC45/TableDE1!B22</f>
        <v>0</v>
      </c>
      <c r="N22" s="1202" t="n">
        <v>0</v>
      </c>
      <c r="O22" s="1203" t="n">
        <f aca="false">K22/TableDE6a!J22</f>
        <v>0.0532198450613831</v>
      </c>
      <c r="P22" s="1196"/>
      <c r="Q22" s="1199"/>
    </row>
    <row r="23" customFormat="false" ht="12" hidden="false" customHeight="true" outlineLevel="0" collapsed="false">
      <c r="A23" s="1186" t="n">
        <v>1883</v>
      </c>
      <c r="B23" s="1124"/>
      <c r="C23" s="1199"/>
      <c r="D23" s="1199"/>
      <c r="E23" s="1133"/>
      <c r="F23" s="1124"/>
      <c r="G23" s="1133"/>
      <c r="H23" s="1196"/>
      <c r="I23" s="1200"/>
      <c r="J23" s="1201"/>
      <c r="K23" s="1131" t="n">
        <f aca="false">L23-M23</f>
        <v>0.405628497036175</v>
      </c>
      <c r="L23" s="1144" t="n">
        <f aca="false">DataDE1c!CB46/TableDE1!B23</f>
        <v>0.405628497036175</v>
      </c>
      <c r="M23" s="1144" t="n">
        <f aca="false">DataDE1c!CC46/TableDE1!B23</f>
        <v>0</v>
      </c>
      <c r="N23" s="1202" t="n">
        <v>0</v>
      </c>
      <c r="O23" s="1203" t="n">
        <f aca="false">K23/TableDE6a!J23</f>
        <v>0.059329763283806</v>
      </c>
      <c r="P23" s="1196"/>
      <c r="Q23" s="1199"/>
    </row>
    <row r="24" customFormat="false" ht="12" hidden="false" customHeight="true" outlineLevel="0" collapsed="false">
      <c r="A24" s="1186" t="n">
        <v>1884</v>
      </c>
      <c r="B24" s="1124"/>
      <c r="C24" s="1199"/>
      <c r="D24" s="1199"/>
      <c r="E24" s="1133"/>
      <c r="F24" s="1124"/>
      <c r="G24" s="1133"/>
      <c r="H24" s="1196"/>
      <c r="I24" s="1200"/>
      <c r="J24" s="1201"/>
      <c r="K24" s="1131" t="n">
        <f aca="false">L24-M24</f>
        <v>0.416393089715301</v>
      </c>
      <c r="L24" s="1144" t="n">
        <f aca="false">DataDE1c!CB47/TableDE1!B24</f>
        <v>0.416393089715301</v>
      </c>
      <c r="M24" s="1144" t="n">
        <f aca="false">DataDE1c!CC47/TableDE1!B24</f>
        <v>0</v>
      </c>
      <c r="N24" s="1202" t="n">
        <v>0</v>
      </c>
      <c r="O24" s="1203" t="n">
        <f aca="false">K24/TableDE6a!J24</f>
        <v>0.0622454809877345</v>
      </c>
      <c r="P24" s="1196"/>
      <c r="Q24" s="1199"/>
    </row>
    <row r="25" customFormat="false" ht="12" hidden="false" customHeight="true" outlineLevel="0" collapsed="false">
      <c r="A25" s="1186" t="n">
        <v>1885</v>
      </c>
      <c r="B25" s="1124"/>
      <c r="C25" s="1199"/>
      <c r="D25" s="1199"/>
      <c r="E25" s="1133"/>
      <c r="F25" s="1124"/>
      <c r="G25" s="1133"/>
      <c r="H25" s="1196"/>
      <c r="I25" s="1200"/>
      <c r="J25" s="1201"/>
      <c r="K25" s="1131" t="n">
        <f aca="false">L25-M25</f>
        <v>0.440749439521725</v>
      </c>
      <c r="L25" s="1144" t="n">
        <f aca="false">DataDE1c!CB48/TableDE1!B25</f>
        <v>0.440749439521725</v>
      </c>
      <c r="M25" s="1144" t="n">
        <f aca="false">DataDE1c!CC48/TableDE1!B25</f>
        <v>0</v>
      </c>
      <c r="N25" s="1202" t="n">
        <v>0</v>
      </c>
      <c r="O25" s="1203" t="n">
        <f aca="false">K25/TableDE6a!J25</f>
        <v>0.0649162778923005</v>
      </c>
      <c r="P25" s="1196"/>
      <c r="Q25" s="1199"/>
    </row>
    <row r="26" customFormat="false" ht="12" hidden="false" customHeight="true" outlineLevel="0" collapsed="false">
      <c r="A26" s="1186" t="n">
        <v>1886</v>
      </c>
      <c r="B26" s="1124"/>
      <c r="C26" s="1199"/>
      <c r="D26" s="1199"/>
      <c r="E26" s="1133"/>
      <c r="F26" s="1124"/>
      <c r="G26" s="1133"/>
      <c r="H26" s="1196"/>
      <c r="I26" s="1200"/>
      <c r="J26" s="1201"/>
      <c r="K26" s="1131" t="n">
        <f aca="false">L26-M26</f>
        <v>0.462369282771733</v>
      </c>
      <c r="L26" s="1144" t="n">
        <f aca="false">DataDE1c!CB49/TableDE1!B26</f>
        <v>0.462369282771733</v>
      </c>
      <c r="M26" s="1144" t="n">
        <f aca="false">DataDE1c!CC49/TableDE1!B26</f>
        <v>0</v>
      </c>
      <c r="N26" s="1202" t="n">
        <v>0</v>
      </c>
      <c r="O26" s="1203" t="n">
        <f aca="false">K26/TableDE6a!J26</f>
        <v>0.0668189916297087</v>
      </c>
      <c r="P26" s="1196"/>
      <c r="Q26" s="1199"/>
    </row>
    <row r="27" customFormat="false" ht="12" hidden="false" customHeight="true" outlineLevel="0" collapsed="false">
      <c r="A27" s="1186" t="n">
        <v>1887</v>
      </c>
      <c r="B27" s="1124"/>
      <c r="C27" s="1199"/>
      <c r="D27" s="1199"/>
      <c r="E27" s="1133"/>
      <c r="F27" s="1124"/>
      <c r="G27" s="1133"/>
      <c r="H27" s="1196"/>
      <c r="I27" s="1200"/>
      <c r="J27" s="1201"/>
      <c r="K27" s="1131" t="n">
        <f aca="false">L27-M27</f>
        <v>0.47780258580404</v>
      </c>
      <c r="L27" s="1144" t="n">
        <f aca="false">DataDE1c!CB50/TableDE1!B27</f>
        <v>0.47780258580404</v>
      </c>
      <c r="M27" s="1144" t="n">
        <f aca="false">DataDE1c!CC50/TableDE1!B27</f>
        <v>0</v>
      </c>
      <c r="N27" s="1202" t="n">
        <v>0</v>
      </c>
      <c r="O27" s="1203" t="n">
        <f aca="false">K27/TableDE6a!J27</f>
        <v>0.0677375510718462</v>
      </c>
      <c r="P27" s="1196"/>
      <c r="Q27" s="1199"/>
    </row>
    <row r="28" customFormat="false" ht="12" hidden="false" customHeight="true" outlineLevel="0" collapsed="false">
      <c r="A28" s="1186" t="n">
        <v>1888</v>
      </c>
      <c r="B28" s="1124"/>
      <c r="C28" s="1199"/>
      <c r="D28" s="1199"/>
      <c r="E28" s="1133"/>
      <c r="F28" s="1124"/>
      <c r="G28" s="1133"/>
      <c r="H28" s="1196"/>
      <c r="I28" s="1200"/>
      <c r="J28" s="1201"/>
      <c r="K28" s="1131" t="n">
        <f aca="false">L28-M28</f>
        <v>0.470555555555556</v>
      </c>
      <c r="L28" s="1144" t="n">
        <f aca="false">DataDE1c!CB51/TableDE1!B28</f>
        <v>0.470555555555556</v>
      </c>
      <c r="M28" s="1144" t="n">
        <f aca="false">DataDE1c!CC51/TableDE1!B28</f>
        <v>0</v>
      </c>
      <c r="N28" s="1202" t="n">
        <v>0</v>
      </c>
      <c r="O28" s="1203" t="n">
        <f aca="false">K28/TableDE6a!J28</f>
        <v>0.068414398595259</v>
      </c>
      <c r="P28" s="1196"/>
      <c r="Q28" s="1199"/>
    </row>
    <row r="29" customFormat="false" ht="12" hidden="false" customHeight="true" outlineLevel="0" collapsed="false">
      <c r="A29" s="1204" t="n">
        <v>1889</v>
      </c>
      <c r="B29" s="1205"/>
      <c r="C29" s="1206"/>
      <c r="D29" s="1206"/>
      <c r="E29" s="1140"/>
      <c r="F29" s="1205"/>
      <c r="G29" s="1140"/>
      <c r="H29" s="1207"/>
      <c r="I29" s="1208"/>
      <c r="J29" s="1209"/>
      <c r="K29" s="1138" t="n">
        <f aca="false">L29-M29</f>
        <v>0.466034257968799</v>
      </c>
      <c r="L29" s="1145" t="n">
        <f aca="false">DataDE1c!CB52/TableDE1!B29</f>
        <v>0.466034257968799</v>
      </c>
      <c r="M29" s="1145" t="n">
        <f aca="false">DataDE1c!CC52/TableDE1!B29</f>
        <v>0</v>
      </c>
      <c r="N29" s="1210" t="n">
        <v>0</v>
      </c>
      <c r="O29" s="1211" t="n">
        <f aca="false">K29/TableDE6a!J29</f>
        <v>0.0693454925429847</v>
      </c>
      <c r="P29" s="1196"/>
      <c r="Q29" s="1199"/>
    </row>
    <row r="30" customFormat="false" ht="12" hidden="false" customHeight="true" outlineLevel="0" collapsed="false">
      <c r="A30" s="1186" t="n">
        <v>1890</v>
      </c>
      <c r="B30" s="1124"/>
      <c r="C30" s="1199"/>
      <c r="D30" s="1199"/>
      <c r="E30" s="1133"/>
      <c r="F30" s="1124"/>
      <c r="G30" s="1133"/>
      <c r="H30" s="1196"/>
      <c r="I30" s="1200"/>
      <c r="J30" s="1201"/>
      <c r="K30" s="1131" t="n">
        <f aca="false">L30-M30</f>
        <v>0.459165538253216</v>
      </c>
      <c r="L30" s="1144" t="n">
        <f aca="false">DataDE1c!CB53/TableDE1!B30</f>
        <v>0.459165538253216</v>
      </c>
      <c r="M30" s="1144" t="n">
        <f aca="false">DataDE1c!CC53/TableDE1!B30</f>
        <v>0</v>
      </c>
      <c r="N30" s="1202" t="n">
        <v>0</v>
      </c>
      <c r="O30" s="1203" t="n">
        <f aca="false">K30/TableDE6a!J30</f>
        <v>0.069932909263162</v>
      </c>
      <c r="P30" s="1196"/>
      <c r="Q30" s="1199"/>
    </row>
    <row r="31" customFormat="false" ht="12" hidden="false" customHeight="true" outlineLevel="0" collapsed="false">
      <c r="A31" s="1186" t="n">
        <v>1891</v>
      </c>
      <c r="B31" s="1124"/>
      <c r="C31" s="1199"/>
      <c r="D31" s="1199"/>
      <c r="E31" s="1133"/>
      <c r="F31" s="1124"/>
      <c r="G31" s="1133"/>
      <c r="H31" s="1196"/>
      <c r="I31" s="1200"/>
      <c r="J31" s="1201"/>
      <c r="K31" s="1131" t="n">
        <f aca="false">L31-M31</f>
        <v>0.495122600097548</v>
      </c>
      <c r="L31" s="1144" t="n">
        <f aca="false">DataDE1c!CB54/TableDE1!B31</f>
        <v>0.495122600097548</v>
      </c>
      <c r="M31" s="1144" t="n">
        <f aca="false">DataDE1c!CC54/TableDE1!B31</f>
        <v>0</v>
      </c>
      <c r="N31" s="1202" t="n">
        <v>0</v>
      </c>
      <c r="O31" s="1203" t="n">
        <f aca="false">K31/TableDE6a!J31</f>
        <v>0.0718557132901378</v>
      </c>
      <c r="P31" s="1196"/>
      <c r="Q31" s="1199"/>
    </row>
    <row r="32" customFormat="false" ht="12" hidden="false" customHeight="true" outlineLevel="0" collapsed="false">
      <c r="A32" s="1186" t="n">
        <v>1892</v>
      </c>
      <c r="B32" s="1124"/>
      <c r="C32" s="1199"/>
      <c r="D32" s="1199"/>
      <c r="E32" s="1133"/>
      <c r="F32" s="1124"/>
      <c r="G32" s="1133"/>
      <c r="H32" s="1196"/>
      <c r="I32" s="1200"/>
      <c r="J32" s="1201"/>
      <c r="K32" s="1131" t="n">
        <f aca="false">L32-M32</f>
        <v>0.473012308715902</v>
      </c>
      <c r="L32" s="1144" t="n">
        <f aca="false">DataDE1c!CB55/TableDE1!B32</f>
        <v>0.473012308715902</v>
      </c>
      <c r="M32" s="1144" t="n">
        <f aca="false">DataDE1c!CC55/TableDE1!B32</f>
        <v>0</v>
      </c>
      <c r="N32" s="1202" t="n">
        <v>0</v>
      </c>
      <c r="O32" s="1203" t="n">
        <f aca="false">K32/TableDE6a!J32</f>
        <v>0.0747575718740655</v>
      </c>
      <c r="P32" s="1196"/>
      <c r="Q32" s="1199"/>
    </row>
    <row r="33" customFormat="false" ht="12" hidden="false" customHeight="true" outlineLevel="0" collapsed="false">
      <c r="A33" s="1186" t="n">
        <v>1893</v>
      </c>
      <c r="B33" s="1124"/>
      <c r="C33" s="1199"/>
      <c r="D33" s="1199"/>
      <c r="E33" s="1133"/>
      <c r="F33" s="1124"/>
      <c r="G33" s="1133"/>
      <c r="H33" s="1196"/>
      <c r="I33" s="1200"/>
      <c r="J33" s="1201"/>
      <c r="K33" s="1131" t="n">
        <f aca="false">L33-M33</f>
        <v>0.477935738351549</v>
      </c>
      <c r="L33" s="1144" t="n">
        <f aca="false">DataDE1c!CB56/TableDE1!B33</f>
        <v>0.477935738351549</v>
      </c>
      <c r="M33" s="1144" t="n">
        <f aca="false">DataDE1c!CC56/TableDE1!B33</f>
        <v>0</v>
      </c>
      <c r="N33" s="1202" t="n">
        <v>0</v>
      </c>
      <c r="O33" s="1203" t="n">
        <f aca="false">K33/TableDE6a!J33</f>
        <v>0.0773937160454366</v>
      </c>
      <c r="P33" s="1196"/>
      <c r="Q33" s="1199"/>
    </row>
    <row r="34" customFormat="false" ht="12" hidden="false" customHeight="true" outlineLevel="0" collapsed="false">
      <c r="A34" s="1186" t="n">
        <v>1894</v>
      </c>
      <c r="B34" s="1124"/>
      <c r="C34" s="1199"/>
      <c r="D34" s="1199"/>
      <c r="E34" s="1133"/>
      <c r="F34" s="1124"/>
      <c r="G34" s="1133"/>
      <c r="H34" s="1196"/>
      <c r="I34" s="1200"/>
      <c r="J34" s="1201"/>
      <c r="K34" s="1131" t="n">
        <f aca="false">L34-M34</f>
        <v>0.497635247261865</v>
      </c>
      <c r="L34" s="1144" t="n">
        <f aca="false">DataDE1c!CB57/TableDE1!B34</f>
        <v>0.497635247261865</v>
      </c>
      <c r="M34" s="1144" t="n">
        <f aca="false">DataDE1c!CC57/TableDE1!B34</f>
        <v>0</v>
      </c>
      <c r="N34" s="1202" t="n">
        <v>0</v>
      </c>
      <c r="O34" s="1203" t="n">
        <f aca="false">K34/TableDE6a!J34</f>
        <v>0.0798069357450042</v>
      </c>
      <c r="P34" s="1196"/>
      <c r="Q34" s="1199"/>
    </row>
    <row r="35" customFormat="false" ht="12" hidden="false" customHeight="true" outlineLevel="0" collapsed="false">
      <c r="A35" s="1186" t="n">
        <v>1895</v>
      </c>
      <c r="B35" s="1124"/>
      <c r="C35" s="1199"/>
      <c r="D35" s="1199"/>
      <c r="E35" s="1133"/>
      <c r="F35" s="1124"/>
      <c r="G35" s="1133"/>
      <c r="H35" s="1196"/>
      <c r="I35" s="1200"/>
      <c r="J35" s="1201"/>
      <c r="K35" s="1131" t="n">
        <f aca="false">L35-M35</f>
        <v>0.489241133346543</v>
      </c>
      <c r="L35" s="1144" t="n">
        <f aca="false">DataDE1c!CB58/TableDE1!B35</f>
        <v>0.489241133346543</v>
      </c>
      <c r="M35" s="1144" t="n">
        <f aca="false">DataDE1c!CC58/TableDE1!B35</f>
        <v>0</v>
      </c>
      <c r="N35" s="1202" t="n">
        <v>0</v>
      </c>
      <c r="O35" s="1203" t="n">
        <f aca="false">K35/TableDE6a!J35</f>
        <v>0.080877189304768</v>
      </c>
      <c r="P35" s="1196"/>
      <c r="Q35" s="1199"/>
    </row>
    <row r="36" customFormat="false" ht="12" hidden="false" customHeight="true" outlineLevel="0" collapsed="false">
      <c r="A36" s="1186" t="n">
        <v>1896</v>
      </c>
      <c r="B36" s="1124"/>
      <c r="C36" s="1199"/>
      <c r="D36" s="1199"/>
      <c r="E36" s="1133"/>
      <c r="F36" s="1124"/>
      <c r="G36" s="1133"/>
      <c r="H36" s="1196"/>
      <c r="I36" s="1200"/>
      <c r="J36" s="1201"/>
      <c r="K36" s="1131" t="n">
        <f aca="false">L36-M36</f>
        <v>0.474422227992729</v>
      </c>
      <c r="L36" s="1144" t="n">
        <f aca="false">DataDE1c!CB59/TableDE1!B36</f>
        <v>0.474422227992729</v>
      </c>
      <c r="M36" s="1144" t="n">
        <f aca="false">DataDE1c!CC59/TableDE1!B36</f>
        <v>0</v>
      </c>
      <c r="N36" s="1202" t="n">
        <v>0</v>
      </c>
      <c r="O36" s="1203" t="n">
        <f aca="false">K36/TableDE6a!J36</f>
        <v>0.0803280908508258</v>
      </c>
      <c r="P36" s="1196"/>
      <c r="Q36" s="1199"/>
    </row>
    <row r="37" customFormat="false" ht="12" hidden="false" customHeight="true" outlineLevel="0" collapsed="false">
      <c r="A37" s="1186" t="n">
        <v>1897</v>
      </c>
      <c r="B37" s="1124"/>
      <c r="C37" s="1199"/>
      <c r="D37" s="1199"/>
      <c r="E37" s="1133"/>
      <c r="F37" s="1124"/>
      <c r="G37" s="1133"/>
      <c r="H37" s="1196"/>
      <c r="I37" s="1200"/>
      <c r="J37" s="1201"/>
      <c r="K37" s="1131" t="n">
        <f aca="false">L37-M37</f>
        <v>0.466842160315191</v>
      </c>
      <c r="L37" s="1144" t="n">
        <f aca="false">DataDE1c!CB60/TableDE1!B37</f>
        <v>0.466842160315191</v>
      </c>
      <c r="M37" s="1144" t="n">
        <f aca="false">DataDE1c!CC60/TableDE1!B37</f>
        <v>0</v>
      </c>
      <c r="N37" s="1202" t="n">
        <v>0</v>
      </c>
      <c r="O37" s="1203" t="n">
        <f aca="false">K37/TableDE6a!J37</f>
        <v>0.079067850307573</v>
      </c>
      <c r="P37" s="1196"/>
      <c r="Q37" s="1199"/>
    </row>
    <row r="38" customFormat="false" ht="12" hidden="false" customHeight="true" outlineLevel="0" collapsed="false">
      <c r="A38" s="1186" t="n">
        <v>1898</v>
      </c>
      <c r="B38" s="1124"/>
      <c r="C38" s="1199"/>
      <c r="D38" s="1199"/>
      <c r="E38" s="1133"/>
      <c r="F38" s="1124"/>
      <c r="G38" s="1133"/>
      <c r="H38" s="1196"/>
      <c r="I38" s="1200"/>
      <c r="J38" s="1201"/>
      <c r="K38" s="1131" t="n">
        <f aca="false">L38-M38</f>
        <v>0.454710086343498</v>
      </c>
      <c r="L38" s="1144" t="n">
        <f aca="false">DataDE1c!CB61/TableDE1!B38</f>
        <v>0.454710086343498</v>
      </c>
      <c r="M38" s="1144" t="n">
        <f aca="false">DataDE1c!CC61/TableDE1!B38</f>
        <v>0</v>
      </c>
      <c r="N38" s="1202" t="n">
        <v>0</v>
      </c>
      <c r="O38" s="1203" t="n">
        <f aca="false">K38/TableDE6a!J38</f>
        <v>0.0777746311222424</v>
      </c>
      <c r="P38" s="1196"/>
      <c r="Q38" s="1199"/>
    </row>
    <row r="39" customFormat="false" ht="12" hidden="false" customHeight="true" outlineLevel="0" collapsed="false">
      <c r="A39" s="1204" t="n">
        <v>1899</v>
      </c>
      <c r="B39" s="1205"/>
      <c r="C39" s="1206"/>
      <c r="D39" s="1206"/>
      <c r="E39" s="1140"/>
      <c r="F39" s="1205"/>
      <c r="G39" s="1140"/>
      <c r="H39" s="1207"/>
      <c r="I39" s="1208"/>
      <c r="J39" s="1209"/>
      <c r="K39" s="1138" t="n">
        <f aca="false">L39-M39</f>
        <v>0.459599633155182</v>
      </c>
      <c r="L39" s="1145" t="n">
        <f aca="false">DataDE1c!CB62/TableDE1!B39</f>
        <v>0.459599633155182</v>
      </c>
      <c r="M39" s="1145" t="n">
        <f aca="false">DataDE1c!CC62/TableDE1!B39</f>
        <v>0</v>
      </c>
      <c r="N39" s="1210" t="n">
        <v>0</v>
      </c>
      <c r="O39" s="1211" t="n">
        <f aca="false">K39/TableDE6a!J39</f>
        <v>0.0745353146505256</v>
      </c>
      <c r="P39" s="1196"/>
      <c r="Q39" s="1199"/>
    </row>
    <row r="40" customFormat="false" ht="12" hidden="false" customHeight="true" outlineLevel="0" collapsed="false">
      <c r="A40" s="1186" t="n">
        <v>1900</v>
      </c>
      <c r="B40" s="1124"/>
      <c r="C40" s="1199"/>
      <c r="D40" s="1199"/>
      <c r="E40" s="1133"/>
      <c r="F40" s="1124"/>
      <c r="G40" s="1133"/>
      <c r="H40" s="1196"/>
      <c r="I40" s="1200"/>
      <c r="J40" s="1201"/>
      <c r="K40" s="1131" t="n">
        <f aca="false">L40-M40</f>
        <v>0.457647313691508</v>
      </c>
      <c r="L40" s="1144" t="n">
        <f aca="false">DataDE1c!CB63/TableDE1!B40</f>
        <v>0.457647313691508</v>
      </c>
      <c r="M40" s="1144" t="n">
        <f aca="false">DataDE1c!CC63/TableDE1!B40</f>
        <v>0</v>
      </c>
      <c r="N40" s="1202" t="n">
        <v>0</v>
      </c>
      <c r="O40" s="1203" t="n">
        <f aca="false">K40/TableDE6a!J40</f>
        <v>0.0701153376560259</v>
      </c>
      <c r="P40" s="1196"/>
      <c r="Q40" s="1199"/>
    </row>
    <row r="41" customFormat="false" ht="12" hidden="false" customHeight="true" outlineLevel="0" collapsed="false">
      <c r="A41" s="1186" t="n">
        <v>1901</v>
      </c>
      <c r="B41" s="1124"/>
      <c r="C41" s="1199"/>
      <c r="D41" s="1199"/>
      <c r="E41" s="1133"/>
      <c r="F41" s="1124"/>
      <c r="G41" s="1133"/>
      <c r="H41" s="1196"/>
      <c r="I41" s="1200"/>
      <c r="J41" s="1201"/>
      <c r="K41" s="1131" t="n">
        <f aca="false">L41-M41</f>
        <v>0.478525263459518</v>
      </c>
      <c r="L41" s="1144" t="n">
        <f aca="false">DataDE1c!CB64/TableDE1!B41</f>
        <v>0.478525263459518</v>
      </c>
      <c r="M41" s="1144" t="n">
        <f aca="false">DataDE1c!CC64/TableDE1!B41</f>
        <v>0</v>
      </c>
      <c r="N41" s="1202" t="n">
        <v>0</v>
      </c>
      <c r="O41" s="1203" t="n">
        <f aca="false">K41/TableDE6a!J41</f>
        <v>0.0696853300236457</v>
      </c>
      <c r="P41" s="1196"/>
      <c r="Q41" s="1199"/>
    </row>
    <row r="42" customFormat="false" ht="12" hidden="false" customHeight="true" outlineLevel="0" collapsed="false">
      <c r="A42" s="1186" t="n">
        <v>1902</v>
      </c>
      <c r="B42" s="1124"/>
      <c r="C42" s="1199"/>
      <c r="D42" s="1199"/>
      <c r="E42" s="1133"/>
      <c r="F42" s="1124"/>
      <c r="G42" s="1133"/>
      <c r="H42" s="1196"/>
      <c r="I42" s="1200"/>
      <c r="J42" s="1201"/>
      <c r="K42" s="1131" t="n">
        <f aca="false">L42-M42</f>
        <v>0.481748620170597</v>
      </c>
      <c r="L42" s="1144" t="n">
        <f aca="false">DataDE1c!CB65/TableDE1!B42</f>
        <v>0.481748620170597</v>
      </c>
      <c r="M42" s="1144" t="n">
        <f aca="false">DataDE1c!CC65/TableDE1!B42</f>
        <v>0</v>
      </c>
      <c r="N42" s="1202" t="n">
        <v>0</v>
      </c>
      <c r="O42" s="1203" t="n">
        <f aca="false">K42/TableDE6a!J42</f>
        <v>0.0720415165997137</v>
      </c>
      <c r="P42" s="1196"/>
      <c r="Q42" s="1199"/>
    </row>
    <row r="43" customFormat="false" ht="12" hidden="false" customHeight="true" outlineLevel="0" collapsed="false">
      <c r="A43" s="1186" t="n">
        <v>1903</v>
      </c>
      <c r="B43" s="1124"/>
      <c r="C43" s="1199"/>
      <c r="D43" s="1199"/>
      <c r="E43" s="1133"/>
      <c r="F43" s="1124"/>
      <c r="G43" s="1133"/>
      <c r="H43" s="1196"/>
      <c r="I43" s="1200"/>
      <c r="J43" s="1201"/>
      <c r="K43" s="1131" t="n">
        <f aca="false">L43-M43</f>
        <v>0.459356725146199</v>
      </c>
      <c r="L43" s="1144" t="n">
        <f aca="false">DataDE1c!CB66/TableDE1!B43</f>
        <v>0.459356725146199</v>
      </c>
      <c r="M43" s="1144" t="n">
        <f aca="false">DataDE1c!CC66/TableDE1!B43</f>
        <v>0</v>
      </c>
      <c r="N43" s="1202" t="n">
        <v>0</v>
      </c>
      <c r="O43" s="1203" t="n">
        <f aca="false">K43/TableDE6a!J43</f>
        <v>0.0721547318531185</v>
      </c>
      <c r="P43" s="1196"/>
      <c r="Q43" s="1199"/>
    </row>
    <row r="44" customFormat="false" ht="12" hidden="false" customHeight="true" outlineLevel="0" collapsed="false">
      <c r="A44" s="1186" t="n">
        <v>1904</v>
      </c>
      <c r="B44" s="1124"/>
      <c r="C44" s="1199"/>
      <c r="D44" s="1199"/>
      <c r="E44" s="1133"/>
      <c r="F44" s="1124"/>
      <c r="G44" s="1133"/>
      <c r="H44" s="1196"/>
      <c r="I44" s="1200"/>
      <c r="J44" s="1201"/>
      <c r="K44" s="1131" t="n">
        <f aca="false">L44-M44</f>
        <v>0.444490899462051</v>
      </c>
      <c r="L44" s="1144" t="n">
        <f aca="false">DataDE1c!CB67/TableDE1!B44</f>
        <v>0.444490899462051</v>
      </c>
      <c r="M44" s="1144" t="n">
        <f aca="false">DataDE1c!CC67/TableDE1!B44</f>
        <v>0</v>
      </c>
      <c r="N44" s="1202" t="n">
        <v>0</v>
      </c>
      <c r="O44" s="1203" t="n">
        <f aca="false">K44/TableDE6a!J44</f>
        <v>0.0704130919964636</v>
      </c>
      <c r="P44" s="1196"/>
      <c r="Q44" s="1199"/>
    </row>
    <row r="45" customFormat="false" ht="12" hidden="false" customHeight="true" outlineLevel="0" collapsed="false">
      <c r="A45" s="1186" t="n">
        <v>1905</v>
      </c>
      <c r="B45" s="1124"/>
      <c r="C45" s="1199"/>
      <c r="D45" s="1199"/>
      <c r="E45" s="1133"/>
      <c r="F45" s="1124"/>
      <c r="G45" s="1133"/>
      <c r="H45" s="1196"/>
      <c r="I45" s="1200"/>
      <c r="J45" s="1201"/>
      <c r="K45" s="1131" t="n">
        <f aca="false">L45-M45</f>
        <v>0.429590755151108</v>
      </c>
      <c r="L45" s="1144" t="n">
        <f aca="false">DataDE1c!CB68/TableDE1!B45</f>
        <v>0.429590755151108</v>
      </c>
      <c r="M45" s="1144" t="n">
        <f aca="false">DataDE1c!CC68/TableDE1!B45</f>
        <v>0</v>
      </c>
      <c r="N45" s="1202" t="n">
        <v>0</v>
      </c>
      <c r="O45" s="1203" t="n">
        <f aca="false">K45/TableDE6a!J45</f>
        <v>0.0695119608479763</v>
      </c>
      <c r="P45" s="1196"/>
      <c r="Q45" s="1199"/>
    </row>
    <row r="46" customFormat="false" ht="12" hidden="false" customHeight="true" outlineLevel="0" collapsed="false">
      <c r="A46" s="1186" t="n">
        <v>1906</v>
      </c>
      <c r="B46" s="1124"/>
      <c r="C46" s="1199"/>
      <c r="D46" s="1199"/>
      <c r="E46" s="1133"/>
      <c r="F46" s="1124"/>
      <c r="G46" s="1133"/>
      <c r="H46" s="1196"/>
      <c r="I46" s="1200"/>
      <c r="J46" s="1201"/>
      <c r="K46" s="1131" t="n">
        <f aca="false">L46-M46</f>
        <v>0.428332424527834</v>
      </c>
      <c r="L46" s="1144" t="n">
        <f aca="false">DataDE1c!CB69/TableDE1!B46</f>
        <v>0.428332424527834</v>
      </c>
      <c r="M46" s="1144" t="n">
        <f aca="false">DataDE1c!CC69/TableDE1!B46</f>
        <v>0</v>
      </c>
      <c r="N46" s="1202" t="n">
        <v>0</v>
      </c>
      <c r="O46" s="1203" t="n">
        <f aca="false">K46/TableDE6a!J46</f>
        <v>0.0674603621445813</v>
      </c>
      <c r="P46" s="1196"/>
      <c r="Q46" s="1199"/>
    </row>
    <row r="47" customFormat="false" ht="12" hidden="false" customHeight="true" outlineLevel="0" collapsed="false">
      <c r="A47" s="1186" t="n">
        <v>1907</v>
      </c>
      <c r="B47" s="1124"/>
      <c r="C47" s="1199"/>
      <c r="D47" s="1199"/>
      <c r="E47" s="1133"/>
      <c r="F47" s="1124"/>
      <c r="G47" s="1133"/>
      <c r="H47" s="1196"/>
      <c r="I47" s="1200"/>
      <c r="J47" s="1201"/>
      <c r="K47" s="1131" t="n">
        <f aca="false">L47-M47</f>
        <v>0.406487794661764</v>
      </c>
      <c r="L47" s="1144" t="n">
        <f aca="false">DataDE1c!CB70/TableDE1!B47</f>
        <v>0.406487794661764</v>
      </c>
      <c r="M47" s="1144" t="n">
        <f aca="false">DataDE1c!CC70/TableDE1!B47</f>
        <v>0</v>
      </c>
      <c r="N47" s="1202" t="n">
        <v>0</v>
      </c>
      <c r="O47" s="1203" t="n">
        <f aca="false">K47/TableDE6a!J47</f>
        <v>0.0640076397415386</v>
      </c>
      <c r="P47" s="1196"/>
      <c r="Q47" s="1199"/>
    </row>
    <row r="48" customFormat="false" ht="12" hidden="false" customHeight="true" outlineLevel="0" collapsed="false">
      <c r="A48" s="1186" t="n">
        <v>1908</v>
      </c>
      <c r="B48" s="1124"/>
      <c r="C48" s="1199"/>
      <c r="D48" s="1199"/>
      <c r="E48" s="1133"/>
      <c r="F48" s="1124"/>
      <c r="G48" s="1133"/>
      <c r="H48" s="1196"/>
      <c r="I48" s="1200"/>
      <c r="J48" s="1201"/>
      <c r="K48" s="1131" t="n">
        <f aca="false">L48-M48</f>
        <v>0.419310410334347</v>
      </c>
      <c r="L48" s="1144" t="n">
        <f aca="false">DataDE1c!CB71/TableDE1!B48</f>
        <v>0.419310410334347</v>
      </c>
      <c r="M48" s="1144" t="n">
        <f aca="false">DataDE1c!CC71/TableDE1!B48</f>
        <v>0</v>
      </c>
      <c r="N48" s="1202" t="n">
        <v>0</v>
      </c>
      <c r="O48" s="1203" t="n">
        <f aca="false">K48/TableDE6a!J48</f>
        <v>0.0634601445168681</v>
      </c>
      <c r="P48" s="1196"/>
      <c r="Q48" s="1199"/>
    </row>
    <row r="49" customFormat="false" ht="12" hidden="false" customHeight="true" outlineLevel="0" collapsed="false">
      <c r="A49" s="1204" t="n">
        <v>1909</v>
      </c>
      <c r="B49" s="1205"/>
      <c r="C49" s="1206"/>
      <c r="D49" s="1206"/>
      <c r="E49" s="1140"/>
      <c r="F49" s="1205"/>
      <c r="G49" s="1140"/>
      <c r="H49" s="1207"/>
      <c r="I49" s="1208"/>
      <c r="J49" s="1209"/>
      <c r="K49" s="1138" t="n">
        <f aca="false">L49-M49</f>
        <v>0.405202194675879</v>
      </c>
      <c r="L49" s="1145" t="n">
        <f aca="false">DataDE1c!CB72/TableDE1!B49</f>
        <v>0.405202194675879</v>
      </c>
      <c r="M49" s="1145" t="n">
        <f aca="false">DataDE1c!CC72/TableDE1!B49</f>
        <v>0</v>
      </c>
      <c r="N49" s="1210" t="n">
        <v>0</v>
      </c>
      <c r="O49" s="1211" t="n">
        <f aca="false">K49/TableDE6a!J49</f>
        <v>0.0641506103159355</v>
      </c>
      <c r="P49" s="1196"/>
      <c r="Q49" s="1199"/>
    </row>
    <row r="50" customFormat="false" ht="12" hidden="false" customHeight="true" outlineLevel="0" collapsed="false">
      <c r="A50" s="1186" t="n">
        <v>1910</v>
      </c>
      <c r="B50" s="1124"/>
      <c r="C50" s="1199"/>
      <c r="D50" s="1199"/>
      <c r="E50" s="1133"/>
      <c r="F50" s="1124"/>
      <c r="G50" s="1133"/>
      <c r="H50" s="1196"/>
      <c r="I50" s="1200"/>
      <c r="J50" s="1201"/>
      <c r="K50" s="1131" t="n">
        <f aca="false">L50-M50</f>
        <v>0.403541104455999</v>
      </c>
      <c r="L50" s="1144" t="n">
        <f aca="false">DataDE1c!CB73/TableDE1!B50</f>
        <v>0.403541104455999</v>
      </c>
      <c r="M50" s="1144" t="n">
        <f aca="false">DataDE1c!CC73/TableDE1!B50</f>
        <v>0</v>
      </c>
      <c r="N50" s="1202" t="n">
        <v>0</v>
      </c>
      <c r="O50" s="1203" t="n">
        <f aca="false">K50/TableDE6a!J50</f>
        <v>0.0633830482308021</v>
      </c>
      <c r="P50" s="1196"/>
      <c r="Q50" s="1199"/>
    </row>
    <row r="51" customFormat="false" ht="12" hidden="false" customHeight="true" outlineLevel="0" collapsed="false">
      <c r="A51" s="1186" t="n">
        <v>1911</v>
      </c>
      <c r="B51" s="1124"/>
      <c r="C51" s="1199"/>
      <c r="D51" s="1199"/>
      <c r="E51" s="1133"/>
      <c r="F51" s="1124"/>
      <c r="G51" s="1133"/>
      <c r="H51" s="1196"/>
      <c r="I51" s="1200"/>
      <c r="J51" s="1201"/>
      <c r="K51" s="1131" t="n">
        <f aca="false">L51-M51</f>
        <v>0.394299188281201</v>
      </c>
      <c r="L51" s="1144" t="n">
        <f aca="false">DataDE1c!CB74/TableDE1!B51</f>
        <v>0.394299188281201</v>
      </c>
      <c r="M51" s="1144" t="n">
        <f aca="false">DataDE1c!CC74/TableDE1!B51</f>
        <v>0</v>
      </c>
      <c r="N51" s="1202" t="n">
        <v>0</v>
      </c>
      <c r="O51" s="1203" t="n">
        <f aca="false">K51/TableDE6a!J51</f>
        <v>0.0620880142996951</v>
      </c>
      <c r="P51" s="1196"/>
      <c r="Q51" s="1199"/>
    </row>
    <row r="52" customFormat="false" ht="12" hidden="false" customHeight="true" outlineLevel="0" collapsed="false">
      <c r="A52" s="1186" t="n">
        <v>1912</v>
      </c>
      <c r="B52" s="1124"/>
      <c r="C52" s="1199"/>
      <c r="D52" s="1199"/>
      <c r="E52" s="1133"/>
      <c r="F52" s="1124"/>
      <c r="G52" s="1133"/>
      <c r="H52" s="1196"/>
      <c r="I52" s="1200"/>
      <c r="J52" s="1201"/>
      <c r="K52" s="1131" t="n">
        <f aca="false">L52-M52</f>
        <v>0.374873491630985</v>
      </c>
      <c r="L52" s="1144" t="n">
        <f aca="false">DataDE1c!CB75/TableDE1!B52</f>
        <v>0.374873491630985</v>
      </c>
      <c r="M52" s="1144" t="n">
        <f aca="false">DataDE1c!CC75/TableDE1!B52</f>
        <v>0</v>
      </c>
      <c r="N52" s="1202" t="n">
        <v>0</v>
      </c>
      <c r="O52" s="1203" t="n">
        <f aca="false">K52/TableDE6a!J52</f>
        <v>0.0596316073501345</v>
      </c>
      <c r="P52" s="1196"/>
      <c r="Q52" s="1199"/>
    </row>
    <row r="53" customFormat="false" ht="12" hidden="false" customHeight="true" outlineLevel="0" collapsed="false">
      <c r="A53" s="1186" t="n">
        <v>1913</v>
      </c>
      <c r="B53" s="1124"/>
      <c r="C53" s="1199"/>
      <c r="D53" s="1199"/>
      <c r="E53" s="1133"/>
      <c r="F53" s="1124"/>
      <c r="G53" s="1133"/>
      <c r="H53" s="1196"/>
      <c r="I53" s="1200"/>
      <c r="J53" s="1201"/>
      <c r="K53" s="1131" t="n">
        <f aca="false">L53-M53</f>
        <v>0.37804433355724</v>
      </c>
      <c r="L53" s="1144" t="n">
        <f aca="false">DataDE1c!CB76/TableDE1!B53</f>
        <v>0.37804433355724</v>
      </c>
      <c r="M53" s="1144" t="n">
        <f aca="false">DataDE1c!CC76/TableDE1!B53</f>
        <v>0</v>
      </c>
      <c r="N53" s="1202" t="n">
        <v>0</v>
      </c>
      <c r="O53" s="1203" t="n">
        <f aca="false">K53/TableDE6a!J53</f>
        <v>0.0576305303132259</v>
      </c>
      <c r="P53" s="1196"/>
      <c r="Q53" s="1199"/>
    </row>
    <row r="54" customFormat="false" ht="12" hidden="false" customHeight="true" outlineLevel="0" collapsed="false">
      <c r="A54" s="1186" t="n">
        <v>1914</v>
      </c>
      <c r="B54" s="1124"/>
      <c r="C54" s="1199"/>
      <c r="D54" s="1199"/>
      <c r="E54" s="1133"/>
      <c r="F54" s="1124"/>
      <c r="G54" s="1133"/>
      <c r="H54" s="1196"/>
      <c r="I54" s="1200"/>
      <c r="J54" s="1201"/>
      <c r="K54" s="1131" t="n">
        <f aca="false">L54-M54</f>
        <v>0.397244213270674</v>
      </c>
      <c r="L54" s="1144" t="n">
        <f aca="false">DataDE1c!CB77/TableDE1!B54</f>
        <v>0.397244213270674</v>
      </c>
      <c r="M54" s="1144" t="n">
        <f aca="false">DataDE1c!CC77/TableDE1!B54</f>
        <v>0</v>
      </c>
      <c r="N54" s="1202" t="n">
        <v>0</v>
      </c>
      <c r="O54" s="1203" t="n">
        <f aca="false">K54/TableDE6a!J54</f>
        <v>0.0622801094487385</v>
      </c>
      <c r="P54" s="1196"/>
      <c r="Q54" s="1199"/>
    </row>
    <row r="55" customFormat="false" ht="12" hidden="false" customHeight="true" outlineLevel="0" collapsed="false">
      <c r="A55" s="1186" t="n">
        <v>1915</v>
      </c>
      <c r="B55" s="1124"/>
      <c r="C55" s="1199"/>
      <c r="D55" s="1199"/>
      <c r="E55" s="1133"/>
      <c r="F55" s="1124"/>
      <c r="G55" s="1133"/>
      <c r="H55" s="1196"/>
      <c r="I55" s="1200"/>
      <c r="J55" s="1201"/>
      <c r="K55" s="1131" t="n">
        <f aca="false">L55-M55</f>
        <v>0.258989584059657</v>
      </c>
      <c r="L55" s="1144" t="n">
        <f aca="false">DataDE1c!CB78/TableDE1!B55</f>
        <v>0.258989584059657</v>
      </c>
      <c r="M55" s="1144" t="n">
        <f aca="false">DataDE1c!CC78/TableDE1!B55</f>
        <v>0</v>
      </c>
      <c r="N55" s="1202" t="n">
        <v>0</v>
      </c>
      <c r="O55" s="1203" t="n">
        <f aca="false">K55/TableDE6a!J55</f>
        <v>0.042368084870174</v>
      </c>
      <c r="P55" s="1196"/>
      <c r="Q55" s="1199"/>
    </row>
    <row r="56" customFormat="false" ht="12" hidden="false" customHeight="true" outlineLevel="0" collapsed="false">
      <c r="A56" s="1186" t="n">
        <v>1916</v>
      </c>
      <c r="B56" s="1124"/>
      <c r="C56" s="1199"/>
      <c r="D56" s="1199"/>
      <c r="E56" s="1133"/>
      <c r="F56" s="1124"/>
      <c r="G56" s="1133"/>
      <c r="H56" s="1196"/>
      <c r="I56" s="1200"/>
      <c r="J56" s="1201"/>
      <c r="K56" s="1131" t="n">
        <f aca="false">L56-M56</f>
        <v>0.138936653930294</v>
      </c>
      <c r="L56" s="1144" t="n">
        <f aca="false">DataDE1c!CB79/TableDE1!B56</f>
        <v>0.138936653930294</v>
      </c>
      <c r="M56" s="1144" t="n">
        <f aca="false">DataDE1c!CC79/TableDE1!B56</f>
        <v>0</v>
      </c>
      <c r="N56" s="1202" t="n">
        <v>0</v>
      </c>
      <c r="O56" s="1203" t="n">
        <f aca="false">K56/TableDE6a!J56</f>
        <v>0.0244731275133108</v>
      </c>
      <c r="P56" s="1196"/>
      <c r="Q56" s="1199"/>
    </row>
    <row r="57" customFormat="false" ht="12" hidden="false" customHeight="true" outlineLevel="0" collapsed="false">
      <c r="A57" s="1186" t="n">
        <v>1917</v>
      </c>
      <c r="B57" s="1124"/>
      <c r="C57" s="1199"/>
      <c r="D57" s="1199"/>
      <c r="E57" s="1133"/>
      <c r="F57" s="1124"/>
      <c r="G57" s="1133"/>
      <c r="H57" s="1196"/>
      <c r="I57" s="1200"/>
      <c r="J57" s="1201"/>
      <c r="K57" s="1131" t="n">
        <f aca="false">L57-M57</f>
        <v>0.0477742051102782</v>
      </c>
      <c r="L57" s="1144" t="n">
        <f aca="false">DataDE1c!CB80/TableDE1!B57</f>
        <v>0.0477742051102782</v>
      </c>
      <c r="M57" s="1144" t="n">
        <f aca="false">DataDE1c!CC80/TableDE1!B57</f>
        <v>0</v>
      </c>
      <c r="N57" s="1202" t="n">
        <v>0</v>
      </c>
      <c r="O57" s="1203" t="n">
        <f aca="false">K57/TableDE6a!J57</f>
        <v>0.00893101449933889</v>
      </c>
      <c r="P57" s="1196"/>
      <c r="Q57" s="1199"/>
    </row>
    <row r="58" customFormat="false" ht="12" hidden="false" customHeight="true" outlineLevel="0" collapsed="false">
      <c r="A58" s="1186" t="n">
        <v>1918</v>
      </c>
      <c r="B58" s="1124"/>
      <c r="C58" s="1199"/>
      <c r="D58" s="1199"/>
      <c r="E58" s="1133"/>
      <c r="F58" s="1124"/>
      <c r="G58" s="1133"/>
      <c r="H58" s="1196"/>
      <c r="I58" s="1200"/>
      <c r="J58" s="1201"/>
      <c r="K58" s="1131" t="n">
        <f aca="false">L58-M58</f>
        <v>0</v>
      </c>
      <c r="L58" s="1144" t="n">
        <f aca="false">DataDE1c!CB81/TableDE1!B58</f>
        <v>0</v>
      </c>
      <c r="M58" s="1144" t="n">
        <f aca="false">DataDE1c!CC81/TableDE1!B58</f>
        <v>0</v>
      </c>
      <c r="N58" s="1202" t="n">
        <v>0</v>
      </c>
      <c r="O58" s="1203" t="n">
        <f aca="false">K58/TableDE6a!J58</f>
        <v>0</v>
      </c>
      <c r="P58" s="1196"/>
      <c r="Q58" s="1199"/>
    </row>
    <row r="59" customFormat="false" ht="12" hidden="false" customHeight="true" outlineLevel="0" collapsed="false">
      <c r="A59" s="1204" t="n">
        <v>1919</v>
      </c>
      <c r="B59" s="1205"/>
      <c r="C59" s="1206"/>
      <c r="D59" s="1206"/>
      <c r="E59" s="1140"/>
      <c r="F59" s="1205"/>
      <c r="G59" s="1140"/>
      <c r="H59" s="1207"/>
      <c r="I59" s="1208"/>
      <c r="J59" s="1209"/>
      <c r="K59" s="1138" t="n">
        <f aca="false">L59-M59</f>
        <v>0.00605092003399592</v>
      </c>
      <c r="L59" s="1145" t="n">
        <f aca="false">DataDE1c!CB82/TableDE1!B59</f>
        <v>0.00605092003399592</v>
      </c>
      <c r="M59" s="1145" t="n">
        <f aca="false">DataDE1c!CC82/TableDE1!B59</f>
        <v>0</v>
      </c>
      <c r="N59" s="1210" t="n">
        <f aca="false">DataDE1c!CD82/DataDE1c!C82</f>
        <v>3.68374443769365</v>
      </c>
      <c r="O59" s="1211" t="n">
        <f aca="false">K59/TableDE6a!J59</f>
        <v>0.00127769506399841</v>
      </c>
      <c r="P59" s="1196"/>
      <c r="Q59" s="1199"/>
    </row>
    <row r="60" customFormat="false" ht="12" hidden="false" customHeight="true" outlineLevel="0" collapsed="false">
      <c r="A60" s="1186" t="n">
        <v>1920</v>
      </c>
      <c r="B60" s="1124"/>
      <c r="C60" s="1199"/>
      <c r="D60" s="1199"/>
      <c r="E60" s="1133"/>
      <c r="F60" s="1124"/>
      <c r="G60" s="1133"/>
      <c r="H60" s="1196"/>
      <c r="I60" s="1200"/>
      <c r="J60" s="1201"/>
      <c r="K60" s="1131" t="n">
        <f aca="false">L60-M60</f>
        <v>0.00171220031210505</v>
      </c>
      <c r="L60" s="1144" t="n">
        <f aca="false">DataDE1c!CB83/TableDE1!B60</f>
        <v>0.00440723464022205</v>
      </c>
      <c r="M60" s="1144" t="n">
        <f aca="false">DataDE1c!CC83/TableDE1!B60</f>
        <v>0.00269503432811701</v>
      </c>
      <c r="N60" s="1202" t="n">
        <f aca="false">DataDE1c!CD83/DataDE1c!C83</f>
        <v>3.29213917314604</v>
      </c>
      <c r="O60" s="1203" t="n">
        <f aca="false">K60/TableDE6a!J60</f>
        <v>0.000424606739352377</v>
      </c>
      <c r="P60" s="1196"/>
      <c r="Q60" s="1199"/>
    </row>
    <row r="61" customFormat="false" ht="12" hidden="false" customHeight="true" outlineLevel="0" collapsed="false">
      <c r="A61" s="1186" t="n">
        <v>1921</v>
      </c>
      <c r="B61" s="1124"/>
      <c r="C61" s="1199"/>
      <c r="D61" s="1199"/>
      <c r="E61" s="1133"/>
      <c r="F61" s="1124"/>
      <c r="G61" s="1133"/>
      <c r="H61" s="1196"/>
      <c r="I61" s="1200"/>
      <c r="J61" s="1201"/>
      <c r="K61" s="1131" t="n">
        <f aca="false">L61-M61</f>
        <v>0.000875865859964604</v>
      </c>
      <c r="L61" s="1144" t="n">
        <f aca="false">DataDE1c!CB84/TableDE1!B61</f>
        <v>0.00474303630946934</v>
      </c>
      <c r="M61" s="1144" t="n">
        <f aca="false">DataDE1c!CC84/TableDE1!B61</f>
        <v>0.00386717044950473</v>
      </c>
      <c r="N61" s="1202" t="n">
        <f aca="false">DataDE1c!CD84/DataDE1c!C84</f>
        <v>3.10554803350313</v>
      </c>
      <c r="O61" s="1203" t="n">
        <f aca="false">K61/TableDE6a!J61</f>
        <v>0.000248588815796698</v>
      </c>
      <c r="P61" s="1196"/>
      <c r="Q61" s="1199"/>
    </row>
    <row r="62" customFormat="false" ht="12" hidden="false" customHeight="true" outlineLevel="0" collapsed="false">
      <c r="A62" s="1186" t="n">
        <v>1922</v>
      </c>
      <c r="B62" s="1124"/>
      <c r="C62" s="1199"/>
      <c r="D62" s="1199"/>
      <c r="E62" s="1133"/>
      <c r="F62" s="1124"/>
      <c r="G62" s="1133"/>
      <c r="H62" s="1196"/>
      <c r="I62" s="1200"/>
      <c r="J62" s="1201"/>
      <c r="K62" s="1131" t="n">
        <f aca="false">L62-M62</f>
        <v>2.73808523823099E-005</v>
      </c>
      <c r="L62" s="1144" t="n">
        <f aca="false">DataDE1c!CB85/TableDE1!B62</f>
        <v>0.000330900513896852</v>
      </c>
      <c r="M62" s="1144" t="n">
        <f aca="false">DataDE1c!CC85/TableDE1!B62</f>
        <v>0.000303519661514542</v>
      </c>
      <c r="N62" s="1202" t="n">
        <f aca="false">DataDE1c!CD85/DataDE1c!C85</f>
        <v>2.93051292987111</v>
      </c>
      <c r="O62" s="1203" t="n">
        <f aca="false">K62/TableDE6a!J62</f>
        <v>8.39295913485227E-006</v>
      </c>
      <c r="P62" s="1196"/>
      <c r="Q62" s="1199"/>
    </row>
    <row r="63" customFormat="false" ht="12" hidden="false" customHeight="true" outlineLevel="0" collapsed="false">
      <c r="A63" s="1186" t="n">
        <v>1923</v>
      </c>
      <c r="B63" s="1124"/>
      <c r="C63" s="1199"/>
      <c r="D63" s="1199"/>
      <c r="E63" s="1133"/>
      <c r="F63" s="1124"/>
      <c r="G63" s="1133"/>
      <c r="H63" s="1196"/>
      <c r="I63" s="1200"/>
      <c r="J63" s="1201"/>
      <c r="K63" s="1131" t="n">
        <f aca="false">L63-M63</f>
        <v>3.62254711532224E-014</v>
      </c>
      <c r="L63" s="1144" t="n">
        <f aca="false">DataDE1c!CB86/TableDE1!B63</f>
        <v>1.67739681644269E-012</v>
      </c>
      <c r="M63" s="1144" t="n">
        <f aca="false">DataDE1c!CC86/TableDE1!B63</f>
        <v>1.64117134528947E-012</v>
      </c>
      <c r="N63" s="1202" t="n">
        <f aca="false">DataDE1c!CD86/DataDE1c!C86</f>
        <v>3.36966720588008</v>
      </c>
      <c r="O63" s="1203" t="n">
        <f aca="false">K63/TableDE6a!J63</f>
        <v>1.07775747271447E-014</v>
      </c>
      <c r="P63" s="1196"/>
      <c r="Q63" s="1199"/>
    </row>
    <row r="64" customFormat="false" ht="12" hidden="false" customHeight="true" outlineLevel="0" collapsed="false">
      <c r="A64" s="1186" t="n">
        <v>1924</v>
      </c>
      <c r="B64" s="1124"/>
      <c r="C64" s="1199"/>
      <c r="D64" s="1199"/>
      <c r="E64" s="1133"/>
      <c r="F64" s="1124"/>
      <c r="G64" s="1133"/>
      <c r="H64" s="1196"/>
      <c r="I64" s="1200"/>
      <c r="J64" s="1201"/>
      <c r="K64" s="1131" t="n">
        <f aca="false">L64-M64</f>
        <v>-0.00185385615994853</v>
      </c>
      <c r="L64" s="1144" t="n">
        <f aca="false">DataDE1c!CB87/TableDE1!B64</f>
        <v>0.0967031907107844</v>
      </c>
      <c r="M64" s="1144" t="n">
        <f aca="false">DataDE1c!CC87/TableDE1!B64</f>
        <v>0.0985570468707329</v>
      </c>
      <c r="N64" s="1202" t="n">
        <f aca="false">DataDE1c!CD87/DataDE1c!C87</f>
        <v>3.02435551228682</v>
      </c>
      <c r="O64" s="1203" t="n">
        <f aca="false">K64/TableDE6a!J64</f>
        <v>-0.000622343111951711</v>
      </c>
      <c r="P64" s="1196"/>
      <c r="Q64" s="1199"/>
    </row>
    <row r="65" customFormat="false" ht="12" hidden="false" customHeight="true" outlineLevel="0" collapsed="false">
      <c r="A65" s="1186" t="n">
        <v>1925</v>
      </c>
      <c r="B65" s="1124"/>
      <c r="C65" s="1199"/>
      <c r="D65" s="1199"/>
      <c r="E65" s="1133"/>
      <c r="F65" s="1124"/>
      <c r="G65" s="1133"/>
      <c r="H65" s="1196"/>
      <c r="I65" s="1200"/>
      <c r="J65" s="1201"/>
      <c r="K65" s="1131" t="n">
        <f aca="false">L65-M65</f>
        <v>-0.0045791809066473</v>
      </c>
      <c r="L65" s="1144" t="n">
        <f aca="false">DataDE1c!CB88/TableDE1!B65</f>
        <v>0.0948272046084877</v>
      </c>
      <c r="M65" s="1144" t="n">
        <f aca="false">DataDE1c!CC88/TableDE1!B65</f>
        <v>0.099406385515135</v>
      </c>
      <c r="N65" s="1202" t="n">
        <f aca="false">DataDE1c!CD88/DataDE1c!C88</f>
        <v>2.81954466833166</v>
      </c>
      <c r="O65" s="1203" t="n">
        <f aca="false">K65/TableDE6a!J65</f>
        <v>-0.00154398174355951</v>
      </c>
      <c r="P65" s="1196"/>
      <c r="Q65" s="1199"/>
    </row>
    <row r="66" customFormat="false" ht="12" hidden="false" customHeight="true" outlineLevel="0" collapsed="false">
      <c r="A66" s="1186" t="n">
        <v>1926</v>
      </c>
      <c r="B66" s="1124"/>
      <c r="C66" s="1199"/>
      <c r="D66" s="1199"/>
      <c r="E66" s="1133"/>
      <c r="F66" s="1124"/>
      <c r="G66" s="1133"/>
      <c r="H66" s="1196"/>
      <c r="I66" s="1200"/>
      <c r="J66" s="1201"/>
      <c r="K66" s="1131" t="n">
        <f aca="false">L66-M66</f>
        <v>-0.0678687146181878</v>
      </c>
      <c r="L66" s="1144" t="n">
        <f aca="false">DataDE1c!CB89/TableDE1!B66</f>
        <v>0.104753885606333</v>
      </c>
      <c r="M66" s="1144" t="n">
        <f aca="false">DataDE1c!CC89/TableDE1!B66</f>
        <v>0.172622600224521</v>
      </c>
      <c r="N66" s="1202" t="n">
        <f aca="false">DataDE1c!CD89/DataDE1c!C89</f>
        <v>2.78957710672536</v>
      </c>
      <c r="O66" s="1203" t="n">
        <f aca="false">K66/TableDE6a!J66</f>
        <v>-0.0208750921616022</v>
      </c>
      <c r="P66" s="1196"/>
      <c r="Q66" s="1199"/>
    </row>
    <row r="67" customFormat="false" ht="12" hidden="false" customHeight="true" outlineLevel="0" collapsed="false">
      <c r="A67" s="1186" t="n">
        <v>1927</v>
      </c>
      <c r="B67" s="1124"/>
      <c r="C67" s="1199"/>
      <c r="D67" s="1199"/>
      <c r="E67" s="1133"/>
      <c r="F67" s="1124"/>
      <c r="G67" s="1133"/>
      <c r="H67" s="1196"/>
      <c r="I67" s="1200"/>
      <c r="J67" s="1201"/>
      <c r="K67" s="1131" t="n">
        <f aca="false">L67-M67</f>
        <v>-0.111265976271868</v>
      </c>
      <c r="L67" s="1144" t="n">
        <f aca="false">DataDE1c!CB90/TableDE1!B67</f>
        <v>0.104720918844111</v>
      </c>
      <c r="M67" s="1144" t="n">
        <f aca="false">DataDE1c!CC90/TableDE1!B67</f>
        <v>0.21598689511598</v>
      </c>
      <c r="N67" s="1202" t="n">
        <f aca="false">DataDE1c!CD90/DataDE1c!C90</f>
        <v>2.53583930544816</v>
      </c>
      <c r="O67" s="1203" t="n">
        <f aca="false">K67/TableDE6a!J67</f>
        <v>-0.0332161345582435</v>
      </c>
      <c r="P67" s="1196"/>
      <c r="Q67" s="1199"/>
    </row>
    <row r="68" customFormat="false" ht="12" hidden="false" customHeight="true" outlineLevel="0" collapsed="false">
      <c r="A68" s="1186" t="n">
        <v>1928</v>
      </c>
      <c r="B68" s="1124"/>
      <c r="C68" s="1199"/>
      <c r="D68" s="1199"/>
      <c r="E68" s="1133"/>
      <c r="F68" s="1124"/>
      <c r="G68" s="1133"/>
      <c r="H68" s="1196"/>
      <c r="I68" s="1200"/>
      <c r="J68" s="1201"/>
      <c r="K68" s="1131" t="n">
        <f aca="false">L68-M68</f>
        <v>-0.160178768975172</v>
      </c>
      <c r="L68" s="1144" t="n">
        <f aca="false">DataDE1c!CB91/TableDE1!B68</f>
        <v>0.102710050335225</v>
      </c>
      <c r="M68" s="1144" t="n">
        <f aca="false">DataDE1c!CC91/TableDE1!B68</f>
        <v>0.262888819310396</v>
      </c>
      <c r="N68" s="1202" t="n">
        <f aca="false">DataDE1c!CD91/DataDE1c!C91</f>
        <v>2.46159846631014</v>
      </c>
      <c r="O68" s="1203" t="n">
        <f aca="false">K68/TableDE6a!J68</f>
        <v>-0.0470839356995301</v>
      </c>
      <c r="P68" s="1196"/>
      <c r="Q68" s="1199"/>
    </row>
    <row r="69" customFormat="false" ht="12" hidden="false" customHeight="true" outlineLevel="0" collapsed="false">
      <c r="A69" s="1204" t="n">
        <v>1929</v>
      </c>
      <c r="B69" s="1205"/>
      <c r="C69" s="1206"/>
      <c r="D69" s="1206"/>
      <c r="E69" s="1140"/>
      <c r="F69" s="1205"/>
      <c r="G69" s="1140"/>
      <c r="H69" s="1207"/>
      <c r="I69" s="1208"/>
      <c r="J69" s="1209"/>
      <c r="K69" s="1138" t="n">
        <f aca="false">L69-M69</f>
        <v>-0.193842098346596</v>
      </c>
      <c r="L69" s="1145" t="n">
        <f aca="false">DataDE1c!CB92/TableDE1!B69</f>
        <v>0.112870082581562</v>
      </c>
      <c r="M69" s="1145" t="n">
        <f aca="false">DataDE1c!CC92/TableDE1!B69</f>
        <v>0.306712180928158</v>
      </c>
      <c r="N69" s="1210" t="n">
        <f aca="false">DataDE1c!CD92/DataDE1c!C92</f>
        <v>2.29761889478126</v>
      </c>
      <c r="O69" s="1211" t="n">
        <f aca="false">K69/TableDE6a!J69</f>
        <v>-0.0532318686007329</v>
      </c>
      <c r="P69" s="1196"/>
      <c r="Q69" s="1199"/>
    </row>
    <row r="70" customFormat="false" ht="12" hidden="false" customHeight="true" outlineLevel="0" collapsed="false">
      <c r="A70" s="1186" t="n">
        <v>1930</v>
      </c>
      <c r="B70" s="1124"/>
      <c r="C70" s="1199"/>
      <c r="D70" s="1199"/>
      <c r="E70" s="1133"/>
      <c r="F70" s="1124"/>
      <c r="G70" s="1133"/>
      <c r="H70" s="1196"/>
      <c r="I70" s="1200"/>
      <c r="J70" s="1201"/>
      <c r="K70" s="1131" t="n">
        <f aca="false">L70-M70</f>
        <v>-0.311111032363545</v>
      </c>
      <c r="L70" s="1144" t="n">
        <f aca="false">DataDE1c!CB93/TableDE1!B70</f>
        <v>0.119914316542694</v>
      </c>
      <c r="M70" s="1144" t="n">
        <f aca="false">DataDE1c!CC93/TableDE1!B70</f>
        <v>0.431025348906239</v>
      </c>
      <c r="N70" s="1202" t="n">
        <f aca="false">DataDE1c!CD93/DataDE1c!C93</f>
        <v>2.46961781391648</v>
      </c>
      <c r="O70" s="1203" t="n">
        <f aca="false">K70/TableDE6a!J70</f>
        <v>-0.0817192709809308</v>
      </c>
      <c r="P70" s="1196"/>
      <c r="Q70" s="1199"/>
    </row>
    <row r="71" customFormat="false" ht="12" hidden="false" customHeight="true" outlineLevel="0" collapsed="false">
      <c r="A71" s="1186" t="n">
        <v>1931</v>
      </c>
      <c r="B71" s="1124"/>
      <c r="C71" s="1199"/>
      <c r="D71" s="1199"/>
      <c r="E71" s="1133"/>
      <c r="F71" s="1124"/>
      <c r="G71" s="1133"/>
      <c r="H71" s="1196"/>
      <c r="I71" s="1200"/>
      <c r="J71" s="1201"/>
      <c r="K71" s="1131" t="n">
        <f aca="false">L71-M71</f>
        <v>-0.362234336908213</v>
      </c>
      <c r="L71" s="1144" t="n">
        <f aca="false">DataDE1c!CB94/TableDE1!B71</f>
        <v>0.0696542046318347</v>
      </c>
      <c r="M71" s="1144" t="n">
        <f aca="false">DataDE1c!CC94/TableDE1!B71</f>
        <v>0.431888541540047</v>
      </c>
      <c r="N71" s="1202" t="n">
        <f aca="false">DataDE1c!CD94/DataDE1c!C94</f>
        <v>2.84650425402261</v>
      </c>
      <c r="O71" s="1203" t="n">
        <f aca="false">K71/TableDE6a!J71</f>
        <v>-0.0915516238524359</v>
      </c>
      <c r="P71" s="1196"/>
      <c r="Q71" s="1199"/>
    </row>
    <row r="72" customFormat="false" ht="12" hidden="false" customHeight="true" outlineLevel="0" collapsed="false">
      <c r="A72" s="1186" t="n">
        <v>1932</v>
      </c>
      <c r="B72" s="1124"/>
      <c r="C72" s="1199"/>
      <c r="D72" s="1199"/>
      <c r="E72" s="1133"/>
      <c r="F72" s="1124"/>
      <c r="G72" s="1133"/>
      <c r="H72" s="1196"/>
      <c r="I72" s="1200"/>
      <c r="J72" s="1201"/>
      <c r="K72" s="1131" t="n">
        <f aca="false">L72-M72</f>
        <v>-0.443572800040067</v>
      </c>
      <c r="L72" s="1144" t="n">
        <f aca="false">DataDE1c!CB95/TableDE1!B72</f>
        <v>0.0230706934043421</v>
      </c>
      <c r="M72" s="1144" t="n">
        <f aca="false">DataDE1c!CC95/TableDE1!B72</f>
        <v>0.466643493444409</v>
      </c>
      <c r="N72" s="1202" t="n">
        <f aca="false">DataDE1c!CD95/DataDE1c!C95</f>
        <v>0.0767412044994109</v>
      </c>
      <c r="O72" s="1203" t="n">
        <f aca="false">K72/TableDE6a!J72</f>
        <v>-0.109712050266174</v>
      </c>
      <c r="P72" s="1196"/>
      <c r="Q72" s="1199"/>
    </row>
    <row r="73" customFormat="false" ht="12" hidden="false" customHeight="true" outlineLevel="0" collapsed="false">
      <c r="A73" s="1186" t="n">
        <v>1933</v>
      </c>
      <c r="B73" s="1124"/>
      <c r="C73" s="1199"/>
      <c r="D73" s="1199"/>
      <c r="E73" s="1133"/>
      <c r="F73" s="1124"/>
      <c r="G73" s="1133"/>
      <c r="H73" s="1196"/>
      <c r="I73" s="1200"/>
      <c r="J73" s="1201"/>
      <c r="K73" s="1131" t="n">
        <f aca="false">L73-M73</f>
        <v>-0.353454874731659</v>
      </c>
      <c r="L73" s="1144" t="n">
        <f aca="false">DataDE1c!CB96/TableDE1!B73</f>
        <v>0</v>
      </c>
      <c r="M73" s="1144" t="n">
        <f aca="false">DataDE1c!CC96/TableDE1!B73</f>
        <v>0.353454874731659</v>
      </c>
      <c r="N73" s="1202" t="n">
        <f aca="false">DataDE1c!CD96/DataDE1c!C96</f>
        <v>0.0711449473566595</v>
      </c>
      <c r="O73" s="1203" t="n">
        <f aca="false">K73/TableDE6a!J73</f>
        <v>-0.0930015063694367</v>
      </c>
      <c r="P73" s="1196"/>
      <c r="Q73" s="1199"/>
    </row>
    <row r="74" customFormat="false" ht="12" hidden="false" customHeight="true" outlineLevel="0" collapsed="false">
      <c r="A74" s="1186" t="n">
        <v>1934</v>
      </c>
      <c r="B74" s="1124"/>
      <c r="C74" s="1199"/>
      <c r="D74" s="1199"/>
      <c r="E74" s="1133"/>
      <c r="F74" s="1124"/>
      <c r="G74" s="1133"/>
      <c r="H74" s="1196"/>
      <c r="I74" s="1200"/>
      <c r="J74" s="1201"/>
      <c r="K74" s="1131" t="n">
        <f aca="false">L74-M74</f>
        <v>-0.297793425452758</v>
      </c>
      <c r="L74" s="1144" t="n">
        <f aca="false">DataDE1c!CB97/TableDE1!B74</f>
        <v>0</v>
      </c>
      <c r="M74" s="1144" t="n">
        <f aca="false">DataDE1c!CC97/TableDE1!B74</f>
        <v>0.297793425452758</v>
      </c>
      <c r="N74" s="1202" t="n">
        <f aca="false">DataDE1c!CD97/DataDE1c!C97</f>
        <v>0.0642356024572949</v>
      </c>
      <c r="O74" s="1203" t="n">
        <f aca="false">K74/TableDE6a!J74</f>
        <v>-0.0845785261536264</v>
      </c>
      <c r="P74" s="1196"/>
      <c r="Q74" s="1199"/>
    </row>
    <row r="75" customFormat="false" ht="12" hidden="false" customHeight="true" outlineLevel="0" collapsed="false">
      <c r="A75" s="1186" t="n">
        <v>1935</v>
      </c>
      <c r="B75" s="1124"/>
      <c r="C75" s="1199"/>
      <c r="D75" s="1199"/>
      <c r="E75" s="1133"/>
      <c r="F75" s="1124"/>
      <c r="G75" s="1133"/>
      <c r="H75" s="1196"/>
      <c r="I75" s="1200"/>
      <c r="J75" s="1201"/>
      <c r="K75" s="1131" t="n">
        <f aca="false">L75-M75</f>
        <v>-0.253097730434178</v>
      </c>
      <c r="L75" s="1144" t="n">
        <f aca="false">DataDE1c!CB98/TableDE1!B75</f>
        <v>0</v>
      </c>
      <c r="M75" s="1144" t="n">
        <f aca="false">DataDE1c!CC98/TableDE1!B75</f>
        <v>0.253097730434178</v>
      </c>
      <c r="N75" s="1202" t="n">
        <f aca="false">DataDE1c!CD98/DataDE1c!C98</f>
        <v>0.0571214732348095</v>
      </c>
      <c r="O75" s="1203" t="n">
        <f aca="false">K75/TableDE6a!J75</f>
        <v>-0.0743450962126675</v>
      </c>
      <c r="P75" s="1196"/>
      <c r="Q75" s="1199"/>
    </row>
    <row r="76" customFormat="false" ht="12" hidden="false" customHeight="true" outlineLevel="0" collapsed="false">
      <c r="A76" s="1186" t="n">
        <v>1936</v>
      </c>
      <c r="B76" s="1124"/>
      <c r="C76" s="1199"/>
      <c r="D76" s="1199"/>
      <c r="E76" s="1133"/>
      <c r="F76" s="1124"/>
      <c r="G76" s="1133"/>
      <c r="H76" s="1196"/>
      <c r="I76" s="1200"/>
      <c r="J76" s="1201"/>
      <c r="K76" s="1131" t="n">
        <f aca="false">L76-M76</f>
        <v>-0.205067794225595</v>
      </c>
      <c r="L76" s="1144" t="n">
        <f aca="false">DataDE1c!CB99/TableDE1!B76</f>
        <v>0</v>
      </c>
      <c r="M76" s="1144" t="n">
        <f aca="false">DataDE1c!CC99/TableDE1!B76</f>
        <v>0.205067794225595</v>
      </c>
      <c r="N76" s="1202" t="n">
        <f aca="false">DataDE1c!CD99/DataDE1c!C99</f>
        <v>0.051171714588474</v>
      </c>
      <c r="O76" s="1203" t="n">
        <f aca="false">K76/TableDE6a!J76</f>
        <v>-0.0627728419375717</v>
      </c>
      <c r="P76" s="1196"/>
      <c r="Q76" s="1199"/>
    </row>
    <row r="77" customFormat="false" ht="12" hidden="false" customHeight="true" outlineLevel="0" collapsed="false">
      <c r="A77" s="1186" t="n">
        <v>1937</v>
      </c>
      <c r="B77" s="1124"/>
      <c r="C77" s="1199"/>
      <c r="D77" s="1199"/>
      <c r="E77" s="1133"/>
      <c r="F77" s="1124"/>
      <c r="G77" s="1133"/>
      <c r="H77" s="1196"/>
      <c r="I77" s="1200"/>
      <c r="J77" s="1201"/>
      <c r="K77" s="1131" t="n">
        <f aca="false">L77-M77</f>
        <v>-0.171144575518149</v>
      </c>
      <c r="L77" s="1144" t="n">
        <f aca="false">DataDE1c!CB100/TableDE1!B77</f>
        <v>0</v>
      </c>
      <c r="M77" s="1144" t="n">
        <f aca="false">DataDE1c!CC100/TableDE1!B77</f>
        <v>0.171144575518149</v>
      </c>
      <c r="N77" s="1202" t="n">
        <f aca="false">DataDE1c!CD100/DataDE1c!C100</f>
        <v>0.0460342521895174</v>
      </c>
      <c r="O77" s="1203" t="n">
        <f aca="false">K77/TableDE6a!J77</f>
        <v>-0.0539590371062629</v>
      </c>
      <c r="P77" s="1196"/>
      <c r="Q77" s="1199"/>
    </row>
    <row r="78" customFormat="false" ht="12" hidden="false" customHeight="true" outlineLevel="0" collapsed="false">
      <c r="A78" s="1186" t="n">
        <v>1938</v>
      </c>
      <c r="B78" s="1124"/>
      <c r="C78" s="1199"/>
      <c r="D78" s="1199"/>
      <c r="E78" s="1133"/>
      <c r="F78" s="1124"/>
      <c r="G78" s="1133"/>
      <c r="H78" s="1196"/>
      <c r="I78" s="1200"/>
      <c r="J78" s="1201"/>
      <c r="K78" s="1131" t="n">
        <f aca="false">L78-M78</f>
        <v>-0.147382450392993</v>
      </c>
      <c r="L78" s="1144" t="n">
        <f aca="false">DataDE1c!CB101/TableDE1!B78</f>
        <v>0</v>
      </c>
      <c r="M78" s="1144" t="n">
        <f aca="false">DataDE1c!CC101/TableDE1!B78</f>
        <v>0.147382450392993</v>
      </c>
      <c r="N78" s="1202" t="n">
        <f aca="false">DataDE1c!CD101/DataDE1c!C101</f>
        <v>0.0420236651915854</v>
      </c>
      <c r="O78" s="1203" t="n">
        <f aca="false">K78/TableDE6a!J78</f>
        <v>-0.0472827046353974</v>
      </c>
      <c r="P78" s="1196"/>
      <c r="Q78" s="1199"/>
    </row>
    <row r="79" customFormat="false" ht="12" hidden="false" customHeight="true" outlineLevel="0" collapsed="false">
      <c r="A79" s="1204" t="n">
        <v>1939</v>
      </c>
      <c r="B79" s="1205"/>
      <c r="C79" s="1206"/>
      <c r="D79" s="1206"/>
      <c r="E79" s="1140"/>
      <c r="F79" s="1205"/>
      <c r="G79" s="1140"/>
      <c r="H79" s="1207"/>
      <c r="I79" s="1208"/>
      <c r="J79" s="1209"/>
      <c r="K79" s="1138" t="n">
        <f aca="false">L79-M79</f>
        <v>-0.122021361588297</v>
      </c>
      <c r="L79" s="1145" t="n">
        <f aca="false">DataDE1c!CB102/TableDE1!B79</f>
        <v>0</v>
      </c>
      <c r="M79" s="1145" t="n">
        <f aca="false">DataDE1c!CC102/TableDE1!B79</f>
        <v>0.122021361588297</v>
      </c>
      <c r="N79" s="1210" t="n">
        <f aca="false">DataDE1c!CD102/DataDE1c!C102</f>
        <v>0.035346930957676</v>
      </c>
      <c r="O79" s="1211" t="n">
        <f aca="false">K79/TableDE6a!J79</f>
        <v>-0.0388731699897201</v>
      </c>
      <c r="P79" s="1196"/>
      <c r="Q79" s="1199"/>
    </row>
    <row r="80" customFormat="false" ht="12" hidden="false" customHeight="true" outlineLevel="0" collapsed="false">
      <c r="A80" s="1186" t="n">
        <v>1940</v>
      </c>
      <c r="B80" s="1124"/>
      <c r="C80" s="1199"/>
      <c r="D80" s="1199"/>
      <c r="E80" s="1133"/>
      <c r="F80" s="1124"/>
      <c r="G80" s="1133"/>
      <c r="H80" s="1196"/>
      <c r="I80" s="1200"/>
      <c r="J80" s="1201"/>
      <c r="K80" s="1131" t="n">
        <f aca="false">L80-M80</f>
        <v>-0.0988528945455652</v>
      </c>
      <c r="L80" s="1144" t="n">
        <f aca="false">DataDE1c!CB103/TableDE1!B80</f>
        <v>0</v>
      </c>
      <c r="M80" s="1144" t="n">
        <f aca="false">DataDE1c!CC103/TableDE1!B80</f>
        <v>0.0988528945455652</v>
      </c>
      <c r="N80" s="1202" t="n">
        <f aca="false">DataDE1c!CD103/DataDE1c!C103</f>
        <v>0.0304410215718226</v>
      </c>
      <c r="O80" s="1203" t="n">
        <f aca="false">K80/TableDE6a!J80</f>
        <v>-0.0311952287765062</v>
      </c>
      <c r="P80" s="1196"/>
      <c r="Q80" s="1199"/>
    </row>
    <row r="81" customFormat="false" ht="12" hidden="false" customHeight="true" outlineLevel="0" collapsed="false">
      <c r="A81" s="1186" t="n">
        <v>1941</v>
      </c>
      <c r="B81" s="1124"/>
      <c r="C81" s="1199"/>
      <c r="D81" s="1199"/>
      <c r="E81" s="1133"/>
      <c r="F81" s="1124"/>
      <c r="G81" s="1133"/>
      <c r="H81" s="1196"/>
      <c r="I81" s="1200"/>
      <c r="J81" s="1201"/>
      <c r="K81" s="1131" t="n">
        <f aca="false">L81-M81</f>
        <v>-0.117691574746142</v>
      </c>
      <c r="L81" s="1144" t="n">
        <f aca="false">DataDE1c!CB104/TableDE1!B81</f>
        <v>0</v>
      </c>
      <c r="M81" s="1144" t="n">
        <f aca="false">DataDE1c!CC104/TableDE1!B81</f>
        <v>0.117691574746142</v>
      </c>
      <c r="N81" s="1202" t="n">
        <f aca="false">DataDE1c!CD104/DataDE1c!C104</f>
        <v>0.0266460674276811</v>
      </c>
      <c r="O81" s="1203" t="n">
        <f aca="false">K81/TableDE6a!J81</f>
        <v>-0.043771029498378</v>
      </c>
      <c r="P81" s="1196"/>
      <c r="Q81" s="1199"/>
    </row>
    <row r="82" customFormat="false" ht="12" hidden="false" customHeight="true" outlineLevel="0" collapsed="false">
      <c r="A82" s="1186" t="n">
        <v>1942</v>
      </c>
      <c r="B82" s="1124"/>
      <c r="C82" s="1199"/>
      <c r="D82" s="1199"/>
      <c r="E82" s="1133"/>
      <c r="F82" s="1124"/>
      <c r="G82" s="1133"/>
      <c r="H82" s="1196"/>
      <c r="I82" s="1200"/>
      <c r="J82" s="1201"/>
      <c r="K82" s="1131" t="n">
        <f aca="false">L82-M82</f>
        <v>-0.156506179648875</v>
      </c>
      <c r="L82" s="1144" t="n">
        <f aca="false">DataDE1c!CB105/TableDE1!B82</f>
        <v>0</v>
      </c>
      <c r="M82" s="1144" t="n">
        <f aca="false">DataDE1c!CC105/TableDE1!B82</f>
        <v>0.156506179648875</v>
      </c>
      <c r="N82" s="1202" t="n">
        <f aca="false">DataDE1c!CD105/DataDE1c!C105</f>
        <v>0.0252208744203404</v>
      </c>
      <c r="O82" s="1203" t="n">
        <f aca="false">K82/TableDE6a!J82</f>
        <v>-0.0630720249661295</v>
      </c>
      <c r="P82" s="1196"/>
      <c r="Q82" s="1199"/>
    </row>
    <row r="83" customFormat="false" ht="12" hidden="false" customHeight="true" outlineLevel="0" collapsed="false">
      <c r="A83" s="1186" t="n">
        <v>1943</v>
      </c>
      <c r="B83" s="1124"/>
      <c r="C83" s="1199"/>
      <c r="D83" s="1199"/>
      <c r="E83" s="1133"/>
      <c r="F83" s="1124"/>
      <c r="G83" s="1133"/>
      <c r="H83" s="1196"/>
      <c r="I83" s="1200"/>
      <c r="J83" s="1201"/>
      <c r="K83" s="1131" t="n">
        <f aca="false">L83-M83</f>
        <v>-0.200826673350994</v>
      </c>
      <c r="L83" s="1144" t="n">
        <f aca="false">DataDE1c!CB106/TableDE1!B83</f>
        <v>0</v>
      </c>
      <c r="M83" s="1144" t="n">
        <f aca="false">DataDE1c!CC106/TableDE1!B83</f>
        <v>0.200826673350994</v>
      </c>
      <c r="N83" s="1202" t="n">
        <f aca="false">DataDE1c!CD106/DataDE1c!C106</f>
        <v>0.0237068245038106</v>
      </c>
      <c r="O83" s="1203" t="n">
        <f aca="false">K83/TableDE6a!J83</f>
        <v>-0.0863633486268405</v>
      </c>
      <c r="P83" s="1196"/>
      <c r="Q83" s="1199"/>
    </row>
    <row r="84" customFormat="false" ht="12" hidden="false" customHeight="true" outlineLevel="0" collapsed="false">
      <c r="A84" s="1186" t="n">
        <v>1944</v>
      </c>
      <c r="B84" s="1124"/>
      <c r="C84" s="1199"/>
      <c r="D84" s="1199"/>
      <c r="E84" s="1133"/>
      <c r="F84" s="1124"/>
      <c r="G84" s="1133"/>
      <c r="H84" s="1196"/>
      <c r="I84" s="1200"/>
      <c r="J84" s="1201"/>
      <c r="K84" s="1131" t="n">
        <f aca="false">L84-M84</f>
        <v>-0.264091678543932</v>
      </c>
      <c r="L84" s="1144" t="n">
        <f aca="false">DataDE1c!CB107/TableDE1!B84</f>
        <v>0</v>
      </c>
      <c r="M84" s="1144" t="n">
        <f aca="false">DataDE1c!CC107/TableDE1!B84</f>
        <v>0.264091678543932</v>
      </c>
      <c r="N84" s="1202" t="n">
        <f aca="false">DataDE1c!CD107/DataDE1c!C107</f>
        <v>0.0259059107278784</v>
      </c>
      <c r="O84" s="1203" t="n">
        <f aca="false">K84/TableDE6a!J84</f>
        <v>-0.122977803500257</v>
      </c>
      <c r="P84" s="1196"/>
      <c r="Q84" s="1199"/>
    </row>
    <row r="85" customFormat="false" ht="12" hidden="false" customHeight="true" outlineLevel="0" collapsed="false">
      <c r="A85" s="1186" t="n">
        <v>1945</v>
      </c>
      <c r="B85" s="1124"/>
      <c r="C85" s="1199"/>
      <c r="D85" s="1199"/>
      <c r="E85" s="1133"/>
      <c r="F85" s="1124"/>
      <c r="G85" s="1133"/>
      <c r="H85" s="1196"/>
      <c r="I85" s="1200"/>
      <c r="J85" s="1201"/>
      <c r="K85" s="1131" t="n">
        <f aca="false">L85-M85</f>
        <v>-0.257361066823295</v>
      </c>
      <c r="L85" s="1144" t="n">
        <f aca="false">DataDE1c!CB108/TableDE1!B85</f>
        <v>0</v>
      </c>
      <c r="M85" s="978" t="n">
        <f aca="false">M84+(M$90-M$84)/6</f>
        <v>0.257361066823295</v>
      </c>
      <c r="N85" s="1202" t="n">
        <f aca="false">DataDE1c!CD108/DataDE1c!C108</f>
        <v>0.0927589429026522</v>
      </c>
      <c r="O85" s="1203" t="n">
        <f aca="false">K85/TableDE6a!J85</f>
        <v>-0.131719884172115</v>
      </c>
      <c r="P85" s="1196"/>
      <c r="Q85" s="1199"/>
    </row>
    <row r="86" customFormat="false" ht="12" hidden="false" customHeight="true" outlineLevel="0" collapsed="false">
      <c r="A86" s="1186" t="n">
        <v>1946</v>
      </c>
      <c r="B86" s="1124"/>
      <c r="C86" s="1199"/>
      <c r="D86" s="1199"/>
      <c r="E86" s="1133"/>
      <c r="F86" s="1124"/>
      <c r="G86" s="1133"/>
      <c r="H86" s="1196"/>
      <c r="I86" s="1200"/>
      <c r="J86" s="1201"/>
      <c r="K86" s="1131" t="n">
        <f aca="false">L86-M86</f>
        <v>-0.250630455102658</v>
      </c>
      <c r="L86" s="1144" t="n">
        <f aca="false">DataDE1c!CB109/TableDE1!B86</f>
        <v>0</v>
      </c>
      <c r="M86" s="1144" t="n">
        <f aca="false">M85+(M$90-M$84)/6</f>
        <v>0.250630455102658</v>
      </c>
      <c r="N86" s="1202" t="n">
        <f aca="false">DataDE1c!CD109/DataDE1c!C109</f>
        <v>0.107326817267194</v>
      </c>
      <c r="O86" s="1203" t="n">
        <f aca="false">K86/TableDE6a!J86</f>
        <v>-0.112970585917986</v>
      </c>
      <c r="P86" s="1196"/>
      <c r="Q86" s="1199"/>
    </row>
    <row r="87" customFormat="false" ht="12" hidden="false" customHeight="true" outlineLevel="0" collapsed="false">
      <c r="A87" s="1186" t="n">
        <v>1947</v>
      </c>
      <c r="B87" s="1124"/>
      <c r="C87" s="1199"/>
      <c r="D87" s="1199"/>
      <c r="E87" s="1133"/>
      <c r="F87" s="1124"/>
      <c r="G87" s="1133"/>
      <c r="H87" s="1196"/>
      <c r="I87" s="1200"/>
      <c r="J87" s="1201"/>
      <c r="K87" s="1131" t="n">
        <f aca="false">L87-M87</f>
        <v>-0.243899843382021</v>
      </c>
      <c r="L87" s="1144" t="n">
        <f aca="false">DataDE1c!CB110/TableDE1!B87</f>
        <v>0</v>
      </c>
      <c r="M87" s="1144" t="n">
        <f aca="false">M86+(M$90-M$84)/6</f>
        <v>0.243899843382021</v>
      </c>
      <c r="N87" s="1202" t="n">
        <f aca="false">DataDE1c!CD110/DataDE1c!C110</f>
        <v>0.090642413900113</v>
      </c>
      <c r="O87" s="1203" t="n">
        <f aca="false">K87/TableDE6a!J87</f>
        <v>-0.108266723051788</v>
      </c>
      <c r="P87" s="1196"/>
      <c r="Q87" s="1199"/>
    </row>
    <row r="88" customFormat="false" ht="12" hidden="false" customHeight="true" outlineLevel="0" collapsed="false">
      <c r="A88" s="1186" t="n">
        <v>1948</v>
      </c>
      <c r="B88" s="1124"/>
      <c r="C88" s="1199"/>
      <c r="D88" s="1199"/>
      <c r="E88" s="1133"/>
      <c r="F88" s="1124"/>
      <c r="G88" s="1133"/>
      <c r="H88" s="1196"/>
      <c r="I88" s="1200"/>
      <c r="J88" s="1201"/>
      <c r="K88" s="1131" t="n">
        <f aca="false">L88-M88</f>
        <v>-0.237169231661384</v>
      </c>
      <c r="L88" s="1144" t="n">
        <f aca="false">DataDE1c!CB111/TableDE1!B88</f>
        <v>0</v>
      </c>
      <c r="M88" s="1144" t="n">
        <f aca="false">M87+(M$90-M$84)/6</f>
        <v>0.237169231661384</v>
      </c>
      <c r="N88" s="1202" t="n">
        <v>0</v>
      </c>
      <c r="O88" s="1203" t="n">
        <f aca="false">K88/TableDE6a!J88</f>
        <v>-0.100673970567592</v>
      </c>
      <c r="P88" s="1196"/>
      <c r="Q88" s="1199"/>
    </row>
    <row r="89" customFormat="false" ht="12" hidden="false" customHeight="true" outlineLevel="0" collapsed="false">
      <c r="A89" s="1204" t="n">
        <v>1949</v>
      </c>
      <c r="B89" s="1205"/>
      <c r="C89" s="1206"/>
      <c r="D89" s="1206"/>
      <c r="E89" s="1140"/>
      <c r="F89" s="1205"/>
      <c r="G89" s="1140"/>
      <c r="H89" s="1207"/>
      <c r="I89" s="1208"/>
      <c r="J89" s="1209"/>
      <c r="K89" s="1138" t="n">
        <f aca="false">L89-M89</f>
        <v>-0.230438619940747</v>
      </c>
      <c r="L89" s="1145" t="n">
        <f aca="false">DataDE1c!CB112/TableDE1!B89</f>
        <v>0</v>
      </c>
      <c r="M89" s="1145" t="n">
        <f aca="false">M88+(M$90-M$84)/6</f>
        <v>0.230438619940747</v>
      </c>
      <c r="N89" s="1210" t="n">
        <v>0</v>
      </c>
      <c r="O89" s="1211" t="n">
        <f aca="false">K89/TableDE6a!J89</f>
        <v>-0.110025222573557</v>
      </c>
      <c r="P89" s="1196"/>
      <c r="Q89" s="1199"/>
    </row>
    <row r="90" customFormat="false" ht="12" hidden="false" customHeight="true" outlineLevel="0" collapsed="false">
      <c r="A90" s="1212" t="n">
        <v>1950</v>
      </c>
      <c r="B90" s="1124"/>
      <c r="C90" s="1199"/>
      <c r="D90" s="1199"/>
      <c r="E90" s="1133"/>
      <c r="F90" s="1124"/>
      <c r="G90" s="1133"/>
      <c r="H90" s="1196"/>
      <c r="I90" s="1200"/>
      <c r="J90" s="1196"/>
      <c r="K90" s="1155" t="n">
        <f aca="false">L90-M90</f>
        <v>-0.192299378320465</v>
      </c>
      <c r="L90" s="935" t="n">
        <f aca="false">0.5*(DataDE2!Z12+DataDE2!Z13)/TableDE1!$B90</f>
        <v>0.0314086298996448</v>
      </c>
      <c r="M90" s="935" t="n">
        <f aca="false">0.5*(DataDE2!AA12+DataDE2!AA13)/TableDE1!$B90</f>
        <v>0.22370800822011</v>
      </c>
      <c r="N90" s="1157" t="n">
        <v>0</v>
      </c>
      <c r="O90" s="1213" t="n">
        <f aca="false">K90/TableDE6a!J90</f>
        <v>-0.0861662360095157</v>
      </c>
      <c r="P90" s="1214"/>
      <c r="Q90" s="1199"/>
    </row>
    <row r="91" customFormat="false" ht="12" hidden="false" customHeight="true" outlineLevel="0" collapsed="false">
      <c r="A91" s="1212" t="n">
        <v>1951</v>
      </c>
      <c r="B91" s="1124"/>
      <c r="C91" s="1199"/>
      <c r="D91" s="1199"/>
      <c r="E91" s="1133"/>
      <c r="F91" s="1124"/>
      <c r="G91" s="1133"/>
      <c r="H91" s="1196"/>
      <c r="I91" s="1200"/>
      <c r="J91" s="1196"/>
      <c r="K91" s="1155" t="n">
        <f aca="false">L91-M91</f>
        <v>-0.155810318632766</v>
      </c>
      <c r="L91" s="935" t="n">
        <f aca="false">0.5*(DataDE2!Z13+DataDE2!Z14)/TableDE1!$B91</f>
        <v>0.0408306483166472</v>
      </c>
      <c r="M91" s="935" t="n">
        <f aca="false">0.5*(DataDE2!AA13+DataDE2!AA14)/TableDE1!$B91</f>
        <v>0.196640966949413</v>
      </c>
      <c r="N91" s="1157" t="n">
        <v>0</v>
      </c>
      <c r="O91" s="1215" t="n">
        <f aca="false">K91/TableDE6a!J91</f>
        <v>-0.0712310075776672</v>
      </c>
      <c r="P91" s="1214"/>
      <c r="Q91" s="1199"/>
    </row>
    <row r="92" customFormat="false" ht="12" hidden="false" customHeight="true" outlineLevel="0" collapsed="false">
      <c r="A92" s="1212" t="n">
        <v>1952</v>
      </c>
      <c r="B92" s="1124"/>
      <c r="C92" s="1199"/>
      <c r="D92" s="1199"/>
      <c r="E92" s="1133"/>
      <c r="F92" s="1124"/>
      <c r="G92" s="1133"/>
      <c r="H92" s="1196"/>
      <c r="I92" s="1200"/>
      <c r="J92" s="1196"/>
      <c r="K92" s="1155" t="n">
        <f aca="false">L92-M92</f>
        <v>-0.117655669127216</v>
      </c>
      <c r="L92" s="935" t="n">
        <f aca="false">0.5*(DataDE2!Z14+DataDE2!Z15)/TableDE1!$B92</f>
        <v>0.05673972868161</v>
      </c>
      <c r="M92" s="935" t="n">
        <f aca="false">0.5*(DataDE2!AA14+DataDE2!AA15)/TableDE1!$B92</f>
        <v>0.174395397808826</v>
      </c>
      <c r="N92" s="1157" t="n">
        <v>0</v>
      </c>
      <c r="O92" s="1215" t="n">
        <f aca="false">K92/TableDE6a!J92</f>
        <v>-0.0535401147813266</v>
      </c>
      <c r="P92" s="1214"/>
      <c r="Q92" s="1199"/>
    </row>
    <row r="93" customFormat="false" ht="12" hidden="false" customHeight="true" outlineLevel="0" collapsed="false">
      <c r="A93" s="1212" t="n">
        <v>1953</v>
      </c>
      <c r="B93" s="1124"/>
      <c r="C93" s="1199"/>
      <c r="D93" s="1199"/>
      <c r="E93" s="1133"/>
      <c r="F93" s="1124"/>
      <c r="G93" s="1133"/>
      <c r="H93" s="1196"/>
      <c r="I93" s="1200"/>
      <c r="J93" s="1196"/>
      <c r="K93" s="1155" t="n">
        <f aca="false">L93-M93</f>
        <v>-0.0787096665304337</v>
      </c>
      <c r="L93" s="935" t="n">
        <f aca="false">0.5*(DataDE2!Z15+DataDE2!Z16)/TableDE1!$B93</f>
        <v>0.078577055109621</v>
      </c>
      <c r="M93" s="935" t="n">
        <f aca="false">0.5*(DataDE2!AA15+DataDE2!AA16)/TableDE1!$B93</f>
        <v>0.157286721640055</v>
      </c>
      <c r="N93" s="1157" t="n">
        <v>0</v>
      </c>
      <c r="O93" s="1215" t="n">
        <f aca="false">K93/TableDE6a!J93</f>
        <v>-0.0349863668827684</v>
      </c>
      <c r="P93" s="1214"/>
      <c r="Q93" s="1199"/>
    </row>
    <row r="94" customFormat="false" ht="12" hidden="false" customHeight="true" outlineLevel="0" collapsed="false">
      <c r="A94" s="1212" t="n">
        <v>1954</v>
      </c>
      <c r="B94" s="1124"/>
      <c r="C94" s="1199"/>
      <c r="D94" s="1199"/>
      <c r="E94" s="1133"/>
      <c r="F94" s="1124"/>
      <c r="G94" s="1133"/>
      <c r="H94" s="1196"/>
      <c r="I94" s="1200"/>
      <c r="J94" s="1196"/>
      <c r="K94" s="1155" t="n">
        <f aca="false">L94-M94</f>
        <v>-0.0464447577393456</v>
      </c>
      <c r="L94" s="935" t="n">
        <f aca="false">0.5*(DataDE2!Z16+DataDE2!Z17)/TableDE1!$B94</f>
        <v>0.0993831071499954</v>
      </c>
      <c r="M94" s="935" t="n">
        <f aca="false">0.5*(DataDE2!AA16+DataDE2!AA17)/TableDE1!$B94</f>
        <v>0.145827864889341</v>
      </c>
      <c r="N94" s="1157" t="n">
        <v>0</v>
      </c>
      <c r="O94" s="1215" t="n">
        <f aca="false">K94/TableDE6a!J94</f>
        <v>-0.019805253517568</v>
      </c>
      <c r="P94" s="1214"/>
      <c r="Q94" s="1199"/>
    </row>
    <row r="95" customFormat="false" ht="12" hidden="false" customHeight="true" outlineLevel="0" collapsed="false">
      <c r="A95" s="1212" t="n">
        <v>1955</v>
      </c>
      <c r="B95" s="1124"/>
      <c r="C95" s="1199"/>
      <c r="D95" s="1199"/>
      <c r="E95" s="1133"/>
      <c r="F95" s="1124"/>
      <c r="G95" s="1133"/>
      <c r="H95" s="1196"/>
      <c r="I95" s="1200"/>
      <c r="J95" s="1196"/>
      <c r="K95" s="1155" t="n">
        <f aca="false">L95-M95</f>
        <v>-0.0285479935030533</v>
      </c>
      <c r="L95" s="935" t="n">
        <f aca="false">0.5*(DataDE2!Z17+DataDE2!Z18)/TableDE1!$B95</f>
        <v>0.107740661087878</v>
      </c>
      <c r="M95" s="935" t="n">
        <f aca="false">0.5*(DataDE2!AA17+DataDE2!AA18)/TableDE1!$B95</f>
        <v>0.136288654590932</v>
      </c>
      <c r="N95" s="1157" t="n">
        <v>0</v>
      </c>
      <c r="O95" s="1215" t="n">
        <f aca="false">K95/TableDE6a!J95</f>
        <v>-0.0125551464086511</v>
      </c>
      <c r="P95" s="1214"/>
      <c r="Q95" s="1199"/>
    </row>
    <row r="96" customFormat="false" ht="12" hidden="false" customHeight="true" outlineLevel="0" collapsed="false">
      <c r="A96" s="1212" t="n">
        <v>1956</v>
      </c>
      <c r="B96" s="1124"/>
      <c r="C96" s="1199"/>
      <c r="D96" s="1199"/>
      <c r="E96" s="1133"/>
      <c r="F96" s="1124"/>
      <c r="G96" s="1133"/>
      <c r="H96" s="1196"/>
      <c r="I96" s="1200"/>
      <c r="J96" s="1196"/>
      <c r="K96" s="1155" t="n">
        <f aca="false">L96-M96</f>
        <v>-0.00994319279015742</v>
      </c>
      <c r="L96" s="935" t="n">
        <f aca="false">0.5*(DataDE2!Z18+DataDE2!Z19)/TableDE1!$B96</f>
        <v>0.123886284890104</v>
      </c>
      <c r="M96" s="935" t="n">
        <f aca="false">0.5*(DataDE2!AA18+DataDE2!AA19)/TableDE1!$B96</f>
        <v>0.133829477680261</v>
      </c>
      <c r="N96" s="1157" t="n">
        <v>0</v>
      </c>
      <c r="O96" s="1215" t="n">
        <f aca="false">K96/TableDE6a!J96</f>
        <v>-0.00439250505866424</v>
      </c>
      <c r="P96" s="1214"/>
      <c r="Q96" s="1199"/>
    </row>
    <row r="97" customFormat="false" ht="12" hidden="false" customHeight="true" outlineLevel="0" collapsed="false">
      <c r="A97" s="1212" t="n">
        <v>1957</v>
      </c>
      <c r="B97" s="1124"/>
      <c r="C97" s="1199"/>
      <c r="D97" s="1199"/>
      <c r="E97" s="1133"/>
      <c r="F97" s="1124"/>
      <c r="G97" s="1133"/>
      <c r="H97" s="1196"/>
      <c r="I97" s="1200"/>
      <c r="J97" s="1196"/>
      <c r="K97" s="1155" t="n">
        <f aca="false">L97-M97</f>
        <v>0.0155992870984174</v>
      </c>
      <c r="L97" s="935" t="n">
        <f aca="false">0.5*(DataDE2!Z19+DataDE2!Z20)/TableDE1!$B97</f>
        <v>0.153238226153351</v>
      </c>
      <c r="M97" s="935" t="n">
        <f aca="false">0.5*(DataDE2!AA19+DataDE2!AA20)/TableDE1!$B97</f>
        <v>0.137638939054934</v>
      </c>
      <c r="N97" s="1157" t="n">
        <v>0</v>
      </c>
      <c r="O97" s="1215" t="n">
        <f aca="false">K97/TableDE6a!J97</f>
        <v>0.00677114137979898</v>
      </c>
      <c r="P97" s="1214"/>
      <c r="Q97" s="1199"/>
    </row>
    <row r="98" customFormat="false" ht="12" hidden="false" customHeight="true" outlineLevel="0" collapsed="false">
      <c r="A98" s="1212" t="n">
        <v>1958</v>
      </c>
      <c r="B98" s="1124"/>
      <c r="C98" s="1199"/>
      <c r="D98" s="1199"/>
      <c r="E98" s="1133"/>
      <c r="F98" s="1124"/>
      <c r="G98" s="1133"/>
      <c r="H98" s="1196"/>
      <c r="I98" s="1200"/>
      <c r="J98" s="1196"/>
      <c r="K98" s="1155" t="n">
        <f aca="false">L98-M98</f>
        <v>0.0396900800240571</v>
      </c>
      <c r="L98" s="935" t="n">
        <f aca="false">0.5*(DataDE2!Z20+DataDE2!Z21)/TableDE1!$B98</f>
        <v>0.177779175388091</v>
      </c>
      <c r="M98" s="935" t="n">
        <f aca="false">0.5*(DataDE2!AA20+DataDE2!AA21)/TableDE1!$B98</f>
        <v>0.138089095364034</v>
      </c>
      <c r="N98" s="1157" t="n">
        <v>0</v>
      </c>
      <c r="O98" s="1215" t="n">
        <f aca="false">K98/TableDE6a!J98</f>
        <v>0.0164616981661024</v>
      </c>
      <c r="P98" s="1214"/>
      <c r="Q98" s="1199"/>
    </row>
    <row r="99" customFormat="false" ht="12" hidden="false" customHeight="true" outlineLevel="0" collapsed="false">
      <c r="A99" s="1216" t="n">
        <v>1959</v>
      </c>
      <c r="B99" s="1205"/>
      <c r="C99" s="1206"/>
      <c r="D99" s="1206"/>
      <c r="E99" s="1140"/>
      <c r="F99" s="1205"/>
      <c r="G99" s="1140"/>
      <c r="H99" s="1207"/>
      <c r="I99" s="1208"/>
      <c r="J99" s="1207"/>
      <c r="K99" s="1158" t="n">
        <f aca="false">L99-M99</f>
        <v>0.0528618458968158</v>
      </c>
      <c r="L99" s="1063" t="n">
        <f aca="false">0.5*(DataDE2!Z21+DataDE2!Z22)/TableDE1!$B99</f>
        <v>0.186150272595469</v>
      </c>
      <c r="M99" s="1063" t="n">
        <f aca="false">0.5*(DataDE2!AA21+DataDE2!AA22)/TableDE1!$B99</f>
        <v>0.133288426698654</v>
      </c>
      <c r="N99" s="1160" t="n">
        <v>0</v>
      </c>
      <c r="O99" s="1217" t="n">
        <f aca="false">K99/TableDE6a!J99</f>
        <v>0.0214203010329209</v>
      </c>
      <c r="P99" s="1214"/>
      <c r="Q99" s="1199"/>
    </row>
    <row r="100" customFormat="false" ht="12" hidden="false" customHeight="true" outlineLevel="0" collapsed="false">
      <c r="A100" s="1212" t="n">
        <v>1960</v>
      </c>
      <c r="B100" s="1124"/>
      <c r="C100" s="1199"/>
      <c r="D100" s="1199"/>
      <c r="E100" s="1133"/>
      <c r="F100" s="1124"/>
      <c r="G100" s="1133"/>
      <c r="H100" s="1196"/>
      <c r="I100" s="1200"/>
      <c r="J100" s="1196"/>
      <c r="K100" s="1155" t="n">
        <f aca="false">L100-M100</f>
        <v>0.0610890413008045</v>
      </c>
      <c r="L100" s="935" t="n">
        <f aca="false">0.5*(DataDE2!Z22+DataDE2!Z23)/TableDE1!$B100</f>
        <v>0.19783664689144</v>
      </c>
      <c r="M100" s="935" t="n">
        <f aca="false">0.5*(DataDE2!AA22+DataDE2!AA23)/TableDE1!$B100</f>
        <v>0.136747605590636</v>
      </c>
      <c r="N100" s="1157" t="n">
        <v>0</v>
      </c>
      <c r="O100" s="1215" t="n">
        <f aca="false">K100/TableDE6a!J100</f>
        <v>0.0242121314898434</v>
      </c>
      <c r="P100" s="1214"/>
      <c r="Q100" s="1199"/>
    </row>
    <row r="101" customFormat="false" ht="12" hidden="false" customHeight="true" outlineLevel="0" collapsed="false">
      <c r="A101" s="1212" t="n">
        <v>1961</v>
      </c>
      <c r="B101" s="1124"/>
      <c r="C101" s="1199"/>
      <c r="D101" s="1199"/>
      <c r="E101" s="1133"/>
      <c r="F101" s="1124"/>
      <c r="G101" s="1133"/>
      <c r="H101" s="1196"/>
      <c r="I101" s="1200"/>
      <c r="J101" s="1196"/>
      <c r="K101" s="1155" t="n">
        <f aca="false">L101-M101</f>
        <v>0.0677101234132682</v>
      </c>
      <c r="L101" s="935" t="n">
        <f aca="false">0.5*(DataDE2!Z23+DataDE2!Z24)/TableDE1!$B101</f>
        <v>0.208752925842211</v>
      </c>
      <c r="M101" s="935" t="n">
        <f aca="false">0.5*(DataDE2!AA23+DataDE2!AA24)/TableDE1!$B101</f>
        <v>0.141042802428942</v>
      </c>
      <c r="N101" s="1157" t="n">
        <v>0</v>
      </c>
      <c r="O101" s="1215" t="n">
        <f aca="false">K101/TableDE6a!J101</f>
        <v>0.0251978919292563</v>
      </c>
      <c r="P101" s="1214"/>
      <c r="Q101" s="1199"/>
    </row>
    <row r="102" customFormat="false" ht="12" hidden="false" customHeight="true" outlineLevel="0" collapsed="false">
      <c r="A102" s="1212" t="n">
        <v>1962</v>
      </c>
      <c r="B102" s="1124"/>
      <c r="C102" s="1199"/>
      <c r="D102" s="1199"/>
      <c r="E102" s="1133"/>
      <c r="F102" s="1124"/>
      <c r="G102" s="1133"/>
      <c r="H102" s="1196"/>
      <c r="I102" s="1200"/>
      <c r="J102" s="1196"/>
      <c r="K102" s="1155" t="n">
        <f aca="false">L102-M102</f>
        <v>0.0658754510042049</v>
      </c>
      <c r="L102" s="935" t="n">
        <f aca="false">0.5*(DataDE2!Z24+DataDE2!Z25)/TableDE1!$B102</f>
        <v>0.204955108305173</v>
      </c>
      <c r="M102" s="935" t="n">
        <f aca="false">0.5*(DataDE2!AA24+DataDE2!AA25)/TableDE1!$B102</f>
        <v>0.139079657300968</v>
      </c>
      <c r="N102" s="1157" t="n">
        <v>0</v>
      </c>
      <c r="O102" s="1215" t="n">
        <f aca="false">K102/TableDE6a!J102</f>
        <v>0.0235045049917852</v>
      </c>
      <c r="P102" s="1214"/>
      <c r="Q102" s="1199"/>
    </row>
    <row r="103" customFormat="false" ht="12" hidden="false" customHeight="true" outlineLevel="0" collapsed="false">
      <c r="A103" s="1212" t="n">
        <v>1963</v>
      </c>
      <c r="B103" s="1124"/>
      <c r="C103" s="1199"/>
      <c r="D103" s="1199"/>
      <c r="E103" s="1133"/>
      <c r="F103" s="1124"/>
      <c r="G103" s="1133"/>
      <c r="H103" s="1196"/>
      <c r="I103" s="1200"/>
      <c r="J103" s="1196"/>
      <c r="K103" s="1155" t="n">
        <f aca="false">L103-M103</f>
        <v>0.0651151385266035</v>
      </c>
      <c r="L103" s="935" t="n">
        <f aca="false">0.5*(DataDE2!Z25+DataDE2!Z26)/TableDE1!$B103</f>
        <v>0.210121134170978</v>
      </c>
      <c r="M103" s="935" t="n">
        <f aca="false">0.5*(DataDE2!AA25+DataDE2!AA26)/TableDE1!$B103</f>
        <v>0.145005995644374</v>
      </c>
      <c r="N103" s="1157" t="n">
        <v>0</v>
      </c>
      <c r="O103" s="1215" t="n">
        <f aca="false">K103/TableDE6a!J103</f>
        <v>0.0220617986178245</v>
      </c>
      <c r="P103" s="1214"/>
      <c r="Q103" s="1199"/>
    </row>
    <row r="104" customFormat="false" ht="12" hidden="false" customHeight="true" outlineLevel="0" collapsed="false">
      <c r="A104" s="1212" t="n">
        <v>1964</v>
      </c>
      <c r="B104" s="1124"/>
      <c r="C104" s="1199"/>
      <c r="D104" s="1199"/>
      <c r="E104" s="1133"/>
      <c r="F104" s="1124"/>
      <c r="G104" s="1133"/>
      <c r="H104" s="1196"/>
      <c r="I104" s="1200"/>
      <c r="J104" s="1196"/>
      <c r="K104" s="1155" t="n">
        <f aca="false">L104-M104</f>
        <v>0.0637007133652625</v>
      </c>
      <c r="L104" s="935" t="n">
        <f aca="false">0.5*(DataDE2!Z26+DataDE2!Z27)/TableDE1!$B104</f>
        <v>0.211756523431149</v>
      </c>
      <c r="M104" s="935" t="n">
        <f aca="false">0.5*(DataDE2!AA26+DataDE2!AA27)/TableDE1!$B104</f>
        <v>0.148055810065886</v>
      </c>
      <c r="N104" s="1157" t="n">
        <v>0</v>
      </c>
      <c r="O104" s="1215" t="n">
        <f aca="false">K104/TableDE6a!J104</f>
        <v>0.0214661091962321</v>
      </c>
      <c r="P104" s="1214"/>
      <c r="Q104" s="1199"/>
    </row>
    <row r="105" customFormat="false" ht="12" hidden="false" customHeight="true" outlineLevel="0" collapsed="false">
      <c r="A105" s="1212" t="n">
        <v>1965</v>
      </c>
      <c r="B105" s="1124"/>
      <c r="C105" s="1199"/>
      <c r="D105" s="1199"/>
      <c r="E105" s="1133"/>
      <c r="F105" s="1124"/>
      <c r="G105" s="1133"/>
      <c r="H105" s="1196"/>
      <c r="I105" s="1200"/>
      <c r="J105" s="1196"/>
      <c r="K105" s="1155" t="n">
        <f aca="false">L105-M105</f>
        <v>0.0548946283071297</v>
      </c>
      <c r="L105" s="935" t="n">
        <f aca="false">0.5*(DataDE2!Z27+DataDE2!Z28)/TableDE1!$B105</f>
        <v>0.208154576086319</v>
      </c>
      <c r="M105" s="935" t="n">
        <f aca="false">0.5*(DataDE2!AA27+DataDE2!AA28)/TableDE1!$B105</f>
        <v>0.153259947779189</v>
      </c>
      <c r="N105" s="1157" t="n">
        <v>0</v>
      </c>
      <c r="O105" s="1215" t="n">
        <f aca="false">K105/TableDE6a!J105</f>
        <v>0.0185018215400478</v>
      </c>
      <c r="P105" s="1214"/>
      <c r="Q105" s="1199"/>
    </row>
    <row r="106" customFormat="false" ht="12" hidden="false" customHeight="true" outlineLevel="0" collapsed="false">
      <c r="A106" s="1212" t="n">
        <v>1966</v>
      </c>
      <c r="B106" s="1124"/>
      <c r="C106" s="1199"/>
      <c r="D106" s="1199"/>
      <c r="E106" s="1133"/>
      <c r="F106" s="1124"/>
      <c r="G106" s="1133"/>
      <c r="H106" s="1196"/>
      <c r="I106" s="1200"/>
      <c r="J106" s="1196"/>
      <c r="K106" s="1155" t="n">
        <f aca="false">L106-M106</f>
        <v>0.0507266963803085</v>
      </c>
      <c r="L106" s="935" t="n">
        <f aca="false">0.5*(DataDE2!Z28+DataDE2!Z29)/TableDE1!$B106</f>
        <v>0.209244932353649</v>
      </c>
      <c r="M106" s="935" t="n">
        <f aca="false">0.5*(DataDE2!AA28+DataDE2!AA29)/TableDE1!$B106</f>
        <v>0.15851823597334</v>
      </c>
      <c r="N106" s="1157" t="n">
        <v>0</v>
      </c>
      <c r="O106" s="1215" t="n">
        <f aca="false">K106/TableDE6a!J106</f>
        <v>0.0166770213997557</v>
      </c>
      <c r="P106" s="1214"/>
      <c r="Q106" s="1199"/>
    </row>
    <row r="107" customFormat="false" ht="12" hidden="false" customHeight="true" outlineLevel="0" collapsed="false">
      <c r="A107" s="1212" t="n">
        <v>1967</v>
      </c>
      <c r="B107" s="1124"/>
      <c r="C107" s="1199"/>
      <c r="D107" s="1199"/>
      <c r="E107" s="1133"/>
      <c r="F107" s="1124"/>
      <c r="G107" s="1133"/>
      <c r="H107" s="1196"/>
      <c r="I107" s="1200"/>
      <c r="J107" s="1196"/>
      <c r="K107" s="1155" t="n">
        <f aca="false">L107-M107</f>
        <v>0.065836330667668</v>
      </c>
      <c r="L107" s="935" t="n">
        <f aca="false">0.5*(DataDE2!Z29+DataDE2!Z30)/TableDE1!$B107</f>
        <v>0.233044288212614</v>
      </c>
      <c r="M107" s="935" t="n">
        <f aca="false">0.5*(DataDE2!AA29+DataDE2!AA30)/TableDE1!$B107</f>
        <v>0.167207957544945</v>
      </c>
      <c r="N107" s="1157" t="n">
        <v>0</v>
      </c>
      <c r="O107" s="1215" t="n">
        <f aca="false">K107/TableDE6a!J107</f>
        <v>0.0200821651312344</v>
      </c>
      <c r="P107" s="1214"/>
      <c r="Q107" s="1199"/>
    </row>
    <row r="108" customFormat="false" ht="12" hidden="false" customHeight="true" outlineLevel="0" collapsed="false">
      <c r="A108" s="1212" t="n">
        <v>1968</v>
      </c>
      <c r="B108" s="1124"/>
      <c r="C108" s="1199"/>
      <c r="D108" s="1199"/>
      <c r="E108" s="1133"/>
      <c r="F108" s="1124"/>
      <c r="G108" s="1133"/>
      <c r="H108" s="1196"/>
      <c r="I108" s="1200"/>
      <c r="J108" s="1196"/>
      <c r="K108" s="1155" t="n">
        <f aca="false">L108-M108</f>
        <v>0.0828864881827455</v>
      </c>
      <c r="L108" s="935" t="n">
        <f aca="false">0.5*(DataDE2!Z30+DataDE2!Z31)/TableDE1!$B108</f>
        <v>0.255078250320532</v>
      </c>
      <c r="M108" s="935" t="n">
        <f aca="false">0.5*(DataDE2!AA30+DataDE2!AA31)/TableDE1!$B108</f>
        <v>0.172191762137786</v>
      </c>
      <c r="N108" s="1157" t="n">
        <v>0</v>
      </c>
      <c r="O108" s="1215" t="n">
        <f aca="false">K108/TableDE6a!J108</f>
        <v>0.0251996452224559</v>
      </c>
      <c r="P108" s="1214"/>
      <c r="Q108" s="1199"/>
    </row>
    <row r="109" customFormat="false" ht="12" hidden="false" customHeight="true" outlineLevel="0" collapsed="false">
      <c r="A109" s="1216" t="n">
        <v>1969</v>
      </c>
      <c r="B109" s="1205"/>
      <c r="C109" s="1206"/>
      <c r="D109" s="1206"/>
      <c r="E109" s="1140"/>
      <c r="F109" s="1205"/>
      <c r="G109" s="1140"/>
      <c r="H109" s="1207"/>
      <c r="I109" s="1208"/>
      <c r="J109" s="1207"/>
      <c r="K109" s="1158" t="n">
        <f aca="false">L109-M109</f>
        <v>0.0854995338095812</v>
      </c>
      <c r="L109" s="1063" t="n">
        <f aca="false">0.5*(DataDE2!Z31+DataDE2!Z32)/TableDE1!$B109</f>
        <v>0.260390052441766</v>
      </c>
      <c r="M109" s="1063" t="n">
        <f aca="false">0.5*(DataDE2!AA31+DataDE2!AA32)/TableDE1!$B109</f>
        <v>0.174890518632185</v>
      </c>
      <c r="N109" s="1160" t="n">
        <v>0</v>
      </c>
      <c r="O109" s="1217" t="n">
        <f aca="false">K109/TableDE6a!J109</f>
        <v>0.0265411058338878</v>
      </c>
      <c r="P109" s="1214"/>
      <c r="Q109" s="1199"/>
    </row>
    <row r="110" customFormat="false" ht="12" hidden="false" customHeight="true" outlineLevel="0" collapsed="false">
      <c r="A110" s="1212" t="n">
        <v>1970</v>
      </c>
      <c r="B110" s="1155"/>
      <c r="C110" s="1050" t="n">
        <f aca="false">0.5*(DataDE2!B32+DataDE2!B33)/TableDE1!$B110</f>
        <v>1.71941182930761</v>
      </c>
      <c r="D110" s="1218"/>
      <c r="E110" s="1156"/>
      <c r="F110" s="1155" t="n">
        <f aca="false">F111</f>
        <v>0.581023321118476</v>
      </c>
      <c r="G110" s="1157" t="n">
        <f aca="false">G111</f>
        <v>1.17332150352098</v>
      </c>
      <c r="H110" s="1214"/>
      <c r="I110" s="1219"/>
      <c r="J110" s="1219" t="n">
        <f aca="false">TableDE6a!J110+TableDE6b!G110</f>
        <v>4.30651009809823</v>
      </c>
      <c r="K110" s="1155" t="n">
        <f aca="false">L110-M110</f>
        <v>0.0795714997508719</v>
      </c>
      <c r="L110" s="935" t="n">
        <f aca="false">0.5*(DataDE2!Z32+DataDE2!Z33)/TableDE1!$B110</f>
        <v>0.267524601395117</v>
      </c>
      <c r="M110" s="935" t="n">
        <f aca="false">0.5*(DataDE2!AA32+DataDE2!AA33)/TableDE1!$B110</f>
        <v>0.187953101644245</v>
      </c>
      <c r="N110" s="1157" t="n">
        <v>0</v>
      </c>
      <c r="O110" s="1215" t="n">
        <f aca="false">K110/TableDE6a!J110</f>
        <v>0.0253963326333403</v>
      </c>
      <c r="P110" s="1214"/>
      <c r="Q110" s="1220"/>
      <c r="S110" s="1221"/>
      <c r="T110" s="1221"/>
      <c r="U110" s="1221"/>
    </row>
    <row r="111" customFormat="false" ht="12" hidden="false" customHeight="true" outlineLevel="0" collapsed="false">
      <c r="A111" s="1212" t="n">
        <v>1971</v>
      </c>
      <c r="B111" s="1155" t="n">
        <f aca="false">C111+D111-E111</f>
        <v>1.75434482463946</v>
      </c>
      <c r="C111" s="1050" t="n">
        <f aca="false">0.5*(DataDE2!B33+DataDE2!B34)/TableDE1!$B111</f>
        <v>1.7641068770933</v>
      </c>
      <c r="D111" s="1050" t="n">
        <f aca="false">0.5*(DataDE2!J33+DataDE2!J34)/TableDE1!$B111</f>
        <v>1.85991917743439</v>
      </c>
      <c r="E111" s="1156" t="n">
        <f aca="false">0.5*(DataDE2!K33+DataDE2!K34)/TableDE1!$B111-F111</f>
        <v>1.86968122988823</v>
      </c>
      <c r="F111" s="1155" t="n">
        <f aca="false">0.5*(DataDE2!L33+DataDE2!L34)/TableDE1!$B111</f>
        <v>0.581023321118476</v>
      </c>
      <c r="G111" s="1157" t="n">
        <f aca="false">B111-F111</f>
        <v>1.17332150352098</v>
      </c>
      <c r="H111" s="1214" t="n">
        <f aca="false">F111/B111</f>
        <v>0.33119105945314</v>
      </c>
      <c r="I111" s="1219" t="n">
        <f aca="false">G111/TableDE6a!J111</f>
        <v>0.380315438140778</v>
      </c>
      <c r="J111" s="1219" t="n">
        <f aca="false">TableDE6a!J111+TableDE6b!G111</f>
        <v>4.2584487054482</v>
      </c>
      <c r="K111" s="1155" t="n">
        <f aca="false">L111-M111</f>
        <v>0.0723317538218537</v>
      </c>
      <c r="L111" s="935" t="n">
        <f aca="false">0.5*(DataDE2!Z33+DataDE2!Z34)/TableDE1!$B111</f>
        <v>0.27743414001241</v>
      </c>
      <c r="M111" s="935" t="n">
        <f aca="false">0.5*(DataDE2!AA33+DataDE2!AA34)/TableDE1!$B111</f>
        <v>0.205102386190557</v>
      </c>
      <c r="N111" s="1157" t="n">
        <v>0</v>
      </c>
      <c r="O111" s="1215" t="n">
        <f aca="false">K111/TableDE6a!J111</f>
        <v>0.0234453068180364</v>
      </c>
      <c r="P111" s="1214"/>
      <c r="Q111" s="1220"/>
      <c r="S111" s="1221"/>
      <c r="T111" s="1221"/>
      <c r="U111" s="1221"/>
    </row>
    <row r="112" customFormat="false" ht="12" hidden="false" customHeight="true" outlineLevel="0" collapsed="false">
      <c r="A112" s="1212" t="n">
        <v>1972</v>
      </c>
      <c r="B112" s="1155" t="n">
        <f aca="false">C112+D112-E112</f>
        <v>1.78586553871773</v>
      </c>
      <c r="C112" s="1050" t="n">
        <f aca="false">0.5*(DataDE2!B34+DataDE2!B35)/TableDE1!$B112</f>
        <v>1.81087443660106</v>
      </c>
      <c r="D112" s="1050" t="n">
        <f aca="false">0.5*(DataDE2!J34+DataDE2!J35)/TableDE1!$B112</f>
        <v>1.95057930579512</v>
      </c>
      <c r="E112" s="1156" t="n">
        <f aca="false">0.5*(DataDE2!K34+DataDE2!K35)/TableDE1!$B112-F112</f>
        <v>1.97558820367845</v>
      </c>
      <c r="F112" s="1155" t="n">
        <f aca="false">0.5*(DataDE2!L34+DataDE2!L35)/TableDE1!$B112</f>
        <v>0.577117419614426</v>
      </c>
      <c r="G112" s="1157" t="n">
        <f aca="false">B112-F112</f>
        <v>1.2087481191033</v>
      </c>
      <c r="H112" s="1214" t="n">
        <f aca="false">F112/B112</f>
        <v>0.323158382925516</v>
      </c>
      <c r="I112" s="1219" t="n">
        <f aca="false">G112/TableDE6a!J112</f>
        <v>0.390076611639372</v>
      </c>
      <c r="J112" s="1219" t="n">
        <f aca="false">TableDE6a!J112+TableDE6b!G112</f>
        <v>4.3074935527844</v>
      </c>
      <c r="K112" s="1155" t="n">
        <f aca="false">L112-M112</f>
        <v>0.0652604815276049</v>
      </c>
      <c r="L112" s="935" t="n">
        <f aca="false">0.5*(DataDE2!Z34+DataDE2!Z35)/TableDE1!$B112</f>
        <v>0.278907222914072</v>
      </c>
      <c r="M112" s="935" t="n">
        <f aca="false">0.5*(DataDE2!AA34+DataDE2!AA35)/TableDE1!$B112</f>
        <v>0.213646741386467</v>
      </c>
      <c r="N112" s="1157" t="n">
        <v>0</v>
      </c>
      <c r="O112" s="1215" t="n">
        <f aca="false">K112/TableDE6a!J112</f>
        <v>0.0210602913095961</v>
      </c>
      <c r="P112" s="1214"/>
      <c r="Q112" s="1220"/>
      <c r="S112" s="1221"/>
      <c r="T112" s="1221"/>
      <c r="U112" s="1221"/>
    </row>
    <row r="113" customFormat="false" ht="12" hidden="false" customHeight="true" outlineLevel="0" collapsed="false">
      <c r="A113" s="1212" t="n">
        <v>1973</v>
      </c>
      <c r="B113" s="1155" t="n">
        <f aca="false">C113+D113-E113</f>
        <v>1.75763854793488</v>
      </c>
      <c r="C113" s="1050" t="n">
        <f aca="false">0.5*(DataDE2!B35+DataDE2!B36)/TableDE1!$B113</f>
        <v>1.79446357266673</v>
      </c>
      <c r="D113" s="1050" t="n">
        <f aca="false">0.5*(DataDE2!J35+DataDE2!J36)/TableDE1!$B113</f>
        <v>1.96546731406564</v>
      </c>
      <c r="E113" s="1156" t="n">
        <f aca="false">0.5*(DataDE2!K35+DataDE2!K36)/TableDE1!$B113-F113</f>
        <v>2.00229233879749</v>
      </c>
      <c r="F113" s="1155" t="n">
        <f aca="false">0.5*(DataDE2!L35+DataDE2!L36)/TableDE1!$B113</f>
        <v>0.556158374454123</v>
      </c>
      <c r="G113" s="1157" t="n">
        <f aca="false">B113-F113</f>
        <v>1.20148017348076</v>
      </c>
      <c r="H113" s="1214" t="n">
        <f aca="false">F113/B113</f>
        <v>0.316423632781367</v>
      </c>
      <c r="I113" s="1219" t="n">
        <f aca="false">G113/TableDE6a!J113</f>
        <v>0.392582850983982</v>
      </c>
      <c r="J113" s="1219" t="n">
        <f aca="false">TableDE6a!J113+TableDE6b!G113</f>
        <v>4.26193014084264</v>
      </c>
      <c r="K113" s="1155" t="n">
        <f aca="false">L113-M113</f>
        <v>0.062238673930251</v>
      </c>
      <c r="L113" s="935" t="n">
        <f aca="false">0.5*(DataDE2!Z35+DataDE2!Z36)/TableDE1!$B113</f>
        <v>0.277109233133119</v>
      </c>
      <c r="M113" s="935" t="n">
        <f aca="false">0.5*(DataDE2!AA35+DataDE2!AA36)/TableDE1!$B113</f>
        <v>0.214870559202868</v>
      </c>
      <c r="N113" s="1157" t="n">
        <v>0</v>
      </c>
      <c r="O113" s="1215" t="n">
        <f aca="false">K113/TableDE6a!J113</f>
        <v>0.02033644548808</v>
      </c>
      <c r="P113" s="1214"/>
      <c r="Q113" s="1220"/>
      <c r="S113" s="1221"/>
      <c r="T113" s="1221"/>
      <c r="U113" s="1221"/>
    </row>
    <row r="114" customFormat="false" ht="12" hidden="false" customHeight="true" outlineLevel="0" collapsed="false">
      <c r="A114" s="1212" t="n">
        <v>1974</v>
      </c>
      <c r="B114" s="1155" t="n">
        <f aca="false">C114+D114-E114</f>
        <v>1.78850561093008</v>
      </c>
      <c r="C114" s="1050" t="n">
        <f aca="false">0.5*(DataDE2!B36+DataDE2!B37)/TableDE1!$B114</f>
        <v>1.83607836142533</v>
      </c>
      <c r="D114" s="1050" t="n">
        <f aca="false">0.5*(DataDE2!J36+DataDE2!J37)/TableDE1!$B114</f>
        <v>2.02578535056737</v>
      </c>
      <c r="E114" s="1156" t="n">
        <f aca="false">0.5*(DataDE2!K36+DataDE2!K37)/TableDE1!$B114-F114</f>
        <v>2.07335810106262</v>
      </c>
      <c r="F114" s="1155" t="n">
        <f aca="false">0.5*(DataDE2!L36+DataDE2!L37)/TableDE1!$B114</f>
        <v>0.552242572203785</v>
      </c>
      <c r="G114" s="1157" t="n">
        <f aca="false">B114-F114</f>
        <v>1.2362630387263</v>
      </c>
      <c r="H114" s="1214" t="n">
        <f aca="false">F114/B114</f>
        <v>0.308773184064321</v>
      </c>
      <c r="I114" s="1219" t="n">
        <f aca="false">G114/TableDE6a!J114</f>
        <v>0.399194030144081</v>
      </c>
      <c r="J114" s="1219" t="n">
        <f aca="false">TableDE6a!J114+TableDE6b!G114</f>
        <v>4.33316065084764</v>
      </c>
      <c r="K114" s="1155" t="n">
        <f aca="false">L114-M114</f>
        <v>0.070162424032701</v>
      </c>
      <c r="L114" s="935" t="n">
        <f aca="false">0.5*(DataDE2!Z36+DataDE2!Z37)/TableDE1!$B114</f>
        <v>0.287567316218613</v>
      </c>
      <c r="M114" s="935" t="n">
        <f aca="false">0.5*(DataDE2!AA36+DataDE2!AA37)/TableDE1!$B114</f>
        <v>0.217404892185912</v>
      </c>
      <c r="N114" s="1157" t="n">
        <v>0</v>
      </c>
      <c r="O114" s="1215" t="n">
        <f aca="false">K114/TableDE6a!J114</f>
        <v>0.0226557131750444</v>
      </c>
      <c r="P114" s="1214"/>
      <c r="Q114" s="1220"/>
      <c r="S114" s="1221"/>
      <c r="T114" s="1221"/>
      <c r="U114" s="1221"/>
    </row>
    <row r="115" customFormat="false" ht="12" hidden="false" customHeight="true" outlineLevel="0" collapsed="false">
      <c r="A115" s="1212" t="n">
        <v>1975</v>
      </c>
      <c r="B115" s="1155" t="n">
        <f aca="false">C115+D115-E115</f>
        <v>1.83337622739308</v>
      </c>
      <c r="C115" s="1050" t="n">
        <f aca="false">0.5*(DataDE2!B37+DataDE2!B38)/TableDE1!$B115</f>
        <v>1.89175588005185</v>
      </c>
      <c r="D115" s="1050" t="n">
        <f aca="false">0.5*(DataDE2!J37+DataDE2!J38)/TableDE1!$B115</f>
        <v>2.13231784463629</v>
      </c>
      <c r="E115" s="1156" t="n">
        <f aca="false">0.5*(DataDE2!K37+DataDE2!K38)/TableDE1!$B115-F115</f>
        <v>2.19069749729506</v>
      </c>
      <c r="F115" s="1155" t="n">
        <f aca="false">0.5*(DataDE2!L37+DataDE2!L38)/TableDE1!$B115</f>
        <v>0.563163896431288</v>
      </c>
      <c r="G115" s="1157" t="n">
        <f aca="false">B115-F115</f>
        <v>1.27021233096179</v>
      </c>
      <c r="H115" s="1214" t="n">
        <f aca="false">F115/B115</f>
        <v>0.307173120288608</v>
      </c>
      <c r="I115" s="1219" t="n">
        <f aca="false">G115/TableDE6a!J115</f>
        <v>0.400806103975274</v>
      </c>
      <c r="J115" s="1219" t="n">
        <f aca="false">TableDE6a!J115+TableDE6b!G115</f>
        <v>4.43935650906581</v>
      </c>
      <c r="K115" s="1155" t="n">
        <f aca="false">L115-M115</f>
        <v>0.0847154016700855</v>
      </c>
      <c r="L115" s="935" t="n">
        <f aca="false">0.5*(DataDE2!Z37+DataDE2!Z38)/TableDE1!$B115</f>
        <v>0.315762209651686</v>
      </c>
      <c r="M115" s="935" t="n">
        <f aca="false">0.5*(DataDE2!AA37+DataDE2!AA38)/TableDE1!$B115</f>
        <v>0.2310468079816</v>
      </c>
      <c r="N115" s="1157" t="n">
        <v>0</v>
      </c>
      <c r="O115" s="1215" t="n">
        <f aca="false">K115/TableDE6a!J115</f>
        <v>0.0267313182705268</v>
      </c>
      <c r="P115" s="1214"/>
      <c r="Q115" s="1220"/>
      <c r="S115" s="1221"/>
      <c r="T115" s="1221"/>
      <c r="U115" s="1221"/>
    </row>
    <row r="116" customFormat="false" ht="12" hidden="false" customHeight="true" outlineLevel="0" collapsed="false">
      <c r="A116" s="1212" t="n">
        <v>1976</v>
      </c>
      <c r="B116" s="1155" t="n">
        <f aca="false">C116+D116-E116</f>
        <v>1.77868525454353</v>
      </c>
      <c r="C116" s="1050" t="n">
        <f aca="false">0.5*(DataDE2!B38+DataDE2!B39)/TableDE1!$B116</f>
        <v>1.84637321029692</v>
      </c>
      <c r="D116" s="1050" t="n">
        <f aca="false">0.5*(DataDE2!J38+DataDE2!J39)/TableDE1!$B116</f>
        <v>2.1676500984999</v>
      </c>
      <c r="E116" s="1156" t="n">
        <f aca="false">0.5*(DataDE2!K38+DataDE2!K39)/TableDE1!$B116-F116</f>
        <v>2.2353380542533</v>
      </c>
      <c r="F116" s="1155" t="n">
        <f aca="false">0.5*(DataDE2!L38+DataDE2!L39)/TableDE1!$B116</f>
        <v>0.543210536860027</v>
      </c>
      <c r="G116" s="1157" t="n">
        <f aca="false">B116-F116</f>
        <v>1.2354747176835</v>
      </c>
      <c r="H116" s="1214" t="n">
        <f aca="false">F116/B116</f>
        <v>0.305400033801615</v>
      </c>
      <c r="I116" s="1219" t="n">
        <f aca="false">G116/TableDE6a!J116</f>
        <v>0.399823473681553</v>
      </c>
      <c r="J116" s="1219" t="n">
        <f aca="false">TableDE6a!J116+TableDE6b!G116</f>
        <v>4.32552519998088</v>
      </c>
      <c r="K116" s="1155" t="n">
        <f aca="false">L116-M116</f>
        <v>0.0888849722767372</v>
      </c>
      <c r="L116" s="935" t="n">
        <f aca="false">0.5*(DataDE2!Z38+DataDE2!Z39)/TableDE1!$B116</f>
        <v>0.331056723129394</v>
      </c>
      <c r="M116" s="935" t="n">
        <f aca="false">0.5*(DataDE2!AA38+DataDE2!AA39)/TableDE1!$B116</f>
        <v>0.242171750852657</v>
      </c>
      <c r="N116" s="1157" t="n">
        <v>0</v>
      </c>
      <c r="O116" s="1215" t="n">
        <f aca="false">K116/TableDE6a!J116</f>
        <v>0.0287648932552886</v>
      </c>
      <c r="P116" s="1214"/>
      <c r="Q116" s="1220"/>
      <c r="S116" s="1221"/>
      <c r="T116" s="1221"/>
      <c r="U116" s="1221"/>
    </row>
    <row r="117" customFormat="false" ht="12" hidden="false" customHeight="true" outlineLevel="0" collapsed="false">
      <c r="A117" s="1212" t="n">
        <v>1977</v>
      </c>
      <c r="B117" s="1155" t="n">
        <f aca="false">C117+D117-E117</f>
        <v>1.7785646524566</v>
      </c>
      <c r="C117" s="1050" t="n">
        <f aca="false">0.5*(DataDE2!B39+DataDE2!B40)/TableDE1!$B117</f>
        <v>1.85747400158805</v>
      </c>
      <c r="D117" s="1050" t="n">
        <f aca="false">0.5*(DataDE2!J39+DataDE2!J40)/TableDE1!$B117</f>
        <v>2.26154540770919</v>
      </c>
      <c r="E117" s="1156" t="n">
        <f aca="false">0.5*(DataDE2!K39+DataDE2!K40)/TableDE1!$B117-F117</f>
        <v>2.34045475684065</v>
      </c>
      <c r="F117" s="1155" t="n">
        <f aca="false">0.5*(DataDE2!L39+DataDE2!L40)/TableDE1!$B117</f>
        <v>0.528949590857049</v>
      </c>
      <c r="G117" s="1157" t="n">
        <f aca="false">B117-F117</f>
        <v>1.24961506159955</v>
      </c>
      <c r="H117" s="1214" t="n">
        <f aca="false">F117/B117</f>
        <v>0.297402509448532</v>
      </c>
      <c r="I117" s="1219" t="n">
        <f aca="false">G117/TableDE6a!J117</f>
        <v>0.397891713592716</v>
      </c>
      <c r="J117" s="1219" t="n">
        <f aca="false">TableDE6a!J117+TableDE6b!G117</f>
        <v>4.39020587792065</v>
      </c>
      <c r="K117" s="1155" t="n">
        <f aca="false">L117-M117</f>
        <v>0.08576828678407</v>
      </c>
      <c r="L117" s="935" t="n">
        <f aca="false">0.5*(DataDE2!Z39+DataDE2!Z40)/TableDE1!$B117</f>
        <v>0.339774091259249</v>
      </c>
      <c r="M117" s="935" t="n">
        <f aca="false">0.5*(DataDE2!AA39+DataDE2!AA40)/TableDE1!$B117</f>
        <v>0.254005804475179</v>
      </c>
      <c r="N117" s="1157" t="n">
        <v>0</v>
      </c>
      <c r="O117" s="1215" t="n">
        <f aca="false">K117/TableDE6a!J117</f>
        <v>0.0273096024921003</v>
      </c>
      <c r="P117" s="1214"/>
      <c r="Q117" s="1220"/>
      <c r="S117" s="1221"/>
      <c r="T117" s="1221"/>
      <c r="U117" s="1221"/>
    </row>
    <row r="118" customFormat="false" ht="12" hidden="false" customHeight="true" outlineLevel="0" collapsed="false">
      <c r="A118" s="1212" t="n">
        <v>1978</v>
      </c>
      <c r="B118" s="1155" t="n">
        <f aca="false">C118+D118-E118</f>
        <v>1.78308290144051</v>
      </c>
      <c r="C118" s="1050" t="n">
        <f aca="false">0.5*(DataDE2!B40+DataDE2!B41)/TableDE1!$B118</f>
        <v>1.87117807064101</v>
      </c>
      <c r="D118" s="1050" t="n">
        <f aca="false">0.5*(DataDE2!J40+DataDE2!J41)/TableDE1!$B118</f>
        <v>2.32453455735132</v>
      </c>
      <c r="E118" s="1156" t="n">
        <f aca="false">0.5*(DataDE2!K40+DataDE2!K41)/TableDE1!$B118-F118</f>
        <v>2.41262972655182</v>
      </c>
      <c r="F118" s="1155" t="n">
        <f aca="false">0.5*(DataDE2!L40+DataDE2!L41)/TableDE1!$B118</f>
        <v>0.511823900959821</v>
      </c>
      <c r="G118" s="1157" t="n">
        <f aca="false">B118-F118</f>
        <v>1.27125900048069</v>
      </c>
      <c r="H118" s="1214" t="n">
        <f aca="false">F118/B118</f>
        <v>0.287044365994611</v>
      </c>
      <c r="I118" s="1219" t="n">
        <f aca="false">G118/TableDE6a!J118</f>
        <v>0.395085098327731</v>
      </c>
      <c r="J118" s="1219" t="n">
        <f aca="false">TableDE6a!J118+TableDE6b!G118</f>
        <v>4.48894300289313</v>
      </c>
      <c r="K118" s="1155" t="n">
        <f aca="false">L118-M118</f>
        <v>0.0800710551012201</v>
      </c>
      <c r="L118" s="935" t="n">
        <f aca="false">0.5*(DataDE2!Z40+DataDE2!Z41)/TableDE1!$B118</f>
        <v>0.347829802922644</v>
      </c>
      <c r="M118" s="935" t="n">
        <f aca="false">0.5*(DataDE2!AA40+DataDE2!AA41)/TableDE1!$B118</f>
        <v>0.267758747821424</v>
      </c>
      <c r="N118" s="1157" t="n">
        <v>0</v>
      </c>
      <c r="O118" s="1215" t="n">
        <f aca="false">K118/TableDE6a!J118</f>
        <v>0.0248846857059883</v>
      </c>
      <c r="P118" s="1214"/>
      <c r="Q118" s="1220"/>
      <c r="S118" s="1221"/>
      <c r="T118" s="1221"/>
      <c r="U118" s="1221"/>
    </row>
    <row r="119" customFormat="false" ht="12" hidden="false" customHeight="true" outlineLevel="0" collapsed="false">
      <c r="A119" s="1212" t="n">
        <v>1979</v>
      </c>
      <c r="B119" s="1158" t="n">
        <f aca="false">C119+D119-E119</f>
        <v>1.81497147652236</v>
      </c>
      <c r="C119" s="1062" t="n">
        <f aca="false">0.5*(DataDE2!B41+DataDE2!B42)/TableDE1!$B119</f>
        <v>1.90968154619301</v>
      </c>
      <c r="D119" s="1062" t="n">
        <f aca="false">0.5*(DataDE2!J41+DataDE2!J42)/TableDE1!$B119</f>
        <v>2.3438350609224</v>
      </c>
      <c r="E119" s="1159" t="n">
        <f aca="false">0.5*(DataDE2!K41+DataDE2!K42)/TableDE1!$B119-F119</f>
        <v>2.43854513059305</v>
      </c>
      <c r="F119" s="1158" t="n">
        <f aca="false">0.5*(DataDE2!L41+DataDE2!L42)/TableDE1!$B119</f>
        <v>0.489251099564343</v>
      </c>
      <c r="G119" s="1160" t="n">
        <f aca="false">B119-F119</f>
        <v>1.32572037695802</v>
      </c>
      <c r="H119" s="1222" t="n">
        <f aca="false">F119/B119</f>
        <v>0.269564070781867</v>
      </c>
      <c r="I119" s="1223" t="n">
        <f aca="false">G119/TableDE6a!J119</f>
        <v>0.408911284446751</v>
      </c>
      <c r="J119" s="1223" t="n">
        <f aca="false">TableDE6a!J119+TableDE6b!G119</f>
        <v>4.56779372485227</v>
      </c>
      <c r="K119" s="1158" t="n">
        <f aca="false">L119-M119</f>
        <v>0.0676273603919259</v>
      </c>
      <c r="L119" s="1063" t="n">
        <f aca="false">0.5*(DataDE2!Z41+DataDE2!Z42)/TableDE1!$B119</f>
        <v>0.349410095810983</v>
      </c>
      <c r="M119" s="1063" t="n">
        <f aca="false">0.5*(DataDE2!AA41+DataDE2!AA42)/TableDE1!$B119</f>
        <v>0.281782735419057</v>
      </c>
      <c r="N119" s="1160" t="n">
        <v>0</v>
      </c>
      <c r="O119" s="1217" t="n">
        <f aca="false">K119/TableDE6a!J119</f>
        <v>0.0208592937713301</v>
      </c>
      <c r="P119" s="1214"/>
      <c r="Q119" s="1220"/>
      <c r="S119" s="1221"/>
      <c r="T119" s="1221"/>
      <c r="U119" s="1221"/>
    </row>
    <row r="120" customFormat="false" ht="12" hidden="false" customHeight="true" outlineLevel="0" collapsed="false">
      <c r="A120" s="1224" t="n">
        <v>1980</v>
      </c>
      <c r="B120" s="1155" t="n">
        <f aca="false">C120+D120-E120</f>
        <v>1.89290994718679</v>
      </c>
      <c r="C120" s="1050" t="n">
        <f aca="false">0.5*(DataDE2!B42+DataDE2!B43)/TableDE1!$B120</f>
        <v>1.99440681809529</v>
      </c>
      <c r="D120" s="1050" t="n">
        <f aca="false">0.5*(DataDE2!J42+DataDE2!J43)/TableDE1!$B120</f>
        <v>2.386155458088</v>
      </c>
      <c r="E120" s="1156" t="n">
        <f aca="false">0.5*(DataDE2!K42+DataDE2!K43)/TableDE1!$B120-F120</f>
        <v>2.4876523289965</v>
      </c>
      <c r="F120" s="1155" t="n">
        <f aca="false">0.5*(DataDE2!L42+DataDE2!L43)/TableDE1!$B120</f>
        <v>0.474940483052038</v>
      </c>
      <c r="G120" s="1157" t="n">
        <f aca="false">B120-F120</f>
        <v>1.41796946413475</v>
      </c>
      <c r="H120" s="1214" t="n">
        <f aca="false">F120/B120</f>
        <v>0.250904953908603</v>
      </c>
      <c r="I120" s="1219" t="n">
        <f aca="false">G120/TableDE6a!J120</f>
        <v>0.430197306512579</v>
      </c>
      <c r="J120" s="1219" t="n">
        <f aca="false">TableDE6a!J120+TableDE6b!G120</f>
        <v>4.71406044998868</v>
      </c>
      <c r="K120" s="1155" t="n">
        <f aca="false">L120-M120</f>
        <v>0.0499088722023766</v>
      </c>
      <c r="L120" s="935" t="n">
        <f aca="false">0.5*(DataDE2!Z42+DataDE2!Z43)/TableDE1!$B120</f>
        <v>0.35570897426551</v>
      </c>
      <c r="M120" s="935" t="n">
        <f aca="false">0.5*(DataDE2!AA42+DataDE2!AA43)/TableDE1!$B120</f>
        <v>0.305800102063133</v>
      </c>
      <c r="N120" s="1157" t="n">
        <v>0</v>
      </c>
      <c r="O120" s="1215" t="n">
        <f aca="false">K120/TableDE6a!J120</f>
        <v>0.0151418369263998</v>
      </c>
      <c r="P120" s="1214"/>
      <c r="Q120" s="1220"/>
      <c r="S120" s="1221"/>
      <c r="T120" s="1221"/>
      <c r="U120" s="1221"/>
    </row>
    <row r="121" customFormat="false" ht="12" hidden="false" customHeight="true" outlineLevel="0" collapsed="false">
      <c r="A121" s="1212" t="n">
        <v>1981</v>
      </c>
      <c r="B121" s="1155" t="n">
        <f aca="false">C121+D121-E121</f>
        <v>2.01357925286027</v>
      </c>
      <c r="C121" s="1050" t="n">
        <f aca="false">0.5*(DataDE2!B43+DataDE2!B44)/TableDE1!$B121</f>
        <v>2.0845916974883</v>
      </c>
      <c r="D121" s="1050" t="n">
        <f aca="false">0.5*(DataDE2!J43+DataDE2!J44)/TableDE1!$B121</f>
        <v>2.50208612109549</v>
      </c>
      <c r="E121" s="1156" t="n">
        <f aca="false">0.5*(DataDE2!K43+DataDE2!K44)/TableDE1!$B121-F121</f>
        <v>2.57309856572353</v>
      </c>
      <c r="F121" s="1155" t="n">
        <f aca="false">0.5*(DataDE2!L43+DataDE2!L44)/TableDE1!$B121</f>
        <v>0.515393496014362</v>
      </c>
      <c r="G121" s="1157" t="n">
        <f aca="false">B121-F121</f>
        <v>1.49818575684591</v>
      </c>
      <c r="H121" s="1214" t="n">
        <f aca="false">F121/B121</f>
        <v>0.255958882811417</v>
      </c>
      <c r="I121" s="1219" t="n">
        <f aca="false">G121/TableDE6a!J121</f>
        <v>0.442234978627039</v>
      </c>
      <c r="J121" s="1219" t="n">
        <f aca="false">TableDE6a!J121+TableDE6b!G121</f>
        <v>4.8859452721542</v>
      </c>
      <c r="K121" s="1155" t="n">
        <f aca="false">L121-M121</f>
        <v>0.0413102654767918</v>
      </c>
      <c r="L121" s="935" t="n">
        <f aca="false">0.5*(DataDE2!Z43+DataDE2!Z44)/TableDE1!$B121</f>
        <v>0.381608155132738</v>
      </c>
      <c r="M121" s="935" t="n">
        <f aca="false">0.5*(DataDE2!AA43+DataDE2!AA44)/TableDE1!$B121</f>
        <v>0.340297889655947</v>
      </c>
      <c r="N121" s="1157" t="n">
        <v>0</v>
      </c>
      <c r="O121" s="1215" t="n">
        <f aca="false">K121/TableDE6a!J121</f>
        <v>0.0121939781410466</v>
      </c>
      <c r="P121" s="1214"/>
      <c r="Q121" s="1220"/>
      <c r="S121" s="1221"/>
      <c r="T121" s="1221"/>
      <c r="U121" s="1221"/>
    </row>
    <row r="122" customFormat="false" ht="12" hidden="false" customHeight="true" outlineLevel="0" collapsed="false">
      <c r="A122" s="1212" t="n">
        <v>1982</v>
      </c>
      <c r="B122" s="1155" t="n">
        <f aca="false">C122+D122-E122</f>
        <v>2.11438890767808</v>
      </c>
      <c r="C122" s="1050" t="n">
        <f aca="false">0.5*(DataDE2!B44+DataDE2!B45)/TableDE1!$B122</f>
        <v>2.11991536530515</v>
      </c>
      <c r="D122" s="1050" t="n">
        <f aca="false">0.5*(DataDE2!J44+DataDE2!J45)/TableDE1!$B122</f>
        <v>2.64210114734364</v>
      </c>
      <c r="E122" s="1156" t="n">
        <f aca="false">0.5*(DataDE2!K44+DataDE2!K45)/TableDE1!$B122-F122</f>
        <v>2.64762760497071</v>
      </c>
      <c r="F122" s="1155" t="n">
        <f aca="false">0.5*(DataDE2!L44+DataDE2!L45)/TableDE1!$B122</f>
        <v>0.596032087768973</v>
      </c>
      <c r="G122" s="1157" t="n">
        <f aca="false">B122-F122</f>
        <v>1.51835681990911</v>
      </c>
      <c r="H122" s="1214" t="n">
        <f aca="false">F122/B122</f>
        <v>0.281893309979339</v>
      </c>
      <c r="I122" s="1219" t="n">
        <f aca="false">G122/TableDE6a!J122</f>
        <v>0.437905263331127</v>
      </c>
      <c r="J122" s="1219" t="n">
        <f aca="false">TableDE6a!J122+TableDE6b!G122</f>
        <v>4.9856748611654</v>
      </c>
      <c r="K122" s="1155" t="n">
        <f aca="false">L122-M122</f>
        <v>0.0420401781483938</v>
      </c>
      <c r="L122" s="935" t="n">
        <f aca="false">0.5*(DataDE2!Z44+DataDE2!Z45)/TableDE1!$B122</f>
        <v>0.403240784611011</v>
      </c>
      <c r="M122" s="935" t="n">
        <f aca="false">0.5*(DataDE2!AA44+DataDE2!AA45)/TableDE1!$B122</f>
        <v>0.361200606462617</v>
      </c>
      <c r="N122" s="1157" t="n">
        <v>0</v>
      </c>
      <c r="O122" s="1215" t="n">
        <f aca="false">K122/TableDE6a!J122</f>
        <v>0.0121246962776918</v>
      </c>
      <c r="P122" s="1214"/>
      <c r="Q122" s="1220"/>
      <c r="R122" s="1225"/>
      <c r="S122" s="1221"/>
      <c r="T122" s="1221"/>
      <c r="U122" s="1221"/>
    </row>
    <row r="123" customFormat="false" ht="12" hidden="false" customHeight="true" outlineLevel="0" collapsed="false">
      <c r="A123" s="1212" t="n">
        <v>1983</v>
      </c>
      <c r="B123" s="1155" t="n">
        <f aca="false">C123+D123-E123</f>
        <v>2.16910097859661</v>
      </c>
      <c r="C123" s="1050" t="n">
        <f aca="false">0.5*(DataDE2!B45+DataDE2!B46)/TableDE1!$B123</f>
        <v>2.11422445133547</v>
      </c>
      <c r="D123" s="1050" t="n">
        <f aca="false">0.5*(DataDE2!J45+DataDE2!J46)/TableDE1!$B123</f>
        <v>2.74136187255298</v>
      </c>
      <c r="E123" s="1156" t="n">
        <f aca="false">0.5*(DataDE2!K45+DataDE2!K46)/TableDE1!$B123-F123</f>
        <v>2.68648534529185</v>
      </c>
      <c r="F123" s="1155" t="n">
        <f aca="false">0.5*(DataDE2!L45+DataDE2!L46)/TableDE1!$B123</f>
        <v>0.663622846172501</v>
      </c>
      <c r="G123" s="1157" t="n">
        <f aca="false">B123-F123</f>
        <v>1.50547813242411</v>
      </c>
      <c r="H123" s="1214" t="n">
        <f aca="false">F123/B123</f>
        <v>0.305943730937718</v>
      </c>
      <c r="I123" s="1219" t="n">
        <f aca="false">G123/TableDE6a!J123</f>
        <v>0.429930629426003</v>
      </c>
      <c r="J123" s="1219" t="n">
        <f aca="false">TableDE6a!J123+TableDE6b!G123</f>
        <v>5.00715498302221</v>
      </c>
      <c r="K123" s="1155" t="n">
        <f aca="false">L123-M123</f>
        <v>0.0472868317279721</v>
      </c>
      <c r="L123" s="935" t="n">
        <f aca="false">0.5*(DataDE2!Z45+DataDE2!Z46)/TableDE1!$B123</f>
        <v>0.417313982804318</v>
      </c>
      <c r="M123" s="935" t="n">
        <f aca="false">0.5*(DataDE2!AA45+DataDE2!AA46)/TableDE1!$B123</f>
        <v>0.370027151076346</v>
      </c>
      <c r="N123" s="1157" t="n">
        <v>0</v>
      </c>
      <c r="O123" s="1215" t="n">
        <f aca="false">K123/TableDE6a!J123</f>
        <v>0.0135040535564826</v>
      </c>
      <c r="P123" s="1214"/>
      <c r="Q123" s="1220"/>
      <c r="R123" s="1225"/>
      <c r="S123" s="1221"/>
      <c r="T123" s="1221"/>
      <c r="U123" s="1221"/>
    </row>
    <row r="124" customFormat="false" ht="12" hidden="false" customHeight="true" outlineLevel="0" collapsed="false">
      <c r="A124" s="1212" t="n">
        <v>1984</v>
      </c>
      <c r="B124" s="1155" t="n">
        <f aca="false">C124+D124-E124</f>
        <v>2.20635167254548</v>
      </c>
      <c r="C124" s="1050" t="n">
        <f aca="false">0.5*(DataDE2!B46+DataDE2!B47)/TableDE1!$B124</f>
        <v>2.09703866553741</v>
      </c>
      <c r="D124" s="1050" t="n">
        <f aca="false">0.5*(DataDE2!J46+DataDE2!J47)/TableDE1!$B124</f>
        <v>2.81218579707583</v>
      </c>
      <c r="E124" s="1156" t="n">
        <f aca="false">0.5*(DataDE2!K46+DataDE2!K47)/TableDE1!$B124-F124</f>
        <v>2.70287279006776</v>
      </c>
      <c r="F124" s="1155" t="n">
        <f aca="false">0.5*(DataDE2!L46+DataDE2!L47)/TableDE1!$B124</f>
        <v>0.720304845976119</v>
      </c>
      <c r="G124" s="1157" t="n">
        <f aca="false">B124-F124</f>
        <v>1.48604682656936</v>
      </c>
      <c r="H124" s="1214" t="n">
        <f aca="false">F124/B124</f>
        <v>0.326468737934737</v>
      </c>
      <c r="I124" s="1219" t="n">
        <f aca="false">G124/TableDE6a!J124</f>
        <v>0.422648344402497</v>
      </c>
      <c r="J124" s="1219" t="n">
        <f aca="false">TableDE6a!J124+TableDE6b!G124</f>
        <v>5.00208290301538</v>
      </c>
      <c r="K124" s="1155" t="n">
        <f aca="false">L124-M124</f>
        <v>0.0655631458023615</v>
      </c>
      <c r="L124" s="935" t="n">
        <f aca="false">0.5*(DataDE2!Z46+DataDE2!Z47)/TableDE1!$B124</f>
        <v>0.448159501664803</v>
      </c>
      <c r="M124" s="935" t="n">
        <f aca="false">0.5*(DataDE2!AA46+DataDE2!AA47)/TableDE1!$B124</f>
        <v>0.382596355862442</v>
      </c>
      <c r="N124" s="1157" t="n">
        <v>0</v>
      </c>
      <c r="O124" s="1215" t="n">
        <f aca="false">K124/TableDE6a!J124</f>
        <v>0.0186468922322982</v>
      </c>
      <c r="P124" s="1214"/>
      <c r="Q124" s="1220"/>
      <c r="R124" s="1225"/>
      <c r="S124" s="1221"/>
      <c r="T124" s="1221"/>
      <c r="U124" s="1221"/>
    </row>
    <row r="125" customFormat="false" ht="12" hidden="false" customHeight="true" outlineLevel="0" collapsed="false">
      <c r="A125" s="1212" t="n">
        <v>1985</v>
      </c>
      <c r="B125" s="1155" t="n">
        <f aca="false">C125+D125-E125</f>
        <v>2.22892444274009</v>
      </c>
      <c r="C125" s="1050" t="n">
        <f aca="false">0.5*(DataDE2!B47+DataDE2!B48)/TableDE1!$B125</f>
        <v>2.06968592273474</v>
      </c>
      <c r="D125" s="1050" t="n">
        <f aca="false">0.5*(DataDE2!J47+DataDE2!J48)/TableDE1!$B125</f>
        <v>2.88799748959334</v>
      </c>
      <c r="E125" s="1156" t="n">
        <f aca="false">0.5*(DataDE2!K47+DataDE2!K48)/TableDE1!$B125-F125</f>
        <v>2.72875896958799</v>
      </c>
      <c r="F125" s="1155" t="n">
        <f aca="false">0.5*(DataDE2!L47+DataDE2!L48)/TableDE1!$B125</f>
        <v>0.774755901334719</v>
      </c>
      <c r="G125" s="1157" t="n">
        <f aca="false">B125-F125</f>
        <v>1.45416854140537</v>
      </c>
      <c r="H125" s="1214" t="n">
        <f aca="false">F125/B125</f>
        <v>0.347591818941285</v>
      </c>
      <c r="I125" s="1219" t="n">
        <f aca="false">G125/TableDE6a!J125</f>
        <v>0.407915354566542</v>
      </c>
      <c r="J125" s="1219" t="n">
        <f aca="false">TableDE6a!J125+TableDE6b!G125</f>
        <v>5.01904670822652</v>
      </c>
      <c r="K125" s="1155" t="n">
        <f aca="false">L125-M125</f>
        <v>0.0758963932730841</v>
      </c>
      <c r="L125" s="935" t="n">
        <f aca="false">0.5*(DataDE2!Z47+DataDE2!Z48)/TableDE1!$B125</f>
        <v>0.485159417564725</v>
      </c>
      <c r="M125" s="935" t="n">
        <f aca="false">0.5*(DataDE2!AA47+DataDE2!AA48)/TableDE1!$B125</f>
        <v>0.409263024291641</v>
      </c>
      <c r="N125" s="1157" t="n">
        <v>0</v>
      </c>
      <c r="O125" s="1215" t="n">
        <f aca="false">K125/TableDE6a!J125</f>
        <v>0.0212900384589474</v>
      </c>
      <c r="P125" s="1214"/>
      <c r="Q125" s="1220"/>
      <c r="R125" s="1225"/>
      <c r="S125" s="1221"/>
      <c r="T125" s="1221"/>
      <c r="U125" s="1221"/>
    </row>
    <row r="126" customFormat="false" ht="12" hidden="false" customHeight="true" outlineLevel="0" collapsed="false">
      <c r="A126" s="1212" t="n">
        <v>1986</v>
      </c>
      <c r="B126" s="1155" t="n">
        <f aca="false">C126+D126-E126</f>
        <v>2.22738210379053</v>
      </c>
      <c r="C126" s="1050" t="n">
        <f aca="false">0.5*(DataDE2!B48+DataDE2!B49)/TableDE1!$B126</f>
        <v>2.02471556744078</v>
      </c>
      <c r="D126" s="1050" t="n">
        <f aca="false">0.5*(DataDE2!J48+DataDE2!J49)/TableDE1!$B126</f>
        <v>2.94004551796528</v>
      </c>
      <c r="E126" s="1156" t="n">
        <f aca="false">0.5*(DataDE2!K48+DataDE2!K49)/TableDE1!$B126-F126</f>
        <v>2.73737898161553</v>
      </c>
      <c r="F126" s="1155" t="n">
        <f aca="false">0.5*(DataDE2!L48+DataDE2!L49)/TableDE1!$B126</f>
        <v>0.811817362410647</v>
      </c>
      <c r="G126" s="1157" t="n">
        <f aca="false">B126-F126</f>
        <v>1.41556474137989</v>
      </c>
      <c r="H126" s="1214" t="n">
        <f aca="false">F126/B126</f>
        <v>0.36447152961726</v>
      </c>
      <c r="I126" s="1219" t="n">
        <f aca="false">G126/TableDE6a!J126</f>
        <v>0.394351407785395</v>
      </c>
      <c r="J126" s="1219" t="n">
        <f aca="false">TableDE6a!J126+TableDE6b!G126</f>
        <v>5.00516709459435</v>
      </c>
      <c r="K126" s="1155" t="n">
        <f aca="false">L126-M126</f>
        <v>0.0864064122171492</v>
      </c>
      <c r="L126" s="935" t="n">
        <f aca="false">0.5*(DataDE2!Z48+DataDE2!Z49)/TableDE1!$B126</f>
        <v>0.521756773350897</v>
      </c>
      <c r="M126" s="935" t="n">
        <f aca="false">0.5*(DataDE2!AA48+DataDE2!AA49)/TableDE1!$B126</f>
        <v>0.435350361133748</v>
      </c>
      <c r="N126" s="1157" t="n">
        <v>0</v>
      </c>
      <c r="O126" s="1215" t="n">
        <f aca="false">K126/TableDE6a!J126</f>
        <v>0.0240713047615909</v>
      </c>
      <c r="P126" s="1214"/>
      <c r="Q126" s="1220"/>
      <c r="R126" s="1225"/>
      <c r="S126" s="1221"/>
      <c r="T126" s="1221"/>
      <c r="U126" s="1221"/>
    </row>
    <row r="127" customFormat="false" ht="12" hidden="false" customHeight="true" outlineLevel="0" collapsed="false">
      <c r="A127" s="1212" t="n">
        <v>1987</v>
      </c>
      <c r="B127" s="1155" t="n">
        <f aca="false">C127+D127-E127</f>
        <v>2.292017534276</v>
      </c>
      <c r="C127" s="1050" t="n">
        <f aca="false">0.5*(DataDE2!B49+DataDE2!B50)/TableDE1!$B127</f>
        <v>2.04433173320407</v>
      </c>
      <c r="D127" s="1050" t="n">
        <f aca="false">0.5*(DataDE2!J49+DataDE2!J50)/TableDE1!$B127</f>
        <v>3.07273865174352</v>
      </c>
      <c r="E127" s="1156" t="n">
        <f aca="false">0.5*(DataDE2!K49+DataDE2!K50)/TableDE1!$B127-F127</f>
        <v>2.82505285067159</v>
      </c>
      <c r="F127" s="1155" t="n">
        <f aca="false">0.5*(DataDE2!L49+DataDE2!L50)/TableDE1!$B127</f>
        <v>0.861732584186603</v>
      </c>
      <c r="G127" s="1157" t="n">
        <f aca="false">B127-F127</f>
        <v>1.43028495008939</v>
      </c>
      <c r="H127" s="1214" t="n">
        <f aca="false">F127/B127</f>
        <v>0.37597120061248</v>
      </c>
      <c r="I127" s="1219" t="n">
        <f aca="false">G127/TableDE6a!J127</f>
        <v>0.388109131538721</v>
      </c>
      <c r="J127" s="1219" t="n">
        <f aca="false">TableDE6a!J127+TableDE6b!G127</f>
        <v>5.11554982499404</v>
      </c>
      <c r="K127" s="1155" t="n">
        <f aca="false">L127-M127</f>
        <v>0.12196279008899</v>
      </c>
      <c r="L127" s="935" t="n">
        <f aca="false">0.5*(DataDE2!Z49+DataDE2!Z50)/TableDE1!$B127</f>
        <v>0.566684479148491</v>
      </c>
      <c r="M127" s="935" t="n">
        <f aca="false">0.5*(DataDE2!AA49+DataDE2!AA50)/TableDE1!$B127</f>
        <v>0.444721689059501</v>
      </c>
      <c r="N127" s="1157" t="n">
        <v>0</v>
      </c>
      <c r="O127" s="1215" t="n">
        <f aca="false">K127/TableDE6a!J127</f>
        <v>0.0330947148248457</v>
      </c>
      <c r="P127" s="1214"/>
      <c r="Q127" s="1220"/>
      <c r="R127" s="1225"/>
      <c r="S127" s="1221"/>
      <c r="T127" s="1221"/>
      <c r="U127" s="1221"/>
    </row>
    <row r="128" customFormat="false" ht="12" hidden="false" customHeight="true" outlineLevel="0" collapsed="false">
      <c r="A128" s="1212" t="n">
        <v>1988</v>
      </c>
      <c r="B128" s="1155" t="n">
        <f aca="false">C128+D128-E128</f>
        <v>2.28281714135544</v>
      </c>
      <c r="C128" s="1050" t="n">
        <f aca="false">0.5*(DataDE2!B50+DataDE2!B51)/TableDE1!$B128</f>
        <v>2.00281992633842</v>
      </c>
      <c r="D128" s="1050" t="n">
        <f aca="false">0.5*(DataDE2!J50+DataDE2!J51)/TableDE1!$B128</f>
        <v>3.08193191669304</v>
      </c>
      <c r="E128" s="1156" t="n">
        <f aca="false">0.5*(DataDE2!K50+DataDE2!K51)/TableDE1!$B128-F128</f>
        <v>2.80193470167602</v>
      </c>
      <c r="F128" s="1155" t="n">
        <f aca="false">0.5*(DataDE2!L50+DataDE2!L51)/TableDE1!$B128</f>
        <v>0.875994194185913</v>
      </c>
      <c r="G128" s="1157" t="n">
        <f aca="false">B128-F128</f>
        <v>1.40682294716952</v>
      </c>
      <c r="H128" s="1214" t="n">
        <f aca="false">F128/B128</f>
        <v>0.383733842854267</v>
      </c>
      <c r="I128" s="1219" t="n">
        <f aca="false">G128/TableDE6a!J128</f>
        <v>0.385337307732743</v>
      </c>
      <c r="J128" s="1219" t="n">
        <f aca="false">TableDE6a!J128+TableDE6b!G128</f>
        <v>5.05770989462609</v>
      </c>
      <c r="K128" s="1155" t="n">
        <f aca="false">L128-M128</f>
        <v>0.163861279392135</v>
      </c>
      <c r="L128" s="935" t="n">
        <f aca="false">0.5*(DataDE2!Z50+DataDE2!Z51)/TableDE1!$B128</f>
        <v>0.597965910257727</v>
      </c>
      <c r="M128" s="935" t="n">
        <f aca="false">0.5*(DataDE2!AA50+DataDE2!AA51)/TableDE1!$B128</f>
        <v>0.434104630865592</v>
      </c>
      <c r="N128" s="1157" t="n">
        <v>0</v>
      </c>
      <c r="O128" s="1215" t="n">
        <f aca="false">K128/TableDE6a!J128</f>
        <v>0.0448825947640725</v>
      </c>
      <c r="P128" s="1214"/>
      <c r="Q128" s="1220"/>
      <c r="R128" s="1225"/>
      <c r="S128" s="1221"/>
      <c r="T128" s="1221"/>
      <c r="U128" s="1221"/>
    </row>
    <row r="129" customFormat="false" ht="12" hidden="false" customHeight="true" outlineLevel="0" collapsed="false">
      <c r="A129" s="1212" t="n">
        <v>1989</v>
      </c>
      <c r="B129" s="1158" t="n">
        <f aca="false">C129+D129-E129</f>
        <v>2.27162204886837</v>
      </c>
      <c r="C129" s="1062" t="n">
        <f aca="false">0.5*(DataDE2!B51+DataDE2!B52)/TableDE1!$B129</f>
        <v>1.96662865810724</v>
      </c>
      <c r="D129" s="1062" t="n">
        <f aca="false">0.5*(DataDE2!J51+DataDE2!J52)/TableDE1!$B129</f>
        <v>3.05261960060562</v>
      </c>
      <c r="E129" s="1159" t="n">
        <f aca="false">0.5*(DataDE2!K51+DataDE2!K52)/TableDE1!$B129-F129</f>
        <v>2.74762620984449</v>
      </c>
      <c r="F129" s="1158" t="n">
        <f aca="false">0.5*(DataDE2!L51+DataDE2!L52)/TableDE1!$B129</f>
        <v>0.877898592275587</v>
      </c>
      <c r="G129" s="1160" t="n">
        <f aca="false">B129-F129</f>
        <v>1.39372345659278</v>
      </c>
      <c r="H129" s="1222" t="n">
        <f aca="false">F129/B129</f>
        <v>0.38646331713188</v>
      </c>
      <c r="I129" s="1223" t="n">
        <f aca="false">G129/TableDE6a!J129</f>
        <v>0.384967951661667</v>
      </c>
      <c r="J129" s="1223" t="n">
        <f aca="false">TableDE6a!J129+TableDE6b!G129</f>
        <v>5.01408575058879</v>
      </c>
      <c r="K129" s="1158" t="n">
        <f aca="false">L129-M129</f>
        <v>0.198823191183517</v>
      </c>
      <c r="L129" s="1063" t="n">
        <f aca="false">0.5*(DataDE2!Z51+DataDE2!Z52)/TableDE1!$B129</f>
        <v>0.658609487302348</v>
      </c>
      <c r="M129" s="1063" t="n">
        <f aca="false">0.5*(DataDE2!AA51+DataDE2!AA52)/TableDE1!$B129</f>
        <v>0.459786296118831</v>
      </c>
      <c r="N129" s="1160" t="n">
        <v>0</v>
      </c>
      <c r="O129" s="1217" t="n">
        <f aca="false">K129/TableDE6a!J129</f>
        <v>0.0549180372122548</v>
      </c>
      <c r="P129" s="1214"/>
      <c r="Q129" s="1220"/>
      <c r="R129" s="1225"/>
      <c r="S129" s="1221"/>
      <c r="T129" s="1221"/>
      <c r="U129" s="1221"/>
    </row>
    <row r="130" customFormat="false" ht="12" hidden="false" customHeight="true" outlineLevel="0" collapsed="false">
      <c r="A130" s="1224" t="n">
        <v>1990</v>
      </c>
      <c r="B130" s="1161" t="n">
        <f aca="false">C130+D130-E130</f>
        <v>2.23344142555416</v>
      </c>
      <c r="C130" s="891" t="n">
        <f aca="false">(DataDE2!B52*AVERAGE(DataDE2!B52:DataDE2!B51)/DataDE2!B51)/TableDE1!$B130</f>
        <v>1.91136705120693</v>
      </c>
      <c r="D130" s="891" t="n">
        <f aca="false">(DataDE2!J52*AVERAGE(DataDE2!J52:DataDE2!J51)/DataDE2!J51)/TableDE1!$B130</f>
        <v>2.96945954004317</v>
      </c>
      <c r="E130" s="845" t="n">
        <f aca="false">(DataDE2!K52*AVERAGE(DataDE2!K52:DataDE2!K51)/DataDE2!K51)/TableDE1!$B130-F130</f>
        <v>2.64738516569594</v>
      </c>
      <c r="F130" s="1161" t="n">
        <f aca="false">(DataDE2!L52*AVERAGE(DataDE2!L52:DataDE2!L51)/DataDE2!L51)/TableDE1!$B130</f>
        <v>0.863426202339779</v>
      </c>
      <c r="G130" s="845" t="n">
        <f aca="false">B130-F130</f>
        <v>1.37001522321438</v>
      </c>
      <c r="H130" s="1058" t="n">
        <f aca="false">F130/B130</f>
        <v>0.386590036551125</v>
      </c>
      <c r="I130" s="854" t="n">
        <f aca="false">G130/TableDE6a!J130</f>
        <v>0.383463187229573</v>
      </c>
      <c r="J130" s="854" t="n">
        <f aca="false">TableDE6a!J130+TableDE6b!G130</f>
        <v>4.94275771542699</v>
      </c>
      <c r="K130" s="1161" t="n">
        <f aca="false">L130-M130</f>
        <v>0.218268807743071</v>
      </c>
      <c r="L130" s="891" t="n">
        <f aca="false">0.5*(DataDE2!Z52+DataDE2!Z53)/TableDE1!$B130</f>
        <v>0.696389353277607</v>
      </c>
      <c r="M130" s="891" t="n">
        <f aca="false">0.5*(DataDE2!AA52+DataDE2!AA53)/TableDE1!$B130</f>
        <v>0.478120545534536</v>
      </c>
      <c r="N130" s="845" t="n">
        <v>0</v>
      </c>
      <c r="O130" s="1226" t="n">
        <f aca="false">K130/TableDE6a!J130</f>
        <v>0.0610927902637327</v>
      </c>
      <c r="P130" s="1058"/>
      <c r="Q130" s="1220"/>
      <c r="R130" s="1225"/>
      <c r="S130" s="1221"/>
      <c r="T130" s="1221"/>
      <c r="U130" s="1221"/>
    </row>
    <row r="131" customFormat="false" ht="12" hidden="false" customHeight="true" outlineLevel="0" collapsed="false">
      <c r="A131" s="1212" t="n">
        <v>1991</v>
      </c>
      <c r="B131" s="1155" t="n">
        <f aca="false">C131+D131-E131</f>
        <v>2.00310565998633</v>
      </c>
      <c r="C131" s="1050" t="n">
        <f aca="false">0.5*(DataDE2!B53+DataDE2!B54)/TableDE1!$B131</f>
        <v>1.86191640889747</v>
      </c>
      <c r="D131" s="1050" t="n">
        <f aca="false">0.5*(DataDE2!J53+DataDE2!J54)/TableDE1!$B131</f>
        <v>2.82829500150891</v>
      </c>
      <c r="E131" s="1156" t="n">
        <f aca="false">0.5*(DataDE2!K53+DataDE2!K54)/TableDE1!$B131-F131</f>
        <v>2.68710575042005</v>
      </c>
      <c r="F131" s="1155" t="n">
        <f aca="false">0.5*(DataDE2!L53+DataDE2!L54)/TableDE1!$B131</f>
        <v>0.710842322899679</v>
      </c>
      <c r="G131" s="1157" t="n">
        <f aca="false">B131-F131</f>
        <v>1.29226333708665</v>
      </c>
      <c r="H131" s="1214" t="n">
        <f aca="false">F131/B131</f>
        <v>0.354870108501681</v>
      </c>
      <c r="I131" s="1219" t="n">
        <f aca="false">G131/TableDE6a!J131</f>
        <v>0.373872793870852</v>
      </c>
      <c r="J131" s="1219" t="n">
        <f aca="false">TableDE6a!J131+TableDE6b!G131</f>
        <v>4.74868851236441</v>
      </c>
      <c r="K131" s="1155" t="n">
        <f aca="false">L131-M131</f>
        <v>0.196920492721165</v>
      </c>
      <c r="L131" s="935" t="n">
        <f aca="false">0.5*(DataDE2!Z53+DataDE2!Z54)/TableDE1!$B131</f>
        <v>0.64897299653532</v>
      </c>
      <c r="M131" s="935" t="n">
        <f aca="false">0.5*(DataDE2!AA53+DataDE2!AA54)/TableDE1!$B131</f>
        <v>0.452052503814155</v>
      </c>
      <c r="N131" s="1157" t="n">
        <v>0</v>
      </c>
      <c r="O131" s="1215" t="n">
        <f aca="false">K131/TableDE6a!J131</f>
        <v>0.0569723002047455</v>
      </c>
      <c r="P131" s="1214"/>
      <c r="Q131" s="1220"/>
      <c r="R131" s="1225"/>
      <c r="S131" s="1221"/>
      <c r="T131" s="1221"/>
      <c r="U131" s="1221"/>
    </row>
    <row r="132" customFormat="false" ht="12" hidden="false" customHeight="true" outlineLevel="0" collapsed="false">
      <c r="A132" s="1212" t="n">
        <v>1992</v>
      </c>
      <c r="B132" s="1155" t="n">
        <f aca="false">C132+D132-E132</f>
        <v>2.01080086519284</v>
      </c>
      <c r="C132" s="1050" t="n">
        <f aca="false">0.5*(DataDE2!B54+DataDE2!B55)/TableDE1!$B132</f>
        <v>1.86072642489958</v>
      </c>
      <c r="D132" s="1050" t="n">
        <f aca="false">0.5*(DataDE2!J54+DataDE2!J55)/TableDE1!$B132</f>
        <v>2.86907637854996</v>
      </c>
      <c r="E132" s="1156" t="n">
        <f aca="false">0.5*(DataDE2!K54+DataDE2!K55)/TableDE1!$B132-F132</f>
        <v>2.71900193825669</v>
      </c>
      <c r="F132" s="1155" t="n">
        <f aca="false">0.5*(DataDE2!L54+DataDE2!L55)/TableDE1!$B132</f>
        <v>0.69278631422231</v>
      </c>
      <c r="G132" s="1157" t="n">
        <f aca="false">B132-F132</f>
        <v>1.31801455097053</v>
      </c>
      <c r="H132" s="1214" t="n">
        <f aca="false">F132/B132</f>
        <v>0.344532532392694</v>
      </c>
      <c r="I132" s="1219" t="n">
        <f aca="false">G132/TableDE6a!J132</f>
        <v>0.38358992177161</v>
      </c>
      <c r="J132" s="1219" t="n">
        <f aca="false">TableDE6a!J132+TableDE6b!G132</f>
        <v>4.75401345543414</v>
      </c>
      <c r="K132" s="1155" t="n">
        <f aca="false">L132-M132</f>
        <v>0.170940546082755</v>
      </c>
      <c r="L132" s="935" t="n">
        <f aca="false">0.5*(DataDE2!Z54+DataDE2!Z55)/TableDE1!$B132</f>
        <v>0.655526489508132</v>
      </c>
      <c r="M132" s="935" t="n">
        <f aca="false">0.5*(DataDE2!AA54+DataDE2!AA55)/TableDE1!$B132</f>
        <v>0.484585943425377</v>
      </c>
      <c r="N132" s="1157" t="n">
        <v>0</v>
      </c>
      <c r="O132" s="1215" t="n">
        <f aca="false">K132/TableDE6a!J132</f>
        <v>0.0497498837559847</v>
      </c>
      <c r="P132" s="1214"/>
      <c r="Q132" s="1220"/>
      <c r="R132" s="1225"/>
      <c r="S132" s="1221"/>
      <c r="T132" s="1221"/>
      <c r="U132" s="1221"/>
    </row>
    <row r="133" customFormat="false" ht="12" hidden="false" customHeight="true" outlineLevel="0" collapsed="false">
      <c r="A133" s="1212" t="n">
        <v>1993</v>
      </c>
      <c r="B133" s="1155" t="n">
        <f aca="false">C133+D133-E133</f>
        <v>2.14752712123087</v>
      </c>
      <c r="C133" s="1050" t="n">
        <f aca="false">0.5*(DataDE2!B55+DataDE2!B56)/TableDE1!$B133</f>
        <v>1.91316393735649</v>
      </c>
      <c r="D133" s="1050" t="n">
        <f aca="false">0.5*(DataDE2!J55+DataDE2!J56)/TableDE1!$B133</f>
        <v>3.15740626160129</v>
      </c>
      <c r="E133" s="1156" t="n">
        <f aca="false">0.5*(DataDE2!K55+DataDE2!K56)/TableDE1!$B133-F133</f>
        <v>2.9230430777269</v>
      </c>
      <c r="F133" s="1155" t="n">
        <f aca="false">0.5*(DataDE2!L55+DataDE2!L56)/TableDE1!$B133</f>
        <v>0.792737422486216</v>
      </c>
      <c r="G133" s="1157" t="n">
        <f aca="false">B133-F133</f>
        <v>1.35478969874466</v>
      </c>
      <c r="H133" s="1214" t="n">
        <f aca="false">F133/B133</f>
        <v>0.369139655862345</v>
      </c>
      <c r="I133" s="1219" t="n">
        <f aca="false">G133/TableDE6a!J133</f>
        <v>0.383454996356434</v>
      </c>
      <c r="J133" s="1219" t="n">
        <f aca="false">TableDE6a!J133+TableDE6b!G133</f>
        <v>4.88790234981919</v>
      </c>
      <c r="K133" s="1155" t="n">
        <f aca="false">L133-M133</f>
        <v>0.146460490313355</v>
      </c>
      <c r="L133" s="935" t="n">
        <f aca="false">0.5*(DataDE2!Z55+DataDE2!Z56)/TableDE1!$B133</f>
        <v>0.727449160582436</v>
      </c>
      <c r="M133" s="935" t="n">
        <f aca="false">0.5*(DataDE2!AA55+DataDE2!AA56)/TableDE1!$B133</f>
        <v>0.580988670269081</v>
      </c>
      <c r="N133" s="1157" t="n">
        <v>0</v>
      </c>
      <c r="O133" s="1215" t="n">
        <f aca="false">K133/TableDE6a!J133</f>
        <v>0.0414536712461777</v>
      </c>
      <c r="P133" s="1214"/>
      <c r="Q133" s="1220"/>
      <c r="R133" s="1225"/>
      <c r="S133" s="1221"/>
      <c r="T133" s="1221"/>
      <c r="U133" s="1221"/>
    </row>
    <row r="134" customFormat="false" ht="12" hidden="false" customHeight="true" outlineLevel="0" collapsed="false">
      <c r="A134" s="1212" t="n">
        <v>1994</v>
      </c>
      <c r="B134" s="1155" t="n">
        <f aca="false">C134+D134-E134</f>
        <v>2.22418814908535</v>
      </c>
      <c r="C134" s="1050" t="n">
        <f aca="false">0.5*(DataDE2!B56+DataDE2!B57)/TableDE1!$B134</f>
        <v>1.89987611365913</v>
      </c>
      <c r="D134" s="1050" t="n">
        <f aca="false">0.5*(DataDE2!J56+DataDE2!J57)/TableDE1!$B134</f>
        <v>3.33366281828246</v>
      </c>
      <c r="E134" s="1156" t="n">
        <f aca="false">0.5*(DataDE2!K56+DataDE2!K57)/TableDE1!$B134-F134</f>
        <v>3.00935078285624</v>
      </c>
      <c r="F134" s="1155" t="n">
        <f aca="false">0.5*(DataDE2!L56+DataDE2!L57)/TableDE1!$B134</f>
        <v>0.893662027518583</v>
      </c>
      <c r="G134" s="1157" t="n">
        <f aca="false">B134-F134</f>
        <v>1.33052612156677</v>
      </c>
      <c r="H134" s="1214" t="n">
        <f aca="false">F134/B134</f>
        <v>0.401792459817791</v>
      </c>
      <c r="I134" s="1219" t="n">
        <f aca="false">G134/TableDE6a!J134</f>
        <v>0.376330908768971</v>
      </c>
      <c r="J134" s="1219" t="n">
        <f aca="false">TableDE6a!J134+TableDE6b!G134</f>
        <v>4.86604789393221</v>
      </c>
      <c r="K134" s="1155" t="n">
        <f aca="false">L134-M134</f>
        <v>0.120389187621909</v>
      </c>
      <c r="L134" s="935" t="n">
        <f aca="false">0.5*(DataDE2!Z56+DataDE2!Z57)/TableDE1!$B134</f>
        <v>0.752213809373188</v>
      </c>
      <c r="M134" s="935" t="n">
        <f aca="false">0.5*(DataDE2!AA56+DataDE2!AA57)/TableDE1!$B134</f>
        <v>0.631824621751278</v>
      </c>
      <c r="N134" s="1157" t="n">
        <v>0</v>
      </c>
      <c r="O134" s="1215" t="n">
        <f aca="false">K134/TableDE6a!J134</f>
        <v>0.0340513212400225</v>
      </c>
      <c r="P134" s="1214"/>
      <c r="Q134" s="1220"/>
      <c r="R134" s="1225"/>
      <c r="S134" s="1221"/>
      <c r="T134" s="1221"/>
      <c r="U134" s="1221"/>
    </row>
    <row r="135" customFormat="false" ht="12" hidden="false" customHeight="true" outlineLevel="0" collapsed="false">
      <c r="A135" s="1212" t="n">
        <v>1995</v>
      </c>
      <c r="B135" s="1155" t="n">
        <f aca="false">C135+D135-E135</f>
        <v>2.28550309997005</v>
      </c>
      <c r="C135" s="1050" t="n">
        <f aca="false">0.5*(DataDE2!B57+DataDE2!B58)/TableDE1!$B135</f>
        <v>1.89008965381013</v>
      </c>
      <c r="D135" s="1050" t="n">
        <f aca="false">0.5*(DataDE2!J57+DataDE2!J58)/TableDE1!$B135</f>
        <v>3.46619981266368</v>
      </c>
      <c r="E135" s="1156" t="n">
        <f aca="false">0.5*(DataDE2!K57+DataDE2!K58)/TableDE1!$B135-F135</f>
        <v>3.07078636650376</v>
      </c>
      <c r="F135" s="1155" t="n">
        <f aca="false">0.5*(DataDE2!L57+DataDE2!L58)/TableDE1!$B135</f>
        <v>0.934196524720111</v>
      </c>
      <c r="G135" s="1157" t="n">
        <f aca="false">B135-F135</f>
        <v>1.35130657524994</v>
      </c>
      <c r="H135" s="1214" t="n">
        <f aca="false">F135/B135</f>
        <v>0.408748745399799</v>
      </c>
      <c r="I135" s="1219" t="n">
        <f aca="false">G135/TableDE6a!J135</f>
        <v>0.386816818788715</v>
      </c>
      <c r="J135" s="1219" t="n">
        <f aca="false">TableDE6a!J135+TableDE6b!G135</f>
        <v>4.8447083861677</v>
      </c>
      <c r="K135" s="1155" t="n">
        <f aca="false">L135-M135</f>
        <v>0.0869683376131825</v>
      </c>
      <c r="L135" s="935" t="n">
        <f aca="false">0.5*(DataDE2!Z57+DataDE2!Z58)/TableDE1!$B135</f>
        <v>0.752206936541415</v>
      </c>
      <c r="M135" s="935" t="n">
        <f aca="false">0.5*(DataDE2!AA57+DataDE2!AA58)/TableDE1!$B135</f>
        <v>0.665238598928232</v>
      </c>
      <c r="N135" s="1157" t="n">
        <v>0</v>
      </c>
      <c r="O135" s="1215" t="n">
        <f aca="false">K135/TableDE6a!J135</f>
        <v>0.0248950284909639</v>
      </c>
      <c r="P135" s="1214"/>
      <c r="Q135" s="1220"/>
      <c r="R135" s="1225"/>
      <c r="S135" s="1221"/>
      <c r="T135" s="1221"/>
      <c r="U135" s="1221"/>
    </row>
    <row r="136" customFormat="false" ht="12" hidden="false" customHeight="true" outlineLevel="0" collapsed="false">
      <c r="A136" s="1212" t="n">
        <v>1996</v>
      </c>
      <c r="B136" s="1155" t="n">
        <f aca="false">C136+D136-E136</f>
        <v>2.42436220808393</v>
      </c>
      <c r="C136" s="1050" t="n">
        <f aca="false">0.5*(DataDE2!B58+DataDE2!B59)/TableDE1!$B136</f>
        <v>1.91466199851924</v>
      </c>
      <c r="D136" s="1050" t="n">
        <f aca="false">0.5*(DataDE2!J58+DataDE2!J59)/TableDE1!$B136</f>
        <v>3.76755261077438</v>
      </c>
      <c r="E136" s="1156" t="n">
        <f aca="false">0.5*(DataDE2!K58+DataDE2!K59)/TableDE1!$B136-F136</f>
        <v>3.2578524012097</v>
      </c>
      <c r="F136" s="1155" t="n">
        <f aca="false">0.5*(DataDE2!L58+DataDE2!L59)/TableDE1!$B136</f>
        <v>1.04540777271644</v>
      </c>
      <c r="G136" s="1157" t="n">
        <f aca="false">B136-F136</f>
        <v>1.37895443536749</v>
      </c>
      <c r="H136" s="1214" t="n">
        <f aca="false">F136/B136</f>
        <v>0.431209399829188</v>
      </c>
      <c r="I136" s="1219" t="n">
        <f aca="false">G136/TableDE6a!J136</f>
        <v>0.392304039870336</v>
      </c>
      <c r="J136" s="1219" t="n">
        <f aca="false">TableDE6a!J136+TableDE6b!G136</f>
        <v>4.89396905470015</v>
      </c>
      <c r="K136" s="1155" t="n">
        <f aca="false">L136-M136</f>
        <v>0.0572610397921922</v>
      </c>
      <c r="L136" s="935" t="n">
        <f aca="false">0.5*(DataDE2!Z58+DataDE2!Z59)/TableDE1!$B136</f>
        <v>0.806169609356373</v>
      </c>
      <c r="M136" s="935" t="n">
        <f aca="false">0.5*(DataDE2!AA58+DataDE2!AA59)/TableDE1!$B136</f>
        <v>0.748908569564181</v>
      </c>
      <c r="N136" s="1157" t="n">
        <v>0</v>
      </c>
      <c r="O136" s="1215" t="n">
        <f aca="false">K136/TableDE6a!J136</f>
        <v>0.0162904129835635</v>
      </c>
      <c r="P136" s="1214"/>
      <c r="Q136" s="1220"/>
      <c r="R136" s="1225"/>
      <c r="S136" s="1221"/>
      <c r="T136" s="1221"/>
      <c r="U136" s="1221"/>
    </row>
    <row r="137" customFormat="false" ht="12" hidden="false" customHeight="true" outlineLevel="0" collapsed="false">
      <c r="A137" s="1212" t="n">
        <v>1997</v>
      </c>
      <c r="B137" s="1155" t="n">
        <f aca="false">C137+D137-E137</f>
        <v>2.61461353402011</v>
      </c>
      <c r="C137" s="1050" t="n">
        <f aca="false">0.5*(DataDE2!B59+DataDE2!B60)/TableDE1!$B137</f>
        <v>1.93772746900253</v>
      </c>
      <c r="D137" s="1050" t="n">
        <f aca="false">0.5*(DataDE2!J59+DataDE2!J60)/TableDE1!$B137</f>
        <v>4.13984331626673</v>
      </c>
      <c r="E137" s="1156" t="n">
        <f aca="false">0.5*(DataDE2!K59+DataDE2!K60)/TableDE1!$B137-F137</f>
        <v>3.46295725124915</v>
      </c>
      <c r="F137" s="1155" t="n">
        <f aca="false">0.5*(DataDE2!L59+DataDE2!L60)/TableDE1!$B137</f>
        <v>1.26855221763</v>
      </c>
      <c r="G137" s="1157" t="n">
        <f aca="false">B137-F137</f>
        <v>1.34606131639011</v>
      </c>
      <c r="H137" s="1214" t="n">
        <f aca="false">F137/B137</f>
        <v>0.485177714076748</v>
      </c>
      <c r="I137" s="1219" t="n">
        <f aca="false">G137/TableDE6a!J137</f>
        <v>0.374999248145497</v>
      </c>
      <c r="J137" s="1219" t="n">
        <f aca="false">TableDE6a!J137+TableDE6b!G137</f>
        <v>4.93556535685646</v>
      </c>
      <c r="K137" s="1155" t="n">
        <f aca="false">L137-M137</f>
        <v>0.0489716858922956</v>
      </c>
      <c r="L137" s="935" t="n">
        <f aca="false">0.5*(DataDE2!Z59+DataDE2!Z60)/TableDE1!$B137</f>
        <v>0.919735364875702</v>
      </c>
      <c r="M137" s="935" t="n">
        <f aca="false">0.5*(DataDE2!AA59+DataDE2!AA60)/TableDE1!$B137</f>
        <v>0.870763678983406</v>
      </c>
      <c r="N137" s="1157" t="n">
        <v>0</v>
      </c>
      <c r="O137" s="1215" t="n">
        <f aca="false">K137/TableDE6a!J137</f>
        <v>0.0136430229191031</v>
      </c>
      <c r="P137" s="1214"/>
      <c r="Q137" s="1220"/>
      <c r="R137" s="1225"/>
      <c r="S137" s="1221"/>
      <c r="T137" s="1221"/>
      <c r="U137" s="1221"/>
    </row>
    <row r="138" customFormat="false" ht="12" hidden="false" customHeight="true" outlineLevel="0" collapsed="false">
      <c r="A138" s="1212" t="n">
        <v>1998</v>
      </c>
      <c r="B138" s="1155" t="n">
        <f aca="false">C138+D138-E138</f>
        <v>2.8316116950586</v>
      </c>
      <c r="C138" s="1050" t="n">
        <f aca="false">0.5*(DataDE2!B60+DataDE2!B61)/TableDE1!$B138</f>
        <v>1.95659659296847</v>
      </c>
      <c r="D138" s="1050" t="n">
        <f aca="false">0.5*(DataDE2!J60+DataDE2!J61)/TableDE1!$B138</f>
        <v>4.56965083967621</v>
      </c>
      <c r="E138" s="1156" t="n">
        <f aca="false">0.5*(DataDE2!K60+DataDE2!K61)/TableDE1!$B138-F138</f>
        <v>3.69463573758608</v>
      </c>
      <c r="F138" s="1155" t="n">
        <f aca="false">0.5*(DataDE2!L60+DataDE2!L61)/TableDE1!$B138</f>
        <v>1.53011356771777</v>
      </c>
      <c r="G138" s="1157" t="n">
        <f aca="false">B138-F138</f>
        <v>1.30149812734082</v>
      </c>
      <c r="H138" s="1214" t="n">
        <f aca="false">F138/B138</f>
        <v>0.540368430596593</v>
      </c>
      <c r="I138" s="1219" t="n">
        <f aca="false">G138/TableDE6a!J138</f>
        <v>0.356436495325131</v>
      </c>
      <c r="J138" s="1219" t="n">
        <f aca="false">TableDE6a!J138+TableDE6b!G138</f>
        <v>4.95291470339495</v>
      </c>
      <c r="K138" s="1155" t="n">
        <f aca="false">L138-M138</f>
        <v>0.0259976440739398</v>
      </c>
      <c r="L138" s="935" t="n">
        <f aca="false">0.5*(DataDE2!Z60+DataDE2!Z61)/TableDE1!$B138</f>
        <v>1.06348888486167</v>
      </c>
      <c r="M138" s="935" t="n">
        <f aca="false">0.5*(DataDE2!AA60+DataDE2!AA61)/TableDE1!$B138</f>
        <v>1.03749124078773</v>
      </c>
      <c r="N138" s="1157" t="n">
        <v>0</v>
      </c>
      <c r="O138" s="1215" t="n">
        <f aca="false">K138/TableDE6a!J138</f>
        <v>0.00711987896544905</v>
      </c>
      <c r="P138" s="1214"/>
      <c r="Q138" s="1220"/>
      <c r="R138" s="1225"/>
      <c r="S138" s="1221"/>
      <c r="T138" s="1221"/>
      <c r="U138" s="1221"/>
    </row>
    <row r="139" customFormat="false" ht="12" hidden="false" customHeight="true" outlineLevel="0" collapsed="false">
      <c r="A139" s="1227" t="n">
        <f aca="false">A138+1</f>
        <v>1999</v>
      </c>
      <c r="B139" s="1155" t="n">
        <f aca="false">C139+D139-E139</f>
        <v>3.10683611231306</v>
      </c>
      <c r="C139" s="1050" t="n">
        <f aca="false">0.5*(DataDE2!B61+DataDE2!B62)/TableDE1!$B139</f>
        <v>1.97617763341177</v>
      </c>
      <c r="D139" s="1050" t="n">
        <f aca="false">0.5*(DataDE2!J61+DataDE2!J62)/TableDE1!$B139</f>
        <v>5.07759014148791</v>
      </c>
      <c r="E139" s="1156" t="n">
        <f aca="false">0.5*(DataDE2!K61+DataDE2!K62)/TableDE1!$B139-F139</f>
        <v>3.94693166258662</v>
      </c>
      <c r="F139" s="1155" t="n">
        <f aca="false">0.5*(DataDE2!L61+DataDE2!L62)/TableDE1!$B139</f>
        <v>1.83658650796944</v>
      </c>
      <c r="G139" s="1157" t="n">
        <f aca="false">B139-F139</f>
        <v>1.27024960434362</v>
      </c>
      <c r="H139" s="1214" t="n">
        <f aca="false">F139/B139</f>
        <v>0.591143672075476</v>
      </c>
      <c r="I139" s="1219" t="n">
        <f aca="false">G139/TableDE6a!J139</f>
        <v>0.340685169861683</v>
      </c>
      <c r="J139" s="1219" t="n">
        <f aca="false">TableDE6a!J139+TableDE6b!G139</f>
        <v>4.99876412952634</v>
      </c>
      <c r="K139" s="1155" t="n">
        <f aca="false">L139-M139</f>
        <v>0.0289487098934842</v>
      </c>
      <c r="L139" s="935" t="n">
        <f aca="false">0.5*(DataDE2!Z61+DataDE2!Z62)/TableDE1!$B139</f>
        <v>1.28425376540393</v>
      </c>
      <c r="M139" s="935" t="n">
        <f aca="false">0.5*(DataDE2!AA61+DataDE2!AA62)/TableDE1!$B139</f>
        <v>1.25530505551044</v>
      </c>
      <c r="N139" s="1157" t="n">
        <v>0</v>
      </c>
      <c r="O139" s="1215" t="n">
        <f aca="false">K139/TableDE6a!J139</f>
        <v>0.00776414030251514</v>
      </c>
      <c r="P139" s="1214"/>
      <c r="Q139" s="1220"/>
      <c r="R139" s="1225"/>
      <c r="S139" s="1221"/>
      <c r="T139" s="1221"/>
      <c r="U139" s="1221"/>
    </row>
    <row r="140" customFormat="false" ht="12" hidden="false" customHeight="true" outlineLevel="0" collapsed="false">
      <c r="A140" s="1224" t="n">
        <f aca="false">A139+1</f>
        <v>2000</v>
      </c>
      <c r="B140" s="1151" t="n">
        <f aca="false">C140+D140-E140</f>
        <v>3.24143389793161</v>
      </c>
      <c r="C140" s="1047" t="n">
        <f aca="false">0.5*(DataDE2!B62+DataDE2!B63)/TableDE1!$B140</f>
        <v>1.99552921665613</v>
      </c>
      <c r="D140" s="1047" t="n">
        <f aca="false">0.5*(DataDE2!J62+DataDE2!J63)/TableDE1!$B140</f>
        <v>5.4414536134483</v>
      </c>
      <c r="E140" s="1152" t="n">
        <f aca="false">0.5*(DataDE2!K62+DataDE2!K63)/TableDE1!$B140-F140</f>
        <v>4.19554893217283</v>
      </c>
      <c r="F140" s="1151" t="n">
        <f aca="false">0.5*(DataDE2!L62+DataDE2!L63)/TableDE1!$B140</f>
        <v>1.98065559891681</v>
      </c>
      <c r="G140" s="1153" t="n">
        <f aca="false">B140-F140</f>
        <v>1.2607782990148</v>
      </c>
      <c r="H140" s="1228" t="n">
        <f aca="false">F140/B140</f>
        <v>0.611043032585265</v>
      </c>
      <c r="I140" s="1229" t="n">
        <f aca="false">G140/TableDE6a!J140</f>
        <v>0.332243047421707</v>
      </c>
      <c r="J140" s="1229" t="n">
        <f aca="false">TableDE6a!J140+TableDE6b!G140</f>
        <v>5.05552527355279</v>
      </c>
      <c r="K140" s="1151" t="n">
        <f aca="false">L140-M140</f>
        <v>0.0455848839973789</v>
      </c>
      <c r="L140" s="1048" t="n">
        <f aca="false">0.5*(DataDE2!Z62+DataDE2!Z63)/TableDE1!$B140</f>
        <v>1.53214354055888</v>
      </c>
      <c r="M140" s="1048" t="n">
        <f aca="false">0.5*(DataDE2!AA62+DataDE2!AA63)/TableDE1!$B140</f>
        <v>1.4865586565615</v>
      </c>
      <c r="N140" s="1153" t="n">
        <v>0</v>
      </c>
      <c r="O140" s="1230" t="n">
        <f aca="false">K140/TableDE6a!J140</f>
        <v>0.0120126280627522</v>
      </c>
      <c r="P140" s="1214"/>
      <c r="Q140" s="1220"/>
      <c r="R140" s="1225"/>
      <c r="S140" s="1221"/>
      <c r="T140" s="1221"/>
      <c r="U140" s="1221"/>
    </row>
    <row r="141" customFormat="false" ht="12" hidden="false" customHeight="true" outlineLevel="0" collapsed="false">
      <c r="A141" s="1227" t="n">
        <f aca="false">A140+1</f>
        <v>2001</v>
      </c>
      <c r="B141" s="1155" t="n">
        <f aca="false">C141+D141-E141</f>
        <v>3.19047457396972</v>
      </c>
      <c r="C141" s="1050" t="n">
        <f aca="false">0.5*(DataDE2!B63+DataDE2!B64)/TableDE1!$B141</f>
        <v>2.01730712653043</v>
      </c>
      <c r="D141" s="1050" t="n">
        <f aca="false">0.5*(DataDE2!J63+DataDE2!J64)/TableDE1!$B141</f>
        <v>5.55398080883518</v>
      </c>
      <c r="E141" s="1156" t="n">
        <f aca="false">0.5*(DataDE2!K63+DataDE2!K64)/TableDE1!$B141-F141</f>
        <v>4.38081336139589</v>
      </c>
      <c r="F141" s="1155" t="n">
        <f aca="false">0.5*(DataDE2!L63+DataDE2!L64)/TableDE1!$B141</f>
        <v>1.87461810034626</v>
      </c>
      <c r="G141" s="1157" t="n">
        <f aca="false">B141-F141</f>
        <v>1.31585647362347</v>
      </c>
      <c r="H141" s="1214" t="n">
        <f aca="false">F141/B141</f>
        <v>0.587567164973134</v>
      </c>
      <c r="I141" s="1219" t="n">
        <f aca="false">G141/TableDE6a!J141</f>
        <v>0.346029127000836</v>
      </c>
      <c r="J141" s="1219" t="n">
        <f aca="false">TableDE6a!J141+TableDE6b!G141</f>
        <v>5.11858974358974</v>
      </c>
      <c r="K141" s="1155" t="n">
        <f aca="false">L141-M141</f>
        <v>0.0708121166859028</v>
      </c>
      <c r="L141" s="935" t="n">
        <f aca="false">0.5*(DataDE2!Z63+DataDE2!Z64)/TableDE1!$B141</f>
        <v>1.68560917238102</v>
      </c>
      <c r="M141" s="935" t="n">
        <f aca="false">0.5*(DataDE2!AA63+DataDE2!AA64)/TableDE1!$B141</f>
        <v>1.61479705569511</v>
      </c>
      <c r="N141" s="1157" t="n">
        <v>0</v>
      </c>
      <c r="O141" s="1215" t="n">
        <f aca="false">K141/TableDE6a!J141</f>
        <v>0.0186213735381264</v>
      </c>
      <c r="P141" s="1214"/>
      <c r="Q141" s="1220"/>
      <c r="R141" s="1225"/>
      <c r="S141" s="1221"/>
      <c r="T141" s="1221"/>
      <c r="U141" s="1221"/>
    </row>
    <row r="142" customFormat="false" ht="12" hidden="false" customHeight="true" outlineLevel="0" collapsed="false">
      <c r="A142" s="1227" t="n">
        <f aca="false">A141+1</f>
        <v>2002</v>
      </c>
      <c r="B142" s="1155" t="n">
        <f aca="false">C142+D142-E142</f>
        <v>2.97609390123139</v>
      </c>
      <c r="C142" s="1050" t="n">
        <f aca="false">0.5*(DataDE2!B64+DataDE2!B65)/TableDE1!$B142</f>
        <v>2.05688678031341</v>
      </c>
      <c r="D142" s="1050" t="n">
        <f aca="false">0.5*(DataDE2!J64+DataDE2!J65)/TableDE1!$B142</f>
        <v>5.4218953681584</v>
      </c>
      <c r="E142" s="1156" t="n">
        <f aca="false">0.5*(DataDE2!K64+DataDE2!K65)/TableDE1!$B142-F142</f>
        <v>4.50268824724042</v>
      </c>
      <c r="F142" s="1155" t="n">
        <f aca="false">0.5*(DataDE2!L64+DataDE2!L65)/TableDE1!$B142</f>
        <v>1.58324055476919</v>
      </c>
      <c r="G142" s="1157" t="n">
        <f aca="false">B142-F142</f>
        <v>1.3928533464622</v>
      </c>
      <c r="H142" s="1214" t="n">
        <f aca="false">F142/B142</f>
        <v>0.531986088918131</v>
      </c>
      <c r="I142" s="1219" t="n">
        <f aca="false">G142/TableDE6a!J142</f>
        <v>0.366207852669592</v>
      </c>
      <c r="J142" s="1219" t="n">
        <f aca="false">TableDE6a!J142+TableDE6b!G142</f>
        <v>5.19630359011083</v>
      </c>
      <c r="K142" s="1155" t="n">
        <f aca="false">L142-M142</f>
        <v>0.0816094236912628</v>
      </c>
      <c r="L142" s="935" t="n">
        <f aca="false">0.5*(DataDE2!Z64+DataDE2!Z65)/TableDE1!$B142</f>
        <v>1.72694932891726</v>
      </c>
      <c r="M142" s="935" t="n">
        <f aca="false">0.5*(DataDE2!AA64+DataDE2!AA65)/TableDE1!$B142</f>
        <v>1.645339905226</v>
      </c>
      <c r="N142" s="1157" t="n">
        <v>0</v>
      </c>
      <c r="O142" s="1215" t="n">
        <f aca="false">K142/TableDE6a!J142</f>
        <v>0.0214566823445481</v>
      </c>
      <c r="P142" s="1214"/>
      <c r="Q142" s="1220"/>
      <c r="R142" s="1225"/>
      <c r="S142" s="1221"/>
      <c r="T142" s="1221"/>
      <c r="U142" s="1221"/>
    </row>
    <row r="143" customFormat="false" ht="12" hidden="false" customHeight="true" outlineLevel="0" collapsed="false">
      <c r="A143" s="1227" t="n">
        <f aca="false">A142+1</f>
        <v>2003</v>
      </c>
      <c r="B143" s="1155" t="n">
        <f aca="false">C143+D143-E143</f>
        <v>2.8299199558377</v>
      </c>
      <c r="C143" s="1050" t="n">
        <f aca="false">0.5*(DataDE2!B65+DataDE2!B66)/TableDE1!$B143</f>
        <v>2.08310792161192</v>
      </c>
      <c r="D143" s="1050" t="n">
        <f aca="false">0.5*(DataDE2!J65+DataDE2!J66)/TableDE1!$B143</f>
        <v>5.2923820038642</v>
      </c>
      <c r="E143" s="1156" t="n">
        <f aca="false">0.5*(DataDE2!K65+DataDE2!K66)/TableDE1!$B143-F143</f>
        <v>4.54556996963842</v>
      </c>
      <c r="F143" s="1155" t="n">
        <f aca="false">0.5*(DataDE2!L65+DataDE2!L66)/TableDE1!$B143</f>
        <v>1.44292023185206</v>
      </c>
      <c r="G143" s="1157" t="n">
        <f aca="false">B143-F143</f>
        <v>1.38699972398565</v>
      </c>
      <c r="H143" s="1214" t="n">
        <f aca="false">F143/B143</f>
        <v>0.5098802278402</v>
      </c>
      <c r="I143" s="1219" t="n">
        <f aca="false">G143/TableDE6a!J143</f>
        <v>0.361962496389451</v>
      </c>
      <c r="J143" s="1219" t="n">
        <f aca="false">TableDE6a!J143+TableDE6b!G143</f>
        <v>5.21888766215843</v>
      </c>
      <c r="K143" s="1155" t="n">
        <f aca="false">L143-M143</f>
        <v>0.0690792161192382</v>
      </c>
      <c r="L143" s="935" t="n">
        <f aca="false">0.5*(DataDE2!Z65+DataDE2!Z66)/TableDE1!$B143</f>
        <v>1.7310151807894</v>
      </c>
      <c r="M143" s="935" t="n">
        <f aca="false">0.5*(DataDE2!AA65+DataDE2!AA66)/TableDE1!$B143</f>
        <v>1.66193596467016</v>
      </c>
      <c r="N143" s="1157" t="n">
        <v>0</v>
      </c>
      <c r="O143" s="1215" t="n">
        <f aca="false">K143/TableDE6a!J143</f>
        <v>0.0180274625025121</v>
      </c>
      <c r="P143" s="1214"/>
      <c r="Q143" s="1220"/>
      <c r="R143" s="1225"/>
      <c r="S143" s="1221"/>
      <c r="T143" s="1221"/>
      <c r="U143" s="1221"/>
    </row>
    <row r="144" customFormat="false" ht="12" hidden="false" customHeight="true" outlineLevel="0" collapsed="false">
      <c r="A144" s="1227" t="n">
        <f aca="false">A143+1</f>
        <v>2004</v>
      </c>
      <c r="B144" s="1155" t="n">
        <f aca="false">C144+D144-E144</f>
        <v>2.85813975618266</v>
      </c>
      <c r="C144" s="1050" t="n">
        <f aca="false">0.5*(DataDE2!B66+DataDE2!B67)/TableDE1!$B144</f>
        <v>2.04545935144165</v>
      </c>
      <c r="D144" s="1050" t="n">
        <f aca="false">0.5*(DataDE2!J66+DataDE2!J67)/TableDE1!$B144</f>
        <v>5.2711489865615</v>
      </c>
      <c r="E144" s="1156" t="n">
        <f aca="false">0.5*(DataDE2!K66+DataDE2!K67)/TableDE1!$B144-F144</f>
        <v>4.45846858182049</v>
      </c>
      <c r="F144" s="1155" t="n">
        <f aca="false">0.5*(DataDE2!L66+DataDE2!L67)/TableDE1!$B144</f>
        <v>1.51674790386872</v>
      </c>
      <c r="G144" s="1157" t="n">
        <f aca="false">B144-F144</f>
        <v>1.34139185231394</v>
      </c>
      <c r="H144" s="1214" t="n">
        <f aca="false">F144/B144</f>
        <v>0.530676605504587</v>
      </c>
      <c r="I144" s="1219" t="n">
        <f aca="false">G144/TableDE6a!J144</f>
        <v>0.352797063998737</v>
      </c>
      <c r="J144" s="1219" t="n">
        <f aca="false">TableDE6a!J144+TableDE6b!G144</f>
        <v>5.14355459457173</v>
      </c>
      <c r="K144" s="1155" t="n">
        <f aca="false">L144-M144</f>
        <v>0.0994581249537425</v>
      </c>
      <c r="L144" s="935" t="n">
        <f aca="false">0.5*(DataDE2!Z66+DataDE2!Z67)/TableDE1!$B144</f>
        <v>1.77188065003859</v>
      </c>
      <c r="M144" s="935" t="n">
        <f aca="false">0.5*(DataDE2!AA66+DataDE2!AA67)/TableDE1!$B144</f>
        <v>1.67242252508485</v>
      </c>
      <c r="N144" s="1157" t="n">
        <v>0</v>
      </c>
      <c r="O144" s="1215" t="n">
        <f aca="false">K144/TableDE6a!J144</f>
        <v>0.026158302970136</v>
      </c>
      <c r="P144" s="1214"/>
      <c r="Q144" s="1220"/>
      <c r="R144" s="1225"/>
      <c r="S144" s="1221"/>
      <c r="T144" s="1221"/>
      <c r="U144" s="1221"/>
    </row>
    <row r="145" customFormat="false" ht="12" hidden="false" customHeight="true" outlineLevel="0" collapsed="false">
      <c r="A145" s="1227" t="n">
        <f aca="false">A144+1</f>
        <v>2005</v>
      </c>
      <c r="B145" s="1155" t="n">
        <f aca="false">C145+D145-E145</f>
        <v>3.02357894079505</v>
      </c>
      <c r="C145" s="1050" t="n">
        <f aca="false">0.5*(DataDE2!B67+DataDE2!B68)/TableDE1!$B145</f>
        <v>2.06137497853385</v>
      </c>
      <c r="D145" s="1050" t="n">
        <f aca="false">0.5*(DataDE2!J67+DataDE2!J68)/TableDE1!$B145</f>
        <v>5.49588110094035</v>
      </c>
      <c r="E145" s="1156" t="n">
        <f aca="false">0.5*(DataDE2!K67+DataDE2!K68)/TableDE1!$B145-F145</f>
        <v>4.53367713867914</v>
      </c>
      <c r="F145" s="1155" t="n">
        <f aca="false">0.5*(DataDE2!L67+DataDE2!L68)/TableDE1!$B145</f>
        <v>1.62380374994146</v>
      </c>
      <c r="G145" s="1157" t="n">
        <f aca="false">B145-F145</f>
        <v>1.3997751908536</v>
      </c>
      <c r="H145" s="1214" t="n">
        <f aca="false">F145/B145</f>
        <v>0.537046917489932</v>
      </c>
      <c r="I145" s="1219" t="n">
        <f aca="false">G145/TableDE6a!J145</f>
        <v>0.361492334322452</v>
      </c>
      <c r="J145" s="1219" t="n">
        <f aca="false">TableDE6a!J145+TableDE6b!G145</f>
        <v>5.27198784365356</v>
      </c>
      <c r="K145" s="1155" t="n">
        <f aca="false">L145-M145</f>
        <v>0.182738352336298</v>
      </c>
      <c r="L145" s="935" t="n">
        <f aca="false">0.5*(DataDE2!Z67+DataDE2!Z68)/TableDE1!$B145</f>
        <v>1.96873929944891</v>
      </c>
      <c r="M145" s="935" t="n">
        <f aca="false">0.5*(DataDE2!AA67+DataDE2!AA68)/TableDE1!$B145</f>
        <v>1.78600094711261</v>
      </c>
      <c r="N145" s="1157" t="n">
        <v>0</v>
      </c>
      <c r="O145" s="1215" t="n">
        <f aca="false">K145/TableDE6a!J145</f>
        <v>0.0471922305723992</v>
      </c>
      <c r="P145" s="1214"/>
      <c r="Q145" s="1220"/>
      <c r="R145" s="1225"/>
      <c r="S145" s="1221"/>
      <c r="T145" s="1221"/>
      <c r="U145" s="1221"/>
    </row>
    <row r="146" customFormat="false" ht="12" hidden="false" customHeight="true" outlineLevel="0" collapsed="false">
      <c r="A146" s="1227" t="n">
        <f aca="false">A145+1</f>
        <v>2006</v>
      </c>
      <c r="B146" s="1155" t="n">
        <f aca="false">C146+D146-E146</f>
        <v>3.05964842978471</v>
      </c>
      <c r="C146" s="1050" t="n">
        <f aca="false">0.5*(DataDE2!B68+DataDE2!B69)/TableDE1!$B146</f>
        <v>2.00562907367174</v>
      </c>
      <c r="D146" s="1050" t="n">
        <f aca="false">0.5*(DataDE2!J68+DataDE2!J69)/TableDE1!$B146</f>
        <v>5.51819573375469</v>
      </c>
      <c r="E146" s="1156" t="n">
        <f aca="false">0.5*(DataDE2!K68+DataDE2!K69)/TableDE1!$B146-F146</f>
        <v>4.46417637764172</v>
      </c>
      <c r="F146" s="1155" t="n">
        <f aca="false">0.5*(DataDE2!L68+DataDE2!L69)/TableDE1!$B146</f>
        <v>1.7321746000395</v>
      </c>
      <c r="G146" s="1157" t="n">
        <f aca="false">B146-F146</f>
        <v>1.32747382974521</v>
      </c>
      <c r="H146" s="1214" t="n">
        <f aca="false">F146/B146</f>
        <v>0.566135175263056</v>
      </c>
      <c r="I146" s="1219" t="n">
        <f aca="false">G146/TableDE6a!J146</f>
        <v>0.349316835073053</v>
      </c>
      <c r="J146" s="1219" t="n">
        <f aca="false">TableDE6a!J146+TableDE6b!G146</f>
        <v>5.12767380999408</v>
      </c>
      <c r="K146" s="1155" t="n">
        <f aca="false">L146-M146</f>
        <v>0.275197511356903</v>
      </c>
      <c r="L146" s="935" t="n">
        <f aca="false">0.5*(DataDE2!Z68+DataDE2!Z69)/TableDE1!$B146</f>
        <v>2.13435907564685</v>
      </c>
      <c r="M146" s="935" t="n">
        <f aca="false">0.5*(DataDE2!AA68+DataDE2!AA69)/TableDE1!$B146</f>
        <v>1.85916156428995</v>
      </c>
      <c r="N146" s="1157" t="n">
        <v>0</v>
      </c>
      <c r="O146" s="1215" t="n">
        <f aca="false">K146/TableDE6a!J146</f>
        <v>0.0724165867025979</v>
      </c>
      <c r="P146" s="1214"/>
      <c r="Q146" s="1220"/>
      <c r="R146" s="1225"/>
      <c r="S146" s="1221"/>
      <c r="T146" s="1221"/>
      <c r="U146" s="1221"/>
    </row>
    <row r="147" customFormat="false" ht="12" hidden="false" customHeight="true" outlineLevel="0" collapsed="false">
      <c r="A147" s="1227" t="n">
        <f aca="false">A146+1</f>
        <v>2007</v>
      </c>
      <c r="B147" s="1155" t="n">
        <f aca="false">C147+D147-E147</f>
        <v>3.04435788479698</v>
      </c>
      <c r="C147" s="1050" t="n">
        <f aca="false">0.5*(DataDE2!B69+DataDE2!B70)/TableDE1!$B147</f>
        <v>1.98855051935788</v>
      </c>
      <c r="D147" s="1050" t="n">
        <f aca="false">0.5*(DataDE2!J69+DataDE2!J70)/TableDE1!$B147</f>
        <v>5.52582625118036</v>
      </c>
      <c r="E147" s="1156" t="n">
        <f aca="false">0.5*(DataDE2!K69+DataDE2!K70)/TableDE1!$B147-F147</f>
        <v>4.47001888574127</v>
      </c>
      <c r="F147" s="1155" t="n">
        <f aca="false">0.5*(DataDE2!L69+DataDE2!L70)/TableDE1!$B147</f>
        <v>1.82797450424929</v>
      </c>
      <c r="G147" s="1157" t="n">
        <f aca="false">B147-F147</f>
        <v>1.21638338054769</v>
      </c>
      <c r="H147" s="1214" t="n">
        <f aca="false">F147/B147</f>
        <v>0.600446653587575</v>
      </c>
      <c r="I147" s="1219" t="n">
        <f aca="false">G147/TableDE6a!J147</f>
        <v>0.316091425178118</v>
      </c>
      <c r="J147" s="1219" t="n">
        <f aca="false">TableDE6a!J147+TableDE6b!G147</f>
        <v>5.06458451369216</v>
      </c>
      <c r="K147" s="1155" t="n">
        <f aca="false">L147-M147</f>
        <v>0.304590887629839</v>
      </c>
      <c r="L147" s="935" t="n">
        <f aca="false">0.5*(DataDE2!Z69+DataDE2!Z70)/TableDE1!$B147</f>
        <v>2.2625753068933</v>
      </c>
      <c r="M147" s="935" t="n">
        <f aca="false">0.5*(DataDE2!AA69+DataDE2!AA70)/TableDE1!$B147</f>
        <v>1.95798441926346</v>
      </c>
      <c r="N147" s="1157" t="n">
        <v>0</v>
      </c>
      <c r="O147" s="1215" t="n">
        <f aca="false">K147/TableDE6a!J147</f>
        <v>0.0791514988669393</v>
      </c>
      <c r="P147" s="1214"/>
      <c r="Q147" s="1220"/>
      <c r="R147" s="1225"/>
      <c r="S147" s="1221"/>
      <c r="T147" s="1221"/>
      <c r="U147" s="1221"/>
    </row>
    <row r="148" customFormat="false" ht="12" hidden="false" customHeight="true" outlineLevel="0" collapsed="false">
      <c r="A148" s="1227" t="n">
        <f aca="false">A147+1</f>
        <v>2008</v>
      </c>
      <c r="B148" s="1155" t="n">
        <f aca="false">C148+D148-E148</f>
        <v>2.99699449848323</v>
      </c>
      <c r="C148" s="1050" t="n">
        <f aca="false">0.5*(DataDE2!B70+DataDE2!B71)/TableDE1!$B148</f>
        <v>2.05033163348774</v>
      </c>
      <c r="D148" s="1050" t="n">
        <f aca="false">0.5*(DataDE2!J70+DataDE2!J71)/TableDE1!$B148</f>
        <v>5.62159660841073</v>
      </c>
      <c r="E148" s="1156" t="n">
        <f aca="false">0.5*(DataDE2!K70+DataDE2!K71)/TableDE1!$B148-F148</f>
        <v>4.67493374341524</v>
      </c>
      <c r="F148" s="1155" t="n">
        <f aca="false">0.5*(DataDE2!L70+DataDE2!L71)/TableDE1!$B148</f>
        <v>1.64825816463418</v>
      </c>
      <c r="G148" s="1157" t="n">
        <f aca="false">B148-F148</f>
        <v>1.34873633384905</v>
      </c>
      <c r="H148" s="1214" t="n">
        <f aca="false">F148/B148</f>
        <v>0.549970367135594</v>
      </c>
      <c r="I148" s="1219" t="n">
        <f aca="false">G148/TableDE6a!J148</f>
        <v>0.33909997191305</v>
      </c>
      <c r="J148" s="1219" t="n">
        <f aca="false">TableDE6a!J148+TableDE6b!G148</f>
        <v>5.32613664514983</v>
      </c>
      <c r="K148" s="1155" t="n">
        <f aca="false">L148-M148</f>
        <v>0.297520811812603</v>
      </c>
      <c r="L148" s="935" t="n">
        <f aca="false">0.5*(DataDE2!Z70+DataDE2!Z71)/TableDE1!$B148</f>
        <v>2.32073796046574</v>
      </c>
      <c r="M148" s="935" t="n">
        <f aca="false">0.5*(DataDE2!AA70+DataDE2!AA71)/TableDE1!$B148</f>
        <v>2.02321714865313</v>
      </c>
      <c r="N148" s="1157" t="n">
        <v>0</v>
      </c>
      <c r="O148" s="1215" t="n">
        <f aca="false">K148/TableDE6a!J148</f>
        <v>0.07480283313884</v>
      </c>
      <c r="P148" s="1214"/>
      <c r="Q148" s="1220"/>
      <c r="R148" s="1225"/>
      <c r="S148" s="1221"/>
      <c r="T148" s="1221"/>
      <c r="U148" s="1221"/>
    </row>
    <row r="149" customFormat="false" ht="12" hidden="false" customHeight="true" outlineLevel="0" collapsed="false">
      <c r="A149" s="1227" t="n">
        <f aca="false">A148+1</f>
        <v>2009</v>
      </c>
      <c r="B149" s="1158" t="n">
        <f aca="false">C149+D149-E149</f>
        <v>3.1110092816473</v>
      </c>
      <c r="C149" s="1062" t="n">
        <f aca="false">0.5*(DataDE2!B71+DataDE2!B72)/TableDE1!$B149</f>
        <v>2.19749337025193</v>
      </c>
      <c r="D149" s="1062" t="n">
        <f aca="false">0.5*(DataDE2!J71+DataDE2!J72)/TableDE1!$B149</f>
        <v>5.92146185944934</v>
      </c>
      <c r="E149" s="1159" t="n">
        <f aca="false">0.5*(DataDE2!K71+DataDE2!K72)/TableDE1!$B149-F149</f>
        <v>5.00794594805397</v>
      </c>
      <c r="F149" s="1155" t="n">
        <f aca="false">0.5*(DataDE2!L71+DataDE2!L72)/TableDE1!$B149</f>
        <v>1.54234264097964</v>
      </c>
      <c r="G149" s="1157" t="n">
        <f aca="false">B149-F149</f>
        <v>1.56866664066765</v>
      </c>
      <c r="H149" s="1214" t="n">
        <f aca="false">F149/B149</f>
        <v>0.495769218715723</v>
      </c>
      <c r="I149" s="1219" t="n">
        <f aca="false">G149/TableDE6a!J149</f>
        <v>0.371838107888401</v>
      </c>
      <c r="J149" s="1219" t="n">
        <f aca="false">TableDE6a!J149+TableDE6b!G149</f>
        <v>5.78734839326106</v>
      </c>
      <c r="K149" s="1155" t="n">
        <f aca="false">L149-M149</f>
        <v>0.349045998752048</v>
      </c>
      <c r="L149" s="935" t="n">
        <f aca="false">0.5*(DataDE2!Z71+DataDE2!Z72)/TableDE1!$B149</f>
        <v>2.42727361360268</v>
      </c>
      <c r="M149" s="935" t="n">
        <f aca="false">0.5*(DataDE2!AA71+DataDE2!AA72)/TableDE1!$B149</f>
        <v>2.07822761485064</v>
      </c>
      <c r="N149" s="1157" t="n">
        <v>0</v>
      </c>
      <c r="O149" s="1215" t="n">
        <f aca="false">K149/TableDE6a!J149</f>
        <v>0.0827381678026493</v>
      </c>
      <c r="P149" s="1214"/>
      <c r="Q149" s="1220"/>
      <c r="R149" s="1225"/>
      <c r="S149" s="1221"/>
      <c r="T149" s="1221"/>
      <c r="U149" s="1221"/>
    </row>
    <row r="150" customFormat="false" ht="12" hidden="false" customHeight="true" outlineLevel="0" collapsed="false">
      <c r="A150" s="1231" t="n">
        <f aca="false">A149+1</f>
        <v>2010</v>
      </c>
      <c r="B150" s="1151" t="n">
        <f aca="false">C150+D150-E150</f>
        <v>3.13327679561615</v>
      </c>
      <c r="C150" s="1048" t="n">
        <f aca="false">0.5*(DataDE2!B72+DataDE2!B73)/TableDE1!$B150</f>
        <v>2.14388227728954</v>
      </c>
      <c r="D150" s="1048" t="n">
        <f aca="false">0.5*(DataDE2!J72+DataDE2!J73)/TableDE1!$B150</f>
        <v>5.75983430099811</v>
      </c>
      <c r="E150" s="1153" t="n">
        <f aca="false">0.5*(DataDE2!K72+DataDE2!K73)/TableDE1!$B150-F150</f>
        <v>4.7704397826715</v>
      </c>
      <c r="F150" s="1151" t="n">
        <f aca="false">0.5*(DataDE2!L72+DataDE2!L73)/TableDE1!$B150</f>
        <v>1.61936292554728</v>
      </c>
      <c r="G150" s="1153" t="n">
        <f aca="false">B150-F150</f>
        <v>1.51391387006887</v>
      </c>
      <c r="H150" s="1228" t="n">
        <f aca="false">F150/B150</f>
        <v>0.516827280568692</v>
      </c>
      <c r="I150" s="1229" t="n">
        <f aca="false">G150/TableDE6a!J150</f>
        <v>0.364283111422565</v>
      </c>
      <c r="J150" s="1229" t="n">
        <f aca="false">TableDE6a!J150+TableDE6b!G150</f>
        <v>5.66978556051555</v>
      </c>
      <c r="K150" s="1151" t="n">
        <f aca="false">L150-M150</f>
        <v>0.389877729420427</v>
      </c>
      <c r="L150" s="1048" t="n">
        <f aca="false">0.5*(DataDE2!Z72+DataDE2!Z73)/TableDE1!$B150</f>
        <v>2.6455210944708</v>
      </c>
      <c r="M150" s="1048" t="n">
        <f aca="false">0.5*(DataDE2!AA72+DataDE2!AA73)/TableDE1!$B150</f>
        <v>2.25564336505037</v>
      </c>
      <c r="N150" s="1153" t="n">
        <v>0</v>
      </c>
      <c r="O150" s="1230" t="n">
        <f aca="false">K150/TableDE6a!J150</f>
        <v>0.0938137070777856</v>
      </c>
      <c r="P150" s="1214"/>
      <c r="Q150" s="1225"/>
      <c r="R150" s="1225"/>
      <c r="S150" s="1221"/>
      <c r="T150" s="1221"/>
      <c r="U150" s="1221"/>
      <c r="V150" s="1225"/>
      <c r="W150" s="1225"/>
      <c r="X150" s="1225"/>
      <c r="Y150" s="1225"/>
      <c r="Z150" s="1225"/>
      <c r="AA150" s="1225"/>
      <c r="AB150" s="1225"/>
      <c r="AC150" s="1225"/>
      <c r="AD150" s="1225"/>
      <c r="AE150" s="1232"/>
      <c r="AF150" s="1225"/>
      <c r="AG150" s="1225"/>
      <c r="AH150" s="1225"/>
      <c r="AI150" s="1225"/>
      <c r="AJ150" s="1225"/>
      <c r="AK150" s="1225"/>
      <c r="AL150" s="1225"/>
    </row>
    <row r="151" customFormat="false" ht="12" hidden="false" customHeight="true" outlineLevel="0" collapsed="false">
      <c r="A151" s="1233" t="n">
        <f aca="false">A150+1</f>
        <v>2011</v>
      </c>
      <c r="B151" s="1234" t="n">
        <f aca="false">C151+D151-E151</f>
        <v>3.12742854578902</v>
      </c>
      <c r="C151" s="1235" t="n">
        <f aca="false">0.5*(DataDE2!B73+DataDE2!B74)/TableDE1!$B151</f>
        <v>2.13830932830798</v>
      </c>
      <c r="D151" s="1235" t="n">
        <f aca="false">0.5*(DataDE2!J73+DataDE2!J74)/TableDE1!$B151</f>
        <v>5.62700228832952</v>
      </c>
      <c r="E151" s="1236" t="n">
        <f aca="false">0.5*(DataDE2!K73+DataDE2!K74)/TableDE1!$B151-F151</f>
        <v>4.63788307084848</v>
      </c>
      <c r="F151" s="1234" t="n">
        <f aca="false">0.5*(DataDE2!L73+DataDE2!L74)/TableDE1!$B151</f>
        <v>1.58110109032171</v>
      </c>
      <c r="G151" s="1237" t="n">
        <f aca="false">B151-F151</f>
        <v>1.54632745546731</v>
      </c>
      <c r="H151" s="1238" t="n">
        <f aca="false">F151/B151</f>
        <v>0.505559461126813</v>
      </c>
      <c r="I151" s="1239" t="n">
        <f aca="false">G151/TableDE6a!J151</f>
        <v>0.374390283647109</v>
      </c>
      <c r="J151" s="1239" t="n">
        <f aca="false">TableDE6a!J151+TableDE6b!G151</f>
        <v>5.67658276125095</v>
      </c>
      <c r="K151" s="1234" t="n">
        <f aca="false">L151-M151</f>
        <v>0.384888275676403</v>
      </c>
      <c r="L151" s="1087" t="n">
        <f aca="false">0.5*(DataDE2!Z73+DataDE2!Z74)/TableDE1!$B151</f>
        <v>2.88575200789698</v>
      </c>
      <c r="M151" s="1087" t="n">
        <f aca="false">0.5*(DataDE2!AA73+DataDE2!AA74)/TableDE1!$B151</f>
        <v>2.50086373222058</v>
      </c>
      <c r="N151" s="1237" t="n">
        <v>0</v>
      </c>
      <c r="O151" s="1240" t="n">
        <f aca="false">K151/TableDE6a!J151</f>
        <v>0.0931875264798861</v>
      </c>
      <c r="P151" s="1232"/>
      <c r="Q151" s="1232"/>
      <c r="R151" s="1225"/>
      <c r="S151" s="1241"/>
      <c r="T151" s="1241"/>
      <c r="U151" s="1241"/>
      <c r="V151" s="1225"/>
      <c r="W151" s="1225"/>
      <c r="X151" s="1225"/>
      <c r="Y151" s="1225"/>
      <c r="Z151" s="1225"/>
      <c r="AA151" s="1225"/>
      <c r="AB151" s="1225"/>
      <c r="AC151" s="1225"/>
      <c r="AD151" s="1225"/>
      <c r="AE151" s="1232"/>
      <c r="AF151" s="1232"/>
      <c r="AG151" s="1232"/>
      <c r="AH151" s="1232"/>
      <c r="AI151" s="1232"/>
      <c r="AJ151" s="1232"/>
      <c r="AK151" s="1232"/>
      <c r="AL151" s="1232"/>
    </row>
    <row r="152" customFormat="false" ht="12" hidden="false" customHeight="true" outlineLevel="0" collapsed="false">
      <c r="B152" s="1232"/>
      <c r="C152" s="158"/>
      <c r="D152" s="1232"/>
      <c r="E152" s="1232"/>
      <c r="F152" s="1232"/>
      <c r="G152" s="1232"/>
      <c r="H152" s="1232"/>
      <c r="I152" s="1232"/>
      <c r="J152" s="1232"/>
      <c r="K152" s="1232"/>
      <c r="L152" s="1232"/>
      <c r="M152" s="1232"/>
      <c r="N152" s="1232"/>
      <c r="O152" s="1232"/>
      <c r="P152" s="1232"/>
      <c r="Q152" s="1176"/>
      <c r="R152" s="1225"/>
      <c r="S152" s="1242"/>
      <c r="T152" s="1241"/>
      <c r="U152" s="1241"/>
      <c r="V152" s="1225"/>
      <c r="W152" s="1225"/>
      <c r="X152" s="1225"/>
      <c r="Y152" s="1225"/>
      <c r="Z152" s="1225"/>
      <c r="AA152" s="1225"/>
      <c r="AB152" s="1225"/>
      <c r="AC152" s="1225"/>
      <c r="AD152" s="1225"/>
      <c r="AE152" s="1232"/>
      <c r="AF152" s="1232"/>
      <c r="AG152" s="1232"/>
      <c r="AH152" s="1232"/>
      <c r="AI152" s="1232"/>
      <c r="AJ152" s="1232"/>
      <c r="AK152" s="1232"/>
      <c r="AL152" s="1232"/>
    </row>
    <row r="153" customFormat="false" ht="12" hidden="false" customHeight="true" outlineLevel="0" collapsed="false">
      <c r="B153" s="1232"/>
      <c r="C153" s="158"/>
      <c r="D153" s="1232"/>
      <c r="E153" s="1232"/>
      <c r="F153" s="1232"/>
      <c r="G153" s="1232"/>
      <c r="H153" s="1232"/>
      <c r="I153" s="1232"/>
      <c r="J153" s="1232"/>
      <c r="K153" s="1232"/>
      <c r="L153" s="1232"/>
      <c r="M153" s="1232"/>
      <c r="N153" s="1232"/>
      <c r="O153" s="1232"/>
      <c r="P153" s="1232"/>
      <c r="Q153" s="1232"/>
      <c r="R153" s="1225"/>
      <c r="S153" s="1243"/>
      <c r="T153" s="1225"/>
      <c r="U153" s="1225"/>
      <c r="V153" s="1225"/>
      <c r="W153" s="1225"/>
      <c r="X153" s="1225"/>
      <c r="Y153" s="1225"/>
      <c r="Z153" s="1225"/>
      <c r="AA153" s="1225"/>
      <c r="AB153" s="1225"/>
      <c r="AC153" s="1225"/>
      <c r="AD153" s="1225"/>
      <c r="AE153" s="1232"/>
      <c r="AF153" s="1232"/>
      <c r="AG153" s="1232"/>
      <c r="AH153" s="1232"/>
      <c r="AI153" s="1232"/>
      <c r="AJ153" s="1232"/>
      <c r="AK153" s="1232"/>
      <c r="AL153" s="1232"/>
    </row>
    <row r="154" customFormat="false" ht="12" hidden="false" customHeight="true" outlineLevel="0" collapsed="false">
      <c r="B154" s="1232"/>
      <c r="C154" s="1232"/>
      <c r="D154" s="1232"/>
      <c r="E154" s="1232"/>
      <c r="F154" s="1232"/>
      <c r="G154" s="1232"/>
      <c r="H154" s="1232"/>
      <c r="I154" s="1232"/>
      <c r="J154" s="1232"/>
      <c r="K154" s="1232"/>
      <c r="L154" s="1232"/>
      <c r="M154" s="1232"/>
      <c r="N154" s="1232"/>
      <c r="O154" s="1232"/>
      <c r="P154" s="1232"/>
      <c r="Q154" s="1176"/>
      <c r="R154" s="1225"/>
      <c r="S154" s="1225"/>
      <c r="T154" s="1225"/>
      <c r="U154" s="1225"/>
      <c r="V154" s="1225"/>
      <c r="W154" s="1225"/>
      <c r="X154" s="1225"/>
      <c r="Y154" s="1225"/>
      <c r="Z154" s="1225"/>
      <c r="AA154" s="1225"/>
      <c r="AB154" s="1225"/>
      <c r="AC154" s="1225"/>
      <c r="AD154" s="1225"/>
      <c r="AE154" s="1232"/>
      <c r="AF154" s="1232"/>
      <c r="AG154" s="1232"/>
      <c r="AH154" s="1232"/>
      <c r="AI154" s="1232"/>
      <c r="AJ154" s="1232"/>
      <c r="AK154" s="1232"/>
      <c r="AL154" s="1232"/>
    </row>
    <row r="155" customFormat="false" ht="12" hidden="false" customHeight="true" outlineLevel="0" collapsed="false">
      <c r="B155" s="1232"/>
      <c r="C155" s="1232"/>
      <c r="D155" s="1232"/>
      <c r="E155" s="1232"/>
      <c r="F155" s="1232"/>
      <c r="G155" s="1232"/>
      <c r="H155" s="1232"/>
      <c r="I155" s="1232"/>
      <c r="J155" s="1232"/>
      <c r="K155" s="1232"/>
      <c r="L155" s="1232"/>
      <c r="M155" s="1232"/>
      <c r="N155" s="1232"/>
      <c r="O155" s="1232"/>
      <c r="P155" s="1232"/>
      <c r="Q155" s="1176"/>
      <c r="R155" s="1225"/>
      <c r="S155" s="1225"/>
      <c r="T155" s="1225"/>
      <c r="U155" s="1225"/>
      <c r="V155" s="1225"/>
      <c r="W155" s="1225"/>
      <c r="X155" s="1225"/>
      <c r="Y155" s="1225"/>
      <c r="Z155" s="1225"/>
      <c r="AA155" s="1225"/>
      <c r="AB155" s="1225"/>
      <c r="AC155" s="1225"/>
      <c r="AD155" s="1225"/>
      <c r="AE155" s="1232"/>
      <c r="AF155" s="1232"/>
      <c r="AG155" s="1232"/>
      <c r="AH155" s="1232"/>
      <c r="AI155" s="1232"/>
      <c r="AJ155" s="1232"/>
      <c r="AK155" s="1232"/>
      <c r="AL155" s="1232"/>
    </row>
    <row r="156" customFormat="false" ht="12" hidden="false" customHeight="true" outlineLevel="0" collapsed="false">
      <c r="B156" s="1232"/>
      <c r="C156" s="1232"/>
      <c r="D156" s="1232"/>
      <c r="E156" s="1232"/>
      <c r="F156" s="1232"/>
      <c r="G156" s="1232"/>
      <c r="H156" s="1232"/>
      <c r="I156" s="1232"/>
      <c r="J156" s="1232"/>
      <c r="K156" s="1232"/>
      <c r="L156" s="1232"/>
      <c r="M156" s="1232"/>
      <c r="N156" s="1232"/>
      <c r="O156" s="1232"/>
      <c r="P156" s="1232"/>
      <c r="Q156" s="1176"/>
      <c r="R156" s="1225"/>
      <c r="S156" s="1225"/>
      <c r="T156" s="1225"/>
      <c r="U156" s="1225"/>
      <c r="V156" s="1225"/>
      <c r="W156" s="1225"/>
      <c r="X156" s="1225"/>
      <c r="Y156" s="1225"/>
      <c r="Z156" s="1225"/>
      <c r="AA156" s="1225"/>
      <c r="AB156" s="1225"/>
      <c r="AC156" s="1225"/>
      <c r="AD156" s="1225"/>
      <c r="AE156" s="1232"/>
      <c r="AF156" s="1232"/>
      <c r="AG156" s="1232"/>
      <c r="AH156" s="1232"/>
      <c r="AI156" s="1232"/>
      <c r="AJ156" s="1232"/>
      <c r="AK156" s="1232"/>
      <c r="AL156" s="1232"/>
    </row>
    <row r="157" customFormat="false" ht="12" hidden="false" customHeight="true" outlineLevel="0" collapsed="false">
      <c r="B157" s="1232"/>
      <c r="C157" s="1232"/>
      <c r="D157" s="1232"/>
      <c r="E157" s="1232"/>
      <c r="F157" s="1232"/>
      <c r="G157" s="1232"/>
      <c r="H157" s="1232"/>
      <c r="I157" s="1232"/>
      <c r="J157" s="1232"/>
      <c r="K157" s="1232"/>
      <c r="L157" s="1232"/>
      <c r="M157" s="1232"/>
      <c r="N157" s="1232"/>
      <c r="O157" s="1232"/>
      <c r="P157" s="1232"/>
      <c r="Q157" s="1176"/>
      <c r="R157" s="1225"/>
      <c r="S157" s="1225"/>
      <c r="T157" s="1225"/>
      <c r="U157" s="1225"/>
      <c r="V157" s="1225"/>
      <c r="W157" s="1225"/>
      <c r="X157" s="1225"/>
      <c r="Y157" s="1225"/>
      <c r="Z157" s="1225"/>
      <c r="AA157" s="1225"/>
      <c r="AB157" s="1225"/>
      <c r="AC157" s="1225"/>
      <c r="AD157" s="1225"/>
      <c r="AE157" s="1232"/>
      <c r="AF157" s="1232"/>
      <c r="AG157" s="1232"/>
      <c r="AH157" s="1232"/>
      <c r="AI157" s="1232"/>
      <c r="AJ157" s="1232"/>
      <c r="AK157" s="1232"/>
      <c r="AL157" s="1232"/>
    </row>
    <row r="158" customFormat="false" ht="12" hidden="false" customHeight="true" outlineLevel="0" collapsed="false">
      <c r="B158" s="1232"/>
      <c r="C158" s="1232"/>
      <c r="D158" s="1232"/>
      <c r="E158" s="1232"/>
      <c r="F158" s="1232"/>
      <c r="G158" s="1232"/>
      <c r="H158" s="1232"/>
      <c r="I158" s="1232"/>
      <c r="J158" s="1232"/>
      <c r="K158" s="1232"/>
      <c r="L158" s="1232"/>
      <c r="M158" s="1232"/>
      <c r="N158" s="1232"/>
      <c r="O158" s="1232"/>
      <c r="P158" s="1232"/>
      <c r="Q158" s="1176"/>
      <c r="R158" s="1225"/>
      <c r="S158" s="1225"/>
      <c r="T158" s="1225"/>
      <c r="U158" s="1225"/>
      <c r="V158" s="1225"/>
      <c r="W158" s="1225"/>
      <c r="X158" s="1225"/>
      <c r="Y158" s="1225"/>
      <c r="Z158" s="1225"/>
      <c r="AA158" s="1225"/>
      <c r="AB158" s="1225"/>
      <c r="AC158" s="1225"/>
      <c r="AD158" s="1225"/>
      <c r="AE158" s="1232"/>
      <c r="AF158" s="1232"/>
      <c r="AG158" s="1232"/>
      <c r="AH158" s="1232"/>
      <c r="AI158" s="1232"/>
      <c r="AJ158" s="1232"/>
      <c r="AK158" s="1232"/>
      <c r="AL158" s="1232"/>
    </row>
    <row r="159" customFormat="false" ht="12" hidden="false" customHeight="true" outlineLevel="0" collapsed="false">
      <c r="B159" s="1232"/>
      <c r="C159" s="1232"/>
      <c r="D159" s="1232"/>
      <c r="E159" s="1232"/>
      <c r="F159" s="1232"/>
      <c r="G159" s="1232"/>
      <c r="H159" s="1232"/>
      <c r="I159" s="1232"/>
      <c r="J159" s="1232"/>
      <c r="K159" s="1232"/>
      <c r="L159" s="1232"/>
      <c r="M159" s="1232"/>
      <c r="N159" s="1232"/>
      <c r="O159" s="1232"/>
      <c r="P159" s="1232"/>
      <c r="Q159" s="1176"/>
      <c r="R159" s="1225"/>
      <c r="S159" s="1225"/>
      <c r="T159" s="1225"/>
      <c r="U159" s="1225"/>
      <c r="V159" s="1225"/>
      <c r="W159" s="1225"/>
      <c r="X159" s="1225"/>
      <c r="Y159" s="1225"/>
      <c r="Z159" s="1225"/>
      <c r="AA159" s="1225"/>
      <c r="AB159" s="1225"/>
      <c r="AC159" s="1225"/>
      <c r="AD159" s="1225"/>
      <c r="AE159" s="1232"/>
      <c r="AF159" s="1232"/>
      <c r="AG159" s="1232"/>
      <c r="AH159" s="1232"/>
      <c r="AI159" s="1232"/>
      <c r="AJ159" s="1232"/>
      <c r="AK159" s="1232"/>
      <c r="AL159" s="1232"/>
    </row>
    <row r="160" customFormat="false" ht="12" hidden="false" customHeight="true" outlineLevel="0" collapsed="false">
      <c r="B160" s="1232"/>
      <c r="C160" s="1232"/>
      <c r="D160" s="1232"/>
      <c r="E160" s="1232"/>
      <c r="F160" s="1232"/>
      <c r="G160" s="1232"/>
      <c r="H160" s="1232"/>
      <c r="I160" s="1232"/>
      <c r="J160" s="1232"/>
      <c r="K160" s="1232"/>
      <c r="L160" s="1232"/>
      <c r="M160" s="1232"/>
      <c r="N160" s="1232"/>
      <c r="O160" s="1232"/>
      <c r="P160" s="1232"/>
      <c r="Q160" s="1176"/>
      <c r="R160" s="1225"/>
      <c r="S160" s="1225"/>
      <c r="T160" s="1225"/>
      <c r="U160" s="1225"/>
      <c r="V160" s="1225"/>
      <c r="W160" s="1225"/>
      <c r="X160" s="1225"/>
      <c r="Y160" s="1225"/>
      <c r="Z160" s="1225"/>
      <c r="AA160" s="1225"/>
      <c r="AB160" s="1225"/>
      <c r="AC160" s="1225"/>
      <c r="AD160" s="1225"/>
      <c r="AE160" s="1225"/>
      <c r="AF160" s="1232"/>
      <c r="AG160" s="1232"/>
      <c r="AH160" s="1232"/>
      <c r="AI160" s="1232"/>
      <c r="AJ160" s="1232"/>
      <c r="AK160" s="1232"/>
      <c r="AL160" s="1232"/>
    </row>
    <row r="161" customFormat="false" ht="12" hidden="false" customHeight="true" outlineLevel="0" collapsed="false">
      <c r="B161" s="1232"/>
      <c r="C161" s="1232"/>
      <c r="D161" s="1232"/>
      <c r="E161" s="1232"/>
      <c r="F161" s="1232"/>
      <c r="G161" s="1232"/>
      <c r="H161" s="1232"/>
      <c r="I161" s="1232"/>
      <c r="J161" s="1232"/>
      <c r="K161" s="1232"/>
      <c r="L161" s="1232"/>
      <c r="M161" s="1232"/>
      <c r="N161" s="1232"/>
      <c r="O161" s="1232"/>
      <c r="P161" s="1232"/>
      <c r="Q161" s="1232"/>
      <c r="R161" s="1232"/>
      <c r="S161" s="1232"/>
      <c r="T161" s="1232"/>
      <c r="U161" s="1232"/>
      <c r="V161" s="1232"/>
      <c r="W161" s="1232"/>
      <c r="X161" s="1232"/>
      <c r="Y161" s="1232"/>
      <c r="Z161" s="1232"/>
      <c r="AA161" s="1232"/>
      <c r="AB161" s="1232"/>
      <c r="AC161" s="1232"/>
      <c r="AD161" s="1232"/>
      <c r="AE161" s="1232"/>
      <c r="AF161" s="1232"/>
      <c r="AG161" s="1232"/>
      <c r="AH161" s="1232"/>
      <c r="AI161" s="1232"/>
      <c r="AJ161" s="1232"/>
      <c r="AK161" s="1232"/>
      <c r="AL161" s="1232"/>
    </row>
    <row r="162" customFormat="false" ht="15" hidden="false" customHeight="true" outlineLevel="0" collapsed="false">
      <c r="B162" s="1232"/>
      <c r="C162" s="1232"/>
      <c r="D162" s="1232"/>
      <c r="E162" s="1232"/>
      <c r="F162" s="1232"/>
      <c r="G162" s="1232"/>
      <c r="H162" s="1232"/>
      <c r="I162" s="1232"/>
      <c r="J162" s="1232"/>
      <c r="K162" s="1232"/>
      <c r="L162" s="1232"/>
      <c r="M162" s="1232"/>
      <c r="N162" s="1232"/>
      <c r="O162" s="1232"/>
      <c r="P162" s="1232"/>
      <c r="Q162" s="1232"/>
      <c r="R162" s="1232"/>
      <c r="S162" s="1244"/>
      <c r="T162" s="1232"/>
      <c r="U162" s="1232"/>
      <c r="V162" s="1232"/>
      <c r="W162" s="1232"/>
      <c r="X162" s="1232"/>
      <c r="Y162" s="1232"/>
      <c r="Z162" s="1232"/>
      <c r="AA162" s="1232"/>
      <c r="AB162" s="1232"/>
      <c r="AC162" s="1232"/>
      <c r="AD162" s="1232"/>
      <c r="AE162" s="1232"/>
      <c r="AF162" s="1232"/>
      <c r="AG162" s="1232"/>
      <c r="AH162" s="1232"/>
      <c r="AI162" s="1232"/>
      <c r="AJ162" s="1232"/>
      <c r="AK162" s="1232"/>
      <c r="AL162" s="1232"/>
    </row>
    <row r="163" customFormat="false" ht="12" hidden="false" customHeight="true" outlineLevel="0" collapsed="false">
      <c r="B163" s="1232"/>
      <c r="C163" s="1232"/>
      <c r="D163" s="1232"/>
      <c r="E163" s="1232"/>
      <c r="F163" s="1232"/>
      <c r="G163" s="1232"/>
      <c r="H163" s="1232"/>
      <c r="I163" s="1232"/>
      <c r="J163" s="1232"/>
      <c r="K163" s="1232"/>
      <c r="L163" s="1232"/>
      <c r="M163" s="1232"/>
      <c r="N163" s="1232"/>
      <c r="O163" s="1232"/>
      <c r="P163" s="1232"/>
      <c r="Q163" s="1232"/>
      <c r="R163" s="1232"/>
      <c r="S163" s="1232"/>
      <c r="T163" s="1232"/>
      <c r="U163" s="1232"/>
      <c r="V163" s="1232"/>
      <c r="W163" s="1232"/>
      <c r="X163" s="1232"/>
      <c r="Y163" s="1232"/>
      <c r="Z163" s="1232"/>
      <c r="AA163" s="1232"/>
      <c r="AB163" s="1232"/>
      <c r="AC163" s="1232"/>
      <c r="AD163" s="1232"/>
      <c r="AE163" s="1232"/>
      <c r="AF163" s="1232"/>
      <c r="AG163" s="1232"/>
      <c r="AH163" s="1232"/>
      <c r="AI163" s="1232"/>
      <c r="AJ163" s="1232"/>
      <c r="AK163" s="1232"/>
      <c r="AL163" s="1232"/>
    </row>
    <row r="164" customFormat="false" ht="15" hidden="false" customHeight="true" outlineLevel="0" collapsed="false">
      <c r="B164" s="1232"/>
      <c r="C164" s="1232"/>
      <c r="D164" s="1232"/>
      <c r="E164" s="1232"/>
      <c r="F164" s="1232"/>
      <c r="G164" s="1232"/>
      <c r="H164" s="1232"/>
      <c r="I164" s="1232"/>
      <c r="J164" s="1232"/>
      <c r="K164" s="1232"/>
      <c r="L164" s="1232"/>
      <c r="M164" s="1232"/>
      <c r="N164" s="1232"/>
      <c r="O164" s="1232"/>
      <c r="P164" s="1232"/>
      <c r="Q164" s="1232"/>
      <c r="R164" s="1232"/>
      <c r="S164" s="1245"/>
      <c r="T164" s="1232"/>
      <c r="U164" s="1232"/>
      <c r="V164" s="1232"/>
      <c r="W164" s="1232"/>
      <c r="X164" s="1232"/>
      <c r="Y164" s="1232"/>
      <c r="Z164" s="1232"/>
      <c r="AA164" s="1232"/>
      <c r="AB164" s="1232"/>
      <c r="AC164" s="1232"/>
      <c r="AD164" s="1232"/>
      <c r="AE164" s="1232"/>
      <c r="AF164" s="1232"/>
      <c r="AG164" s="1232"/>
      <c r="AH164" s="1232"/>
      <c r="AI164" s="1232"/>
      <c r="AJ164" s="1232"/>
      <c r="AK164" s="1232"/>
      <c r="AL164" s="1232"/>
    </row>
    <row r="165" customFormat="false" ht="12" hidden="false" customHeight="true" outlineLevel="0" collapsed="false">
      <c r="B165" s="1232"/>
      <c r="C165" s="1232"/>
      <c r="D165" s="1232"/>
      <c r="E165" s="1232"/>
      <c r="F165" s="1232"/>
      <c r="G165" s="1232"/>
      <c r="H165" s="1232"/>
      <c r="I165" s="1232"/>
      <c r="J165" s="1232"/>
      <c r="K165" s="1232"/>
      <c r="L165" s="1232"/>
      <c r="M165" s="1232"/>
      <c r="N165" s="1232"/>
      <c r="O165" s="1232"/>
      <c r="P165" s="1232"/>
      <c r="Q165" s="1246"/>
      <c r="R165" s="1232"/>
      <c r="S165" s="1232"/>
      <c r="T165" s="1232"/>
      <c r="U165" s="1232"/>
      <c r="V165" s="1232"/>
      <c r="W165" s="1232"/>
      <c r="X165" s="1232"/>
      <c r="Y165" s="1232"/>
      <c r="Z165" s="1232"/>
      <c r="AA165" s="1232"/>
      <c r="AB165" s="1232"/>
      <c r="AC165" s="1232"/>
      <c r="AD165" s="1232"/>
      <c r="AE165" s="1232"/>
      <c r="AF165" s="1232"/>
      <c r="AG165" s="1232"/>
      <c r="AH165" s="1232"/>
      <c r="AI165" s="1232"/>
      <c r="AJ165" s="1232"/>
      <c r="AK165" s="1232"/>
      <c r="AL165" s="1232"/>
    </row>
    <row r="166" customFormat="false" ht="12" hidden="false" customHeight="true" outlineLevel="0" collapsed="false">
      <c r="B166" s="1232"/>
      <c r="C166" s="1232"/>
      <c r="D166" s="1232"/>
      <c r="E166" s="1232"/>
      <c r="F166" s="1232"/>
      <c r="G166" s="1232"/>
      <c r="H166" s="1232"/>
      <c r="I166" s="1232"/>
      <c r="J166" s="1232"/>
      <c r="K166" s="1232"/>
      <c r="L166" s="1232"/>
      <c r="M166" s="1232"/>
      <c r="N166" s="1232"/>
      <c r="O166" s="1232"/>
      <c r="P166" s="1232"/>
      <c r="Q166" s="1232"/>
      <c r="R166" s="1232"/>
      <c r="S166" s="1232"/>
      <c r="T166" s="1232"/>
      <c r="U166" s="1232"/>
      <c r="V166" s="1232"/>
      <c r="W166" s="1232"/>
      <c r="X166" s="1232"/>
      <c r="Y166" s="1232"/>
      <c r="Z166" s="1232"/>
      <c r="AA166" s="1232"/>
      <c r="AB166" s="1232"/>
      <c r="AC166" s="1232"/>
      <c r="AD166" s="1232"/>
      <c r="AE166" s="1232"/>
      <c r="AF166" s="1232"/>
      <c r="AG166" s="1232"/>
      <c r="AH166" s="1232"/>
      <c r="AI166" s="1232"/>
      <c r="AJ166" s="1232"/>
      <c r="AK166" s="1232"/>
      <c r="AL166" s="1232"/>
    </row>
    <row r="167" customFormat="false" ht="12" hidden="false" customHeight="true" outlineLevel="0" collapsed="false">
      <c r="B167" s="1232"/>
      <c r="C167" s="1232"/>
      <c r="D167" s="1232"/>
      <c r="E167" s="1232"/>
      <c r="F167" s="1232"/>
      <c r="G167" s="1232"/>
      <c r="H167" s="1232"/>
      <c r="I167" s="1232"/>
      <c r="J167" s="1232"/>
      <c r="K167" s="1232"/>
      <c r="L167" s="1232"/>
      <c r="M167" s="1232"/>
      <c r="N167" s="1232"/>
      <c r="O167" s="1232"/>
      <c r="P167" s="1232"/>
      <c r="Q167" s="1232"/>
      <c r="R167" s="1232"/>
      <c r="S167" s="1232"/>
      <c r="T167" s="1232"/>
      <c r="U167" s="1232"/>
      <c r="V167" s="1232"/>
      <c r="W167" s="1232"/>
      <c r="X167" s="1232"/>
      <c r="Y167" s="1232"/>
      <c r="Z167" s="1232"/>
      <c r="AA167" s="1232"/>
      <c r="AB167" s="1232"/>
      <c r="AC167" s="1232"/>
      <c r="AD167" s="1232"/>
      <c r="AE167" s="1232"/>
      <c r="AF167" s="1232"/>
      <c r="AG167" s="1232"/>
      <c r="AH167" s="1232"/>
      <c r="AI167" s="1232"/>
      <c r="AJ167" s="1232"/>
      <c r="AK167" s="1232"/>
      <c r="AL167" s="1232"/>
    </row>
    <row r="168" customFormat="false" ht="12" hidden="false" customHeight="true" outlineLevel="0" collapsed="false">
      <c r="B168" s="1232"/>
      <c r="C168" s="1232"/>
      <c r="D168" s="1232"/>
      <c r="E168" s="1232"/>
      <c r="F168" s="1232"/>
      <c r="G168" s="1232"/>
      <c r="H168" s="1232"/>
      <c r="I168" s="1232"/>
      <c r="J168" s="1232"/>
      <c r="K168" s="1232"/>
      <c r="L168" s="1232"/>
      <c r="M168" s="1232"/>
      <c r="N168" s="1232"/>
      <c r="O168" s="1232"/>
      <c r="P168" s="1232"/>
      <c r="Q168" s="1232"/>
      <c r="R168" s="1232"/>
      <c r="S168" s="1232"/>
      <c r="T168" s="1232"/>
      <c r="U168" s="1232"/>
      <c r="V168" s="1232"/>
      <c r="W168" s="1232"/>
      <c r="X168" s="1232"/>
      <c r="Y168" s="1232"/>
      <c r="Z168" s="1232"/>
      <c r="AA168" s="1232"/>
      <c r="AB168" s="1232"/>
      <c r="AC168" s="1232"/>
      <c r="AD168" s="1232"/>
      <c r="AE168" s="1232"/>
      <c r="AF168" s="1232"/>
      <c r="AG168" s="1232"/>
      <c r="AH168" s="1232"/>
      <c r="AI168" s="1232"/>
      <c r="AJ168" s="1232"/>
      <c r="AK168" s="1232"/>
      <c r="AL168" s="1232"/>
    </row>
    <row r="169" customFormat="false" ht="12" hidden="false" customHeight="true" outlineLevel="0" collapsed="false">
      <c r="B169" s="1232"/>
      <c r="C169" s="1232"/>
      <c r="D169" s="1232"/>
      <c r="E169" s="1232"/>
      <c r="F169" s="1232"/>
      <c r="G169" s="1232"/>
      <c r="H169" s="1232"/>
      <c r="I169" s="1232"/>
      <c r="J169" s="1232"/>
      <c r="K169" s="1232"/>
      <c r="L169" s="1232"/>
      <c r="M169" s="1232"/>
      <c r="N169" s="1232"/>
      <c r="O169" s="1232"/>
      <c r="P169" s="1232"/>
      <c r="Q169" s="1232"/>
      <c r="R169" s="1232"/>
      <c r="S169" s="1232"/>
      <c r="T169" s="1232"/>
      <c r="U169" s="1232"/>
      <c r="V169" s="1232"/>
      <c r="W169" s="1232"/>
      <c r="X169" s="1232"/>
      <c r="Y169" s="1232"/>
      <c r="Z169" s="1232"/>
      <c r="AA169" s="1232"/>
      <c r="AB169" s="1232"/>
      <c r="AC169" s="1232"/>
      <c r="AD169" s="1232"/>
      <c r="AE169" s="1232"/>
      <c r="AF169" s="1232"/>
      <c r="AG169" s="1232"/>
      <c r="AH169" s="1232"/>
      <c r="AI169" s="1232"/>
      <c r="AJ169" s="1232"/>
      <c r="AK169" s="1232"/>
      <c r="AL169" s="1232"/>
    </row>
    <row r="170" customFormat="false" ht="12" hidden="false" customHeight="true" outlineLevel="0" collapsed="false">
      <c r="B170" s="1232"/>
      <c r="C170" s="1232"/>
      <c r="D170" s="1232"/>
      <c r="E170" s="1232"/>
      <c r="F170" s="1232"/>
      <c r="G170" s="1232"/>
      <c r="H170" s="1232"/>
      <c r="I170" s="1232"/>
      <c r="J170" s="1232"/>
      <c r="K170" s="1232"/>
      <c r="L170" s="1232"/>
      <c r="M170" s="1232"/>
      <c r="N170" s="1232"/>
      <c r="O170" s="1232"/>
      <c r="P170" s="1232"/>
      <c r="Q170" s="1232"/>
      <c r="R170" s="1232"/>
      <c r="S170" s="1232"/>
      <c r="T170" s="1232"/>
      <c r="U170" s="1232"/>
      <c r="V170" s="1232"/>
      <c r="W170" s="1232"/>
      <c r="X170" s="1232"/>
      <c r="Y170" s="1232"/>
      <c r="Z170" s="1232"/>
      <c r="AA170" s="1232"/>
      <c r="AB170" s="1232"/>
      <c r="AC170" s="1232"/>
      <c r="AD170" s="1232"/>
      <c r="AE170" s="1232"/>
      <c r="AF170" s="1232"/>
      <c r="AG170" s="1232"/>
      <c r="AH170" s="1232"/>
      <c r="AI170" s="1232"/>
      <c r="AJ170" s="1232"/>
      <c r="AK170" s="1232"/>
      <c r="AL170" s="1232"/>
    </row>
    <row r="171" customFormat="false" ht="12" hidden="false" customHeight="true" outlineLevel="0" collapsed="false">
      <c r="B171" s="1232"/>
      <c r="C171" s="1232"/>
      <c r="D171" s="1232"/>
      <c r="E171" s="1232"/>
      <c r="F171" s="1232"/>
      <c r="G171" s="1232"/>
      <c r="H171" s="1232"/>
      <c r="I171" s="1232"/>
      <c r="J171" s="1232"/>
      <c r="K171" s="1232"/>
      <c r="L171" s="1232"/>
      <c r="M171" s="1232"/>
      <c r="N171" s="1232"/>
      <c r="O171" s="1232"/>
      <c r="P171" s="1232"/>
      <c r="Q171" s="1232"/>
      <c r="R171" s="1232"/>
      <c r="S171" s="1232"/>
      <c r="T171" s="1232"/>
      <c r="U171" s="1232"/>
      <c r="V171" s="1232"/>
      <c r="W171" s="1232"/>
      <c r="X171" s="1232"/>
      <c r="Y171" s="1232"/>
      <c r="Z171" s="1232"/>
      <c r="AA171" s="1232"/>
      <c r="AB171" s="1232"/>
      <c r="AC171" s="1232"/>
      <c r="AD171" s="1232"/>
      <c r="AE171" s="1232"/>
      <c r="AF171" s="1232"/>
      <c r="AG171" s="1232"/>
      <c r="AH171" s="1232"/>
      <c r="AI171" s="1232"/>
      <c r="AJ171" s="1232"/>
      <c r="AK171" s="1232"/>
      <c r="AL171" s="1232"/>
    </row>
    <row r="172" customFormat="false" ht="12" hidden="false" customHeight="true" outlineLevel="0" collapsed="false">
      <c r="B172" s="1232"/>
      <c r="C172" s="1232"/>
      <c r="D172" s="1232"/>
      <c r="E172" s="1232"/>
      <c r="F172" s="1232"/>
      <c r="G172" s="1232"/>
      <c r="H172" s="1232"/>
      <c r="I172" s="1232"/>
      <c r="J172" s="1232"/>
      <c r="K172" s="1232"/>
      <c r="L172" s="1232"/>
      <c r="M172" s="1232"/>
      <c r="N172" s="1232"/>
      <c r="O172" s="1232"/>
      <c r="P172" s="1232"/>
      <c r="Q172" s="1232"/>
      <c r="R172" s="1232"/>
      <c r="S172" s="1232"/>
      <c r="T172" s="1232"/>
      <c r="U172" s="1232"/>
      <c r="V172" s="1232"/>
      <c r="W172" s="1232"/>
      <c r="X172" s="1232"/>
      <c r="Y172" s="1232"/>
      <c r="Z172" s="1232"/>
      <c r="AA172" s="1232"/>
      <c r="AB172" s="1232"/>
      <c r="AC172" s="1232"/>
      <c r="AD172" s="1232"/>
      <c r="AE172" s="1232"/>
      <c r="AF172" s="1232"/>
      <c r="AG172" s="1232"/>
      <c r="AH172" s="1232"/>
      <c r="AI172" s="1232"/>
      <c r="AJ172" s="1232"/>
      <c r="AK172" s="1232"/>
      <c r="AL172" s="1232"/>
    </row>
    <row r="173" customFormat="false" ht="12" hidden="false" customHeight="true" outlineLevel="0" collapsed="false">
      <c r="B173" s="1232"/>
      <c r="C173" s="1232"/>
      <c r="D173" s="1232"/>
      <c r="E173" s="1232"/>
      <c r="F173" s="1232"/>
      <c r="G173" s="1232"/>
      <c r="H173" s="1232"/>
      <c r="I173" s="1232"/>
      <c r="J173" s="1232"/>
      <c r="K173" s="1232"/>
      <c r="L173" s="1232"/>
      <c r="M173" s="1232"/>
      <c r="N173" s="1232"/>
      <c r="O173" s="1232"/>
      <c r="P173" s="1232"/>
      <c r="Q173" s="1232"/>
      <c r="R173" s="1232"/>
      <c r="S173" s="1232"/>
      <c r="T173" s="1232"/>
      <c r="U173" s="1232"/>
      <c r="V173" s="1232"/>
      <c r="W173" s="1232"/>
      <c r="X173" s="1232"/>
      <c r="Y173" s="1232"/>
      <c r="Z173" s="1232"/>
      <c r="AA173" s="1232"/>
      <c r="AB173" s="1232"/>
      <c r="AC173" s="1232"/>
      <c r="AD173" s="1232"/>
      <c r="AE173" s="1232"/>
      <c r="AF173" s="1232"/>
      <c r="AG173" s="1232"/>
      <c r="AH173" s="1232"/>
      <c r="AI173" s="1232"/>
      <c r="AJ173" s="1232"/>
      <c r="AK173" s="1232"/>
      <c r="AL173" s="1232"/>
    </row>
    <row r="174" customFormat="false" ht="12" hidden="false" customHeight="true" outlineLevel="0" collapsed="false">
      <c r="B174" s="1232"/>
      <c r="C174" s="1232"/>
      <c r="D174" s="1232"/>
      <c r="E174" s="1232"/>
      <c r="F174" s="1232"/>
      <c r="G174" s="1232"/>
      <c r="H174" s="1232"/>
      <c r="I174" s="1232"/>
      <c r="J174" s="1232"/>
      <c r="K174" s="1232"/>
      <c r="L174" s="1232"/>
      <c r="M174" s="1232"/>
      <c r="N174" s="1232"/>
      <c r="O174" s="1232"/>
      <c r="P174" s="1232"/>
      <c r="Q174" s="1232"/>
      <c r="R174" s="1232"/>
      <c r="S174" s="1232"/>
      <c r="T174" s="1232"/>
      <c r="U174" s="1232"/>
      <c r="V174" s="1232"/>
      <c r="W174" s="1232"/>
      <c r="X174" s="1232"/>
      <c r="Y174" s="1232"/>
      <c r="Z174" s="1232"/>
      <c r="AA174" s="1232"/>
      <c r="AB174" s="1232"/>
      <c r="AC174" s="1232"/>
      <c r="AD174" s="1232"/>
      <c r="AE174" s="1232"/>
      <c r="AF174" s="1232"/>
      <c r="AG174" s="1232"/>
      <c r="AH174" s="1232"/>
      <c r="AI174" s="1232"/>
      <c r="AJ174" s="1232"/>
      <c r="AK174" s="1232"/>
      <c r="AL174" s="1232"/>
    </row>
    <row r="175" customFormat="false" ht="12" hidden="false" customHeight="true" outlineLevel="0" collapsed="false">
      <c r="B175" s="1232"/>
      <c r="C175" s="1232"/>
      <c r="D175" s="1232"/>
      <c r="E175" s="1232"/>
      <c r="F175" s="1232"/>
      <c r="G175" s="1232"/>
      <c r="H175" s="1232"/>
      <c r="I175" s="1232"/>
      <c r="J175" s="1232"/>
      <c r="K175" s="1232"/>
      <c r="L175" s="1232"/>
      <c r="M175" s="1232"/>
      <c r="N175" s="1232"/>
      <c r="O175" s="1232"/>
      <c r="P175" s="1232"/>
      <c r="Q175" s="1232"/>
      <c r="R175" s="1232"/>
      <c r="S175" s="1232"/>
      <c r="T175" s="1232"/>
      <c r="U175" s="1232"/>
      <c r="V175" s="1232"/>
      <c r="W175" s="1232"/>
      <c r="X175" s="1232"/>
      <c r="Y175" s="1232"/>
      <c r="Z175" s="1232"/>
      <c r="AA175" s="1232"/>
      <c r="AB175" s="1232"/>
      <c r="AC175" s="1232"/>
      <c r="AD175" s="1232"/>
      <c r="AE175" s="1232"/>
      <c r="AF175" s="1232"/>
      <c r="AG175" s="1232"/>
      <c r="AH175" s="1232"/>
      <c r="AI175" s="1232"/>
      <c r="AJ175" s="1232"/>
      <c r="AK175" s="1232"/>
      <c r="AL175" s="1232"/>
    </row>
    <row r="176" customFormat="false" ht="12" hidden="false" customHeight="true" outlineLevel="0" collapsed="false">
      <c r="B176" s="1232"/>
      <c r="C176" s="1232"/>
      <c r="D176" s="1232"/>
      <c r="E176" s="1232"/>
      <c r="F176" s="1232"/>
      <c r="G176" s="1232"/>
      <c r="H176" s="1232"/>
      <c r="I176" s="1232"/>
      <c r="J176" s="1232"/>
      <c r="K176" s="1232"/>
      <c r="L176" s="1232"/>
      <c r="M176" s="1232"/>
      <c r="N176" s="1232"/>
      <c r="O176" s="1232"/>
      <c r="P176" s="1232"/>
      <c r="Q176" s="1232"/>
      <c r="R176" s="1232"/>
      <c r="S176" s="1232"/>
      <c r="T176" s="1232"/>
      <c r="U176" s="1232"/>
      <c r="V176" s="1232"/>
      <c r="W176" s="1232"/>
      <c r="X176" s="1232"/>
      <c r="Y176" s="1232"/>
      <c r="Z176" s="1232"/>
      <c r="AA176" s="1232"/>
      <c r="AB176" s="1232"/>
      <c r="AC176" s="1232"/>
      <c r="AD176" s="1232"/>
      <c r="AE176" s="1232"/>
      <c r="AF176" s="1232"/>
      <c r="AG176" s="1232"/>
      <c r="AH176" s="1232"/>
      <c r="AI176" s="1232"/>
      <c r="AJ176" s="1232"/>
      <c r="AK176" s="1232"/>
      <c r="AL176" s="1232"/>
    </row>
    <row r="177" customFormat="false" ht="12" hidden="false" customHeight="true" outlineLevel="0" collapsed="false">
      <c r="B177" s="1232"/>
      <c r="C177" s="1232"/>
      <c r="D177" s="1232"/>
      <c r="E177" s="1232"/>
      <c r="F177" s="1232"/>
      <c r="G177" s="1232"/>
      <c r="H177" s="1232"/>
      <c r="I177" s="1232"/>
      <c r="J177" s="1232"/>
      <c r="K177" s="1232"/>
      <c r="L177" s="1232"/>
      <c r="M177" s="1232"/>
      <c r="N177" s="1232"/>
      <c r="O177" s="1232"/>
      <c r="P177" s="1232"/>
      <c r="Q177" s="1232"/>
      <c r="R177" s="1232"/>
      <c r="S177" s="1232"/>
      <c r="T177" s="1232"/>
      <c r="U177" s="1232"/>
      <c r="V177" s="1232"/>
      <c r="W177" s="1232"/>
      <c r="X177" s="1232"/>
      <c r="Y177" s="1232"/>
      <c r="Z177" s="1232"/>
      <c r="AA177" s="1232"/>
      <c r="AB177" s="1232"/>
      <c r="AC177" s="1232"/>
      <c r="AD177" s="1232"/>
      <c r="AE177" s="1232"/>
      <c r="AF177" s="1232"/>
      <c r="AG177" s="1232"/>
      <c r="AH177" s="1232"/>
      <c r="AI177" s="1232"/>
      <c r="AJ177" s="1232"/>
      <c r="AK177" s="1232"/>
      <c r="AL177" s="1232"/>
    </row>
    <row r="178" customFormat="false" ht="12" hidden="false" customHeight="true" outlineLevel="0" collapsed="false">
      <c r="B178" s="1232"/>
      <c r="C178" s="1232"/>
      <c r="D178" s="1232"/>
      <c r="E178" s="1232"/>
      <c r="F178" s="1232"/>
      <c r="G178" s="1232"/>
      <c r="H178" s="1232"/>
      <c r="I178" s="1232"/>
      <c r="J178" s="1232"/>
      <c r="K178" s="1232"/>
      <c r="L178" s="1232"/>
      <c r="M178" s="1232"/>
      <c r="N178" s="1232"/>
      <c r="O178" s="1232"/>
      <c r="P178" s="1232"/>
      <c r="Q178" s="1232"/>
      <c r="R178" s="1232"/>
      <c r="S178" s="1232"/>
      <c r="T178" s="1232"/>
      <c r="U178" s="1232"/>
      <c r="V178" s="1232"/>
      <c r="W178" s="1232"/>
      <c r="X178" s="1232"/>
      <c r="Y178" s="1232"/>
      <c r="Z178" s="1232"/>
      <c r="AA178" s="1232"/>
      <c r="AB178" s="1232"/>
      <c r="AC178" s="1232"/>
      <c r="AD178" s="1232"/>
      <c r="AE178" s="1232"/>
      <c r="AF178" s="1232"/>
      <c r="AG178" s="1232"/>
      <c r="AH178" s="1232"/>
      <c r="AI178" s="1232"/>
      <c r="AJ178" s="1232"/>
      <c r="AK178" s="1232"/>
      <c r="AL178" s="1232"/>
    </row>
    <row r="179" customFormat="false" ht="12" hidden="false" customHeight="true" outlineLevel="0" collapsed="false">
      <c r="B179" s="1232"/>
      <c r="C179" s="1232"/>
      <c r="D179" s="1232"/>
      <c r="E179" s="1232"/>
      <c r="F179" s="1232"/>
      <c r="G179" s="1232"/>
      <c r="H179" s="1232"/>
      <c r="I179" s="1232"/>
      <c r="J179" s="1232"/>
      <c r="K179" s="1232"/>
      <c r="L179" s="1232"/>
      <c r="M179" s="1232"/>
      <c r="N179" s="1232"/>
      <c r="O179" s="1232"/>
      <c r="P179" s="1232"/>
      <c r="Q179" s="1232"/>
      <c r="R179" s="1232"/>
      <c r="S179" s="1232"/>
      <c r="T179" s="1232"/>
      <c r="U179" s="1232"/>
      <c r="V179" s="1232"/>
      <c r="W179" s="1232"/>
      <c r="X179" s="1232"/>
      <c r="Y179" s="1232"/>
      <c r="Z179" s="1232"/>
      <c r="AA179" s="1232"/>
      <c r="AB179" s="1232"/>
      <c r="AC179" s="1232"/>
      <c r="AD179" s="1232"/>
      <c r="AE179" s="1232"/>
      <c r="AF179" s="1232"/>
      <c r="AG179" s="1232"/>
      <c r="AH179" s="1232"/>
      <c r="AI179" s="1232"/>
      <c r="AJ179" s="1232"/>
      <c r="AK179" s="1232"/>
      <c r="AL179" s="1232"/>
    </row>
    <row r="180" customFormat="false" ht="12" hidden="false" customHeight="true" outlineLevel="0" collapsed="false">
      <c r="B180" s="1232"/>
      <c r="C180" s="1232"/>
      <c r="D180" s="1232"/>
      <c r="E180" s="1232"/>
      <c r="F180" s="1232"/>
      <c r="G180" s="1232"/>
      <c r="H180" s="1232"/>
      <c r="I180" s="1232"/>
      <c r="J180" s="1232"/>
      <c r="K180" s="1232"/>
      <c r="L180" s="1232"/>
      <c r="M180" s="1232"/>
      <c r="N180" s="1232"/>
      <c r="O180" s="1232"/>
      <c r="P180" s="1232"/>
      <c r="Q180" s="1232"/>
      <c r="R180" s="1232"/>
      <c r="S180" s="1232"/>
      <c r="T180" s="1232"/>
      <c r="U180" s="1232"/>
      <c r="V180" s="1232"/>
      <c r="W180" s="1232"/>
      <c r="X180" s="1232"/>
      <c r="Y180" s="1232"/>
      <c r="Z180" s="1232"/>
      <c r="AA180" s="1232"/>
      <c r="AB180" s="1232"/>
      <c r="AC180" s="1232"/>
      <c r="AD180" s="1232"/>
      <c r="AE180" s="1232"/>
      <c r="AF180" s="1232"/>
      <c r="AG180" s="1232"/>
      <c r="AH180" s="1232"/>
      <c r="AI180" s="1232"/>
      <c r="AJ180" s="1232"/>
      <c r="AK180" s="1232"/>
      <c r="AL180" s="1232"/>
    </row>
    <row r="181" customFormat="false" ht="12" hidden="false" customHeight="true" outlineLevel="0" collapsed="false">
      <c r="B181" s="1232"/>
      <c r="C181" s="1232"/>
      <c r="D181" s="1232"/>
      <c r="E181" s="1232"/>
      <c r="F181" s="1232"/>
      <c r="G181" s="1232"/>
      <c r="H181" s="1232"/>
      <c r="I181" s="1232"/>
      <c r="J181" s="1232"/>
      <c r="K181" s="1232"/>
      <c r="L181" s="1232"/>
      <c r="M181" s="1232"/>
      <c r="N181" s="1232"/>
      <c r="O181" s="1232"/>
      <c r="P181" s="1232"/>
      <c r="Q181" s="1232"/>
      <c r="R181" s="1232"/>
      <c r="S181" s="1232"/>
      <c r="T181" s="1232"/>
      <c r="U181" s="1232"/>
      <c r="V181" s="1232"/>
      <c r="W181" s="1232"/>
      <c r="X181" s="1232"/>
      <c r="Y181" s="1232"/>
      <c r="Z181" s="1232"/>
      <c r="AA181" s="1232"/>
      <c r="AB181" s="1232"/>
      <c r="AC181" s="1232"/>
      <c r="AD181" s="1232"/>
      <c r="AE181" s="1232"/>
      <c r="AF181" s="1232"/>
      <c r="AG181" s="1232"/>
      <c r="AH181" s="1232"/>
      <c r="AI181" s="1232"/>
      <c r="AJ181" s="1232"/>
      <c r="AK181" s="1232"/>
      <c r="AL181" s="1232"/>
    </row>
    <row r="182" customFormat="false" ht="12" hidden="false" customHeight="true" outlineLevel="0" collapsed="false">
      <c r="B182" s="1232"/>
      <c r="C182" s="1232"/>
      <c r="D182" s="1232"/>
      <c r="E182" s="1232"/>
      <c r="F182" s="1232"/>
      <c r="G182" s="1232"/>
      <c r="H182" s="1232"/>
      <c r="I182" s="1232"/>
      <c r="J182" s="1232"/>
      <c r="K182" s="1232"/>
      <c r="L182" s="1232"/>
      <c r="M182" s="1232"/>
      <c r="N182" s="1232"/>
      <c r="O182" s="1232"/>
      <c r="P182" s="1232"/>
      <c r="Q182" s="1232"/>
      <c r="R182" s="1232"/>
      <c r="S182" s="1232"/>
      <c r="T182" s="1232"/>
      <c r="U182" s="1232"/>
      <c r="V182" s="1232"/>
      <c r="W182" s="1232"/>
      <c r="X182" s="1232"/>
      <c r="Y182" s="1232"/>
      <c r="Z182" s="1232"/>
      <c r="AA182" s="1232"/>
      <c r="AB182" s="1232"/>
      <c r="AC182" s="1232"/>
      <c r="AD182" s="1232"/>
      <c r="AE182" s="1232"/>
      <c r="AF182" s="1232"/>
      <c r="AG182" s="1232"/>
      <c r="AH182" s="1232"/>
      <c r="AI182" s="1232"/>
      <c r="AJ182" s="1232"/>
      <c r="AK182" s="1232"/>
      <c r="AL182" s="1232"/>
    </row>
    <row r="183" customFormat="false" ht="12" hidden="false" customHeight="true" outlineLevel="0" collapsed="false">
      <c r="B183" s="1232"/>
      <c r="C183" s="1232"/>
      <c r="D183" s="1232"/>
      <c r="E183" s="1232"/>
      <c r="F183" s="1232"/>
      <c r="G183" s="1232"/>
      <c r="H183" s="1232"/>
      <c r="I183" s="1232"/>
      <c r="J183" s="1232"/>
      <c r="K183" s="1232"/>
      <c r="L183" s="1232"/>
      <c r="M183" s="1232"/>
      <c r="N183" s="1232"/>
      <c r="O183" s="1232"/>
      <c r="P183" s="1232"/>
      <c r="Q183" s="1232"/>
      <c r="R183" s="1232"/>
      <c r="S183" s="1232"/>
      <c r="T183" s="1232"/>
      <c r="U183" s="1232"/>
      <c r="V183" s="1232"/>
      <c r="W183" s="1232"/>
      <c r="X183" s="1232"/>
      <c r="Y183" s="1232"/>
      <c r="Z183" s="1232"/>
      <c r="AA183" s="1232"/>
      <c r="AB183" s="1232"/>
      <c r="AC183" s="1232"/>
      <c r="AD183" s="1232"/>
      <c r="AE183" s="1232"/>
      <c r="AF183" s="1232"/>
      <c r="AG183" s="1232"/>
      <c r="AH183" s="1232"/>
      <c r="AI183" s="1232"/>
      <c r="AJ183" s="1232"/>
      <c r="AK183" s="1232"/>
      <c r="AL183" s="1232"/>
    </row>
    <row r="184" customFormat="false" ht="12" hidden="false" customHeight="true" outlineLevel="0" collapsed="false">
      <c r="B184" s="1232"/>
      <c r="C184" s="1232"/>
      <c r="D184" s="1232"/>
      <c r="E184" s="1232"/>
      <c r="F184" s="1232"/>
      <c r="G184" s="1232"/>
      <c r="H184" s="1232"/>
      <c r="I184" s="1232"/>
      <c r="J184" s="1232"/>
      <c r="K184" s="1232"/>
      <c r="L184" s="1232"/>
      <c r="M184" s="1232"/>
      <c r="N184" s="1232"/>
      <c r="O184" s="1232"/>
      <c r="P184" s="1232"/>
      <c r="Q184" s="1232"/>
      <c r="R184" s="1232"/>
      <c r="S184" s="1232"/>
      <c r="T184" s="1232"/>
      <c r="U184" s="1232"/>
      <c r="V184" s="1232"/>
      <c r="W184" s="1232"/>
      <c r="X184" s="1232"/>
      <c r="Y184" s="1232"/>
      <c r="Z184" s="1232"/>
      <c r="AA184" s="1232"/>
      <c r="AB184" s="1232"/>
      <c r="AC184" s="1232"/>
      <c r="AD184" s="1232"/>
      <c r="AE184" s="1232"/>
      <c r="AF184" s="1232"/>
      <c r="AG184" s="1232"/>
      <c r="AH184" s="1232"/>
      <c r="AI184" s="1232"/>
      <c r="AJ184" s="1232"/>
      <c r="AK184" s="1232"/>
      <c r="AL184" s="1232"/>
    </row>
    <row r="185" customFormat="false" ht="12" hidden="false" customHeight="true" outlineLevel="0" collapsed="false">
      <c r="B185" s="1232"/>
      <c r="C185" s="1232"/>
      <c r="D185" s="1232"/>
      <c r="E185" s="1232"/>
      <c r="F185" s="1232"/>
      <c r="G185" s="1232"/>
      <c r="H185" s="1232"/>
      <c r="I185" s="1232"/>
      <c r="J185" s="1232"/>
      <c r="K185" s="1232"/>
      <c r="L185" s="1232"/>
      <c r="M185" s="1232"/>
      <c r="N185" s="1232"/>
      <c r="O185" s="1232"/>
      <c r="P185" s="1232"/>
      <c r="Q185" s="1232"/>
      <c r="R185" s="1232"/>
      <c r="S185" s="1232"/>
      <c r="T185" s="1232"/>
      <c r="U185" s="1232"/>
      <c r="V185" s="1232"/>
      <c r="W185" s="1232"/>
      <c r="X185" s="1232"/>
      <c r="Y185" s="1232"/>
      <c r="Z185" s="1232"/>
      <c r="AA185" s="1232"/>
      <c r="AB185" s="1232"/>
      <c r="AC185" s="1232"/>
      <c r="AD185" s="1232"/>
      <c r="AE185" s="1232"/>
      <c r="AF185" s="1232"/>
      <c r="AG185" s="1232"/>
      <c r="AH185" s="1232"/>
      <c r="AI185" s="1232"/>
      <c r="AJ185" s="1232"/>
      <c r="AK185" s="1232"/>
      <c r="AL185" s="1232"/>
    </row>
    <row r="186" customFormat="false" ht="12" hidden="false" customHeight="true" outlineLevel="0" collapsed="false">
      <c r="B186" s="1232"/>
      <c r="C186" s="1232"/>
      <c r="D186" s="1232"/>
      <c r="E186" s="1232"/>
      <c r="F186" s="1232"/>
      <c r="G186" s="1232"/>
      <c r="H186" s="1232"/>
      <c r="I186" s="1232"/>
      <c r="J186" s="1232"/>
      <c r="K186" s="1232"/>
      <c r="L186" s="1232"/>
      <c r="M186" s="1232"/>
      <c r="N186" s="1232"/>
      <c r="O186" s="1232"/>
      <c r="P186" s="1232"/>
      <c r="Q186" s="1232"/>
      <c r="R186" s="1232"/>
      <c r="S186" s="1232"/>
      <c r="T186" s="1232"/>
      <c r="U186" s="1232"/>
      <c r="V186" s="1232"/>
      <c r="W186" s="1232"/>
      <c r="X186" s="1232"/>
      <c r="Y186" s="1232"/>
      <c r="Z186" s="1232"/>
      <c r="AA186" s="1232"/>
      <c r="AB186" s="1232"/>
      <c r="AC186" s="1232"/>
      <c r="AD186" s="1232"/>
      <c r="AE186" s="1232"/>
      <c r="AF186" s="1232"/>
      <c r="AG186" s="1232"/>
      <c r="AH186" s="1232"/>
      <c r="AI186" s="1232"/>
      <c r="AJ186" s="1232"/>
      <c r="AK186" s="1232"/>
      <c r="AL186" s="1232"/>
    </row>
    <row r="187" customFormat="false" ht="12" hidden="false" customHeight="true" outlineLevel="0" collapsed="false">
      <c r="B187" s="1232"/>
      <c r="C187" s="1232"/>
      <c r="D187" s="1232"/>
      <c r="E187" s="1232"/>
      <c r="F187" s="1232"/>
      <c r="G187" s="1232"/>
      <c r="H187" s="1232"/>
      <c r="I187" s="1232"/>
      <c r="J187" s="1232"/>
      <c r="K187" s="1232"/>
      <c r="L187" s="1232"/>
      <c r="M187" s="1232"/>
      <c r="N187" s="1232"/>
      <c r="O187" s="1232"/>
      <c r="P187" s="1232"/>
      <c r="Q187" s="1232"/>
      <c r="R187" s="1232"/>
      <c r="S187" s="1232"/>
      <c r="T187" s="1232"/>
      <c r="U187" s="1232"/>
      <c r="V187" s="1232"/>
      <c r="W187" s="1232"/>
      <c r="X187" s="1232"/>
      <c r="Y187" s="1232"/>
      <c r="Z187" s="1232"/>
      <c r="AA187" s="1232"/>
      <c r="AB187" s="1232"/>
      <c r="AC187" s="1232"/>
      <c r="AD187" s="1232"/>
      <c r="AE187" s="1232"/>
      <c r="AF187" s="1232"/>
      <c r="AG187" s="1232"/>
      <c r="AH187" s="1232"/>
      <c r="AI187" s="1232"/>
      <c r="AJ187" s="1232"/>
      <c r="AK187" s="1232"/>
      <c r="AL187" s="1232"/>
    </row>
    <row r="188" customFormat="false" ht="12" hidden="false" customHeight="true" outlineLevel="0" collapsed="false">
      <c r="B188" s="1232"/>
      <c r="C188" s="1232"/>
      <c r="D188" s="1232"/>
      <c r="E188" s="1232"/>
      <c r="F188" s="1232"/>
      <c r="G188" s="1232"/>
      <c r="H188" s="1232"/>
      <c r="I188" s="1232"/>
      <c r="J188" s="1232"/>
      <c r="K188" s="1232"/>
      <c r="L188" s="1232"/>
      <c r="M188" s="1232"/>
      <c r="N188" s="1232"/>
      <c r="O188" s="1232"/>
      <c r="P188" s="1232"/>
      <c r="Q188" s="1232"/>
      <c r="R188" s="1232"/>
      <c r="S188" s="1232"/>
      <c r="T188" s="1232"/>
      <c r="U188" s="1232"/>
      <c r="V188" s="1232"/>
      <c r="W188" s="1232"/>
      <c r="X188" s="1232"/>
      <c r="Y188" s="1232"/>
      <c r="Z188" s="1232"/>
      <c r="AA188" s="1232"/>
      <c r="AB188" s="1232"/>
      <c r="AC188" s="1232"/>
      <c r="AD188" s="1232"/>
      <c r="AE188" s="1232"/>
      <c r="AF188" s="1232"/>
      <c r="AG188" s="1232"/>
      <c r="AH188" s="1232"/>
      <c r="AI188" s="1232"/>
      <c r="AJ188" s="1232"/>
      <c r="AK188" s="1232"/>
      <c r="AL188" s="1232"/>
    </row>
    <row r="189" customFormat="false" ht="12" hidden="false" customHeight="true" outlineLevel="0" collapsed="false">
      <c r="B189" s="1232"/>
      <c r="C189" s="1232"/>
      <c r="D189" s="1232"/>
      <c r="E189" s="1232"/>
      <c r="F189" s="1232"/>
      <c r="G189" s="1232"/>
      <c r="H189" s="1232"/>
      <c r="I189" s="1232"/>
      <c r="J189" s="1232"/>
      <c r="K189" s="1232"/>
      <c r="L189" s="1232"/>
      <c r="M189" s="1232"/>
      <c r="N189" s="1232"/>
      <c r="O189" s="1232"/>
      <c r="P189" s="1232"/>
      <c r="Q189" s="1232"/>
      <c r="R189" s="1232"/>
      <c r="S189" s="1232"/>
      <c r="T189" s="1232"/>
      <c r="U189" s="1232"/>
      <c r="V189" s="1232"/>
      <c r="W189" s="1232"/>
      <c r="X189" s="1232"/>
      <c r="Y189" s="1232"/>
      <c r="Z189" s="1232"/>
      <c r="AA189" s="1232"/>
      <c r="AB189" s="1232"/>
      <c r="AC189" s="1232"/>
      <c r="AD189" s="1232"/>
      <c r="AE189" s="1232"/>
      <c r="AF189" s="1232"/>
      <c r="AG189" s="1232"/>
      <c r="AH189" s="1232"/>
      <c r="AI189" s="1232"/>
      <c r="AJ189" s="1232"/>
      <c r="AK189" s="1232"/>
      <c r="AL189" s="1232"/>
    </row>
    <row r="190" customFormat="false" ht="12" hidden="false" customHeight="true" outlineLevel="0" collapsed="false">
      <c r="B190" s="1232"/>
      <c r="C190" s="1232"/>
      <c r="D190" s="1232"/>
      <c r="E190" s="1232"/>
      <c r="F190" s="1232"/>
      <c r="G190" s="1232"/>
      <c r="H190" s="1232"/>
      <c r="I190" s="1232"/>
      <c r="J190" s="1232"/>
      <c r="K190" s="1232"/>
      <c r="L190" s="1232"/>
      <c r="M190" s="1232"/>
      <c r="N190" s="1232"/>
      <c r="O190" s="1232"/>
      <c r="P190" s="1232"/>
      <c r="Q190" s="1232"/>
      <c r="R190" s="1232"/>
      <c r="S190" s="1232"/>
      <c r="T190" s="1232"/>
      <c r="U190" s="1232"/>
      <c r="V190" s="1232"/>
      <c r="W190" s="1232"/>
      <c r="X190" s="1232"/>
      <c r="Y190" s="1232"/>
      <c r="Z190" s="1232"/>
      <c r="AA190" s="1232"/>
      <c r="AB190" s="1232"/>
      <c r="AC190" s="1232"/>
      <c r="AD190" s="1232"/>
      <c r="AE190" s="1232"/>
      <c r="AF190" s="1232"/>
      <c r="AG190" s="1232"/>
      <c r="AH190" s="1232"/>
      <c r="AI190" s="1232"/>
      <c r="AJ190" s="1232"/>
      <c r="AK190" s="1232"/>
      <c r="AL190" s="1232"/>
    </row>
    <row r="191" customFormat="false" ht="12" hidden="false" customHeight="true" outlineLevel="0" collapsed="false">
      <c r="B191" s="1232"/>
      <c r="C191" s="1232"/>
      <c r="D191" s="1232"/>
      <c r="E191" s="1232"/>
      <c r="F191" s="1232"/>
      <c r="G191" s="1232"/>
      <c r="H191" s="1232"/>
      <c r="I191" s="1232"/>
      <c r="J191" s="1232"/>
      <c r="K191" s="1232"/>
      <c r="L191" s="1232"/>
      <c r="M191" s="1232"/>
      <c r="N191" s="1232"/>
      <c r="O191" s="1232"/>
      <c r="P191" s="1232"/>
      <c r="Q191" s="1232"/>
      <c r="R191" s="1232"/>
      <c r="S191" s="1232"/>
      <c r="T191" s="1232"/>
      <c r="U191" s="1232"/>
      <c r="V191" s="1232"/>
      <c r="W191" s="1232"/>
      <c r="X191" s="1232"/>
      <c r="Y191" s="1232"/>
      <c r="Z191" s="1232"/>
      <c r="AA191" s="1232"/>
      <c r="AB191" s="1232"/>
      <c r="AC191" s="1232"/>
      <c r="AD191" s="1232"/>
      <c r="AE191" s="1232"/>
      <c r="AF191" s="1232"/>
      <c r="AG191" s="1232"/>
      <c r="AH191" s="1232"/>
      <c r="AI191" s="1232"/>
      <c r="AJ191" s="1232"/>
      <c r="AK191" s="1232"/>
      <c r="AL191" s="1232"/>
    </row>
    <row r="192" customFormat="false" ht="12" hidden="false" customHeight="true" outlineLevel="0" collapsed="false">
      <c r="B192" s="1232"/>
      <c r="C192" s="1232"/>
      <c r="D192" s="1232"/>
      <c r="E192" s="1232"/>
      <c r="F192" s="1232"/>
      <c r="G192" s="1232"/>
      <c r="H192" s="1232"/>
      <c r="I192" s="1232"/>
      <c r="J192" s="1232"/>
      <c r="K192" s="1232"/>
      <c r="L192" s="1232"/>
      <c r="M192" s="1232"/>
      <c r="N192" s="1232"/>
      <c r="O192" s="1232"/>
      <c r="P192" s="1232"/>
      <c r="Q192" s="1232"/>
      <c r="R192" s="1232"/>
      <c r="S192" s="1232"/>
      <c r="T192" s="1232"/>
      <c r="U192" s="1232"/>
      <c r="V192" s="1232"/>
      <c r="W192" s="1232"/>
      <c r="X192" s="1232"/>
      <c r="Y192" s="1232"/>
      <c r="Z192" s="1232"/>
      <c r="AA192" s="1232"/>
      <c r="AB192" s="1232"/>
      <c r="AC192" s="1232"/>
      <c r="AD192" s="1232"/>
      <c r="AE192" s="1232"/>
      <c r="AF192" s="1232"/>
      <c r="AG192" s="1232"/>
      <c r="AH192" s="1232"/>
      <c r="AI192" s="1232"/>
      <c r="AJ192" s="1232"/>
      <c r="AK192" s="1232"/>
      <c r="AL192" s="1232"/>
    </row>
    <row r="193" customFormat="false" ht="12" hidden="false" customHeight="true" outlineLevel="0" collapsed="false">
      <c r="B193" s="1232"/>
      <c r="C193" s="1232"/>
      <c r="D193" s="1232"/>
      <c r="E193" s="1232"/>
      <c r="F193" s="1232"/>
      <c r="G193" s="1232"/>
      <c r="H193" s="1232"/>
      <c r="I193" s="1232"/>
      <c r="J193" s="1232"/>
      <c r="K193" s="1232"/>
      <c r="L193" s="1232"/>
      <c r="M193" s="1232"/>
      <c r="N193" s="1232"/>
      <c r="O193" s="1232"/>
      <c r="P193" s="1232"/>
      <c r="Q193" s="1232"/>
      <c r="R193" s="1232"/>
      <c r="S193" s="1232"/>
      <c r="T193" s="1232"/>
      <c r="U193" s="1232"/>
      <c r="V193" s="1232"/>
      <c r="W193" s="1232"/>
      <c r="X193" s="1232"/>
      <c r="Y193" s="1232"/>
      <c r="Z193" s="1232"/>
      <c r="AA193" s="1232"/>
      <c r="AB193" s="1232"/>
      <c r="AC193" s="1232"/>
      <c r="AD193" s="1232"/>
      <c r="AE193" s="1232"/>
      <c r="AF193" s="1232"/>
      <c r="AG193" s="1232"/>
      <c r="AH193" s="1232"/>
      <c r="AI193" s="1232"/>
      <c r="AJ193" s="1232"/>
      <c r="AK193" s="1232"/>
      <c r="AL193" s="1232"/>
    </row>
    <row r="194" customFormat="false" ht="12" hidden="false" customHeight="true" outlineLevel="0" collapsed="false">
      <c r="B194" s="1232"/>
      <c r="C194" s="1232"/>
      <c r="D194" s="1232"/>
      <c r="E194" s="1232"/>
      <c r="F194" s="1232"/>
      <c r="G194" s="1232"/>
      <c r="H194" s="1232"/>
      <c r="I194" s="1232"/>
      <c r="J194" s="1232"/>
      <c r="K194" s="1232"/>
      <c r="L194" s="1232"/>
      <c r="M194" s="1232"/>
      <c r="N194" s="1232"/>
      <c r="O194" s="1232"/>
      <c r="P194" s="1232"/>
      <c r="Q194" s="1232"/>
      <c r="R194" s="1232"/>
      <c r="S194" s="1232"/>
      <c r="T194" s="1232"/>
      <c r="U194" s="1232"/>
      <c r="V194" s="1232"/>
      <c r="W194" s="1232"/>
      <c r="X194" s="1232"/>
      <c r="Y194" s="1232"/>
      <c r="Z194" s="1232"/>
      <c r="AA194" s="1232"/>
      <c r="AB194" s="1232"/>
      <c r="AC194" s="1232"/>
      <c r="AD194" s="1232"/>
      <c r="AE194" s="1232"/>
      <c r="AF194" s="1232"/>
      <c r="AG194" s="1232"/>
      <c r="AH194" s="1232"/>
      <c r="AI194" s="1232"/>
      <c r="AJ194" s="1232"/>
      <c r="AK194" s="1232"/>
      <c r="AL194" s="1232"/>
    </row>
    <row r="195" customFormat="false" ht="12" hidden="false" customHeight="true" outlineLevel="0" collapsed="false">
      <c r="B195" s="1232"/>
      <c r="C195" s="1232"/>
      <c r="D195" s="1232"/>
      <c r="E195" s="1232"/>
      <c r="F195" s="1232"/>
      <c r="G195" s="1232"/>
      <c r="H195" s="1232"/>
      <c r="I195" s="1232"/>
      <c r="J195" s="1232"/>
      <c r="K195" s="1232"/>
      <c r="L195" s="1232"/>
      <c r="M195" s="1232"/>
      <c r="N195" s="1232"/>
      <c r="O195" s="1232"/>
      <c r="P195" s="1232"/>
      <c r="Q195" s="1232"/>
      <c r="R195" s="1232"/>
      <c r="S195" s="1232"/>
      <c r="T195" s="1232"/>
      <c r="U195" s="1232"/>
      <c r="V195" s="1232"/>
      <c r="W195" s="1232"/>
      <c r="X195" s="1232"/>
      <c r="Y195" s="1232"/>
      <c r="Z195" s="1232"/>
      <c r="AA195" s="1232"/>
      <c r="AB195" s="1232"/>
      <c r="AC195" s="1232"/>
      <c r="AD195" s="1232"/>
      <c r="AE195" s="1232"/>
      <c r="AF195" s="1232"/>
      <c r="AG195" s="1232"/>
      <c r="AH195" s="1232"/>
      <c r="AI195" s="1232"/>
      <c r="AJ195" s="1232"/>
      <c r="AK195" s="1232"/>
      <c r="AL195" s="1232"/>
    </row>
    <row r="196" customFormat="false" ht="12" hidden="false" customHeight="true" outlineLevel="0" collapsed="false">
      <c r="B196" s="1232"/>
      <c r="C196" s="1232"/>
      <c r="D196" s="1232"/>
      <c r="E196" s="1232"/>
      <c r="F196" s="1232"/>
      <c r="G196" s="1232"/>
      <c r="H196" s="1232"/>
      <c r="I196" s="1232"/>
      <c r="J196" s="1232"/>
      <c r="K196" s="1232"/>
      <c r="L196" s="1232"/>
      <c r="M196" s="1232"/>
      <c r="N196" s="1232"/>
      <c r="O196" s="1232"/>
      <c r="P196" s="1232"/>
      <c r="Q196" s="1232"/>
      <c r="R196" s="1232"/>
      <c r="S196" s="1232"/>
      <c r="T196" s="1232"/>
      <c r="U196" s="1232"/>
      <c r="V196" s="1232"/>
      <c r="W196" s="1232"/>
      <c r="X196" s="1232"/>
      <c r="Y196" s="1232"/>
      <c r="Z196" s="1232"/>
      <c r="AA196" s="1232"/>
      <c r="AB196" s="1232"/>
      <c r="AC196" s="1232"/>
      <c r="AD196" s="1232"/>
      <c r="AE196" s="1232"/>
      <c r="AF196" s="1232"/>
      <c r="AG196" s="1232"/>
      <c r="AH196" s="1232"/>
      <c r="AI196" s="1232"/>
      <c r="AJ196" s="1232"/>
      <c r="AK196" s="1232"/>
      <c r="AL196" s="1232"/>
    </row>
    <row r="197" customFormat="false" ht="12" hidden="false" customHeight="true" outlineLevel="0" collapsed="false">
      <c r="B197" s="1232"/>
      <c r="C197" s="1232"/>
      <c r="D197" s="1232"/>
      <c r="E197" s="1232"/>
      <c r="F197" s="1232"/>
      <c r="G197" s="1232"/>
      <c r="H197" s="1232"/>
      <c r="I197" s="1232"/>
      <c r="J197" s="1232"/>
      <c r="K197" s="1232"/>
      <c r="L197" s="1232"/>
      <c r="M197" s="1232"/>
      <c r="N197" s="1232"/>
      <c r="O197" s="1232"/>
      <c r="P197" s="1232"/>
      <c r="Q197" s="1232"/>
      <c r="R197" s="1232"/>
      <c r="S197" s="1232"/>
      <c r="T197" s="1232"/>
      <c r="U197" s="1232"/>
      <c r="V197" s="1232"/>
      <c r="W197" s="1232"/>
      <c r="X197" s="1232"/>
      <c r="Y197" s="1232"/>
      <c r="Z197" s="1232"/>
      <c r="AA197" s="1232"/>
      <c r="AB197" s="1232"/>
      <c r="AC197" s="1232"/>
      <c r="AD197" s="1232"/>
      <c r="AE197" s="1232"/>
      <c r="AF197" s="1232"/>
      <c r="AG197" s="1232"/>
      <c r="AH197" s="1232"/>
      <c r="AI197" s="1232"/>
      <c r="AJ197" s="1232"/>
      <c r="AK197" s="1232"/>
      <c r="AL197" s="1232"/>
    </row>
    <row r="198" customFormat="false" ht="12" hidden="false" customHeight="true" outlineLevel="0" collapsed="false">
      <c r="B198" s="1232"/>
      <c r="C198" s="1232"/>
      <c r="D198" s="1232"/>
      <c r="E198" s="1232"/>
      <c r="F198" s="1232"/>
      <c r="G198" s="1232"/>
      <c r="H198" s="1232"/>
      <c r="I198" s="1232"/>
      <c r="J198" s="1232"/>
      <c r="K198" s="1232"/>
      <c r="L198" s="1232"/>
      <c r="M198" s="1232"/>
      <c r="N198" s="1232"/>
      <c r="O198" s="1232"/>
      <c r="P198" s="1232"/>
      <c r="Q198" s="1232"/>
      <c r="R198" s="1232"/>
      <c r="S198" s="1232"/>
      <c r="T198" s="1232"/>
      <c r="U198" s="1232"/>
      <c r="V198" s="1232"/>
      <c r="W198" s="1232"/>
      <c r="X198" s="1232"/>
      <c r="Y198" s="1232"/>
      <c r="Z198" s="1232"/>
      <c r="AA198" s="1232"/>
      <c r="AB198" s="1232"/>
      <c r="AC198" s="1232"/>
      <c r="AD198" s="1232"/>
      <c r="AE198" s="1232"/>
      <c r="AF198" s="1232"/>
      <c r="AG198" s="1232"/>
      <c r="AH198" s="1232"/>
      <c r="AI198" s="1232"/>
      <c r="AJ198" s="1232"/>
      <c r="AK198" s="1232"/>
      <c r="AL198" s="1232"/>
    </row>
    <row r="199" customFormat="false" ht="12" hidden="false" customHeight="true" outlineLevel="0" collapsed="false">
      <c r="B199" s="1232"/>
      <c r="C199" s="1232"/>
      <c r="D199" s="1232"/>
      <c r="E199" s="1232"/>
      <c r="F199" s="1232"/>
      <c r="G199" s="1232"/>
      <c r="H199" s="1232"/>
      <c r="I199" s="1232"/>
      <c r="J199" s="1232"/>
      <c r="K199" s="1232"/>
      <c r="L199" s="1232"/>
      <c r="M199" s="1232"/>
      <c r="N199" s="1232"/>
      <c r="O199" s="1232"/>
      <c r="P199" s="1232"/>
      <c r="Q199" s="1232"/>
      <c r="R199" s="1232"/>
      <c r="S199" s="1232"/>
      <c r="T199" s="1232"/>
      <c r="U199" s="1232"/>
      <c r="V199" s="1232"/>
      <c r="W199" s="1232"/>
      <c r="X199" s="1232"/>
      <c r="Y199" s="1232"/>
      <c r="Z199" s="1232"/>
      <c r="AA199" s="1232"/>
      <c r="AB199" s="1232"/>
      <c r="AC199" s="1232"/>
      <c r="AD199" s="1232"/>
      <c r="AE199" s="1232"/>
      <c r="AF199" s="1232"/>
      <c r="AG199" s="1232"/>
      <c r="AH199" s="1232"/>
      <c r="AI199" s="1232"/>
      <c r="AJ199" s="1232"/>
      <c r="AK199" s="1232"/>
      <c r="AL199" s="1232"/>
    </row>
    <row r="200" customFormat="false" ht="12" hidden="false" customHeight="true" outlineLevel="0" collapsed="false">
      <c r="B200" s="1232"/>
      <c r="C200" s="1232"/>
      <c r="D200" s="1232"/>
      <c r="E200" s="1232"/>
      <c r="F200" s="1232"/>
      <c r="G200" s="1232"/>
      <c r="H200" s="1232"/>
      <c r="I200" s="1232"/>
      <c r="J200" s="1232"/>
      <c r="K200" s="1232"/>
      <c r="L200" s="1232"/>
      <c r="M200" s="1232"/>
      <c r="N200" s="1232"/>
      <c r="O200" s="1232"/>
      <c r="P200" s="1232"/>
      <c r="Q200" s="1232"/>
      <c r="R200" s="1232"/>
      <c r="S200" s="1232"/>
      <c r="T200" s="1232"/>
      <c r="U200" s="1232"/>
      <c r="V200" s="1232"/>
      <c r="W200" s="1232"/>
      <c r="X200" s="1232"/>
      <c r="Y200" s="1232"/>
      <c r="Z200" s="1232"/>
      <c r="AA200" s="1232"/>
      <c r="AB200" s="1232"/>
      <c r="AC200" s="1232"/>
      <c r="AD200" s="1232"/>
      <c r="AE200" s="1232"/>
      <c r="AF200" s="1232"/>
      <c r="AG200" s="1232"/>
      <c r="AH200" s="1232"/>
      <c r="AI200" s="1232"/>
      <c r="AJ200" s="1232"/>
      <c r="AK200" s="1232"/>
      <c r="AL200" s="1232"/>
    </row>
    <row r="201" customFormat="false" ht="12" hidden="false" customHeight="true" outlineLevel="0" collapsed="false">
      <c r="B201" s="1232"/>
      <c r="C201" s="1232"/>
      <c r="D201" s="1232"/>
      <c r="E201" s="1232"/>
      <c r="F201" s="1232"/>
      <c r="G201" s="1232"/>
      <c r="H201" s="1232"/>
      <c r="I201" s="1232"/>
      <c r="J201" s="1232"/>
      <c r="K201" s="1232"/>
      <c r="L201" s="1232"/>
      <c r="M201" s="1232"/>
      <c r="N201" s="1232"/>
      <c r="O201" s="1232"/>
      <c r="P201" s="1232"/>
      <c r="Q201" s="1232"/>
      <c r="R201" s="1232"/>
      <c r="S201" s="1232"/>
      <c r="T201" s="1232"/>
      <c r="U201" s="1232"/>
      <c r="V201" s="1232"/>
      <c r="W201" s="1232"/>
      <c r="X201" s="1232"/>
      <c r="Y201" s="1232"/>
      <c r="Z201" s="1232"/>
      <c r="AA201" s="1232"/>
      <c r="AB201" s="1232"/>
      <c r="AC201" s="1232"/>
      <c r="AD201" s="1232"/>
      <c r="AE201" s="1232"/>
      <c r="AF201" s="1232"/>
      <c r="AG201" s="1232"/>
      <c r="AH201" s="1232"/>
      <c r="AI201" s="1232"/>
      <c r="AJ201" s="1232"/>
      <c r="AK201" s="1232"/>
      <c r="AL201" s="1232"/>
    </row>
    <row r="202" customFormat="false" ht="12" hidden="false" customHeight="true" outlineLevel="0" collapsed="false">
      <c r="B202" s="1232"/>
      <c r="C202" s="1232"/>
      <c r="D202" s="1232"/>
      <c r="E202" s="1232"/>
      <c r="F202" s="1232"/>
      <c r="G202" s="1232"/>
      <c r="H202" s="1232"/>
      <c r="I202" s="1232"/>
      <c r="J202" s="1232"/>
      <c r="K202" s="1232"/>
      <c r="L202" s="1232"/>
      <c r="M202" s="1232"/>
      <c r="N202" s="1232"/>
      <c r="O202" s="1232"/>
      <c r="P202" s="1232"/>
      <c r="Q202" s="1232"/>
      <c r="R202" s="1232"/>
      <c r="S202" s="1232"/>
      <c r="T202" s="1232"/>
      <c r="U202" s="1232"/>
      <c r="V202" s="1232"/>
      <c r="W202" s="1232"/>
      <c r="X202" s="1232"/>
      <c r="Y202" s="1232"/>
      <c r="Z202" s="1232"/>
      <c r="AA202" s="1232"/>
      <c r="AB202" s="1232"/>
      <c r="AC202" s="1232"/>
      <c r="AD202" s="1232"/>
      <c r="AE202" s="1232"/>
      <c r="AF202" s="1232"/>
      <c r="AG202" s="1232"/>
      <c r="AH202" s="1232"/>
      <c r="AI202" s="1232"/>
      <c r="AJ202" s="1232"/>
      <c r="AK202" s="1232"/>
      <c r="AL202" s="1232"/>
    </row>
    <row r="203" customFormat="false" ht="12" hidden="false" customHeight="true" outlineLevel="0" collapsed="false">
      <c r="B203" s="1232"/>
      <c r="C203" s="1232"/>
      <c r="D203" s="1232"/>
      <c r="E203" s="1232"/>
      <c r="F203" s="1232"/>
      <c r="G203" s="1232"/>
      <c r="H203" s="1232"/>
      <c r="I203" s="1232"/>
      <c r="J203" s="1232"/>
      <c r="K203" s="1232"/>
      <c r="L203" s="1232"/>
      <c r="M203" s="1232"/>
      <c r="N203" s="1232"/>
      <c r="O203" s="1232"/>
      <c r="P203" s="1232"/>
      <c r="Q203" s="1232"/>
      <c r="R203" s="1232"/>
      <c r="S203" s="1232"/>
      <c r="T203" s="1232"/>
      <c r="U203" s="1232"/>
      <c r="V203" s="1232"/>
      <c r="W203" s="1232"/>
      <c r="X203" s="1232"/>
      <c r="Y203" s="1232"/>
      <c r="Z203" s="1232"/>
      <c r="AA203" s="1232"/>
      <c r="AB203" s="1232"/>
      <c r="AC203" s="1232"/>
      <c r="AD203" s="1232"/>
      <c r="AE203" s="1232"/>
      <c r="AF203" s="1232"/>
      <c r="AG203" s="1232"/>
      <c r="AH203" s="1232"/>
      <c r="AI203" s="1232"/>
      <c r="AJ203" s="1232"/>
      <c r="AK203" s="1232"/>
      <c r="AL203" s="1232"/>
    </row>
    <row r="204" customFormat="false" ht="12" hidden="false" customHeight="true" outlineLevel="0" collapsed="false">
      <c r="B204" s="1232"/>
      <c r="C204" s="1232"/>
      <c r="D204" s="1232"/>
      <c r="E204" s="1232"/>
      <c r="F204" s="1232"/>
      <c r="G204" s="1232"/>
      <c r="H204" s="1232"/>
      <c r="I204" s="1232"/>
      <c r="J204" s="1232"/>
      <c r="K204" s="1232"/>
      <c r="L204" s="1232"/>
      <c r="M204" s="1232"/>
      <c r="N204" s="1232"/>
      <c r="O204" s="1232"/>
      <c r="P204" s="1232"/>
      <c r="Q204" s="1232"/>
      <c r="R204" s="1232"/>
      <c r="S204" s="1232"/>
      <c r="T204" s="1232"/>
      <c r="U204" s="1232"/>
      <c r="V204" s="1232"/>
      <c r="W204" s="1232"/>
      <c r="X204" s="1232"/>
      <c r="Y204" s="1232"/>
      <c r="Z204" s="1232"/>
      <c r="AA204" s="1232"/>
      <c r="AB204" s="1232"/>
      <c r="AC204" s="1232"/>
      <c r="AD204" s="1232"/>
      <c r="AE204" s="1232"/>
      <c r="AF204" s="1232"/>
      <c r="AG204" s="1232"/>
      <c r="AH204" s="1232"/>
      <c r="AI204" s="1232"/>
      <c r="AJ204" s="1232"/>
      <c r="AK204" s="1232"/>
      <c r="AL204" s="1232"/>
    </row>
    <row r="205" customFormat="false" ht="12" hidden="false" customHeight="true" outlineLevel="0" collapsed="false">
      <c r="B205" s="1232"/>
      <c r="C205" s="1232"/>
      <c r="D205" s="1232"/>
      <c r="E205" s="1232"/>
      <c r="F205" s="1232"/>
      <c r="G205" s="1232"/>
      <c r="H205" s="1232"/>
      <c r="I205" s="1232"/>
      <c r="J205" s="1232"/>
      <c r="K205" s="1232"/>
      <c r="L205" s="1232"/>
      <c r="M205" s="1232"/>
      <c r="N205" s="1232"/>
      <c r="O205" s="1232"/>
      <c r="P205" s="1232"/>
      <c r="Q205" s="1232"/>
      <c r="R205" s="1232"/>
      <c r="S205" s="1232"/>
      <c r="T205" s="1232"/>
      <c r="U205" s="1232"/>
      <c r="V205" s="1232"/>
      <c r="W205" s="1232"/>
      <c r="X205" s="1232"/>
      <c r="Y205" s="1232"/>
      <c r="Z205" s="1232"/>
      <c r="AA205" s="1232"/>
      <c r="AB205" s="1232"/>
      <c r="AC205" s="1232"/>
      <c r="AD205" s="1232"/>
      <c r="AE205" s="1232"/>
      <c r="AF205" s="1232"/>
      <c r="AG205" s="1232"/>
      <c r="AH205" s="1232"/>
      <c r="AI205" s="1232"/>
      <c r="AJ205" s="1232"/>
      <c r="AK205" s="1232"/>
      <c r="AL205" s="1232"/>
    </row>
    <row r="206" customFormat="false" ht="12" hidden="false" customHeight="true" outlineLevel="0" collapsed="false">
      <c r="B206" s="1232"/>
      <c r="C206" s="1232"/>
      <c r="D206" s="1232"/>
      <c r="E206" s="1232"/>
      <c r="F206" s="1232"/>
      <c r="G206" s="1232"/>
      <c r="H206" s="1232"/>
      <c r="I206" s="1232"/>
      <c r="J206" s="1232"/>
      <c r="K206" s="1232"/>
      <c r="L206" s="1232"/>
      <c r="M206" s="1232"/>
      <c r="N206" s="1232"/>
      <c r="O206" s="1232"/>
      <c r="P206" s="1232"/>
      <c r="Q206" s="1232"/>
      <c r="R206" s="1232"/>
      <c r="S206" s="1232"/>
      <c r="T206" s="1232"/>
      <c r="U206" s="1232"/>
      <c r="V206" s="1232"/>
      <c r="W206" s="1232"/>
      <c r="X206" s="1232"/>
      <c r="Y206" s="1232"/>
      <c r="Z206" s="1232"/>
      <c r="AA206" s="1232"/>
      <c r="AB206" s="1232"/>
      <c r="AC206" s="1232"/>
      <c r="AD206" s="1232"/>
      <c r="AE206" s="1232"/>
      <c r="AF206" s="1232"/>
      <c r="AG206" s="1232"/>
      <c r="AH206" s="1232"/>
      <c r="AI206" s="1232"/>
      <c r="AJ206" s="1232"/>
      <c r="AK206" s="1232"/>
      <c r="AL206" s="1232"/>
    </row>
    <row r="207" customFormat="false" ht="12" hidden="false" customHeight="true" outlineLevel="0" collapsed="false">
      <c r="B207" s="1232"/>
      <c r="C207" s="1232"/>
      <c r="D207" s="1232"/>
      <c r="E207" s="1232"/>
      <c r="F207" s="1232"/>
      <c r="G207" s="1232"/>
      <c r="H207" s="1232"/>
      <c r="I207" s="1232"/>
      <c r="J207" s="1232"/>
      <c r="K207" s="1232"/>
      <c r="L207" s="1232"/>
      <c r="M207" s="1232"/>
      <c r="N207" s="1232"/>
      <c r="O207" s="1232"/>
      <c r="P207" s="1232"/>
      <c r="Q207" s="1232"/>
      <c r="R207" s="1232"/>
      <c r="S207" s="1232"/>
      <c r="T207" s="1232"/>
      <c r="U207" s="1232"/>
      <c r="V207" s="1232"/>
      <c r="W207" s="1232"/>
      <c r="X207" s="1232"/>
      <c r="Y207" s="1232"/>
      <c r="Z207" s="1232"/>
      <c r="AA207" s="1232"/>
      <c r="AB207" s="1232"/>
      <c r="AC207" s="1232"/>
      <c r="AD207" s="1232"/>
      <c r="AE207" s="1232"/>
      <c r="AF207" s="1232"/>
      <c r="AG207" s="1232"/>
      <c r="AH207" s="1232"/>
      <c r="AI207" s="1232"/>
      <c r="AJ207" s="1232"/>
      <c r="AK207" s="1232"/>
      <c r="AL207" s="1232"/>
    </row>
    <row r="208" customFormat="false" ht="12" hidden="false" customHeight="true" outlineLevel="0" collapsed="false">
      <c r="B208" s="1232"/>
      <c r="C208" s="1232"/>
      <c r="D208" s="1232"/>
      <c r="E208" s="1232"/>
      <c r="F208" s="1232"/>
      <c r="G208" s="1232"/>
      <c r="H208" s="1232"/>
      <c r="I208" s="1232"/>
      <c r="J208" s="1232"/>
      <c r="K208" s="1232"/>
      <c r="L208" s="1232"/>
      <c r="M208" s="1232"/>
      <c r="N208" s="1232"/>
      <c r="O208" s="1232"/>
      <c r="P208" s="1232"/>
      <c r="Q208" s="1232"/>
      <c r="R208" s="1232"/>
      <c r="S208" s="1232"/>
      <c r="T208" s="1232"/>
      <c r="U208" s="1232"/>
      <c r="V208" s="1232"/>
      <c r="W208" s="1232"/>
      <c r="X208" s="1232"/>
      <c r="Y208" s="1232"/>
      <c r="Z208" s="1232"/>
      <c r="AA208" s="1232"/>
      <c r="AB208" s="1232"/>
      <c r="AC208" s="1232"/>
      <c r="AD208" s="1232"/>
      <c r="AE208" s="1232"/>
      <c r="AF208" s="1232"/>
      <c r="AG208" s="1232"/>
      <c r="AH208" s="1232"/>
      <c r="AI208" s="1232"/>
      <c r="AJ208" s="1232"/>
      <c r="AK208" s="1232"/>
      <c r="AL208" s="1232"/>
    </row>
    <row r="209" customFormat="false" ht="12" hidden="false" customHeight="true" outlineLevel="0" collapsed="false">
      <c r="B209" s="1232"/>
      <c r="C209" s="1232"/>
      <c r="D209" s="1232"/>
      <c r="E209" s="1232"/>
      <c r="F209" s="1232"/>
      <c r="G209" s="1232"/>
      <c r="H209" s="1232"/>
      <c r="I209" s="1232"/>
      <c r="J209" s="1232"/>
      <c r="K209" s="1232"/>
      <c r="L209" s="1232"/>
      <c r="M209" s="1232"/>
      <c r="N209" s="1232"/>
      <c r="O209" s="1232"/>
      <c r="P209" s="1232"/>
      <c r="Q209" s="1232"/>
      <c r="R209" s="1232"/>
      <c r="S209" s="1232"/>
      <c r="T209" s="1232"/>
      <c r="U209" s="1232"/>
      <c r="V209" s="1232"/>
      <c r="W209" s="1232"/>
      <c r="X209" s="1232"/>
      <c r="Y209" s="1232"/>
      <c r="Z209" s="1232"/>
      <c r="AA209" s="1232"/>
      <c r="AB209" s="1232"/>
      <c r="AC209" s="1232"/>
      <c r="AD209" s="1232"/>
      <c r="AE209" s="1232"/>
      <c r="AF209" s="1232"/>
      <c r="AG209" s="1232"/>
      <c r="AH209" s="1232"/>
      <c r="AI209" s="1232"/>
      <c r="AJ209" s="1232"/>
      <c r="AK209" s="1232"/>
      <c r="AL209" s="1232"/>
    </row>
    <row r="210" customFormat="false" ht="12" hidden="false" customHeight="true" outlineLevel="0" collapsed="false">
      <c r="B210" s="1232"/>
      <c r="C210" s="1232"/>
      <c r="D210" s="1232"/>
      <c r="E210" s="1232"/>
      <c r="F210" s="1232"/>
      <c r="G210" s="1232"/>
      <c r="H210" s="1232"/>
      <c r="I210" s="1232"/>
      <c r="J210" s="1232"/>
      <c r="K210" s="1232"/>
      <c r="L210" s="1232"/>
      <c r="M210" s="1232"/>
      <c r="N210" s="1232"/>
      <c r="O210" s="1232"/>
      <c r="P210" s="1232"/>
      <c r="Q210" s="1232"/>
      <c r="R210" s="1232"/>
      <c r="S210" s="1232"/>
      <c r="T210" s="1232"/>
      <c r="U210" s="1232"/>
      <c r="V210" s="1232"/>
      <c r="W210" s="1232"/>
      <c r="X210" s="1232"/>
      <c r="Y210" s="1232"/>
      <c r="Z210" s="1232"/>
      <c r="AA210" s="1232"/>
      <c r="AB210" s="1232"/>
      <c r="AC210" s="1232"/>
      <c r="AD210" s="1232"/>
      <c r="AE210" s="1232"/>
      <c r="AF210" s="1232"/>
      <c r="AG210" s="1232"/>
      <c r="AH210" s="1232"/>
      <c r="AI210" s="1232"/>
      <c r="AJ210" s="1232"/>
      <c r="AK210" s="1232"/>
      <c r="AL210" s="1232"/>
    </row>
    <row r="211" customFormat="false" ht="12" hidden="false" customHeight="true" outlineLevel="0" collapsed="false">
      <c r="B211" s="1232"/>
      <c r="C211" s="1232"/>
      <c r="D211" s="1232"/>
      <c r="E211" s="1232"/>
      <c r="F211" s="1232"/>
      <c r="G211" s="1232"/>
      <c r="H211" s="1232"/>
      <c r="I211" s="1232"/>
      <c r="J211" s="1232"/>
      <c r="K211" s="1232"/>
      <c r="L211" s="1232"/>
      <c r="M211" s="1232"/>
      <c r="N211" s="1232"/>
      <c r="O211" s="1232"/>
      <c r="P211" s="1232"/>
      <c r="Q211" s="1232"/>
      <c r="R211" s="1232"/>
      <c r="S211" s="1232"/>
      <c r="T211" s="1232"/>
      <c r="U211" s="1232"/>
      <c r="V211" s="1232"/>
      <c r="W211" s="1232"/>
      <c r="X211" s="1232"/>
      <c r="Y211" s="1232"/>
      <c r="Z211" s="1232"/>
      <c r="AA211" s="1232"/>
      <c r="AB211" s="1232"/>
      <c r="AC211" s="1232"/>
      <c r="AD211" s="1232"/>
      <c r="AE211" s="1232"/>
      <c r="AF211" s="1232"/>
      <c r="AG211" s="1232"/>
      <c r="AH211" s="1232"/>
      <c r="AI211" s="1232"/>
      <c r="AJ211" s="1232"/>
      <c r="AK211" s="1232"/>
      <c r="AL211" s="1232"/>
    </row>
    <row r="212" customFormat="false" ht="12" hidden="false" customHeight="true" outlineLevel="0" collapsed="false">
      <c r="B212" s="1232"/>
      <c r="C212" s="1232"/>
      <c r="D212" s="1232"/>
      <c r="E212" s="1232"/>
      <c r="F212" s="1232"/>
      <c r="G212" s="1232"/>
      <c r="H212" s="1232"/>
      <c r="I212" s="1232"/>
      <c r="J212" s="1232"/>
      <c r="K212" s="1232"/>
      <c r="L212" s="1232"/>
      <c r="M212" s="1232"/>
      <c r="N212" s="1232"/>
      <c r="O212" s="1232"/>
      <c r="P212" s="1232"/>
      <c r="Q212" s="1232"/>
      <c r="R212" s="1232"/>
      <c r="S212" s="1232"/>
      <c r="T212" s="1232"/>
      <c r="U212" s="1232"/>
      <c r="V212" s="1232"/>
      <c r="W212" s="1232"/>
      <c r="X212" s="1232"/>
      <c r="Y212" s="1232"/>
      <c r="Z212" s="1232"/>
      <c r="AA212" s="1232"/>
      <c r="AB212" s="1232"/>
      <c r="AC212" s="1232"/>
      <c r="AD212" s="1232"/>
      <c r="AE212" s="1232"/>
      <c r="AF212" s="1232"/>
      <c r="AG212" s="1232"/>
      <c r="AH212" s="1232"/>
      <c r="AI212" s="1232"/>
      <c r="AJ212" s="1232"/>
      <c r="AK212" s="1232"/>
      <c r="AL212" s="1232"/>
    </row>
    <row r="213" customFormat="false" ht="12" hidden="false" customHeight="true" outlineLevel="0" collapsed="false">
      <c r="B213" s="1232"/>
      <c r="C213" s="1232"/>
      <c r="D213" s="1232"/>
      <c r="E213" s="1232"/>
      <c r="F213" s="1232"/>
      <c r="G213" s="1232"/>
      <c r="H213" s="1232"/>
      <c r="I213" s="1232"/>
      <c r="J213" s="1232"/>
      <c r="K213" s="1232"/>
      <c r="L213" s="1232"/>
      <c r="M213" s="1232"/>
      <c r="N213" s="1232"/>
      <c r="O213" s="1232"/>
      <c r="P213" s="1232"/>
      <c r="Q213" s="1232"/>
      <c r="R213" s="1232"/>
      <c r="S213" s="1232"/>
      <c r="T213" s="1232"/>
      <c r="U213" s="1232"/>
      <c r="V213" s="1232"/>
      <c r="W213" s="1232"/>
      <c r="X213" s="1232"/>
      <c r="Y213" s="1232"/>
      <c r="Z213" s="1232"/>
      <c r="AA213" s="1232"/>
      <c r="AB213" s="1232"/>
      <c r="AC213" s="1232"/>
      <c r="AD213" s="1232"/>
      <c r="AE213" s="1232"/>
      <c r="AF213" s="1232"/>
      <c r="AG213" s="1232"/>
      <c r="AH213" s="1232"/>
      <c r="AI213" s="1232"/>
      <c r="AJ213" s="1232"/>
      <c r="AK213" s="1232"/>
      <c r="AL213" s="1232"/>
    </row>
    <row r="214" customFormat="false" ht="12" hidden="false" customHeight="true" outlineLevel="0" collapsed="false">
      <c r="B214" s="1232"/>
      <c r="C214" s="1232"/>
      <c r="D214" s="1232"/>
      <c r="E214" s="1232"/>
      <c r="F214" s="1232"/>
      <c r="G214" s="1232"/>
      <c r="H214" s="1232"/>
      <c r="I214" s="1232"/>
      <c r="J214" s="1232"/>
      <c r="K214" s="1232"/>
      <c r="L214" s="1232"/>
      <c r="M214" s="1232"/>
      <c r="N214" s="1232"/>
      <c r="O214" s="1232"/>
      <c r="P214" s="1232"/>
      <c r="Q214" s="1232"/>
      <c r="R214" s="1232"/>
      <c r="S214" s="1232"/>
      <c r="T214" s="1232"/>
      <c r="U214" s="1232"/>
      <c r="V214" s="1232"/>
      <c r="W214" s="1232"/>
      <c r="X214" s="1232"/>
      <c r="Y214" s="1232"/>
      <c r="Z214" s="1232"/>
      <c r="AA214" s="1232"/>
      <c r="AB214" s="1232"/>
      <c r="AC214" s="1232"/>
      <c r="AD214" s="1232"/>
      <c r="AE214" s="1232"/>
      <c r="AF214" s="1232"/>
      <c r="AG214" s="1232"/>
      <c r="AH214" s="1232"/>
      <c r="AI214" s="1232"/>
      <c r="AJ214" s="1232"/>
      <c r="AK214" s="1232"/>
      <c r="AL214" s="1232"/>
    </row>
    <row r="215" customFormat="false" ht="12" hidden="false" customHeight="true" outlineLevel="0" collapsed="false">
      <c r="B215" s="1232"/>
      <c r="C215" s="1232"/>
      <c r="D215" s="1232"/>
      <c r="E215" s="1232"/>
      <c r="F215" s="1232"/>
      <c r="G215" s="1232"/>
      <c r="H215" s="1232"/>
      <c r="I215" s="1232"/>
      <c r="J215" s="1232"/>
      <c r="K215" s="1232"/>
      <c r="L215" s="1232"/>
      <c r="M215" s="1232"/>
      <c r="N215" s="1232"/>
      <c r="O215" s="1232"/>
      <c r="P215" s="1232"/>
      <c r="Q215" s="1232"/>
      <c r="R215" s="1232"/>
      <c r="S215" s="1232"/>
      <c r="T215" s="1232"/>
      <c r="U215" s="1232"/>
      <c r="V215" s="1232"/>
      <c r="W215" s="1232"/>
      <c r="X215" s="1232"/>
      <c r="Y215" s="1232"/>
      <c r="Z215" s="1232"/>
      <c r="AA215" s="1232"/>
      <c r="AB215" s="1232"/>
      <c r="AC215" s="1232"/>
      <c r="AD215" s="1232"/>
      <c r="AE215" s="1232"/>
      <c r="AF215" s="1232"/>
      <c r="AG215" s="1232"/>
      <c r="AH215" s="1232"/>
      <c r="AI215" s="1232"/>
      <c r="AJ215" s="1232"/>
      <c r="AK215" s="1232"/>
      <c r="AL215" s="1232"/>
    </row>
    <row r="216" customFormat="false" ht="12" hidden="false" customHeight="true" outlineLevel="0" collapsed="false">
      <c r="B216" s="1232"/>
      <c r="C216" s="1232"/>
      <c r="D216" s="1232"/>
      <c r="E216" s="1232"/>
      <c r="F216" s="1232"/>
      <c r="G216" s="1232"/>
      <c r="H216" s="1232"/>
      <c r="I216" s="1232"/>
      <c r="J216" s="1232"/>
      <c r="K216" s="1232"/>
      <c r="L216" s="1232"/>
      <c r="M216" s="1232"/>
      <c r="N216" s="1232"/>
      <c r="O216" s="1232"/>
      <c r="P216" s="1232"/>
      <c r="Q216" s="1232"/>
      <c r="R216" s="1232"/>
      <c r="S216" s="1232"/>
      <c r="T216" s="1232"/>
      <c r="U216" s="1232"/>
      <c r="V216" s="1232"/>
      <c r="W216" s="1232"/>
      <c r="X216" s="1232"/>
      <c r="Y216" s="1232"/>
      <c r="Z216" s="1232"/>
      <c r="AA216" s="1232"/>
      <c r="AB216" s="1232"/>
      <c r="AC216" s="1232"/>
      <c r="AD216" s="1232"/>
      <c r="AE216" s="1232"/>
      <c r="AF216" s="1232"/>
      <c r="AG216" s="1232"/>
      <c r="AH216" s="1232"/>
      <c r="AI216" s="1232"/>
      <c r="AJ216" s="1232"/>
      <c r="AK216" s="1232"/>
      <c r="AL216" s="1232"/>
    </row>
    <row r="217" customFormat="false" ht="12" hidden="false" customHeight="true" outlineLevel="0" collapsed="false">
      <c r="B217" s="1232"/>
      <c r="C217" s="1232"/>
      <c r="D217" s="1232"/>
      <c r="E217" s="1232"/>
      <c r="F217" s="1232"/>
      <c r="G217" s="1232"/>
      <c r="H217" s="1232"/>
      <c r="I217" s="1232"/>
      <c r="J217" s="1232"/>
      <c r="K217" s="1232"/>
      <c r="L217" s="1232"/>
      <c r="M217" s="1232"/>
      <c r="N217" s="1232"/>
      <c r="O217" s="1232"/>
      <c r="P217" s="1232"/>
      <c r="Q217" s="1232"/>
      <c r="R217" s="1232"/>
      <c r="S217" s="1232"/>
      <c r="T217" s="1232"/>
      <c r="U217" s="1232"/>
      <c r="V217" s="1232"/>
      <c r="W217" s="1232"/>
      <c r="X217" s="1232"/>
      <c r="Y217" s="1232"/>
      <c r="Z217" s="1232"/>
      <c r="AA217" s="1232"/>
      <c r="AB217" s="1232"/>
      <c r="AC217" s="1232"/>
      <c r="AD217" s="1232"/>
      <c r="AE217" s="1232"/>
      <c r="AF217" s="1232"/>
      <c r="AG217" s="1232"/>
      <c r="AH217" s="1232"/>
      <c r="AI217" s="1232"/>
      <c r="AJ217" s="1232"/>
      <c r="AK217" s="1232"/>
      <c r="AL217" s="1232"/>
    </row>
    <row r="218" customFormat="false" ht="12" hidden="false" customHeight="true" outlineLevel="0" collapsed="false">
      <c r="B218" s="1232"/>
      <c r="C218" s="1232"/>
      <c r="D218" s="1232"/>
      <c r="E218" s="1232"/>
      <c r="F218" s="1232"/>
      <c r="G218" s="1232"/>
      <c r="H218" s="1232"/>
      <c r="I218" s="1232"/>
      <c r="J218" s="1232"/>
      <c r="K218" s="1232"/>
      <c r="L218" s="1232"/>
      <c r="M218" s="1232"/>
      <c r="N218" s="1232"/>
      <c r="O218" s="1232"/>
      <c r="P218" s="1232"/>
      <c r="Q218" s="1232"/>
      <c r="R218" s="1232"/>
      <c r="S218" s="1232"/>
      <c r="T218" s="1232"/>
      <c r="U218" s="1232"/>
      <c r="V218" s="1232"/>
      <c r="W218" s="1232"/>
      <c r="X218" s="1232"/>
      <c r="Y218" s="1232"/>
      <c r="Z218" s="1232"/>
      <c r="AA218" s="1232"/>
      <c r="AB218" s="1232"/>
      <c r="AC218" s="1232"/>
      <c r="AD218" s="1232"/>
      <c r="AE218" s="1232"/>
      <c r="AF218" s="1232"/>
      <c r="AG218" s="1232"/>
      <c r="AH218" s="1232"/>
      <c r="AI218" s="1232"/>
      <c r="AJ218" s="1232"/>
      <c r="AK218" s="1232"/>
      <c r="AL218" s="1232"/>
    </row>
    <row r="219" customFormat="false" ht="12" hidden="false" customHeight="true" outlineLevel="0" collapsed="false">
      <c r="B219" s="1232"/>
      <c r="C219" s="1232"/>
      <c r="D219" s="1232"/>
      <c r="E219" s="1232"/>
      <c r="F219" s="1232"/>
      <c r="G219" s="1232"/>
      <c r="H219" s="1232"/>
      <c r="I219" s="1232"/>
      <c r="J219" s="1232"/>
      <c r="K219" s="1232"/>
      <c r="L219" s="1232"/>
      <c r="M219" s="1232"/>
      <c r="N219" s="1232"/>
      <c r="O219" s="1232"/>
      <c r="P219" s="1232"/>
      <c r="Q219" s="1232"/>
      <c r="R219" s="1232"/>
      <c r="S219" s="1232"/>
      <c r="T219" s="1232"/>
      <c r="U219" s="1232"/>
      <c r="V219" s="1232"/>
      <c r="W219" s="1232"/>
      <c r="X219" s="1232"/>
      <c r="Y219" s="1232"/>
      <c r="Z219" s="1232"/>
      <c r="AA219" s="1232"/>
      <c r="AB219" s="1232"/>
      <c r="AC219" s="1232"/>
      <c r="AD219" s="1232"/>
      <c r="AE219" s="1232"/>
      <c r="AF219" s="1232"/>
      <c r="AG219" s="1232"/>
      <c r="AH219" s="1232"/>
      <c r="AI219" s="1232"/>
      <c r="AJ219" s="1232"/>
      <c r="AK219" s="1232"/>
      <c r="AL219" s="1232"/>
    </row>
    <row r="220" customFormat="false" ht="12" hidden="false" customHeight="true" outlineLevel="0" collapsed="false">
      <c r="B220" s="1232"/>
      <c r="C220" s="1232"/>
      <c r="D220" s="1232"/>
      <c r="E220" s="1232"/>
      <c r="F220" s="1232"/>
      <c r="G220" s="1232"/>
      <c r="H220" s="1232"/>
      <c r="I220" s="1232"/>
      <c r="J220" s="1232"/>
      <c r="K220" s="1232"/>
      <c r="L220" s="1232"/>
      <c r="M220" s="1232"/>
      <c r="N220" s="1232"/>
      <c r="O220" s="1232"/>
      <c r="P220" s="1232"/>
      <c r="Q220" s="1232"/>
      <c r="R220" s="1232"/>
      <c r="S220" s="1232"/>
      <c r="T220" s="1232"/>
      <c r="U220" s="1232"/>
      <c r="V220" s="1232"/>
      <c r="W220" s="1232"/>
      <c r="X220" s="1232"/>
      <c r="Y220" s="1232"/>
      <c r="Z220" s="1232"/>
      <c r="AA220" s="1232"/>
      <c r="AB220" s="1232"/>
      <c r="AC220" s="1232"/>
      <c r="AD220" s="1232"/>
      <c r="AE220" s="1232"/>
      <c r="AF220" s="1232"/>
      <c r="AG220" s="1232"/>
      <c r="AH220" s="1232"/>
      <c r="AI220" s="1232"/>
      <c r="AJ220" s="1232"/>
      <c r="AK220" s="1232"/>
      <c r="AL220" s="1232"/>
    </row>
    <row r="221" customFormat="false" ht="12" hidden="false" customHeight="true" outlineLevel="0" collapsed="false">
      <c r="B221" s="1232"/>
      <c r="C221" s="1232"/>
      <c r="D221" s="1232"/>
      <c r="E221" s="1232"/>
      <c r="F221" s="1232"/>
      <c r="G221" s="1232"/>
      <c r="H221" s="1232"/>
      <c r="I221" s="1232"/>
      <c r="J221" s="1232"/>
      <c r="K221" s="1232"/>
      <c r="L221" s="1232"/>
      <c r="M221" s="1232"/>
      <c r="N221" s="1232"/>
      <c r="O221" s="1232"/>
      <c r="P221" s="1232"/>
      <c r="Q221" s="1232"/>
      <c r="R221" s="1232"/>
      <c r="S221" s="1232"/>
      <c r="T221" s="1232"/>
      <c r="U221" s="1232"/>
      <c r="V221" s="1232"/>
      <c r="W221" s="1232"/>
      <c r="X221" s="1232"/>
      <c r="Y221" s="1232"/>
      <c r="Z221" s="1232"/>
      <c r="AA221" s="1232"/>
      <c r="AB221" s="1232"/>
      <c r="AC221" s="1232"/>
      <c r="AD221" s="1232"/>
      <c r="AE221" s="1232"/>
      <c r="AF221" s="1232"/>
      <c r="AG221" s="1232"/>
      <c r="AH221" s="1232"/>
      <c r="AI221" s="1232"/>
      <c r="AJ221" s="1232"/>
      <c r="AK221" s="1232"/>
      <c r="AL221" s="1232"/>
    </row>
    <row r="222" customFormat="false" ht="12" hidden="false" customHeight="true" outlineLevel="0" collapsed="false">
      <c r="B222" s="1232"/>
      <c r="C222" s="1232"/>
      <c r="D222" s="1232"/>
      <c r="E222" s="1232"/>
      <c r="F222" s="1232"/>
      <c r="G222" s="1232"/>
      <c r="H222" s="1232"/>
      <c r="I222" s="1232"/>
      <c r="J222" s="1232"/>
      <c r="K222" s="1232"/>
      <c r="L222" s="1232"/>
      <c r="M222" s="1232"/>
      <c r="N222" s="1232"/>
      <c r="O222" s="1232"/>
      <c r="P222" s="1232"/>
      <c r="Q222" s="1232"/>
      <c r="R222" s="1232"/>
      <c r="S222" s="1232"/>
      <c r="T222" s="1232"/>
      <c r="U222" s="1232"/>
      <c r="V222" s="1232"/>
      <c r="W222" s="1232"/>
      <c r="X222" s="1232"/>
      <c r="Y222" s="1232"/>
      <c r="Z222" s="1232"/>
      <c r="AA222" s="1232"/>
      <c r="AB222" s="1232"/>
      <c r="AC222" s="1232"/>
      <c r="AD222" s="1232"/>
      <c r="AE222" s="1232"/>
      <c r="AF222" s="1232"/>
      <c r="AG222" s="1232"/>
      <c r="AH222" s="1232"/>
      <c r="AI222" s="1232"/>
      <c r="AJ222" s="1232"/>
      <c r="AK222" s="1232"/>
      <c r="AL222" s="1232"/>
    </row>
    <row r="223" customFormat="false" ht="12" hidden="false" customHeight="true" outlineLevel="0" collapsed="false">
      <c r="B223" s="1232"/>
      <c r="C223" s="1232"/>
      <c r="D223" s="1232"/>
      <c r="E223" s="1232"/>
      <c r="F223" s="1232"/>
      <c r="G223" s="1232"/>
      <c r="H223" s="1232"/>
      <c r="I223" s="1232"/>
      <c r="J223" s="1232"/>
      <c r="K223" s="1232"/>
      <c r="L223" s="1232"/>
      <c r="M223" s="1232"/>
      <c r="N223" s="1232"/>
      <c r="O223" s="1232"/>
      <c r="P223" s="1232"/>
      <c r="Q223" s="1232"/>
      <c r="R223" s="1232"/>
      <c r="S223" s="1232"/>
      <c r="T223" s="1232"/>
      <c r="U223" s="1232"/>
      <c r="V223" s="1232"/>
      <c r="W223" s="1232"/>
      <c r="X223" s="1232"/>
      <c r="Y223" s="1232"/>
      <c r="Z223" s="1232"/>
      <c r="AA223" s="1232"/>
      <c r="AB223" s="1232"/>
      <c r="AC223" s="1232"/>
      <c r="AD223" s="1232"/>
      <c r="AE223" s="1232"/>
      <c r="AF223" s="1232"/>
      <c r="AG223" s="1232"/>
      <c r="AH223" s="1232"/>
      <c r="AI223" s="1232"/>
      <c r="AJ223" s="1232"/>
      <c r="AK223" s="1232"/>
      <c r="AL223" s="1232"/>
    </row>
    <row r="224" customFormat="false" ht="12" hidden="false" customHeight="true" outlineLevel="0" collapsed="false">
      <c r="B224" s="1232"/>
      <c r="C224" s="1232"/>
      <c r="D224" s="1232"/>
      <c r="E224" s="1232"/>
      <c r="F224" s="1232"/>
      <c r="G224" s="1232"/>
      <c r="H224" s="1232"/>
      <c r="I224" s="1232"/>
      <c r="J224" s="1232"/>
      <c r="K224" s="1232"/>
      <c r="L224" s="1232"/>
      <c r="M224" s="1232"/>
      <c r="N224" s="1232"/>
      <c r="O224" s="1232"/>
      <c r="P224" s="1232"/>
      <c r="Q224" s="1232"/>
      <c r="R224" s="1232"/>
      <c r="S224" s="1232"/>
      <c r="T224" s="1232"/>
      <c r="U224" s="1232"/>
      <c r="V224" s="1232"/>
      <c r="W224" s="1232"/>
      <c r="X224" s="1232"/>
      <c r="Y224" s="1232"/>
      <c r="Z224" s="1232"/>
      <c r="AA224" s="1232"/>
      <c r="AB224" s="1232"/>
      <c r="AC224" s="1232"/>
      <c r="AD224" s="1232"/>
      <c r="AE224" s="1232"/>
      <c r="AF224" s="1232"/>
      <c r="AG224" s="1232"/>
      <c r="AH224" s="1232"/>
      <c r="AI224" s="1232"/>
      <c r="AJ224" s="1232"/>
      <c r="AK224" s="1232"/>
      <c r="AL224" s="1232"/>
    </row>
    <row r="225" customFormat="false" ht="12" hidden="false" customHeight="true" outlineLevel="0" collapsed="false">
      <c r="B225" s="1232"/>
      <c r="C225" s="1232"/>
      <c r="D225" s="1232"/>
      <c r="E225" s="1232"/>
      <c r="F225" s="1232"/>
      <c r="G225" s="1232"/>
      <c r="H225" s="1232"/>
      <c r="I225" s="1232"/>
      <c r="J225" s="1232"/>
      <c r="K225" s="1232"/>
      <c r="L225" s="1232"/>
      <c r="M225" s="1232"/>
      <c r="N225" s="1232"/>
      <c r="O225" s="1232"/>
      <c r="P225" s="1232"/>
      <c r="Q225" s="1232"/>
      <c r="R225" s="1232"/>
      <c r="S225" s="1232"/>
      <c r="T225" s="1232"/>
      <c r="U225" s="1232"/>
      <c r="V225" s="1232"/>
      <c r="W225" s="1232"/>
      <c r="X225" s="1232"/>
      <c r="Y225" s="1232"/>
      <c r="Z225" s="1232"/>
      <c r="AA225" s="1232"/>
      <c r="AB225" s="1232"/>
      <c r="AC225" s="1232"/>
      <c r="AD225" s="1232"/>
      <c r="AE225" s="1232"/>
      <c r="AF225" s="1232"/>
      <c r="AG225" s="1232"/>
      <c r="AH225" s="1232"/>
      <c r="AI225" s="1232"/>
      <c r="AJ225" s="1232"/>
      <c r="AK225" s="1232"/>
      <c r="AL225" s="1232"/>
    </row>
    <row r="226" customFormat="false" ht="12" hidden="false" customHeight="true" outlineLevel="0" collapsed="false">
      <c r="B226" s="1232"/>
      <c r="C226" s="1232"/>
      <c r="D226" s="1232"/>
      <c r="E226" s="1232"/>
      <c r="F226" s="1232"/>
      <c r="G226" s="1232"/>
      <c r="H226" s="1232"/>
      <c r="I226" s="1232"/>
      <c r="J226" s="1232"/>
      <c r="K226" s="1232"/>
      <c r="L226" s="1232"/>
      <c r="M226" s="1232"/>
      <c r="N226" s="1232"/>
      <c r="O226" s="1232"/>
      <c r="P226" s="1232"/>
      <c r="Q226" s="1232"/>
      <c r="R226" s="1232"/>
      <c r="S226" s="1232"/>
      <c r="T226" s="1232"/>
      <c r="U226" s="1232"/>
      <c r="V226" s="1232"/>
      <c r="W226" s="1232"/>
      <c r="X226" s="1232"/>
      <c r="Y226" s="1232"/>
      <c r="Z226" s="1232"/>
      <c r="AA226" s="1232"/>
      <c r="AB226" s="1232"/>
      <c r="AC226" s="1232"/>
      <c r="AD226" s="1232"/>
      <c r="AE226" s="1232"/>
      <c r="AF226" s="1232"/>
      <c r="AG226" s="1232"/>
      <c r="AH226" s="1232"/>
      <c r="AI226" s="1232"/>
      <c r="AJ226" s="1232"/>
      <c r="AK226" s="1232"/>
      <c r="AL226" s="1232"/>
    </row>
    <row r="227" customFormat="false" ht="12" hidden="false" customHeight="true" outlineLevel="0" collapsed="false">
      <c r="B227" s="1232"/>
      <c r="C227" s="1232"/>
      <c r="D227" s="1232"/>
      <c r="E227" s="1232"/>
      <c r="F227" s="1232"/>
      <c r="G227" s="1232"/>
      <c r="H227" s="1232"/>
      <c r="I227" s="1232"/>
      <c r="J227" s="1232"/>
      <c r="K227" s="1232"/>
      <c r="L227" s="1232"/>
      <c r="M227" s="1232"/>
      <c r="N227" s="1232"/>
      <c r="O227" s="1232"/>
      <c r="P227" s="1232"/>
      <c r="Q227" s="1232"/>
      <c r="R227" s="1232"/>
      <c r="S227" s="1232"/>
      <c r="T227" s="1232"/>
      <c r="U227" s="1232"/>
      <c r="V227" s="1232"/>
      <c r="W227" s="1232"/>
      <c r="X227" s="1232"/>
      <c r="Y227" s="1232"/>
      <c r="Z227" s="1232"/>
      <c r="AA227" s="1232"/>
      <c r="AB227" s="1232"/>
      <c r="AC227" s="1232"/>
      <c r="AD227" s="1232"/>
      <c r="AE227" s="1232"/>
      <c r="AF227" s="1232"/>
      <c r="AG227" s="1232"/>
      <c r="AH227" s="1232"/>
      <c r="AI227" s="1232"/>
      <c r="AJ227" s="1232"/>
      <c r="AK227" s="1232"/>
      <c r="AL227" s="1232"/>
    </row>
    <row r="228" customFormat="false" ht="12" hidden="false" customHeight="true" outlineLevel="0" collapsed="false">
      <c r="B228" s="1232"/>
      <c r="C228" s="1232"/>
      <c r="D228" s="1232"/>
      <c r="E228" s="1232"/>
      <c r="F228" s="1232"/>
      <c r="G228" s="1232"/>
      <c r="H228" s="1232"/>
      <c r="I228" s="1232"/>
      <c r="J228" s="1232"/>
      <c r="K228" s="1232"/>
      <c r="L228" s="1232"/>
      <c r="M228" s="1232"/>
      <c r="N228" s="1232"/>
      <c r="O228" s="1232"/>
      <c r="P228" s="1232"/>
      <c r="Q228" s="1232"/>
      <c r="R228" s="1232"/>
      <c r="S228" s="1232"/>
      <c r="T228" s="1232"/>
      <c r="U228" s="1232"/>
      <c r="V228" s="1232"/>
      <c r="W228" s="1232"/>
      <c r="X228" s="1232"/>
      <c r="Y228" s="1232"/>
      <c r="Z228" s="1232"/>
      <c r="AA228" s="1232"/>
      <c r="AB228" s="1232"/>
      <c r="AC228" s="1232"/>
      <c r="AD228" s="1232"/>
      <c r="AE228" s="1232"/>
      <c r="AF228" s="1232"/>
      <c r="AG228" s="1232"/>
      <c r="AH228" s="1232"/>
      <c r="AI228" s="1232"/>
      <c r="AJ228" s="1232"/>
      <c r="AK228" s="1232"/>
      <c r="AL228" s="1232"/>
    </row>
    <row r="229" customFormat="false" ht="12" hidden="false" customHeight="true" outlineLevel="0" collapsed="false">
      <c r="B229" s="1232"/>
      <c r="C229" s="1232"/>
      <c r="D229" s="1232"/>
      <c r="E229" s="1232"/>
      <c r="F229" s="1232"/>
      <c r="G229" s="1232"/>
      <c r="H229" s="1232"/>
      <c r="I229" s="1232"/>
      <c r="J229" s="1232"/>
      <c r="K229" s="1232"/>
      <c r="L229" s="1232"/>
      <c r="M229" s="1232"/>
      <c r="N229" s="1232"/>
      <c r="O229" s="1232"/>
      <c r="P229" s="1232"/>
      <c r="Q229" s="1232"/>
      <c r="R229" s="1232"/>
      <c r="S229" s="1232"/>
      <c r="T229" s="1232"/>
      <c r="U229" s="1232"/>
      <c r="V229" s="1232"/>
      <c r="W229" s="1232"/>
      <c r="X229" s="1232"/>
      <c r="Y229" s="1232"/>
      <c r="Z229" s="1232"/>
      <c r="AA229" s="1232"/>
      <c r="AB229" s="1232"/>
      <c r="AC229" s="1232"/>
      <c r="AD229" s="1232"/>
      <c r="AE229" s="1232"/>
      <c r="AF229" s="1232"/>
      <c r="AG229" s="1232"/>
      <c r="AH229" s="1232"/>
      <c r="AI229" s="1232"/>
      <c r="AJ229" s="1232"/>
      <c r="AK229" s="1232"/>
      <c r="AL229" s="1232"/>
    </row>
    <row r="230" customFormat="false" ht="12" hidden="false" customHeight="true" outlineLevel="0" collapsed="false">
      <c r="B230" s="1232"/>
      <c r="C230" s="1232"/>
      <c r="D230" s="1232"/>
      <c r="E230" s="1232"/>
      <c r="F230" s="1232"/>
      <c r="G230" s="1232"/>
      <c r="H230" s="1232"/>
      <c r="I230" s="1232"/>
      <c r="J230" s="1232"/>
      <c r="K230" s="1232"/>
      <c r="L230" s="1232"/>
      <c r="M230" s="1232"/>
      <c r="N230" s="1232"/>
      <c r="O230" s="1232"/>
      <c r="P230" s="1232"/>
      <c r="Q230" s="1232"/>
      <c r="R230" s="1232"/>
      <c r="S230" s="1232"/>
      <c r="T230" s="1232"/>
      <c r="U230" s="1232"/>
      <c r="V230" s="1232"/>
      <c r="W230" s="1232"/>
      <c r="X230" s="1232"/>
      <c r="Y230" s="1232"/>
      <c r="Z230" s="1232"/>
      <c r="AA230" s="1232"/>
      <c r="AB230" s="1232"/>
      <c r="AC230" s="1232"/>
      <c r="AD230" s="1232"/>
      <c r="AE230" s="1232"/>
      <c r="AF230" s="1232"/>
      <c r="AG230" s="1232"/>
      <c r="AH230" s="1232"/>
      <c r="AI230" s="1232"/>
      <c r="AJ230" s="1232"/>
      <c r="AK230" s="1232"/>
      <c r="AL230" s="1232"/>
    </row>
    <row r="231" customFormat="false" ht="12" hidden="false" customHeight="true" outlineLevel="0" collapsed="false">
      <c r="B231" s="1232"/>
      <c r="C231" s="1232"/>
      <c r="D231" s="1232"/>
      <c r="E231" s="1232"/>
      <c r="F231" s="1232"/>
      <c r="G231" s="1232"/>
      <c r="H231" s="1232"/>
      <c r="I231" s="1232"/>
      <c r="J231" s="1232"/>
      <c r="K231" s="1232"/>
      <c r="L231" s="1232"/>
      <c r="M231" s="1232"/>
      <c r="N231" s="1232"/>
      <c r="O231" s="1232"/>
      <c r="P231" s="1232"/>
      <c r="Q231" s="1232"/>
      <c r="R231" s="1232"/>
      <c r="S231" s="1232"/>
      <c r="T231" s="1232"/>
      <c r="U231" s="1232"/>
      <c r="V231" s="1232"/>
      <c r="W231" s="1232"/>
      <c r="X231" s="1232"/>
      <c r="Y231" s="1232"/>
      <c r="Z231" s="1232"/>
      <c r="AA231" s="1232"/>
      <c r="AB231" s="1232"/>
      <c r="AC231" s="1232"/>
      <c r="AD231" s="1232"/>
      <c r="AE231" s="1232"/>
      <c r="AF231" s="1232"/>
      <c r="AG231" s="1232"/>
      <c r="AH231" s="1232"/>
      <c r="AI231" s="1232"/>
      <c r="AJ231" s="1232"/>
      <c r="AK231" s="1232"/>
      <c r="AL231" s="1232"/>
    </row>
    <row r="232" customFormat="false" ht="12" hidden="false" customHeight="true" outlineLevel="0" collapsed="false">
      <c r="B232" s="1232"/>
      <c r="C232" s="1232"/>
      <c r="D232" s="1232"/>
      <c r="E232" s="1232"/>
      <c r="F232" s="1232"/>
      <c r="G232" s="1232"/>
      <c r="H232" s="1232"/>
      <c r="I232" s="1232"/>
      <c r="J232" s="1232"/>
      <c r="K232" s="1232"/>
      <c r="L232" s="1232"/>
      <c r="M232" s="1232"/>
      <c r="N232" s="1232"/>
      <c r="O232" s="1232"/>
      <c r="P232" s="1232"/>
      <c r="Q232" s="1232"/>
      <c r="R232" s="1232"/>
      <c r="S232" s="1232"/>
      <c r="T232" s="1232"/>
      <c r="U232" s="1232"/>
      <c r="V232" s="1232"/>
      <c r="W232" s="1232"/>
      <c r="X232" s="1232"/>
      <c r="Y232" s="1232"/>
      <c r="Z232" s="1232"/>
      <c r="AA232" s="1232"/>
      <c r="AB232" s="1232"/>
      <c r="AC232" s="1232"/>
      <c r="AD232" s="1232"/>
      <c r="AE232" s="1232"/>
      <c r="AF232" s="1232"/>
      <c r="AG232" s="1232"/>
      <c r="AH232" s="1232"/>
      <c r="AI232" s="1232"/>
      <c r="AJ232" s="1232"/>
      <c r="AK232" s="1232"/>
      <c r="AL232" s="1232"/>
    </row>
    <row r="233" customFormat="false" ht="12" hidden="false" customHeight="true" outlineLevel="0" collapsed="false">
      <c r="B233" s="1232"/>
      <c r="C233" s="1232"/>
      <c r="D233" s="1232"/>
      <c r="E233" s="1232"/>
      <c r="F233" s="1232"/>
      <c r="G233" s="1232"/>
      <c r="H233" s="1232"/>
      <c r="I233" s="1232"/>
      <c r="J233" s="1232"/>
      <c r="K233" s="1232"/>
      <c r="L233" s="1232"/>
      <c r="M233" s="1232"/>
      <c r="N233" s="1232"/>
      <c r="O233" s="1232"/>
      <c r="P233" s="1232"/>
      <c r="Q233" s="1232"/>
      <c r="R233" s="1232"/>
      <c r="S233" s="1232"/>
      <c r="T233" s="1232"/>
      <c r="U233" s="1232"/>
      <c r="V233" s="1232"/>
      <c r="W233" s="1232"/>
      <c r="X233" s="1232"/>
      <c r="Y233" s="1232"/>
      <c r="Z233" s="1232"/>
      <c r="AA233" s="1232"/>
      <c r="AB233" s="1232"/>
      <c r="AC233" s="1232"/>
      <c r="AD233" s="1232"/>
      <c r="AE233" s="1232"/>
      <c r="AF233" s="1232"/>
      <c r="AG233" s="1232"/>
      <c r="AH233" s="1232"/>
      <c r="AI233" s="1232"/>
      <c r="AJ233" s="1232"/>
      <c r="AK233" s="1232"/>
      <c r="AL233" s="1232"/>
    </row>
    <row r="234" customFormat="false" ht="12" hidden="false" customHeight="true" outlineLevel="0" collapsed="false">
      <c r="B234" s="1232"/>
      <c r="C234" s="1232"/>
      <c r="D234" s="1232"/>
      <c r="E234" s="1232"/>
      <c r="F234" s="1232"/>
      <c r="G234" s="1232"/>
      <c r="H234" s="1232"/>
      <c r="I234" s="1232"/>
      <c r="J234" s="1232"/>
      <c r="K234" s="1232"/>
      <c r="L234" s="1232"/>
      <c r="M234" s="1232"/>
      <c r="N234" s="1232"/>
      <c r="O234" s="1232"/>
      <c r="P234" s="1232"/>
      <c r="Q234" s="1232"/>
      <c r="R234" s="1232"/>
      <c r="S234" s="1232"/>
      <c r="T234" s="1232"/>
      <c r="U234" s="1232"/>
      <c r="V234" s="1232"/>
      <c r="W234" s="1232"/>
      <c r="X234" s="1232"/>
      <c r="Y234" s="1232"/>
      <c r="Z234" s="1232"/>
      <c r="AA234" s="1232"/>
      <c r="AB234" s="1232"/>
      <c r="AC234" s="1232"/>
      <c r="AD234" s="1232"/>
      <c r="AE234" s="1232"/>
      <c r="AF234" s="1232"/>
      <c r="AG234" s="1232"/>
      <c r="AH234" s="1232"/>
      <c r="AI234" s="1232"/>
      <c r="AJ234" s="1232"/>
      <c r="AK234" s="1232"/>
      <c r="AL234" s="1232"/>
    </row>
    <row r="235" customFormat="false" ht="12" hidden="false" customHeight="true" outlineLevel="0" collapsed="false">
      <c r="B235" s="1232"/>
      <c r="C235" s="1232"/>
      <c r="D235" s="1232"/>
      <c r="E235" s="1232"/>
      <c r="F235" s="1232"/>
      <c r="G235" s="1232"/>
      <c r="H235" s="1232"/>
      <c r="I235" s="1232"/>
      <c r="J235" s="1232"/>
      <c r="K235" s="1232"/>
      <c r="L235" s="1232"/>
      <c r="M235" s="1232"/>
      <c r="N235" s="1232"/>
      <c r="O235" s="1232"/>
      <c r="P235" s="1232"/>
      <c r="Q235" s="1232"/>
      <c r="R235" s="1232"/>
      <c r="S235" s="1232"/>
      <c r="T235" s="1232"/>
      <c r="U235" s="1232"/>
      <c r="V235" s="1232"/>
      <c r="W235" s="1232"/>
      <c r="X235" s="1232"/>
      <c r="Y235" s="1232"/>
      <c r="Z235" s="1232"/>
      <c r="AA235" s="1232"/>
      <c r="AB235" s="1232"/>
      <c r="AC235" s="1232"/>
      <c r="AD235" s="1232"/>
      <c r="AE235" s="1232"/>
      <c r="AF235" s="1232"/>
      <c r="AG235" s="1232"/>
      <c r="AH235" s="1232"/>
      <c r="AI235" s="1232"/>
      <c r="AJ235" s="1232"/>
      <c r="AK235" s="1232"/>
      <c r="AL235" s="1232"/>
    </row>
    <row r="236" customFormat="false" ht="12" hidden="false" customHeight="true" outlineLevel="0" collapsed="false">
      <c r="B236" s="1232"/>
      <c r="C236" s="1232"/>
      <c r="D236" s="1232"/>
      <c r="E236" s="1232"/>
      <c r="F236" s="1232"/>
      <c r="G236" s="1232"/>
      <c r="H236" s="1232"/>
      <c r="I236" s="1232"/>
      <c r="J236" s="1232"/>
      <c r="K236" s="1232"/>
      <c r="L236" s="1232"/>
      <c r="M236" s="1232"/>
      <c r="N236" s="1232"/>
      <c r="O236" s="1232"/>
      <c r="P236" s="1232"/>
      <c r="Q236" s="1232"/>
      <c r="R236" s="1232"/>
      <c r="S236" s="1232"/>
      <c r="T236" s="1232"/>
      <c r="U236" s="1232"/>
      <c r="V236" s="1232"/>
      <c r="W236" s="1232"/>
      <c r="X236" s="1232"/>
      <c r="Y236" s="1232"/>
      <c r="Z236" s="1232"/>
      <c r="AA236" s="1232"/>
      <c r="AB236" s="1232"/>
      <c r="AC236" s="1232"/>
      <c r="AD236" s="1232"/>
      <c r="AE236" s="1232"/>
      <c r="AF236" s="1232"/>
      <c r="AG236" s="1232"/>
      <c r="AH236" s="1232"/>
      <c r="AI236" s="1232"/>
      <c r="AJ236" s="1232"/>
      <c r="AK236" s="1232"/>
      <c r="AL236" s="1232"/>
    </row>
    <row r="237" customFormat="false" ht="12" hidden="false" customHeight="true" outlineLevel="0" collapsed="false">
      <c r="B237" s="1232"/>
      <c r="C237" s="1232"/>
      <c r="D237" s="1232"/>
      <c r="E237" s="1232"/>
      <c r="F237" s="1232"/>
      <c r="G237" s="1232"/>
      <c r="H237" s="1232"/>
      <c r="I237" s="1232"/>
      <c r="J237" s="1232"/>
      <c r="K237" s="1232"/>
      <c r="L237" s="1232"/>
      <c r="M237" s="1232"/>
      <c r="N237" s="1232"/>
      <c r="O237" s="1232"/>
      <c r="P237" s="1232"/>
      <c r="Q237" s="1232"/>
      <c r="R237" s="1232"/>
      <c r="S237" s="1232"/>
      <c r="T237" s="1232"/>
      <c r="U237" s="1232"/>
      <c r="V237" s="1232"/>
      <c r="W237" s="1232"/>
      <c r="X237" s="1232"/>
      <c r="Y237" s="1232"/>
      <c r="Z237" s="1232"/>
      <c r="AA237" s="1232"/>
      <c r="AB237" s="1232"/>
      <c r="AC237" s="1232"/>
      <c r="AD237" s="1232"/>
      <c r="AE237" s="1232"/>
      <c r="AF237" s="1232"/>
      <c r="AG237" s="1232"/>
      <c r="AH237" s="1232"/>
      <c r="AI237" s="1232"/>
      <c r="AJ237" s="1232"/>
      <c r="AK237" s="1232"/>
      <c r="AL237" s="1232"/>
    </row>
    <row r="238" customFormat="false" ht="12" hidden="false" customHeight="true" outlineLevel="0" collapsed="false">
      <c r="B238" s="1232"/>
      <c r="C238" s="1232"/>
      <c r="D238" s="1232"/>
      <c r="E238" s="1232"/>
      <c r="F238" s="1232"/>
      <c r="G238" s="1232"/>
      <c r="H238" s="1232"/>
      <c r="I238" s="1232"/>
      <c r="J238" s="1232"/>
      <c r="K238" s="1232"/>
      <c r="L238" s="1232"/>
      <c r="M238" s="1232"/>
      <c r="N238" s="1232"/>
      <c r="O238" s="1232"/>
      <c r="P238" s="1232"/>
      <c r="Q238" s="1232"/>
      <c r="R238" s="1232"/>
      <c r="S238" s="1232"/>
      <c r="T238" s="1232"/>
      <c r="U238" s="1232"/>
      <c r="V238" s="1232"/>
      <c r="W238" s="1232"/>
      <c r="X238" s="1232"/>
      <c r="Y238" s="1232"/>
      <c r="Z238" s="1232"/>
      <c r="AA238" s="1232"/>
      <c r="AB238" s="1232"/>
      <c r="AC238" s="1232"/>
      <c r="AD238" s="1232"/>
      <c r="AE238" s="1232"/>
      <c r="AF238" s="1232"/>
      <c r="AG238" s="1232"/>
      <c r="AH238" s="1232"/>
      <c r="AI238" s="1232"/>
      <c r="AJ238" s="1232"/>
      <c r="AK238" s="1232"/>
      <c r="AL238" s="1232"/>
    </row>
    <row r="239" customFormat="false" ht="12" hidden="false" customHeight="true" outlineLevel="0" collapsed="false">
      <c r="B239" s="1232"/>
      <c r="C239" s="1232"/>
      <c r="D239" s="1232"/>
      <c r="E239" s="1232"/>
      <c r="F239" s="1232"/>
      <c r="G239" s="1232"/>
      <c r="H239" s="1232"/>
      <c r="I239" s="1232"/>
      <c r="J239" s="1232"/>
      <c r="K239" s="1232"/>
      <c r="L239" s="1232"/>
      <c r="M239" s="1232"/>
      <c r="N239" s="1232"/>
      <c r="O239" s="1232"/>
      <c r="P239" s="1232"/>
      <c r="Q239" s="1232"/>
      <c r="R239" s="1232"/>
      <c r="S239" s="1232"/>
      <c r="T239" s="1232"/>
      <c r="U239" s="1232"/>
      <c r="V239" s="1232"/>
      <c r="W239" s="1232"/>
      <c r="X239" s="1232"/>
      <c r="Y239" s="1232"/>
      <c r="Z239" s="1232"/>
      <c r="AA239" s="1232"/>
      <c r="AB239" s="1232"/>
      <c r="AC239" s="1232"/>
      <c r="AD239" s="1232"/>
      <c r="AE239" s="1232"/>
      <c r="AF239" s="1232"/>
      <c r="AG239" s="1232"/>
      <c r="AH239" s="1232"/>
      <c r="AI239" s="1232"/>
      <c r="AJ239" s="1232"/>
      <c r="AK239" s="1232"/>
      <c r="AL239" s="1232"/>
    </row>
    <row r="240" customFormat="false" ht="12" hidden="false" customHeight="true" outlineLevel="0" collapsed="false">
      <c r="B240" s="1232"/>
      <c r="C240" s="1232"/>
      <c r="D240" s="1232"/>
      <c r="E240" s="1232"/>
      <c r="F240" s="1232"/>
      <c r="G240" s="1232"/>
      <c r="H240" s="1232"/>
      <c r="I240" s="1232"/>
      <c r="J240" s="1232"/>
      <c r="K240" s="1232"/>
      <c r="L240" s="1232"/>
      <c r="M240" s="1232"/>
      <c r="N240" s="1232"/>
      <c r="O240" s="1232"/>
      <c r="P240" s="1232"/>
      <c r="Q240" s="1232"/>
      <c r="R240" s="1232"/>
      <c r="S240" s="1232"/>
      <c r="T240" s="1232"/>
      <c r="U240" s="1232"/>
      <c r="V240" s="1232"/>
      <c r="W240" s="1232"/>
      <c r="X240" s="1232"/>
      <c r="Y240" s="1232"/>
      <c r="Z240" s="1232"/>
      <c r="AA240" s="1232"/>
      <c r="AB240" s="1232"/>
      <c r="AC240" s="1232"/>
      <c r="AD240" s="1232"/>
      <c r="AE240" s="1232"/>
      <c r="AF240" s="1232"/>
      <c r="AG240" s="1232"/>
      <c r="AH240" s="1232"/>
      <c r="AI240" s="1232"/>
      <c r="AJ240" s="1232"/>
      <c r="AK240" s="1232"/>
      <c r="AL240" s="1232"/>
    </row>
    <row r="241" customFormat="false" ht="12" hidden="false" customHeight="true" outlineLevel="0" collapsed="false">
      <c r="B241" s="1232"/>
      <c r="C241" s="1232"/>
      <c r="D241" s="1232"/>
      <c r="E241" s="1232"/>
      <c r="F241" s="1232"/>
      <c r="G241" s="1232"/>
      <c r="H241" s="1232"/>
      <c r="I241" s="1232"/>
      <c r="J241" s="1232"/>
      <c r="K241" s="1232"/>
      <c r="L241" s="1232"/>
      <c r="M241" s="1232"/>
      <c r="N241" s="1232"/>
      <c r="O241" s="1232"/>
      <c r="P241" s="1232"/>
      <c r="Q241" s="1232"/>
      <c r="R241" s="1232"/>
      <c r="S241" s="1232"/>
      <c r="T241" s="1232"/>
      <c r="U241" s="1232"/>
      <c r="V241" s="1232"/>
      <c r="W241" s="1232"/>
      <c r="X241" s="1232"/>
      <c r="Y241" s="1232"/>
      <c r="Z241" s="1232"/>
      <c r="AA241" s="1232"/>
      <c r="AB241" s="1232"/>
      <c r="AC241" s="1232"/>
      <c r="AD241" s="1232"/>
      <c r="AE241" s="1232"/>
      <c r="AF241" s="1232"/>
      <c r="AG241" s="1232"/>
      <c r="AH241" s="1232"/>
      <c r="AI241" s="1232"/>
      <c r="AJ241" s="1232"/>
      <c r="AK241" s="1232"/>
      <c r="AL241" s="1232"/>
    </row>
    <row r="242" customFormat="false" ht="12" hidden="false" customHeight="true" outlineLevel="0" collapsed="false">
      <c r="B242" s="1232"/>
      <c r="C242" s="1232"/>
      <c r="D242" s="1232"/>
      <c r="E242" s="1232"/>
      <c r="F242" s="1232"/>
      <c r="G242" s="1232"/>
      <c r="H242" s="1232"/>
      <c r="I242" s="1232"/>
      <c r="J242" s="1232"/>
      <c r="K242" s="1232"/>
      <c r="L242" s="1232"/>
      <c r="M242" s="1232"/>
      <c r="N242" s="1232"/>
      <c r="O242" s="1232"/>
      <c r="P242" s="1232"/>
      <c r="Q242" s="1232"/>
      <c r="R242" s="1232"/>
      <c r="S242" s="1232"/>
      <c r="T242" s="1232"/>
      <c r="U242" s="1232"/>
      <c r="V242" s="1232"/>
      <c r="W242" s="1232"/>
      <c r="X242" s="1232"/>
      <c r="Y242" s="1232"/>
      <c r="Z242" s="1232"/>
      <c r="AA242" s="1232"/>
      <c r="AB242" s="1232"/>
      <c r="AC242" s="1232"/>
      <c r="AD242" s="1232"/>
      <c r="AE242" s="1232"/>
      <c r="AF242" s="1232"/>
      <c r="AG242" s="1232"/>
      <c r="AH242" s="1232"/>
      <c r="AI242" s="1232"/>
      <c r="AJ242" s="1232"/>
      <c r="AK242" s="1232"/>
      <c r="AL242" s="1232"/>
    </row>
    <row r="243" customFormat="false" ht="12" hidden="false" customHeight="true" outlineLevel="0" collapsed="false">
      <c r="B243" s="1232"/>
      <c r="C243" s="1232"/>
      <c r="D243" s="1232"/>
      <c r="E243" s="1232"/>
      <c r="F243" s="1232"/>
      <c r="G243" s="1232"/>
      <c r="H243" s="1232"/>
      <c r="I243" s="1232"/>
      <c r="J243" s="1232"/>
      <c r="K243" s="1232"/>
      <c r="L243" s="1232"/>
      <c r="M243" s="1232"/>
      <c r="N243" s="1232"/>
      <c r="O243" s="1232"/>
      <c r="P243" s="1232"/>
      <c r="Q243" s="1232"/>
      <c r="R243" s="1232"/>
      <c r="S243" s="1232"/>
      <c r="T243" s="1232"/>
      <c r="U243" s="1232"/>
      <c r="V243" s="1232"/>
      <c r="W243" s="1232"/>
      <c r="X243" s="1232"/>
      <c r="Y243" s="1232"/>
      <c r="Z243" s="1232"/>
      <c r="AA243" s="1232"/>
      <c r="AB243" s="1232"/>
      <c r="AC243" s="1232"/>
      <c r="AD243" s="1232"/>
      <c r="AE243" s="1232"/>
      <c r="AF243" s="1232"/>
      <c r="AG243" s="1232"/>
      <c r="AH243" s="1232"/>
      <c r="AI243" s="1232"/>
      <c r="AJ243" s="1232"/>
      <c r="AK243" s="1232"/>
      <c r="AL243" s="1232"/>
    </row>
    <row r="244" customFormat="false" ht="12" hidden="false" customHeight="true" outlineLevel="0" collapsed="false">
      <c r="B244" s="1232"/>
      <c r="C244" s="1232"/>
      <c r="D244" s="1232"/>
      <c r="E244" s="1232"/>
      <c r="F244" s="1232"/>
      <c r="G244" s="1232"/>
      <c r="H244" s="1232"/>
      <c r="I244" s="1232"/>
      <c r="J244" s="1232"/>
      <c r="K244" s="1232"/>
      <c r="L244" s="1232"/>
      <c r="M244" s="1232"/>
      <c r="N244" s="1232"/>
      <c r="O244" s="1232"/>
      <c r="P244" s="1232"/>
      <c r="Q244" s="1232"/>
      <c r="R244" s="1232"/>
      <c r="S244" s="1232"/>
      <c r="T244" s="1232"/>
      <c r="U244" s="1232"/>
      <c r="V244" s="1232"/>
      <c r="W244" s="1232"/>
      <c r="X244" s="1232"/>
      <c r="Y244" s="1232"/>
      <c r="Z244" s="1232"/>
      <c r="AA244" s="1232"/>
      <c r="AB244" s="1232"/>
      <c r="AC244" s="1232"/>
      <c r="AD244" s="1232"/>
      <c r="AE244" s="1232"/>
      <c r="AF244" s="1232"/>
      <c r="AG244" s="1232"/>
      <c r="AH244" s="1232"/>
      <c r="AI244" s="1232"/>
      <c r="AJ244" s="1232"/>
      <c r="AK244" s="1232"/>
      <c r="AL244" s="1232"/>
    </row>
    <row r="245" customFormat="false" ht="12" hidden="false" customHeight="true" outlineLevel="0" collapsed="false">
      <c r="B245" s="1232"/>
      <c r="C245" s="1232"/>
      <c r="D245" s="1232"/>
      <c r="E245" s="1232"/>
      <c r="F245" s="1232"/>
      <c r="G245" s="1232"/>
      <c r="H245" s="1232"/>
      <c r="I245" s="1232"/>
      <c r="J245" s="1232"/>
      <c r="K245" s="1232"/>
      <c r="L245" s="1232"/>
      <c r="M245" s="1232"/>
      <c r="N245" s="1232"/>
      <c r="O245" s="1232"/>
      <c r="P245" s="1232"/>
      <c r="Q245" s="1232"/>
      <c r="R245" s="1232"/>
      <c r="S245" s="1232"/>
      <c r="T245" s="1232"/>
      <c r="U245" s="1232"/>
      <c r="V245" s="1232"/>
      <c r="W245" s="1232"/>
      <c r="X245" s="1232"/>
      <c r="Y245" s="1232"/>
      <c r="Z245" s="1232"/>
      <c r="AA245" s="1232"/>
      <c r="AB245" s="1232"/>
      <c r="AC245" s="1232"/>
      <c r="AD245" s="1232"/>
      <c r="AE245" s="1232"/>
      <c r="AF245" s="1232"/>
      <c r="AG245" s="1232"/>
      <c r="AH245" s="1232"/>
      <c r="AI245" s="1232"/>
      <c r="AJ245" s="1232"/>
      <c r="AK245" s="1232"/>
      <c r="AL245" s="1232"/>
    </row>
    <row r="246" customFormat="false" ht="12" hidden="false" customHeight="true" outlineLevel="0" collapsed="false">
      <c r="B246" s="1232"/>
      <c r="C246" s="1232"/>
      <c r="D246" s="1232"/>
      <c r="E246" s="1232"/>
      <c r="F246" s="1232"/>
      <c r="G246" s="1232"/>
      <c r="H246" s="1232"/>
      <c r="I246" s="1232"/>
      <c r="J246" s="1232"/>
      <c r="K246" s="1232"/>
      <c r="L246" s="1232"/>
      <c r="M246" s="1232"/>
      <c r="N246" s="1232"/>
      <c r="O246" s="1232"/>
      <c r="P246" s="1232"/>
      <c r="Q246" s="1232"/>
      <c r="R246" s="1232"/>
      <c r="S246" s="1232"/>
      <c r="T246" s="1232"/>
      <c r="U246" s="1232"/>
      <c r="V246" s="1232"/>
      <c r="W246" s="1232"/>
      <c r="X246" s="1232"/>
      <c r="Y246" s="1232"/>
      <c r="Z246" s="1232"/>
      <c r="AA246" s="1232"/>
      <c r="AB246" s="1232"/>
      <c r="AC246" s="1232"/>
      <c r="AD246" s="1232"/>
      <c r="AE246" s="1232"/>
      <c r="AF246" s="1232"/>
      <c r="AG246" s="1232"/>
      <c r="AH246" s="1232"/>
      <c r="AI246" s="1232"/>
      <c r="AJ246" s="1232"/>
      <c r="AK246" s="1232"/>
      <c r="AL246" s="1232"/>
    </row>
    <row r="247" customFormat="false" ht="12" hidden="false" customHeight="true" outlineLevel="0" collapsed="false">
      <c r="B247" s="1232"/>
      <c r="C247" s="1232"/>
      <c r="D247" s="1232"/>
      <c r="E247" s="1232"/>
      <c r="F247" s="1232"/>
      <c r="G247" s="1232"/>
      <c r="H247" s="1232"/>
      <c r="I247" s="1232"/>
      <c r="J247" s="1232"/>
      <c r="K247" s="1232"/>
      <c r="L247" s="1232"/>
      <c r="M247" s="1232"/>
      <c r="N247" s="1232"/>
      <c r="O247" s="1232"/>
      <c r="P247" s="1232"/>
      <c r="Q247" s="1232"/>
      <c r="R247" s="1232"/>
      <c r="S247" s="1232"/>
      <c r="T247" s="1232"/>
      <c r="U247" s="1232"/>
      <c r="V247" s="1232"/>
      <c r="W247" s="1232"/>
      <c r="X247" s="1232"/>
      <c r="Y247" s="1232"/>
      <c r="Z247" s="1232"/>
      <c r="AA247" s="1232"/>
      <c r="AB247" s="1232"/>
      <c r="AC247" s="1232"/>
      <c r="AD247" s="1232"/>
      <c r="AE247" s="1232"/>
      <c r="AF247" s="1232"/>
      <c r="AG247" s="1232"/>
      <c r="AH247" s="1232"/>
      <c r="AI247" s="1232"/>
      <c r="AJ247" s="1232"/>
      <c r="AK247" s="1232"/>
      <c r="AL247" s="1232"/>
    </row>
    <row r="248" customFormat="false" ht="12" hidden="false" customHeight="true" outlineLevel="0" collapsed="false">
      <c r="B248" s="1232"/>
      <c r="C248" s="1232"/>
      <c r="D248" s="1232"/>
      <c r="E248" s="1232"/>
      <c r="F248" s="1232"/>
      <c r="G248" s="1232"/>
      <c r="H248" s="1232"/>
      <c r="I248" s="1232"/>
      <c r="J248" s="1232"/>
      <c r="K248" s="1232"/>
      <c r="L248" s="1232"/>
      <c r="M248" s="1232"/>
      <c r="N248" s="1232"/>
      <c r="O248" s="1232"/>
      <c r="P248" s="1232"/>
      <c r="Q248" s="1232"/>
      <c r="R248" s="1232"/>
      <c r="S248" s="1232"/>
      <c r="T248" s="1232"/>
      <c r="U248" s="1232"/>
      <c r="V248" s="1232"/>
      <c r="W248" s="1232"/>
      <c r="X248" s="1232"/>
      <c r="Y248" s="1232"/>
      <c r="Z248" s="1232"/>
      <c r="AA248" s="1232"/>
      <c r="AB248" s="1232"/>
      <c r="AC248" s="1232"/>
      <c r="AD248" s="1232"/>
      <c r="AE248" s="1232"/>
      <c r="AF248" s="1232"/>
      <c r="AG248" s="1232"/>
      <c r="AH248" s="1232"/>
      <c r="AI248" s="1232"/>
      <c r="AJ248" s="1232"/>
      <c r="AK248" s="1232"/>
      <c r="AL248" s="1232"/>
    </row>
    <row r="249" customFormat="false" ht="12" hidden="false" customHeight="true" outlineLevel="0" collapsed="false">
      <c r="B249" s="1232"/>
      <c r="C249" s="1232"/>
      <c r="D249" s="1232"/>
      <c r="E249" s="1232"/>
      <c r="F249" s="1232"/>
      <c r="G249" s="1232"/>
      <c r="H249" s="1232"/>
      <c r="I249" s="1232"/>
      <c r="J249" s="1232"/>
      <c r="K249" s="1232"/>
      <c r="L249" s="1232"/>
      <c r="M249" s="1232"/>
      <c r="N249" s="1232"/>
      <c r="O249" s="1232"/>
      <c r="P249" s="1232"/>
      <c r="Q249" s="1232"/>
      <c r="R249" s="1232"/>
      <c r="S249" s="1232"/>
      <c r="T249" s="1232"/>
      <c r="U249" s="1232"/>
      <c r="V249" s="1232"/>
      <c r="W249" s="1232"/>
      <c r="X249" s="1232"/>
      <c r="Y249" s="1232"/>
      <c r="Z249" s="1232"/>
      <c r="AA249" s="1232"/>
      <c r="AB249" s="1232"/>
      <c r="AC249" s="1232"/>
      <c r="AD249" s="1232"/>
      <c r="AE249" s="1232"/>
      <c r="AF249" s="1232"/>
      <c r="AG249" s="1232"/>
      <c r="AH249" s="1232"/>
      <c r="AI249" s="1232"/>
      <c r="AJ249" s="1232"/>
      <c r="AK249" s="1232"/>
      <c r="AL249" s="1232"/>
    </row>
    <row r="250" customFormat="false" ht="12" hidden="false" customHeight="true" outlineLevel="0" collapsed="false">
      <c r="B250" s="1232"/>
      <c r="C250" s="1232"/>
      <c r="D250" s="1232"/>
      <c r="E250" s="1232"/>
      <c r="F250" s="1232"/>
      <c r="G250" s="1232"/>
      <c r="H250" s="1232"/>
      <c r="I250" s="1232"/>
      <c r="J250" s="1232"/>
      <c r="K250" s="1232"/>
      <c r="L250" s="1232"/>
      <c r="M250" s="1232"/>
      <c r="N250" s="1232"/>
      <c r="O250" s="1232"/>
      <c r="P250" s="1232"/>
      <c r="Q250" s="1232"/>
      <c r="R250" s="1232"/>
      <c r="S250" s="1232"/>
      <c r="T250" s="1232"/>
      <c r="U250" s="1232"/>
      <c r="V250" s="1232"/>
      <c r="W250" s="1232"/>
      <c r="X250" s="1232"/>
      <c r="Y250" s="1232"/>
      <c r="Z250" s="1232"/>
      <c r="AA250" s="1232"/>
      <c r="AB250" s="1232"/>
      <c r="AC250" s="1232"/>
      <c r="AD250" s="1232"/>
      <c r="AE250" s="1232"/>
      <c r="AF250" s="1232"/>
      <c r="AG250" s="1232"/>
      <c r="AH250" s="1232"/>
      <c r="AI250" s="1232"/>
      <c r="AJ250" s="1232"/>
      <c r="AK250" s="1232"/>
      <c r="AL250" s="1232"/>
    </row>
    <row r="251" customFormat="false" ht="12" hidden="false" customHeight="true" outlineLevel="0" collapsed="false">
      <c r="B251" s="1232"/>
      <c r="C251" s="1232"/>
      <c r="D251" s="1232"/>
      <c r="E251" s="1232"/>
      <c r="F251" s="1232"/>
      <c r="G251" s="1232"/>
      <c r="H251" s="1232"/>
      <c r="I251" s="1232"/>
      <c r="J251" s="1232"/>
      <c r="K251" s="1232"/>
      <c r="L251" s="1232"/>
      <c r="M251" s="1232"/>
      <c r="N251" s="1232"/>
      <c r="O251" s="1232"/>
      <c r="P251" s="1232"/>
      <c r="Q251" s="1232"/>
      <c r="R251" s="1232"/>
      <c r="S251" s="1232"/>
      <c r="T251" s="1232"/>
      <c r="U251" s="1232"/>
      <c r="V251" s="1232"/>
      <c r="W251" s="1232"/>
      <c r="X251" s="1232"/>
      <c r="Y251" s="1232"/>
      <c r="Z251" s="1232"/>
      <c r="AA251" s="1232"/>
      <c r="AB251" s="1232"/>
      <c r="AC251" s="1232"/>
      <c r="AD251" s="1232"/>
      <c r="AE251" s="1232"/>
      <c r="AF251" s="1232"/>
      <c r="AG251" s="1232"/>
      <c r="AH251" s="1232"/>
      <c r="AI251" s="1232"/>
      <c r="AJ251" s="1232"/>
      <c r="AK251" s="1232"/>
      <c r="AL251" s="1232"/>
    </row>
    <row r="252" customFormat="false" ht="12" hidden="false" customHeight="true" outlineLevel="0" collapsed="false">
      <c r="B252" s="1232"/>
      <c r="C252" s="1232"/>
      <c r="D252" s="1232"/>
      <c r="E252" s="1232"/>
      <c r="F252" s="1232"/>
      <c r="G252" s="1232"/>
      <c r="H252" s="1232"/>
      <c r="I252" s="1232"/>
      <c r="J252" s="1232"/>
      <c r="K252" s="1232"/>
      <c r="L252" s="1232"/>
      <c r="M252" s="1232"/>
      <c r="N252" s="1232"/>
      <c r="O252" s="1232"/>
      <c r="P252" s="1232"/>
      <c r="Q252" s="1232"/>
      <c r="R252" s="1232"/>
      <c r="S252" s="1232"/>
      <c r="T252" s="1232"/>
      <c r="U252" s="1232"/>
      <c r="V252" s="1232"/>
      <c r="W252" s="1232"/>
      <c r="X252" s="1232"/>
      <c r="Y252" s="1232"/>
      <c r="Z252" s="1232"/>
      <c r="AA252" s="1232"/>
      <c r="AB252" s="1232"/>
      <c r="AC252" s="1232"/>
      <c r="AD252" s="1232"/>
      <c r="AE252" s="1232"/>
      <c r="AF252" s="1232"/>
      <c r="AG252" s="1232"/>
      <c r="AH252" s="1232"/>
      <c r="AI252" s="1232"/>
      <c r="AJ252" s="1232"/>
      <c r="AK252" s="1232"/>
      <c r="AL252" s="1232"/>
    </row>
    <row r="253" customFormat="false" ht="12" hidden="false" customHeight="true" outlineLevel="0" collapsed="false">
      <c r="B253" s="1232"/>
      <c r="C253" s="1232"/>
      <c r="D253" s="1232"/>
      <c r="E253" s="1232"/>
      <c r="F253" s="1232"/>
      <c r="G253" s="1232"/>
      <c r="H253" s="1232"/>
      <c r="I253" s="1232"/>
      <c r="J253" s="1232"/>
      <c r="K253" s="1232"/>
      <c r="L253" s="1232"/>
      <c r="M253" s="1232"/>
      <c r="N253" s="1232"/>
      <c r="O253" s="1232"/>
      <c r="P253" s="1232"/>
      <c r="Q253" s="1232"/>
      <c r="R253" s="1232"/>
      <c r="S253" s="1232"/>
      <c r="T253" s="1232"/>
      <c r="U253" s="1232"/>
      <c r="V253" s="1232"/>
      <c r="W253" s="1232"/>
      <c r="X253" s="1232"/>
      <c r="Y253" s="1232"/>
      <c r="Z253" s="1232"/>
      <c r="AA253" s="1232"/>
      <c r="AB253" s="1232"/>
      <c r="AC253" s="1232"/>
      <c r="AD253" s="1232"/>
      <c r="AE253" s="1232"/>
      <c r="AF253" s="1232"/>
      <c r="AG253" s="1232"/>
      <c r="AH253" s="1232"/>
      <c r="AI253" s="1232"/>
      <c r="AJ253" s="1232"/>
      <c r="AK253" s="1232"/>
      <c r="AL253" s="1232"/>
    </row>
    <row r="254" customFormat="false" ht="12" hidden="false" customHeight="true" outlineLevel="0" collapsed="false">
      <c r="B254" s="1232"/>
      <c r="C254" s="1232"/>
      <c r="D254" s="1232"/>
      <c r="E254" s="1232"/>
      <c r="F254" s="1232"/>
      <c r="G254" s="1232"/>
      <c r="H254" s="1232"/>
      <c r="I254" s="1232"/>
      <c r="J254" s="1232"/>
      <c r="K254" s="1232"/>
      <c r="L254" s="1232"/>
      <c r="M254" s="1232"/>
      <c r="N254" s="1232"/>
      <c r="O254" s="1232"/>
      <c r="P254" s="1232"/>
      <c r="Q254" s="1232"/>
      <c r="R254" s="1232"/>
      <c r="S254" s="1232"/>
      <c r="T254" s="1232"/>
      <c r="U254" s="1232"/>
      <c r="V254" s="1232"/>
      <c r="W254" s="1232"/>
      <c r="X254" s="1232"/>
      <c r="Y254" s="1232"/>
      <c r="Z254" s="1232"/>
      <c r="AA254" s="1232"/>
      <c r="AB254" s="1232"/>
      <c r="AC254" s="1232"/>
      <c r="AD254" s="1232"/>
      <c r="AE254" s="1232"/>
      <c r="AF254" s="1232"/>
      <c r="AG254" s="1232"/>
      <c r="AH254" s="1232"/>
      <c r="AI254" s="1232"/>
      <c r="AJ254" s="1232"/>
      <c r="AK254" s="1232"/>
      <c r="AL254" s="1232"/>
    </row>
    <row r="255" customFormat="false" ht="12" hidden="false" customHeight="true" outlineLevel="0" collapsed="false">
      <c r="B255" s="1232"/>
      <c r="C255" s="1232"/>
      <c r="D255" s="1232"/>
      <c r="E255" s="1232"/>
      <c r="F255" s="1232"/>
      <c r="G255" s="1232"/>
      <c r="H255" s="1232"/>
      <c r="I255" s="1232"/>
      <c r="J255" s="1232"/>
      <c r="K255" s="1232"/>
      <c r="L255" s="1232"/>
      <c r="M255" s="1232"/>
      <c r="N255" s="1232"/>
      <c r="O255" s="1232"/>
      <c r="P255" s="1232"/>
      <c r="Q255" s="1232"/>
      <c r="R255" s="1232"/>
      <c r="S255" s="1232"/>
      <c r="T255" s="1232"/>
      <c r="U255" s="1232"/>
      <c r="V255" s="1232"/>
      <c r="W255" s="1232"/>
      <c r="X255" s="1232"/>
      <c r="Y255" s="1232"/>
      <c r="Z255" s="1232"/>
      <c r="AA255" s="1232"/>
      <c r="AB255" s="1232"/>
      <c r="AC255" s="1232"/>
      <c r="AD255" s="1232"/>
      <c r="AE255" s="1232"/>
      <c r="AF255" s="1232"/>
      <c r="AG255" s="1232"/>
      <c r="AH255" s="1232"/>
      <c r="AI255" s="1232"/>
      <c r="AJ255" s="1232"/>
      <c r="AK255" s="1232"/>
      <c r="AL255" s="1232"/>
    </row>
    <row r="256" customFormat="false" ht="12" hidden="false" customHeight="true" outlineLevel="0" collapsed="false">
      <c r="B256" s="1232"/>
      <c r="C256" s="1232"/>
      <c r="D256" s="1232"/>
      <c r="E256" s="1232"/>
      <c r="F256" s="1232"/>
      <c r="G256" s="1232"/>
      <c r="H256" s="1232"/>
      <c r="I256" s="1232"/>
      <c r="J256" s="1232"/>
      <c r="K256" s="1232"/>
      <c r="L256" s="1232"/>
      <c r="M256" s="1232"/>
      <c r="N256" s="1232"/>
      <c r="O256" s="1232"/>
      <c r="P256" s="1232"/>
      <c r="Q256" s="1232"/>
      <c r="R256" s="1232"/>
      <c r="S256" s="1232"/>
      <c r="T256" s="1232"/>
      <c r="U256" s="1232"/>
      <c r="V256" s="1232"/>
      <c r="W256" s="1232"/>
      <c r="X256" s="1232"/>
      <c r="Y256" s="1232"/>
      <c r="Z256" s="1232"/>
      <c r="AA256" s="1232"/>
      <c r="AB256" s="1232"/>
      <c r="AC256" s="1232"/>
      <c r="AD256" s="1232"/>
      <c r="AE256" s="1232"/>
      <c r="AF256" s="1232"/>
      <c r="AG256" s="1232"/>
      <c r="AH256" s="1232"/>
      <c r="AI256" s="1232"/>
      <c r="AJ256" s="1232"/>
      <c r="AK256" s="1232"/>
      <c r="AL256" s="1232"/>
    </row>
    <row r="257" customFormat="false" ht="12" hidden="false" customHeight="true" outlineLevel="0" collapsed="false">
      <c r="B257" s="1232"/>
      <c r="C257" s="1232"/>
      <c r="D257" s="1232"/>
      <c r="E257" s="1232"/>
      <c r="F257" s="1232"/>
      <c r="G257" s="1232"/>
      <c r="H257" s="1232"/>
      <c r="I257" s="1232"/>
      <c r="J257" s="1232"/>
      <c r="K257" s="1232"/>
      <c r="L257" s="1232"/>
      <c r="M257" s="1232"/>
      <c r="N257" s="1232"/>
      <c r="O257" s="1232"/>
      <c r="P257" s="1232"/>
      <c r="Q257" s="1232"/>
      <c r="R257" s="1232"/>
      <c r="S257" s="1232"/>
      <c r="T257" s="1232"/>
      <c r="U257" s="1232"/>
      <c r="V257" s="1232"/>
      <c r="W257" s="1232"/>
      <c r="X257" s="1232"/>
      <c r="Y257" s="1232"/>
      <c r="Z257" s="1232"/>
      <c r="AA257" s="1232"/>
      <c r="AB257" s="1232"/>
      <c r="AC257" s="1232"/>
      <c r="AD257" s="1232"/>
      <c r="AE257" s="1232"/>
      <c r="AF257" s="1232"/>
      <c r="AG257" s="1232"/>
      <c r="AH257" s="1232"/>
      <c r="AI257" s="1232"/>
      <c r="AJ257" s="1232"/>
      <c r="AK257" s="1232"/>
      <c r="AL257" s="1232"/>
    </row>
    <row r="258" customFormat="false" ht="12" hidden="false" customHeight="true" outlineLevel="0" collapsed="false">
      <c r="B258" s="1232"/>
      <c r="C258" s="1232"/>
      <c r="D258" s="1232"/>
      <c r="E258" s="1232"/>
      <c r="F258" s="1232"/>
      <c r="G258" s="1232"/>
      <c r="H258" s="1232"/>
      <c r="I258" s="1232"/>
      <c r="J258" s="1232"/>
      <c r="K258" s="1232"/>
      <c r="L258" s="1232"/>
      <c r="M258" s="1232"/>
      <c r="N258" s="1232"/>
      <c r="O258" s="1232"/>
      <c r="P258" s="1232"/>
      <c r="Q258" s="1232"/>
      <c r="R258" s="1232"/>
      <c r="S258" s="1232"/>
      <c r="T258" s="1232"/>
      <c r="U258" s="1232"/>
      <c r="V258" s="1232"/>
      <c r="W258" s="1232"/>
      <c r="X258" s="1232"/>
      <c r="Y258" s="1232"/>
      <c r="Z258" s="1232"/>
      <c r="AA258" s="1232"/>
      <c r="AB258" s="1232"/>
      <c r="AC258" s="1232"/>
      <c r="AD258" s="1232"/>
      <c r="AE258" s="1232"/>
      <c r="AF258" s="1232"/>
      <c r="AG258" s="1232"/>
      <c r="AH258" s="1232"/>
      <c r="AI258" s="1232"/>
      <c r="AJ258" s="1232"/>
      <c r="AK258" s="1232"/>
      <c r="AL258" s="1232"/>
    </row>
    <row r="259" customFormat="false" ht="12" hidden="false" customHeight="true" outlineLevel="0" collapsed="false">
      <c r="B259" s="1232"/>
      <c r="C259" s="1232"/>
      <c r="D259" s="1232"/>
      <c r="E259" s="1232"/>
      <c r="F259" s="1232"/>
      <c r="G259" s="1232"/>
      <c r="H259" s="1232"/>
      <c r="I259" s="1232"/>
      <c r="J259" s="1232"/>
      <c r="K259" s="1232"/>
      <c r="L259" s="1232"/>
      <c r="M259" s="1232"/>
      <c r="N259" s="1232"/>
      <c r="O259" s="1232"/>
      <c r="P259" s="1232"/>
      <c r="Q259" s="1232"/>
      <c r="R259" s="1232"/>
      <c r="S259" s="1232"/>
      <c r="T259" s="1232"/>
      <c r="U259" s="1232"/>
      <c r="V259" s="1232"/>
      <c r="W259" s="1232"/>
      <c r="X259" s="1232"/>
      <c r="Y259" s="1232"/>
      <c r="Z259" s="1232"/>
      <c r="AA259" s="1232"/>
      <c r="AB259" s="1232"/>
      <c r="AC259" s="1232"/>
      <c r="AD259" s="1232"/>
      <c r="AE259" s="1232"/>
      <c r="AF259" s="1232"/>
      <c r="AG259" s="1232"/>
      <c r="AH259" s="1232"/>
      <c r="AI259" s="1232"/>
      <c r="AJ259" s="1232"/>
      <c r="AK259" s="1232"/>
      <c r="AL259" s="1232"/>
    </row>
    <row r="260" customFormat="false" ht="12" hidden="false" customHeight="true" outlineLevel="0" collapsed="false">
      <c r="B260" s="1232"/>
      <c r="C260" s="1232"/>
      <c r="D260" s="1232"/>
      <c r="E260" s="1232"/>
      <c r="F260" s="1232"/>
      <c r="G260" s="1232"/>
      <c r="H260" s="1232"/>
      <c r="I260" s="1232"/>
      <c r="J260" s="1232"/>
      <c r="K260" s="1232"/>
      <c r="L260" s="1232"/>
      <c r="M260" s="1232"/>
      <c r="N260" s="1232"/>
      <c r="O260" s="1232"/>
      <c r="P260" s="1232"/>
      <c r="Q260" s="1232"/>
      <c r="R260" s="1232"/>
      <c r="S260" s="1232"/>
      <c r="T260" s="1232"/>
      <c r="U260" s="1232"/>
      <c r="V260" s="1232"/>
      <c r="W260" s="1232"/>
      <c r="X260" s="1232"/>
      <c r="Y260" s="1232"/>
      <c r="Z260" s="1232"/>
      <c r="AA260" s="1232"/>
      <c r="AB260" s="1232"/>
      <c r="AC260" s="1232"/>
      <c r="AD260" s="1232"/>
      <c r="AE260" s="1232"/>
      <c r="AF260" s="1232"/>
      <c r="AG260" s="1232"/>
      <c r="AH260" s="1232"/>
      <c r="AI260" s="1232"/>
      <c r="AJ260" s="1232"/>
      <c r="AK260" s="1232"/>
      <c r="AL260" s="1232"/>
    </row>
    <row r="261" customFormat="false" ht="12" hidden="false" customHeight="true" outlineLevel="0" collapsed="false">
      <c r="B261" s="1232"/>
      <c r="C261" s="1232"/>
      <c r="D261" s="1232"/>
      <c r="E261" s="1232"/>
      <c r="F261" s="1232"/>
      <c r="G261" s="1232"/>
      <c r="H261" s="1232"/>
      <c r="I261" s="1232"/>
      <c r="J261" s="1232"/>
      <c r="K261" s="1232"/>
      <c r="L261" s="1232"/>
      <c r="M261" s="1232"/>
      <c r="N261" s="1232"/>
      <c r="O261" s="1232"/>
      <c r="P261" s="1232"/>
      <c r="Q261" s="1232"/>
      <c r="R261" s="1232"/>
      <c r="S261" s="1232"/>
      <c r="T261" s="1232"/>
      <c r="U261" s="1232"/>
      <c r="V261" s="1232"/>
      <c r="W261" s="1232"/>
      <c r="X261" s="1232"/>
      <c r="Y261" s="1232"/>
      <c r="Z261" s="1232"/>
      <c r="AA261" s="1232"/>
      <c r="AB261" s="1232"/>
      <c r="AC261" s="1232"/>
      <c r="AD261" s="1232"/>
      <c r="AE261" s="1232"/>
      <c r="AF261" s="1232"/>
      <c r="AG261" s="1232"/>
      <c r="AH261" s="1232"/>
      <c r="AI261" s="1232"/>
      <c r="AJ261" s="1232"/>
      <c r="AK261" s="1232"/>
      <c r="AL261" s="1232"/>
    </row>
    <row r="262" customFormat="false" ht="12" hidden="false" customHeight="true" outlineLevel="0" collapsed="false">
      <c r="B262" s="1232"/>
      <c r="C262" s="1232"/>
      <c r="D262" s="1232"/>
      <c r="E262" s="1232"/>
      <c r="F262" s="1232"/>
      <c r="G262" s="1232"/>
      <c r="H262" s="1232"/>
      <c r="I262" s="1232"/>
      <c r="J262" s="1232"/>
      <c r="K262" s="1232"/>
      <c r="L262" s="1232"/>
      <c r="M262" s="1232"/>
      <c r="N262" s="1232"/>
      <c r="O262" s="1232"/>
      <c r="P262" s="1232"/>
      <c r="Q262" s="1232"/>
      <c r="R262" s="1232"/>
      <c r="S262" s="1232"/>
      <c r="T262" s="1232"/>
      <c r="U262" s="1232"/>
      <c r="V262" s="1232"/>
      <c r="W262" s="1232"/>
      <c r="X262" s="1232"/>
      <c r="Y262" s="1232"/>
      <c r="Z262" s="1232"/>
      <c r="AA262" s="1232"/>
      <c r="AB262" s="1232"/>
      <c r="AC262" s="1232"/>
      <c r="AD262" s="1232"/>
      <c r="AE262" s="1232"/>
      <c r="AF262" s="1232"/>
      <c r="AG262" s="1232"/>
      <c r="AH262" s="1232"/>
      <c r="AI262" s="1232"/>
      <c r="AJ262" s="1232"/>
      <c r="AK262" s="1232"/>
      <c r="AL262" s="1232"/>
    </row>
    <row r="263" customFormat="false" ht="12" hidden="false" customHeight="true" outlineLevel="0" collapsed="false">
      <c r="B263" s="1232"/>
      <c r="C263" s="1232"/>
      <c r="D263" s="1232"/>
      <c r="E263" s="1232"/>
      <c r="F263" s="1232"/>
      <c r="G263" s="1232"/>
      <c r="H263" s="1232"/>
      <c r="I263" s="1232"/>
      <c r="J263" s="1232"/>
      <c r="K263" s="1232"/>
      <c r="L263" s="1232"/>
      <c r="M263" s="1232"/>
      <c r="N263" s="1232"/>
      <c r="O263" s="1232"/>
      <c r="P263" s="1232"/>
      <c r="Q263" s="1232"/>
      <c r="R263" s="1232"/>
      <c r="S263" s="1232"/>
      <c r="T263" s="1232"/>
      <c r="U263" s="1232"/>
      <c r="V263" s="1232"/>
      <c r="W263" s="1232"/>
      <c r="X263" s="1232"/>
      <c r="Y263" s="1232"/>
      <c r="Z263" s="1232"/>
      <c r="AA263" s="1232"/>
      <c r="AB263" s="1232"/>
      <c r="AC263" s="1232"/>
      <c r="AD263" s="1232"/>
      <c r="AE263" s="1232"/>
      <c r="AF263" s="1232"/>
      <c r="AG263" s="1232"/>
      <c r="AH263" s="1232"/>
      <c r="AI263" s="1232"/>
      <c r="AJ263" s="1232"/>
      <c r="AK263" s="1232"/>
      <c r="AL263" s="1232"/>
    </row>
    <row r="264" customFormat="false" ht="12" hidden="false" customHeight="true" outlineLevel="0" collapsed="false">
      <c r="B264" s="1232"/>
      <c r="C264" s="1232"/>
      <c r="D264" s="1232"/>
      <c r="E264" s="1232"/>
      <c r="F264" s="1232"/>
      <c r="G264" s="1232"/>
      <c r="H264" s="1232"/>
      <c r="I264" s="1232"/>
      <c r="J264" s="1232"/>
      <c r="K264" s="1232"/>
      <c r="L264" s="1232"/>
      <c r="M264" s="1232"/>
      <c r="N264" s="1232"/>
      <c r="O264" s="1232"/>
      <c r="P264" s="1232"/>
      <c r="Q264" s="1232"/>
      <c r="R264" s="1232"/>
      <c r="S264" s="1232"/>
      <c r="T264" s="1232"/>
      <c r="U264" s="1232"/>
      <c r="V264" s="1232"/>
      <c r="W264" s="1232"/>
      <c r="X264" s="1232"/>
      <c r="Y264" s="1232"/>
      <c r="Z264" s="1232"/>
      <c r="AA264" s="1232"/>
      <c r="AB264" s="1232"/>
      <c r="AC264" s="1232"/>
      <c r="AD264" s="1232"/>
      <c r="AE264" s="1232"/>
      <c r="AF264" s="1232"/>
      <c r="AG264" s="1232"/>
      <c r="AH264" s="1232"/>
      <c r="AI264" s="1232"/>
      <c r="AJ264" s="1232"/>
      <c r="AK264" s="1232"/>
      <c r="AL264" s="1232"/>
    </row>
    <row r="265" customFormat="false" ht="12" hidden="false" customHeight="true" outlineLevel="0" collapsed="false">
      <c r="B265" s="1232"/>
      <c r="C265" s="1232"/>
      <c r="D265" s="1232"/>
      <c r="E265" s="1232"/>
      <c r="F265" s="1232"/>
      <c r="G265" s="1232"/>
      <c r="H265" s="1232"/>
      <c r="I265" s="1232"/>
      <c r="J265" s="1232"/>
      <c r="K265" s="1232"/>
      <c r="L265" s="1232"/>
      <c r="M265" s="1232"/>
      <c r="N265" s="1232"/>
      <c r="O265" s="1232"/>
      <c r="P265" s="1232"/>
      <c r="Q265" s="1232"/>
      <c r="R265" s="1232"/>
      <c r="S265" s="1232"/>
      <c r="T265" s="1232"/>
      <c r="U265" s="1232"/>
      <c r="V265" s="1232"/>
      <c r="W265" s="1232"/>
      <c r="X265" s="1232"/>
      <c r="Y265" s="1232"/>
      <c r="Z265" s="1232"/>
      <c r="AA265" s="1232"/>
      <c r="AB265" s="1232"/>
      <c r="AC265" s="1232"/>
      <c r="AD265" s="1232"/>
      <c r="AE265" s="1232"/>
      <c r="AF265" s="1232"/>
      <c r="AG265" s="1232"/>
      <c r="AH265" s="1232"/>
      <c r="AI265" s="1232"/>
      <c r="AJ265" s="1232"/>
      <c r="AK265" s="1232"/>
      <c r="AL265" s="1232"/>
    </row>
    <row r="266" customFormat="false" ht="12" hidden="false" customHeight="true" outlineLevel="0" collapsed="false">
      <c r="B266" s="1232"/>
      <c r="C266" s="1232"/>
      <c r="D266" s="1232"/>
      <c r="E266" s="1232"/>
      <c r="F266" s="1232"/>
      <c r="G266" s="1232"/>
      <c r="H266" s="1232"/>
      <c r="I266" s="1232"/>
      <c r="J266" s="1232"/>
      <c r="K266" s="1232"/>
      <c r="L266" s="1232"/>
      <c r="M266" s="1232"/>
      <c r="N266" s="1232"/>
      <c r="O266" s="1232"/>
      <c r="P266" s="1232"/>
      <c r="Q266" s="1232"/>
      <c r="R266" s="1232"/>
      <c r="S266" s="1232"/>
      <c r="T266" s="1232"/>
      <c r="U266" s="1232"/>
      <c r="V266" s="1232"/>
      <c r="W266" s="1232"/>
      <c r="X266" s="1232"/>
      <c r="Y266" s="1232"/>
      <c r="Z266" s="1232"/>
      <c r="AA266" s="1232"/>
      <c r="AB266" s="1232"/>
      <c r="AC266" s="1232"/>
      <c r="AD266" s="1232"/>
      <c r="AE266" s="1232"/>
      <c r="AF266" s="1232"/>
      <c r="AG266" s="1232"/>
      <c r="AH266" s="1232"/>
      <c r="AI266" s="1232"/>
      <c r="AJ266" s="1232"/>
      <c r="AK266" s="1232"/>
      <c r="AL266" s="1232"/>
    </row>
    <row r="267" customFormat="false" ht="12" hidden="false" customHeight="true" outlineLevel="0" collapsed="false">
      <c r="B267" s="1232"/>
      <c r="C267" s="1232"/>
      <c r="D267" s="1232"/>
      <c r="E267" s="1232"/>
      <c r="F267" s="1232"/>
      <c r="G267" s="1232"/>
      <c r="H267" s="1232"/>
      <c r="I267" s="1232"/>
      <c r="J267" s="1232"/>
      <c r="K267" s="1232"/>
      <c r="L267" s="1232"/>
      <c r="M267" s="1232"/>
      <c r="N267" s="1232"/>
      <c r="O267" s="1232"/>
      <c r="P267" s="1232"/>
      <c r="Q267" s="1232"/>
      <c r="R267" s="1232"/>
      <c r="S267" s="1232"/>
      <c r="T267" s="1232"/>
      <c r="U267" s="1232"/>
      <c r="V267" s="1232"/>
      <c r="W267" s="1232"/>
      <c r="X267" s="1232"/>
      <c r="Y267" s="1232"/>
      <c r="Z267" s="1232"/>
      <c r="AA267" s="1232"/>
      <c r="AB267" s="1232"/>
      <c r="AC267" s="1232"/>
      <c r="AD267" s="1232"/>
      <c r="AE267" s="1232"/>
      <c r="AF267" s="1232"/>
      <c r="AG267" s="1232"/>
      <c r="AH267" s="1232"/>
      <c r="AI267" s="1232"/>
      <c r="AJ267" s="1232"/>
      <c r="AK267" s="1232"/>
      <c r="AL267" s="1232"/>
    </row>
    <row r="268" customFormat="false" ht="12" hidden="false" customHeight="true" outlineLevel="0" collapsed="false">
      <c r="B268" s="1232"/>
      <c r="C268" s="1232"/>
      <c r="D268" s="1232"/>
      <c r="E268" s="1232"/>
      <c r="F268" s="1232"/>
      <c r="G268" s="1232"/>
      <c r="H268" s="1232"/>
      <c r="I268" s="1232"/>
      <c r="J268" s="1232"/>
      <c r="K268" s="1232"/>
      <c r="L268" s="1232"/>
      <c r="M268" s="1232"/>
      <c r="N268" s="1232"/>
      <c r="O268" s="1232"/>
      <c r="P268" s="1232"/>
      <c r="Q268" s="1232"/>
      <c r="R268" s="1232"/>
      <c r="S268" s="1232"/>
      <c r="T268" s="1232"/>
      <c r="U268" s="1232"/>
      <c r="V268" s="1232"/>
      <c r="W268" s="1232"/>
      <c r="X268" s="1232"/>
      <c r="Y268" s="1232"/>
      <c r="Z268" s="1232"/>
      <c r="AA268" s="1232"/>
      <c r="AB268" s="1232"/>
      <c r="AC268" s="1232"/>
      <c r="AD268" s="1232"/>
      <c r="AE268" s="1232"/>
      <c r="AF268" s="1232"/>
      <c r="AG268" s="1232"/>
      <c r="AH268" s="1232"/>
      <c r="AI268" s="1232"/>
      <c r="AJ268" s="1232"/>
      <c r="AK268" s="1232"/>
      <c r="AL268" s="1232"/>
    </row>
    <row r="269" customFormat="false" ht="12" hidden="false" customHeight="true" outlineLevel="0" collapsed="false">
      <c r="B269" s="1232"/>
      <c r="C269" s="1232"/>
      <c r="D269" s="1232"/>
      <c r="E269" s="1232"/>
      <c r="F269" s="1232"/>
      <c r="G269" s="1232"/>
      <c r="H269" s="1232"/>
      <c r="I269" s="1232"/>
      <c r="J269" s="1232"/>
      <c r="K269" s="1232"/>
      <c r="L269" s="1232"/>
      <c r="M269" s="1232"/>
      <c r="N269" s="1232"/>
      <c r="O269" s="1232"/>
      <c r="P269" s="1232"/>
      <c r="Q269" s="1232"/>
      <c r="R269" s="1232"/>
      <c r="S269" s="1232"/>
      <c r="T269" s="1232"/>
      <c r="U269" s="1232"/>
      <c r="V269" s="1232"/>
      <c r="W269" s="1232"/>
      <c r="X269" s="1232"/>
      <c r="Y269" s="1232"/>
      <c r="Z269" s="1232"/>
      <c r="AA269" s="1232"/>
      <c r="AB269" s="1232"/>
      <c r="AC269" s="1232"/>
      <c r="AD269" s="1232"/>
      <c r="AE269" s="1232"/>
      <c r="AF269" s="1232"/>
      <c r="AG269" s="1232"/>
      <c r="AH269" s="1232"/>
      <c r="AI269" s="1232"/>
      <c r="AJ269" s="1232"/>
      <c r="AK269" s="1232"/>
      <c r="AL269" s="1232"/>
    </row>
    <row r="270" customFormat="false" ht="12" hidden="false" customHeight="true" outlineLevel="0" collapsed="false">
      <c r="B270" s="1232"/>
      <c r="C270" s="1232"/>
      <c r="D270" s="1232"/>
      <c r="E270" s="1232"/>
      <c r="F270" s="1232"/>
      <c r="G270" s="1232"/>
      <c r="H270" s="1232"/>
      <c r="I270" s="1232"/>
      <c r="J270" s="1232"/>
      <c r="K270" s="1232"/>
      <c r="L270" s="1232"/>
      <c r="M270" s="1232"/>
      <c r="N270" s="1232"/>
      <c r="O270" s="1232"/>
      <c r="P270" s="1232"/>
      <c r="Q270" s="1232"/>
      <c r="R270" s="1232"/>
      <c r="S270" s="1232"/>
      <c r="T270" s="1232"/>
      <c r="U270" s="1232"/>
      <c r="V270" s="1232"/>
      <c r="W270" s="1232"/>
      <c r="X270" s="1232"/>
      <c r="Y270" s="1232"/>
      <c r="Z270" s="1232"/>
      <c r="AA270" s="1232"/>
      <c r="AB270" s="1232"/>
      <c r="AC270" s="1232"/>
      <c r="AD270" s="1232"/>
      <c r="AE270" s="1232"/>
      <c r="AF270" s="1232"/>
      <c r="AG270" s="1232"/>
      <c r="AH270" s="1232"/>
      <c r="AI270" s="1232"/>
      <c r="AJ270" s="1232"/>
      <c r="AK270" s="1232"/>
      <c r="AL270" s="1232"/>
    </row>
    <row r="271" customFormat="false" ht="12" hidden="false" customHeight="true" outlineLevel="0" collapsed="false">
      <c r="B271" s="1232"/>
      <c r="C271" s="1232"/>
      <c r="D271" s="1232"/>
      <c r="E271" s="1232"/>
      <c r="F271" s="1232"/>
      <c r="G271" s="1232"/>
      <c r="H271" s="1232"/>
      <c r="I271" s="1232"/>
      <c r="J271" s="1232"/>
      <c r="K271" s="1232"/>
      <c r="L271" s="1232"/>
      <c r="M271" s="1232"/>
      <c r="N271" s="1232"/>
      <c r="O271" s="1232"/>
      <c r="P271" s="1232"/>
      <c r="Q271" s="1232"/>
      <c r="R271" s="1232"/>
      <c r="S271" s="1232"/>
      <c r="T271" s="1232"/>
      <c r="U271" s="1232"/>
      <c r="V271" s="1232"/>
      <c r="W271" s="1232"/>
      <c r="X271" s="1232"/>
      <c r="Y271" s="1232"/>
      <c r="Z271" s="1232"/>
      <c r="AA271" s="1232"/>
      <c r="AB271" s="1232"/>
      <c r="AC271" s="1232"/>
      <c r="AD271" s="1232"/>
      <c r="AE271" s="1232"/>
      <c r="AF271" s="1232"/>
      <c r="AG271" s="1232"/>
      <c r="AH271" s="1232"/>
      <c r="AI271" s="1232"/>
      <c r="AJ271" s="1232"/>
      <c r="AK271" s="1232"/>
      <c r="AL271" s="1232"/>
    </row>
    <row r="272" customFormat="false" ht="12" hidden="false" customHeight="true" outlineLevel="0" collapsed="false">
      <c r="B272" s="1232"/>
      <c r="C272" s="1232"/>
      <c r="D272" s="1232"/>
      <c r="E272" s="1232"/>
      <c r="F272" s="1232"/>
      <c r="G272" s="1232"/>
      <c r="H272" s="1232"/>
      <c r="I272" s="1232"/>
      <c r="J272" s="1232"/>
      <c r="K272" s="1232"/>
      <c r="L272" s="1232"/>
      <c r="M272" s="1232"/>
      <c r="N272" s="1232"/>
      <c r="O272" s="1232"/>
      <c r="P272" s="1232"/>
      <c r="Q272" s="1232"/>
      <c r="R272" s="1232"/>
      <c r="S272" s="1232"/>
      <c r="T272" s="1232"/>
      <c r="U272" s="1232"/>
      <c r="V272" s="1232"/>
      <c r="W272" s="1232"/>
      <c r="X272" s="1232"/>
      <c r="Y272" s="1232"/>
      <c r="Z272" s="1232"/>
      <c r="AA272" s="1232"/>
      <c r="AB272" s="1232"/>
      <c r="AC272" s="1232"/>
      <c r="AD272" s="1232"/>
      <c r="AE272" s="1232"/>
      <c r="AF272" s="1232"/>
      <c r="AG272" s="1232"/>
      <c r="AH272" s="1232"/>
      <c r="AI272" s="1232"/>
      <c r="AJ272" s="1232"/>
      <c r="AK272" s="1232"/>
      <c r="AL272" s="1232"/>
    </row>
    <row r="273" customFormat="false" ht="12" hidden="false" customHeight="true" outlineLevel="0" collapsed="false">
      <c r="B273" s="1232"/>
      <c r="C273" s="1232"/>
      <c r="D273" s="1232"/>
      <c r="E273" s="1232"/>
      <c r="F273" s="1232"/>
      <c r="G273" s="1232"/>
      <c r="H273" s="1232"/>
      <c r="I273" s="1232"/>
      <c r="J273" s="1232"/>
      <c r="K273" s="1232"/>
      <c r="L273" s="1232"/>
      <c r="M273" s="1232"/>
      <c r="N273" s="1232"/>
      <c r="O273" s="1232"/>
      <c r="P273" s="1232"/>
      <c r="Q273" s="1232"/>
      <c r="R273" s="1232"/>
      <c r="S273" s="1232"/>
      <c r="T273" s="1232"/>
      <c r="U273" s="1232"/>
      <c r="V273" s="1232"/>
      <c r="W273" s="1232"/>
      <c r="X273" s="1232"/>
      <c r="Y273" s="1232"/>
      <c r="Z273" s="1232"/>
      <c r="AA273" s="1232"/>
      <c r="AB273" s="1232"/>
      <c r="AC273" s="1232"/>
      <c r="AD273" s="1232"/>
      <c r="AE273" s="1232"/>
      <c r="AF273" s="1232"/>
      <c r="AG273" s="1232"/>
      <c r="AH273" s="1232"/>
      <c r="AI273" s="1232"/>
      <c r="AJ273" s="1232"/>
      <c r="AK273" s="1232"/>
      <c r="AL273" s="1232"/>
    </row>
    <row r="274" customFormat="false" ht="12" hidden="false" customHeight="true" outlineLevel="0" collapsed="false">
      <c r="B274" s="1232"/>
      <c r="C274" s="1232"/>
      <c r="D274" s="1232"/>
      <c r="E274" s="1232"/>
      <c r="F274" s="1232"/>
      <c r="G274" s="1232"/>
      <c r="H274" s="1232"/>
      <c r="I274" s="1232"/>
      <c r="J274" s="1232"/>
      <c r="K274" s="1232"/>
      <c r="L274" s="1232"/>
      <c r="M274" s="1232"/>
      <c r="N274" s="1232"/>
      <c r="O274" s="1232"/>
      <c r="P274" s="1232"/>
      <c r="Q274" s="1232"/>
      <c r="R274" s="1232"/>
      <c r="S274" s="1232"/>
      <c r="T274" s="1232"/>
      <c r="U274" s="1232"/>
      <c r="V274" s="1232"/>
      <c r="W274" s="1232"/>
      <c r="X274" s="1232"/>
      <c r="Y274" s="1232"/>
      <c r="Z274" s="1232"/>
      <c r="AA274" s="1232"/>
      <c r="AB274" s="1232"/>
      <c r="AC274" s="1232"/>
      <c r="AD274" s="1232"/>
      <c r="AE274" s="1232"/>
      <c r="AF274" s="1232"/>
      <c r="AG274" s="1232"/>
      <c r="AH274" s="1232"/>
      <c r="AI274" s="1232"/>
      <c r="AJ274" s="1232"/>
      <c r="AK274" s="1232"/>
      <c r="AL274" s="1232"/>
    </row>
    <row r="275" customFormat="false" ht="12" hidden="false" customHeight="true" outlineLevel="0" collapsed="false">
      <c r="B275" s="1232"/>
      <c r="C275" s="1232"/>
      <c r="D275" s="1232"/>
      <c r="E275" s="1232"/>
      <c r="F275" s="1232"/>
      <c r="G275" s="1232"/>
      <c r="H275" s="1232"/>
      <c r="I275" s="1232"/>
      <c r="J275" s="1232"/>
      <c r="K275" s="1232"/>
      <c r="L275" s="1232"/>
      <c r="M275" s="1232"/>
      <c r="N275" s="1232"/>
      <c r="O275" s="1232"/>
      <c r="P275" s="1232"/>
      <c r="Q275" s="1232"/>
      <c r="R275" s="1232"/>
      <c r="S275" s="1232"/>
      <c r="T275" s="1232"/>
      <c r="U275" s="1232"/>
      <c r="V275" s="1232"/>
      <c r="W275" s="1232"/>
      <c r="X275" s="1232"/>
      <c r="Y275" s="1232"/>
      <c r="Z275" s="1232"/>
      <c r="AA275" s="1232"/>
      <c r="AB275" s="1232"/>
      <c r="AC275" s="1232"/>
      <c r="AD275" s="1232"/>
      <c r="AE275" s="1232"/>
      <c r="AF275" s="1232"/>
      <c r="AG275" s="1232"/>
      <c r="AH275" s="1232"/>
      <c r="AI275" s="1232"/>
      <c r="AJ275" s="1232"/>
      <c r="AK275" s="1232"/>
      <c r="AL275" s="1232"/>
    </row>
    <row r="276" customFormat="false" ht="12" hidden="false" customHeight="true" outlineLevel="0" collapsed="false">
      <c r="B276" s="1232"/>
      <c r="C276" s="1232"/>
      <c r="D276" s="1232"/>
      <c r="E276" s="1232"/>
      <c r="F276" s="1232"/>
      <c r="G276" s="1232"/>
      <c r="H276" s="1232"/>
      <c r="I276" s="1232"/>
      <c r="J276" s="1232"/>
      <c r="K276" s="1232"/>
      <c r="L276" s="1232"/>
      <c r="M276" s="1232"/>
      <c r="N276" s="1232"/>
      <c r="O276" s="1232"/>
      <c r="P276" s="1232"/>
      <c r="Q276" s="1232"/>
      <c r="R276" s="1232"/>
      <c r="S276" s="1232"/>
      <c r="T276" s="1232"/>
      <c r="U276" s="1232"/>
      <c r="V276" s="1232"/>
      <c r="W276" s="1232"/>
      <c r="X276" s="1232"/>
      <c r="Y276" s="1232"/>
      <c r="Z276" s="1232"/>
      <c r="AA276" s="1232"/>
      <c r="AB276" s="1232"/>
      <c r="AC276" s="1232"/>
      <c r="AD276" s="1232"/>
      <c r="AE276" s="1232"/>
      <c r="AF276" s="1232"/>
      <c r="AG276" s="1232"/>
      <c r="AH276" s="1232"/>
      <c r="AI276" s="1232"/>
      <c r="AJ276" s="1232"/>
      <c r="AK276" s="1232"/>
      <c r="AL276" s="1232"/>
    </row>
    <row r="277" customFormat="false" ht="12" hidden="false" customHeight="true" outlineLevel="0" collapsed="false">
      <c r="B277" s="1232"/>
      <c r="C277" s="1232"/>
      <c r="D277" s="1232"/>
      <c r="E277" s="1232"/>
      <c r="F277" s="1232"/>
      <c r="G277" s="1232"/>
      <c r="H277" s="1232"/>
      <c r="I277" s="1232"/>
      <c r="J277" s="1232"/>
      <c r="K277" s="1232"/>
      <c r="L277" s="1232"/>
      <c r="M277" s="1232"/>
      <c r="N277" s="1232"/>
      <c r="O277" s="1232"/>
      <c r="P277" s="1232"/>
      <c r="Q277" s="1232"/>
      <c r="R277" s="1232"/>
      <c r="S277" s="1232"/>
      <c r="T277" s="1232"/>
      <c r="U277" s="1232"/>
      <c r="V277" s="1232"/>
      <c r="W277" s="1232"/>
      <c r="X277" s="1232"/>
      <c r="Y277" s="1232"/>
      <c r="Z277" s="1232"/>
      <c r="AA277" s="1232"/>
      <c r="AB277" s="1232"/>
      <c r="AC277" s="1232"/>
      <c r="AD277" s="1232"/>
      <c r="AE277" s="1232"/>
      <c r="AF277" s="1232"/>
      <c r="AG277" s="1232"/>
      <c r="AH277" s="1232"/>
      <c r="AI277" s="1232"/>
      <c r="AJ277" s="1232"/>
      <c r="AK277" s="1232"/>
      <c r="AL277" s="1232"/>
    </row>
    <row r="278" customFormat="false" ht="12" hidden="false" customHeight="true" outlineLevel="0" collapsed="false">
      <c r="B278" s="1232"/>
      <c r="C278" s="1232"/>
      <c r="D278" s="1232"/>
      <c r="E278" s="1232"/>
      <c r="F278" s="1232"/>
      <c r="G278" s="1232"/>
      <c r="H278" s="1232"/>
      <c r="I278" s="1232"/>
      <c r="J278" s="1232"/>
      <c r="K278" s="1232"/>
      <c r="L278" s="1232"/>
      <c r="M278" s="1232"/>
      <c r="N278" s="1232"/>
      <c r="O278" s="1232"/>
      <c r="P278" s="1232"/>
      <c r="Q278" s="1232"/>
      <c r="R278" s="1232"/>
      <c r="S278" s="1232"/>
      <c r="T278" s="1232"/>
      <c r="U278" s="1232"/>
      <c r="V278" s="1232"/>
      <c r="W278" s="1232"/>
      <c r="X278" s="1232"/>
      <c r="Y278" s="1232"/>
      <c r="Z278" s="1232"/>
      <c r="AA278" s="1232"/>
      <c r="AB278" s="1232"/>
      <c r="AC278" s="1232"/>
      <c r="AD278" s="1232"/>
      <c r="AE278" s="1232"/>
      <c r="AF278" s="1232"/>
      <c r="AG278" s="1232"/>
      <c r="AH278" s="1232"/>
      <c r="AI278" s="1232"/>
      <c r="AJ278" s="1232"/>
      <c r="AK278" s="1232"/>
      <c r="AL278" s="1232"/>
    </row>
    <row r="279" customFormat="false" ht="12" hidden="false" customHeight="true" outlineLevel="0" collapsed="false">
      <c r="B279" s="1232"/>
      <c r="C279" s="1232"/>
      <c r="D279" s="1232"/>
      <c r="E279" s="1232"/>
      <c r="F279" s="1232"/>
      <c r="G279" s="1232"/>
      <c r="H279" s="1232"/>
      <c r="I279" s="1232"/>
      <c r="J279" s="1232"/>
      <c r="K279" s="1232"/>
      <c r="L279" s="1232"/>
      <c r="M279" s="1232"/>
      <c r="N279" s="1232"/>
      <c r="O279" s="1232"/>
      <c r="P279" s="1232"/>
      <c r="Q279" s="1232"/>
      <c r="R279" s="1232"/>
      <c r="S279" s="1232"/>
      <c r="T279" s="1232"/>
      <c r="U279" s="1232"/>
      <c r="V279" s="1232"/>
      <c r="W279" s="1232"/>
      <c r="X279" s="1232"/>
      <c r="Y279" s="1232"/>
      <c r="Z279" s="1232"/>
      <c r="AA279" s="1232"/>
      <c r="AB279" s="1232"/>
      <c r="AC279" s="1232"/>
      <c r="AD279" s="1232"/>
      <c r="AE279" s="1232"/>
      <c r="AF279" s="1232"/>
      <c r="AG279" s="1232"/>
      <c r="AH279" s="1232"/>
      <c r="AI279" s="1232"/>
      <c r="AJ279" s="1232"/>
      <c r="AK279" s="1232"/>
      <c r="AL279" s="1232"/>
    </row>
    <row r="280" customFormat="false" ht="12" hidden="false" customHeight="true" outlineLevel="0" collapsed="false">
      <c r="B280" s="1232"/>
      <c r="C280" s="1232"/>
      <c r="D280" s="1232"/>
      <c r="E280" s="1232"/>
      <c r="F280" s="1232"/>
      <c r="G280" s="1232"/>
      <c r="H280" s="1232"/>
      <c r="I280" s="1232"/>
      <c r="J280" s="1232"/>
      <c r="K280" s="1232"/>
      <c r="L280" s="1232"/>
      <c r="M280" s="1232"/>
      <c r="N280" s="1232"/>
      <c r="O280" s="1232"/>
      <c r="P280" s="1232"/>
      <c r="Q280" s="1232"/>
      <c r="R280" s="1232"/>
      <c r="S280" s="1232"/>
      <c r="T280" s="1232"/>
      <c r="U280" s="1232"/>
      <c r="V280" s="1232"/>
      <c r="W280" s="1232"/>
      <c r="X280" s="1232"/>
      <c r="Y280" s="1232"/>
      <c r="Z280" s="1232"/>
      <c r="AA280" s="1232"/>
      <c r="AB280" s="1232"/>
      <c r="AC280" s="1232"/>
      <c r="AD280" s="1232"/>
      <c r="AE280" s="1232"/>
      <c r="AF280" s="1232"/>
      <c r="AG280" s="1232"/>
      <c r="AH280" s="1232"/>
      <c r="AI280" s="1232"/>
      <c r="AJ280" s="1232"/>
      <c r="AK280" s="1232"/>
      <c r="AL280" s="1232"/>
    </row>
    <row r="281" customFormat="false" ht="12" hidden="false" customHeight="true" outlineLevel="0" collapsed="false">
      <c r="B281" s="1232"/>
      <c r="C281" s="1232"/>
      <c r="D281" s="1232"/>
      <c r="E281" s="1232"/>
      <c r="F281" s="1232"/>
      <c r="G281" s="1232"/>
      <c r="H281" s="1232"/>
      <c r="I281" s="1232"/>
      <c r="J281" s="1232"/>
      <c r="K281" s="1232"/>
      <c r="L281" s="1232"/>
      <c r="M281" s="1232"/>
      <c r="N281" s="1232"/>
      <c r="O281" s="1232"/>
      <c r="P281" s="1232"/>
      <c r="Q281" s="1232"/>
      <c r="R281" s="1232"/>
      <c r="S281" s="1232"/>
      <c r="T281" s="1232"/>
      <c r="U281" s="1232"/>
      <c r="V281" s="1232"/>
      <c r="W281" s="1232"/>
      <c r="X281" s="1232"/>
      <c r="Y281" s="1232"/>
      <c r="Z281" s="1232"/>
      <c r="AA281" s="1232"/>
      <c r="AB281" s="1232"/>
      <c r="AC281" s="1232"/>
      <c r="AD281" s="1232"/>
      <c r="AE281" s="1232"/>
      <c r="AF281" s="1232"/>
      <c r="AG281" s="1232"/>
      <c r="AH281" s="1232"/>
      <c r="AI281" s="1232"/>
      <c r="AJ281" s="1232"/>
      <c r="AK281" s="1232"/>
      <c r="AL281" s="1232"/>
    </row>
    <row r="282" customFormat="false" ht="12" hidden="false" customHeight="true" outlineLevel="0" collapsed="false">
      <c r="B282" s="1232"/>
      <c r="C282" s="1232"/>
      <c r="D282" s="1232"/>
      <c r="E282" s="1232"/>
      <c r="F282" s="1232"/>
      <c r="G282" s="1232"/>
      <c r="H282" s="1232"/>
      <c r="I282" s="1232"/>
      <c r="J282" s="1232"/>
      <c r="K282" s="1232"/>
      <c r="L282" s="1232"/>
      <c r="M282" s="1232"/>
      <c r="N282" s="1232"/>
      <c r="O282" s="1232"/>
      <c r="P282" s="1232"/>
      <c r="Q282" s="1232"/>
      <c r="R282" s="1232"/>
      <c r="S282" s="1232"/>
      <c r="T282" s="1232"/>
      <c r="U282" s="1232"/>
      <c r="V282" s="1232"/>
      <c r="W282" s="1232"/>
      <c r="X282" s="1232"/>
      <c r="Y282" s="1232"/>
      <c r="Z282" s="1232"/>
      <c r="AA282" s="1232"/>
      <c r="AB282" s="1232"/>
      <c r="AC282" s="1232"/>
      <c r="AD282" s="1232"/>
      <c r="AE282" s="1232"/>
      <c r="AF282" s="1232"/>
      <c r="AG282" s="1232"/>
      <c r="AH282" s="1232"/>
      <c r="AI282" s="1232"/>
      <c r="AJ282" s="1232"/>
      <c r="AK282" s="1232"/>
      <c r="AL282" s="1232"/>
    </row>
    <row r="283" customFormat="false" ht="12" hidden="false" customHeight="true" outlineLevel="0" collapsed="false">
      <c r="B283" s="1232"/>
      <c r="C283" s="1232"/>
      <c r="D283" s="1232"/>
      <c r="E283" s="1232"/>
      <c r="F283" s="1232"/>
      <c r="G283" s="1232"/>
      <c r="H283" s="1232"/>
      <c r="I283" s="1232"/>
      <c r="J283" s="1232"/>
      <c r="K283" s="1232"/>
      <c r="L283" s="1232"/>
      <c r="M283" s="1232"/>
      <c r="N283" s="1232"/>
      <c r="O283" s="1232"/>
      <c r="P283" s="1232"/>
      <c r="Q283" s="1232"/>
      <c r="R283" s="1232"/>
      <c r="S283" s="1232"/>
      <c r="T283" s="1232"/>
      <c r="U283" s="1232"/>
      <c r="V283" s="1232"/>
      <c r="W283" s="1232"/>
      <c r="X283" s="1232"/>
      <c r="Y283" s="1232"/>
      <c r="Z283" s="1232"/>
      <c r="AA283" s="1232"/>
      <c r="AB283" s="1232"/>
      <c r="AC283" s="1232"/>
      <c r="AD283" s="1232"/>
      <c r="AE283" s="1232"/>
      <c r="AF283" s="1232"/>
      <c r="AG283" s="1232"/>
      <c r="AH283" s="1232"/>
      <c r="AI283" s="1232"/>
      <c r="AJ283" s="1232"/>
      <c r="AK283" s="1232"/>
      <c r="AL283" s="1232"/>
    </row>
    <row r="284" customFormat="false" ht="12" hidden="false" customHeight="true" outlineLevel="0" collapsed="false">
      <c r="B284" s="1232"/>
      <c r="C284" s="1232"/>
      <c r="D284" s="1232"/>
      <c r="E284" s="1232"/>
      <c r="F284" s="1232"/>
      <c r="G284" s="1232"/>
      <c r="H284" s="1232"/>
      <c r="I284" s="1232"/>
      <c r="J284" s="1232"/>
      <c r="K284" s="1232"/>
      <c r="L284" s="1232"/>
      <c r="M284" s="1232"/>
      <c r="N284" s="1232"/>
      <c r="O284" s="1232"/>
      <c r="P284" s="1232"/>
      <c r="Q284" s="1232"/>
      <c r="R284" s="1232"/>
      <c r="S284" s="1232"/>
      <c r="T284" s="1232"/>
      <c r="U284" s="1232"/>
      <c r="V284" s="1232"/>
      <c r="W284" s="1232"/>
      <c r="X284" s="1232"/>
      <c r="Y284" s="1232"/>
      <c r="Z284" s="1232"/>
      <c r="AA284" s="1232"/>
      <c r="AB284" s="1232"/>
      <c r="AC284" s="1232"/>
      <c r="AD284" s="1232"/>
      <c r="AE284" s="1232"/>
      <c r="AF284" s="1232"/>
      <c r="AG284" s="1232"/>
      <c r="AH284" s="1232"/>
      <c r="AI284" s="1232"/>
      <c r="AJ284" s="1232"/>
      <c r="AK284" s="1232"/>
      <c r="AL284" s="1232"/>
    </row>
    <row r="285" customFormat="false" ht="12" hidden="false" customHeight="true" outlineLevel="0" collapsed="false">
      <c r="B285" s="1232"/>
      <c r="C285" s="1232"/>
      <c r="D285" s="1232"/>
      <c r="E285" s="1232"/>
      <c r="F285" s="1232"/>
      <c r="G285" s="1232"/>
      <c r="H285" s="1232"/>
      <c r="I285" s="1232"/>
      <c r="J285" s="1232"/>
      <c r="K285" s="1232"/>
      <c r="L285" s="1232"/>
      <c r="M285" s="1232"/>
      <c r="N285" s="1232"/>
      <c r="O285" s="1232"/>
      <c r="P285" s="1232"/>
      <c r="Q285" s="1232"/>
      <c r="R285" s="1232"/>
      <c r="S285" s="1232"/>
      <c r="T285" s="1232"/>
      <c r="U285" s="1232"/>
      <c r="V285" s="1232"/>
      <c r="W285" s="1232"/>
      <c r="X285" s="1232"/>
      <c r="Y285" s="1232"/>
      <c r="Z285" s="1232"/>
      <c r="AA285" s="1232"/>
      <c r="AB285" s="1232"/>
      <c r="AC285" s="1232"/>
      <c r="AD285" s="1232"/>
      <c r="AE285" s="1232"/>
      <c r="AF285" s="1232"/>
      <c r="AG285" s="1232"/>
      <c r="AH285" s="1232"/>
      <c r="AI285" s="1232"/>
      <c r="AJ285" s="1232"/>
      <c r="AK285" s="1232"/>
      <c r="AL285" s="1232"/>
    </row>
    <row r="286" customFormat="false" ht="12" hidden="false" customHeight="true" outlineLevel="0" collapsed="false">
      <c r="B286" s="1232"/>
      <c r="C286" s="1232"/>
      <c r="D286" s="1232"/>
      <c r="E286" s="1232"/>
      <c r="F286" s="1232"/>
      <c r="G286" s="1232"/>
      <c r="H286" s="1232"/>
      <c r="I286" s="1232"/>
      <c r="J286" s="1232"/>
      <c r="K286" s="1232"/>
      <c r="L286" s="1232"/>
      <c r="M286" s="1232"/>
      <c r="N286" s="1232"/>
      <c r="O286" s="1232"/>
      <c r="P286" s="1232"/>
      <c r="Q286" s="1232"/>
      <c r="R286" s="1232"/>
      <c r="S286" s="1232"/>
      <c r="T286" s="1232"/>
      <c r="U286" s="1232"/>
      <c r="V286" s="1232"/>
      <c r="W286" s="1232"/>
      <c r="X286" s="1232"/>
      <c r="Y286" s="1232"/>
      <c r="Z286" s="1232"/>
      <c r="AA286" s="1232"/>
      <c r="AB286" s="1232"/>
      <c r="AC286" s="1232"/>
      <c r="AD286" s="1232"/>
      <c r="AE286" s="1232"/>
      <c r="AF286" s="1232"/>
      <c r="AG286" s="1232"/>
      <c r="AH286" s="1232"/>
      <c r="AI286" s="1232"/>
      <c r="AJ286" s="1232"/>
      <c r="AK286" s="1232"/>
      <c r="AL286" s="1232"/>
    </row>
    <row r="287" customFormat="false" ht="12" hidden="false" customHeight="true" outlineLevel="0" collapsed="false">
      <c r="B287" s="1232"/>
      <c r="C287" s="1232"/>
      <c r="D287" s="1232"/>
      <c r="E287" s="1232"/>
      <c r="F287" s="1232"/>
      <c r="G287" s="1232"/>
      <c r="H287" s="1232"/>
      <c r="I287" s="1232"/>
      <c r="J287" s="1232"/>
      <c r="K287" s="1232"/>
      <c r="L287" s="1232"/>
      <c r="M287" s="1232"/>
      <c r="N287" s="1232"/>
      <c r="O287" s="1232"/>
      <c r="P287" s="1232"/>
      <c r="Q287" s="1232"/>
      <c r="R287" s="1232"/>
      <c r="S287" s="1232"/>
      <c r="T287" s="1232"/>
      <c r="U287" s="1232"/>
      <c r="V287" s="1232"/>
      <c r="W287" s="1232"/>
      <c r="X287" s="1232"/>
      <c r="Y287" s="1232"/>
      <c r="Z287" s="1232"/>
      <c r="AA287" s="1232"/>
      <c r="AB287" s="1232"/>
      <c r="AC287" s="1232"/>
      <c r="AD287" s="1232"/>
      <c r="AE287" s="1232"/>
      <c r="AF287" s="1232"/>
      <c r="AG287" s="1232"/>
      <c r="AH287" s="1232"/>
      <c r="AI287" s="1232"/>
      <c r="AJ287" s="1232"/>
      <c r="AK287" s="1232"/>
      <c r="AL287" s="1232"/>
    </row>
    <row r="288" customFormat="false" ht="12" hidden="false" customHeight="true" outlineLevel="0" collapsed="false">
      <c r="B288" s="1232"/>
      <c r="C288" s="1232"/>
      <c r="D288" s="1232"/>
      <c r="E288" s="1232"/>
      <c r="F288" s="1232"/>
      <c r="G288" s="1232"/>
      <c r="H288" s="1232"/>
      <c r="I288" s="1232"/>
      <c r="J288" s="1232"/>
      <c r="K288" s="1232"/>
      <c r="L288" s="1232"/>
      <c r="M288" s="1232"/>
      <c r="N288" s="1232"/>
      <c r="O288" s="1232"/>
      <c r="P288" s="1232"/>
      <c r="Q288" s="1232"/>
      <c r="R288" s="1232"/>
      <c r="S288" s="1232"/>
      <c r="T288" s="1232"/>
      <c r="U288" s="1232"/>
      <c r="V288" s="1232"/>
      <c r="W288" s="1232"/>
      <c r="X288" s="1232"/>
      <c r="Y288" s="1232"/>
      <c r="Z288" s="1232"/>
      <c r="AA288" s="1232"/>
      <c r="AB288" s="1232"/>
      <c r="AC288" s="1232"/>
      <c r="AD288" s="1232"/>
      <c r="AE288" s="1232"/>
      <c r="AF288" s="1232"/>
      <c r="AG288" s="1232"/>
      <c r="AH288" s="1232"/>
      <c r="AI288" s="1232"/>
      <c r="AJ288" s="1232"/>
      <c r="AK288" s="1232"/>
      <c r="AL288" s="1232"/>
    </row>
    <row r="289" customFormat="false" ht="12" hidden="false" customHeight="true" outlineLevel="0" collapsed="false">
      <c r="B289" s="1232"/>
      <c r="C289" s="1232"/>
      <c r="D289" s="1232"/>
      <c r="E289" s="1232"/>
      <c r="F289" s="1232"/>
      <c r="G289" s="1232"/>
      <c r="H289" s="1232"/>
      <c r="I289" s="1232"/>
      <c r="J289" s="1232"/>
      <c r="K289" s="1232"/>
      <c r="L289" s="1232"/>
      <c r="M289" s="1232"/>
      <c r="N289" s="1232"/>
      <c r="O289" s="1232"/>
      <c r="P289" s="1232"/>
      <c r="Q289" s="1232"/>
      <c r="R289" s="1232"/>
      <c r="S289" s="1232"/>
      <c r="T289" s="1232"/>
      <c r="U289" s="1232"/>
      <c r="V289" s="1232"/>
      <c r="W289" s="1232"/>
      <c r="X289" s="1232"/>
      <c r="Y289" s="1232"/>
      <c r="Z289" s="1232"/>
      <c r="AA289" s="1232"/>
      <c r="AB289" s="1232"/>
      <c r="AC289" s="1232"/>
      <c r="AD289" s="1232"/>
      <c r="AE289" s="1232"/>
      <c r="AF289" s="1232"/>
      <c r="AG289" s="1232"/>
      <c r="AH289" s="1232"/>
      <c r="AI289" s="1232"/>
      <c r="AJ289" s="1232"/>
      <c r="AK289" s="1232"/>
      <c r="AL289" s="1232"/>
    </row>
    <row r="290" customFormat="false" ht="12" hidden="false" customHeight="true" outlineLevel="0" collapsed="false">
      <c r="B290" s="1232"/>
      <c r="C290" s="1232"/>
      <c r="D290" s="1232"/>
      <c r="E290" s="1232"/>
      <c r="F290" s="1232"/>
      <c r="G290" s="1232"/>
      <c r="H290" s="1232"/>
      <c r="I290" s="1232"/>
      <c r="J290" s="1232"/>
      <c r="K290" s="1232"/>
      <c r="L290" s="1232"/>
      <c r="M290" s="1232"/>
      <c r="N290" s="1232"/>
      <c r="O290" s="1232"/>
      <c r="P290" s="1232"/>
      <c r="Q290" s="1232"/>
      <c r="R290" s="1232"/>
      <c r="S290" s="1232"/>
      <c r="T290" s="1232"/>
      <c r="U290" s="1232"/>
      <c r="V290" s="1232"/>
      <c r="W290" s="1232"/>
      <c r="X290" s="1232"/>
      <c r="Y290" s="1232"/>
      <c r="Z290" s="1232"/>
      <c r="AA290" s="1232"/>
      <c r="AB290" s="1232"/>
      <c r="AC290" s="1232"/>
      <c r="AD290" s="1232"/>
      <c r="AE290" s="1232"/>
      <c r="AF290" s="1232"/>
      <c r="AG290" s="1232"/>
      <c r="AH290" s="1232"/>
      <c r="AI290" s="1232"/>
      <c r="AJ290" s="1232"/>
      <c r="AK290" s="1232"/>
      <c r="AL290" s="1232"/>
    </row>
    <row r="291" customFormat="false" ht="12" hidden="false" customHeight="true" outlineLevel="0" collapsed="false">
      <c r="B291" s="1232"/>
      <c r="C291" s="1232"/>
      <c r="D291" s="1232"/>
      <c r="E291" s="1232"/>
      <c r="F291" s="1232"/>
      <c r="G291" s="1232"/>
      <c r="H291" s="1232"/>
      <c r="I291" s="1232"/>
      <c r="J291" s="1232"/>
      <c r="K291" s="1232"/>
      <c r="L291" s="1232"/>
      <c r="M291" s="1232"/>
      <c r="N291" s="1232"/>
      <c r="O291" s="1232"/>
      <c r="P291" s="1232"/>
      <c r="Q291" s="1232"/>
      <c r="R291" s="1232"/>
      <c r="S291" s="1232"/>
      <c r="T291" s="1232"/>
      <c r="U291" s="1232"/>
      <c r="V291" s="1232"/>
      <c r="W291" s="1232"/>
      <c r="X291" s="1232"/>
      <c r="Y291" s="1232"/>
      <c r="Z291" s="1232"/>
      <c r="AA291" s="1232"/>
      <c r="AB291" s="1232"/>
      <c r="AC291" s="1232"/>
      <c r="AD291" s="1232"/>
      <c r="AE291" s="1232"/>
      <c r="AF291" s="1232"/>
      <c r="AG291" s="1232"/>
      <c r="AH291" s="1232"/>
      <c r="AI291" s="1232"/>
      <c r="AJ291" s="1232"/>
      <c r="AK291" s="1232"/>
      <c r="AL291" s="1232"/>
    </row>
    <row r="292" customFormat="false" ht="12" hidden="false" customHeight="true" outlineLevel="0" collapsed="false">
      <c r="B292" s="1232"/>
      <c r="C292" s="1232"/>
      <c r="D292" s="1232"/>
      <c r="E292" s="1232"/>
      <c r="F292" s="1232"/>
      <c r="G292" s="1232"/>
      <c r="H292" s="1232"/>
      <c r="I292" s="1232"/>
      <c r="J292" s="1232"/>
      <c r="K292" s="1232"/>
      <c r="L292" s="1232"/>
      <c r="M292" s="1232"/>
      <c r="N292" s="1232"/>
      <c r="O292" s="1232"/>
      <c r="P292" s="1232"/>
      <c r="Q292" s="1232"/>
      <c r="R292" s="1232"/>
      <c r="S292" s="1232"/>
      <c r="T292" s="1232"/>
      <c r="U292" s="1232"/>
      <c r="V292" s="1232"/>
      <c r="W292" s="1232"/>
      <c r="X292" s="1232"/>
      <c r="Y292" s="1232"/>
      <c r="Z292" s="1232"/>
      <c r="AA292" s="1232"/>
      <c r="AB292" s="1232"/>
      <c r="AC292" s="1232"/>
      <c r="AD292" s="1232"/>
      <c r="AE292" s="1232"/>
      <c r="AF292" s="1232"/>
      <c r="AG292" s="1232"/>
      <c r="AH292" s="1232"/>
      <c r="AI292" s="1232"/>
      <c r="AJ292" s="1232"/>
      <c r="AK292" s="1232"/>
      <c r="AL292" s="1232"/>
    </row>
    <row r="293" customFormat="false" ht="12" hidden="false" customHeight="true" outlineLevel="0" collapsed="false">
      <c r="B293" s="1232"/>
      <c r="C293" s="1232"/>
      <c r="D293" s="1232"/>
      <c r="E293" s="1232"/>
      <c r="F293" s="1232"/>
      <c r="G293" s="1232"/>
      <c r="H293" s="1232"/>
      <c r="I293" s="1232"/>
      <c r="J293" s="1232"/>
      <c r="K293" s="1232"/>
      <c r="L293" s="1232"/>
      <c r="M293" s="1232"/>
      <c r="N293" s="1232"/>
      <c r="O293" s="1232"/>
      <c r="P293" s="1232"/>
      <c r="Q293" s="1232"/>
      <c r="R293" s="1232"/>
      <c r="S293" s="1232"/>
      <c r="T293" s="1232"/>
      <c r="U293" s="1232"/>
      <c r="V293" s="1232"/>
      <c r="W293" s="1232"/>
      <c r="X293" s="1232"/>
      <c r="Y293" s="1232"/>
      <c r="Z293" s="1232"/>
      <c r="AA293" s="1232"/>
      <c r="AB293" s="1232"/>
      <c r="AC293" s="1232"/>
      <c r="AD293" s="1232"/>
      <c r="AE293" s="1232"/>
      <c r="AF293" s="1232"/>
      <c r="AG293" s="1232"/>
      <c r="AH293" s="1232"/>
      <c r="AI293" s="1232"/>
      <c r="AJ293" s="1232"/>
      <c r="AK293" s="1232"/>
      <c r="AL293" s="1232"/>
    </row>
    <row r="294" customFormat="false" ht="12" hidden="false" customHeight="true" outlineLevel="0" collapsed="false">
      <c r="B294" s="1232"/>
      <c r="C294" s="1232"/>
      <c r="D294" s="1232"/>
      <c r="E294" s="1232"/>
      <c r="F294" s="1232"/>
      <c r="G294" s="1232"/>
      <c r="H294" s="1232"/>
      <c r="I294" s="1232"/>
      <c r="J294" s="1232"/>
      <c r="K294" s="1232"/>
      <c r="L294" s="1232"/>
      <c r="M294" s="1232"/>
      <c r="N294" s="1232"/>
      <c r="O294" s="1232"/>
      <c r="P294" s="1232"/>
      <c r="Q294" s="1232"/>
      <c r="R294" s="1232"/>
      <c r="S294" s="1232"/>
      <c r="T294" s="1232"/>
      <c r="U294" s="1232"/>
      <c r="V294" s="1232"/>
      <c r="W294" s="1232"/>
      <c r="X294" s="1232"/>
      <c r="Y294" s="1232"/>
      <c r="Z294" s="1232"/>
      <c r="AA294" s="1232"/>
      <c r="AB294" s="1232"/>
      <c r="AC294" s="1232"/>
      <c r="AD294" s="1232"/>
      <c r="AE294" s="1232"/>
      <c r="AF294" s="1232"/>
      <c r="AG294" s="1232"/>
      <c r="AH294" s="1232"/>
      <c r="AI294" s="1232"/>
      <c r="AJ294" s="1232"/>
      <c r="AK294" s="1232"/>
      <c r="AL294" s="1232"/>
    </row>
    <row r="295" customFormat="false" ht="12" hidden="false" customHeight="true" outlineLevel="0" collapsed="false">
      <c r="B295" s="1232"/>
      <c r="C295" s="1232"/>
      <c r="D295" s="1232"/>
      <c r="E295" s="1232"/>
      <c r="F295" s="1232"/>
      <c r="G295" s="1232"/>
      <c r="H295" s="1232"/>
      <c r="I295" s="1232"/>
      <c r="J295" s="1232"/>
      <c r="K295" s="1232"/>
      <c r="L295" s="1232"/>
      <c r="M295" s="1232"/>
      <c r="N295" s="1232"/>
      <c r="O295" s="1232"/>
      <c r="P295" s="1232"/>
      <c r="Q295" s="1232"/>
      <c r="R295" s="1232"/>
      <c r="S295" s="1232"/>
      <c r="T295" s="1232"/>
      <c r="U295" s="1232"/>
      <c r="V295" s="1232"/>
      <c r="W295" s="1232"/>
      <c r="X295" s="1232"/>
      <c r="Y295" s="1232"/>
      <c r="Z295" s="1232"/>
      <c r="AA295" s="1232"/>
      <c r="AB295" s="1232"/>
      <c r="AC295" s="1232"/>
      <c r="AD295" s="1232"/>
      <c r="AE295" s="1232"/>
      <c r="AF295" s="1232"/>
      <c r="AG295" s="1232"/>
      <c r="AH295" s="1232"/>
      <c r="AI295" s="1232"/>
      <c r="AJ295" s="1232"/>
      <c r="AK295" s="1232"/>
      <c r="AL295" s="1232"/>
    </row>
    <row r="296" customFormat="false" ht="12" hidden="false" customHeight="true" outlineLevel="0" collapsed="false">
      <c r="B296" s="1232"/>
      <c r="C296" s="1232"/>
      <c r="D296" s="1232"/>
      <c r="E296" s="1232"/>
      <c r="F296" s="1232"/>
      <c r="G296" s="1232"/>
      <c r="H296" s="1232"/>
      <c r="I296" s="1232"/>
      <c r="J296" s="1232"/>
      <c r="K296" s="1232"/>
      <c r="L296" s="1232"/>
      <c r="M296" s="1232"/>
      <c r="N296" s="1232"/>
      <c r="O296" s="1232"/>
      <c r="P296" s="1232"/>
      <c r="Q296" s="1232"/>
      <c r="R296" s="1232"/>
      <c r="S296" s="1232"/>
      <c r="T296" s="1232"/>
      <c r="U296" s="1232"/>
      <c r="V296" s="1232"/>
      <c r="W296" s="1232"/>
      <c r="X296" s="1232"/>
      <c r="Y296" s="1232"/>
      <c r="Z296" s="1232"/>
      <c r="AA296" s="1232"/>
      <c r="AB296" s="1232"/>
      <c r="AC296" s="1232"/>
      <c r="AD296" s="1232"/>
      <c r="AE296" s="1232"/>
      <c r="AF296" s="1232"/>
      <c r="AG296" s="1232"/>
      <c r="AH296" s="1232"/>
      <c r="AI296" s="1232"/>
      <c r="AJ296" s="1232"/>
      <c r="AK296" s="1232"/>
      <c r="AL296" s="1232"/>
    </row>
    <row r="297" customFormat="false" ht="12" hidden="false" customHeight="true" outlineLevel="0" collapsed="false">
      <c r="B297" s="1232"/>
      <c r="C297" s="1232"/>
      <c r="D297" s="1232"/>
      <c r="E297" s="1232"/>
      <c r="F297" s="1232"/>
      <c r="G297" s="1232"/>
      <c r="H297" s="1232"/>
      <c r="I297" s="1232"/>
      <c r="J297" s="1232"/>
      <c r="K297" s="1232"/>
      <c r="L297" s="1232"/>
      <c r="M297" s="1232"/>
      <c r="N297" s="1232"/>
      <c r="O297" s="1232"/>
      <c r="P297" s="1232"/>
      <c r="Q297" s="1232"/>
      <c r="R297" s="1232"/>
      <c r="S297" s="1232"/>
      <c r="T297" s="1232"/>
      <c r="U297" s="1232"/>
      <c r="V297" s="1232"/>
      <c r="W297" s="1232"/>
      <c r="X297" s="1232"/>
      <c r="Y297" s="1232"/>
      <c r="Z297" s="1232"/>
      <c r="AA297" s="1232"/>
      <c r="AB297" s="1232"/>
      <c r="AC297" s="1232"/>
      <c r="AD297" s="1232"/>
      <c r="AE297" s="1232"/>
      <c r="AF297" s="1232"/>
      <c r="AG297" s="1232"/>
      <c r="AH297" s="1232"/>
      <c r="AI297" s="1232"/>
      <c r="AJ297" s="1232"/>
      <c r="AK297" s="1232"/>
      <c r="AL297" s="1232"/>
    </row>
    <row r="298" customFormat="false" ht="12" hidden="false" customHeight="true" outlineLevel="0" collapsed="false">
      <c r="B298" s="1232"/>
      <c r="C298" s="1232"/>
      <c r="D298" s="1232"/>
      <c r="E298" s="1232"/>
      <c r="F298" s="1232"/>
      <c r="G298" s="1232"/>
      <c r="H298" s="1232"/>
      <c r="I298" s="1232"/>
      <c r="J298" s="1232"/>
      <c r="K298" s="1232"/>
      <c r="L298" s="1232"/>
      <c r="M298" s="1232"/>
      <c r="N298" s="1232"/>
      <c r="O298" s="1232"/>
      <c r="P298" s="1232"/>
      <c r="Q298" s="1232"/>
      <c r="R298" s="1232"/>
      <c r="S298" s="1232"/>
      <c r="T298" s="1232"/>
      <c r="U298" s="1232"/>
      <c r="V298" s="1232"/>
      <c r="W298" s="1232"/>
      <c r="X298" s="1232"/>
      <c r="Y298" s="1232"/>
      <c r="Z298" s="1232"/>
      <c r="AA298" s="1232"/>
      <c r="AB298" s="1232"/>
      <c r="AC298" s="1232"/>
      <c r="AD298" s="1232"/>
      <c r="AE298" s="1232"/>
      <c r="AF298" s="1232"/>
      <c r="AG298" s="1232"/>
      <c r="AH298" s="1232"/>
      <c r="AI298" s="1232"/>
      <c r="AJ298" s="1232"/>
      <c r="AK298" s="1232"/>
      <c r="AL298" s="1232"/>
    </row>
    <row r="299" customFormat="false" ht="12" hidden="false" customHeight="true" outlineLevel="0" collapsed="false">
      <c r="B299" s="1232"/>
      <c r="C299" s="1232"/>
      <c r="D299" s="1232"/>
      <c r="E299" s="1232"/>
      <c r="F299" s="1232"/>
      <c r="G299" s="1232"/>
      <c r="H299" s="1232"/>
      <c r="I299" s="1232"/>
      <c r="J299" s="1232"/>
      <c r="K299" s="1232"/>
      <c r="L299" s="1232"/>
      <c r="M299" s="1232"/>
      <c r="N299" s="1232"/>
      <c r="O299" s="1232"/>
      <c r="P299" s="1232"/>
      <c r="Q299" s="1232"/>
      <c r="R299" s="1232"/>
      <c r="S299" s="1232"/>
      <c r="T299" s="1232"/>
      <c r="U299" s="1232"/>
      <c r="V299" s="1232"/>
      <c r="W299" s="1232"/>
      <c r="X299" s="1232"/>
      <c r="Y299" s="1232"/>
      <c r="Z299" s="1232"/>
      <c r="AA299" s="1232"/>
      <c r="AB299" s="1232"/>
      <c r="AC299" s="1232"/>
      <c r="AD299" s="1232"/>
      <c r="AE299" s="1232"/>
      <c r="AF299" s="1232"/>
      <c r="AG299" s="1232"/>
      <c r="AH299" s="1232"/>
      <c r="AI299" s="1232"/>
      <c r="AJ299" s="1232"/>
      <c r="AK299" s="1232"/>
      <c r="AL299" s="1232"/>
    </row>
    <row r="300" customFormat="false" ht="12" hidden="false" customHeight="true" outlineLevel="0" collapsed="false">
      <c r="B300" s="1232"/>
      <c r="C300" s="1232"/>
      <c r="D300" s="1232"/>
      <c r="E300" s="1232"/>
      <c r="F300" s="1232"/>
      <c r="G300" s="1232"/>
      <c r="H300" s="1232"/>
      <c r="I300" s="1232"/>
      <c r="J300" s="1232"/>
      <c r="K300" s="1232"/>
      <c r="L300" s="1232"/>
      <c r="M300" s="1232"/>
      <c r="N300" s="1232"/>
      <c r="O300" s="1232"/>
      <c r="P300" s="1232"/>
      <c r="Q300" s="1232"/>
      <c r="R300" s="1232"/>
      <c r="S300" s="1232"/>
      <c r="T300" s="1232"/>
      <c r="U300" s="1232"/>
      <c r="V300" s="1232"/>
      <c r="W300" s="1232"/>
      <c r="X300" s="1232"/>
      <c r="Y300" s="1232"/>
      <c r="Z300" s="1232"/>
      <c r="AA300" s="1232"/>
      <c r="AB300" s="1232"/>
      <c r="AC300" s="1232"/>
      <c r="AD300" s="1232"/>
      <c r="AE300" s="1232"/>
      <c r="AF300" s="1232"/>
      <c r="AG300" s="1232"/>
      <c r="AH300" s="1232"/>
      <c r="AI300" s="1232"/>
      <c r="AJ300" s="1232"/>
      <c r="AK300" s="1232"/>
      <c r="AL300" s="1232"/>
    </row>
    <row r="301" customFormat="false" ht="12" hidden="false" customHeight="true" outlineLevel="0" collapsed="false">
      <c r="B301" s="1232"/>
      <c r="C301" s="1232"/>
      <c r="D301" s="1232"/>
      <c r="E301" s="1232"/>
      <c r="F301" s="1232"/>
      <c r="G301" s="1232"/>
      <c r="H301" s="1232"/>
      <c r="I301" s="1232"/>
      <c r="J301" s="1232"/>
      <c r="K301" s="1232"/>
      <c r="L301" s="1232"/>
      <c r="M301" s="1232"/>
      <c r="N301" s="1232"/>
      <c r="O301" s="1232"/>
      <c r="P301" s="1232"/>
      <c r="Q301" s="1232"/>
      <c r="R301" s="1232"/>
      <c r="S301" s="1232"/>
      <c r="T301" s="1232"/>
      <c r="U301" s="1232"/>
      <c r="V301" s="1232"/>
      <c r="W301" s="1232"/>
      <c r="X301" s="1232"/>
      <c r="Y301" s="1232"/>
      <c r="Z301" s="1232"/>
      <c r="AA301" s="1232"/>
      <c r="AB301" s="1232"/>
      <c r="AC301" s="1232"/>
      <c r="AD301" s="1232"/>
      <c r="AE301" s="1232"/>
      <c r="AF301" s="1232"/>
      <c r="AG301" s="1232"/>
      <c r="AH301" s="1232"/>
      <c r="AI301" s="1232"/>
      <c r="AJ301" s="1232"/>
      <c r="AK301" s="1232"/>
      <c r="AL301" s="1232"/>
    </row>
    <row r="302" customFormat="false" ht="12" hidden="false" customHeight="true" outlineLevel="0" collapsed="false">
      <c r="B302" s="1232"/>
      <c r="C302" s="1232"/>
      <c r="D302" s="1232"/>
      <c r="E302" s="1232"/>
      <c r="F302" s="1232"/>
      <c r="G302" s="1232"/>
      <c r="H302" s="1232"/>
      <c r="I302" s="1232"/>
      <c r="J302" s="1232"/>
      <c r="K302" s="1232"/>
      <c r="L302" s="1232"/>
      <c r="M302" s="1232"/>
      <c r="N302" s="1232"/>
      <c r="O302" s="1232"/>
      <c r="P302" s="1232"/>
      <c r="Q302" s="1232"/>
      <c r="R302" s="1232"/>
      <c r="S302" s="1232"/>
      <c r="T302" s="1232"/>
      <c r="U302" s="1232"/>
      <c r="V302" s="1232"/>
      <c r="W302" s="1232"/>
      <c r="X302" s="1232"/>
      <c r="Y302" s="1232"/>
      <c r="Z302" s="1232"/>
      <c r="AA302" s="1232"/>
      <c r="AB302" s="1232"/>
      <c r="AC302" s="1232"/>
      <c r="AD302" s="1232"/>
      <c r="AE302" s="1232"/>
      <c r="AF302" s="1232"/>
      <c r="AG302" s="1232"/>
      <c r="AH302" s="1232"/>
      <c r="AI302" s="1232"/>
      <c r="AJ302" s="1232"/>
      <c r="AK302" s="1232"/>
      <c r="AL302" s="1232"/>
    </row>
    <row r="303" customFormat="false" ht="12" hidden="false" customHeight="true" outlineLevel="0" collapsed="false">
      <c r="B303" s="1232"/>
      <c r="C303" s="1232"/>
      <c r="D303" s="1232"/>
      <c r="E303" s="1232"/>
      <c r="F303" s="1232"/>
      <c r="G303" s="1232"/>
      <c r="H303" s="1232"/>
      <c r="I303" s="1232"/>
      <c r="J303" s="1232"/>
      <c r="K303" s="1232"/>
      <c r="L303" s="1232"/>
      <c r="M303" s="1232"/>
      <c r="N303" s="1232"/>
      <c r="O303" s="1232"/>
      <c r="P303" s="1232"/>
      <c r="Q303" s="1232"/>
      <c r="R303" s="1232"/>
      <c r="S303" s="1232"/>
      <c r="T303" s="1232"/>
      <c r="U303" s="1232"/>
      <c r="V303" s="1232"/>
      <c r="W303" s="1232"/>
      <c r="X303" s="1232"/>
      <c r="Y303" s="1232"/>
      <c r="Z303" s="1232"/>
      <c r="AA303" s="1232"/>
      <c r="AB303" s="1232"/>
      <c r="AC303" s="1232"/>
      <c r="AD303" s="1232"/>
      <c r="AE303" s="1232"/>
      <c r="AF303" s="1232"/>
      <c r="AG303" s="1232"/>
      <c r="AH303" s="1232"/>
      <c r="AI303" s="1232"/>
      <c r="AJ303" s="1232"/>
      <c r="AK303" s="1232"/>
      <c r="AL303" s="1232"/>
    </row>
    <row r="304" customFormat="false" ht="12" hidden="false" customHeight="true" outlineLevel="0" collapsed="false">
      <c r="B304" s="1232"/>
      <c r="C304" s="1232"/>
      <c r="D304" s="1232"/>
      <c r="E304" s="1232"/>
      <c r="F304" s="1232"/>
      <c r="G304" s="1232"/>
      <c r="H304" s="1232"/>
      <c r="I304" s="1232"/>
      <c r="J304" s="1232"/>
      <c r="K304" s="1232"/>
      <c r="L304" s="1232"/>
      <c r="M304" s="1232"/>
      <c r="N304" s="1232"/>
      <c r="O304" s="1232"/>
      <c r="P304" s="1232"/>
      <c r="Q304" s="1232"/>
      <c r="R304" s="1232"/>
      <c r="S304" s="1232"/>
      <c r="T304" s="1232"/>
      <c r="U304" s="1232"/>
      <c r="V304" s="1232"/>
      <c r="W304" s="1232"/>
      <c r="X304" s="1232"/>
      <c r="Y304" s="1232"/>
      <c r="Z304" s="1232"/>
      <c r="AA304" s="1232"/>
      <c r="AB304" s="1232"/>
      <c r="AC304" s="1232"/>
      <c r="AD304" s="1232"/>
      <c r="AE304" s="1232"/>
      <c r="AF304" s="1232"/>
      <c r="AG304" s="1232"/>
      <c r="AH304" s="1232"/>
      <c r="AI304" s="1232"/>
      <c r="AJ304" s="1232"/>
      <c r="AK304" s="1232"/>
      <c r="AL304" s="1232"/>
    </row>
    <row r="305" customFormat="false" ht="12" hidden="false" customHeight="true" outlineLevel="0" collapsed="false">
      <c r="B305" s="1232"/>
      <c r="C305" s="1232"/>
      <c r="D305" s="1232"/>
      <c r="E305" s="1232"/>
      <c r="F305" s="1232"/>
      <c r="G305" s="1232"/>
      <c r="H305" s="1232"/>
      <c r="I305" s="1232"/>
      <c r="J305" s="1232"/>
      <c r="K305" s="1232"/>
      <c r="L305" s="1232"/>
      <c r="M305" s="1232"/>
      <c r="N305" s="1232"/>
      <c r="O305" s="1232"/>
      <c r="P305" s="1232"/>
      <c r="Q305" s="1232"/>
      <c r="R305" s="1232"/>
      <c r="S305" s="1232"/>
      <c r="T305" s="1232"/>
      <c r="U305" s="1232"/>
      <c r="V305" s="1232"/>
      <c r="W305" s="1232"/>
      <c r="X305" s="1232"/>
      <c r="Y305" s="1232"/>
      <c r="Z305" s="1232"/>
      <c r="AA305" s="1232"/>
      <c r="AB305" s="1232"/>
      <c r="AC305" s="1232"/>
      <c r="AD305" s="1232"/>
      <c r="AE305" s="1232"/>
      <c r="AF305" s="1232"/>
      <c r="AG305" s="1232"/>
      <c r="AH305" s="1232"/>
      <c r="AI305" s="1232"/>
      <c r="AJ305" s="1232"/>
      <c r="AK305" s="1232"/>
      <c r="AL305" s="1232"/>
    </row>
    <row r="306" customFormat="false" ht="12" hidden="false" customHeight="true" outlineLevel="0" collapsed="false">
      <c r="B306" s="1232"/>
      <c r="C306" s="1232"/>
      <c r="D306" s="1232"/>
      <c r="E306" s="1232"/>
      <c r="F306" s="1232"/>
      <c r="G306" s="1232"/>
      <c r="H306" s="1232"/>
      <c r="I306" s="1232"/>
      <c r="J306" s="1232"/>
      <c r="K306" s="1232"/>
      <c r="L306" s="1232"/>
      <c r="M306" s="1232"/>
      <c r="N306" s="1232"/>
      <c r="O306" s="1232"/>
      <c r="P306" s="1232"/>
      <c r="Q306" s="1232"/>
      <c r="R306" s="1232"/>
      <c r="S306" s="1232"/>
      <c r="T306" s="1232"/>
      <c r="U306" s="1232"/>
      <c r="V306" s="1232"/>
      <c r="W306" s="1232"/>
      <c r="X306" s="1232"/>
      <c r="Y306" s="1232"/>
      <c r="Z306" s="1232"/>
      <c r="AA306" s="1232"/>
      <c r="AB306" s="1232"/>
      <c r="AC306" s="1232"/>
      <c r="AD306" s="1232"/>
      <c r="AE306" s="1232"/>
      <c r="AF306" s="1232"/>
      <c r="AG306" s="1232"/>
      <c r="AH306" s="1232"/>
      <c r="AI306" s="1232"/>
      <c r="AJ306" s="1232"/>
      <c r="AK306" s="1232"/>
      <c r="AL306" s="1232"/>
    </row>
    <row r="307" customFormat="false" ht="12" hidden="false" customHeight="true" outlineLevel="0" collapsed="false">
      <c r="B307" s="1232"/>
      <c r="C307" s="1232"/>
      <c r="D307" s="1232"/>
      <c r="E307" s="1232"/>
      <c r="F307" s="1232"/>
      <c r="G307" s="1232"/>
      <c r="H307" s="1232"/>
      <c r="I307" s="1232"/>
      <c r="J307" s="1232"/>
      <c r="K307" s="1232"/>
      <c r="L307" s="1232"/>
      <c r="M307" s="1232"/>
      <c r="N307" s="1232"/>
      <c r="O307" s="1232"/>
      <c r="P307" s="1232"/>
      <c r="Q307" s="1232"/>
      <c r="R307" s="1232"/>
      <c r="S307" s="1232"/>
      <c r="T307" s="1232"/>
      <c r="U307" s="1232"/>
      <c r="V307" s="1232"/>
      <c r="W307" s="1232"/>
      <c r="X307" s="1232"/>
      <c r="Y307" s="1232"/>
      <c r="Z307" s="1232"/>
      <c r="AA307" s="1232"/>
      <c r="AB307" s="1232"/>
      <c r="AC307" s="1232"/>
      <c r="AD307" s="1232"/>
      <c r="AE307" s="1232"/>
      <c r="AF307" s="1232"/>
      <c r="AG307" s="1232"/>
      <c r="AH307" s="1232"/>
      <c r="AI307" s="1232"/>
      <c r="AJ307" s="1232"/>
      <c r="AK307" s="1232"/>
      <c r="AL307" s="1232"/>
    </row>
    <row r="308" customFormat="false" ht="12" hidden="false" customHeight="true" outlineLevel="0" collapsed="false">
      <c r="B308" s="1232"/>
      <c r="C308" s="1232"/>
      <c r="D308" s="1232"/>
      <c r="E308" s="1232"/>
      <c r="F308" s="1232"/>
      <c r="G308" s="1232"/>
      <c r="H308" s="1232"/>
      <c r="I308" s="1232"/>
      <c r="J308" s="1232"/>
      <c r="K308" s="1232"/>
      <c r="L308" s="1232"/>
      <c r="M308" s="1232"/>
      <c r="N308" s="1232"/>
      <c r="O308" s="1232"/>
      <c r="P308" s="1232"/>
      <c r="Q308" s="1232"/>
      <c r="R308" s="1232"/>
      <c r="S308" s="1232"/>
      <c r="T308" s="1232"/>
      <c r="U308" s="1232"/>
      <c r="V308" s="1232"/>
      <c r="W308" s="1232"/>
      <c r="X308" s="1232"/>
      <c r="Y308" s="1232"/>
      <c r="Z308" s="1232"/>
      <c r="AA308" s="1232"/>
      <c r="AB308" s="1232"/>
      <c r="AC308" s="1232"/>
      <c r="AD308" s="1232"/>
      <c r="AE308" s="1232"/>
      <c r="AF308" s="1232"/>
      <c r="AG308" s="1232"/>
      <c r="AH308" s="1232"/>
      <c r="AI308" s="1232"/>
      <c r="AJ308" s="1232"/>
      <c r="AK308" s="1232"/>
      <c r="AL308" s="1232"/>
    </row>
    <row r="309" customFormat="false" ht="12" hidden="false" customHeight="true" outlineLevel="0" collapsed="false">
      <c r="B309" s="1232"/>
      <c r="C309" s="1232"/>
      <c r="D309" s="1232"/>
      <c r="E309" s="1232"/>
      <c r="F309" s="1232"/>
      <c r="G309" s="1232"/>
      <c r="H309" s="1232"/>
      <c r="I309" s="1232"/>
      <c r="J309" s="1232"/>
      <c r="K309" s="1232"/>
      <c r="L309" s="1232"/>
      <c r="M309" s="1232"/>
      <c r="N309" s="1232"/>
      <c r="O309" s="1232"/>
      <c r="P309" s="1232"/>
      <c r="Q309" s="1232"/>
      <c r="R309" s="1232"/>
      <c r="S309" s="1232"/>
      <c r="T309" s="1232"/>
      <c r="U309" s="1232"/>
      <c r="V309" s="1232"/>
      <c r="W309" s="1232"/>
      <c r="X309" s="1232"/>
      <c r="Y309" s="1232"/>
      <c r="Z309" s="1232"/>
      <c r="AA309" s="1232"/>
      <c r="AB309" s="1232"/>
      <c r="AC309" s="1232"/>
      <c r="AD309" s="1232"/>
      <c r="AE309" s="1232"/>
      <c r="AF309" s="1232"/>
      <c r="AG309" s="1232"/>
      <c r="AH309" s="1232"/>
      <c r="AI309" s="1232"/>
      <c r="AJ309" s="1232"/>
      <c r="AK309" s="1232"/>
      <c r="AL309" s="1232"/>
    </row>
    <row r="310" customFormat="false" ht="12" hidden="false" customHeight="true" outlineLevel="0" collapsed="false">
      <c r="B310" s="1232"/>
      <c r="C310" s="1232"/>
      <c r="D310" s="1232"/>
      <c r="E310" s="1232"/>
      <c r="F310" s="1232"/>
      <c r="G310" s="1232"/>
      <c r="H310" s="1232"/>
      <c r="I310" s="1232"/>
      <c r="J310" s="1232"/>
      <c r="K310" s="1232"/>
      <c r="L310" s="1232"/>
      <c r="M310" s="1232"/>
      <c r="N310" s="1232"/>
      <c r="O310" s="1232"/>
      <c r="P310" s="1232"/>
      <c r="Q310" s="1232"/>
      <c r="R310" s="1232"/>
      <c r="S310" s="1232"/>
      <c r="T310" s="1232"/>
      <c r="U310" s="1232"/>
      <c r="V310" s="1232"/>
      <c r="W310" s="1232"/>
      <c r="X310" s="1232"/>
      <c r="Y310" s="1232"/>
      <c r="Z310" s="1232"/>
      <c r="AA310" s="1232"/>
      <c r="AB310" s="1232"/>
      <c r="AC310" s="1232"/>
      <c r="AD310" s="1232"/>
      <c r="AE310" s="1232"/>
      <c r="AF310" s="1232"/>
      <c r="AG310" s="1232"/>
      <c r="AH310" s="1232"/>
      <c r="AI310" s="1232"/>
      <c r="AJ310" s="1232"/>
      <c r="AK310" s="1232"/>
      <c r="AL310" s="1232"/>
    </row>
    <row r="311" customFormat="false" ht="12" hidden="false" customHeight="true" outlineLevel="0" collapsed="false">
      <c r="B311" s="1232"/>
      <c r="C311" s="1232"/>
      <c r="D311" s="1232"/>
      <c r="E311" s="1232"/>
      <c r="F311" s="1232"/>
      <c r="G311" s="1232"/>
      <c r="H311" s="1232"/>
      <c r="I311" s="1232"/>
      <c r="J311" s="1232"/>
      <c r="K311" s="1232"/>
      <c r="L311" s="1232"/>
      <c r="M311" s="1232"/>
      <c r="N311" s="1232"/>
      <c r="O311" s="1232"/>
      <c r="P311" s="1232"/>
      <c r="Q311" s="1232"/>
      <c r="R311" s="1232"/>
      <c r="S311" s="1232"/>
      <c r="T311" s="1232"/>
      <c r="U311" s="1232"/>
      <c r="V311" s="1232"/>
      <c r="W311" s="1232"/>
      <c r="X311" s="1232"/>
      <c r="Y311" s="1232"/>
      <c r="Z311" s="1232"/>
      <c r="AA311" s="1232"/>
      <c r="AB311" s="1232"/>
      <c r="AC311" s="1232"/>
      <c r="AD311" s="1232"/>
      <c r="AE311" s="1232"/>
      <c r="AF311" s="1232"/>
      <c r="AG311" s="1232"/>
      <c r="AH311" s="1232"/>
      <c r="AI311" s="1232"/>
      <c r="AJ311" s="1232"/>
      <c r="AK311" s="1232"/>
      <c r="AL311" s="1232"/>
    </row>
    <row r="312" customFormat="false" ht="12" hidden="false" customHeight="true" outlineLevel="0" collapsed="false">
      <c r="B312" s="1232"/>
      <c r="C312" s="1232"/>
      <c r="D312" s="1232"/>
      <c r="E312" s="1232"/>
      <c r="F312" s="1232"/>
      <c r="G312" s="1232"/>
      <c r="H312" s="1232"/>
      <c r="I312" s="1232"/>
      <c r="J312" s="1232"/>
      <c r="K312" s="1232"/>
      <c r="L312" s="1232"/>
      <c r="M312" s="1232"/>
      <c r="N312" s="1232"/>
      <c r="O312" s="1232"/>
      <c r="P312" s="1232"/>
      <c r="Q312" s="1232"/>
      <c r="R312" s="1232"/>
      <c r="S312" s="1232"/>
      <c r="T312" s="1232"/>
      <c r="U312" s="1232"/>
      <c r="V312" s="1232"/>
      <c r="W312" s="1232"/>
      <c r="X312" s="1232"/>
      <c r="Y312" s="1232"/>
      <c r="Z312" s="1232"/>
      <c r="AA312" s="1232"/>
      <c r="AB312" s="1232"/>
      <c r="AC312" s="1232"/>
      <c r="AD312" s="1232"/>
      <c r="AE312" s="1232"/>
      <c r="AF312" s="1232"/>
      <c r="AG312" s="1232"/>
      <c r="AH312" s="1232"/>
      <c r="AI312" s="1232"/>
      <c r="AJ312" s="1232"/>
      <c r="AK312" s="1232"/>
      <c r="AL312" s="1232"/>
    </row>
    <row r="313" customFormat="false" ht="12" hidden="false" customHeight="true" outlineLevel="0" collapsed="false">
      <c r="B313" s="1232"/>
      <c r="C313" s="1232"/>
      <c r="D313" s="1232"/>
      <c r="E313" s="1232"/>
      <c r="F313" s="1232"/>
      <c r="G313" s="1232"/>
      <c r="H313" s="1232"/>
      <c r="I313" s="1232"/>
      <c r="J313" s="1232"/>
      <c r="K313" s="1232"/>
      <c r="L313" s="1232"/>
      <c r="M313" s="1232"/>
      <c r="N313" s="1232"/>
      <c r="O313" s="1232"/>
      <c r="P313" s="1232"/>
      <c r="Q313" s="1232"/>
      <c r="R313" s="1232"/>
      <c r="S313" s="1232"/>
      <c r="T313" s="1232"/>
      <c r="U313" s="1232"/>
      <c r="V313" s="1232"/>
      <c r="W313" s="1232"/>
      <c r="X313" s="1232"/>
      <c r="Y313" s="1232"/>
      <c r="Z313" s="1232"/>
      <c r="AA313" s="1232"/>
      <c r="AB313" s="1232"/>
      <c r="AC313" s="1232"/>
      <c r="AD313" s="1232"/>
      <c r="AE313" s="1232"/>
      <c r="AF313" s="1232"/>
      <c r="AG313" s="1232"/>
      <c r="AH313" s="1232"/>
      <c r="AI313" s="1232"/>
      <c r="AJ313" s="1232"/>
      <c r="AK313" s="1232"/>
      <c r="AL313" s="1232"/>
    </row>
    <row r="314" customFormat="false" ht="12" hidden="false" customHeight="true" outlineLevel="0" collapsed="false">
      <c r="B314" s="1232"/>
      <c r="C314" s="1232"/>
      <c r="D314" s="1232"/>
      <c r="E314" s="1232"/>
      <c r="F314" s="1232"/>
      <c r="G314" s="1232"/>
      <c r="H314" s="1232"/>
      <c r="I314" s="1232"/>
      <c r="J314" s="1232"/>
      <c r="K314" s="1232"/>
      <c r="L314" s="1232"/>
      <c r="M314" s="1232"/>
      <c r="N314" s="1232"/>
      <c r="O314" s="1232"/>
      <c r="P314" s="1232"/>
      <c r="Q314" s="1232"/>
      <c r="R314" s="1232"/>
      <c r="S314" s="1232"/>
      <c r="T314" s="1232"/>
      <c r="U314" s="1232"/>
      <c r="V314" s="1232"/>
      <c r="W314" s="1232"/>
      <c r="X314" s="1232"/>
      <c r="Y314" s="1232"/>
      <c r="Z314" s="1232"/>
      <c r="AA314" s="1232"/>
      <c r="AB314" s="1232"/>
      <c r="AC314" s="1232"/>
      <c r="AD314" s="1232"/>
      <c r="AE314" s="1232"/>
      <c r="AF314" s="1232"/>
      <c r="AG314" s="1232"/>
      <c r="AH314" s="1232"/>
      <c r="AI314" s="1232"/>
      <c r="AJ314" s="1232"/>
      <c r="AK314" s="1232"/>
      <c r="AL314" s="1232"/>
    </row>
    <row r="315" customFormat="false" ht="12" hidden="false" customHeight="true" outlineLevel="0" collapsed="false">
      <c r="B315" s="1232"/>
      <c r="C315" s="1232"/>
      <c r="D315" s="1232"/>
      <c r="E315" s="1232"/>
      <c r="F315" s="1232"/>
      <c r="G315" s="1232"/>
      <c r="H315" s="1232"/>
      <c r="I315" s="1232"/>
      <c r="J315" s="1232"/>
      <c r="K315" s="1232"/>
      <c r="L315" s="1232"/>
      <c r="M315" s="1232"/>
      <c r="N315" s="1232"/>
      <c r="O315" s="1232"/>
      <c r="P315" s="1232"/>
      <c r="Q315" s="1232"/>
      <c r="R315" s="1232"/>
      <c r="S315" s="1232"/>
      <c r="T315" s="1232"/>
      <c r="U315" s="1232"/>
      <c r="V315" s="1232"/>
      <c r="W315" s="1232"/>
      <c r="X315" s="1232"/>
      <c r="Y315" s="1232"/>
      <c r="Z315" s="1232"/>
      <c r="AA315" s="1232"/>
      <c r="AB315" s="1232"/>
      <c r="AC315" s="1232"/>
      <c r="AD315" s="1232"/>
      <c r="AE315" s="1232"/>
      <c r="AF315" s="1232"/>
      <c r="AG315" s="1232"/>
      <c r="AH315" s="1232"/>
      <c r="AI315" s="1232"/>
      <c r="AJ315" s="1232"/>
      <c r="AK315" s="1232"/>
      <c r="AL315" s="1232"/>
    </row>
    <row r="316" customFormat="false" ht="12" hidden="false" customHeight="true" outlineLevel="0" collapsed="false">
      <c r="B316" s="1232"/>
      <c r="C316" s="1232"/>
      <c r="D316" s="1232"/>
      <c r="E316" s="1232"/>
      <c r="F316" s="1232"/>
      <c r="G316" s="1232"/>
      <c r="H316" s="1232"/>
      <c r="I316" s="1232"/>
      <c r="J316" s="1232"/>
      <c r="K316" s="1232"/>
      <c r="L316" s="1232"/>
      <c r="M316" s="1232"/>
      <c r="N316" s="1232"/>
      <c r="O316" s="1232"/>
      <c r="P316" s="1232"/>
      <c r="Q316" s="1232"/>
      <c r="R316" s="1232"/>
      <c r="S316" s="1232"/>
      <c r="T316" s="1232"/>
      <c r="U316" s="1232"/>
      <c r="V316" s="1232"/>
      <c r="W316" s="1232"/>
      <c r="X316" s="1232"/>
      <c r="Y316" s="1232"/>
      <c r="Z316" s="1232"/>
      <c r="AA316" s="1232"/>
      <c r="AB316" s="1232"/>
      <c r="AC316" s="1232"/>
      <c r="AD316" s="1232"/>
      <c r="AE316" s="1232"/>
      <c r="AF316" s="1232"/>
      <c r="AG316" s="1232"/>
      <c r="AH316" s="1232"/>
      <c r="AI316" s="1232"/>
      <c r="AJ316" s="1232"/>
      <c r="AK316" s="1232"/>
      <c r="AL316" s="1232"/>
    </row>
    <row r="317" customFormat="false" ht="12" hidden="false" customHeight="true" outlineLevel="0" collapsed="false">
      <c r="B317" s="1232"/>
      <c r="C317" s="1232"/>
      <c r="D317" s="1232"/>
      <c r="E317" s="1232"/>
      <c r="F317" s="1232"/>
      <c r="G317" s="1232"/>
      <c r="H317" s="1232"/>
      <c r="I317" s="1232"/>
      <c r="J317" s="1232"/>
      <c r="K317" s="1232"/>
      <c r="L317" s="1232"/>
      <c r="M317" s="1232"/>
      <c r="N317" s="1232"/>
      <c r="O317" s="1232"/>
      <c r="P317" s="1232"/>
      <c r="Q317" s="1232"/>
      <c r="R317" s="1232"/>
      <c r="S317" s="1232"/>
      <c r="T317" s="1232"/>
      <c r="U317" s="1232"/>
      <c r="V317" s="1232"/>
      <c r="W317" s="1232"/>
      <c r="X317" s="1232"/>
      <c r="Y317" s="1232"/>
      <c r="Z317" s="1232"/>
      <c r="AA317" s="1232"/>
      <c r="AB317" s="1232"/>
      <c r="AC317" s="1232"/>
      <c r="AD317" s="1232"/>
      <c r="AE317" s="1232"/>
      <c r="AF317" s="1232"/>
      <c r="AG317" s="1232"/>
      <c r="AH317" s="1232"/>
      <c r="AI317" s="1232"/>
      <c r="AJ317" s="1232"/>
      <c r="AK317" s="1232"/>
      <c r="AL317" s="1232"/>
    </row>
    <row r="318" customFormat="false" ht="12" hidden="false" customHeight="true" outlineLevel="0" collapsed="false">
      <c r="B318" s="1232"/>
      <c r="C318" s="1232"/>
      <c r="D318" s="1232"/>
      <c r="E318" s="1232"/>
      <c r="F318" s="1232"/>
      <c r="G318" s="1232"/>
      <c r="H318" s="1232"/>
      <c r="I318" s="1232"/>
      <c r="J318" s="1232"/>
      <c r="K318" s="1232"/>
      <c r="L318" s="1232"/>
      <c r="M318" s="1232"/>
      <c r="N318" s="1232"/>
      <c r="O318" s="1232"/>
      <c r="P318" s="1232"/>
      <c r="Q318" s="1232"/>
      <c r="R318" s="1232"/>
      <c r="S318" s="1232"/>
      <c r="T318" s="1232"/>
      <c r="U318" s="1232"/>
      <c r="V318" s="1232"/>
      <c r="W318" s="1232"/>
      <c r="X318" s="1232"/>
      <c r="Y318" s="1232"/>
      <c r="Z318" s="1232"/>
      <c r="AA318" s="1232"/>
      <c r="AB318" s="1232"/>
      <c r="AC318" s="1232"/>
      <c r="AD318" s="1232"/>
      <c r="AE318" s="1232"/>
      <c r="AF318" s="1232"/>
      <c r="AG318" s="1232"/>
      <c r="AH318" s="1232"/>
      <c r="AI318" s="1232"/>
      <c r="AJ318" s="1232"/>
      <c r="AK318" s="1232"/>
      <c r="AL318" s="1232"/>
    </row>
    <row r="319" customFormat="false" ht="12" hidden="false" customHeight="true" outlineLevel="0" collapsed="false">
      <c r="B319" s="1232"/>
      <c r="C319" s="1232"/>
      <c r="D319" s="1232"/>
      <c r="E319" s="1232"/>
      <c r="F319" s="1232"/>
      <c r="G319" s="1232"/>
      <c r="H319" s="1232"/>
      <c r="I319" s="1232"/>
      <c r="J319" s="1232"/>
      <c r="K319" s="1232"/>
      <c r="L319" s="1232"/>
      <c r="M319" s="1232"/>
      <c r="N319" s="1232"/>
      <c r="O319" s="1232"/>
      <c r="P319" s="1232"/>
      <c r="Q319" s="1232"/>
      <c r="R319" s="1232"/>
      <c r="S319" s="1232"/>
      <c r="T319" s="1232"/>
      <c r="U319" s="1232"/>
      <c r="V319" s="1232"/>
      <c r="W319" s="1232"/>
      <c r="X319" s="1232"/>
      <c r="Y319" s="1232"/>
      <c r="Z319" s="1232"/>
      <c r="AA319" s="1232"/>
      <c r="AB319" s="1232"/>
      <c r="AC319" s="1232"/>
      <c r="AD319" s="1232"/>
      <c r="AE319" s="1232"/>
      <c r="AF319" s="1232"/>
      <c r="AG319" s="1232"/>
      <c r="AH319" s="1232"/>
      <c r="AI319" s="1232"/>
      <c r="AJ319" s="1232"/>
      <c r="AK319" s="1232"/>
      <c r="AL319" s="1232"/>
    </row>
    <row r="320" customFormat="false" ht="12" hidden="false" customHeight="true" outlineLevel="0" collapsed="false">
      <c r="B320" s="1232"/>
      <c r="C320" s="1232"/>
      <c r="D320" s="1232"/>
      <c r="E320" s="1232"/>
      <c r="F320" s="1232"/>
      <c r="G320" s="1232"/>
      <c r="H320" s="1232"/>
      <c r="I320" s="1232"/>
      <c r="J320" s="1232"/>
      <c r="K320" s="1232"/>
      <c r="L320" s="1232"/>
      <c r="M320" s="1232"/>
      <c r="N320" s="1232"/>
      <c r="O320" s="1232"/>
      <c r="P320" s="1232"/>
      <c r="Q320" s="1232"/>
      <c r="R320" s="1232"/>
      <c r="S320" s="1232"/>
      <c r="T320" s="1232"/>
      <c r="U320" s="1232"/>
      <c r="V320" s="1232"/>
      <c r="W320" s="1232"/>
      <c r="X320" s="1232"/>
      <c r="Y320" s="1232"/>
      <c r="Z320" s="1232"/>
      <c r="AA320" s="1232"/>
      <c r="AB320" s="1232"/>
      <c r="AC320" s="1232"/>
      <c r="AD320" s="1232"/>
      <c r="AE320" s="1232"/>
      <c r="AF320" s="1232"/>
      <c r="AG320" s="1232"/>
      <c r="AH320" s="1232"/>
      <c r="AI320" s="1232"/>
      <c r="AJ320" s="1232"/>
      <c r="AK320" s="1232"/>
      <c r="AL320" s="1232"/>
    </row>
    <row r="321" customFormat="false" ht="12" hidden="false" customHeight="true" outlineLevel="0" collapsed="false">
      <c r="B321" s="1232"/>
      <c r="C321" s="1232"/>
      <c r="D321" s="1232"/>
      <c r="E321" s="1232"/>
      <c r="F321" s="1232"/>
      <c r="G321" s="1232"/>
      <c r="H321" s="1232"/>
      <c r="I321" s="1232"/>
      <c r="J321" s="1232"/>
      <c r="K321" s="1232"/>
      <c r="L321" s="1232"/>
      <c r="M321" s="1232"/>
      <c r="N321" s="1232"/>
      <c r="O321" s="1232"/>
      <c r="P321" s="1232"/>
      <c r="Q321" s="1232"/>
      <c r="R321" s="1232"/>
      <c r="S321" s="1232"/>
      <c r="T321" s="1232"/>
      <c r="U321" s="1232"/>
      <c r="V321" s="1232"/>
      <c r="W321" s="1232"/>
      <c r="X321" s="1232"/>
      <c r="Y321" s="1232"/>
      <c r="Z321" s="1232"/>
      <c r="AA321" s="1232"/>
      <c r="AB321" s="1232"/>
      <c r="AC321" s="1232"/>
      <c r="AD321" s="1232"/>
      <c r="AE321" s="1232"/>
      <c r="AF321" s="1232"/>
      <c r="AG321" s="1232"/>
      <c r="AH321" s="1232"/>
      <c r="AI321" s="1232"/>
      <c r="AJ321" s="1232"/>
      <c r="AK321" s="1232"/>
      <c r="AL321" s="1232"/>
    </row>
    <row r="322" customFormat="false" ht="12" hidden="false" customHeight="true" outlineLevel="0" collapsed="false">
      <c r="B322" s="1232"/>
      <c r="C322" s="1232"/>
      <c r="D322" s="1232"/>
      <c r="E322" s="1232"/>
      <c r="F322" s="1232"/>
      <c r="G322" s="1232"/>
      <c r="H322" s="1232"/>
      <c r="I322" s="1232"/>
      <c r="J322" s="1232"/>
      <c r="K322" s="1232"/>
      <c r="L322" s="1232"/>
      <c r="M322" s="1232"/>
      <c r="N322" s="1232"/>
      <c r="O322" s="1232"/>
      <c r="P322" s="1232"/>
      <c r="Q322" s="1232"/>
      <c r="R322" s="1232"/>
      <c r="S322" s="1232"/>
      <c r="T322" s="1232"/>
      <c r="U322" s="1232"/>
      <c r="V322" s="1232"/>
      <c r="W322" s="1232"/>
      <c r="X322" s="1232"/>
      <c r="Y322" s="1232"/>
      <c r="Z322" s="1232"/>
      <c r="AA322" s="1232"/>
      <c r="AB322" s="1232"/>
      <c r="AC322" s="1232"/>
      <c r="AD322" s="1232"/>
      <c r="AE322" s="1232"/>
      <c r="AF322" s="1232"/>
      <c r="AG322" s="1232"/>
      <c r="AH322" s="1232"/>
      <c r="AI322" s="1232"/>
      <c r="AJ322" s="1232"/>
      <c r="AK322" s="1232"/>
      <c r="AL322" s="1232"/>
    </row>
    <row r="323" customFormat="false" ht="12" hidden="false" customHeight="true" outlineLevel="0" collapsed="false">
      <c r="B323" s="1232"/>
      <c r="C323" s="1232"/>
      <c r="D323" s="1232"/>
      <c r="E323" s="1232"/>
      <c r="F323" s="1232"/>
      <c r="G323" s="1232"/>
      <c r="H323" s="1232"/>
      <c r="I323" s="1232"/>
      <c r="J323" s="1232"/>
      <c r="K323" s="1232"/>
      <c r="L323" s="1232"/>
      <c r="M323" s="1232"/>
      <c r="N323" s="1232"/>
      <c r="O323" s="1232"/>
      <c r="P323" s="1232"/>
      <c r="Q323" s="1232"/>
      <c r="R323" s="1232"/>
      <c r="S323" s="1232"/>
      <c r="T323" s="1232"/>
      <c r="U323" s="1232"/>
      <c r="V323" s="1232"/>
      <c r="W323" s="1232"/>
      <c r="X323" s="1232"/>
      <c r="Y323" s="1232"/>
      <c r="Z323" s="1232"/>
      <c r="AA323" s="1232"/>
      <c r="AB323" s="1232"/>
      <c r="AC323" s="1232"/>
      <c r="AD323" s="1232"/>
      <c r="AE323" s="1232"/>
      <c r="AF323" s="1232"/>
      <c r="AG323" s="1232"/>
      <c r="AH323" s="1232"/>
      <c r="AI323" s="1232"/>
      <c r="AJ323" s="1232"/>
      <c r="AK323" s="1232"/>
      <c r="AL323" s="1232"/>
    </row>
    <row r="324" customFormat="false" ht="12" hidden="false" customHeight="true" outlineLevel="0" collapsed="false">
      <c r="B324" s="1232"/>
      <c r="C324" s="1232"/>
      <c r="D324" s="1232"/>
      <c r="E324" s="1232"/>
      <c r="F324" s="1232"/>
      <c r="G324" s="1232"/>
      <c r="H324" s="1232"/>
      <c r="I324" s="1232"/>
      <c r="J324" s="1232"/>
      <c r="K324" s="1232"/>
      <c r="L324" s="1232"/>
      <c r="M324" s="1232"/>
      <c r="N324" s="1232"/>
      <c r="O324" s="1232"/>
      <c r="P324" s="1232"/>
      <c r="Q324" s="1232"/>
      <c r="R324" s="1232"/>
      <c r="S324" s="1232"/>
      <c r="T324" s="1232"/>
      <c r="U324" s="1232"/>
      <c r="V324" s="1232"/>
      <c r="W324" s="1232"/>
      <c r="X324" s="1232"/>
      <c r="Y324" s="1232"/>
      <c r="Z324" s="1232"/>
      <c r="AA324" s="1232"/>
      <c r="AB324" s="1232"/>
      <c r="AC324" s="1232"/>
      <c r="AD324" s="1232"/>
      <c r="AE324" s="1232"/>
      <c r="AF324" s="1232"/>
      <c r="AG324" s="1232"/>
      <c r="AH324" s="1232"/>
      <c r="AI324" s="1232"/>
      <c r="AJ324" s="1232"/>
      <c r="AK324" s="1232"/>
      <c r="AL324" s="1232"/>
    </row>
    <row r="325" customFormat="false" ht="12" hidden="false" customHeight="true" outlineLevel="0" collapsed="false">
      <c r="B325" s="1232"/>
      <c r="C325" s="1232"/>
      <c r="D325" s="1232"/>
      <c r="E325" s="1232"/>
      <c r="F325" s="1232"/>
      <c r="G325" s="1232"/>
      <c r="H325" s="1232"/>
      <c r="I325" s="1232"/>
      <c r="J325" s="1232"/>
      <c r="K325" s="1232"/>
      <c r="L325" s="1232"/>
      <c r="M325" s="1232"/>
      <c r="N325" s="1232"/>
      <c r="O325" s="1232"/>
      <c r="P325" s="1232"/>
      <c r="Q325" s="1232"/>
      <c r="R325" s="1232"/>
      <c r="S325" s="1232"/>
      <c r="T325" s="1232"/>
      <c r="U325" s="1232"/>
      <c r="V325" s="1232"/>
      <c r="W325" s="1232"/>
      <c r="X325" s="1232"/>
      <c r="Y325" s="1232"/>
      <c r="Z325" s="1232"/>
      <c r="AA325" s="1232"/>
      <c r="AB325" s="1232"/>
      <c r="AC325" s="1232"/>
      <c r="AD325" s="1232"/>
      <c r="AE325" s="1232"/>
      <c r="AF325" s="1232"/>
      <c r="AG325" s="1232"/>
      <c r="AH325" s="1232"/>
      <c r="AI325" s="1232"/>
      <c r="AJ325" s="1232"/>
      <c r="AK325" s="1232"/>
      <c r="AL325" s="1232"/>
    </row>
    <row r="326" customFormat="false" ht="12" hidden="false" customHeight="true" outlineLevel="0" collapsed="false">
      <c r="B326" s="1232"/>
      <c r="C326" s="1232"/>
      <c r="D326" s="1232"/>
      <c r="E326" s="1232"/>
      <c r="F326" s="1232"/>
      <c r="G326" s="1232"/>
      <c r="H326" s="1232"/>
      <c r="I326" s="1232"/>
      <c r="J326" s="1232"/>
      <c r="K326" s="1232"/>
      <c r="L326" s="1232"/>
      <c r="M326" s="1232"/>
      <c r="N326" s="1232"/>
      <c r="O326" s="1232"/>
      <c r="P326" s="1232"/>
      <c r="Q326" s="1232"/>
      <c r="R326" s="1232"/>
      <c r="S326" s="1232"/>
      <c r="T326" s="1232"/>
      <c r="U326" s="1232"/>
      <c r="V326" s="1232"/>
      <c r="W326" s="1232"/>
      <c r="X326" s="1232"/>
      <c r="Y326" s="1232"/>
      <c r="Z326" s="1232"/>
      <c r="AA326" s="1232"/>
      <c r="AB326" s="1232"/>
      <c r="AC326" s="1232"/>
      <c r="AD326" s="1232"/>
      <c r="AE326" s="1232"/>
      <c r="AF326" s="1232"/>
      <c r="AG326" s="1232"/>
      <c r="AH326" s="1232"/>
      <c r="AI326" s="1232"/>
      <c r="AJ326" s="1232"/>
      <c r="AK326" s="1232"/>
      <c r="AL326" s="1232"/>
    </row>
    <row r="327" customFormat="false" ht="12" hidden="false" customHeight="true" outlineLevel="0" collapsed="false">
      <c r="B327" s="1232"/>
      <c r="C327" s="1232"/>
      <c r="D327" s="1232"/>
      <c r="E327" s="1232"/>
      <c r="F327" s="1232"/>
      <c r="G327" s="1232"/>
      <c r="H327" s="1232"/>
      <c r="I327" s="1232"/>
      <c r="J327" s="1232"/>
      <c r="K327" s="1232"/>
      <c r="L327" s="1232"/>
      <c r="M327" s="1232"/>
      <c r="N327" s="1232"/>
      <c r="O327" s="1232"/>
      <c r="P327" s="1232"/>
      <c r="Q327" s="1232"/>
      <c r="R327" s="1232"/>
      <c r="S327" s="1232"/>
      <c r="T327" s="1232"/>
      <c r="U327" s="1232"/>
      <c r="V327" s="1232"/>
      <c r="W327" s="1232"/>
      <c r="X327" s="1232"/>
      <c r="Y327" s="1232"/>
      <c r="Z327" s="1232"/>
      <c r="AA327" s="1232"/>
      <c r="AB327" s="1232"/>
      <c r="AC327" s="1232"/>
      <c r="AD327" s="1232"/>
      <c r="AE327" s="1232"/>
      <c r="AF327" s="1232"/>
      <c r="AG327" s="1232"/>
      <c r="AH327" s="1232"/>
      <c r="AI327" s="1232"/>
      <c r="AJ327" s="1232"/>
      <c r="AK327" s="1232"/>
      <c r="AL327" s="1232"/>
    </row>
    <row r="328" customFormat="false" ht="12" hidden="false" customHeight="true" outlineLevel="0" collapsed="false">
      <c r="B328" s="1232"/>
      <c r="C328" s="1232"/>
      <c r="D328" s="1232"/>
      <c r="E328" s="1232"/>
      <c r="F328" s="1232"/>
      <c r="G328" s="1232"/>
      <c r="H328" s="1232"/>
      <c r="I328" s="1232"/>
      <c r="J328" s="1232"/>
      <c r="K328" s="1232"/>
      <c r="L328" s="1232"/>
      <c r="M328" s="1232"/>
      <c r="N328" s="1232"/>
      <c r="O328" s="1232"/>
      <c r="P328" s="1232"/>
      <c r="Q328" s="1232"/>
      <c r="R328" s="1232"/>
      <c r="S328" s="1232"/>
      <c r="T328" s="1232"/>
      <c r="U328" s="1232"/>
      <c r="V328" s="1232"/>
      <c r="W328" s="1232"/>
      <c r="X328" s="1232"/>
      <c r="Y328" s="1232"/>
      <c r="Z328" s="1232"/>
      <c r="AA328" s="1232"/>
      <c r="AB328" s="1232"/>
      <c r="AC328" s="1232"/>
      <c r="AD328" s="1232"/>
      <c r="AE328" s="1232"/>
      <c r="AF328" s="1232"/>
      <c r="AG328" s="1232"/>
      <c r="AH328" s="1232"/>
      <c r="AI328" s="1232"/>
      <c r="AJ328" s="1232"/>
      <c r="AK328" s="1232"/>
      <c r="AL328" s="1232"/>
    </row>
    <row r="329" customFormat="false" ht="12" hidden="false" customHeight="true" outlineLevel="0" collapsed="false">
      <c r="B329" s="1232"/>
      <c r="C329" s="1232"/>
      <c r="D329" s="1232"/>
      <c r="E329" s="1232"/>
      <c r="F329" s="1232"/>
      <c r="G329" s="1232"/>
      <c r="H329" s="1232"/>
      <c r="I329" s="1232"/>
      <c r="J329" s="1232"/>
      <c r="K329" s="1232"/>
      <c r="L329" s="1232"/>
      <c r="M329" s="1232"/>
      <c r="N329" s="1232"/>
      <c r="O329" s="1232"/>
      <c r="P329" s="1232"/>
      <c r="Q329" s="1232"/>
      <c r="R329" s="1232"/>
      <c r="S329" s="1232"/>
      <c r="T329" s="1232"/>
      <c r="U329" s="1232"/>
      <c r="V329" s="1232"/>
      <c r="W329" s="1232"/>
      <c r="X329" s="1232"/>
      <c r="Y329" s="1232"/>
      <c r="Z329" s="1232"/>
      <c r="AA329" s="1232"/>
      <c r="AB329" s="1232"/>
      <c r="AC329" s="1232"/>
      <c r="AD329" s="1232"/>
      <c r="AE329" s="1232"/>
      <c r="AF329" s="1232"/>
      <c r="AG329" s="1232"/>
      <c r="AH329" s="1232"/>
      <c r="AI329" s="1232"/>
      <c r="AJ329" s="1232"/>
      <c r="AK329" s="1232"/>
      <c r="AL329" s="1232"/>
    </row>
    <row r="330" customFormat="false" ht="12" hidden="false" customHeight="true" outlineLevel="0" collapsed="false">
      <c r="B330" s="1232"/>
      <c r="C330" s="1232"/>
      <c r="D330" s="1232"/>
      <c r="E330" s="1232"/>
      <c r="F330" s="1232"/>
      <c r="G330" s="1232"/>
      <c r="H330" s="1232"/>
      <c r="I330" s="1232"/>
      <c r="J330" s="1232"/>
      <c r="K330" s="1232"/>
      <c r="L330" s="1232"/>
      <c r="M330" s="1232"/>
      <c r="N330" s="1232"/>
      <c r="O330" s="1232"/>
      <c r="P330" s="1232"/>
      <c r="Q330" s="1232"/>
      <c r="R330" s="1232"/>
      <c r="S330" s="1232"/>
      <c r="T330" s="1232"/>
      <c r="U330" s="1232"/>
      <c r="V330" s="1232"/>
      <c r="W330" s="1232"/>
      <c r="X330" s="1232"/>
      <c r="Y330" s="1232"/>
      <c r="Z330" s="1232"/>
      <c r="AA330" s="1232"/>
      <c r="AB330" s="1232"/>
      <c r="AC330" s="1232"/>
      <c r="AD330" s="1232"/>
      <c r="AE330" s="1232"/>
      <c r="AF330" s="1232"/>
      <c r="AG330" s="1232"/>
      <c r="AH330" s="1232"/>
      <c r="AI330" s="1232"/>
      <c r="AJ330" s="1232"/>
      <c r="AK330" s="1232"/>
      <c r="AL330" s="1232"/>
    </row>
    <row r="331" customFormat="false" ht="12" hidden="false" customHeight="true" outlineLevel="0" collapsed="false">
      <c r="B331" s="1232"/>
      <c r="C331" s="1232"/>
      <c r="D331" s="1232"/>
      <c r="E331" s="1232"/>
      <c r="F331" s="1232"/>
      <c r="G331" s="1232"/>
      <c r="H331" s="1232"/>
      <c r="I331" s="1232"/>
      <c r="J331" s="1232"/>
      <c r="K331" s="1232"/>
      <c r="L331" s="1232"/>
      <c r="M331" s="1232"/>
      <c r="N331" s="1232"/>
      <c r="O331" s="1232"/>
      <c r="P331" s="1232"/>
      <c r="Q331" s="1232"/>
      <c r="R331" s="1232"/>
      <c r="S331" s="1232"/>
      <c r="T331" s="1232"/>
      <c r="U331" s="1232"/>
      <c r="V331" s="1232"/>
      <c r="W331" s="1232"/>
      <c r="X331" s="1232"/>
      <c r="Y331" s="1232"/>
      <c r="Z331" s="1232"/>
      <c r="AA331" s="1232"/>
      <c r="AB331" s="1232"/>
      <c r="AC331" s="1232"/>
      <c r="AD331" s="1232"/>
      <c r="AE331" s="1232"/>
      <c r="AF331" s="1232"/>
      <c r="AG331" s="1232"/>
      <c r="AH331" s="1232"/>
      <c r="AI331" s="1232"/>
      <c r="AJ331" s="1232"/>
      <c r="AK331" s="1232"/>
      <c r="AL331" s="1232"/>
    </row>
    <row r="332" customFormat="false" ht="12" hidden="false" customHeight="true" outlineLevel="0" collapsed="false">
      <c r="B332" s="1232"/>
      <c r="C332" s="1232"/>
      <c r="D332" s="1232"/>
      <c r="E332" s="1232"/>
      <c r="F332" s="1232"/>
      <c r="G332" s="1232"/>
      <c r="H332" s="1232"/>
      <c r="I332" s="1232"/>
      <c r="J332" s="1232"/>
      <c r="K332" s="1232"/>
      <c r="L332" s="1232"/>
      <c r="M332" s="1232"/>
      <c r="N332" s="1232"/>
      <c r="O332" s="1232"/>
      <c r="P332" s="1232"/>
      <c r="Q332" s="1232"/>
      <c r="R332" s="1232"/>
      <c r="S332" s="1232"/>
      <c r="T332" s="1232"/>
      <c r="U332" s="1232"/>
      <c r="V332" s="1232"/>
      <c r="W332" s="1232"/>
      <c r="X332" s="1232"/>
      <c r="Y332" s="1232"/>
      <c r="Z332" s="1232"/>
      <c r="AA332" s="1232"/>
      <c r="AB332" s="1232"/>
      <c r="AC332" s="1232"/>
      <c r="AD332" s="1232"/>
      <c r="AE332" s="1232"/>
      <c r="AF332" s="1232"/>
      <c r="AG332" s="1232"/>
      <c r="AH332" s="1232"/>
      <c r="AI332" s="1232"/>
      <c r="AJ332" s="1232"/>
      <c r="AK332" s="1232"/>
      <c r="AL332" s="1232"/>
    </row>
    <row r="333" customFormat="false" ht="12" hidden="false" customHeight="true" outlineLevel="0" collapsed="false">
      <c r="B333" s="1232"/>
      <c r="C333" s="1232"/>
      <c r="D333" s="1232"/>
      <c r="E333" s="1232"/>
      <c r="F333" s="1232"/>
      <c r="G333" s="1232"/>
      <c r="H333" s="1232"/>
      <c r="I333" s="1232"/>
      <c r="J333" s="1232"/>
      <c r="K333" s="1232"/>
      <c r="L333" s="1232"/>
      <c r="M333" s="1232"/>
      <c r="N333" s="1232"/>
      <c r="O333" s="1232"/>
      <c r="P333" s="1232"/>
      <c r="Q333" s="1232"/>
      <c r="R333" s="1232"/>
      <c r="S333" s="1232"/>
      <c r="T333" s="1232"/>
      <c r="U333" s="1232"/>
      <c r="V333" s="1232"/>
      <c r="W333" s="1232"/>
      <c r="X333" s="1232"/>
      <c r="Y333" s="1232"/>
      <c r="Z333" s="1232"/>
      <c r="AA333" s="1232"/>
      <c r="AB333" s="1232"/>
      <c r="AC333" s="1232"/>
      <c r="AD333" s="1232"/>
      <c r="AE333" s="1232"/>
      <c r="AF333" s="1232"/>
      <c r="AG333" s="1232"/>
      <c r="AH333" s="1232"/>
      <c r="AI333" s="1232"/>
      <c r="AJ333" s="1232"/>
      <c r="AK333" s="1232"/>
      <c r="AL333" s="1232"/>
    </row>
    <row r="334" customFormat="false" ht="12" hidden="false" customHeight="true" outlineLevel="0" collapsed="false">
      <c r="B334" s="1232"/>
      <c r="C334" s="1232"/>
      <c r="D334" s="1232"/>
      <c r="E334" s="1232"/>
      <c r="F334" s="1232"/>
      <c r="G334" s="1232"/>
      <c r="H334" s="1232"/>
      <c r="I334" s="1232"/>
      <c r="J334" s="1232"/>
      <c r="K334" s="1232"/>
      <c r="L334" s="1232"/>
      <c r="M334" s="1232"/>
      <c r="N334" s="1232"/>
      <c r="O334" s="1232"/>
      <c r="P334" s="1232"/>
      <c r="Q334" s="1232"/>
      <c r="R334" s="1232"/>
      <c r="S334" s="1232"/>
      <c r="T334" s="1232"/>
      <c r="U334" s="1232"/>
      <c r="V334" s="1232"/>
      <c r="W334" s="1232"/>
      <c r="X334" s="1232"/>
      <c r="Y334" s="1232"/>
      <c r="Z334" s="1232"/>
      <c r="AA334" s="1232"/>
      <c r="AB334" s="1232"/>
      <c r="AC334" s="1232"/>
      <c r="AD334" s="1232"/>
      <c r="AE334" s="1232"/>
      <c r="AF334" s="1232"/>
      <c r="AG334" s="1232"/>
      <c r="AH334" s="1232"/>
      <c r="AI334" s="1232"/>
      <c r="AJ334" s="1232"/>
      <c r="AK334" s="1232"/>
      <c r="AL334" s="1232"/>
    </row>
    <row r="335" customFormat="false" ht="12" hidden="false" customHeight="true" outlineLevel="0" collapsed="false">
      <c r="B335" s="1232"/>
      <c r="C335" s="1232"/>
      <c r="D335" s="1232"/>
      <c r="E335" s="1232"/>
      <c r="F335" s="1232"/>
      <c r="G335" s="1232"/>
      <c r="H335" s="1232"/>
      <c r="I335" s="1232"/>
      <c r="J335" s="1232"/>
      <c r="K335" s="1232"/>
      <c r="L335" s="1232"/>
      <c r="M335" s="1232"/>
      <c r="N335" s="1232"/>
      <c r="O335" s="1232"/>
      <c r="P335" s="1232"/>
      <c r="Q335" s="1232"/>
      <c r="R335" s="1232"/>
      <c r="S335" s="1232"/>
      <c r="T335" s="1232"/>
      <c r="U335" s="1232"/>
      <c r="V335" s="1232"/>
      <c r="W335" s="1232"/>
      <c r="X335" s="1232"/>
      <c r="Y335" s="1232"/>
      <c r="Z335" s="1232"/>
      <c r="AA335" s="1232"/>
      <c r="AB335" s="1232"/>
      <c r="AC335" s="1232"/>
      <c r="AD335" s="1232"/>
      <c r="AE335" s="1232"/>
      <c r="AF335" s="1232"/>
      <c r="AG335" s="1232"/>
      <c r="AH335" s="1232"/>
      <c r="AI335" s="1232"/>
      <c r="AJ335" s="1232"/>
      <c r="AK335" s="1232"/>
      <c r="AL335" s="1232"/>
    </row>
    <row r="336" customFormat="false" ht="12" hidden="false" customHeight="true" outlineLevel="0" collapsed="false">
      <c r="B336" s="1232"/>
      <c r="C336" s="1232"/>
      <c r="D336" s="1232"/>
      <c r="E336" s="1232"/>
      <c r="F336" s="1232"/>
      <c r="G336" s="1232"/>
      <c r="H336" s="1232"/>
      <c r="I336" s="1232"/>
      <c r="J336" s="1232"/>
      <c r="K336" s="1232"/>
      <c r="L336" s="1232"/>
      <c r="M336" s="1232"/>
      <c r="N336" s="1232"/>
      <c r="O336" s="1232"/>
      <c r="P336" s="1232"/>
      <c r="Q336" s="1232"/>
      <c r="R336" s="1232"/>
      <c r="S336" s="1232"/>
      <c r="T336" s="1232"/>
      <c r="U336" s="1232"/>
      <c r="V336" s="1232"/>
      <c r="W336" s="1232"/>
      <c r="X336" s="1232"/>
      <c r="Y336" s="1232"/>
      <c r="Z336" s="1232"/>
      <c r="AA336" s="1232"/>
      <c r="AB336" s="1232"/>
      <c r="AC336" s="1232"/>
      <c r="AD336" s="1232"/>
      <c r="AE336" s="1232"/>
      <c r="AF336" s="1232"/>
      <c r="AG336" s="1232"/>
      <c r="AH336" s="1232"/>
      <c r="AI336" s="1232"/>
      <c r="AJ336" s="1232"/>
      <c r="AK336" s="1232"/>
      <c r="AL336" s="1232"/>
    </row>
    <row r="337" customFormat="false" ht="12" hidden="false" customHeight="true" outlineLevel="0" collapsed="false">
      <c r="B337" s="1232"/>
      <c r="C337" s="1232"/>
      <c r="D337" s="1232"/>
      <c r="E337" s="1232"/>
      <c r="F337" s="1232"/>
      <c r="G337" s="1232"/>
      <c r="H337" s="1232"/>
      <c r="I337" s="1232"/>
      <c r="J337" s="1232"/>
      <c r="K337" s="1232"/>
      <c r="L337" s="1232"/>
      <c r="M337" s="1232"/>
      <c r="N337" s="1232"/>
      <c r="O337" s="1232"/>
      <c r="P337" s="1232"/>
      <c r="Q337" s="1232"/>
      <c r="R337" s="1232"/>
      <c r="S337" s="1232"/>
      <c r="T337" s="1232"/>
      <c r="U337" s="1232"/>
      <c r="V337" s="1232"/>
      <c r="W337" s="1232"/>
      <c r="X337" s="1232"/>
      <c r="Y337" s="1232"/>
      <c r="Z337" s="1232"/>
      <c r="AA337" s="1232"/>
      <c r="AB337" s="1232"/>
      <c r="AC337" s="1232"/>
      <c r="AD337" s="1232"/>
      <c r="AE337" s="1232"/>
      <c r="AF337" s="1232"/>
      <c r="AG337" s="1232"/>
      <c r="AH337" s="1232"/>
      <c r="AI337" s="1232"/>
      <c r="AJ337" s="1232"/>
      <c r="AK337" s="1232"/>
      <c r="AL337" s="1232"/>
    </row>
    <row r="338" customFormat="false" ht="12" hidden="false" customHeight="true" outlineLevel="0" collapsed="false">
      <c r="B338" s="1232"/>
      <c r="C338" s="1232"/>
      <c r="D338" s="1232"/>
      <c r="E338" s="1232"/>
      <c r="F338" s="1232"/>
      <c r="G338" s="1232"/>
      <c r="H338" s="1232"/>
      <c r="I338" s="1232"/>
      <c r="J338" s="1232"/>
      <c r="K338" s="1232"/>
      <c r="L338" s="1232"/>
      <c r="M338" s="1232"/>
      <c r="N338" s="1232"/>
      <c r="O338" s="1232"/>
      <c r="P338" s="1232"/>
      <c r="Q338" s="1232"/>
      <c r="R338" s="1232"/>
      <c r="S338" s="1232"/>
      <c r="T338" s="1232"/>
      <c r="U338" s="1232"/>
      <c r="V338" s="1232"/>
      <c r="W338" s="1232"/>
      <c r="X338" s="1232"/>
      <c r="Y338" s="1232"/>
      <c r="Z338" s="1232"/>
      <c r="AA338" s="1232"/>
      <c r="AB338" s="1232"/>
      <c r="AC338" s="1232"/>
      <c r="AD338" s="1232"/>
      <c r="AE338" s="1232"/>
      <c r="AF338" s="1232"/>
      <c r="AG338" s="1232"/>
      <c r="AH338" s="1232"/>
      <c r="AI338" s="1232"/>
      <c r="AJ338" s="1232"/>
      <c r="AK338" s="1232"/>
      <c r="AL338" s="1232"/>
    </row>
    <row r="339" customFormat="false" ht="12" hidden="false" customHeight="true" outlineLevel="0" collapsed="false">
      <c r="B339" s="1232"/>
      <c r="C339" s="1232"/>
      <c r="D339" s="1232"/>
      <c r="E339" s="1232"/>
      <c r="F339" s="1232"/>
      <c r="G339" s="1232"/>
      <c r="H339" s="1232"/>
      <c r="I339" s="1232"/>
      <c r="J339" s="1232"/>
      <c r="K339" s="1232"/>
      <c r="L339" s="1232"/>
      <c r="M339" s="1232"/>
      <c r="N339" s="1232"/>
      <c r="O339" s="1232"/>
      <c r="P339" s="1232"/>
      <c r="Q339" s="1232"/>
      <c r="R339" s="1232"/>
      <c r="S339" s="1232"/>
      <c r="T339" s="1232"/>
      <c r="U339" s="1232"/>
      <c r="V339" s="1232"/>
      <c r="W339" s="1232"/>
      <c r="X339" s="1232"/>
      <c r="Y339" s="1232"/>
      <c r="Z339" s="1232"/>
      <c r="AA339" s="1232"/>
      <c r="AB339" s="1232"/>
      <c r="AC339" s="1232"/>
      <c r="AD339" s="1232"/>
      <c r="AE339" s="1232"/>
      <c r="AF339" s="1232"/>
      <c r="AG339" s="1232"/>
      <c r="AH339" s="1232"/>
      <c r="AI339" s="1232"/>
      <c r="AJ339" s="1232"/>
      <c r="AK339" s="1232"/>
      <c r="AL339" s="1232"/>
    </row>
    <row r="340" customFormat="false" ht="12" hidden="false" customHeight="true" outlineLevel="0" collapsed="false">
      <c r="B340" s="1232"/>
      <c r="C340" s="1232"/>
      <c r="D340" s="1232"/>
      <c r="E340" s="1232"/>
      <c r="F340" s="1232"/>
      <c r="G340" s="1232"/>
      <c r="H340" s="1232"/>
      <c r="I340" s="1232"/>
      <c r="J340" s="1232"/>
      <c r="K340" s="1232"/>
      <c r="L340" s="1232"/>
      <c r="M340" s="1232"/>
      <c r="N340" s="1232"/>
      <c r="O340" s="1232"/>
      <c r="P340" s="1232"/>
      <c r="Q340" s="1232"/>
      <c r="R340" s="1232"/>
      <c r="S340" s="1232"/>
      <c r="T340" s="1232"/>
      <c r="U340" s="1232"/>
      <c r="V340" s="1232"/>
      <c r="W340" s="1232"/>
      <c r="X340" s="1232"/>
      <c r="Y340" s="1232"/>
      <c r="Z340" s="1232"/>
      <c r="AA340" s="1232"/>
      <c r="AB340" s="1232"/>
      <c r="AC340" s="1232"/>
      <c r="AD340" s="1232"/>
      <c r="AE340" s="1232"/>
      <c r="AF340" s="1232"/>
      <c r="AG340" s="1232"/>
      <c r="AH340" s="1232"/>
      <c r="AI340" s="1232"/>
      <c r="AJ340" s="1232"/>
      <c r="AK340" s="1232"/>
      <c r="AL340" s="1232"/>
    </row>
    <row r="341" customFormat="false" ht="12" hidden="false" customHeight="true" outlineLevel="0" collapsed="false">
      <c r="B341" s="1232"/>
      <c r="C341" s="1232"/>
      <c r="D341" s="1232"/>
      <c r="E341" s="1232"/>
      <c r="F341" s="1232"/>
      <c r="G341" s="1232"/>
      <c r="H341" s="1232"/>
      <c r="I341" s="1232"/>
      <c r="J341" s="1232"/>
      <c r="K341" s="1232"/>
      <c r="L341" s="1232"/>
      <c r="M341" s="1232"/>
      <c r="N341" s="1232"/>
      <c r="O341" s="1232"/>
      <c r="P341" s="1232"/>
      <c r="Q341" s="1232"/>
      <c r="R341" s="1232"/>
      <c r="S341" s="1232"/>
      <c r="T341" s="1232"/>
      <c r="U341" s="1232"/>
      <c r="V341" s="1232"/>
      <c r="W341" s="1232"/>
      <c r="X341" s="1232"/>
      <c r="Y341" s="1232"/>
      <c r="Z341" s="1232"/>
      <c r="AA341" s="1232"/>
      <c r="AB341" s="1232"/>
      <c r="AC341" s="1232"/>
      <c r="AD341" s="1232"/>
      <c r="AE341" s="1232"/>
      <c r="AF341" s="1232"/>
      <c r="AG341" s="1232"/>
      <c r="AH341" s="1232"/>
      <c r="AI341" s="1232"/>
      <c r="AJ341" s="1232"/>
      <c r="AK341" s="1232"/>
      <c r="AL341" s="1232"/>
    </row>
    <row r="342" customFormat="false" ht="12" hidden="false" customHeight="true" outlineLevel="0" collapsed="false">
      <c r="B342" s="1232"/>
      <c r="C342" s="1232"/>
      <c r="D342" s="1232"/>
      <c r="E342" s="1232"/>
      <c r="F342" s="1232"/>
      <c r="G342" s="1232"/>
      <c r="H342" s="1232"/>
      <c r="I342" s="1232"/>
      <c r="J342" s="1232"/>
      <c r="K342" s="1232"/>
      <c r="L342" s="1232"/>
      <c r="M342" s="1232"/>
      <c r="N342" s="1232"/>
      <c r="O342" s="1232"/>
      <c r="P342" s="1232"/>
      <c r="Q342" s="1232"/>
      <c r="R342" s="1232"/>
      <c r="S342" s="1232"/>
      <c r="T342" s="1232"/>
      <c r="U342" s="1232"/>
      <c r="V342" s="1232"/>
      <c r="W342" s="1232"/>
      <c r="X342" s="1232"/>
      <c r="Y342" s="1232"/>
      <c r="Z342" s="1232"/>
      <c r="AA342" s="1232"/>
      <c r="AB342" s="1232"/>
      <c r="AC342" s="1232"/>
      <c r="AD342" s="1232"/>
      <c r="AE342" s="1232"/>
      <c r="AF342" s="1232"/>
      <c r="AG342" s="1232"/>
      <c r="AH342" s="1232"/>
      <c r="AI342" s="1232"/>
      <c r="AJ342" s="1232"/>
      <c r="AK342" s="1232"/>
      <c r="AL342" s="1232"/>
    </row>
    <row r="343" customFormat="false" ht="12" hidden="false" customHeight="true" outlineLevel="0" collapsed="false">
      <c r="B343" s="1232"/>
      <c r="C343" s="1232"/>
      <c r="D343" s="1232"/>
      <c r="E343" s="1232"/>
      <c r="F343" s="1232"/>
      <c r="G343" s="1232"/>
      <c r="H343" s="1232"/>
      <c r="I343" s="1232"/>
      <c r="J343" s="1232"/>
      <c r="K343" s="1232"/>
      <c r="L343" s="1232"/>
      <c r="M343" s="1232"/>
      <c r="N343" s="1232"/>
      <c r="O343" s="1232"/>
      <c r="P343" s="1232"/>
      <c r="Q343" s="1232"/>
      <c r="R343" s="1232"/>
      <c r="S343" s="1232"/>
      <c r="T343" s="1232"/>
      <c r="U343" s="1232"/>
      <c r="V343" s="1232"/>
      <c r="W343" s="1232"/>
      <c r="X343" s="1232"/>
      <c r="Y343" s="1232"/>
      <c r="Z343" s="1232"/>
      <c r="AA343" s="1232"/>
      <c r="AB343" s="1232"/>
      <c r="AC343" s="1232"/>
      <c r="AD343" s="1232"/>
      <c r="AE343" s="1232"/>
      <c r="AF343" s="1232"/>
      <c r="AG343" s="1232"/>
      <c r="AH343" s="1232"/>
      <c r="AI343" s="1232"/>
      <c r="AJ343" s="1232"/>
      <c r="AK343" s="1232"/>
      <c r="AL343" s="1232"/>
    </row>
    <row r="344" customFormat="false" ht="12" hidden="false" customHeight="true" outlineLevel="0" collapsed="false">
      <c r="B344" s="1232"/>
      <c r="C344" s="1232"/>
      <c r="D344" s="1232"/>
      <c r="E344" s="1232"/>
      <c r="F344" s="1232"/>
      <c r="G344" s="1232"/>
      <c r="H344" s="1232"/>
      <c r="I344" s="1232"/>
      <c r="J344" s="1232"/>
      <c r="K344" s="1232"/>
      <c r="L344" s="1232"/>
      <c r="M344" s="1232"/>
      <c r="N344" s="1232"/>
      <c r="O344" s="1232"/>
      <c r="P344" s="1232"/>
      <c r="Q344" s="1232"/>
      <c r="R344" s="1232"/>
      <c r="S344" s="1232"/>
      <c r="T344" s="1232"/>
      <c r="U344" s="1232"/>
      <c r="V344" s="1232"/>
      <c r="W344" s="1232"/>
      <c r="X344" s="1232"/>
      <c r="Y344" s="1232"/>
      <c r="Z344" s="1232"/>
      <c r="AA344" s="1232"/>
      <c r="AB344" s="1232"/>
      <c r="AC344" s="1232"/>
      <c r="AD344" s="1232"/>
      <c r="AE344" s="1232"/>
      <c r="AF344" s="1232"/>
      <c r="AG344" s="1232"/>
      <c r="AH344" s="1232"/>
      <c r="AI344" s="1232"/>
      <c r="AJ344" s="1232"/>
      <c r="AK344" s="1232"/>
      <c r="AL344" s="1232"/>
    </row>
    <row r="345" customFormat="false" ht="12" hidden="false" customHeight="true" outlineLevel="0" collapsed="false">
      <c r="B345" s="1232"/>
      <c r="C345" s="1232"/>
      <c r="D345" s="1232"/>
      <c r="E345" s="1232"/>
      <c r="F345" s="1232"/>
      <c r="G345" s="1232"/>
      <c r="H345" s="1232"/>
      <c r="I345" s="1232"/>
      <c r="J345" s="1232"/>
      <c r="K345" s="1232"/>
      <c r="L345" s="1232"/>
      <c r="M345" s="1232"/>
      <c r="N345" s="1232"/>
      <c r="O345" s="1232"/>
      <c r="P345" s="1232"/>
      <c r="Q345" s="1232"/>
      <c r="R345" s="1232"/>
      <c r="S345" s="1232"/>
      <c r="T345" s="1232"/>
      <c r="U345" s="1232"/>
      <c r="V345" s="1232"/>
      <c r="W345" s="1232"/>
      <c r="X345" s="1232"/>
      <c r="Y345" s="1232"/>
      <c r="Z345" s="1232"/>
      <c r="AA345" s="1232"/>
      <c r="AB345" s="1232"/>
      <c r="AC345" s="1232"/>
      <c r="AD345" s="1232"/>
      <c r="AE345" s="1232"/>
      <c r="AF345" s="1232"/>
      <c r="AG345" s="1232"/>
      <c r="AH345" s="1232"/>
      <c r="AI345" s="1232"/>
      <c r="AJ345" s="1232"/>
      <c r="AK345" s="1232"/>
      <c r="AL345" s="1232"/>
    </row>
    <row r="346" customFormat="false" ht="12" hidden="false" customHeight="true" outlineLevel="0" collapsed="false">
      <c r="B346" s="1232"/>
      <c r="C346" s="1232"/>
      <c r="D346" s="1232"/>
      <c r="E346" s="1232"/>
      <c r="F346" s="1232"/>
      <c r="G346" s="1232"/>
      <c r="H346" s="1232"/>
      <c r="I346" s="1232"/>
      <c r="J346" s="1232"/>
      <c r="K346" s="1232"/>
      <c r="L346" s="1232"/>
      <c r="M346" s="1232"/>
      <c r="N346" s="1232"/>
      <c r="O346" s="1232"/>
      <c r="P346" s="1232"/>
      <c r="Q346" s="1232"/>
      <c r="R346" s="1232"/>
      <c r="S346" s="1232"/>
      <c r="T346" s="1232"/>
      <c r="U346" s="1232"/>
      <c r="V346" s="1232"/>
      <c r="W346" s="1232"/>
      <c r="X346" s="1232"/>
      <c r="Y346" s="1232"/>
      <c r="Z346" s="1232"/>
      <c r="AA346" s="1232"/>
      <c r="AB346" s="1232"/>
      <c r="AC346" s="1232"/>
      <c r="AD346" s="1232"/>
      <c r="AE346" s="1232"/>
      <c r="AF346" s="1232"/>
      <c r="AG346" s="1232"/>
      <c r="AH346" s="1232"/>
      <c r="AI346" s="1232"/>
      <c r="AJ346" s="1232"/>
      <c r="AK346" s="1232"/>
      <c r="AL346" s="1232"/>
    </row>
    <row r="347" customFormat="false" ht="12" hidden="false" customHeight="true" outlineLevel="0" collapsed="false">
      <c r="B347" s="1232"/>
      <c r="C347" s="1232"/>
      <c r="D347" s="1232"/>
      <c r="E347" s="1232"/>
      <c r="F347" s="1232"/>
      <c r="G347" s="1232"/>
      <c r="H347" s="1232"/>
      <c r="I347" s="1232"/>
      <c r="J347" s="1232"/>
      <c r="K347" s="1232"/>
      <c r="L347" s="1232"/>
      <c r="M347" s="1232"/>
      <c r="N347" s="1232"/>
      <c r="O347" s="1232"/>
      <c r="P347" s="1232"/>
      <c r="Q347" s="1232"/>
      <c r="R347" s="1232"/>
      <c r="S347" s="1232"/>
      <c r="T347" s="1232"/>
      <c r="U347" s="1232"/>
      <c r="V347" s="1232"/>
      <c r="W347" s="1232"/>
      <c r="X347" s="1232"/>
      <c r="Y347" s="1232"/>
      <c r="Z347" s="1232"/>
      <c r="AA347" s="1232"/>
      <c r="AB347" s="1232"/>
      <c r="AC347" s="1232"/>
      <c r="AD347" s="1232"/>
      <c r="AE347" s="1232"/>
      <c r="AF347" s="1232"/>
      <c r="AG347" s="1232"/>
      <c r="AH347" s="1232"/>
      <c r="AI347" s="1232"/>
      <c r="AJ347" s="1232"/>
      <c r="AK347" s="1232"/>
      <c r="AL347" s="1232"/>
    </row>
    <row r="348" customFormat="false" ht="12" hidden="false" customHeight="true" outlineLevel="0" collapsed="false">
      <c r="B348" s="1232"/>
      <c r="C348" s="1232"/>
      <c r="D348" s="1232"/>
      <c r="E348" s="1232"/>
      <c r="F348" s="1232"/>
      <c r="G348" s="1232"/>
      <c r="H348" s="1232"/>
      <c r="I348" s="1232"/>
      <c r="J348" s="1232"/>
      <c r="K348" s="1232"/>
      <c r="L348" s="1232"/>
      <c r="M348" s="1232"/>
      <c r="N348" s="1232"/>
      <c r="O348" s="1232"/>
      <c r="P348" s="1232"/>
      <c r="Q348" s="1232"/>
      <c r="R348" s="1232"/>
      <c r="S348" s="1232"/>
      <c r="T348" s="1232"/>
      <c r="U348" s="1232"/>
      <c r="V348" s="1232"/>
      <c r="W348" s="1232"/>
      <c r="X348" s="1232"/>
      <c r="Y348" s="1232"/>
      <c r="Z348" s="1232"/>
      <c r="AA348" s="1232"/>
      <c r="AB348" s="1232"/>
      <c r="AC348" s="1232"/>
      <c r="AD348" s="1232"/>
      <c r="AE348" s="1232"/>
      <c r="AF348" s="1232"/>
      <c r="AG348" s="1232"/>
      <c r="AH348" s="1232"/>
      <c r="AI348" s="1232"/>
      <c r="AJ348" s="1232"/>
      <c r="AK348" s="1232"/>
      <c r="AL348" s="1232"/>
    </row>
    <row r="349" customFormat="false" ht="12" hidden="false" customHeight="true" outlineLevel="0" collapsed="false">
      <c r="B349" s="1232"/>
      <c r="C349" s="1232"/>
      <c r="D349" s="1232"/>
      <c r="E349" s="1232"/>
      <c r="F349" s="1232"/>
      <c r="G349" s="1232"/>
      <c r="H349" s="1232"/>
      <c r="I349" s="1232"/>
      <c r="J349" s="1232"/>
      <c r="K349" s="1232"/>
      <c r="L349" s="1232"/>
      <c r="M349" s="1232"/>
      <c r="N349" s="1232"/>
      <c r="O349" s="1232"/>
      <c r="P349" s="1232"/>
      <c r="Q349" s="1232"/>
      <c r="R349" s="1232"/>
      <c r="S349" s="1232"/>
      <c r="T349" s="1232"/>
      <c r="U349" s="1232"/>
      <c r="V349" s="1232"/>
      <c r="W349" s="1232"/>
      <c r="X349" s="1232"/>
      <c r="Y349" s="1232"/>
      <c r="Z349" s="1232"/>
      <c r="AA349" s="1232"/>
      <c r="AB349" s="1232"/>
      <c r="AC349" s="1232"/>
      <c r="AD349" s="1232"/>
      <c r="AE349" s="1232"/>
      <c r="AF349" s="1232"/>
      <c r="AG349" s="1232"/>
      <c r="AH349" s="1232"/>
      <c r="AI349" s="1232"/>
      <c r="AJ349" s="1232"/>
      <c r="AK349" s="1232"/>
      <c r="AL349" s="1232"/>
    </row>
    <row r="350" customFormat="false" ht="12" hidden="false" customHeight="true" outlineLevel="0" collapsed="false">
      <c r="B350" s="1232"/>
      <c r="C350" s="1232"/>
      <c r="D350" s="1232"/>
      <c r="E350" s="1232"/>
      <c r="F350" s="1232"/>
      <c r="G350" s="1232"/>
      <c r="H350" s="1232"/>
      <c r="I350" s="1232"/>
      <c r="J350" s="1232"/>
      <c r="K350" s="1232"/>
      <c r="L350" s="1232"/>
      <c r="M350" s="1232"/>
      <c r="N350" s="1232"/>
      <c r="O350" s="1232"/>
      <c r="P350" s="1232"/>
      <c r="Q350" s="1232"/>
      <c r="R350" s="1232"/>
      <c r="S350" s="1232"/>
      <c r="T350" s="1232"/>
      <c r="U350" s="1232"/>
      <c r="V350" s="1232"/>
      <c r="W350" s="1232"/>
      <c r="X350" s="1232"/>
      <c r="Y350" s="1232"/>
      <c r="Z350" s="1232"/>
      <c r="AA350" s="1232"/>
      <c r="AB350" s="1232"/>
      <c r="AC350" s="1232"/>
      <c r="AD350" s="1232"/>
      <c r="AE350" s="1232"/>
      <c r="AF350" s="1232"/>
      <c r="AG350" s="1232"/>
      <c r="AH350" s="1232"/>
      <c r="AI350" s="1232"/>
      <c r="AJ350" s="1232"/>
      <c r="AK350" s="1232"/>
      <c r="AL350" s="1232"/>
    </row>
    <row r="351" customFormat="false" ht="12" hidden="false" customHeight="true" outlineLevel="0" collapsed="false">
      <c r="B351" s="1232"/>
      <c r="C351" s="1232"/>
      <c r="D351" s="1232"/>
      <c r="E351" s="1232"/>
      <c r="F351" s="1232"/>
      <c r="G351" s="1232"/>
      <c r="H351" s="1232"/>
      <c r="I351" s="1232"/>
      <c r="J351" s="1232"/>
      <c r="K351" s="1232"/>
      <c r="L351" s="1232"/>
      <c r="M351" s="1232"/>
      <c r="N351" s="1232"/>
      <c r="O351" s="1232"/>
      <c r="P351" s="1232"/>
      <c r="Q351" s="1232"/>
      <c r="R351" s="1232"/>
      <c r="S351" s="1232"/>
      <c r="T351" s="1232"/>
      <c r="U351" s="1232"/>
      <c r="V351" s="1232"/>
      <c r="W351" s="1232"/>
      <c r="X351" s="1232"/>
      <c r="Y351" s="1232"/>
      <c r="Z351" s="1232"/>
      <c r="AA351" s="1232"/>
      <c r="AB351" s="1232"/>
      <c r="AC351" s="1232"/>
      <c r="AD351" s="1232"/>
      <c r="AE351" s="1232"/>
      <c r="AF351" s="1232"/>
      <c r="AG351" s="1232"/>
      <c r="AH351" s="1232"/>
      <c r="AI351" s="1232"/>
      <c r="AJ351" s="1232"/>
      <c r="AK351" s="1232"/>
      <c r="AL351" s="1232"/>
    </row>
    <row r="352" customFormat="false" ht="12" hidden="false" customHeight="true" outlineLevel="0" collapsed="false">
      <c r="B352" s="1232"/>
      <c r="C352" s="1232"/>
      <c r="D352" s="1232"/>
      <c r="E352" s="1232"/>
      <c r="F352" s="1232"/>
      <c r="G352" s="1232"/>
      <c r="H352" s="1232"/>
      <c r="I352" s="1232"/>
      <c r="J352" s="1232"/>
      <c r="K352" s="1232"/>
      <c r="L352" s="1232"/>
      <c r="M352" s="1232"/>
      <c r="N352" s="1232"/>
      <c r="O352" s="1232"/>
      <c r="P352" s="1232"/>
      <c r="Q352" s="1232"/>
      <c r="R352" s="1232"/>
      <c r="S352" s="1232"/>
      <c r="T352" s="1232"/>
      <c r="U352" s="1232"/>
      <c r="V352" s="1232"/>
      <c r="W352" s="1232"/>
      <c r="X352" s="1232"/>
      <c r="Y352" s="1232"/>
      <c r="Z352" s="1232"/>
      <c r="AA352" s="1232"/>
      <c r="AB352" s="1232"/>
      <c r="AC352" s="1232"/>
      <c r="AD352" s="1232"/>
      <c r="AE352" s="1232"/>
      <c r="AF352" s="1232"/>
      <c r="AG352" s="1232"/>
      <c r="AH352" s="1232"/>
      <c r="AI352" s="1232"/>
      <c r="AJ352" s="1232"/>
      <c r="AK352" s="1232"/>
      <c r="AL352" s="1232"/>
    </row>
    <row r="353" customFormat="false" ht="12" hidden="false" customHeight="true" outlineLevel="0" collapsed="false">
      <c r="B353" s="1232"/>
      <c r="C353" s="1232"/>
      <c r="D353" s="1232"/>
      <c r="E353" s="1232"/>
      <c r="F353" s="1232"/>
      <c r="G353" s="1232"/>
      <c r="H353" s="1232"/>
      <c r="I353" s="1232"/>
      <c r="J353" s="1232"/>
      <c r="K353" s="1232"/>
      <c r="L353" s="1232"/>
      <c r="M353" s="1232"/>
      <c r="N353" s="1232"/>
      <c r="O353" s="1232"/>
      <c r="P353" s="1232"/>
      <c r="Q353" s="1232"/>
      <c r="R353" s="1232"/>
      <c r="S353" s="1232"/>
      <c r="T353" s="1232"/>
      <c r="U353" s="1232"/>
      <c r="V353" s="1232"/>
      <c r="W353" s="1232"/>
      <c r="X353" s="1232"/>
      <c r="Y353" s="1232"/>
      <c r="Z353" s="1232"/>
      <c r="AA353" s="1232"/>
      <c r="AB353" s="1232"/>
      <c r="AC353" s="1232"/>
      <c r="AD353" s="1232"/>
      <c r="AE353" s="1232"/>
      <c r="AF353" s="1232"/>
      <c r="AG353" s="1232"/>
      <c r="AH353" s="1232"/>
      <c r="AI353" s="1232"/>
      <c r="AJ353" s="1232"/>
      <c r="AK353" s="1232"/>
      <c r="AL353" s="1232"/>
    </row>
    <row r="354" customFormat="false" ht="12" hidden="false" customHeight="true" outlineLevel="0" collapsed="false">
      <c r="B354" s="1232"/>
      <c r="C354" s="1232"/>
      <c r="D354" s="1232"/>
      <c r="E354" s="1232"/>
      <c r="F354" s="1232"/>
      <c r="G354" s="1232"/>
      <c r="H354" s="1232"/>
      <c r="I354" s="1232"/>
      <c r="J354" s="1232"/>
      <c r="K354" s="1232"/>
      <c r="L354" s="1232"/>
      <c r="M354" s="1232"/>
      <c r="N354" s="1232"/>
      <c r="O354" s="1232"/>
      <c r="P354" s="1232"/>
      <c r="Q354" s="1232"/>
      <c r="R354" s="1232"/>
      <c r="S354" s="1232"/>
      <c r="T354" s="1232"/>
      <c r="U354" s="1232"/>
      <c r="V354" s="1232"/>
      <c r="W354" s="1232"/>
      <c r="X354" s="1232"/>
      <c r="Y354" s="1232"/>
      <c r="Z354" s="1232"/>
      <c r="AA354" s="1232"/>
      <c r="AB354" s="1232"/>
      <c r="AC354" s="1232"/>
      <c r="AD354" s="1232"/>
      <c r="AE354" s="1232"/>
      <c r="AF354" s="1232"/>
      <c r="AG354" s="1232"/>
      <c r="AH354" s="1232"/>
      <c r="AI354" s="1232"/>
      <c r="AJ354" s="1232"/>
      <c r="AK354" s="1232"/>
      <c r="AL354" s="1232"/>
    </row>
    <row r="355" customFormat="false" ht="12" hidden="false" customHeight="true" outlineLevel="0" collapsed="false">
      <c r="R355" s="1232"/>
      <c r="S355" s="1232"/>
      <c r="T355" s="1232"/>
      <c r="U355" s="1232"/>
      <c r="V355" s="1232"/>
      <c r="W355" s="1232"/>
      <c r="X355" s="1232"/>
      <c r="Y355" s="1232"/>
      <c r="Z355" s="1232"/>
      <c r="AA355" s="1232"/>
      <c r="AB355" s="1232"/>
      <c r="AC355" s="1232"/>
      <c r="AD355" s="1232"/>
      <c r="AE355" s="1232"/>
    </row>
    <row r="356" customFormat="false" ht="12" hidden="false" customHeight="true" outlineLevel="0" collapsed="false">
      <c r="R356" s="1232"/>
      <c r="S356" s="1232"/>
      <c r="T356" s="1232"/>
      <c r="U356" s="1232"/>
      <c r="V356" s="1232"/>
      <c r="W356" s="1232"/>
      <c r="X356" s="1232"/>
      <c r="Y356" s="1232"/>
      <c r="Z356" s="1232"/>
      <c r="AA356" s="1232"/>
      <c r="AB356" s="1232"/>
      <c r="AC356" s="1232"/>
      <c r="AD356" s="1232"/>
      <c r="AE356" s="1232"/>
    </row>
    <row r="357" customFormat="false" ht="12" hidden="false" customHeight="true" outlineLevel="0" collapsed="false">
      <c r="R357" s="1232"/>
      <c r="S357" s="1232"/>
      <c r="T357" s="1232"/>
      <c r="U357" s="1232"/>
      <c r="V357" s="1232"/>
      <c r="W357" s="1232"/>
      <c r="X357" s="1232"/>
      <c r="Y357" s="1232"/>
      <c r="Z357" s="1232"/>
      <c r="AA357" s="1232"/>
      <c r="AB357" s="1232"/>
      <c r="AC357" s="1232"/>
      <c r="AD357" s="1232"/>
      <c r="AE357" s="1232"/>
    </row>
    <row r="358" customFormat="false" ht="12" hidden="false" customHeight="true" outlineLevel="0" collapsed="false">
      <c r="R358" s="1232"/>
      <c r="S358" s="1232"/>
      <c r="T358" s="1232"/>
      <c r="U358" s="1232"/>
      <c r="V358" s="1232"/>
      <c r="W358" s="1232"/>
      <c r="X358" s="1232"/>
      <c r="Y358" s="1232"/>
      <c r="Z358" s="1232"/>
      <c r="AA358" s="1232"/>
      <c r="AB358" s="1232"/>
      <c r="AC358" s="1232"/>
      <c r="AD358" s="1232"/>
      <c r="AE358" s="1232"/>
    </row>
    <row r="359" customFormat="false" ht="12" hidden="false" customHeight="true" outlineLevel="0" collapsed="false">
      <c r="R359" s="1232"/>
      <c r="S359" s="1232"/>
      <c r="T359" s="1232"/>
      <c r="U359" s="1232"/>
      <c r="V359" s="1232"/>
      <c r="W359" s="1232"/>
      <c r="X359" s="1232"/>
      <c r="Y359" s="1232"/>
      <c r="Z359" s="1232"/>
      <c r="AA359" s="1232"/>
      <c r="AB359" s="1232"/>
      <c r="AC359" s="1232"/>
      <c r="AD359" s="1232"/>
      <c r="AE359" s="1232"/>
    </row>
    <row r="360" customFormat="false" ht="12" hidden="false" customHeight="true" outlineLevel="0" collapsed="false">
      <c r="R360" s="1232"/>
      <c r="S360" s="1232"/>
      <c r="T360" s="1232"/>
      <c r="U360" s="1232"/>
      <c r="V360" s="1232"/>
      <c r="W360" s="1232"/>
      <c r="X360" s="1232"/>
      <c r="Y360" s="1232"/>
      <c r="Z360" s="1232"/>
      <c r="AA360" s="1232"/>
      <c r="AB360" s="1232"/>
      <c r="AC360" s="1232"/>
      <c r="AD360" s="1232"/>
      <c r="AE360" s="1232"/>
    </row>
    <row r="361" customFormat="false" ht="12" hidden="false" customHeight="true" outlineLevel="0" collapsed="false">
      <c r="R361" s="1232"/>
      <c r="S361" s="1232"/>
      <c r="T361" s="1232"/>
      <c r="U361" s="1232"/>
      <c r="V361" s="1232"/>
      <c r="W361" s="1232"/>
      <c r="X361" s="1232"/>
      <c r="Y361" s="1232"/>
      <c r="Z361" s="1232"/>
      <c r="AA361" s="1232"/>
      <c r="AB361" s="1232"/>
      <c r="AC361" s="1232"/>
      <c r="AD361" s="1232"/>
      <c r="AE361" s="1232"/>
    </row>
    <row r="362" customFormat="false" ht="12" hidden="false" customHeight="true" outlineLevel="0" collapsed="false">
      <c r="R362" s="1232"/>
      <c r="S362" s="1232"/>
      <c r="T362" s="1232"/>
      <c r="U362" s="1232"/>
      <c r="V362" s="1232"/>
      <c r="W362" s="1232"/>
      <c r="X362" s="1232"/>
      <c r="Y362" s="1232"/>
      <c r="Z362" s="1232"/>
      <c r="AA362" s="1232"/>
      <c r="AB362" s="1232"/>
      <c r="AC362" s="1232"/>
      <c r="AD362" s="1232"/>
      <c r="AE362" s="1232"/>
    </row>
    <row r="363" customFormat="false" ht="12" hidden="false" customHeight="true" outlineLevel="0" collapsed="false">
      <c r="R363" s="1232"/>
      <c r="S363" s="1232"/>
      <c r="T363" s="1232"/>
      <c r="U363" s="1232"/>
      <c r="V363" s="1232"/>
      <c r="W363" s="1232"/>
      <c r="X363" s="1232"/>
      <c r="Y363" s="1232"/>
      <c r="Z363" s="1232"/>
      <c r="AA363" s="1232"/>
      <c r="AB363" s="1232"/>
      <c r="AC363" s="1232"/>
      <c r="AD363" s="1232"/>
      <c r="AE363" s="1232"/>
    </row>
    <row r="364" customFormat="false" ht="12" hidden="false" customHeight="true" outlineLevel="0" collapsed="false">
      <c r="R364" s="1232"/>
      <c r="S364" s="1232"/>
      <c r="T364" s="1232"/>
      <c r="U364" s="1232"/>
      <c r="V364" s="1232"/>
      <c r="W364" s="1232"/>
      <c r="X364" s="1232"/>
      <c r="Y364" s="1232"/>
      <c r="Z364" s="1232"/>
      <c r="AA364" s="1232"/>
      <c r="AB364" s="1232"/>
      <c r="AC364" s="1232"/>
      <c r="AD364" s="1232"/>
      <c r="AE364" s="1232"/>
    </row>
    <row r="365" customFormat="false" ht="12" hidden="false" customHeight="true" outlineLevel="0" collapsed="false">
      <c r="R365" s="1232"/>
      <c r="S365" s="1232"/>
      <c r="T365" s="1232"/>
      <c r="U365" s="1232"/>
      <c r="V365" s="1232"/>
      <c r="W365" s="1232"/>
      <c r="X365" s="1232"/>
      <c r="Y365" s="1232"/>
      <c r="Z365" s="1232"/>
      <c r="AA365" s="1232"/>
      <c r="AB365" s="1232"/>
      <c r="AC365" s="1232"/>
      <c r="AD365" s="1232"/>
      <c r="AE365" s="1232"/>
    </row>
    <row r="366" customFormat="false" ht="12" hidden="false" customHeight="true" outlineLevel="0" collapsed="false">
      <c r="R366" s="1232"/>
      <c r="S366" s="1232"/>
      <c r="T366" s="1232"/>
      <c r="U366" s="1232"/>
      <c r="V366" s="1232"/>
      <c r="W366" s="1232"/>
      <c r="X366" s="1232"/>
      <c r="Y366" s="1232"/>
      <c r="Z366" s="1232"/>
      <c r="AA366" s="1232"/>
      <c r="AB366" s="1232"/>
      <c r="AC366" s="1232"/>
      <c r="AD366" s="1232"/>
      <c r="AE366" s="1232"/>
    </row>
  </sheetData>
  <mergeCells count="12">
    <mergeCell ref="A3:O3"/>
    <mergeCell ref="A6:A9"/>
    <mergeCell ref="B6:I6"/>
    <mergeCell ref="K6:O6"/>
    <mergeCell ref="B7:G7"/>
    <mergeCell ref="H7:H9"/>
    <mergeCell ref="I7:I9"/>
    <mergeCell ref="J7:J9"/>
    <mergeCell ref="K7:N7"/>
    <mergeCell ref="O7:O9"/>
    <mergeCell ref="F8:F9"/>
    <mergeCell ref="G8:G9"/>
  </mergeCells>
  <hyperlinks>
    <hyperlink ref="B1" location="Index!A1" display="Back to index"/>
  </hyperlinks>
  <printOptions headings="false" gridLines="false" gridLinesSet="true" horizontalCentered="true" verticalCentered="true"/>
  <pageMargins left="0.790277777777778" right="0.790277777777778" top="0.979861111111111" bottom="0.979861111111111" header="0.511811023622047" footer="0.511811023622047"/>
  <pageSetup paperSize="9" scale="100" fitToWidth="1" fitToHeight="2"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C0C0"/>
    <pageSetUpPr fitToPage="true"/>
  </sheetPr>
  <dimension ref="A1:P2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3" activeCellId="0" sqref="A3"/>
    </sheetView>
  </sheetViews>
  <sheetFormatPr defaultColWidth="11.0546875" defaultRowHeight="12" zeroHeight="false" outlineLevelRow="0" outlineLevelCol="0"/>
  <cols>
    <col collapsed="false" customWidth="true" hidden="false" outlineLevel="0" max="14" min="1" style="0" width="9.66"/>
    <col collapsed="false" customWidth="true" hidden="false" outlineLevel="0" max="16" min="15" style="0" width="12.66"/>
    <col collapsed="false" customWidth="true" hidden="false" outlineLevel="0" max="52" min="17" style="0" width="9.66"/>
  </cols>
  <sheetData>
    <row r="1" customFormat="false" ht="12" hidden="false" customHeight="false" outlineLevel="0" collapsed="false">
      <c r="B1" s="21" t="s">
        <v>9</v>
      </c>
      <c r="C1" s="198"/>
      <c r="D1" s="198"/>
      <c r="E1" s="198"/>
      <c r="F1" s="198"/>
      <c r="G1" s="198"/>
      <c r="H1" s="198"/>
      <c r="I1" s="198"/>
      <c r="J1" s="198"/>
      <c r="K1" s="198"/>
      <c r="L1" s="198"/>
      <c r="M1" s="198"/>
      <c r="N1" s="198"/>
      <c r="O1" s="198"/>
      <c r="P1" s="198"/>
    </row>
    <row r="2" customFormat="false" ht="13" hidden="false" customHeight="false" outlineLevel="0" collapsed="false"/>
    <row r="3" customFormat="false" ht="19.75" hidden="false" customHeight="true" outlineLevel="0" collapsed="false">
      <c r="A3" s="357" t="s">
        <v>374</v>
      </c>
      <c r="B3" s="357"/>
      <c r="C3" s="357"/>
      <c r="D3" s="357"/>
      <c r="E3" s="357"/>
      <c r="F3" s="357"/>
      <c r="G3" s="357"/>
      <c r="H3" s="357"/>
      <c r="I3" s="357"/>
      <c r="J3" s="357"/>
      <c r="K3" s="357"/>
      <c r="L3" s="357"/>
      <c r="M3" s="357"/>
      <c r="N3" s="357"/>
      <c r="O3" s="191"/>
      <c r="P3" s="191"/>
    </row>
    <row r="4" customFormat="false" ht="12" hidden="false" customHeight="false" outlineLevel="0" collapsed="false">
      <c r="A4" s="358"/>
      <c r="B4" s="114"/>
      <c r="C4" s="114"/>
      <c r="D4" s="114"/>
      <c r="E4" s="114"/>
      <c r="F4" s="114"/>
      <c r="G4" s="114"/>
      <c r="H4" s="114"/>
      <c r="I4" s="114"/>
      <c r="J4" s="114"/>
      <c r="K4" s="114"/>
      <c r="L4" s="114"/>
      <c r="M4" s="114"/>
      <c r="N4" s="359"/>
    </row>
    <row r="5" customFormat="false" ht="12" hidden="false" customHeight="false" outlineLevel="0" collapsed="false">
      <c r="A5" s="358"/>
      <c r="B5" s="554" t="s">
        <v>11</v>
      </c>
      <c r="C5" s="554" t="s">
        <v>12</v>
      </c>
      <c r="D5" s="554" t="s">
        <v>13</v>
      </c>
      <c r="E5" s="554" t="s">
        <v>14</v>
      </c>
      <c r="F5" s="554" t="s">
        <v>15</v>
      </c>
      <c r="G5" s="554" t="s">
        <v>16</v>
      </c>
      <c r="H5" s="554" t="s">
        <v>17</v>
      </c>
      <c r="I5" s="554" t="s">
        <v>18</v>
      </c>
      <c r="J5" s="554" t="s">
        <v>19</v>
      </c>
      <c r="K5" s="554" t="s">
        <v>20</v>
      </c>
      <c r="L5" s="554" t="s">
        <v>21</v>
      </c>
      <c r="M5" s="32" t="s">
        <v>21</v>
      </c>
      <c r="N5" s="781" t="s">
        <v>22</v>
      </c>
      <c r="O5" s="31"/>
      <c r="P5" s="31"/>
    </row>
    <row r="6" customFormat="false" ht="15" hidden="false" customHeight="true" outlineLevel="0" collapsed="false">
      <c r="A6" s="358"/>
      <c r="B6" s="1247" t="s">
        <v>375</v>
      </c>
      <c r="C6" s="1247"/>
      <c r="D6" s="1247"/>
      <c r="E6" s="1247"/>
      <c r="F6" s="1247"/>
      <c r="G6" s="1247"/>
      <c r="H6" s="1247"/>
      <c r="I6" s="1247"/>
      <c r="J6" s="1247"/>
      <c r="K6" s="1247"/>
      <c r="L6" s="1247"/>
      <c r="M6" s="1247"/>
      <c r="N6" s="1247"/>
      <c r="O6" s="31"/>
      <c r="P6" s="31"/>
    </row>
    <row r="7" customFormat="false" ht="45" hidden="false" customHeight="true" outlineLevel="0" collapsed="false">
      <c r="A7" s="364"/>
      <c r="B7" s="366" t="s">
        <v>376</v>
      </c>
      <c r="C7" s="366" t="s">
        <v>377</v>
      </c>
      <c r="D7" s="567" t="s">
        <v>378</v>
      </c>
      <c r="E7" s="567" t="s">
        <v>379</v>
      </c>
      <c r="F7" s="366" t="s">
        <v>380</v>
      </c>
      <c r="G7" s="567" t="s">
        <v>381</v>
      </c>
      <c r="H7" s="366" t="s">
        <v>382</v>
      </c>
      <c r="I7" s="567" t="s">
        <v>383</v>
      </c>
      <c r="J7" s="1248" t="s">
        <v>384</v>
      </c>
      <c r="K7" s="1248" t="s">
        <v>385</v>
      </c>
      <c r="L7" s="567" t="s">
        <v>386</v>
      </c>
      <c r="M7" s="1248" t="s">
        <v>387</v>
      </c>
      <c r="N7" s="1249" t="s">
        <v>388</v>
      </c>
      <c r="O7" s="1250"/>
      <c r="P7" s="1250"/>
    </row>
    <row r="8" customFormat="false" ht="39.75" hidden="false" customHeight="true" outlineLevel="0" collapsed="false">
      <c r="A8" s="364"/>
      <c r="B8" s="366"/>
      <c r="C8" s="366"/>
      <c r="D8" s="567"/>
      <c r="E8" s="567"/>
      <c r="F8" s="366"/>
      <c r="G8" s="567"/>
      <c r="H8" s="366"/>
      <c r="I8" s="567"/>
      <c r="J8" s="1248"/>
      <c r="K8" s="1248"/>
      <c r="L8" s="567"/>
      <c r="M8" s="1248"/>
      <c r="N8" s="1249"/>
      <c r="O8" s="1250"/>
      <c r="P8" s="1250"/>
    </row>
    <row r="9" customFormat="false" ht="12" hidden="false" customHeight="true" outlineLevel="0" collapsed="false">
      <c r="A9" s="439" t="n">
        <v>1950</v>
      </c>
      <c r="B9" s="1251" t="n">
        <f aca="false">C9+F9+H9</f>
        <v>1.81096491207406</v>
      </c>
      <c r="C9" s="1251" t="n">
        <f aca="false">D9-E9</f>
        <v>0.598879115552486</v>
      </c>
      <c r="D9" s="1252" t="n">
        <f aca="false">0.5*(DataDE2!AD12+DataDE2!AD13)/TableDE1!B90</f>
        <v>0.649920515036978</v>
      </c>
      <c r="E9" s="1252" t="n">
        <f aca="false">0.5*(DataDE2!AR12+DataDE2!AR13)/TableDE1!$B90</f>
        <v>0.0510413994844916</v>
      </c>
      <c r="F9" s="1251" t="n">
        <f aca="false">0.5*(DataDE2!AC12+DataDE2!AC13)/TableDE1!B90-TableDE6c!D9</f>
        <v>0.903075279900132</v>
      </c>
      <c r="G9" s="1251"/>
      <c r="H9" s="1251" t="n">
        <f aca="false">I9+L9</f>
        <v>0.309010516621446</v>
      </c>
      <c r="I9" s="1252" t="n">
        <f aca="false">J9+K9</f>
        <v>0.0698702470910511</v>
      </c>
      <c r="J9" s="1252" t="n">
        <f aca="false">0.5*(DataDE2!AN12+DataDE2!AN13)/TableDE1!$B90</f>
        <v>0.0698702470910511</v>
      </c>
      <c r="K9" s="1253"/>
      <c r="L9" s="1252" t="n">
        <f aca="false">M9+N9</f>
        <v>0.239140269530395</v>
      </c>
      <c r="M9" s="1252" t="n">
        <f aca="false">0.5*(DataDE2!AP12+DataDE2!AP13)/TableDE1!$B90</f>
        <v>0.0439455990404544</v>
      </c>
      <c r="N9" s="1254" t="n">
        <f aca="false">0.5*(DataDE2!AQ12+DataDE2!AQ13)/TableDE1!$B90</f>
        <v>0.19519467048994</v>
      </c>
      <c r="O9" s="1250"/>
      <c r="P9" s="1250"/>
    </row>
    <row r="10" customFormat="false" ht="12" hidden="false" customHeight="true" outlineLevel="0" collapsed="false">
      <c r="A10" s="439" t="n">
        <v>1951</v>
      </c>
      <c r="B10" s="1251" t="n">
        <f aca="false">C10+F10+H10</f>
        <v>1.7259870972447</v>
      </c>
      <c r="C10" s="1251" t="n">
        <f aca="false">D10-E10</f>
        <v>0.556070679214081</v>
      </c>
      <c r="D10" s="1252" t="n">
        <f aca="false">0.5*(DataDE2!AD13+DataDE2!AD14)/TableDE1!B91</f>
        <v>0.630650653071435</v>
      </c>
      <c r="E10" s="1252" t="n">
        <f aca="false">0.5*(DataDE2!AR13+DataDE2!AR14)/TableDE1!$B91</f>
        <v>0.0745799738573544</v>
      </c>
      <c r="F10" s="1251" t="n">
        <f aca="false">0.5*(DataDE2!AC13+DataDE2!AC14)/TableDE1!B91-TableDE6c!D10</f>
        <v>0.872050137686456</v>
      </c>
      <c r="G10" s="1251"/>
      <c r="H10" s="1251" t="n">
        <f aca="false">I10+L10</f>
        <v>0.297866280344165</v>
      </c>
      <c r="I10" s="1252" t="n">
        <f aca="false">J10+K10</f>
        <v>0.0673783435311693</v>
      </c>
      <c r="J10" s="1252" t="n">
        <f aca="false">0.5*(DataDE2!AN13+DataDE2!AN14)/TableDE1!$B91</f>
        <v>0.0673783435311693</v>
      </c>
      <c r="K10" s="1253"/>
      <c r="L10" s="1252" t="n">
        <f aca="false">M10+N10</f>
        <v>0.230487936812996</v>
      </c>
      <c r="M10" s="1252" t="n">
        <f aca="false">0.5*(DataDE2!AP13+DataDE2!AP14)/TableDE1!$B91</f>
        <v>0.0479797553361104</v>
      </c>
      <c r="N10" s="1254" t="n">
        <f aca="false">0.5*(DataDE2!AQ13+DataDE2!AQ14)/TableDE1!$B91</f>
        <v>0.182508181476886</v>
      </c>
      <c r="O10" s="1250"/>
      <c r="P10" s="1250"/>
    </row>
    <row r="11" customFormat="false" ht="12" hidden="false" customHeight="true" outlineLevel="0" collapsed="false">
      <c r="A11" s="439" t="n">
        <v>1952</v>
      </c>
      <c r="B11" s="1251" t="n">
        <f aca="false">C11+F11+H11</f>
        <v>1.6928524202708</v>
      </c>
      <c r="C11" s="1251" t="n">
        <f aca="false">D11-E11</f>
        <v>0.520719158712921</v>
      </c>
      <c r="D11" s="1252" t="n">
        <f aca="false">0.5*(DataDE2!AD14+DataDE2!AD15)/TableDE1!B92</f>
        <v>0.619056432364675</v>
      </c>
      <c r="E11" s="1252" t="n">
        <f aca="false">0.5*(DataDE2!AR14+DataDE2!AR15)/TableDE1!$B92</f>
        <v>0.0983372736517542</v>
      </c>
      <c r="F11" s="1251" t="n">
        <f aca="false">0.5*(DataDE2!AC14+DataDE2!AC15)/TableDE1!B92-TableDE6c!D11</f>
        <v>0.85952451548564</v>
      </c>
      <c r="G11" s="1251"/>
      <c r="H11" s="1251" t="n">
        <f aca="false">I11+L11</f>
        <v>0.312608746072238</v>
      </c>
      <c r="I11" s="1252" t="n">
        <f aca="false">J11+K11</f>
        <v>0.0684987422978087</v>
      </c>
      <c r="J11" s="1252" t="n">
        <f aca="false">0.5*(DataDE2!AN14+DataDE2!AN15)/TableDE1!$B92</f>
        <v>0.0684987422978087</v>
      </c>
      <c r="K11" s="1253"/>
      <c r="L11" s="1252" t="n">
        <f aca="false">M11+N11</f>
        <v>0.244110003774429</v>
      </c>
      <c r="M11" s="1252" t="n">
        <f aca="false">0.5*(DataDE2!AP14+DataDE2!AP15)/TableDE1!$B92</f>
        <v>0.0543711110707565</v>
      </c>
      <c r="N11" s="1254" t="n">
        <f aca="false">0.5*(DataDE2!AQ14+DataDE2!AQ15)/TableDE1!$B92</f>
        <v>0.189738892703672</v>
      </c>
      <c r="O11" s="1250"/>
      <c r="P11" s="1250"/>
    </row>
    <row r="12" customFormat="false" ht="12" hidden="false" customHeight="true" outlineLevel="0" collapsed="false">
      <c r="A12" s="439" t="n">
        <v>1953</v>
      </c>
      <c r="B12" s="1251" t="n">
        <f aca="false">C12+F12+H12</f>
        <v>1.68102603404635</v>
      </c>
      <c r="C12" s="1251" t="n">
        <f aca="false">D12-E12</f>
        <v>0.491238610769253</v>
      </c>
      <c r="D12" s="1252" t="n">
        <f aca="false">0.5*(DataDE2!AD15+DataDE2!AD16)/TableDE1!B93</f>
        <v>0.620920176241075</v>
      </c>
      <c r="E12" s="1252" t="n">
        <f aca="false">0.5*(DataDE2!AR15+DataDE2!AR16)/TableDE1!$B93</f>
        <v>0.129681565471822</v>
      </c>
      <c r="F12" s="1251" t="n">
        <f aca="false">0.5*(DataDE2!AC15+DataDE2!AC16)/TableDE1!B93-TableDE6c!D12</f>
        <v>0.841972442648021</v>
      </c>
      <c r="G12" s="1251"/>
      <c r="H12" s="1251" t="n">
        <f aca="false">I12+L12</f>
        <v>0.34781498062908</v>
      </c>
      <c r="I12" s="1252" t="n">
        <f aca="false">J12+K12</f>
        <v>0.0687615127448126</v>
      </c>
      <c r="J12" s="1252" t="n">
        <f aca="false">0.5*(DataDE2!AN15+DataDE2!AN16)/TableDE1!$B93</f>
        <v>0.0687615127448126</v>
      </c>
      <c r="K12" s="1253"/>
      <c r="L12" s="1252" t="n">
        <f aca="false">M12+N12</f>
        <v>0.279053467884268</v>
      </c>
      <c r="M12" s="1252" t="n">
        <f aca="false">0.5*(DataDE2!AP15+DataDE2!AP16)/TableDE1!$B93</f>
        <v>0.0596050788186932</v>
      </c>
      <c r="N12" s="1254" t="n">
        <f aca="false">0.5*(DataDE2!AQ15+DataDE2!AQ16)/TableDE1!$B93</f>
        <v>0.219448389065574</v>
      </c>
      <c r="O12" s="1250"/>
      <c r="P12" s="1250"/>
    </row>
    <row r="13" customFormat="false" ht="12" hidden="false" customHeight="true" outlineLevel="0" collapsed="false">
      <c r="A13" s="439" t="n">
        <v>1954</v>
      </c>
      <c r="B13" s="1251" t="n">
        <f aca="false">C13+F13+H13</f>
        <v>1.70211908841729</v>
      </c>
      <c r="C13" s="1251" t="n">
        <f aca="false">D13-E13</f>
        <v>0.474208375371749</v>
      </c>
      <c r="D13" s="1252" t="n">
        <f aca="false">0.5*(DataDE2!AD16+DataDE2!AD17)/TableDE1!B94</f>
        <v>0.64091135269539</v>
      </c>
      <c r="E13" s="1252" t="n">
        <f aca="false">0.5*(DataDE2!AR16+DataDE2!AR17)/TableDE1!$B94</f>
        <v>0.166702977323641</v>
      </c>
      <c r="F13" s="1251" t="n">
        <f aca="false">0.5*(DataDE2!AC16+DataDE2!AC17)/TableDE1!B94-TableDE6c!D13</f>
        <v>0.830264426560682</v>
      </c>
      <c r="G13" s="1251"/>
      <c r="H13" s="1251" t="n">
        <f aca="false">I13+L13</f>
        <v>0.39764628648486</v>
      </c>
      <c r="I13" s="1252" t="n">
        <f aca="false">J13+K13</f>
        <v>0.0764051013070991</v>
      </c>
      <c r="J13" s="1252" t="n">
        <f aca="false">0.5*(DataDE2!AN16+DataDE2!AN17)/TableDE1!$B94</f>
        <v>0.0764051013070991</v>
      </c>
      <c r="K13" s="1253"/>
      <c r="L13" s="1252" t="n">
        <f aca="false">M13+N13</f>
        <v>0.321241185177761</v>
      </c>
      <c r="M13" s="1252" t="n">
        <f aca="false">0.5*(DataDE2!AP16+DataDE2!AP17)/TableDE1!$B94</f>
        <v>0.0667770640074861</v>
      </c>
      <c r="N13" s="1254" t="n">
        <f aca="false">0.5*(DataDE2!AQ16+DataDE2!AQ17)/TableDE1!$B94</f>
        <v>0.254464121170274</v>
      </c>
      <c r="O13" s="1250"/>
      <c r="P13" s="1250"/>
    </row>
    <row r="14" customFormat="false" ht="12" hidden="false" customHeight="true" outlineLevel="0" collapsed="false">
      <c r="A14" s="439" t="n">
        <v>1955</v>
      </c>
      <c r="B14" s="1251" t="n">
        <f aca="false">C14+F14+H14</f>
        <v>1.60198436608059</v>
      </c>
      <c r="C14" s="1251" t="n">
        <f aca="false">D14-E14</f>
        <v>0.4207704788438</v>
      </c>
      <c r="D14" s="1252" t="n">
        <f aca="false">0.5*(DataDE2!AD17+DataDE2!AD18)/TableDE1!B95</f>
        <v>0.613319835815709</v>
      </c>
      <c r="E14" s="1252" t="n">
        <f aca="false">0.5*(DataDE2!AR17+DataDE2!AR18)/TableDE1!$B95</f>
        <v>0.192549356971909</v>
      </c>
      <c r="F14" s="1251" t="n">
        <f aca="false">0.5*(DataDE2!AC17+DataDE2!AC18)/TableDE1!B95-TableDE6c!D14</f>
        <v>0.763853296407932</v>
      </c>
      <c r="G14" s="1251"/>
      <c r="H14" s="1251" t="n">
        <f aca="false">I14+L14</f>
        <v>0.417360590828855</v>
      </c>
      <c r="I14" s="1252" t="n">
        <f aca="false">J14+K14</f>
        <v>0.0815340598461208</v>
      </c>
      <c r="J14" s="1252" t="n">
        <f aca="false">0.5*(DataDE2!AN17+DataDE2!AN18)/TableDE1!$B95</f>
        <v>0.0815340598461208</v>
      </c>
      <c r="K14" s="1253"/>
      <c r="L14" s="1252" t="n">
        <f aca="false">M14+N14</f>
        <v>0.335826530982734</v>
      </c>
      <c r="M14" s="1252" t="n">
        <f aca="false">0.5*(DataDE2!AP17+DataDE2!AP18)/TableDE1!$B95</f>
        <v>0.0683877531545426</v>
      </c>
      <c r="N14" s="1254" t="n">
        <f aca="false">0.5*(DataDE2!AQ17+DataDE2!AQ18)/TableDE1!$B95</f>
        <v>0.267438777828192</v>
      </c>
      <c r="O14" s="1250"/>
      <c r="P14" s="1250"/>
    </row>
    <row r="15" customFormat="false" ht="12" hidden="false" customHeight="true" outlineLevel="0" collapsed="false">
      <c r="A15" s="439" t="n">
        <v>1956</v>
      </c>
      <c r="B15" s="1251" t="n">
        <f aca="false">C15+F15+H15</f>
        <v>1.54136823480604</v>
      </c>
      <c r="C15" s="1251" t="n">
        <f aca="false">D15-E15</f>
        <v>0.387093568312135</v>
      </c>
      <c r="D15" s="1252" t="n">
        <f aca="false">0.5*(DataDE2!AD18+DataDE2!AD19)/TableDE1!B96</f>
        <v>0.604034391692813</v>
      </c>
      <c r="E15" s="1252" t="n">
        <f aca="false">0.5*(DataDE2!AR18+DataDE2!AR19)/TableDE1!$B96</f>
        <v>0.216940823380678</v>
      </c>
      <c r="F15" s="1251" t="n">
        <f aca="false">0.5*(DataDE2!AC18+DataDE2!AC19)/TableDE1!B96-TableDE6c!D15</f>
        <v>0.726929686811164</v>
      </c>
      <c r="G15" s="1251"/>
      <c r="H15" s="1251" t="n">
        <f aca="false">I15+L15</f>
        <v>0.42734497968274</v>
      </c>
      <c r="I15" s="1252" t="n">
        <f aca="false">J15+K15</f>
        <v>0.077288016851639</v>
      </c>
      <c r="J15" s="1252" t="n">
        <f aca="false">0.5*(DataDE2!AN18+DataDE2!AN19)/TableDE1!$B96</f>
        <v>0.077288016851639</v>
      </c>
      <c r="K15" s="1253"/>
      <c r="L15" s="1252" t="n">
        <f aca="false">M15+N15</f>
        <v>0.350056962831101</v>
      </c>
      <c r="M15" s="1252" t="n">
        <f aca="false">0.5*(DataDE2!AP18+DataDE2!AP19)/TableDE1!$B96</f>
        <v>0.0704540420213191</v>
      </c>
      <c r="N15" s="1254" t="n">
        <f aca="false">0.5*(DataDE2!AQ18+DataDE2!AQ19)/TableDE1!$B96</f>
        <v>0.279602920809782</v>
      </c>
      <c r="O15" s="1250"/>
      <c r="P15" s="1250"/>
    </row>
    <row r="16" customFormat="false" ht="12" hidden="false" customHeight="true" outlineLevel="0" collapsed="false">
      <c r="A16" s="439" t="n">
        <v>1957</v>
      </c>
      <c r="B16" s="1251" t="n">
        <f aca="false">C16+F16+H16</f>
        <v>1.53818303519292</v>
      </c>
      <c r="C16" s="1251" t="n">
        <f aca="false">D16-E16</f>
        <v>0.395937693276381</v>
      </c>
      <c r="D16" s="1252" t="n">
        <f aca="false">0.5*(DataDE2!AD19+DataDE2!AD20)/TableDE1!B97</f>
        <v>0.632808007072377</v>
      </c>
      <c r="E16" s="1252" t="n">
        <f aca="false">0.5*(DataDE2!AR19+DataDE2!AR20)/TableDE1!$B97</f>
        <v>0.236870313795996</v>
      </c>
      <c r="F16" s="1251" t="n">
        <f aca="false">0.5*(DataDE2!AC19+DataDE2!AC20)/TableDE1!B97-TableDE6c!D16</f>
        <v>0.707924142409914</v>
      </c>
      <c r="G16" s="1251"/>
      <c r="H16" s="1251" t="n">
        <f aca="false">I16+L16</f>
        <v>0.434321199506621</v>
      </c>
      <c r="I16" s="1252" t="n">
        <f aca="false">J16+K16</f>
        <v>0.0739030806289358</v>
      </c>
      <c r="J16" s="1252" t="n">
        <f aca="false">0.5*(DataDE2!AN19+DataDE2!AN20)/TableDE1!$B97</f>
        <v>0.0739030806289358</v>
      </c>
      <c r="K16" s="1253"/>
      <c r="L16" s="1252" t="n">
        <f aca="false">M16+N16</f>
        <v>0.360418118877686</v>
      </c>
      <c r="M16" s="1252" t="n">
        <f aca="false">0.5*(DataDE2!AP19+DataDE2!AP20)/TableDE1!$B97</f>
        <v>0.073689262385732</v>
      </c>
      <c r="N16" s="1254" t="n">
        <f aca="false">0.5*(DataDE2!AQ19+DataDE2!AQ20)/TableDE1!$B97</f>
        <v>0.286728856491954</v>
      </c>
      <c r="O16" s="1250"/>
      <c r="P16" s="1250"/>
    </row>
    <row r="17" customFormat="false" ht="12" hidden="false" customHeight="true" outlineLevel="0" collapsed="false">
      <c r="A17" s="439" t="n">
        <v>1958</v>
      </c>
      <c r="B17" s="1251" t="n">
        <f aca="false">C17+F17+H17</f>
        <v>1.61165062318547</v>
      </c>
      <c r="C17" s="1251" t="n">
        <f aca="false">D17-E17</f>
        <v>0.436411102777627</v>
      </c>
      <c r="D17" s="1252" t="n">
        <f aca="false">0.5*(DataDE2!AD20+DataDE2!AD21)/TableDE1!B98</f>
        <v>0.694766683281543</v>
      </c>
      <c r="E17" s="1252" t="n">
        <f aca="false">0.5*(DataDE2!AR20+DataDE2!AR21)/TableDE1!$B98</f>
        <v>0.258355580503916</v>
      </c>
      <c r="F17" s="1251" t="n">
        <f aca="false">0.5*(DataDE2!AC20+DataDE2!AC21)/TableDE1!B98-TableDE6c!D17</f>
        <v>0.705804834070006</v>
      </c>
      <c r="G17" s="1251"/>
      <c r="H17" s="1251" t="n">
        <f aca="false">I17+L17</f>
        <v>0.46943468633784</v>
      </c>
      <c r="I17" s="1252" t="n">
        <f aca="false">J17+K17</f>
        <v>0.0848500805706937</v>
      </c>
      <c r="J17" s="1252" t="n">
        <f aca="false">0.5*(DataDE2!AN20+DataDE2!AN21)/TableDE1!$B98</f>
        <v>0.0848500805706937</v>
      </c>
      <c r="K17" s="1253"/>
      <c r="L17" s="1252" t="n">
        <f aca="false">M17+N17</f>
        <v>0.384584605767146</v>
      </c>
      <c r="M17" s="1252" t="n">
        <f aca="false">0.5*(DataDE2!AP20+DataDE2!AP21)/TableDE1!$B98</f>
        <v>0.0790301982812511</v>
      </c>
      <c r="N17" s="1254" t="n">
        <f aca="false">0.5*(DataDE2!AQ20+DataDE2!AQ21)/TableDE1!$B98</f>
        <v>0.305554407485895</v>
      </c>
      <c r="O17" s="1250"/>
      <c r="P17" s="1250"/>
    </row>
    <row r="18" customFormat="false" ht="12" hidden="false" customHeight="true" outlineLevel="0" collapsed="false">
      <c r="A18" s="443" t="n">
        <v>1959</v>
      </c>
      <c r="B18" s="1255" t="n">
        <f aca="false">C18+F18+H18</f>
        <v>1.65921444356448</v>
      </c>
      <c r="C18" s="1255" t="n">
        <f aca="false">D18-E18</f>
        <v>0.450211053652604</v>
      </c>
      <c r="D18" s="1256" t="n">
        <f aca="false">0.5*(DataDE2!AD21+DataDE2!AD22)/TableDE1!B99</f>
        <v>0.730284256479078</v>
      </c>
      <c r="E18" s="1256" t="n">
        <f aca="false">0.5*(DataDE2!AR21+DataDE2!AR22)/TableDE1!$B99</f>
        <v>0.280073202826474</v>
      </c>
      <c r="F18" s="1255" t="n">
        <f aca="false">0.5*(DataDE2!AC21+DataDE2!AC22)/TableDE1!B99-TableDE6c!D18</f>
        <v>0.686263930762761</v>
      </c>
      <c r="G18" s="1255"/>
      <c r="H18" s="1255" t="n">
        <f aca="false">I18+L18</f>
        <v>0.522739459149112</v>
      </c>
      <c r="I18" s="1256" t="n">
        <f aca="false">J18+K18</f>
        <v>0.112403102128389</v>
      </c>
      <c r="J18" s="1256" t="n">
        <f aca="false">0.5*(DataDE2!AN21+DataDE2!AN22)/TableDE1!$B99</f>
        <v>0.112403102128389</v>
      </c>
      <c r="K18" s="1257"/>
      <c r="L18" s="1256" t="n">
        <f aca="false">M18+N18</f>
        <v>0.410336357020723</v>
      </c>
      <c r="M18" s="1256" t="n">
        <f aca="false">0.5*(DataDE2!AP21+DataDE2!AP22)/TableDE1!$B99</f>
        <v>0.0837587474791561</v>
      </c>
      <c r="N18" s="1258" t="n">
        <f aca="false">0.5*(DataDE2!AQ21+DataDE2!AQ22)/TableDE1!$B99</f>
        <v>0.326577609541567</v>
      </c>
      <c r="O18" s="1250"/>
      <c r="P18" s="1250"/>
    </row>
    <row r="19" customFormat="false" ht="12" hidden="false" customHeight="true" outlineLevel="0" collapsed="false">
      <c r="A19" s="439" t="n">
        <v>1960</v>
      </c>
      <c r="B19" s="1251" t="n">
        <f aca="false">C19+F19+H19</f>
        <v>1.72291064507652</v>
      </c>
      <c r="C19" s="1251" t="n">
        <f aca="false">D19-E19</f>
        <v>0.510928037621202</v>
      </c>
      <c r="D19" s="1252" t="n">
        <f aca="false">0.5*(DataDE2!AD22+DataDE2!AD23)/TableDE1!B100</f>
        <v>0.81471075859794</v>
      </c>
      <c r="E19" s="1252" t="n">
        <f aca="false">0.5*(DataDE2!AR22+DataDE2!AR23)/TableDE1!$B100</f>
        <v>0.303782720976738</v>
      </c>
      <c r="F19" s="1251" t="n">
        <f aca="false">0.5*(DataDE2!AC22+DataDE2!AC23)/TableDE1!B100-TableDE6c!D19</f>
        <v>0.629950635447249</v>
      </c>
      <c r="G19" s="1251"/>
      <c r="H19" s="1251" t="n">
        <f aca="false">I19+L19</f>
        <v>0.58203197200807</v>
      </c>
      <c r="I19" s="1252" t="n">
        <f aca="false">J19+K19</f>
        <v>0.150658254790938</v>
      </c>
      <c r="J19" s="1252" t="n">
        <f aca="false">0.5*(DataDE2!AN22+DataDE2!AN23)/TableDE1!$B100</f>
        <v>0.150658254790938</v>
      </c>
      <c r="K19" s="1253"/>
      <c r="L19" s="1252" t="n">
        <f aca="false">M19+N19</f>
        <v>0.431373717217132</v>
      </c>
      <c r="M19" s="1252" t="n">
        <f aca="false">0.5*(DataDE2!AP22+DataDE2!AP23)/TableDE1!$B100</f>
        <v>0.0846806844941142</v>
      </c>
      <c r="N19" s="1254" t="n">
        <f aca="false">0.5*(DataDE2!AQ22+DataDE2!AQ23)/TableDE1!$B100</f>
        <v>0.346693032723018</v>
      </c>
      <c r="O19" s="1250"/>
      <c r="P19" s="1250"/>
    </row>
    <row r="20" customFormat="false" ht="12" hidden="false" customHeight="true" outlineLevel="0" collapsed="false">
      <c r="A20" s="439" t="n">
        <v>1961</v>
      </c>
      <c r="B20" s="1251" t="n">
        <f aca="false">C20+F20+H20</f>
        <v>1.85092968455441</v>
      </c>
      <c r="C20" s="1251" t="n">
        <f aca="false">D20-E20</f>
        <v>0.639438414589751</v>
      </c>
      <c r="D20" s="1252" t="n">
        <f aca="false">0.5*(DataDE2!AD23+DataDE2!AD24)/TableDE1!B101</f>
        <v>0.971028885997427</v>
      </c>
      <c r="E20" s="1252" t="n">
        <f aca="false">0.5*(DataDE2!AR23+DataDE2!AR24)/TableDE1!$B101</f>
        <v>0.331590471407676</v>
      </c>
      <c r="F20" s="1251" t="n">
        <f aca="false">0.5*(DataDE2!AC23+DataDE2!AC24)/TableDE1!B101-TableDE6c!D20</f>
        <v>0.578451463445004</v>
      </c>
      <c r="G20" s="1251"/>
      <c r="H20" s="1251" t="n">
        <f aca="false">I20+L20</f>
        <v>0.633039806519651</v>
      </c>
      <c r="I20" s="1252" t="n">
        <f aca="false">J20+K20</f>
        <v>0.170020034363507</v>
      </c>
      <c r="J20" s="1252" t="n">
        <f aca="false">0.5*(DataDE2!AN23+DataDE2!AN24)/TableDE1!$B101</f>
        <v>0.170020034363507</v>
      </c>
      <c r="K20" s="1253"/>
      <c r="L20" s="1252" t="n">
        <f aca="false">M20+N20</f>
        <v>0.463019772156144</v>
      </c>
      <c r="M20" s="1252" t="n">
        <f aca="false">0.5*(DataDE2!AP23+DataDE2!AP24)/TableDE1!$B101</f>
        <v>0.0875265292815098</v>
      </c>
      <c r="N20" s="1254" t="n">
        <f aca="false">0.5*(DataDE2!AQ23+DataDE2!AQ24)/TableDE1!$B101</f>
        <v>0.375493242874635</v>
      </c>
      <c r="O20" s="1250"/>
      <c r="P20" s="1250"/>
    </row>
    <row r="21" customFormat="false" ht="12" hidden="false" customHeight="true" outlineLevel="0" collapsed="false">
      <c r="A21" s="439" t="n">
        <v>1962</v>
      </c>
      <c r="B21" s="1251" t="n">
        <f aca="false">C21+F21+H21</f>
        <v>1.92458454459699</v>
      </c>
      <c r="C21" s="1251" t="n">
        <f aca="false">D21-E21</f>
        <v>0.669826169033323</v>
      </c>
      <c r="D21" s="1252" t="n">
        <f aca="false">0.5*(DataDE2!AD24+DataDE2!AD25)/TableDE1!B102</f>
        <v>1.0250980536699</v>
      </c>
      <c r="E21" s="1252" t="n">
        <f aca="false">0.5*(DataDE2!AR24+DataDE2!AR25)/TableDE1!$B102</f>
        <v>0.355271884636581</v>
      </c>
      <c r="F21" s="1251" t="n">
        <f aca="false">0.5*(DataDE2!AC24+DataDE2!AC25)/TableDE1!B102-TableDE6c!D21</f>
        <v>0.612913414830443</v>
      </c>
      <c r="G21" s="1251"/>
      <c r="H21" s="1251" t="n">
        <f aca="false">I21+L21</f>
        <v>0.641844960733228</v>
      </c>
      <c r="I21" s="1252" t="n">
        <f aca="false">J21+K21</f>
        <v>0.149531431065112</v>
      </c>
      <c r="J21" s="1252" t="n">
        <f aca="false">0.5*(DataDE2!AN24+DataDE2!AN25)/TableDE1!$B102</f>
        <v>0.149531431065112</v>
      </c>
      <c r="K21" s="1253"/>
      <c r="L21" s="1252" t="n">
        <f aca="false">M21+N21</f>
        <v>0.492313529668116</v>
      </c>
      <c r="M21" s="1252" t="n">
        <f aca="false">0.5*(DataDE2!AP24+DataDE2!AP25)/TableDE1!$B102</f>
        <v>0.0926261826924624</v>
      </c>
      <c r="N21" s="1254" t="n">
        <f aca="false">0.5*(DataDE2!AQ24+DataDE2!AQ25)/TableDE1!$B102</f>
        <v>0.399687346975654</v>
      </c>
      <c r="O21" s="1250"/>
      <c r="P21" s="1250"/>
    </row>
    <row r="22" customFormat="false" ht="12" hidden="false" customHeight="true" outlineLevel="0" collapsed="false">
      <c r="A22" s="439" t="n">
        <v>1963</v>
      </c>
      <c r="B22" s="1251" t="n">
        <f aca="false">C22+F22+H22</f>
        <v>2.03219589620557</v>
      </c>
      <c r="C22" s="1251" t="n">
        <f aca="false">D22-E22</f>
        <v>0.67546261087255</v>
      </c>
      <c r="D22" s="1252" t="n">
        <f aca="false">0.5*(DataDE2!AD25+DataDE2!AD26)/TableDE1!B103</f>
        <v>1.06277973986284</v>
      </c>
      <c r="E22" s="1252" t="n">
        <f aca="false">0.5*(DataDE2!AR25+DataDE2!AR26)/TableDE1!$B103</f>
        <v>0.387317128990295</v>
      </c>
      <c r="F22" s="1251" t="n">
        <f aca="false">0.5*(DataDE2!AC25+DataDE2!AC26)/TableDE1!B103-TableDE6c!D22</f>
        <v>0.684695963582822</v>
      </c>
      <c r="G22" s="1251"/>
      <c r="H22" s="1251" t="n">
        <f aca="false">I22+L22</f>
        <v>0.672037321750197</v>
      </c>
      <c r="I22" s="1252" t="n">
        <f aca="false">J22+K22</f>
        <v>0.134480653208007</v>
      </c>
      <c r="J22" s="1252" t="n">
        <f aca="false">0.5*(DataDE2!AN25+DataDE2!AN26)/TableDE1!$B103</f>
        <v>0.134480653208007</v>
      </c>
      <c r="K22" s="1253"/>
      <c r="L22" s="1252" t="n">
        <f aca="false">M22+N22</f>
        <v>0.53755666854219</v>
      </c>
      <c r="M22" s="1252" t="n">
        <f aca="false">0.5*(DataDE2!AP25+DataDE2!AP26)/TableDE1!$B103</f>
        <v>0.0996962460252193</v>
      </c>
      <c r="N22" s="1254" t="n">
        <f aca="false">0.5*(DataDE2!AQ25+DataDE2!AQ26)/TableDE1!$B103</f>
        <v>0.437860422516971</v>
      </c>
      <c r="O22" s="1250"/>
      <c r="P22" s="1250"/>
    </row>
    <row r="23" customFormat="false" ht="12" hidden="false" customHeight="true" outlineLevel="0" collapsed="false">
      <c r="A23" s="439" t="n">
        <v>1964</v>
      </c>
      <c r="B23" s="1251" t="n">
        <f aca="false">C23+F23+H23</f>
        <v>2.05916032080744</v>
      </c>
      <c r="C23" s="1251" t="n">
        <f aca="false">D23-E23</f>
        <v>0.688669526509804</v>
      </c>
      <c r="D23" s="1252" t="n">
        <f aca="false">0.5*(DataDE2!AD26+DataDE2!AD27)/TableDE1!B104</f>
        <v>1.09073909805006</v>
      </c>
      <c r="E23" s="1252" t="n">
        <f aca="false">0.5*(DataDE2!AR26+DataDE2!AR27)/TableDE1!$B104</f>
        <v>0.402069571540253</v>
      </c>
      <c r="F23" s="1251" t="n">
        <f aca="false">0.5*(DataDE2!AC26+DataDE2!AC27)/TableDE1!B104-TableDE6c!D23</f>
        <v>0.676914056888209</v>
      </c>
      <c r="G23" s="1251"/>
      <c r="H23" s="1251" t="n">
        <f aca="false">I23+L23</f>
        <v>0.693576737409423</v>
      </c>
      <c r="I23" s="1252" t="n">
        <f aca="false">J23+K23</f>
        <v>0.12933197908869</v>
      </c>
      <c r="J23" s="1252" t="n">
        <f aca="false">0.5*(DataDE2!AN26+DataDE2!AN27)/TableDE1!$B104</f>
        <v>0.12933197908869</v>
      </c>
      <c r="K23" s="1253"/>
      <c r="L23" s="1252" t="n">
        <f aca="false">M23+N23</f>
        <v>0.564244758320733</v>
      </c>
      <c r="M23" s="1252" t="n">
        <f aca="false">0.5*(DataDE2!AP26+DataDE2!AP27)/TableDE1!$B104</f>
        <v>0.102601853043193</v>
      </c>
      <c r="N23" s="1254" t="n">
        <f aca="false">0.5*(DataDE2!AQ26+DataDE2!AQ27)/TableDE1!$B104</f>
        <v>0.46164290527754</v>
      </c>
      <c r="O23" s="1250"/>
      <c r="P23" s="1250"/>
    </row>
    <row r="24" customFormat="false" ht="12" hidden="false" customHeight="true" outlineLevel="0" collapsed="false">
      <c r="A24" s="439" t="n">
        <v>1965</v>
      </c>
      <c r="B24" s="1251" t="n">
        <f aca="false">C24+F24+H24</f>
        <v>2.08023135044425</v>
      </c>
      <c r="C24" s="1251" t="n">
        <f aca="false">D24-E24</f>
        <v>0.693212424115379</v>
      </c>
      <c r="D24" s="1252" t="n">
        <f aca="false">0.5*(DataDE2!AD27+DataDE2!AD28)/TableDE1!B105</f>
        <v>1.1120876590501</v>
      </c>
      <c r="E24" s="1252" t="n">
        <f aca="false">0.5*(DataDE2!AR27+DataDE2!AR28)/TableDE1!$B105</f>
        <v>0.418875234934723</v>
      </c>
      <c r="F24" s="1251" t="n">
        <f aca="false">0.5*(DataDE2!AC27+DataDE2!AC28)/TableDE1!B105-TableDE6c!D24</f>
        <v>0.66914868507305</v>
      </c>
      <c r="G24" s="1251"/>
      <c r="H24" s="1251" t="n">
        <f aca="false">I24+L24</f>
        <v>0.71787024125582</v>
      </c>
      <c r="I24" s="1252" t="n">
        <f aca="false">J24+K24</f>
        <v>0.120377194756324</v>
      </c>
      <c r="J24" s="1252" t="n">
        <f aca="false">0.5*(DataDE2!AN27+DataDE2!AN28)/TableDE1!$B105</f>
        <v>0.120377194756324</v>
      </c>
      <c r="K24" s="1253"/>
      <c r="L24" s="1252" t="n">
        <f aca="false">M24+N24</f>
        <v>0.597493046499497</v>
      </c>
      <c r="M24" s="1252" t="n">
        <f aca="false">0.5*(DataDE2!AP27+DataDE2!AP28)/TableDE1!$B105</f>
        <v>0.106559137940667</v>
      </c>
      <c r="N24" s="1254" t="n">
        <f aca="false">0.5*(DataDE2!AQ27+DataDE2!AQ28)/TableDE1!$B105</f>
        <v>0.49093390855883</v>
      </c>
      <c r="O24" s="1250"/>
      <c r="P24" s="1250"/>
    </row>
    <row r="25" customFormat="false" ht="12" hidden="false" customHeight="true" outlineLevel="0" collapsed="false">
      <c r="A25" s="439" t="n">
        <v>1966</v>
      </c>
      <c r="B25" s="1251" t="n">
        <f aca="false">C25+F25+H25</f>
        <v>2.15670604416821</v>
      </c>
      <c r="C25" s="1251" t="n">
        <f aca="false">D25-E25</f>
        <v>0.734677189037971</v>
      </c>
      <c r="D25" s="1252" t="n">
        <f aca="false">0.5*(DataDE2!AD28+DataDE2!AD29)/TableDE1!B106</f>
        <v>1.17781876544076</v>
      </c>
      <c r="E25" s="1252" t="n">
        <f aca="false">0.5*(DataDE2!AR28+DataDE2!AR29)/TableDE1!$B106</f>
        <v>0.443141576402789</v>
      </c>
      <c r="F25" s="1251" t="n">
        <f aca="false">0.5*(DataDE2!AC28+DataDE2!AC29)/TableDE1!B106-TableDE6c!D25</f>
        <v>0.666413386064291</v>
      </c>
      <c r="G25" s="1251"/>
      <c r="H25" s="1251" t="n">
        <f aca="false">I25+L25</f>
        <v>0.755615469065951</v>
      </c>
      <c r="I25" s="1252" t="n">
        <f aca="false">J25+K25</f>
        <v>0.10933825261805</v>
      </c>
      <c r="J25" s="1252" t="n">
        <f aca="false">0.5*(DataDE2!AN28+DataDE2!AN29)/TableDE1!$B106</f>
        <v>0.10933825261805</v>
      </c>
      <c r="K25" s="1253"/>
      <c r="L25" s="1252" t="n">
        <f aca="false">M25+N25</f>
        <v>0.646277216447901</v>
      </c>
      <c r="M25" s="1252" t="n">
        <f aca="false">0.5*(DataDE2!AP28+DataDE2!AP29)/TableDE1!$B106</f>
        <v>0.113574973397079</v>
      </c>
      <c r="N25" s="1254" t="n">
        <f aca="false">0.5*(DataDE2!AQ28+DataDE2!AQ29)/TableDE1!$B106</f>
        <v>0.532702243050822</v>
      </c>
      <c r="O25" s="1250"/>
      <c r="P25" s="1250"/>
    </row>
    <row r="26" customFormat="false" ht="12" hidden="false" customHeight="true" outlineLevel="0" collapsed="false">
      <c r="A26" s="439" t="n">
        <v>1967</v>
      </c>
      <c r="B26" s="1251" t="n">
        <f aca="false">C26+F26+H26</f>
        <v>2.36200777433169</v>
      </c>
      <c r="C26" s="1251" t="n">
        <f aca="false">D26-E26</f>
        <v>0.835677740446383</v>
      </c>
      <c r="D26" s="1252" t="n">
        <f aca="false">0.5*(DataDE2!AD29+DataDE2!AD30)/TableDE1!B107</f>
        <v>1.3185648642717</v>
      </c>
      <c r="E26" s="1252" t="n">
        <f aca="false">0.5*(DataDE2!AR29+DataDE2!AR30)/TableDE1!$B107</f>
        <v>0.482887123825316</v>
      </c>
      <c r="F26" s="1251" t="n">
        <f aca="false">0.5*(DataDE2!AC29+DataDE2!AC30)/TableDE1!B107-TableDE6c!D26</f>
        <v>0.685170914683475</v>
      </c>
      <c r="G26" s="1251"/>
      <c r="H26" s="1251" t="n">
        <f aca="false">I26+L26</f>
        <v>0.841159119201834</v>
      </c>
      <c r="I26" s="1252" t="n">
        <f aca="false">J26+K26</f>
        <v>0.120246518381891</v>
      </c>
      <c r="J26" s="1252" t="n">
        <f aca="false">0.5*(DataDE2!AN29+DataDE2!AN30)/TableDE1!$B107</f>
        <v>0.120246518381891</v>
      </c>
      <c r="K26" s="1253"/>
      <c r="L26" s="1252" t="n">
        <f aca="false">M26+N26</f>
        <v>0.720912600819942</v>
      </c>
      <c r="M26" s="1252" t="n">
        <f aca="false">0.5*(DataDE2!AP29+DataDE2!AP30)/TableDE1!$B107</f>
        <v>0.126837455698542</v>
      </c>
      <c r="N26" s="1254" t="n">
        <f aca="false">0.5*(DataDE2!AQ29+DataDE2!AQ30)/TableDE1!$B107</f>
        <v>0.5940751451214</v>
      </c>
      <c r="O26" s="1250"/>
      <c r="P26" s="1250"/>
    </row>
    <row r="27" customFormat="false" ht="12" hidden="false" customHeight="true" outlineLevel="0" collapsed="false">
      <c r="A27" s="439" t="n">
        <v>1968</v>
      </c>
      <c r="B27" s="1251" t="n">
        <f aca="false">C27+F27+H27</f>
        <v>2.40188261173434</v>
      </c>
      <c r="C27" s="1251" t="n">
        <f aca="false">D27-E27</f>
        <v>0.869238215249166</v>
      </c>
      <c r="D27" s="1252" t="n">
        <f aca="false">0.5*(DataDE2!AD30+DataDE2!AD31)/TableDE1!B108</f>
        <v>1.35409591763422</v>
      </c>
      <c r="E27" s="1252" t="n">
        <f aca="false">0.5*(DataDE2!AR30+DataDE2!AR31)/TableDE1!$B108</f>
        <v>0.484857702385057</v>
      </c>
      <c r="F27" s="1251" t="n">
        <f aca="false">0.5*(DataDE2!AC30+DataDE2!AC31)/TableDE1!B108-TableDE6c!D27</f>
        <v>0.653838724559757</v>
      </c>
      <c r="G27" s="1251"/>
      <c r="H27" s="1251" t="n">
        <f aca="false">I27+L27</f>
        <v>0.878805671925413</v>
      </c>
      <c r="I27" s="1252" t="n">
        <f aca="false">J27+K27</f>
        <v>0.134682107179897</v>
      </c>
      <c r="J27" s="1252" t="n">
        <f aca="false">0.5*(DataDE2!AN30+DataDE2!AN31)/TableDE1!$B108</f>
        <v>0.134682107179897</v>
      </c>
      <c r="K27" s="1253"/>
      <c r="L27" s="1252" t="n">
        <f aca="false">M27+N27</f>
        <v>0.744123564745515</v>
      </c>
      <c r="M27" s="1252" t="n">
        <f aca="false">0.5*(DataDE2!AP30+DataDE2!AP31)/TableDE1!$B108</f>
        <v>0.131364152233421</v>
      </c>
      <c r="N27" s="1254" t="n">
        <f aca="false">0.5*(DataDE2!AQ30+DataDE2!AQ31)/TableDE1!$B108</f>
        <v>0.612759412512095</v>
      </c>
      <c r="O27" s="1250"/>
      <c r="P27" s="1250"/>
    </row>
    <row r="28" customFormat="false" ht="12" hidden="false" customHeight="true" outlineLevel="0" collapsed="false">
      <c r="A28" s="443" t="n">
        <v>1969</v>
      </c>
      <c r="B28" s="1255" t="n">
        <f aca="false">C28+F28+H28</f>
        <v>2.34281054543449</v>
      </c>
      <c r="C28" s="1255" t="n">
        <f aca="false">D28-E28</f>
        <v>0.854572682499503</v>
      </c>
      <c r="D28" s="1256" t="n">
        <f aca="false">0.5*(DataDE2!AD31+DataDE2!AD32)/TableDE1!B109</f>
        <v>1.32934796728694</v>
      </c>
      <c r="E28" s="1256" t="n">
        <f aca="false">0.5*(DataDE2!AR31+DataDE2!AR32)/TableDE1!$B109</f>
        <v>0.474775284787434</v>
      </c>
      <c r="F28" s="1255" t="n">
        <f aca="false">0.5*(DataDE2!AC31+DataDE2!AC32)/TableDE1!B109-TableDE6c!D28</f>
        <v>0.602032983676528</v>
      </c>
      <c r="G28" s="1255"/>
      <c r="H28" s="1255" t="n">
        <f aca="false">I28+L28</f>
        <v>0.886204879258455</v>
      </c>
      <c r="I28" s="1256" t="n">
        <f aca="false">J28+K28</f>
        <v>0.140615217227842</v>
      </c>
      <c r="J28" s="1256" t="n">
        <f aca="false">0.5*(DataDE2!AN31+DataDE2!AN32)/TableDE1!$B109</f>
        <v>0.140615217227842</v>
      </c>
      <c r="K28" s="1257"/>
      <c r="L28" s="1256" t="n">
        <f aca="false">M28+N28</f>
        <v>0.745589662030613</v>
      </c>
      <c r="M28" s="1256" t="n">
        <f aca="false">0.5*(DataDE2!AP31+DataDE2!AP32)/TableDE1!$B109</f>
        <v>0.130954037066574</v>
      </c>
      <c r="N28" s="1258" t="n">
        <f aca="false">0.5*(DataDE2!AQ31+DataDE2!AQ32)/TableDE1!$B109</f>
        <v>0.614635624964039</v>
      </c>
      <c r="O28" s="1250"/>
      <c r="P28" s="1250"/>
    </row>
    <row r="29" s="29" customFormat="true" ht="12" hidden="false" customHeight="false" outlineLevel="0" collapsed="false">
      <c r="A29" s="439" t="n">
        <v>1970</v>
      </c>
      <c r="B29" s="1251" t="n">
        <f aca="false">C29+F29+H29</f>
        <v>2.25028311964994</v>
      </c>
      <c r="C29" s="1251" t="n">
        <f aca="false">D29-E29</f>
        <v>0.822303384059536</v>
      </c>
      <c r="D29" s="1252" t="n">
        <f aca="false">0.5*(DataDE2!AD32+DataDE2!AD33)/TableDE1!B110</f>
        <v>1.28754415710427</v>
      </c>
      <c r="E29" s="1252" t="n">
        <f aca="false">0.5*(DataDE2!AR32+DataDE2!AR33)/TableDE1!$B110</f>
        <v>0.465240773044731</v>
      </c>
      <c r="F29" s="1251" t="n">
        <f aca="false">0.5*(DataDE2!AC32+DataDE2!AC33)/TableDE1!B110-TableDE6c!D29</f>
        <v>0.551025591009533</v>
      </c>
      <c r="G29" s="594" t="n">
        <f aca="false">AVERAGE(DataDE2b!BK38:BK39)*9/DataDE1!B31</f>
        <v>0.157511210762332</v>
      </c>
      <c r="H29" s="1251" t="n">
        <f aca="false">I29+L29</f>
        <v>0.876954144580871</v>
      </c>
      <c r="I29" s="1252" t="n">
        <f aca="false">J29+K29</f>
        <v>0.126987826298613</v>
      </c>
      <c r="J29" s="1252" t="n">
        <f aca="false">0.5*(DataDE2!AN32+DataDE2!AN33)/TableDE1!$B110</f>
        <v>0.126987826298613</v>
      </c>
      <c r="K29" s="1252"/>
      <c r="L29" s="1252" t="n">
        <f aca="false">M29+N29</f>
        <v>0.749966318282258</v>
      </c>
      <c r="M29" s="1252" t="n">
        <f aca="false">0.5*(DataDE2!AP32+DataDE2!AP33)/TableDE1!$B110</f>
        <v>0.129416262733612</v>
      </c>
      <c r="N29" s="1254" t="n">
        <f aca="false">0.5*(DataDE2!AQ32+DataDE2!AQ33)/TableDE1!$B110</f>
        <v>0.620550055548647</v>
      </c>
      <c r="O29" s="1259"/>
      <c r="P29" s="1259"/>
    </row>
    <row r="30" customFormat="false" ht="12" hidden="false" customHeight="false" outlineLevel="0" collapsed="false">
      <c r="A30" s="439" t="n">
        <v>1971</v>
      </c>
      <c r="B30" s="1251" t="n">
        <f aca="false">C30+F30+H30</f>
        <v>2.19997368560301</v>
      </c>
      <c r="C30" s="1251" t="n">
        <f aca="false">D30-E30</f>
        <v>0.796657812484353</v>
      </c>
      <c r="D30" s="1252" t="n">
        <f aca="false">0.5*(DataDE2!AD33+DataDE2!AD34)/TableDE1!B111</f>
        <v>1.26476984639374</v>
      </c>
      <c r="E30" s="1252" t="n">
        <f aca="false">0.5*(DataDE2!AR33+DataDE2!AR34)/TableDE1!$B111</f>
        <v>0.468112033909388</v>
      </c>
      <c r="F30" s="1251" t="n">
        <f aca="false">0.5*(DataDE2!AC33+DataDE2!AC34)/TableDE1!B111-TableDE6c!D30</f>
        <v>0.514683284349449</v>
      </c>
      <c r="G30" s="594" t="n">
        <f aca="false">AVERAGE(DataDE2b!BK39:BK40)*9/DataDE1!B32</f>
        <v>0.145329158910137</v>
      </c>
      <c r="H30" s="1251" t="n">
        <f aca="false">I30+L30</f>
        <v>0.888632588769206</v>
      </c>
      <c r="I30" s="1252" t="n">
        <f aca="false">J30+K30</f>
        <v>0.111107885972817</v>
      </c>
      <c r="J30" s="1252" t="n">
        <f aca="false">0.5*(DataDE2!AN33+DataDE2!AN34)/TableDE1!$B111</f>
        <v>0.111107885972817</v>
      </c>
      <c r="K30" s="1252"/>
      <c r="L30" s="1252" t="n">
        <f aca="false">M30+N30</f>
        <v>0.777524702796389</v>
      </c>
      <c r="M30" s="1252" t="n">
        <f aca="false">0.5*(DataDE2!AP33+DataDE2!AP34)/TableDE1!$B111</f>
        <v>0.131393014253195</v>
      </c>
      <c r="N30" s="1254" t="n">
        <f aca="false">0.5*(DataDE2!AQ33+DataDE2!AQ34)/TableDE1!$B111</f>
        <v>0.646131688543194</v>
      </c>
      <c r="O30" s="1259"/>
      <c r="P30" s="1259"/>
    </row>
    <row r="31" customFormat="false" ht="12" hidden="false" customHeight="false" outlineLevel="0" collapsed="false">
      <c r="A31" s="439" t="n">
        <v>1972</v>
      </c>
      <c r="B31" s="1251" t="n">
        <f aca="false">C31+F31+H31</f>
        <v>2.21783938845911</v>
      </c>
      <c r="C31" s="1251" t="n">
        <f aca="false">D31-E31</f>
        <v>0.79486331639293</v>
      </c>
      <c r="D31" s="1252" t="n">
        <f aca="false">0.5*(DataDE2!AD34+DataDE2!AD35)/TableDE1!B112</f>
        <v>1.28499492869131</v>
      </c>
      <c r="E31" s="1252" t="n">
        <f aca="false">0.5*(DataDE2!AR34+DataDE2!AR35)/TableDE1!$B112</f>
        <v>0.490131612298375</v>
      </c>
      <c r="F31" s="1251" t="n">
        <f aca="false">0.5*(DataDE2!AC34+DataDE2!AC35)/TableDE1!B112-TableDE6c!D31</f>
        <v>0.493529847444617</v>
      </c>
      <c r="G31" s="594" t="n">
        <f aca="false">AVERAGE(DataDE2b!BK40:BK41)*9/DataDE1!B33</f>
        <v>0.155393835616438</v>
      </c>
      <c r="H31" s="1251" t="n">
        <f aca="false">I31+L31</f>
        <v>0.929446224621558</v>
      </c>
      <c r="I31" s="1252" t="n">
        <f aca="false">J31+K31</f>
        <v>0.108640382829321</v>
      </c>
      <c r="J31" s="1252" t="n">
        <f aca="false">0.5*(DataDE2!AN34+DataDE2!AN35)/TableDE1!$B112</f>
        <v>0.108640382829321</v>
      </c>
      <c r="K31" s="1252"/>
      <c r="L31" s="1252" t="n">
        <f aca="false">M31+N31</f>
        <v>0.820805841792237</v>
      </c>
      <c r="M31" s="1252" t="n">
        <f aca="false">0.5*(DataDE2!AP34+DataDE2!AP35)/TableDE1!$B112</f>
        <v>0.136180847420851</v>
      </c>
      <c r="N31" s="1254" t="n">
        <f aca="false">0.5*(DataDE2!AQ34+DataDE2!AQ35)/TableDE1!$B112</f>
        <v>0.684624994371386</v>
      </c>
      <c r="O31" s="1259"/>
      <c r="P31" s="1259"/>
    </row>
    <row r="32" customFormat="false" ht="12" hidden="false" customHeight="false" outlineLevel="0" collapsed="false">
      <c r="A32" s="439" t="n">
        <v>1973</v>
      </c>
      <c r="B32" s="1251" t="n">
        <f aca="false">C32+F32+H32</f>
        <v>2.18479912165755</v>
      </c>
      <c r="C32" s="1251" t="n">
        <f aca="false">D32-E32</f>
        <v>0.785139679255417</v>
      </c>
      <c r="D32" s="1252" t="n">
        <f aca="false">0.5*(DataDE2!AD35+DataDE2!AD36)/TableDE1!B113</f>
        <v>1.28995439691843</v>
      </c>
      <c r="E32" s="1252" t="n">
        <f aca="false">0.5*(DataDE2!AR35+DataDE2!AR36)/TableDE1!$B113</f>
        <v>0.504814717663012</v>
      </c>
      <c r="F32" s="1251" t="n">
        <f aca="false">0.5*(DataDE2!AC35+DataDE2!AC36)/TableDE1!B113-TableDE6c!D32</f>
        <v>0.466071462686547</v>
      </c>
      <c r="G32" s="594" t="n">
        <f aca="false">AVERAGE(DataDE2b!BK41:BK42)*9/DataDE1!B34</f>
        <v>0.148449504120687</v>
      </c>
      <c r="H32" s="1251" t="n">
        <f aca="false">I32+L32</f>
        <v>0.933587979715583</v>
      </c>
      <c r="I32" s="1252" t="n">
        <f aca="false">J32+K32</f>
        <v>0.0971112585200123</v>
      </c>
      <c r="J32" s="1252" t="n">
        <f aca="false">0.5*(DataDE2!AN35+DataDE2!AN36)/TableDE1!$B113</f>
        <v>0.0971112585200123</v>
      </c>
      <c r="K32" s="1252"/>
      <c r="L32" s="1252" t="n">
        <f aca="false">M32+N32</f>
        <v>0.836476721195571</v>
      </c>
      <c r="M32" s="1252" t="n">
        <f aca="false">0.5*(DataDE2!AP35+DataDE2!AP36)/TableDE1!$B113</f>
        <v>0.1373372478776</v>
      </c>
      <c r="N32" s="1254" t="n">
        <f aca="false">0.5*(DataDE2!AQ35+DataDE2!AQ36)/TableDE1!$B113</f>
        <v>0.699139473317971</v>
      </c>
      <c r="O32" s="1259"/>
      <c r="P32" s="1259"/>
    </row>
    <row r="33" customFormat="false" ht="12" hidden="false" customHeight="false" outlineLevel="0" collapsed="false">
      <c r="A33" s="439" t="n">
        <v>1974</v>
      </c>
      <c r="B33" s="1251" t="n">
        <f aca="false">C33+F33+H33</f>
        <v>2.20126698092742</v>
      </c>
      <c r="C33" s="1251" t="n">
        <f aca="false">D33-E33</f>
        <v>0.794942376062362</v>
      </c>
      <c r="D33" s="1252" t="n">
        <f aca="false">0.5*(DataDE2!AD36+DataDE2!AD37)/TableDE1!B114</f>
        <v>1.31146841180734</v>
      </c>
      <c r="E33" s="1252" t="n">
        <f aca="false">0.5*(DataDE2!AR36+DataDE2!AR37)/TableDE1!$B114</f>
        <v>0.516526035744983</v>
      </c>
      <c r="F33" s="1251" t="n">
        <f aca="false">0.5*(DataDE2!AC36+DataDE2!AC37)/TableDE1!B114-TableDE6c!D33</f>
        <v>0.449694757488149</v>
      </c>
      <c r="G33" s="594" t="n">
        <f aca="false">AVERAGE(DataDE2b!BK42:BK43)*9/DataDE1!B35</f>
        <v>0.135962540822285</v>
      </c>
      <c r="H33" s="1251" t="n">
        <f aca="false">I33+L33</f>
        <v>0.956629847376911</v>
      </c>
      <c r="I33" s="1252" t="n">
        <f aca="false">J33+K33</f>
        <v>0.0833138446662761</v>
      </c>
      <c r="J33" s="1252" t="n">
        <f aca="false">0.5*(DataDE2!AN36+DataDE2!AN37)/TableDE1!$B114</f>
        <v>0.0833138446662761</v>
      </c>
      <c r="K33" s="1252"/>
      <c r="L33" s="1252" t="n">
        <f aca="false">M33+N33</f>
        <v>0.873316002710635</v>
      </c>
      <c r="M33" s="1252" t="n">
        <f aca="false">0.5*(DataDE2!AP36+DataDE2!AP37)/TableDE1!$B114</f>
        <v>0.142939563863752</v>
      </c>
      <c r="N33" s="1254" t="n">
        <f aca="false">0.5*(DataDE2!AQ36+DataDE2!AQ37)/TableDE1!$B114</f>
        <v>0.730376438846883</v>
      </c>
      <c r="O33" s="1259"/>
      <c r="P33" s="1259"/>
    </row>
    <row r="34" customFormat="false" ht="12" hidden="false" customHeight="false" outlineLevel="0" collapsed="false">
      <c r="A34" s="439" t="n">
        <v>1975</v>
      </c>
      <c r="B34" s="1251" t="n">
        <f aca="false">C34+F34+H34</f>
        <v>2.29465431841867</v>
      </c>
      <c r="C34" s="1251" t="n">
        <f aca="false">D34-E34</f>
        <v>0.821417801937306</v>
      </c>
      <c r="D34" s="1252" t="n">
        <f aca="false">0.5*(DataDE2!AD37+DataDE2!AD38)/TableDE1!B115</f>
        <v>1.3513569115017</v>
      </c>
      <c r="E34" s="1252" t="n">
        <f aca="false">0.5*(DataDE2!AR37+DataDE2!AR38)/TableDE1!$B115</f>
        <v>0.529939109564397</v>
      </c>
      <c r="F34" s="1251" t="n">
        <f aca="false">0.5*(DataDE2!AC37+DataDE2!AC38)/TableDE1!B115-TableDE6c!D34</f>
        <v>0.442206401051162</v>
      </c>
      <c r="G34" s="594" t="n">
        <f aca="false">AVERAGE(DataDE2b!BK43:BK44)*9/DataDE1!B36</f>
        <v>0.142009075651147</v>
      </c>
      <c r="H34" s="1251" t="n">
        <f aca="false">I34+L34</f>
        <v>1.0310301154302</v>
      </c>
      <c r="I34" s="1252" t="n">
        <f aca="false">J34+K34</f>
        <v>0.084094643238544</v>
      </c>
      <c r="J34" s="1252" t="n">
        <f aca="false">0.5*(DataDE2!AN37+DataDE2!AN38)/TableDE1!$B115</f>
        <v>0.084094643238544</v>
      </c>
      <c r="K34" s="1252"/>
      <c r="L34" s="1252" t="n">
        <f aca="false">M34+N34</f>
        <v>0.946935472191659</v>
      </c>
      <c r="M34" s="1252" t="n">
        <f aca="false">0.5*(DataDE2!AP37+DataDE2!AP38)/TableDE1!$B115</f>
        <v>0.153021578527615</v>
      </c>
      <c r="N34" s="1254" t="n">
        <f aca="false">0.5*(DataDE2!AQ37+DataDE2!AQ38)/TableDE1!$B115</f>
        <v>0.793913893664044</v>
      </c>
      <c r="O34" s="1259"/>
      <c r="P34" s="1259"/>
    </row>
    <row r="35" customFormat="false" ht="12" hidden="false" customHeight="false" outlineLevel="0" collapsed="false">
      <c r="A35" s="439" t="n">
        <v>1976</v>
      </c>
      <c r="B35" s="1251" t="n">
        <f aca="false">C35+F35+H35</f>
        <v>2.28676888070146</v>
      </c>
      <c r="C35" s="1251" t="n">
        <f aca="false">D35-E35</f>
        <v>0.801101251223807</v>
      </c>
      <c r="D35" s="1252" t="n">
        <f aca="false">0.5*(DataDE2!AD38+DataDE2!AD39)/TableDE1!B116</f>
        <v>1.3299031468329</v>
      </c>
      <c r="E35" s="1252" t="n">
        <f aca="false">0.5*(DataDE2!AR38+DataDE2!AR39)/TableDE1!$B116</f>
        <v>0.528801895609094</v>
      </c>
      <c r="F35" s="1251" t="n">
        <f aca="false">0.5*(DataDE2!AC38+DataDE2!AC39)/TableDE1!B116-TableDE6c!D35</f>
        <v>0.417089528805152</v>
      </c>
      <c r="G35" s="594" t="n">
        <f aca="false">AVERAGE(DataDE2b!BK44:BK45)*9/DataDE1!B37</f>
        <v>0.138644894537279</v>
      </c>
      <c r="H35" s="1251" t="n">
        <f aca="false">I35+L35</f>
        <v>1.0685781006725</v>
      </c>
      <c r="I35" s="1252" t="n">
        <f aca="false">J35+K35</f>
        <v>0.0825504672277895</v>
      </c>
      <c r="J35" s="1252" t="n">
        <f aca="false">0.5*(DataDE2!AN38+DataDE2!AN39)/TableDE1!$B116</f>
        <v>0.0825504672277895</v>
      </c>
      <c r="K35" s="1252"/>
      <c r="L35" s="1252" t="n">
        <f aca="false">M35+N35</f>
        <v>0.986027633444715</v>
      </c>
      <c r="M35" s="1252" t="n">
        <f aca="false">0.5*(DataDE2!AP38+DataDE2!AP39)/TableDE1!$B116</f>
        <v>0.157230858584966</v>
      </c>
      <c r="N35" s="1254" t="n">
        <f aca="false">0.5*(DataDE2!AQ38+DataDE2!AQ39)/TableDE1!$B116</f>
        <v>0.828796774859749</v>
      </c>
      <c r="O35" s="1259"/>
      <c r="P35" s="1259"/>
    </row>
    <row r="36" customFormat="false" ht="12" hidden="false" customHeight="false" outlineLevel="0" collapsed="false">
      <c r="A36" s="439" t="n">
        <v>1977</v>
      </c>
      <c r="B36" s="1251" t="n">
        <f aca="false">C36+F36+H36</f>
        <v>2.36449969898551</v>
      </c>
      <c r="C36" s="1251" t="n">
        <f aca="false">D36-E36</f>
        <v>0.826378930921987</v>
      </c>
      <c r="D36" s="1252" t="n">
        <f aca="false">0.5*(DataDE2!AD39+DataDE2!AD40)/TableDE1!B117</f>
        <v>1.3735452425096</v>
      </c>
      <c r="E36" s="1252" t="n">
        <f aca="false">0.5*(DataDE2!AR39+DataDE2!AR40)/TableDE1!$B117</f>
        <v>0.547166311587617</v>
      </c>
      <c r="F36" s="1251" t="n">
        <f aca="false">0.5*(DataDE2!AC39+DataDE2!AC40)/TableDE1!B117-TableDE6c!D36</f>
        <v>0.424404900877684</v>
      </c>
      <c r="G36" s="594" t="n">
        <f aca="false">AVERAGE(DataDE2b!BK45:BK46)*9/DataDE1!B38</f>
        <v>0.133099840556083</v>
      </c>
      <c r="H36" s="1251" t="n">
        <f aca="false">I36+L36</f>
        <v>1.11371586718584</v>
      </c>
      <c r="I36" s="1252" t="n">
        <f aca="false">J36+K36</f>
        <v>0.0772703679885054</v>
      </c>
      <c r="J36" s="1252" t="n">
        <f aca="false">0.5*(DataDE2!AN39+DataDE2!AN40)/TableDE1!$B117</f>
        <v>0.0772703679885054</v>
      </c>
      <c r="K36" s="1252"/>
      <c r="L36" s="1252" t="n">
        <f aca="false">M36+N36</f>
        <v>1.03644549919733</v>
      </c>
      <c r="M36" s="1252" t="n">
        <f aca="false">0.5*(DataDE2!AP39+DataDE2!AP40)/TableDE1!$B117</f>
        <v>0.165279221982209</v>
      </c>
      <c r="N36" s="1254" t="n">
        <f aca="false">0.5*(DataDE2!AQ39+DataDE2!AQ40)/TableDE1!$B117</f>
        <v>0.871166277215123</v>
      </c>
      <c r="O36" s="1259"/>
      <c r="P36" s="1259"/>
    </row>
    <row r="37" customFormat="false" ht="12" hidden="false" customHeight="false" outlineLevel="0" collapsed="false">
      <c r="A37" s="439" t="n">
        <v>1978</v>
      </c>
      <c r="B37" s="1251" t="n">
        <f aca="false">C37+F37+H37</f>
        <v>2.45751763593208</v>
      </c>
      <c r="C37" s="1251" t="n">
        <f aca="false">D37-E37</f>
        <v>0.868220482371065</v>
      </c>
      <c r="D37" s="1252" t="n">
        <f aca="false">0.5*(DataDE2!AD40+DataDE2!AD41)/TableDE1!B118</f>
        <v>1.43845825538311</v>
      </c>
      <c r="E37" s="1252" t="n">
        <f aca="false">0.5*(DataDE2!AR40+DataDE2!AR41)/TableDE1!$B118</f>
        <v>0.570237773012049</v>
      </c>
      <c r="F37" s="1251" t="n">
        <f aca="false">0.5*(DataDE2!AC40+DataDE2!AC41)/TableDE1!B118-TableDE6c!D37</f>
        <v>0.448125844392047</v>
      </c>
      <c r="G37" s="594" t="n">
        <f aca="false">AVERAGE(DataDE2b!BK46:BK47)*9/DataDE1!B39</f>
        <v>0.125108928810833</v>
      </c>
      <c r="H37" s="1251" t="n">
        <f aca="false">I37+L37</f>
        <v>1.14117130916897</v>
      </c>
      <c r="I37" s="1252" t="n">
        <f aca="false">J37+K37</f>
        <v>0.0773590882839461</v>
      </c>
      <c r="J37" s="1252" t="n">
        <f aca="false">0.5*(DataDE2!AN40+DataDE2!AN41)/TableDE1!$B118</f>
        <v>0.0773590882839461</v>
      </c>
      <c r="K37" s="1252"/>
      <c r="L37" s="1252" t="n">
        <f aca="false">M37+N37</f>
        <v>1.06381222088502</v>
      </c>
      <c r="M37" s="1252" t="n">
        <f aca="false">0.5*(DataDE2!AP40+DataDE2!AP41)/TableDE1!$B118</f>
        <v>0.172873696881239</v>
      </c>
      <c r="N37" s="1254" t="n">
        <f aca="false">0.5*(DataDE2!AQ40+DataDE2!AQ41)/TableDE1!$B118</f>
        <v>0.890938524003783</v>
      </c>
      <c r="O37" s="1259"/>
      <c r="P37" s="1259"/>
    </row>
    <row r="38" customFormat="false" ht="12.75" hidden="false" customHeight="true" outlineLevel="0" collapsed="false">
      <c r="A38" s="439" t="n">
        <v>1979</v>
      </c>
      <c r="B38" s="1251" t="n">
        <f aca="false">C38+F38+H38</f>
        <v>2.48603507321817</v>
      </c>
      <c r="C38" s="1251" t="n">
        <f aca="false">D38-E38</f>
        <v>0.877876636757261</v>
      </c>
      <c r="D38" s="1252" t="n">
        <f aca="false">0.5*(DataDE2!AD41+DataDE2!AD42)/TableDE1!B119</f>
        <v>1.47284487517904</v>
      </c>
      <c r="E38" s="1252" t="n">
        <f aca="false">0.5*(DataDE2!AR41+DataDE2!AR42)/TableDE1!$B119</f>
        <v>0.594968238421783</v>
      </c>
      <c r="F38" s="1251" t="n">
        <f aca="false">0.5*(DataDE2!AC41+DataDE2!AC42)/TableDE1!B119-TableDE6c!D38</f>
        <v>0.461865889600834</v>
      </c>
      <c r="G38" s="594" t="n">
        <f aca="false">AVERAGE(DataDE2b!BK47:BK48)*9/DataDE1!B40</f>
        <v>0.115740597190785</v>
      </c>
      <c r="H38" s="1251" t="n">
        <f aca="false">I38+L38</f>
        <v>1.14629254686007</v>
      </c>
      <c r="I38" s="1252" t="n">
        <f aca="false">J38+K38</f>
        <v>0.072465908318761</v>
      </c>
      <c r="J38" s="1252" t="n">
        <f aca="false">0.5*(DataDE2!AN41+DataDE2!AN42)/TableDE1!$B119</f>
        <v>0.072465908318761</v>
      </c>
      <c r="K38" s="1252"/>
      <c r="L38" s="1252" t="n">
        <f aca="false">M38+N38</f>
        <v>1.07382663854131</v>
      </c>
      <c r="M38" s="1252" t="n">
        <f aca="false">0.5*(DataDE2!AP41+DataDE2!AP42)/TableDE1!$B119</f>
        <v>0.178726622550652</v>
      </c>
      <c r="N38" s="1254" t="n">
        <f aca="false">0.5*(DataDE2!AQ41+DataDE2!AQ42)/TableDE1!$B119</f>
        <v>0.895100015990658</v>
      </c>
      <c r="O38" s="1259"/>
      <c r="P38" s="1259"/>
    </row>
    <row r="39" customFormat="false" ht="12" hidden="false" customHeight="false" outlineLevel="0" collapsed="false">
      <c r="A39" s="859" t="n">
        <v>1980</v>
      </c>
      <c r="B39" s="1260" t="n">
        <f aca="false">C39+F39+H39</f>
        <v>2.5296440222246</v>
      </c>
      <c r="C39" s="1260" t="n">
        <f aca="false">D39-E39</f>
        <v>0.894956247405785</v>
      </c>
      <c r="D39" s="1261" t="n">
        <f aca="false">0.5*(DataDE2!AD42+DataDE2!AD43)/TableDE1!B120</f>
        <v>1.52134678215055</v>
      </c>
      <c r="E39" s="1261" t="n">
        <f aca="false">0.5*(DataDE2!AR42+DataDE2!AR43)/TableDE1!$B120</f>
        <v>0.626390534744762</v>
      </c>
      <c r="F39" s="1260" t="n">
        <f aca="false">0.5*(DataDE2!AC42+DataDE2!AC43)/TableDE1!B120-TableDE6c!D39</f>
        <v>0.464722136121438</v>
      </c>
      <c r="G39" s="1262" t="n">
        <f aca="false">AVERAGE(DataDE2b!BK48:BK49)*9/DataDE1!B41</f>
        <v>0.111146752205293</v>
      </c>
      <c r="H39" s="1260" t="n">
        <f aca="false">I39+L39</f>
        <v>1.16996563869738</v>
      </c>
      <c r="I39" s="1261" t="n">
        <f aca="false">J39+K39</f>
        <v>0.066177816038738</v>
      </c>
      <c r="J39" s="1261" t="n">
        <f aca="false">0.5*(DataDE2!AN42+DataDE2!AN43)/TableDE1!$B120</f>
        <v>0.066177816038738</v>
      </c>
      <c r="K39" s="1261"/>
      <c r="L39" s="1261" t="n">
        <f aca="false">M39+N39</f>
        <v>1.10378782265864</v>
      </c>
      <c r="M39" s="1261" t="n">
        <f aca="false">0.5*(DataDE2!AP42+DataDE2!AP43)/TableDE1!$B120</f>
        <v>0.187414352662741</v>
      </c>
      <c r="N39" s="1263" t="n">
        <f aca="false">0.5*(DataDE2!AQ42+DataDE2!AQ43)/TableDE1!$B120</f>
        <v>0.916373469995899</v>
      </c>
      <c r="O39" s="1259"/>
      <c r="P39" s="1259"/>
    </row>
    <row r="40" customFormat="false" ht="12" hidden="false" customHeight="false" outlineLevel="0" collapsed="false">
      <c r="A40" s="439" t="n">
        <v>1981</v>
      </c>
      <c r="B40" s="1251" t="n">
        <f aca="false">C40+F40+H40</f>
        <v>2.62013228686627</v>
      </c>
      <c r="C40" s="1251" t="n">
        <f aca="false">D40-E40</f>
        <v>0.936992598918225</v>
      </c>
      <c r="D40" s="1252" t="n">
        <f aca="false">0.5*(DataDE2!AD43+DataDE2!AD44)/TableDE1!B121</f>
        <v>1.59757630016573</v>
      </c>
      <c r="E40" s="1252" t="n">
        <f aca="false">0.5*(DataDE2!AR43+DataDE2!AR44)/TableDE1!$B121</f>
        <v>0.6605837012475</v>
      </c>
      <c r="F40" s="1251" t="n">
        <f aca="false">0.5*(DataDE2!AC43+DataDE2!AC44)/TableDE1!B121-TableDE6c!D40</f>
        <v>0.46283953066074</v>
      </c>
      <c r="G40" s="594" t="n">
        <f aca="false">AVERAGE(DataDE2b!BK49:BK50)*9/DataDE1!B42</f>
        <v>0.113402929786159</v>
      </c>
      <c r="H40" s="1251" t="n">
        <f aca="false">I40+L40</f>
        <v>1.2203001572873</v>
      </c>
      <c r="I40" s="1252" t="n">
        <f aca="false">J40+K40</f>
        <v>0.0621033295712467</v>
      </c>
      <c r="J40" s="1252" t="n">
        <f aca="false">0.5*(DataDE2!AN43+DataDE2!AN44)/TableDE1!$B121</f>
        <v>0.0621033295712467</v>
      </c>
      <c r="K40" s="1252"/>
      <c r="L40" s="1252" t="n">
        <f aca="false">M40+N40</f>
        <v>1.15819682771605</v>
      </c>
      <c r="M40" s="1252" t="n">
        <f aca="false">0.5*(DataDE2!AP43+DataDE2!AP44)/TableDE1!$B121</f>
        <v>0.20125083963316</v>
      </c>
      <c r="N40" s="1254" t="n">
        <f aca="false">0.5*(DataDE2!AQ43+DataDE2!AQ44)/TableDE1!$B121</f>
        <v>0.956945988082894</v>
      </c>
      <c r="O40" s="1259"/>
      <c r="P40" s="1259"/>
    </row>
    <row r="41" customFormat="false" ht="12" hidden="false" customHeight="false" outlineLevel="0" collapsed="false">
      <c r="A41" s="439" t="n">
        <v>1982</v>
      </c>
      <c r="B41" s="1251" t="n">
        <f aca="false">C41+F41+H41</f>
        <v>2.72744244161063</v>
      </c>
      <c r="C41" s="1251" t="n">
        <f aca="false">D41-E41</f>
        <v>0.983926585401456</v>
      </c>
      <c r="D41" s="1252" t="n">
        <f aca="false">0.5*(DataDE2!AD44+DataDE2!AD45)/TableDE1!B122</f>
        <v>1.67008117484028</v>
      </c>
      <c r="E41" s="1252" t="n">
        <f aca="false">0.5*(DataDE2!AR44+DataDE2!AR45)/TableDE1!$B122</f>
        <v>0.686154589438827</v>
      </c>
      <c r="F41" s="1251" t="n">
        <f aca="false">0.5*(DataDE2!AC44+DataDE2!AC45)/TableDE1!B122-TableDE6c!D41</f>
        <v>0.461592879971443</v>
      </c>
      <c r="G41" s="594" t="n">
        <f aca="false">AVERAGE(DataDE2b!BK50:BK51)*9/DataDE1!B43</f>
        <v>0.116229643567841</v>
      </c>
      <c r="H41" s="1251" t="n">
        <f aca="false">I41+L41</f>
        <v>1.28192297623773</v>
      </c>
      <c r="I41" s="1252" t="n">
        <f aca="false">J41+K41</f>
        <v>0.0598713501701975</v>
      </c>
      <c r="J41" s="1252" t="n">
        <f aca="false">0.5*(DataDE2!AN44+DataDE2!AN45)/TableDE1!$B122</f>
        <v>0.0598713501701975</v>
      </c>
      <c r="K41" s="1252"/>
      <c r="L41" s="1252" t="n">
        <f aca="false">M41+N41</f>
        <v>1.22205162606753</v>
      </c>
      <c r="M41" s="1252" t="n">
        <f aca="false">0.5*(DataDE2!AP44+DataDE2!AP45)/TableDE1!$B122</f>
        <v>0.216951591947044</v>
      </c>
      <c r="N41" s="1254" t="n">
        <f aca="false">0.5*(DataDE2!AQ44+DataDE2!AQ45)/TableDE1!$B122</f>
        <v>1.00510003412049</v>
      </c>
      <c r="O41" s="1259"/>
      <c r="P41" s="1259"/>
    </row>
    <row r="42" customFormat="false" ht="12" hidden="false" customHeight="false" outlineLevel="0" collapsed="false">
      <c r="A42" s="439" t="n">
        <v>1983</v>
      </c>
      <c r="B42" s="1251" t="n">
        <f aca="false">C42+F42+H42</f>
        <v>2.79661246602516</v>
      </c>
      <c r="C42" s="1251" t="n">
        <f aca="false">D42-E42</f>
        <v>1.01309411742463</v>
      </c>
      <c r="D42" s="1252" t="n">
        <f aca="false">0.5*(DataDE2!AD45+DataDE2!AD46)/TableDE1!B123</f>
        <v>1.71808216656593</v>
      </c>
      <c r="E42" s="1252" t="n">
        <f aca="false">0.5*(DataDE2!AR45+DataDE2!AR46)/TableDE1!$B123</f>
        <v>0.704988049141301</v>
      </c>
      <c r="F42" s="1251" t="n">
        <f aca="false">0.5*(DataDE2!AC45+DataDE2!AC46)/TableDE1!B123-TableDE6c!D42</f>
        <v>0.455246074104483</v>
      </c>
      <c r="G42" s="594" t="n">
        <f aca="false">AVERAGE(DataDE2b!BK51:BK52)*9/DataDE1!B44</f>
        <v>0.110776391492663</v>
      </c>
      <c r="H42" s="1251" t="n">
        <f aca="false">I42+L42</f>
        <v>1.32827227449604</v>
      </c>
      <c r="I42" s="1252" t="n">
        <f aca="false">J42+K42</f>
        <v>0.068560279181096</v>
      </c>
      <c r="J42" s="1252" t="n">
        <f aca="false">0.5*(DataDE2!AN45+DataDE2!AN46)/TableDE1!$B123</f>
        <v>0.068560279181096</v>
      </c>
      <c r="K42" s="1252"/>
      <c r="L42" s="1252" t="n">
        <f aca="false">M42+N42</f>
        <v>1.25971199531495</v>
      </c>
      <c r="M42" s="1252" t="n">
        <f aca="false">0.5*(DataDE2!AP45+DataDE2!AP46)/TableDE1!$B123</f>
        <v>0.230072141833012</v>
      </c>
      <c r="N42" s="1254" t="n">
        <f aca="false">0.5*(DataDE2!AQ45+DataDE2!AQ46)/TableDE1!$B123</f>
        <v>1.02963985348193</v>
      </c>
      <c r="O42" s="1259"/>
      <c r="P42" s="1259"/>
    </row>
    <row r="43" customFormat="false" ht="12" hidden="false" customHeight="false" outlineLevel="0" collapsed="false">
      <c r="A43" s="439" t="n">
        <v>1984</v>
      </c>
      <c r="B43" s="1251" t="n">
        <f aca="false">C43+F43+H43</f>
        <v>2.83672792160897</v>
      </c>
      <c r="C43" s="1251" t="n">
        <f aca="false">D43-E43</f>
        <v>1.0292643065751</v>
      </c>
      <c r="D43" s="1252" t="n">
        <f aca="false">0.5*(DataDE2!AD46+DataDE2!AD47)/TableDE1!B124</f>
        <v>1.74957383346387</v>
      </c>
      <c r="E43" s="1252" t="n">
        <f aca="false">0.5*(DataDE2!AR46+DataDE2!AR47)/TableDE1!$B124</f>
        <v>0.720309526888765</v>
      </c>
      <c r="F43" s="1251" t="n">
        <f aca="false">0.5*(DataDE2!AC46+DataDE2!AC47)/TableDE1!B124-TableDE6c!D43</f>
        <v>0.44628629168891</v>
      </c>
      <c r="G43" s="594" t="n">
        <f aca="false">AVERAGE(DataDE2b!BK52:BK53)*9/DataDE1!B45</f>
        <v>0.102615768328194</v>
      </c>
      <c r="H43" s="1251" t="n">
        <f aca="false">I43+L43</f>
        <v>1.36117732334495</v>
      </c>
      <c r="I43" s="1252" t="n">
        <f aca="false">J43+K43</f>
        <v>0.0783013416999065</v>
      </c>
      <c r="J43" s="1252" t="n">
        <f aca="false">0.5*(DataDE2!AN46+DataDE2!AN47)/TableDE1!$B124</f>
        <v>0.0783013416999065</v>
      </c>
      <c r="K43" s="1252"/>
      <c r="L43" s="1252" t="n">
        <f aca="false">M43+N43</f>
        <v>1.28287598164505</v>
      </c>
      <c r="M43" s="1252" t="n">
        <f aca="false">0.5*(DataDE2!AP46+DataDE2!AP47)/TableDE1!$B124</f>
        <v>0.241135416492394</v>
      </c>
      <c r="N43" s="1254" t="n">
        <f aca="false">0.5*(DataDE2!AQ46+DataDE2!AQ47)/TableDE1!$B124</f>
        <v>1.04174056515265</v>
      </c>
      <c r="O43" s="1259"/>
      <c r="P43" s="1259"/>
    </row>
    <row r="44" customFormat="false" ht="12" hidden="false" customHeight="false" outlineLevel="0" collapsed="false">
      <c r="A44" s="439" t="n">
        <v>1985</v>
      </c>
      <c r="B44" s="1251" t="n">
        <f aca="false">C44+F44+H44</f>
        <v>2.90342841424184</v>
      </c>
      <c r="C44" s="1251" t="n">
        <f aca="false">D44-E44</f>
        <v>1.05434238794557</v>
      </c>
      <c r="D44" s="1252" t="n">
        <f aca="false">0.5*(DataDE2!AD47+DataDE2!AD48)/TableDE1!B125</f>
        <v>1.78531293069624</v>
      </c>
      <c r="E44" s="1252" t="n">
        <f aca="false">0.5*(DataDE2!AR47+DataDE2!AR48)/TableDE1!$B125</f>
        <v>0.730970542750664</v>
      </c>
      <c r="F44" s="1251" t="n">
        <f aca="false">0.5*(DataDE2!AC47+DataDE2!AC48)/TableDE1!B125-TableDE6c!D44</f>
        <v>0.439956840701048</v>
      </c>
      <c r="G44" s="594" t="n">
        <f aca="false">AVERAGE(DataDE2b!BK53:BK54)*9/DataDE1!B46</f>
        <v>0.092442208929264</v>
      </c>
      <c r="H44" s="1251" t="n">
        <f aca="false">I44+L44</f>
        <v>1.40912918559522</v>
      </c>
      <c r="I44" s="1252" t="n">
        <f aca="false">J44+K44</f>
        <v>0.098384626436236</v>
      </c>
      <c r="J44" s="1252" t="n">
        <f aca="false">0.5*(DataDE2!AN47+DataDE2!AN48)/TableDE1!$B125</f>
        <v>0.098384626436236</v>
      </c>
      <c r="K44" s="1252"/>
      <c r="L44" s="1252" t="n">
        <f aca="false">M44+N44</f>
        <v>1.31074455915898</v>
      </c>
      <c r="M44" s="1252" t="n">
        <f aca="false">0.5*(DataDE2!AP47+DataDE2!AP48)/TableDE1!$B125</f>
        <v>0.254350127377596</v>
      </c>
      <c r="N44" s="1254" t="n">
        <f aca="false">0.5*(DataDE2!AQ47+DataDE2!AQ48)/TableDE1!$B125</f>
        <v>1.05639443178138</v>
      </c>
      <c r="O44" s="1259"/>
      <c r="P44" s="1259"/>
    </row>
    <row r="45" customFormat="false" ht="12" hidden="false" customHeight="false" outlineLevel="0" collapsed="false">
      <c r="A45" s="439" t="n">
        <v>1986</v>
      </c>
      <c r="B45" s="1251" t="n">
        <f aca="false">C45+F45+H45</f>
        <v>2.94643285549051</v>
      </c>
      <c r="C45" s="1251" t="n">
        <f aca="false">D45-E45</f>
        <v>1.07780634408781</v>
      </c>
      <c r="D45" s="1252" t="n">
        <f aca="false">0.5*(DataDE2!AD48+DataDE2!AD49)/TableDE1!B126</f>
        <v>1.80208041273389</v>
      </c>
      <c r="E45" s="1252" t="n">
        <f aca="false">0.5*(DataDE2!AR48+DataDE2!AR49)/TableDE1!$B126</f>
        <v>0.724274068646082</v>
      </c>
      <c r="F45" s="1251" t="n">
        <f aca="false">0.5*(DataDE2!AC48+DataDE2!AC49)/TableDE1!B126-TableDE6c!D45</f>
        <v>0.430335765049105</v>
      </c>
      <c r="G45" s="594" t="n">
        <f aca="false">AVERAGE(DataDE2b!BK54:BK55)*9/DataDE1!B47</f>
        <v>0.0802755110014624</v>
      </c>
      <c r="H45" s="1251" t="n">
        <f aca="false">I45+L45</f>
        <v>1.4382907463536</v>
      </c>
      <c r="I45" s="1252" t="n">
        <f aca="false">J45+K45</f>
        <v>0.120696803134937</v>
      </c>
      <c r="J45" s="1252" t="n">
        <f aca="false">0.5*(DataDE2!AN48+DataDE2!AN49)/TableDE1!$B126</f>
        <v>0.120696803134937</v>
      </c>
      <c r="K45" s="1252"/>
      <c r="L45" s="1252" t="n">
        <f aca="false">M45+N45</f>
        <v>1.31759394321866</v>
      </c>
      <c r="M45" s="1252" t="n">
        <f aca="false">0.5*(DataDE2!AP48+DataDE2!AP49)/TableDE1!$B126</f>
        <v>0.266328678009342</v>
      </c>
      <c r="N45" s="1254" t="n">
        <f aca="false">0.5*(DataDE2!AQ48+DataDE2!AQ49)/TableDE1!$B126</f>
        <v>1.05126526520932</v>
      </c>
      <c r="O45" s="1259"/>
      <c r="P45" s="1259"/>
    </row>
    <row r="46" customFormat="false" ht="12" hidden="false" customHeight="false" outlineLevel="0" collapsed="false">
      <c r="A46" s="439" t="n">
        <v>1987</v>
      </c>
      <c r="B46" s="1251" t="n">
        <f aca="false">C46+F46+H46</f>
        <v>3.04244965338094</v>
      </c>
      <c r="C46" s="1251" t="n">
        <f aca="false">D46-E46</f>
        <v>1.13457727298309</v>
      </c>
      <c r="D46" s="1252" t="n">
        <f aca="false">0.5*(DataDE2!AD49+DataDE2!AD50)/TableDE1!B127</f>
        <v>1.86423682601973</v>
      </c>
      <c r="E46" s="1252" t="n">
        <f aca="false">0.5*(DataDE2!AR49+DataDE2!AR50)/TableDE1!$B127</f>
        <v>0.729659553036637</v>
      </c>
      <c r="F46" s="1251" t="n">
        <f aca="false">0.5*(DataDE2!AC49+DataDE2!AC50)/TableDE1!B127-TableDE6c!D46</f>
        <v>0.432534979307435</v>
      </c>
      <c r="G46" s="594" t="n">
        <f aca="false">AVERAGE(DataDE2b!BK55:BK56)*9/DataDE1!B48</f>
        <v>0.0746433868434828</v>
      </c>
      <c r="H46" s="1251" t="n">
        <f aca="false">I46+L46</f>
        <v>1.47533740109042</v>
      </c>
      <c r="I46" s="1252" t="n">
        <f aca="false">J46+K46</f>
        <v>0.110984699291326</v>
      </c>
      <c r="J46" s="1252" t="n">
        <f aca="false">0.5*(DataDE2!AN49+DataDE2!AN50)/TableDE1!$B127</f>
        <v>0.110984699291326</v>
      </c>
      <c r="K46" s="1252"/>
      <c r="L46" s="1252" t="n">
        <f aca="false">M46+N46</f>
        <v>1.36435270179909</v>
      </c>
      <c r="M46" s="1252" t="n">
        <f aca="false">0.5*(DataDE2!AP49+DataDE2!AP50)/TableDE1!$B127</f>
        <v>0.284947525597454</v>
      </c>
      <c r="N46" s="1254" t="n">
        <f aca="false">0.5*(DataDE2!AQ49+DataDE2!AQ50)/TableDE1!$B127</f>
        <v>1.07940517620164</v>
      </c>
      <c r="O46" s="1259"/>
      <c r="P46" s="691"/>
    </row>
    <row r="47" customFormat="false" ht="12" hidden="false" customHeight="false" outlineLevel="0" collapsed="false">
      <c r="A47" s="439" t="n">
        <v>1988</v>
      </c>
      <c r="B47" s="1251" t="n">
        <f aca="false">C47+F47+H47</f>
        <v>3.03297460198842</v>
      </c>
      <c r="C47" s="1251" t="n">
        <f aca="false">D47-E47</f>
        <v>1.14586579896646</v>
      </c>
      <c r="D47" s="1252" t="n">
        <f aca="false">0.5*(DataDE2!AD50+DataDE2!AD51)/TableDE1!B128</f>
        <v>1.85293724925681</v>
      </c>
      <c r="E47" s="1252" t="n">
        <f aca="false">0.5*(DataDE2!AR50+DataDE2!AR51)/TableDE1!$B128</f>
        <v>0.707071450290343</v>
      </c>
      <c r="F47" s="1251" t="n">
        <f aca="false">0.5*(DataDE2!AC50+DataDE2!AC51)/TableDE1!B128-TableDE6c!D47</f>
        <v>0.418671397759682</v>
      </c>
      <c r="G47" s="594" t="n">
        <f aca="false">AVERAGE(DataDE2b!BK56:BK57)*9/DataDE1!B49</f>
        <v>0.0711572029982544</v>
      </c>
      <c r="H47" s="1251" t="n">
        <f aca="false">I47+L47</f>
        <v>1.46843740526228</v>
      </c>
      <c r="I47" s="1252" t="n">
        <f aca="false">J47+K47</f>
        <v>0.101583095201293</v>
      </c>
      <c r="J47" s="1252" t="n">
        <f aca="false">0.5*(DataDE2!AN50+DataDE2!AN51)/TableDE1!$B128</f>
        <v>0.101583095201293</v>
      </c>
      <c r="K47" s="1252"/>
      <c r="L47" s="1252" t="n">
        <f aca="false">M47+N47</f>
        <v>1.36685431006098</v>
      </c>
      <c r="M47" s="1252" t="n">
        <f aca="false">0.5*(DataDE2!AP50+DataDE2!AP51)/TableDE1!$B128</f>
        <v>0.293058776256835</v>
      </c>
      <c r="N47" s="1254" t="n">
        <f aca="false">0.5*(DataDE2!AQ50+DataDE2!AQ51)/TableDE1!$B128</f>
        <v>1.07379553380415</v>
      </c>
      <c r="O47" s="1259"/>
      <c r="P47" s="1259"/>
    </row>
    <row r="48" customFormat="false" ht="12" hidden="false" customHeight="false" outlineLevel="0" collapsed="false">
      <c r="A48" s="443" t="n">
        <v>1989</v>
      </c>
      <c r="B48" s="1255" t="n">
        <f aca="false">C48+F48+H48</f>
        <v>3.01193899964686</v>
      </c>
      <c r="C48" s="1255" t="n">
        <f aca="false">D48-E48</f>
        <v>1.1351579587561</v>
      </c>
      <c r="D48" s="1256" t="n">
        <f aca="false">0.5*(DataDE2!AD51+DataDE2!AD52)/TableDE1!B129</f>
        <v>1.82052762253508</v>
      </c>
      <c r="E48" s="1256" t="n">
        <f aca="false">0.5*(DataDE2!AR51+DataDE2!AR52)/TableDE1!$B129</f>
        <v>0.685369663778982</v>
      </c>
      <c r="F48" s="1255" t="n">
        <f aca="false">0.5*(DataDE2!AC51+DataDE2!AC52)/TableDE1!B129-TableDE6c!D48</f>
        <v>0.401409558150994</v>
      </c>
      <c r="G48" s="1264" t="n">
        <f aca="false">AVERAGE(DataDE2b!BK57:BK58)*9/DataDE1!B50</f>
        <v>0.0636080498322952</v>
      </c>
      <c r="H48" s="1255" t="n">
        <f aca="false">I48+L48</f>
        <v>1.47537148273977</v>
      </c>
      <c r="I48" s="1256" t="n">
        <f aca="false">J48+K48</f>
        <v>0.117945775312938</v>
      </c>
      <c r="J48" s="1256" t="n">
        <f aca="false">0.5*(DataDE2!AN51+DataDE2!AN52)/TableDE1!$B129</f>
        <v>0.117945775312938</v>
      </c>
      <c r="K48" s="1256"/>
      <c r="L48" s="1256" t="n">
        <f aca="false">M48+N48</f>
        <v>1.35742570742683</v>
      </c>
      <c r="M48" s="1256" t="n">
        <f aca="false">0.5*(DataDE2!AP51+DataDE2!AP52)/TableDE1!$B129</f>
        <v>0.298828444101882</v>
      </c>
      <c r="N48" s="1258" t="n">
        <f aca="false">0.5*(DataDE2!AQ51+DataDE2!AQ52)/TableDE1!$B129</f>
        <v>1.05859726332495</v>
      </c>
      <c r="O48" s="1259"/>
      <c r="P48" s="1259"/>
    </row>
    <row r="49" s="20" customFormat="true" ht="12" hidden="false" customHeight="false" outlineLevel="0" collapsed="false">
      <c r="A49" s="439" t="n">
        <v>1990</v>
      </c>
      <c r="B49" s="1251" t="n">
        <f aca="false">C49+F49+H49</f>
        <v>2.93337465632571</v>
      </c>
      <c r="C49" s="1251" t="n">
        <f aca="false">D49-E49</f>
        <v>1.09795768318911</v>
      </c>
      <c r="D49" s="1252" t="n">
        <f aca="false">(DataDE2!AD52*AVERAGE(DataDE2!AD52:DataDE2!AD51)/DataDE2!AD51)/TableDE1!$B130</f>
        <v>1.75742134955776</v>
      </c>
      <c r="E49" s="1252" t="n">
        <f aca="false">(DataDE2!AR52*AVERAGE(DataDE2!AR52:DataDE2!AR51)/DataDE2!AR51)/TableDE1!$B130</f>
        <v>0.659463666368644</v>
      </c>
      <c r="F49" s="1251" t="n">
        <f aca="false">(DataDE2!AC52*AVERAGE(DataDE2!AC52:DataDE2!AC51)/DataDE2!AC51)/TableDE1!B130-TableDE6c!D49</f>
        <v>0.378395476064088</v>
      </c>
      <c r="G49" s="594" t="n">
        <f aca="false">AVERAGE(DataDE2b!BK58:BK59)*9/DataDE1!B51</f>
        <v>0.0525032996040475</v>
      </c>
      <c r="H49" s="1251" t="n">
        <f aca="false">I49+L49</f>
        <v>1.45702149707251</v>
      </c>
      <c r="I49" s="1252" t="n">
        <f aca="false">J49+K49</f>
        <v>0.133782710846191</v>
      </c>
      <c r="J49" s="1252" t="n">
        <f aca="false">(DataDE2!AN52*AVERAGE(DataDE2!AN52:DataDE2!AN51)/DataDE2!AN51)/TableDE1!$B130</f>
        <v>0.133782710846191</v>
      </c>
      <c r="K49" s="1252"/>
      <c r="L49" s="1252" t="n">
        <f aca="false">M49+N49</f>
        <v>1.32323878622632</v>
      </c>
      <c r="M49" s="1252" t="n">
        <f aca="false">(DataDE2!AP52*AVERAGE(DataDE2!AP52:DataDE2!AP51)/DataDE2!AP51)/TableDE1!$B130</f>
        <v>0.29928169005623</v>
      </c>
      <c r="N49" s="1254" t="n">
        <f aca="false">(DataDE2!AQ52*AVERAGE(DataDE2!AQ52:DataDE2!AQ51)/DataDE2!AQ51)/TableDE1!$B130</f>
        <v>1.02395709617009</v>
      </c>
      <c r="O49" s="947"/>
      <c r="P49" s="947"/>
    </row>
    <row r="50" customFormat="false" ht="12" hidden="false" customHeight="false" outlineLevel="0" collapsed="false">
      <c r="A50" s="439" t="n">
        <v>1991</v>
      </c>
      <c r="B50" s="1251" t="n">
        <f aca="false">C50+F50+H50</f>
        <v>2.86881455730272</v>
      </c>
      <c r="C50" s="1251" t="n">
        <f aca="false">D50-E50</f>
        <v>1.10486637775082</v>
      </c>
      <c r="D50" s="1252" t="n">
        <f aca="false">0.5*(DataDE2!AD53+DataDE2!AD54)/TableDE1!B131</f>
        <v>1.70916729007177</v>
      </c>
      <c r="E50" s="1252" t="n">
        <f aca="false">0.5*(DataDE2!AR53+DataDE2!AR54)/TableDE1!$B131</f>
        <v>0.604300912320944</v>
      </c>
      <c r="F50" s="1251" t="n">
        <f aca="false">0.5*(DataDE2!AC53+DataDE2!AC54)/TableDE1!B131-TableDE6c!D50</f>
        <v>0.377912219092079</v>
      </c>
      <c r="G50" s="594" t="n">
        <f aca="false">AVERAGE(DataDE2b!BL59:BL60)*9/DataDE1!B52</f>
        <v>0.0548561894526406</v>
      </c>
      <c r="H50" s="1251" t="n">
        <f aca="false">I50+L50</f>
        <v>1.38603596045982</v>
      </c>
      <c r="I50" s="1252" t="n">
        <f aca="false">J50+K50</f>
        <v>0.206290004385682</v>
      </c>
      <c r="J50" s="1252" t="n">
        <f aca="false">0.5*(DataDE2!AN53+DataDE2!AN54)/TableDE1!$B131</f>
        <v>0.0937588251191176</v>
      </c>
      <c r="K50" s="1252" t="n">
        <f aca="false">0.5*(DataDE2!AO53+DataDE2!AO54)/TableDE1!$B131</f>
        <v>0.112531179266565</v>
      </c>
      <c r="L50" s="1252" t="n">
        <f aca="false">M50+N50</f>
        <v>1.17974595607413</v>
      </c>
      <c r="M50" s="1252" t="n">
        <f aca="false">0.5*(DataDE2!AP53+DataDE2!AP54)/TableDE1!$B131</f>
        <v>0.275080062140595</v>
      </c>
      <c r="N50" s="1254" t="n">
        <f aca="false">0.5*(DataDE2!AQ53+DataDE2!AQ54)/TableDE1!$B131</f>
        <v>0.904665893933539</v>
      </c>
      <c r="O50" s="1259"/>
      <c r="P50" s="759"/>
    </row>
    <row r="51" customFormat="false" ht="12" hidden="false" customHeight="false" outlineLevel="0" collapsed="false">
      <c r="A51" s="439" t="n">
        <v>1992</v>
      </c>
      <c r="B51" s="1251" t="n">
        <f aca="false">C51+F51+H51</f>
        <v>2.89751818871317</v>
      </c>
      <c r="C51" s="1251" t="n">
        <f aca="false">D51-E51</f>
        <v>1.12534328244698</v>
      </c>
      <c r="D51" s="1252" t="n">
        <f aca="false">0.5*(DataDE2!AD54+DataDE2!AD55)/TableDE1!B132</f>
        <v>1.73143474569033</v>
      </c>
      <c r="E51" s="1252" t="n">
        <f aca="false">0.5*(DataDE2!AR54+DataDE2!AR55)/TableDE1!$B132</f>
        <v>0.60609146324335</v>
      </c>
      <c r="F51" s="1251" t="n">
        <f aca="false">0.5*(DataDE2!AC54+DataDE2!AC55)/TableDE1!B132-TableDE6c!D51</f>
        <v>0.372767619544645</v>
      </c>
      <c r="G51" s="594" t="n">
        <f aca="false">AVERAGE(DataDE2b!BL60:BL61)*9/DataDE1!B53</f>
        <v>0.0505948200792157</v>
      </c>
      <c r="H51" s="1251" t="n">
        <f aca="false">I51+L51</f>
        <v>1.39940728672154</v>
      </c>
      <c r="I51" s="1252" t="n">
        <f aca="false">J51+K51</f>
        <v>0.212049495772353</v>
      </c>
      <c r="J51" s="1252" t="n">
        <f aca="false">0.5*(DataDE2!AN54+DataDE2!AN55)/TableDE1!$B132</f>
        <v>0.0864490575577966</v>
      </c>
      <c r="K51" s="1252" t="n">
        <f aca="false">0.5*(DataDE2!AO54+DataDE2!AO55)/TableDE1!$B132</f>
        <v>0.125600438214557</v>
      </c>
      <c r="L51" s="1252" t="n">
        <f aca="false">M51+N51</f>
        <v>1.18735779094918</v>
      </c>
      <c r="M51" s="1252" t="n">
        <f aca="false">0.5*(DataDE2!AP54+DataDE2!AP55)/TableDE1!$B132</f>
        <v>0.278905306328829</v>
      </c>
      <c r="N51" s="1254" t="n">
        <f aca="false">0.5*(DataDE2!AQ54+DataDE2!AQ55)/TableDE1!$B132</f>
        <v>0.908452484620354</v>
      </c>
      <c r="O51" s="1259"/>
      <c r="P51" s="759"/>
    </row>
    <row r="52" customFormat="false" ht="12" hidden="false" customHeight="false" outlineLevel="0" collapsed="false">
      <c r="A52" s="439" t="n">
        <v>1993</v>
      </c>
      <c r="B52" s="1251" t="n">
        <f aca="false">C52+F52+H52</f>
        <v>3.03685599967001</v>
      </c>
      <c r="C52" s="1251" t="n">
        <f aca="false">D52-E52</f>
        <v>1.16231860371816</v>
      </c>
      <c r="D52" s="1252" t="n">
        <f aca="false">0.5*(DataDE2!AD55+DataDE2!AD56)/TableDE1!B133</f>
        <v>1.80920636513383</v>
      </c>
      <c r="E52" s="1252" t="n">
        <f aca="false">0.5*(DataDE2!AR55+DataDE2!AR56)/TableDE1!$B133</f>
        <v>0.646887761415666</v>
      </c>
      <c r="F52" s="1251" t="n">
        <f aca="false">0.5*(DataDE2!AC55+DataDE2!AC56)/TableDE1!B133-TableDE6c!D52</f>
        <v>0.380188511737845</v>
      </c>
      <c r="G52" s="594" t="n">
        <f aca="false">AVERAGE(DataDE2b!BL61:BL62)*9/DataDE1!B54</f>
        <v>0.0501484964732088</v>
      </c>
      <c r="H52" s="1251" t="n">
        <f aca="false">I52+L52</f>
        <v>1.494348884214</v>
      </c>
      <c r="I52" s="1252" t="n">
        <f aca="false">J52+K52</f>
        <v>0.247047257627631</v>
      </c>
      <c r="J52" s="1252" t="n">
        <f aca="false">0.5*(DataDE2!AN55+DataDE2!AN56)/TableDE1!$B133</f>
        <v>0.0997882550289431</v>
      </c>
      <c r="K52" s="1252" t="n">
        <f aca="false">0.5*(DataDE2!AO55+DataDE2!AO56)/TableDE1!$B133</f>
        <v>0.147259002598688</v>
      </c>
      <c r="L52" s="1252" t="n">
        <f aca="false">M52+N52</f>
        <v>1.24730162658637</v>
      </c>
      <c r="M52" s="1252" t="n">
        <f aca="false">0.5*(DataDE2!AP55+DataDE2!AP56)/TableDE1!$B133</f>
        <v>0.298505410496501</v>
      </c>
      <c r="N52" s="1254" t="n">
        <f aca="false">0.5*(DataDE2!AQ55+DataDE2!AQ56)/TableDE1!$B133</f>
        <v>0.948796216089868</v>
      </c>
      <c r="O52" s="1259"/>
      <c r="P52" s="759"/>
    </row>
    <row r="53" customFormat="false" ht="12" hidden="false" customHeight="false" outlineLevel="0" collapsed="false">
      <c r="A53" s="439" t="n">
        <v>1994</v>
      </c>
      <c r="B53" s="1251" t="n">
        <f aca="false">C53+F53+H53</f>
        <v>3.07172228372608</v>
      </c>
      <c r="C53" s="1251" t="n">
        <f aca="false">D53-E53</f>
        <v>1.15447216361979</v>
      </c>
      <c r="D53" s="1252" t="n">
        <f aca="false">0.5*(DataDE2!AD56+DataDE2!AD57)/TableDE1!B134</f>
        <v>1.8350562745376</v>
      </c>
      <c r="E53" s="1252" t="n">
        <f aca="false">0.5*(DataDE2!AR56+DataDE2!AR57)/TableDE1!$B134</f>
        <v>0.680584110917813</v>
      </c>
      <c r="F53" s="1251" t="n">
        <f aca="false">0.5*(DataDE2!AC56+DataDE2!AC57)/TableDE1!B134-TableDE6c!D53</f>
        <v>0.375622991633517</v>
      </c>
      <c r="G53" s="594" t="n">
        <f aca="false">AVERAGE(DataDE2b!BL62:BL63)*9/DataDE1!B55</f>
        <v>0.0490471295271232</v>
      </c>
      <c r="H53" s="1251" t="n">
        <f aca="false">I53+L53</f>
        <v>1.54162712847277</v>
      </c>
      <c r="I53" s="1252" t="n">
        <f aca="false">J53+K53</f>
        <v>0.281413095049818</v>
      </c>
      <c r="J53" s="1252" t="n">
        <f aca="false">0.5*(DataDE2!AN56+DataDE2!AN57)/TableDE1!$B134</f>
        <v>0.112980389055828</v>
      </c>
      <c r="K53" s="1252" t="n">
        <f aca="false">0.5*(DataDE2!AO56+DataDE2!AO57)/TableDE1!$B134</f>
        <v>0.16843270599399</v>
      </c>
      <c r="L53" s="1252" t="n">
        <f aca="false">M53+N53</f>
        <v>1.26021403342295</v>
      </c>
      <c r="M53" s="1252" t="n">
        <f aca="false">0.5*(DataDE2!AP56+DataDE2!AP57)/TableDE1!$B134</f>
        <v>0.313373135115188</v>
      </c>
      <c r="N53" s="1254" t="n">
        <f aca="false">0.5*(DataDE2!AQ56+DataDE2!AQ57)/TableDE1!$B134</f>
        <v>0.946840898307766</v>
      </c>
      <c r="O53" s="1259"/>
      <c r="P53" s="759"/>
    </row>
    <row r="54" customFormat="false" ht="12" hidden="false" customHeight="false" outlineLevel="0" collapsed="false">
      <c r="A54" s="439" t="n">
        <v>1995</v>
      </c>
      <c r="B54" s="1251" t="n">
        <f aca="false">C54+F54+H54</f>
        <v>3.10277372448817</v>
      </c>
      <c r="C54" s="1251" t="n">
        <f aca="false">D54-E54</f>
        <v>1.1535661591393</v>
      </c>
      <c r="D54" s="1252" t="n">
        <f aca="false">0.5*(DataDE2!AD57+DataDE2!AD58)/TableDE1!B135</f>
        <v>1.86585835282211</v>
      </c>
      <c r="E54" s="1252" t="n">
        <f aca="false">0.5*(DataDE2!AR57+DataDE2!AR58)/TableDE1!$B135</f>
        <v>0.712292193682815</v>
      </c>
      <c r="F54" s="1251" t="n">
        <f aca="false">0.5*(DataDE2!AC57+DataDE2!AC58)/TableDE1!B135-TableDE6c!D54</f>
        <v>0.370644192785361</v>
      </c>
      <c r="G54" s="594" t="n">
        <f aca="false">AVERAGE(DataDE2b!BL63:BL64)*9/DataDE1!B56</f>
        <v>0.0455055213238433</v>
      </c>
      <c r="H54" s="1251" t="n">
        <f aca="false">I54+L54</f>
        <v>1.57856337256351</v>
      </c>
      <c r="I54" s="1252" t="n">
        <f aca="false">J54+K54</f>
        <v>0.297380477516456</v>
      </c>
      <c r="J54" s="1252" t="n">
        <f aca="false">0.5*(DataDE2!AN57+DataDE2!AN58)/TableDE1!$B135</f>
        <v>0.115874522897723</v>
      </c>
      <c r="K54" s="1252" t="n">
        <f aca="false">0.5*(DataDE2!AO57+DataDE2!AO58)/TableDE1!$B135</f>
        <v>0.181505954618732</v>
      </c>
      <c r="L54" s="1252" t="n">
        <f aca="false">M54+N54</f>
        <v>1.28118289504706</v>
      </c>
      <c r="M54" s="1252" t="n">
        <f aca="false">0.5*(DataDE2!AP57+DataDE2!AP58)/TableDE1!$B135</f>
        <v>0.331566169864341</v>
      </c>
      <c r="N54" s="1254" t="n">
        <f aca="false">0.5*(DataDE2!AQ57+DataDE2!AQ58)/TableDE1!$B135</f>
        <v>0.949616725182717</v>
      </c>
      <c r="O54" s="1259"/>
      <c r="P54" s="759"/>
    </row>
    <row r="55" customFormat="false" ht="12" hidden="false" customHeight="false" outlineLevel="0" collapsed="false">
      <c r="A55" s="439" t="n">
        <v>1996</v>
      </c>
      <c r="B55" s="1251" t="n">
        <f aca="false">C55+F55+H55</f>
        <v>3.20750040783546</v>
      </c>
      <c r="C55" s="1251" t="n">
        <f aca="false">D55-E55</f>
        <v>1.17148888256963</v>
      </c>
      <c r="D55" s="1252" t="n">
        <f aca="false">0.5*(DataDE2!AD58+DataDE2!AD59)/TableDE1!B136</f>
        <v>1.92083948302891</v>
      </c>
      <c r="E55" s="1252" t="n">
        <f aca="false">0.5*(DataDE2!AR58+DataDE2!AR59)/TableDE1!$B136</f>
        <v>0.749350600459286</v>
      </c>
      <c r="F55" s="1251" t="n">
        <f aca="false">0.5*(DataDE2!AC58+DataDE2!AC59)/TableDE1!B136-TableDE6c!D55</f>
        <v>0.370317389312314</v>
      </c>
      <c r="G55" s="594" t="n">
        <f aca="false">AVERAGE(DataDE2b!BL64:BL65)*9/DataDE1!B57</f>
        <v>0.0423521439596431</v>
      </c>
      <c r="H55" s="1251" t="n">
        <f aca="false">I55+L55</f>
        <v>1.66569413595352</v>
      </c>
      <c r="I55" s="1252" t="n">
        <f aca="false">J55+K55</f>
        <v>0.322158641719685</v>
      </c>
      <c r="J55" s="1252" t="n">
        <f aca="false">0.5*(DataDE2!AN58+DataDE2!AN59)/TableDE1!$B136</f>
        <v>0.130507347312678</v>
      </c>
      <c r="K55" s="1252" t="n">
        <f aca="false">0.5*(DataDE2!AO58+DataDE2!AO59)/TableDE1!$B136</f>
        <v>0.191651294407007</v>
      </c>
      <c r="L55" s="1252" t="n">
        <f aca="false">M55+N55</f>
        <v>1.34353549423383</v>
      </c>
      <c r="M55" s="1252" t="n">
        <f aca="false">0.5*(DataDE2!AP58+DataDE2!AP59)/TableDE1!$B136</f>
        <v>0.357608954811831</v>
      </c>
      <c r="N55" s="1254" t="n">
        <f aca="false">0.5*(DataDE2!AQ58+DataDE2!AQ59)/TableDE1!$B136</f>
        <v>0.985926539422003</v>
      </c>
      <c r="O55" s="1259"/>
      <c r="P55" s="759"/>
    </row>
    <row r="56" customFormat="false" ht="12" hidden="false" customHeight="false" outlineLevel="0" collapsed="false">
      <c r="A56" s="439" t="n">
        <v>1997</v>
      </c>
      <c r="B56" s="1251" t="n">
        <f aca="false">C56+F56+H56</f>
        <v>3.31142434149651</v>
      </c>
      <c r="C56" s="1251" t="n">
        <f aca="false">D56-E56</f>
        <v>1.18129148647172</v>
      </c>
      <c r="D56" s="1252" t="n">
        <f aca="false">0.5*(DataDE2!AD59+DataDE2!AD60)/TableDE1!B137</f>
        <v>1.96140992456931</v>
      </c>
      <c r="E56" s="1252" t="n">
        <f aca="false">0.5*(DataDE2!AR59+DataDE2!AR60)/TableDE1!$B137</f>
        <v>0.780118438097588</v>
      </c>
      <c r="F56" s="1251" t="n">
        <f aca="false">0.5*(DataDE2!AC59+DataDE2!AC60)/TableDE1!B137-TableDE6c!D56</f>
        <v>0.36969241334939</v>
      </c>
      <c r="G56" s="594" t="n">
        <f aca="false">AVERAGE(DataDE2b!BL65:BL66)*9/DataDE1!B58</f>
        <v>0.0415273579668127</v>
      </c>
      <c r="H56" s="1251" t="n">
        <f aca="false">I56+L56</f>
        <v>1.76044044167541</v>
      </c>
      <c r="I56" s="1252" t="n">
        <f aca="false">J56+K56</f>
        <v>0.372093023255814</v>
      </c>
      <c r="J56" s="1252" t="n">
        <f aca="false">0.5*(DataDE2!AN59+DataDE2!AN60)/TableDE1!$B137</f>
        <v>0.16164949725495</v>
      </c>
      <c r="K56" s="1252" t="n">
        <f aca="false">0.5*(DataDE2!AO59+DataDE2!AO60)/TableDE1!$B137</f>
        <v>0.210443526000864</v>
      </c>
      <c r="L56" s="1252" t="n">
        <f aca="false">M56+N56</f>
        <v>1.38834741841959</v>
      </c>
      <c r="M56" s="1252" t="n">
        <f aca="false">0.5*(DataDE2!AP59+DataDE2!AP60)/TableDE1!$B137</f>
        <v>0.38402936277836</v>
      </c>
      <c r="N56" s="1254" t="n">
        <f aca="false">0.5*(DataDE2!AQ59+DataDE2!AQ60)/TableDE1!$B137</f>
        <v>1.00431805564123</v>
      </c>
      <c r="O56" s="1259"/>
      <c r="P56" s="759"/>
    </row>
    <row r="57" customFormat="false" ht="12" hidden="false" customHeight="false" outlineLevel="0" collapsed="false">
      <c r="A57" s="439" t="n">
        <v>1998</v>
      </c>
      <c r="B57" s="1251" t="n">
        <f aca="false">C57+F57+H57</f>
        <v>3.4068805122629</v>
      </c>
      <c r="C57" s="1251" t="n">
        <f aca="false">D57-E57</f>
        <v>1.1885754462096</v>
      </c>
      <c r="D57" s="1252" t="n">
        <f aca="false">0.5*(DataDE2!AD60+DataDE2!AD61)/TableDE1!B138</f>
        <v>1.99412093370507</v>
      </c>
      <c r="E57" s="1252" t="n">
        <f aca="false">0.5*(DataDE2!AR60+DataDE2!AR61)/TableDE1!$B138</f>
        <v>0.80554548749547</v>
      </c>
      <c r="F57" s="1251" t="n">
        <f aca="false">0.5*(DataDE2!AC60+DataDE2!AC61)/TableDE1!B138-TableDE6c!D57</f>
        <v>0.367121062187164</v>
      </c>
      <c r="G57" s="594" t="n">
        <f aca="false">AVERAGE(DataDE2b!BL66:BL67)*9/DataDE1!B59</f>
        <v>0.0392805364262414</v>
      </c>
      <c r="H57" s="1251" t="n">
        <f aca="false">I57+L57</f>
        <v>1.85118400386614</v>
      </c>
      <c r="I57" s="1252" t="n">
        <f aca="false">J57+K57</f>
        <v>0.431557327534131</v>
      </c>
      <c r="J57" s="1252" t="n">
        <f aca="false">0.5*(DataDE2!AN60+DataDE2!AN61)/TableDE1!$B138</f>
        <v>0.198954935363054</v>
      </c>
      <c r="K57" s="1252" t="n">
        <f aca="false">0.5*(DataDE2!AO60+DataDE2!AO61)/TableDE1!$B138</f>
        <v>0.232602392171077</v>
      </c>
      <c r="L57" s="1252" t="n">
        <f aca="false">M57+N57</f>
        <v>1.419626676332</v>
      </c>
      <c r="M57" s="1252" t="n">
        <f aca="false">0.5*(DataDE2!AP60+DataDE2!AP61)/TableDE1!$B138</f>
        <v>0.408602150537635</v>
      </c>
      <c r="N57" s="1254" t="n">
        <f aca="false">0.5*(DataDE2!AQ60+DataDE2!AQ61)/TableDE1!$B138</f>
        <v>1.01102452579437</v>
      </c>
      <c r="O57" s="1259"/>
      <c r="P57" s="759"/>
    </row>
    <row r="58" customFormat="false" ht="12" hidden="false" customHeight="false" outlineLevel="0" collapsed="false">
      <c r="A58" s="1265" t="n">
        <f aca="false">A57+1</f>
        <v>1999</v>
      </c>
      <c r="B58" s="1255" t="n">
        <f aca="false">C58+F58+H58</f>
        <v>3.50800500275626</v>
      </c>
      <c r="C58" s="1255" t="n">
        <f aca="false">D58-E58</f>
        <v>1.18638742559185</v>
      </c>
      <c r="D58" s="1256" t="n">
        <f aca="false">0.5*(DataDE2!AD61+DataDE2!AD62)/TableDE1!B139</f>
        <v>2.02784628622004</v>
      </c>
      <c r="E58" s="1256" t="n">
        <f aca="false">0.5*(DataDE2!AR61+DataDE2!AR62)/TableDE1!$B139</f>
        <v>0.84145886062819</v>
      </c>
      <c r="F58" s="1255" t="n">
        <f aca="false">0.5*(DataDE2!AC61+DataDE2!AC62)/TableDE1!B139-TableDE6c!D58</f>
        <v>0.363488987360781</v>
      </c>
      <c r="G58" s="1264" t="n">
        <f aca="false">AVERAGE(DataDE2b!BL67:BL68)*9/DataDE1!B60</f>
        <v>0.0370494407463828</v>
      </c>
      <c r="H58" s="1255" t="n">
        <f aca="false">I58+L58</f>
        <v>1.95812858980362</v>
      </c>
      <c r="I58" s="1256" t="n">
        <f aca="false">J58+K58</f>
        <v>0.510648639356992</v>
      </c>
      <c r="J58" s="1256" t="n">
        <f aca="false">0.5*(DataDE2!AN61+DataDE2!AN62)/TableDE1!$B139</f>
        <v>0.249782166715074</v>
      </c>
      <c r="K58" s="1256" t="n">
        <f aca="false">0.5*(DataDE2!AO61+DataDE2!AO62)/TableDE1!$B139</f>
        <v>0.260866472641918</v>
      </c>
      <c r="L58" s="1256" t="n">
        <f aca="false">M58+N58</f>
        <v>1.44747995044663</v>
      </c>
      <c r="M58" s="1256" t="n">
        <f aca="false">0.5*(DataDE2!AP61+DataDE2!AP62)/TableDE1!$B139</f>
        <v>0.435014551856177</v>
      </c>
      <c r="N58" s="1258" t="n">
        <f aca="false">0.5*(DataDE2!AQ61+DataDE2!AQ62)/TableDE1!$B139</f>
        <v>1.01246539859046</v>
      </c>
      <c r="O58" s="1259"/>
      <c r="P58" s="759"/>
    </row>
    <row r="59" customFormat="false" ht="12" hidden="false" customHeight="false" outlineLevel="0" collapsed="false">
      <c r="A59" s="923" t="n">
        <f aca="false">A58+1</f>
        <v>2000</v>
      </c>
      <c r="B59" s="1251" t="n">
        <f aca="false">C59+F59+H59</f>
        <v>3.56473937826538</v>
      </c>
      <c r="C59" s="1251" t="n">
        <f aca="false">D59-E59</f>
        <v>1.18906839648022</v>
      </c>
      <c r="D59" s="1252" t="n">
        <f aca="false">0.5*(DataDE2!AD62+DataDE2!AD63)/TableDE1!B140</f>
        <v>2.05376776384408</v>
      </c>
      <c r="E59" s="1252" t="n">
        <f aca="false">0.5*(DataDE2!AR62+DataDE2!AR63)/TableDE1!$B140</f>
        <v>0.864699367363861</v>
      </c>
      <c r="F59" s="1251" t="n">
        <f aca="false">0.5*(DataDE2!AC62+DataDE2!AC63)/TableDE1!B140-TableDE6c!D59</f>
        <v>0.358918591278766</v>
      </c>
      <c r="G59" s="594" t="n">
        <f aca="false">AVERAGE(DataDE2b!BL68:BL69)*9/DataDE1!B61</f>
        <v>0.0331394640858669</v>
      </c>
      <c r="H59" s="1251" t="n">
        <f aca="false">I59+L59</f>
        <v>2.0167523905064</v>
      </c>
      <c r="I59" s="1252" t="n">
        <f aca="false">J59+K59</f>
        <v>0.565661368604779</v>
      </c>
      <c r="J59" s="1252" t="n">
        <f aca="false">0.5*(DataDE2!AN62+DataDE2!AN63)/TableDE1!$B140</f>
        <v>0.271349295170278</v>
      </c>
      <c r="K59" s="1252" t="n">
        <f aca="false">0.5*(DataDE2!AO62+DataDE2!AO63)/TableDE1!$B140</f>
        <v>0.294312073434501</v>
      </c>
      <c r="L59" s="1252" t="n">
        <f aca="false">M59+N59</f>
        <v>1.45109102190162</v>
      </c>
      <c r="M59" s="1252" t="n">
        <f aca="false">0.5*(DataDE2!AP62+DataDE2!AP63)/TableDE1!$B140</f>
        <v>0.459400532318951</v>
      </c>
      <c r="N59" s="1254" t="n">
        <f aca="false">0.5*(DataDE2!AQ62+DataDE2!AQ63)/TableDE1!$B140</f>
        <v>0.991690489582669</v>
      </c>
      <c r="O59" s="1259"/>
      <c r="P59" s="759"/>
    </row>
    <row r="60" customFormat="false" ht="12" hidden="false" customHeight="false" outlineLevel="0" collapsed="false">
      <c r="A60" s="923" t="n">
        <f aca="false">A59+1</f>
        <v>2001</v>
      </c>
      <c r="B60" s="1251" t="n">
        <f aca="false">C60+F60+H60</f>
        <v>3.58484961640301</v>
      </c>
      <c r="C60" s="1251" t="n">
        <f aca="false">D60-E60</f>
        <v>1.2141740913007</v>
      </c>
      <c r="D60" s="1252" t="n">
        <f aca="false">0.5*(DataDE2!AD63+DataDE2!AD64)/TableDE1!B141</f>
        <v>2.07704099785693</v>
      </c>
      <c r="E60" s="1252" t="n">
        <f aca="false">0.5*(DataDE2!AR63+DataDE2!AR64)/TableDE1!$B141</f>
        <v>0.862866906556227</v>
      </c>
      <c r="F60" s="1251" t="n">
        <f aca="false">0.5*(DataDE2!AC63+DataDE2!AC64)/TableDE1!B141-TableDE6c!D60</f>
        <v>0.355037441503062</v>
      </c>
      <c r="G60" s="594" t="n">
        <f aca="false">AVERAGE(DataDE2b!BL69:BL70)*9/DataDE1!B62</f>
        <v>0.0299154728766379</v>
      </c>
      <c r="H60" s="1251" t="n">
        <f aca="false">I60+L60</f>
        <v>2.01563808359925</v>
      </c>
      <c r="I60" s="1252" t="n">
        <f aca="false">J60+K60</f>
        <v>0.558337293774187</v>
      </c>
      <c r="J60" s="1252" t="n">
        <f aca="false">0.5*(DataDE2!AN63+DataDE2!AN64)/TableDE1!$B141</f>
        <v>0.232138411750062</v>
      </c>
      <c r="K60" s="1252" t="n">
        <f aca="false">0.5*(DataDE2!AO63+DataDE2!AO64)/TableDE1!$B141</f>
        <v>0.326198882024125</v>
      </c>
      <c r="L60" s="1252" t="n">
        <f aca="false">M60+N60</f>
        <v>1.45730078982506</v>
      </c>
      <c r="M60" s="1252" t="n">
        <f aca="false">0.5*(DataDE2!AP63+DataDE2!AP64)/TableDE1!$B141</f>
        <v>0.47717654513771</v>
      </c>
      <c r="N60" s="1254" t="n">
        <f aca="false">0.5*(DataDE2!AQ63+DataDE2!AQ64)/TableDE1!$B141</f>
        <v>0.980124244687351</v>
      </c>
      <c r="O60" s="1259"/>
      <c r="P60" s="759"/>
    </row>
    <row r="61" customFormat="false" ht="12" hidden="false" customHeight="false" outlineLevel="0" collapsed="false">
      <c r="A61" s="923" t="n">
        <f aca="false">A60+1</f>
        <v>2002</v>
      </c>
      <c r="B61" s="1251" t="n">
        <f aca="false">C61+F61+H61</f>
        <v>3.63016879171539</v>
      </c>
      <c r="C61" s="1251" t="n">
        <f aca="false">D61-E61</f>
        <v>1.2641702492848</v>
      </c>
      <c r="D61" s="1252" t="n">
        <f aca="false">0.5*(DataDE2!AD64+DataDE2!AD65)/TableDE1!B142</f>
        <v>2.12812983326385</v>
      </c>
      <c r="E61" s="1252" t="n">
        <f aca="false">0.5*(DataDE2!AR64+DataDE2!AR65)/TableDE1!$B142</f>
        <v>0.863959583979054</v>
      </c>
      <c r="F61" s="1251" t="n">
        <f aca="false">0.5*(DataDE2!AC64+DataDE2!AC65)/TableDE1!B142-TableDE6c!D61</f>
        <v>0.355883347819392</v>
      </c>
      <c r="G61" s="594" t="n">
        <f aca="false">AVERAGE(DataDE2b!BL70:BL71)*9/DataDE1!B63</f>
        <v>0.031520468163432</v>
      </c>
      <c r="H61" s="1251" t="n">
        <f aca="false">I61+L61</f>
        <v>2.0101151946112</v>
      </c>
      <c r="I61" s="1252" t="n">
        <f aca="false">J61+K61</f>
        <v>0.496500523103261</v>
      </c>
      <c r="J61" s="1252" t="n">
        <f aca="false">0.5*(DataDE2!AN64+DataDE2!AN65)/TableDE1!$B142</f>
        <v>0.160399684459637</v>
      </c>
      <c r="K61" s="1252" t="n">
        <f aca="false">0.5*(DataDE2!AO64+DataDE2!AO65)/TableDE1!$B142</f>
        <v>0.336100838643624</v>
      </c>
      <c r="L61" s="1252" t="n">
        <f aca="false">M61+N61</f>
        <v>1.51361467150794</v>
      </c>
      <c r="M61" s="1252" t="n">
        <f aca="false">0.5*(DataDE2!AP64+DataDE2!AP65)/TableDE1!$B142</f>
        <v>0.494318595062129</v>
      </c>
      <c r="N61" s="1254" t="n">
        <f aca="false">0.5*(DataDE2!AQ64+DataDE2!AQ65)/TableDE1!$B142</f>
        <v>1.01929607644581</v>
      </c>
      <c r="O61" s="1259"/>
      <c r="P61" s="759"/>
    </row>
    <row r="62" customFormat="false" ht="12" hidden="false" customHeight="false" outlineLevel="0" collapsed="false">
      <c r="A62" s="923" t="n">
        <f aca="false">A61+1</f>
        <v>2003</v>
      </c>
      <c r="B62" s="1251" t="n">
        <f aca="false">C62+F62+H62</f>
        <v>3.70546508418438</v>
      </c>
      <c r="C62" s="1251" t="n">
        <f aca="false">D62-E62</f>
        <v>1.31319650013109</v>
      </c>
      <c r="D62" s="1252" t="n">
        <f aca="false">0.5*(DataDE2!AD65+DataDE2!AD66)/TableDE1!B143</f>
        <v>2.17480290366408</v>
      </c>
      <c r="E62" s="1252" t="n">
        <f aca="false">0.5*(DataDE2!AR65+DataDE2!AR66)/TableDE1!$B143</f>
        <v>0.861606403532984</v>
      </c>
      <c r="F62" s="1251" t="n">
        <f aca="false">0.5*(DataDE2!AC65+DataDE2!AC66)/TableDE1!B143-TableDE6c!D62</f>
        <v>0.35381978471572</v>
      </c>
      <c r="G62" s="594" t="n">
        <f aca="false">AVERAGE(DataDE2b!BL71:BL72)*9/DataDE1!B64</f>
        <v>0.0309025669334805</v>
      </c>
      <c r="H62" s="1251" t="n">
        <f aca="false">I62+L62</f>
        <v>2.03844879933757</v>
      </c>
      <c r="I62" s="1252" t="n">
        <f aca="false">J62+K62</f>
        <v>0.466381451835496</v>
      </c>
      <c r="J62" s="1252" t="n">
        <f aca="false">0.5*(DataDE2!AN65+DataDE2!AN66)/TableDE1!$B143</f>
        <v>0.129395528567486</v>
      </c>
      <c r="K62" s="1252" t="n">
        <f aca="false">0.5*(DataDE2!AO65+DataDE2!AO66)/TableDE1!$B143</f>
        <v>0.33698592326801</v>
      </c>
      <c r="L62" s="1252" t="n">
        <f aca="false">M62+N62</f>
        <v>1.57206734750207</v>
      </c>
      <c r="M62" s="1252" t="n">
        <f aca="false">0.5*(DataDE2!AP65+DataDE2!AP66)/TableDE1!$B143</f>
        <v>0.509770908087221</v>
      </c>
      <c r="N62" s="1254" t="n">
        <f aca="false">0.5*(DataDE2!AQ65+DataDE2!AQ66)/TableDE1!$B143</f>
        <v>1.06229643941485</v>
      </c>
      <c r="O62" s="1259"/>
      <c r="P62" s="759"/>
    </row>
    <row r="63" customFormat="false" ht="12" hidden="false" customHeight="false" outlineLevel="0" collapsed="false">
      <c r="A63" s="923" t="n">
        <f aca="false">A62+1</f>
        <v>2004</v>
      </c>
      <c r="B63" s="1251" t="n">
        <f aca="false">C63+F63+H63</f>
        <v>3.7228401653644</v>
      </c>
      <c r="C63" s="1251" t="n">
        <f aca="false">D63-E63</f>
        <v>1.32285603380816</v>
      </c>
      <c r="D63" s="1252" t="n">
        <f aca="false">0.5*(DataDE2!AD66+DataDE2!AD67)/TableDE1!B144</f>
        <v>2.15377515961833</v>
      </c>
      <c r="E63" s="1252" t="n">
        <f aca="false">0.5*(DataDE2!AR66+DataDE2!AR67)/TableDE1!$B144</f>
        <v>0.830919125810169</v>
      </c>
      <c r="F63" s="1251" t="n">
        <f aca="false">0.5*(DataDE2!AC66+DataDE2!AC67)/TableDE1!B144-TableDE6c!D63</f>
        <v>0.34326435232407</v>
      </c>
      <c r="G63" s="594" t="n">
        <f aca="false">AVERAGE(DataDE2b!BL72:BL73)*9/DataDE1!B65</f>
        <v>0.0302842068535299</v>
      </c>
      <c r="H63" s="1251" t="n">
        <f aca="false">I63+L63</f>
        <v>2.05671977923218</v>
      </c>
      <c r="I63" s="1252" t="n">
        <f aca="false">J63+K63</f>
        <v>0.47753729686294</v>
      </c>
      <c r="J63" s="1252" t="n">
        <f aca="false">0.5*(DataDE2!AN66+DataDE2!AN67)/TableDE1!$B144</f>
        <v>0.144244494020871</v>
      </c>
      <c r="K63" s="1252" t="n">
        <f aca="false">0.5*(DataDE2!AO66+DataDE2!AO67)/TableDE1!$B144</f>
        <v>0.333292802842069</v>
      </c>
      <c r="L63" s="1252" t="n">
        <f aca="false">M63+N63</f>
        <v>1.57918248236924</v>
      </c>
      <c r="M63" s="1252" t="n">
        <f aca="false">0.5*(DataDE2!AP66+DataDE2!AP67)/TableDE1!$B144</f>
        <v>0.512957421837829</v>
      </c>
      <c r="N63" s="1254" t="n">
        <f aca="false">0.5*(DataDE2!AQ66+DataDE2!AQ67)/TableDE1!$B144</f>
        <v>1.06622506053141</v>
      </c>
      <c r="O63" s="1259"/>
      <c r="P63" s="759"/>
    </row>
    <row r="64" customFormat="false" ht="12" hidden="false" customHeight="false" outlineLevel="0" collapsed="false">
      <c r="A64" s="923" t="n">
        <f aca="false">A63+1</f>
        <v>2005</v>
      </c>
      <c r="B64" s="1251" t="n">
        <f aca="false">C64+F64+H64</f>
        <v>3.83695092187362</v>
      </c>
      <c r="C64" s="1251" t="n">
        <f aca="false">D64-E64</f>
        <v>1.36640238716554</v>
      </c>
      <c r="D64" s="1252" t="n">
        <f aca="false">0.5*(DataDE2!AD67+DataDE2!AD68)/TableDE1!B145</f>
        <v>2.1842237159333</v>
      </c>
      <c r="E64" s="1252" t="n">
        <f aca="false">0.5*(DataDE2!AR67+DataDE2!AR68)/TableDE1!$B145</f>
        <v>0.817821328767765</v>
      </c>
      <c r="F64" s="1251" t="n">
        <f aca="false">0.5*(DataDE2!AC67+DataDE2!AC68)/TableDE1!B145-TableDE6c!D64</f>
        <v>0.343682280538446</v>
      </c>
      <c r="G64" s="594" t="n">
        <f aca="false">AVERAGE(DataDE2b!BL73:BL74)*9/DataDE1!B66</f>
        <v>0.0322460619370014</v>
      </c>
      <c r="H64" s="1251" t="n">
        <f aca="false">I64+L64</f>
        <v>2.12686625416964</v>
      </c>
      <c r="I64" s="1252" t="n">
        <f aca="false">J64+K64</f>
        <v>0.507043499529046</v>
      </c>
      <c r="J64" s="1252" t="n">
        <f aca="false">0.5*(DataDE2!AN67+DataDE2!AN68)/TableDE1!$B145</f>
        <v>0.158537283452069</v>
      </c>
      <c r="K64" s="1252" t="n">
        <f aca="false">0.5*(DataDE2!AO67+DataDE2!AO68)/TableDE1!$B145</f>
        <v>0.348506216076976</v>
      </c>
      <c r="L64" s="1252" t="n">
        <f aca="false">M64+N64</f>
        <v>1.61982275464059</v>
      </c>
      <c r="M64" s="1252" t="n">
        <f aca="false">0.5*(DataDE2!AP67+DataDE2!AP68)/TableDE1!$B145</f>
        <v>0.533765605241384</v>
      </c>
      <c r="N64" s="1254" t="n">
        <f aca="false">0.5*(DataDE2!AQ67+DataDE2!AQ68)/TableDE1!$B145</f>
        <v>1.08605714939921</v>
      </c>
      <c r="O64" s="1259"/>
      <c r="P64" s="759"/>
    </row>
    <row r="65" customFormat="false" ht="12" hidden="false" customHeight="false" outlineLevel="0" collapsed="false">
      <c r="A65" s="923" t="n">
        <f aca="false">A64+1</f>
        <v>2006</v>
      </c>
      <c r="B65" s="1251" t="n">
        <f aca="false">C65+F65+H65</f>
        <v>3.77789847916255</v>
      </c>
      <c r="C65" s="1251" t="n">
        <f aca="false">D65-E65</f>
        <v>1.36367071476723</v>
      </c>
      <c r="D65" s="1252" t="n">
        <f aca="false">0.5*(DataDE2!AD68+DataDE2!AD69)/TableDE1!B146</f>
        <v>2.1379646116663</v>
      </c>
      <c r="E65" s="1252" t="n">
        <f aca="false">0.5*(DataDE2!AR68+DataDE2!AR69)/TableDE1!$B146</f>
        <v>0.774293896899072</v>
      </c>
      <c r="F65" s="1251" t="n">
        <f aca="false">0.5*(DataDE2!AC68+DataDE2!AC69)/TableDE1!B146-TableDE6c!D65</f>
        <v>0.332680262913987</v>
      </c>
      <c r="G65" s="594" t="n">
        <f aca="false">AVERAGE(DataDE2b!BL74:BL75)*9/DataDE1!B67</f>
        <v>0.0330856211732175</v>
      </c>
      <c r="H65" s="1251" t="n">
        <f aca="false">I65+L65</f>
        <v>2.08154750148134</v>
      </c>
      <c r="I65" s="1252" t="n">
        <f aca="false">J65+K65</f>
        <v>0.502617025478965</v>
      </c>
      <c r="J65" s="1252" t="n">
        <f aca="false">0.5*(DataDE2!AN68+DataDE2!AN69)/TableDE1!$B146</f>
        <v>0.161638356705511</v>
      </c>
      <c r="K65" s="1252" t="n">
        <f aca="false">0.5*(DataDE2!AO68+DataDE2!AO69)/TableDE1!$B146</f>
        <v>0.340978668773455</v>
      </c>
      <c r="L65" s="1252" t="n">
        <f aca="false">M65+N65</f>
        <v>1.57893047600237</v>
      </c>
      <c r="M65" s="1252" t="n">
        <f aca="false">0.5*(DataDE2!AP68+DataDE2!AP69)/TableDE1!$B146</f>
        <v>0.537255579695833</v>
      </c>
      <c r="N65" s="1254" t="n">
        <f aca="false">0.5*(DataDE2!AQ68+DataDE2!AQ69)/TableDE1!$B146</f>
        <v>1.04167489630654</v>
      </c>
      <c r="O65" s="1259"/>
      <c r="P65" s="759"/>
    </row>
    <row r="66" customFormat="false" ht="12" hidden="false" customHeight="false" outlineLevel="0" collapsed="false">
      <c r="A66" s="923" t="n">
        <f aca="false">A65+1</f>
        <v>2007</v>
      </c>
      <c r="B66" s="1251" t="n">
        <f aca="false">C66+F66+H66</f>
        <v>3.79048630783758</v>
      </c>
      <c r="C66" s="1251" t="n">
        <f aca="false">D66-E66</f>
        <v>1.4079096548015</v>
      </c>
      <c r="D66" s="1252" t="n">
        <f aca="false">0.5*(DataDE2!AD69+DataDE2!AD70)/TableDE1!B147</f>
        <v>2.14315516943795</v>
      </c>
      <c r="E66" s="1252" t="n">
        <f aca="false">0.5*(DataDE2!AR69+DataDE2!AR70)/TableDE1!$B147</f>
        <v>0.73524551463645</v>
      </c>
      <c r="F66" s="1251" t="n">
        <f aca="false">0.5*(DataDE2!AC69+DataDE2!AC70)/TableDE1!B147-TableDE6c!D66</f>
        <v>0.328516218664033</v>
      </c>
      <c r="G66" s="594" t="n">
        <f aca="false">AVERAGE(DataDE2b!BL75:BL76)*9/DataDE1!B68</f>
        <v>0.0326558073654391</v>
      </c>
      <c r="H66" s="1251" t="n">
        <f aca="false">I66+L66</f>
        <v>2.05406043437205</v>
      </c>
      <c r="I66" s="1252" t="n">
        <f aca="false">J66+K66</f>
        <v>0.485764872521246</v>
      </c>
      <c r="J66" s="1252" t="n">
        <f aca="false">0.5*(DataDE2!AN69+DataDE2!AN70)/TableDE1!$B147</f>
        <v>0.164825306893296</v>
      </c>
      <c r="K66" s="1252" t="n">
        <f aca="false">0.5*(DataDE2!AO69+DataDE2!AO70)/TableDE1!$B147</f>
        <v>0.320939565627951</v>
      </c>
      <c r="L66" s="1252" t="n">
        <f aca="false">M66+N66</f>
        <v>1.5682955618508</v>
      </c>
      <c r="M66" s="1252" t="n">
        <f aca="false">0.5*(DataDE2!AP69+DataDE2!AP70)/TableDE1!$B147</f>
        <v>0.545915958451369</v>
      </c>
      <c r="N66" s="1254" t="n">
        <f aca="false">0.5*(DataDE2!AQ69+DataDE2!AQ70)/TableDE1!$B147</f>
        <v>1.02237960339943</v>
      </c>
      <c r="O66" s="1259"/>
      <c r="P66" s="759"/>
    </row>
    <row r="67" customFormat="false" ht="12" hidden="false" customHeight="false" outlineLevel="0" collapsed="false">
      <c r="A67" s="923" t="n">
        <v>2008</v>
      </c>
      <c r="B67" s="1251" t="n">
        <f aca="false">C67+F67+H67</f>
        <v>3.89654156987207</v>
      </c>
      <c r="C67" s="1251" t="n">
        <f aca="false">D67-E67</f>
        <v>1.50768164038849</v>
      </c>
      <c r="D67" s="1252" t="n">
        <f aca="false">0.5*(DataDE2!AD70+DataDE2!AD71)/TableDE1!B148</f>
        <v>2.22731929749956</v>
      </c>
      <c r="E67" s="1252" t="n">
        <f aca="false">0.5*(DataDE2!AR70+DataDE2!AR71)/TableDE1!$B148</f>
        <v>0.719637657111073</v>
      </c>
      <c r="F67" s="1251" t="n">
        <f aca="false">0.5*(DataDE2!AC70+DataDE2!AC71)/TableDE1!B148-TableDE6c!D67</f>
        <v>0.337710313467947</v>
      </c>
      <c r="G67" s="594" t="n">
        <f aca="false">AVERAGE(DataDE2b!BL76:BL77)*9/DataDE1!B69</f>
        <v>0.033254495398264</v>
      </c>
      <c r="H67" s="1251" t="n">
        <f aca="false">I67+L67</f>
        <v>2.05114961601563</v>
      </c>
      <c r="I67" s="1252" t="n">
        <f aca="false">J67+K67</f>
        <v>0.429020150415302</v>
      </c>
      <c r="J67" s="1252" t="n">
        <f aca="false">0.5*(DataDE2!AN70+DataDE2!AN71)/TableDE1!$B148</f>
        <v>0.129124384760284</v>
      </c>
      <c r="K67" s="1252" t="n">
        <f aca="false">0.5*(DataDE2!AO70+DataDE2!AO71)/TableDE1!$B148</f>
        <v>0.299895765655017</v>
      </c>
      <c r="L67" s="1252" t="n">
        <f aca="false">M67+N67</f>
        <v>1.62212946560033</v>
      </c>
      <c r="M67" s="1252" t="n">
        <f aca="false">0.5*(DataDE2!AP70+DataDE2!AP71)/TableDE1!$B148</f>
        <v>0.563286139636629</v>
      </c>
      <c r="N67" s="1254" t="n">
        <f aca="false">0.5*(DataDE2!AQ70+DataDE2!AQ71)/TableDE1!$B148</f>
        <v>1.0588433259637</v>
      </c>
      <c r="O67" s="1259"/>
      <c r="P67" s="759"/>
    </row>
    <row r="68" customFormat="false" ht="12" hidden="false" customHeight="false" outlineLevel="0" collapsed="false">
      <c r="A68" s="1265" t="n">
        <v>2009</v>
      </c>
      <c r="B68" s="1255" t="n">
        <f aca="false">C68+F68+H68</f>
        <v>4.15195285079167</v>
      </c>
      <c r="C68" s="1255" t="n">
        <f aca="false">D68-E68</f>
        <v>1.65152931350718</v>
      </c>
      <c r="D68" s="1256" t="n">
        <f aca="false">0.5*(DataDE2!AD71+DataDE2!AD72)/TableDE1!B149</f>
        <v>2.39786345280988</v>
      </c>
      <c r="E68" s="1256" t="n">
        <f aca="false">0.5*(DataDE2!AR71+DataDE2!AR72)/TableDE1!$B149</f>
        <v>0.746334139302706</v>
      </c>
      <c r="F68" s="1255" t="n">
        <f aca="false">0.5*(DataDE2!AC71+DataDE2!AC72)/TableDE1!B149-TableDE6c!D68</f>
        <v>0.360355484870486</v>
      </c>
      <c r="G68" s="1264" t="n">
        <f aca="false">AVERAGE(DataDE2b!BL77:BL78)*9/DataDE1!B70</f>
        <v>0.0361516262382029</v>
      </c>
      <c r="H68" s="1255" t="n">
        <f aca="false">I68+L68</f>
        <v>2.14006805241401</v>
      </c>
      <c r="I68" s="1256" t="n">
        <f aca="false">J68+K68</f>
        <v>0.389375828718509</v>
      </c>
      <c r="J68" s="1256" t="n">
        <f aca="false">0.5*(DataDE2!AN71+DataDE2!AN72)/TableDE1!$B149</f>
        <v>0.0934989470400125</v>
      </c>
      <c r="K68" s="1256" t="n">
        <f aca="false">0.5*(DataDE2!AO71+DataDE2!AO72)/TableDE1!$B149</f>
        <v>0.295876881678496</v>
      </c>
      <c r="L68" s="1256" t="n">
        <f aca="false">M68+N68</f>
        <v>1.7506922236955</v>
      </c>
      <c r="M68" s="1256" t="n">
        <f aca="false">0.5*(DataDE2!AP71+DataDE2!AP72)/TableDE1!$B149</f>
        <v>0.61008306684346</v>
      </c>
      <c r="N68" s="1258" t="n">
        <f aca="false">0.5*(DataDE2!AQ71+DataDE2!AQ72)/TableDE1!$B149</f>
        <v>1.14060915685204</v>
      </c>
      <c r="O68" s="1259"/>
      <c r="P68" s="759"/>
    </row>
    <row r="69" customFormat="false" ht="12" hidden="false" customHeight="false" outlineLevel="0" collapsed="false">
      <c r="A69" s="923" t="n">
        <v>2010</v>
      </c>
      <c r="B69" s="1251" t="n">
        <f aca="false">C69+F69+H69</f>
        <v>4.11719616413334</v>
      </c>
      <c r="C69" s="1251" t="n">
        <f aca="false">D69-E69</f>
        <v>1.64332992534227</v>
      </c>
      <c r="D69" s="1252" t="n">
        <f aca="false">0.5*(DataDE2!AD72+DataDE2!AD73)/TableDE1!B150</f>
        <v>2.35726616198057</v>
      </c>
      <c r="E69" s="1252" t="n">
        <f aca="false">0.5*(DataDE2!AR72+DataDE2!AR73)/TableDE1!$B150</f>
        <v>0.713936236638305</v>
      </c>
      <c r="F69" s="1251" t="n">
        <f aca="false">0.5*(DataDE2!AC72+DataDE2!AC73)/TableDE1!B150-TableDE6c!D69</f>
        <v>0.347690828970287</v>
      </c>
      <c r="G69" s="594" t="n">
        <f aca="false">AVERAGE(DataDE2b!BL78:BL79)*9/DataDE1!B71</f>
        <v>0.0342627885520442</v>
      </c>
      <c r="H69" s="1251" t="n">
        <f aca="false">I69+L69</f>
        <v>2.12617540982079</v>
      </c>
      <c r="I69" s="1252" t="n">
        <f aca="false">J69+K69</f>
        <v>0.391787741256069</v>
      </c>
      <c r="J69" s="1252" t="n">
        <f aca="false">0.5*(DataDE2!AN72+DataDE2!AN73)/TableDE1!$B150</f>
        <v>0.103724965751191</v>
      </c>
      <c r="K69" s="1252" t="n">
        <f aca="false">0.5*(DataDE2!AO72+DataDE2!AO73)/TableDE1!$B150</f>
        <v>0.288062775504879</v>
      </c>
      <c r="L69" s="1252" t="n">
        <f aca="false">M69+N69</f>
        <v>1.73438766856472</v>
      </c>
      <c r="M69" s="1252" t="n">
        <f aca="false">0.5*(DataDE2!AP72+DataDE2!AP73)/TableDE1!$B150</f>
        <v>0.614451599675685</v>
      </c>
      <c r="N69" s="1254" t="n">
        <f aca="false">0.5*(DataDE2!AQ72+DataDE2!AQ73)/TableDE1!$B150</f>
        <v>1.11993606888903</v>
      </c>
      <c r="O69" s="115"/>
      <c r="P69" s="759"/>
    </row>
    <row r="70" customFormat="false" ht="13" hidden="false" customHeight="false" outlineLevel="0" collapsed="false">
      <c r="A70" s="1266" t="n">
        <v>2011</v>
      </c>
      <c r="B70" s="1267" t="n">
        <f aca="false">C70+F70+H70</f>
        <v>4.11609907120743</v>
      </c>
      <c r="C70" s="1267" t="n">
        <f aca="false">D70-E70</f>
        <v>1.67426436099205</v>
      </c>
      <c r="D70" s="1268" t="n">
        <f aca="false">0.5*(DataDE2!AD73+DataDE2!AD74)/TableDE1!B151</f>
        <v>2.3661923907852</v>
      </c>
      <c r="E70" s="1268" t="n">
        <f aca="false">0.5*(DataDE2!AR73+DataDE2!AR74)/TableDE1!$B151</f>
        <v>0.691928029793153</v>
      </c>
      <c r="F70" s="1267" t="n">
        <f aca="false">0.5*(DataDE2!AC73+DataDE2!AC74)/TableDE1!B151-TableDE6c!D70</f>
        <v>0.341731511040972</v>
      </c>
      <c r="G70" s="1267"/>
      <c r="H70" s="1267" t="n">
        <f aca="false">I70+L70</f>
        <v>2.10010319917441</v>
      </c>
      <c r="I70" s="1268" t="n">
        <f aca="false">J70+K70</f>
        <v>0.373782922780096</v>
      </c>
      <c r="J70" s="1268" t="n">
        <f aca="false">0.5*(DataDE2!AN73+DataDE2!AN74)/TableDE1!$B151</f>
        <v>0.104320904563198</v>
      </c>
      <c r="K70" s="1268" t="n">
        <f aca="false">0.5*(DataDE2!AO73+DataDE2!AO74)/TableDE1!$B151</f>
        <v>0.269462018216898</v>
      </c>
      <c r="L70" s="1268" t="n">
        <f aca="false">M70+N70</f>
        <v>1.72632027639431</v>
      </c>
      <c r="M70" s="1268" t="n">
        <f aca="false">0.5*(DataDE2!AP73+DataDE2!AP74)/TableDE1!$B151</f>
        <v>0.616435590254408</v>
      </c>
      <c r="N70" s="1269" t="n">
        <f aca="false">0.5*(DataDE2!AQ73+DataDE2!AQ74)/TableDE1!$B151</f>
        <v>1.1098846861399</v>
      </c>
      <c r="O70" s="197"/>
      <c r="P70" s="1259"/>
    </row>
    <row r="71" customFormat="false" ht="13" hidden="false" customHeight="false" outlineLevel="0" collapsed="false">
      <c r="B71" s="197"/>
      <c r="C71" s="197"/>
      <c r="D71" s="197"/>
      <c r="E71" s="197"/>
      <c r="F71" s="197"/>
      <c r="G71" s="197"/>
      <c r="H71" s="197"/>
      <c r="I71" s="197"/>
      <c r="J71" s="197"/>
      <c r="K71" s="197"/>
      <c r="L71" s="197"/>
      <c r="M71" s="197"/>
      <c r="N71" s="197"/>
      <c r="O71" s="197"/>
      <c r="P71" s="1259"/>
    </row>
    <row r="72" customFormat="false" ht="12" hidden="false" customHeight="false" outlineLevel="0" collapsed="false">
      <c r="B72" s="197"/>
      <c r="C72" s="197"/>
      <c r="D72" s="197"/>
      <c r="E72" s="197"/>
      <c r="F72" s="197"/>
      <c r="G72" s="197"/>
      <c r="H72" s="197"/>
      <c r="I72" s="197"/>
      <c r="J72" s="197"/>
      <c r="K72" s="197"/>
      <c r="L72" s="197"/>
      <c r="M72" s="197"/>
      <c r="N72" s="197"/>
      <c r="O72" s="197"/>
      <c r="P72" s="197"/>
    </row>
    <row r="73" customFormat="false" ht="12" hidden="false" customHeight="false" outlineLevel="0" collapsed="false">
      <c r="B73" s="197"/>
      <c r="C73" s="197"/>
      <c r="D73" s="197"/>
      <c r="E73" s="197"/>
      <c r="F73" s="197"/>
      <c r="G73" s="197"/>
      <c r="H73" s="197"/>
      <c r="I73" s="197"/>
      <c r="J73" s="197"/>
      <c r="K73" s="197"/>
      <c r="L73" s="197"/>
      <c r="M73" s="197"/>
      <c r="N73" s="197"/>
      <c r="O73" s="197"/>
      <c r="P73" s="197"/>
    </row>
    <row r="74" customFormat="false" ht="12" hidden="false" customHeight="false" outlineLevel="0" collapsed="false">
      <c r="B74" s="197"/>
      <c r="C74" s="197"/>
      <c r="D74" s="197"/>
      <c r="E74" s="197"/>
      <c r="F74" s="197"/>
      <c r="G74" s="197"/>
      <c r="H74" s="197"/>
      <c r="I74" s="197"/>
      <c r="J74" s="197"/>
      <c r="K74" s="197"/>
      <c r="L74" s="197"/>
      <c r="M74" s="197"/>
      <c r="N74" s="197"/>
      <c r="O74" s="197"/>
      <c r="P74" s="197"/>
    </row>
    <row r="75" customFormat="false" ht="12" hidden="false" customHeight="false" outlineLevel="0" collapsed="false">
      <c r="B75" s="197"/>
      <c r="C75" s="197"/>
      <c r="D75" s="197"/>
      <c r="E75" s="197"/>
      <c r="F75" s="197"/>
      <c r="G75" s="197"/>
      <c r="H75" s="197"/>
      <c r="I75" s="197"/>
      <c r="J75" s="197"/>
      <c r="K75" s="197"/>
      <c r="L75" s="197"/>
      <c r="M75" s="197"/>
      <c r="N75" s="197"/>
      <c r="O75" s="197"/>
      <c r="P75" s="197"/>
    </row>
    <row r="76" customFormat="false" ht="12" hidden="false" customHeight="false" outlineLevel="0" collapsed="false">
      <c r="B76" s="197"/>
      <c r="C76" s="197"/>
      <c r="D76" s="197"/>
      <c r="E76" s="197"/>
      <c r="F76" s="197"/>
      <c r="G76" s="197"/>
      <c r="H76" s="197"/>
      <c r="I76" s="197"/>
      <c r="J76" s="197"/>
      <c r="K76" s="197"/>
      <c r="L76" s="197"/>
      <c r="M76" s="197"/>
      <c r="N76" s="197"/>
      <c r="O76" s="197"/>
      <c r="P76" s="197"/>
    </row>
    <row r="77" customFormat="false" ht="12" hidden="false" customHeight="false" outlineLevel="0" collapsed="false">
      <c r="B77" s="197"/>
      <c r="C77" s="197"/>
      <c r="D77" s="197"/>
      <c r="E77" s="197"/>
      <c r="F77" s="197"/>
      <c r="G77" s="197"/>
      <c r="H77" s="197"/>
      <c r="I77" s="197"/>
      <c r="J77" s="197"/>
      <c r="K77" s="197"/>
      <c r="L77" s="197"/>
      <c r="M77" s="197"/>
      <c r="N77" s="197"/>
      <c r="O77" s="197"/>
      <c r="P77" s="197"/>
    </row>
    <row r="78" customFormat="false" ht="12" hidden="false" customHeight="false" outlineLevel="0" collapsed="false">
      <c r="B78" s="197"/>
      <c r="C78" s="197"/>
      <c r="D78" s="197"/>
      <c r="E78" s="197"/>
      <c r="F78" s="197"/>
      <c r="G78" s="197"/>
      <c r="H78" s="197"/>
      <c r="I78" s="197"/>
      <c r="J78" s="197"/>
      <c r="K78" s="197"/>
      <c r="L78" s="197"/>
      <c r="M78" s="197"/>
      <c r="N78" s="197"/>
      <c r="O78" s="197"/>
      <c r="P78" s="197"/>
    </row>
    <row r="79" customFormat="false" ht="12" hidden="false" customHeight="false" outlineLevel="0" collapsed="false">
      <c r="B79" s="197"/>
      <c r="C79" s="197"/>
      <c r="D79" s="197"/>
      <c r="E79" s="197"/>
      <c r="F79" s="197"/>
      <c r="G79" s="197"/>
      <c r="H79" s="197"/>
      <c r="I79" s="197"/>
      <c r="J79" s="197"/>
      <c r="K79" s="197"/>
      <c r="L79" s="197"/>
      <c r="M79" s="197"/>
      <c r="N79" s="197"/>
      <c r="O79" s="197"/>
      <c r="P79" s="197"/>
    </row>
    <row r="80" customFormat="false" ht="12" hidden="false" customHeight="false" outlineLevel="0" collapsed="false">
      <c r="B80" s="197"/>
      <c r="C80" s="197"/>
      <c r="D80" s="197"/>
      <c r="E80" s="197"/>
      <c r="F80" s="197"/>
      <c r="G80" s="197"/>
      <c r="H80" s="197"/>
      <c r="I80" s="197"/>
      <c r="J80" s="197"/>
      <c r="K80" s="197"/>
      <c r="L80" s="197"/>
      <c r="M80" s="197"/>
      <c r="N80" s="197"/>
      <c r="O80" s="197"/>
      <c r="P80" s="197"/>
    </row>
    <row r="81" customFormat="false" ht="12" hidden="false" customHeight="false" outlineLevel="0" collapsed="false">
      <c r="B81" s="197"/>
      <c r="C81" s="197"/>
      <c r="D81" s="197"/>
      <c r="E81" s="197"/>
      <c r="F81" s="197"/>
      <c r="G81" s="197"/>
      <c r="H81" s="197"/>
      <c r="I81" s="197"/>
      <c r="J81" s="197"/>
      <c r="K81" s="197"/>
      <c r="L81" s="197"/>
      <c r="M81" s="197"/>
      <c r="N81" s="197"/>
      <c r="O81" s="197"/>
      <c r="P81" s="197"/>
    </row>
    <row r="82" customFormat="false" ht="12" hidden="false" customHeight="false" outlineLevel="0" collapsed="false">
      <c r="B82" s="197"/>
      <c r="C82" s="197"/>
      <c r="D82" s="197"/>
      <c r="E82" s="197"/>
      <c r="F82" s="197"/>
      <c r="G82" s="197"/>
      <c r="H82" s="197"/>
      <c r="I82" s="197"/>
      <c r="J82" s="197"/>
      <c r="K82" s="197"/>
      <c r="L82" s="197"/>
      <c r="M82" s="197"/>
      <c r="N82" s="197"/>
      <c r="O82" s="197"/>
      <c r="P82" s="197"/>
    </row>
    <row r="83" customFormat="false" ht="12" hidden="false" customHeight="false" outlineLevel="0" collapsed="false">
      <c r="B83" s="197"/>
      <c r="C83" s="197"/>
      <c r="D83" s="197"/>
      <c r="E83" s="197"/>
      <c r="F83" s="197"/>
      <c r="G83" s="197"/>
      <c r="H83" s="197"/>
      <c r="I83" s="197"/>
      <c r="J83" s="197"/>
      <c r="K83" s="197"/>
      <c r="L83" s="197"/>
      <c r="M83" s="197"/>
      <c r="N83" s="197"/>
      <c r="O83" s="197"/>
      <c r="P83" s="197"/>
    </row>
    <row r="84" customFormat="false" ht="12" hidden="false" customHeight="false" outlineLevel="0" collapsed="false">
      <c r="B84" s="197"/>
      <c r="C84" s="197"/>
      <c r="D84" s="197"/>
      <c r="E84" s="197"/>
      <c r="F84" s="197"/>
      <c r="G84" s="197"/>
      <c r="H84" s="197"/>
      <c r="I84" s="197"/>
      <c r="J84" s="197"/>
      <c r="K84" s="197"/>
      <c r="L84" s="197"/>
      <c r="M84" s="197"/>
      <c r="N84" s="197"/>
      <c r="O84" s="197"/>
      <c r="P84" s="197"/>
    </row>
    <row r="85" customFormat="false" ht="12" hidden="false" customHeight="false" outlineLevel="0" collapsed="false">
      <c r="B85" s="197"/>
      <c r="C85" s="197"/>
      <c r="D85" s="197"/>
      <c r="E85" s="197"/>
      <c r="F85" s="197"/>
      <c r="G85" s="197"/>
      <c r="H85" s="197"/>
      <c r="I85" s="197"/>
      <c r="J85" s="197"/>
      <c r="K85" s="197"/>
      <c r="L85" s="197"/>
      <c r="M85" s="197"/>
      <c r="N85" s="197"/>
      <c r="O85" s="197"/>
      <c r="P85" s="197"/>
    </row>
    <row r="86" customFormat="false" ht="12" hidden="false" customHeight="false" outlineLevel="0" collapsed="false">
      <c r="B86" s="197"/>
      <c r="C86" s="197"/>
      <c r="D86" s="197"/>
      <c r="E86" s="197"/>
      <c r="F86" s="197"/>
      <c r="G86" s="197"/>
      <c r="H86" s="197"/>
      <c r="I86" s="197"/>
      <c r="J86" s="197"/>
      <c r="K86" s="197"/>
      <c r="L86" s="197"/>
      <c r="M86" s="197"/>
      <c r="N86" s="197"/>
      <c r="O86" s="197"/>
      <c r="P86" s="197"/>
    </row>
    <row r="87" customFormat="false" ht="12" hidden="false" customHeight="false" outlineLevel="0" collapsed="false">
      <c r="B87" s="197"/>
      <c r="C87" s="197"/>
      <c r="D87" s="197"/>
      <c r="E87" s="197"/>
      <c r="F87" s="197"/>
      <c r="G87" s="197"/>
      <c r="H87" s="197"/>
      <c r="I87" s="197"/>
      <c r="J87" s="197"/>
      <c r="K87" s="197"/>
      <c r="L87" s="197"/>
      <c r="M87" s="197"/>
      <c r="N87" s="197"/>
      <c r="O87" s="197"/>
      <c r="P87" s="197"/>
    </row>
    <row r="88" customFormat="false" ht="12" hidden="false" customHeight="false" outlineLevel="0" collapsed="false">
      <c r="B88" s="197"/>
      <c r="C88" s="197"/>
      <c r="D88" s="197"/>
      <c r="E88" s="197"/>
      <c r="F88" s="197"/>
      <c r="G88" s="197"/>
      <c r="H88" s="197"/>
      <c r="I88" s="197"/>
      <c r="J88" s="197"/>
      <c r="K88" s="197"/>
      <c r="L88" s="197"/>
      <c r="M88" s="197"/>
      <c r="N88" s="197"/>
      <c r="O88" s="197"/>
      <c r="P88" s="197"/>
    </row>
    <row r="89" customFormat="false" ht="12" hidden="false" customHeight="false" outlineLevel="0" collapsed="false">
      <c r="B89" s="197"/>
      <c r="C89" s="197"/>
      <c r="D89" s="197"/>
      <c r="E89" s="197"/>
      <c r="F89" s="197"/>
      <c r="G89" s="197"/>
      <c r="H89" s="197"/>
      <c r="I89" s="197"/>
      <c r="J89" s="197"/>
      <c r="K89" s="197"/>
      <c r="L89" s="197"/>
      <c r="M89" s="197"/>
      <c r="N89" s="197"/>
      <c r="O89" s="197"/>
      <c r="P89" s="197"/>
    </row>
    <row r="90" customFormat="false" ht="12" hidden="false" customHeight="false" outlineLevel="0" collapsed="false">
      <c r="B90" s="197"/>
      <c r="C90" s="197"/>
      <c r="D90" s="197"/>
      <c r="E90" s="197"/>
      <c r="F90" s="197"/>
      <c r="G90" s="197"/>
      <c r="H90" s="197"/>
      <c r="I90" s="197"/>
      <c r="J90" s="197"/>
      <c r="K90" s="197"/>
      <c r="L90" s="197"/>
      <c r="M90" s="197"/>
      <c r="N90" s="197"/>
      <c r="O90" s="197"/>
      <c r="P90" s="197"/>
    </row>
    <row r="91" customFormat="false" ht="12" hidden="false" customHeight="false" outlineLevel="0" collapsed="false">
      <c r="B91" s="197"/>
      <c r="C91" s="197"/>
      <c r="D91" s="197"/>
      <c r="E91" s="197"/>
      <c r="F91" s="197"/>
      <c r="G91" s="197"/>
      <c r="H91" s="197"/>
      <c r="I91" s="197"/>
      <c r="J91" s="197"/>
      <c r="K91" s="197"/>
      <c r="L91" s="197"/>
      <c r="M91" s="197"/>
      <c r="N91" s="197"/>
      <c r="O91" s="197"/>
      <c r="P91" s="197"/>
    </row>
    <row r="92" customFormat="false" ht="12" hidden="false" customHeight="false" outlineLevel="0" collapsed="false">
      <c r="B92" s="197"/>
      <c r="C92" s="197"/>
      <c r="D92" s="197"/>
      <c r="E92" s="197"/>
      <c r="F92" s="197"/>
      <c r="G92" s="197"/>
      <c r="H92" s="197"/>
      <c r="I92" s="197"/>
      <c r="J92" s="197"/>
      <c r="K92" s="197"/>
      <c r="L92" s="197"/>
      <c r="M92" s="197"/>
      <c r="N92" s="197"/>
      <c r="O92" s="197"/>
      <c r="P92" s="197"/>
    </row>
    <row r="93" customFormat="false" ht="12" hidden="false" customHeight="false" outlineLevel="0" collapsed="false">
      <c r="B93" s="197"/>
      <c r="C93" s="197"/>
      <c r="D93" s="197"/>
      <c r="E93" s="197"/>
      <c r="F93" s="197"/>
      <c r="G93" s="197"/>
      <c r="H93" s="197"/>
      <c r="I93" s="197"/>
      <c r="J93" s="197"/>
      <c r="K93" s="197"/>
      <c r="L93" s="197"/>
      <c r="M93" s="197"/>
      <c r="N93" s="197"/>
      <c r="O93" s="197"/>
      <c r="P93" s="197"/>
    </row>
    <row r="94" customFormat="false" ht="12" hidden="false" customHeight="false" outlineLevel="0" collapsed="false">
      <c r="B94" s="197"/>
      <c r="C94" s="197"/>
      <c r="D94" s="197"/>
      <c r="E94" s="197"/>
      <c r="F94" s="197"/>
      <c r="G94" s="197"/>
      <c r="H94" s="197"/>
      <c r="I94" s="197"/>
      <c r="J94" s="197"/>
      <c r="K94" s="197"/>
      <c r="L94" s="197"/>
      <c r="M94" s="197"/>
      <c r="N94" s="197"/>
      <c r="O94" s="197"/>
      <c r="P94" s="197"/>
    </row>
    <row r="95" customFormat="false" ht="12" hidden="false" customHeight="false" outlineLevel="0" collapsed="false">
      <c r="B95" s="197"/>
      <c r="C95" s="197"/>
      <c r="D95" s="197"/>
      <c r="E95" s="197"/>
      <c r="F95" s="197"/>
      <c r="G95" s="197"/>
      <c r="H95" s="197"/>
      <c r="I95" s="197"/>
      <c r="J95" s="197"/>
      <c r="K95" s="197"/>
      <c r="L95" s="197"/>
      <c r="M95" s="197"/>
      <c r="N95" s="197"/>
      <c r="O95" s="197"/>
      <c r="P95" s="197"/>
    </row>
    <row r="96" customFormat="false" ht="12" hidden="false" customHeight="false" outlineLevel="0" collapsed="false">
      <c r="B96" s="197"/>
      <c r="C96" s="197"/>
      <c r="D96" s="197"/>
      <c r="E96" s="197"/>
      <c r="F96" s="197"/>
      <c r="G96" s="197"/>
      <c r="H96" s="197"/>
      <c r="I96" s="197"/>
      <c r="J96" s="197"/>
      <c r="K96" s="197"/>
      <c r="L96" s="197"/>
      <c r="M96" s="197"/>
      <c r="N96" s="197"/>
      <c r="O96" s="197"/>
      <c r="P96" s="197"/>
    </row>
    <row r="97" customFormat="false" ht="12" hidden="false" customHeight="false" outlineLevel="0" collapsed="false">
      <c r="B97" s="197"/>
      <c r="C97" s="197"/>
      <c r="D97" s="197"/>
      <c r="E97" s="197"/>
      <c r="F97" s="197"/>
      <c r="G97" s="197"/>
      <c r="H97" s="197"/>
      <c r="I97" s="197"/>
      <c r="J97" s="197"/>
      <c r="K97" s="197"/>
      <c r="L97" s="197"/>
      <c r="M97" s="197"/>
      <c r="N97" s="197"/>
      <c r="O97" s="197"/>
      <c r="P97" s="197"/>
    </row>
    <row r="98" customFormat="false" ht="12" hidden="false" customHeight="false" outlineLevel="0" collapsed="false">
      <c r="B98" s="197"/>
      <c r="C98" s="197"/>
      <c r="D98" s="197"/>
      <c r="E98" s="197"/>
      <c r="F98" s="197"/>
      <c r="G98" s="197"/>
      <c r="H98" s="197"/>
      <c r="I98" s="197"/>
      <c r="J98" s="197"/>
      <c r="K98" s="197"/>
      <c r="L98" s="197"/>
      <c r="M98" s="197"/>
      <c r="N98" s="197"/>
      <c r="O98" s="197"/>
      <c r="P98" s="197"/>
    </row>
    <row r="99" customFormat="false" ht="12" hidden="false" customHeight="false" outlineLevel="0" collapsed="false">
      <c r="B99" s="197"/>
      <c r="C99" s="197"/>
      <c r="D99" s="197"/>
      <c r="E99" s="197"/>
      <c r="F99" s="197"/>
      <c r="G99" s="197"/>
      <c r="H99" s="197"/>
      <c r="I99" s="197"/>
      <c r="J99" s="197"/>
      <c r="K99" s="197"/>
      <c r="L99" s="197"/>
      <c r="M99" s="197"/>
      <c r="N99" s="197"/>
      <c r="O99" s="197"/>
      <c r="P99" s="197"/>
    </row>
    <row r="100" customFormat="false" ht="12" hidden="false" customHeight="false" outlineLevel="0" collapsed="false">
      <c r="B100" s="197"/>
      <c r="C100" s="197"/>
      <c r="D100" s="197"/>
      <c r="E100" s="197"/>
      <c r="F100" s="197"/>
      <c r="G100" s="197"/>
      <c r="H100" s="197"/>
      <c r="I100" s="197"/>
      <c r="J100" s="197"/>
      <c r="K100" s="197"/>
      <c r="L100" s="197"/>
      <c r="M100" s="197"/>
      <c r="N100" s="197"/>
      <c r="O100" s="197"/>
      <c r="P100" s="197"/>
    </row>
    <row r="101" customFormat="false" ht="12" hidden="false" customHeight="false" outlineLevel="0" collapsed="false">
      <c r="B101" s="197"/>
      <c r="C101" s="197"/>
      <c r="D101" s="197"/>
      <c r="E101" s="197"/>
      <c r="F101" s="197"/>
      <c r="G101" s="197"/>
      <c r="H101" s="197"/>
      <c r="I101" s="197"/>
      <c r="J101" s="197"/>
      <c r="K101" s="197"/>
      <c r="L101" s="197"/>
      <c r="M101" s="197"/>
      <c r="N101" s="197"/>
      <c r="O101" s="197"/>
      <c r="P101" s="197"/>
    </row>
    <row r="102" customFormat="false" ht="12" hidden="false" customHeight="false" outlineLevel="0" collapsed="false">
      <c r="B102" s="197"/>
      <c r="C102" s="197"/>
      <c r="D102" s="197"/>
      <c r="E102" s="197"/>
      <c r="F102" s="197"/>
      <c r="G102" s="197"/>
      <c r="H102" s="197"/>
      <c r="I102" s="197"/>
      <c r="J102" s="197"/>
      <c r="K102" s="197"/>
      <c r="L102" s="197"/>
      <c r="M102" s="197"/>
      <c r="N102" s="197"/>
      <c r="O102" s="197"/>
      <c r="P102" s="197"/>
    </row>
    <row r="103" customFormat="false" ht="12" hidden="false" customHeight="false" outlineLevel="0" collapsed="false">
      <c r="B103" s="197"/>
      <c r="C103" s="197"/>
      <c r="D103" s="197"/>
      <c r="E103" s="197"/>
      <c r="F103" s="197"/>
      <c r="G103" s="197"/>
      <c r="H103" s="197"/>
      <c r="I103" s="197"/>
      <c r="J103" s="197"/>
      <c r="K103" s="197"/>
      <c r="L103" s="197"/>
      <c r="M103" s="197"/>
      <c r="N103" s="197"/>
      <c r="O103" s="197"/>
      <c r="P103" s="197"/>
    </row>
    <row r="104" customFormat="false" ht="12" hidden="false" customHeight="false" outlineLevel="0" collapsed="false">
      <c r="B104" s="197"/>
      <c r="C104" s="197"/>
      <c r="D104" s="197"/>
      <c r="E104" s="197"/>
      <c r="F104" s="197"/>
      <c r="G104" s="197"/>
      <c r="H104" s="197"/>
      <c r="I104" s="197"/>
      <c r="J104" s="197"/>
      <c r="K104" s="197"/>
      <c r="L104" s="197"/>
      <c r="M104" s="197"/>
      <c r="N104" s="197"/>
      <c r="O104" s="197"/>
      <c r="P104" s="197"/>
    </row>
    <row r="105" customFormat="false" ht="12" hidden="false" customHeight="false" outlineLevel="0" collapsed="false">
      <c r="B105" s="197"/>
      <c r="C105" s="197"/>
      <c r="D105" s="197"/>
      <c r="E105" s="197"/>
      <c r="F105" s="197"/>
      <c r="G105" s="197"/>
      <c r="H105" s="197"/>
      <c r="I105" s="197"/>
      <c r="J105" s="197"/>
      <c r="K105" s="197"/>
      <c r="L105" s="197"/>
      <c r="M105" s="197"/>
      <c r="N105" s="197"/>
      <c r="O105" s="197"/>
      <c r="P105" s="197"/>
    </row>
    <row r="106" customFormat="false" ht="12" hidden="false" customHeight="false" outlineLevel="0" collapsed="false">
      <c r="B106" s="197"/>
      <c r="C106" s="197"/>
      <c r="D106" s="197"/>
      <c r="E106" s="197"/>
      <c r="F106" s="197"/>
      <c r="G106" s="197"/>
      <c r="H106" s="197"/>
      <c r="I106" s="197"/>
      <c r="J106" s="197"/>
      <c r="K106" s="197"/>
      <c r="L106" s="197"/>
      <c r="M106" s="197"/>
      <c r="N106" s="197"/>
      <c r="O106" s="197"/>
      <c r="P106" s="197"/>
    </row>
    <row r="107" customFormat="false" ht="12" hidden="false" customHeight="false" outlineLevel="0" collapsed="false">
      <c r="B107" s="197"/>
      <c r="C107" s="197"/>
      <c r="D107" s="197"/>
      <c r="E107" s="197"/>
      <c r="F107" s="197"/>
      <c r="G107" s="197"/>
      <c r="H107" s="197"/>
      <c r="I107" s="197"/>
      <c r="J107" s="197"/>
      <c r="K107" s="197"/>
      <c r="L107" s="197"/>
      <c r="M107" s="197"/>
      <c r="N107" s="197"/>
      <c r="O107" s="197"/>
      <c r="P107" s="197"/>
    </row>
    <row r="108" customFormat="false" ht="12" hidden="false" customHeight="false" outlineLevel="0" collapsed="false">
      <c r="B108" s="197"/>
      <c r="C108" s="197"/>
      <c r="D108" s="197"/>
      <c r="E108" s="197"/>
      <c r="F108" s="197"/>
      <c r="G108" s="197"/>
      <c r="H108" s="197"/>
      <c r="I108" s="197"/>
      <c r="J108" s="197"/>
      <c r="K108" s="197"/>
      <c r="L108" s="197"/>
      <c r="M108" s="197"/>
      <c r="N108" s="197"/>
      <c r="O108" s="197"/>
      <c r="P108" s="197"/>
    </row>
    <row r="109" customFormat="false" ht="12" hidden="false" customHeight="false" outlineLevel="0" collapsed="false">
      <c r="B109" s="197"/>
      <c r="C109" s="197"/>
      <c r="D109" s="197"/>
      <c r="E109" s="197"/>
      <c r="F109" s="197"/>
      <c r="G109" s="197"/>
      <c r="H109" s="197"/>
      <c r="I109" s="197"/>
      <c r="J109" s="197"/>
      <c r="K109" s="197"/>
      <c r="L109" s="197"/>
      <c r="M109" s="197"/>
      <c r="N109" s="197"/>
      <c r="O109" s="197"/>
      <c r="P109" s="197"/>
    </row>
    <row r="110" customFormat="false" ht="12" hidden="false" customHeight="false" outlineLevel="0" collapsed="false">
      <c r="B110" s="197"/>
      <c r="C110" s="197"/>
      <c r="D110" s="197"/>
      <c r="E110" s="197"/>
      <c r="F110" s="197"/>
      <c r="G110" s="197"/>
      <c r="H110" s="197"/>
      <c r="I110" s="197"/>
      <c r="J110" s="197"/>
      <c r="K110" s="197"/>
      <c r="L110" s="197"/>
      <c r="M110" s="197"/>
      <c r="N110" s="197"/>
      <c r="O110" s="197"/>
      <c r="P110" s="197"/>
    </row>
    <row r="111" customFormat="false" ht="12" hidden="false" customHeight="false" outlineLevel="0" collapsed="false">
      <c r="B111" s="197"/>
      <c r="C111" s="197"/>
      <c r="D111" s="197"/>
      <c r="E111" s="197"/>
      <c r="F111" s="197"/>
      <c r="G111" s="197"/>
      <c r="H111" s="197"/>
      <c r="I111" s="197"/>
      <c r="J111" s="197"/>
      <c r="K111" s="197"/>
      <c r="L111" s="197"/>
      <c r="M111" s="197"/>
      <c r="N111" s="197"/>
      <c r="O111" s="197"/>
      <c r="P111" s="197"/>
    </row>
    <row r="112" customFormat="false" ht="12" hidden="false" customHeight="false" outlineLevel="0" collapsed="false">
      <c r="B112" s="197"/>
      <c r="C112" s="197"/>
      <c r="D112" s="197"/>
      <c r="E112" s="197"/>
      <c r="F112" s="197"/>
      <c r="G112" s="197"/>
      <c r="H112" s="197"/>
      <c r="I112" s="197"/>
      <c r="J112" s="197"/>
      <c r="K112" s="197"/>
      <c r="L112" s="197"/>
      <c r="M112" s="197"/>
      <c r="N112" s="197"/>
      <c r="O112" s="197"/>
      <c r="P112" s="197"/>
    </row>
    <row r="113" customFormat="false" ht="12" hidden="false" customHeight="false" outlineLevel="0" collapsed="false">
      <c r="B113" s="197"/>
      <c r="C113" s="197"/>
      <c r="D113" s="197"/>
      <c r="E113" s="197"/>
      <c r="F113" s="197"/>
      <c r="G113" s="197"/>
      <c r="H113" s="197"/>
      <c r="I113" s="197"/>
      <c r="J113" s="197"/>
      <c r="K113" s="197"/>
      <c r="L113" s="197"/>
      <c r="M113" s="197"/>
      <c r="N113" s="197"/>
      <c r="O113" s="197"/>
      <c r="P113" s="197"/>
    </row>
    <row r="114" customFormat="false" ht="12" hidden="false" customHeight="false" outlineLevel="0" collapsed="false">
      <c r="B114" s="197"/>
      <c r="C114" s="197"/>
      <c r="D114" s="197"/>
      <c r="E114" s="197"/>
      <c r="F114" s="197"/>
      <c r="G114" s="197"/>
      <c r="H114" s="197"/>
      <c r="I114" s="197"/>
      <c r="J114" s="197"/>
      <c r="K114" s="197"/>
      <c r="L114" s="197"/>
      <c r="M114" s="197"/>
      <c r="N114" s="197"/>
      <c r="O114" s="197"/>
      <c r="P114" s="197"/>
    </row>
    <row r="115" customFormat="false" ht="12" hidden="false" customHeight="false" outlineLevel="0" collapsed="false">
      <c r="B115" s="197"/>
      <c r="C115" s="197"/>
      <c r="D115" s="197"/>
      <c r="E115" s="197"/>
      <c r="F115" s="197"/>
      <c r="G115" s="197"/>
      <c r="H115" s="197"/>
      <c r="I115" s="197"/>
      <c r="J115" s="197"/>
      <c r="K115" s="197"/>
      <c r="L115" s="197"/>
      <c r="M115" s="197"/>
      <c r="N115" s="197"/>
      <c r="O115" s="197"/>
      <c r="P115" s="197"/>
    </row>
    <row r="116" customFormat="false" ht="12" hidden="false" customHeight="false" outlineLevel="0" collapsed="false">
      <c r="B116" s="197"/>
      <c r="C116" s="197"/>
      <c r="D116" s="197"/>
      <c r="E116" s="197"/>
      <c r="F116" s="197"/>
      <c r="G116" s="197"/>
      <c r="H116" s="197"/>
      <c r="I116" s="197"/>
      <c r="J116" s="197"/>
      <c r="K116" s="197"/>
      <c r="L116" s="197"/>
      <c r="M116" s="197"/>
      <c r="N116" s="197"/>
      <c r="O116" s="197"/>
      <c r="P116" s="197"/>
    </row>
    <row r="117" customFormat="false" ht="12" hidden="false" customHeight="false" outlineLevel="0" collapsed="false">
      <c r="B117" s="197"/>
      <c r="C117" s="197"/>
      <c r="D117" s="197"/>
      <c r="E117" s="197"/>
      <c r="F117" s="197"/>
      <c r="G117" s="197"/>
      <c r="H117" s="197"/>
      <c r="I117" s="197"/>
      <c r="J117" s="197"/>
      <c r="K117" s="197"/>
      <c r="L117" s="197"/>
      <c r="M117" s="197"/>
      <c r="N117" s="197"/>
      <c r="O117" s="197"/>
      <c r="P117" s="197"/>
    </row>
    <row r="118" customFormat="false" ht="12" hidden="false" customHeight="false" outlineLevel="0" collapsed="false">
      <c r="B118" s="197"/>
      <c r="C118" s="197"/>
      <c r="D118" s="197"/>
      <c r="E118" s="197"/>
      <c r="F118" s="197"/>
      <c r="G118" s="197"/>
      <c r="H118" s="197"/>
      <c r="I118" s="197"/>
      <c r="J118" s="197"/>
      <c r="K118" s="197"/>
      <c r="L118" s="197"/>
      <c r="M118" s="197"/>
      <c r="N118" s="197"/>
      <c r="O118" s="197"/>
      <c r="P118" s="197"/>
    </row>
    <row r="119" customFormat="false" ht="12" hidden="false" customHeight="false" outlineLevel="0" collapsed="false">
      <c r="B119" s="197"/>
      <c r="C119" s="197"/>
      <c r="D119" s="197"/>
      <c r="E119" s="197"/>
      <c r="F119" s="197"/>
      <c r="G119" s="197"/>
      <c r="H119" s="197"/>
      <c r="I119" s="197"/>
      <c r="J119" s="197"/>
      <c r="K119" s="197"/>
      <c r="L119" s="197"/>
      <c r="M119" s="197"/>
      <c r="N119" s="197"/>
      <c r="O119" s="197"/>
      <c r="P119" s="197"/>
    </row>
    <row r="120" customFormat="false" ht="12" hidden="false" customHeight="false" outlineLevel="0" collapsed="false">
      <c r="B120" s="197"/>
      <c r="C120" s="197"/>
      <c r="D120" s="197"/>
      <c r="E120" s="197"/>
      <c r="F120" s="197"/>
      <c r="G120" s="197"/>
      <c r="H120" s="197"/>
      <c r="I120" s="197"/>
      <c r="J120" s="197"/>
      <c r="K120" s="197"/>
      <c r="L120" s="197"/>
      <c r="M120" s="197"/>
      <c r="N120" s="197"/>
      <c r="O120" s="197"/>
      <c r="P120" s="197"/>
    </row>
    <row r="121" customFormat="false" ht="12" hidden="false" customHeight="false" outlineLevel="0" collapsed="false">
      <c r="B121" s="197"/>
      <c r="C121" s="197"/>
      <c r="D121" s="197"/>
      <c r="E121" s="197"/>
      <c r="F121" s="197"/>
      <c r="G121" s="197"/>
      <c r="H121" s="197"/>
      <c r="I121" s="197"/>
      <c r="J121" s="197"/>
      <c r="K121" s="197"/>
      <c r="L121" s="197"/>
      <c r="M121" s="197"/>
      <c r="N121" s="197"/>
      <c r="O121" s="197"/>
      <c r="P121" s="197"/>
    </row>
    <row r="122" customFormat="false" ht="12" hidden="false" customHeight="false" outlineLevel="0" collapsed="false">
      <c r="B122" s="197"/>
      <c r="C122" s="197"/>
      <c r="D122" s="197"/>
      <c r="E122" s="197"/>
      <c r="F122" s="197"/>
      <c r="G122" s="197"/>
      <c r="H122" s="197"/>
      <c r="I122" s="197"/>
      <c r="J122" s="197"/>
      <c r="K122" s="197"/>
      <c r="L122" s="197"/>
      <c r="M122" s="197"/>
      <c r="N122" s="197"/>
      <c r="O122" s="197"/>
      <c r="P122" s="197"/>
    </row>
    <row r="123" customFormat="false" ht="12" hidden="false" customHeight="false" outlineLevel="0" collapsed="false">
      <c r="B123" s="197"/>
      <c r="C123" s="197"/>
      <c r="D123" s="197"/>
      <c r="E123" s="197"/>
      <c r="F123" s="197"/>
      <c r="G123" s="197"/>
      <c r="H123" s="197"/>
      <c r="I123" s="197"/>
      <c r="J123" s="197"/>
      <c r="K123" s="197"/>
      <c r="L123" s="197"/>
      <c r="M123" s="197"/>
      <c r="N123" s="197"/>
      <c r="O123" s="197"/>
      <c r="P123" s="197"/>
    </row>
    <row r="124" customFormat="false" ht="12" hidden="false" customHeight="false" outlineLevel="0" collapsed="false">
      <c r="B124" s="197"/>
      <c r="C124" s="197"/>
      <c r="D124" s="197"/>
      <c r="E124" s="197"/>
      <c r="F124" s="197"/>
      <c r="G124" s="197"/>
      <c r="H124" s="197"/>
      <c r="I124" s="197"/>
      <c r="J124" s="197"/>
      <c r="K124" s="197"/>
      <c r="L124" s="197"/>
      <c r="M124" s="197"/>
      <c r="N124" s="197"/>
      <c r="O124" s="197"/>
      <c r="P124" s="197"/>
    </row>
    <row r="125" customFormat="false" ht="12" hidden="false" customHeight="false" outlineLevel="0" collapsed="false">
      <c r="B125" s="197"/>
      <c r="C125" s="197"/>
      <c r="D125" s="197"/>
      <c r="E125" s="197"/>
      <c r="F125" s="197"/>
      <c r="G125" s="197"/>
      <c r="H125" s="197"/>
      <c r="I125" s="197"/>
      <c r="J125" s="197"/>
      <c r="K125" s="197"/>
      <c r="L125" s="197"/>
      <c r="M125" s="197"/>
      <c r="N125" s="197"/>
      <c r="O125" s="197"/>
      <c r="P125" s="197"/>
    </row>
    <row r="126" customFormat="false" ht="12" hidden="false" customHeight="false" outlineLevel="0" collapsed="false">
      <c r="B126" s="197"/>
      <c r="C126" s="197"/>
      <c r="D126" s="197"/>
      <c r="E126" s="197"/>
      <c r="F126" s="197"/>
      <c r="G126" s="197"/>
      <c r="H126" s="197"/>
      <c r="I126" s="197"/>
      <c r="J126" s="197"/>
      <c r="K126" s="197"/>
      <c r="L126" s="197"/>
      <c r="M126" s="197"/>
      <c r="N126" s="197"/>
      <c r="O126" s="197"/>
      <c r="P126" s="197"/>
    </row>
    <row r="127" customFormat="false" ht="12" hidden="false" customHeight="false" outlineLevel="0" collapsed="false">
      <c r="B127" s="197"/>
      <c r="C127" s="197"/>
      <c r="D127" s="197"/>
      <c r="E127" s="197"/>
      <c r="F127" s="197"/>
      <c r="G127" s="197"/>
      <c r="H127" s="197"/>
      <c r="I127" s="197"/>
      <c r="J127" s="197"/>
      <c r="K127" s="197"/>
      <c r="L127" s="197"/>
      <c r="M127" s="197"/>
      <c r="N127" s="197"/>
      <c r="O127" s="197"/>
      <c r="P127" s="197"/>
    </row>
    <row r="128" customFormat="false" ht="12" hidden="false" customHeight="false" outlineLevel="0" collapsed="false">
      <c r="B128" s="197"/>
      <c r="C128" s="197"/>
      <c r="D128" s="197"/>
      <c r="E128" s="197"/>
      <c r="F128" s="197"/>
      <c r="G128" s="197"/>
      <c r="H128" s="197"/>
      <c r="I128" s="197"/>
      <c r="J128" s="197"/>
      <c r="K128" s="197"/>
      <c r="L128" s="197"/>
      <c r="M128" s="197"/>
      <c r="N128" s="197"/>
      <c r="O128" s="197"/>
      <c r="P128" s="197"/>
    </row>
    <row r="129" customFormat="false" ht="12" hidden="false" customHeight="false" outlineLevel="0" collapsed="false">
      <c r="B129" s="197"/>
      <c r="C129" s="197"/>
      <c r="D129" s="197"/>
      <c r="E129" s="197"/>
      <c r="F129" s="197"/>
      <c r="G129" s="197"/>
      <c r="H129" s="197"/>
      <c r="I129" s="197"/>
      <c r="J129" s="197"/>
      <c r="K129" s="197"/>
      <c r="L129" s="197"/>
      <c r="M129" s="197"/>
      <c r="N129" s="197"/>
      <c r="O129" s="197"/>
      <c r="P129" s="197"/>
    </row>
    <row r="130" customFormat="false" ht="12" hidden="false" customHeight="false" outlineLevel="0" collapsed="false">
      <c r="B130" s="197"/>
      <c r="C130" s="197"/>
      <c r="D130" s="197"/>
      <c r="E130" s="197"/>
      <c r="F130" s="197"/>
      <c r="G130" s="197"/>
      <c r="H130" s="197"/>
      <c r="I130" s="197"/>
      <c r="J130" s="197"/>
      <c r="K130" s="197"/>
      <c r="L130" s="197"/>
      <c r="M130" s="197"/>
      <c r="N130" s="197"/>
      <c r="O130" s="197"/>
      <c r="P130" s="197"/>
    </row>
    <row r="131" customFormat="false" ht="12" hidden="false" customHeight="false" outlineLevel="0" collapsed="false">
      <c r="B131" s="197"/>
      <c r="C131" s="197"/>
      <c r="D131" s="197"/>
      <c r="E131" s="197"/>
      <c r="F131" s="197"/>
      <c r="G131" s="197"/>
      <c r="H131" s="197"/>
      <c r="I131" s="197"/>
      <c r="J131" s="197"/>
      <c r="K131" s="197"/>
      <c r="L131" s="197"/>
      <c r="M131" s="197"/>
      <c r="N131" s="197"/>
      <c r="O131" s="197"/>
      <c r="P131" s="197"/>
    </row>
    <row r="132" customFormat="false" ht="12" hidden="false" customHeight="false" outlineLevel="0" collapsed="false">
      <c r="B132" s="197"/>
      <c r="C132" s="197"/>
      <c r="D132" s="197"/>
      <c r="E132" s="197"/>
      <c r="F132" s="197"/>
      <c r="G132" s="197"/>
      <c r="H132" s="197"/>
      <c r="I132" s="197"/>
      <c r="J132" s="197"/>
      <c r="K132" s="197"/>
      <c r="L132" s="197"/>
      <c r="M132" s="197"/>
      <c r="N132" s="197"/>
      <c r="O132" s="197"/>
      <c r="P132" s="197"/>
    </row>
    <row r="133" customFormat="false" ht="12" hidden="false" customHeight="false" outlineLevel="0" collapsed="false">
      <c r="B133" s="197"/>
      <c r="C133" s="197"/>
      <c r="D133" s="197"/>
      <c r="E133" s="197"/>
      <c r="F133" s="197"/>
      <c r="G133" s="197"/>
      <c r="H133" s="197"/>
      <c r="I133" s="197"/>
      <c r="J133" s="197"/>
      <c r="K133" s="197"/>
      <c r="L133" s="197"/>
      <c r="M133" s="197"/>
      <c r="N133" s="197"/>
      <c r="O133" s="197"/>
      <c r="P133" s="197"/>
    </row>
    <row r="134" customFormat="false" ht="12" hidden="false" customHeight="false" outlineLevel="0" collapsed="false">
      <c r="B134" s="197"/>
      <c r="C134" s="197"/>
      <c r="D134" s="197"/>
      <c r="E134" s="197"/>
      <c r="F134" s="197"/>
      <c r="G134" s="197"/>
      <c r="H134" s="197"/>
      <c r="I134" s="197"/>
      <c r="J134" s="197"/>
      <c r="K134" s="197"/>
      <c r="L134" s="197"/>
      <c r="M134" s="197"/>
      <c r="N134" s="197"/>
      <c r="O134" s="197"/>
      <c r="P134" s="197"/>
    </row>
    <row r="135" customFormat="false" ht="12" hidden="false" customHeight="false" outlineLevel="0" collapsed="false">
      <c r="B135" s="197"/>
      <c r="C135" s="197"/>
      <c r="D135" s="197"/>
      <c r="E135" s="197"/>
      <c r="F135" s="197"/>
      <c r="G135" s="197"/>
      <c r="H135" s="197"/>
      <c r="I135" s="197"/>
      <c r="J135" s="197"/>
      <c r="K135" s="197"/>
      <c r="L135" s="197"/>
      <c r="M135" s="197"/>
      <c r="N135" s="197"/>
      <c r="O135" s="197"/>
      <c r="P135" s="197"/>
    </row>
    <row r="136" customFormat="false" ht="12" hidden="false" customHeight="false" outlineLevel="0" collapsed="false">
      <c r="B136" s="197"/>
      <c r="C136" s="197"/>
      <c r="D136" s="197"/>
      <c r="E136" s="197"/>
      <c r="F136" s="197"/>
      <c r="G136" s="197"/>
      <c r="H136" s="197"/>
      <c r="I136" s="197"/>
      <c r="J136" s="197"/>
      <c r="K136" s="197"/>
      <c r="L136" s="197"/>
      <c r="M136" s="197"/>
      <c r="N136" s="197"/>
      <c r="O136" s="197"/>
      <c r="P136" s="197"/>
    </row>
    <row r="137" customFormat="false" ht="12" hidden="false" customHeight="false" outlineLevel="0" collapsed="false">
      <c r="B137" s="197"/>
      <c r="C137" s="197"/>
      <c r="D137" s="197"/>
      <c r="E137" s="197"/>
      <c r="F137" s="197"/>
      <c r="G137" s="197"/>
      <c r="H137" s="197"/>
      <c r="I137" s="197"/>
      <c r="J137" s="197"/>
      <c r="K137" s="197"/>
      <c r="L137" s="197"/>
      <c r="M137" s="197"/>
      <c r="N137" s="197"/>
      <c r="O137" s="197"/>
      <c r="P137" s="197"/>
    </row>
    <row r="138" customFormat="false" ht="12" hidden="false" customHeight="false" outlineLevel="0" collapsed="false">
      <c r="B138" s="197"/>
      <c r="C138" s="197"/>
      <c r="D138" s="197"/>
      <c r="E138" s="197"/>
      <c r="F138" s="197"/>
      <c r="G138" s="197"/>
      <c r="H138" s="197"/>
      <c r="I138" s="197"/>
      <c r="J138" s="197"/>
      <c r="K138" s="197"/>
      <c r="L138" s="197"/>
      <c r="M138" s="197"/>
      <c r="N138" s="197"/>
      <c r="O138" s="197"/>
      <c r="P138" s="197"/>
    </row>
    <row r="139" customFormat="false" ht="12" hidden="false" customHeight="false" outlineLevel="0" collapsed="false">
      <c r="B139" s="197"/>
      <c r="C139" s="197"/>
      <c r="D139" s="197"/>
      <c r="E139" s="197"/>
      <c r="F139" s="197"/>
      <c r="G139" s="197"/>
      <c r="H139" s="197"/>
      <c r="I139" s="197"/>
      <c r="J139" s="197"/>
      <c r="K139" s="197"/>
      <c r="L139" s="197"/>
      <c r="M139" s="197"/>
      <c r="N139" s="197"/>
      <c r="O139" s="197"/>
      <c r="P139" s="197"/>
    </row>
    <row r="140" customFormat="false" ht="12" hidden="false" customHeight="false" outlineLevel="0" collapsed="false">
      <c r="B140" s="197"/>
      <c r="C140" s="197"/>
      <c r="D140" s="197"/>
      <c r="E140" s="197"/>
      <c r="F140" s="197"/>
      <c r="G140" s="197"/>
      <c r="H140" s="197"/>
      <c r="I140" s="197"/>
      <c r="J140" s="197"/>
      <c r="K140" s="197"/>
      <c r="L140" s="197"/>
      <c r="M140" s="197"/>
      <c r="N140" s="197"/>
      <c r="O140" s="197"/>
      <c r="P140" s="197"/>
    </row>
    <row r="141" customFormat="false" ht="12" hidden="false" customHeight="false" outlineLevel="0" collapsed="false">
      <c r="B141" s="197"/>
      <c r="C141" s="197"/>
      <c r="D141" s="197"/>
      <c r="E141" s="197"/>
      <c r="F141" s="197"/>
      <c r="G141" s="197"/>
      <c r="H141" s="197"/>
      <c r="I141" s="197"/>
      <c r="J141" s="197"/>
      <c r="K141" s="197"/>
      <c r="L141" s="197"/>
      <c r="M141" s="197"/>
      <c r="N141" s="197"/>
      <c r="O141" s="197"/>
      <c r="P141" s="197"/>
    </row>
    <row r="142" customFormat="false" ht="12" hidden="false" customHeight="false" outlineLevel="0" collapsed="false">
      <c r="B142" s="197"/>
      <c r="C142" s="197"/>
      <c r="D142" s="197"/>
      <c r="E142" s="197"/>
      <c r="F142" s="197"/>
      <c r="G142" s="197"/>
      <c r="H142" s="197"/>
      <c r="I142" s="197"/>
      <c r="J142" s="197"/>
      <c r="K142" s="197"/>
      <c r="L142" s="197"/>
      <c r="M142" s="197"/>
      <c r="N142" s="197"/>
      <c r="O142" s="197"/>
      <c r="P142" s="197"/>
    </row>
    <row r="143" customFormat="false" ht="12" hidden="false" customHeight="false" outlineLevel="0" collapsed="false">
      <c r="B143" s="197"/>
      <c r="C143" s="197"/>
      <c r="D143" s="197"/>
      <c r="E143" s="197"/>
      <c r="F143" s="197"/>
      <c r="G143" s="197"/>
      <c r="H143" s="197"/>
      <c r="I143" s="197"/>
      <c r="J143" s="197"/>
      <c r="K143" s="197"/>
      <c r="L143" s="197"/>
      <c r="M143" s="197"/>
      <c r="N143" s="197"/>
      <c r="O143" s="197"/>
      <c r="P143" s="197"/>
    </row>
    <row r="144" customFormat="false" ht="12" hidden="false" customHeight="false" outlineLevel="0" collapsed="false">
      <c r="B144" s="197"/>
      <c r="C144" s="197"/>
      <c r="D144" s="197"/>
      <c r="E144" s="197"/>
      <c r="F144" s="197"/>
      <c r="G144" s="197"/>
      <c r="H144" s="197"/>
      <c r="I144" s="197"/>
      <c r="J144" s="197"/>
      <c r="K144" s="197"/>
      <c r="L144" s="197"/>
      <c r="M144" s="197"/>
      <c r="N144" s="197"/>
      <c r="O144" s="197"/>
      <c r="P144" s="197"/>
    </row>
    <row r="145" customFormat="false" ht="12" hidden="false" customHeight="false" outlineLevel="0" collapsed="false">
      <c r="B145" s="197"/>
      <c r="C145" s="197"/>
      <c r="D145" s="197"/>
      <c r="E145" s="197"/>
      <c r="F145" s="197"/>
      <c r="G145" s="197"/>
      <c r="H145" s="197"/>
      <c r="I145" s="197"/>
      <c r="J145" s="197"/>
      <c r="K145" s="197"/>
      <c r="L145" s="197"/>
      <c r="M145" s="197"/>
      <c r="N145" s="197"/>
      <c r="O145" s="197"/>
      <c r="P145" s="197"/>
    </row>
    <row r="146" customFormat="false" ht="12" hidden="false" customHeight="false" outlineLevel="0" collapsed="false">
      <c r="B146" s="197"/>
      <c r="C146" s="197"/>
      <c r="D146" s="197"/>
      <c r="E146" s="197"/>
      <c r="F146" s="197"/>
      <c r="G146" s="197"/>
      <c r="H146" s="197"/>
      <c r="I146" s="197"/>
      <c r="J146" s="197"/>
      <c r="K146" s="197"/>
      <c r="L146" s="197"/>
      <c r="M146" s="197"/>
      <c r="N146" s="197"/>
      <c r="O146" s="197"/>
      <c r="P146" s="197"/>
    </row>
    <row r="147" customFormat="false" ht="12" hidden="false" customHeight="false" outlineLevel="0" collapsed="false">
      <c r="B147" s="197"/>
      <c r="C147" s="197"/>
      <c r="D147" s="197"/>
      <c r="E147" s="197"/>
      <c r="F147" s="197"/>
      <c r="G147" s="197"/>
      <c r="H147" s="197"/>
      <c r="I147" s="197"/>
      <c r="J147" s="197"/>
      <c r="K147" s="197"/>
      <c r="L147" s="197"/>
      <c r="M147" s="197"/>
      <c r="N147" s="197"/>
      <c r="O147" s="197"/>
      <c r="P147" s="197"/>
    </row>
    <row r="148" customFormat="false" ht="12" hidden="false" customHeight="false" outlineLevel="0" collapsed="false">
      <c r="B148" s="197"/>
      <c r="C148" s="197"/>
      <c r="D148" s="197"/>
      <c r="E148" s="197"/>
      <c r="F148" s="197"/>
      <c r="G148" s="197"/>
      <c r="H148" s="197"/>
      <c r="I148" s="197"/>
      <c r="J148" s="197"/>
      <c r="K148" s="197"/>
      <c r="L148" s="197"/>
      <c r="M148" s="197"/>
      <c r="N148" s="197"/>
      <c r="O148" s="197"/>
      <c r="P148" s="197"/>
    </row>
    <row r="149" customFormat="false" ht="12" hidden="false" customHeight="false" outlineLevel="0" collapsed="false">
      <c r="B149" s="197"/>
      <c r="C149" s="197"/>
      <c r="D149" s="197"/>
      <c r="E149" s="197"/>
      <c r="F149" s="197"/>
      <c r="G149" s="197"/>
      <c r="H149" s="197"/>
      <c r="I149" s="197"/>
      <c r="J149" s="197"/>
      <c r="K149" s="197"/>
      <c r="L149" s="197"/>
      <c r="M149" s="197"/>
      <c r="N149" s="197"/>
      <c r="O149" s="197"/>
      <c r="P149" s="197"/>
    </row>
    <row r="150" customFormat="false" ht="12" hidden="false" customHeight="false" outlineLevel="0" collapsed="false">
      <c r="B150" s="197"/>
      <c r="C150" s="197"/>
      <c r="D150" s="197"/>
      <c r="E150" s="197"/>
      <c r="F150" s="197"/>
      <c r="G150" s="197"/>
      <c r="H150" s="197"/>
      <c r="I150" s="197"/>
      <c r="J150" s="197"/>
      <c r="K150" s="197"/>
      <c r="L150" s="197"/>
      <c r="M150" s="197"/>
      <c r="N150" s="197"/>
      <c r="O150" s="197"/>
      <c r="P150" s="197"/>
    </row>
    <row r="151" customFormat="false" ht="12" hidden="false" customHeight="false" outlineLevel="0" collapsed="false">
      <c r="B151" s="197"/>
      <c r="C151" s="197"/>
      <c r="D151" s="197"/>
      <c r="E151" s="197"/>
      <c r="F151" s="197"/>
      <c r="G151" s="197"/>
      <c r="H151" s="197"/>
      <c r="I151" s="197"/>
      <c r="J151" s="197"/>
      <c r="K151" s="197"/>
      <c r="L151" s="197"/>
      <c r="M151" s="197"/>
      <c r="N151" s="197"/>
      <c r="O151" s="197"/>
      <c r="P151" s="197"/>
    </row>
    <row r="152" customFormat="false" ht="12" hidden="false" customHeight="false" outlineLevel="0" collapsed="false">
      <c r="B152" s="197"/>
      <c r="C152" s="197"/>
      <c r="D152" s="197"/>
      <c r="E152" s="197"/>
      <c r="F152" s="197"/>
      <c r="G152" s="197"/>
      <c r="H152" s="197"/>
      <c r="I152" s="197"/>
      <c r="J152" s="197"/>
      <c r="K152" s="197"/>
      <c r="L152" s="197"/>
      <c r="M152" s="197"/>
      <c r="N152" s="197"/>
      <c r="O152" s="197"/>
      <c r="P152" s="197"/>
    </row>
    <row r="153" customFormat="false" ht="12" hidden="false" customHeight="false" outlineLevel="0" collapsed="false">
      <c r="B153" s="197"/>
      <c r="C153" s="197"/>
      <c r="D153" s="197"/>
      <c r="E153" s="197"/>
      <c r="F153" s="197"/>
      <c r="G153" s="197"/>
      <c r="H153" s="197"/>
      <c r="I153" s="197"/>
      <c r="J153" s="197"/>
      <c r="K153" s="197"/>
      <c r="L153" s="197"/>
      <c r="M153" s="197"/>
      <c r="N153" s="197"/>
      <c r="O153" s="197"/>
      <c r="P153" s="197"/>
    </row>
    <row r="154" customFormat="false" ht="12" hidden="false" customHeight="false" outlineLevel="0" collapsed="false">
      <c r="B154" s="197"/>
      <c r="C154" s="197"/>
      <c r="D154" s="197"/>
      <c r="E154" s="197"/>
      <c r="F154" s="197"/>
      <c r="G154" s="197"/>
      <c r="H154" s="197"/>
      <c r="I154" s="197"/>
      <c r="J154" s="197"/>
      <c r="K154" s="197"/>
      <c r="L154" s="197"/>
      <c r="M154" s="197"/>
      <c r="N154" s="197"/>
      <c r="O154" s="197"/>
      <c r="P154" s="197"/>
    </row>
    <row r="155" customFormat="false" ht="12" hidden="false" customHeight="false" outlineLevel="0" collapsed="false">
      <c r="B155" s="197"/>
      <c r="C155" s="197"/>
      <c r="D155" s="197"/>
      <c r="E155" s="197"/>
      <c r="F155" s="197"/>
      <c r="G155" s="197"/>
      <c r="H155" s="197"/>
      <c r="I155" s="197"/>
      <c r="J155" s="197"/>
      <c r="K155" s="197"/>
      <c r="L155" s="197"/>
      <c r="M155" s="197"/>
      <c r="N155" s="197"/>
      <c r="O155" s="197"/>
      <c r="P155" s="197"/>
    </row>
    <row r="156" customFormat="false" ht="12" hidden="false" customHeight="false" outlineLevel="0" collapsed="false">
      <c r="B156" s="197"/>
      <c r="C156" s="197"/>
      <c r="D156" s="197"/>
      <c r="E156" s="197"/>
      <c r="F156" s="197"/>
      <c r="G156" s="197"/>
      <c r="H156" s="197"/>
      <c r="I156" s="197"/>
      <c r="J156" s="197"/>
      <c r="K156" s="197"/>
      <c r="L156" s="197"/>
      <c r="M156" s="197"/>
      <c r="N156" s="197"/>
      <c r="O156" s="197"/>
      <c r="P156" s="197"/>
    </row>
    <row r="157" customFormat="false" ht="12" hidden="false" customHeight="false" outlineLevel="0" collapsed="false">
      <c r="B157" s="197"/>
      <c r="C157" s="197"/>
      <c r="D157" s="197"/>
      <c r="E157" s="197"/>
      <c r="F157" s="197"/>
      <c r="G157" s="197"/>
      <c r="H157" s="197"/>
      <c r="I157" s="197"/>
      <c r="J157" s="197"/>
      <c r="K157" s="197"/>
      <c r="L157" s="197"/>
      <c r="M157" s="197"/>
      <c r="N157" s="197"/>
      <c r="O157" s="197"/>
      <c r="P157" s="197"/>
    </row>
    <row r="158" customFormat="false" ht="12" hidden="false" customHeight="false" outlineLevel="0" collapsed="false">
      <c r="B158" s="197"/>
      <c r="C158" s="197"/>
      <c r="D158" s="197"/>
      <c r="E158" s="197"/>
      <c r="F158" s="197"/>
      <c r="G158" s="197"/>
      <c r="H158" s="197"/>
      <c r="I158" s="197"/>
      <c r="J158" s="197"/>
      <c r="K158" s="197"/>
      <c r="L158" s="197"/>
      <c r="M158" s="197"/>
      <c r="N158" s="197"/>
      <c r="O158" s="197"/>
      <c r="P158" s="197"/>
    </row>
    <row r="159" customFormat="false" ht="12" hidden="false" customHeight="false" outlineLevel="0" collapsed="false">
      <c r="B159" s="197"/>
      <c r="C159" s="197"/>
      <c r="D159" s="197"/>
      <c r="E159" s="197"/>
      <c r="F159" s="197"/>
      <c r="G159" s="197"/>
      <c r="H159" s="197"/>
      <c r="I159" s="197"/>
      <c r="J159" s="197"/>
      <c r="K159" s="197"/>
      <c r="L159" s="197"/>
      <c r="M159" s="197"/>
      <c r="N159" s="197"/>
      <c r="O159" s="197"/>
      <c r="P159" s="197"/>
    </row>
    <row r="160" customFormat="false" ht="12" hidden="false" customHeight="false" outlineLevel="0" collapsed="false">
      <c r="B160" s="197"/>
      <c r="C160" s="197"/>
      <c r="D160" s="197"/>
      <c r="E160" s="197"/>
      <c r="F160" s="197"/>
      <c r="G160" s="197"/>
      <c r="H160" s="197"/>
      <c r="I160" s="197"/>
      <c r="J160" s="197"/>
      <c r="K160" s="197"/>
      <c r="L160" s="197"/>
      <c r="M160" s="197"/>
      <c r="N160" s="197"/>
      <c r="O160" s="197"/>
      <c r="P160" s="197"/>
    </row>
    <row r="161" customFormat="false" ht="12" hidden="false" customHeight="false" outlineLevel="0" collapsed="false">
      <c r="B161" s="197"/>
      <c r="C161" s="197"/>
      <c r="D161" s="197"/>
      <c r="E161" s="197"/>
      <c r="F161" s="197"/>
      <c r="G161" s="197"/>
      <c r="H161" s="197"/>
      <c r="I161" s="197"/>
      <c r="J161" s="197"/>
      <c r="K161" s="197"/>
      <c r="L161" s="197"/>
      <c r="M161" s="197"/>
      <c r="N161" s="197"/>
      <c r="O161" s="197"/>
      <c r="P161" s="197"/>
    </row>
    <row r="162" customFormat="false" ht="12" hidden="false" customHeight="false" outlineLevel="0" collapsed="false">
      <c r="B162" s="197"/>
      <c r="C162" s="197"/>
      <c r="D162" s="197"/>
      <c r="E162" s="197"/>
      <c r="F162" s="197"/>
      <c r="G162" s="197"/>
      <c r="H162" s="197"/>
      <c r="I162" s="197"/>
      <c r="J162" s="197"/>
      <c r="K162" s="197"/>
      <c r="L162" s="197"/>
      <c r="M162" s="197"/>
      <c r="N162" s="197"/>
      <c r="O162" s="197"/>
      <c r="P162" s="197"/>
    </row>
    <row r="163" customFormat="false" ht="12" hidden="false" customHeight="false" outlineLevel="0" collapsed="false">
      <c r="B163" s="197"/>
      <c r="C163" s="197"/>
      <c r="D163" s="197"/>
      <c r="E163" s="197"/>
      <c r="F163" s="197"/>
      <c r="G163" s="197"/>
      <c r="H163" s="197"/>
      <c r="I163" s="197"/>
      <c r="J163" s="197"/>
      <c r="K163" s="197"/>
      <c r="L163" s="197"/>
      <c r="M163" s="197"/>
      <c r="N163" s="197"/>
      <c r="O163" s="197"/>
      <c r="P163" s="197"/>
    </row>
    <row r="164" customFormat="false" ht="12" hidden="false" customHeight="false" outlineLevel="0" collapsed="false">
      <c r="B164" s="197"/>
      <c r="C164" s="197"/>
      <c r="D164" s="197"/>
      <c r="E164" s="197"/>
      <c r="F164" s="197"/>
      <c r="G164" s="197"/>
      <c r="H164" s="197"/>
      <c r="I164" s="197"/>
      <c r="J164" s="197"/>
      <c r="K164" s="197"/>
      <c r="L164" s="197"/>
      <c r="M164" s="197"/>
      <c r="N164" s="197"/>
      <c r="O164" s="197"/>
      <c r="P164" s="197"/>
    </row>
    <row r="165" customFormat="false" ht="12" hidden="false" customHeight="false" outlineLevel="0" collapsed="false">
      <c r="B165" s="197"/>
      <c r="C165" s="197"/>
      <c r="D165" s="197"/>
      <c r="E165" s="197"/>
      <c r="F165" s="197"/>
      <c r="G165" s="197"/>
      <c r="H165" s="197"/>
      <c r="I165" s="197"/>
      <c r="J165" s="197"/>
      <c r="K165" s="197"/>
      <c r="L165" s="197"/>
      <c r="M165" s="197"/>
      <c r="N165" s="197"/>
      <c r="O165" s="197"/>
      <c r="P165" s="197"/>
    </row>
    <row r="166" customFormat="false" ht="12" hidden="false" customHeight="false" outlineLevel="0" collapsed="false">
      <c r="B166" s="197"/>
      <c r="C166" s="197"/>
      <c r="D166" s="197"/>
      <c r="E166" s="197"/>
      <c r="F166" s="197"/>
      <c r="G166" s="197"/>
      <c r="H166" s="197"/>
      <c r="I166" s="197"/>
      <c r="J166" s="197"/>
      <c r="K166" s="197"/>
      <c r="L166" s="197"/>
      <c r="M166" s="197"/>
      <c r="N166" s="197"/>
      <c r="O166" s="197"/>
      <c r="P166" s="197"/>
    </row>
    <row r="167" customFormat="false" ht="12" hidden="false" customHeight="false" outlineLevel="0" collapsed="false">
      <c r="B167" s="197"/>
      <c r="C167" s="197"/>
      <c r="D167" s="197"/>
      <c r="E167" s="197"/>
      <c r="F167" s="197"/>
      <c r="G167" s="197"/>
      <c r="H167" s="197"/>
      <c r="I167" s="197"/>
      <c r="J167" s="197"/>
      <c r="K167" s="197"/>
      <c r="L167" s="197"/>
      <c r="M167" s="197"/>
      <c r="N167" s="197"/>
      <c r="O167" s="197"/>
      <c r="P167" s="197"/>
    </row>
    <row r="168" customFormat="false" ht="12" hidden="false" customHeight="false" outlineLevel="0" collapsed="false">
      <c r="B168" s="197"/>
      <c r="C168" s="197"/>
      <c r="D168" s="197"/>
      <c r="E168" s="197"/>
      <c r="F168" s="197"/>
      <c r="G168" s="197"/>
      <c r="H168" s="197"/>
      <c r="I168" s="197"/>
      <c r="J168" s="197"/>
      <c r="K168" s="197"/>
      <c r="L168" s="197"/>
      <c r="M168" s="197"/>
      <c r="N168" s="197"/>
      <c r="O168" s="197"/>
      <c r="P168" s="197"/>
    </row>
    <row r="169" customFormat="false" ht="12" hidden="false" customHeight="false" outlineLevel="0" collapsed="false">
      <c r="B169" s="197"/>
      <c r="C169" s="197"/>
      <c r="D169" s="197"/>
      <c r="E169" s="197"/>
      <c r="F169" s="197"/>
      <c r="G169" s="197"/>
      <c r="H169" s="197"/>
      <c r="I169" s="197"/>
      <c r="J169" s="197"/>
      <c r="K169" s="197"/>
      <c r="L169" s="197"/>
      <c r="M169" s="197"/>
      <c r="N169" s="197"/>
      <c r="O169" s="197"/>
      <c r="P169" s="197"/>
    </row>
    <row r="170" customFormat="false" ht="12" hidden="false" customHeight="false" outlineLevel="0" collapsed="false">
      <c r="B170" s="197"/>
      <c r="C170" s="197"/>
      <c r="D170" s="197"/>
      <c r="E170" s="197"/>
      <c r="F170" s="197"/>
      <c r="G170" s="197"/>
      <c r="H170" s="197"/>
      <c r="I170" s="197"/>
      <c r="J170" s="197"/>
      <c r="K170" s="197"/>
      <c r="L170" s="197"/>
      <c r="M170" s="197"/>
      <c r="N170" s="197"/>
      <c r="O170" s="197"/>
      <c r="P170" s="197"/>
    </row>
    <row r="171" customFormat="false" ht="12" hidden="false" customHeight="false" outlineLevel="0" collapsed="false">
      <c r="B171" s="197"/>
      <c r="C171" s="197"/>
      <c r="D171" s="197"/>
      <c r="E171" s="197"/>
      <c r="F171" s="197"/>
      <c r="G171" s="197"/>
      <c r="H171" s="197"/>
      <c r="I171" s="197"/>
      <c r="J171" s="197"/>
      <c r="K171" s="197"/>
      <c r="L171" s="197"/>
      <c r="M171" s="197"/>
      <c r="N171" s="197"/>
      <c r="O171" s="197"/>
      <c r="P171" s="197"/>
    </row>
    <row r="172" customFormat="false" ht="12" hidden="false" customHeight="false" outlineLevel="0" collapsed="false">
      <c r="B172" s="197"/>
      <c r="C172" s="197"/>
      <c r="D172" s="197"/>
      <c r="E172" s="197"/>
      <c r="F172" s="197"/>
      <c r="G172" s="197"/>
      <c r="H172" s="197"/>
      <c r="I172" s="197"/>
      <c r="J172" s="197"/>
      <c r="K172" s="197"/>
      <c r="L172" s="197"/>
      <c r="M172" s="197"/>
      <c r="N172" s="197"/>
      <c r="O172" s="197"/>
      <c r="P172" s="197"/>
    </row>
    <row r="173" customFormat="false" ht="12" hidden="false" customHeight="false" outlineLevel="0" collapsed="false">
      <c r="B173" s="197"/>
      <c r="C173" s="197"/>
      <c r="D173" s="197"/>
      <c r="E173" s="197"/>
      <c r="F173" s="197"/>
      <c r="G173" s="197"/>
      <c r="H173" s="197"/>
      <c r="I173" s="197"/>
      <c r="J173" s="197"/>
      <c r="K173" s="197"/>
      <c r="L173" s="197"/>
      <c r="M173" s="197"/>
      <c r="N173" s="197"/>
      <c r="O173" s="197"/>
      <c r="P173" s="197"/>
    </row>
    <row r="174" customFormat="false" ht="12" hidden="false" customHeight="false" outlineLevel="0" collapsed="false">
      <c r="B174" s="197"/>
      <c r="C174" s="197"/>
      <c r="D174" s="197"/>
      <c r="E174" s="197"/>
      <c r="F174" s="197"/>
      <c r="G174" s="197"/>
      <c r="H174" s="197"/>
      <c r="I174" s="197"/>
      <c r="J174" s="197"/>
      <c r="K174" s="197"/>
      <c r="L174" s="197"/>
      <c r="M174" s="197"/>
      <c r="N174" s="197"/>
      <c r="O174" s="197"/>
      <c r="P174" s="197"/>
    </row>
    <row r="175" customFormat="false" ht="12" hidden="false" customHeight="false" outlineLevel="0" collapsed="false">
      <c r="B175" s="197"/>
      <c r="C175" s="197"/>
      <c r="D175" s="197"/>
      <c r="E175" s="197"/>
      <c r="F175" s="197"/>
      <c r="G175" s="197"/>
      <c r="H175" s="197"/>
      <c r="I175" s="197"/>
      <c r="J175" s="197"/>
      <c r="K175" s="197"/>
      <c r="L175" s="197"/>
      <c r="M175" s="197"/>
      <c r="N175" s="197"/>
      <c r="O175" s="197"/>
      <c r="P175" s="197"/>
    </row>
    <row r="176" customFormat="false" ht="12" hidden="false" customHeight="false" outlineLevel="0" collapsed="false">
      <c r="B176" s="197"/>
      <c r="C176" s="197"/>
      <c r="D176" s="197"/>
      <c r="E176" s="197"/>
      <c r="F176" s="197"/>
      <c r="G176" s="197"/>
      <c r="H176" s="197"/>
      <c r="I176" s="197"/>
      <c r="J176" s="197"/>
      <c r="K176" s="197"/>
      <c r="L176" s="197"/>
      <c r="M176" s="197"/>
      <c r="N176" s="197"/>
      <c r="O176" s="197"/>
      <c r="P176" s="197"/>
    </row>
    <row r="177" customFormat="false" ht="12" hidden="false" customHeight="false" outlineLevel="0" collapsed="false">
      <c r="B177" s="197"/>
      <c r="C177" s="197"/>
      <c r="D177" s="197"/>
      <c r="E177" s="197"/>
      <c r="F177" s="197"/>
      <c r="G177" s="197"/>
      <c r="H177" s="197"/>
      <c r="I177" s="197"/>
      <c r="J177" s="197"/>
      <c r="K177" s="197"/>
      <c r="L177" s="197"/>
      <c r="M177" s="197"/>
      <c r="N177" s="197"/>
      <c r="O177" s="197"/>
      <c r="P177" s="197"/>
    </row>
    <row r="178" customFormat="false" ht="12" hidden="false" customHeight="false" outlineLevel="0" collapsed="false">
      <c r="B178" s="197"/>
      <c r="C178" s="197"/>
      <c r="D178" s="197"/>
      <c r="E178" s="197"/>
      <c r="F178" s="197"/>
      <c r="G178" s="197"/>
      <c r="H178" s="197"/>
      <c r="I178" s="197"/>
      <c r="J178" s="197"/>
      <c r="K178" s="197"/>
      <c r="L178" s="197"/>
      <c r="M178" s="197"/>
      <c r="N178" s="197"/>
      <c r="O178" s="197"/>
      <c r="P178" s="197"/>
    </row>
    <row r="179" customFormat="false" ht="12" hidden="false" customHeight="false" outlineLevel="0" collapsed="false">
      <c r="B179" s="197"/>
      <c r="C179" s="197"/>
      <c r="D179" s="197"/>
      <c r="E179" s="197"/>
      <c r="F179" s="197"/>
      <c r="G179" s="197"/>
      <c r="H179" s="197"/>
      <c r="I179" s="197"/>
      <c r="J179" s="197"/>
      <c r="K179" s="197"/>
      <c r="L179" s="197"/>
      <c r="M179" s="197"/>
      <c r="N179" s="197"/>
      <c r="O179" s="197"/>
      <c r="P179" s="197"/>
    </row>
    <row r="180" customFormat="false" ht="12" hidden="false" customHeight="false" outlineLevel="0" collapsed="false">
      <c r="B180" s="197"/>
      <c r="C180" s="197"/>
      <c r="D180" s="197"/>
      <c r="E180" s="197"/>
      <c r="F180" s="197"/>
      <c r="G180" s="197"/>
      <c r="H180" s="197"/>
      <c r="I180" s="197"/>
      <c r="J180" s="197"/>
      <c r="K180" s="197"/>
      <c r="L180" s="197"/>
      <c r="M180" s="197"/>
      <c r="N180" s="197"/>
      <c r="O180" s="197"/>
      <c r="P180" s="197"/>
    </row>
    <row r="181" customFormat="false" ht="12" hidden="false" customHeight="false" outlineLevel="0" collapsed="false">
      <c r="B181" s="197"/>
      <c r="C181" s="197"/>
      <c r="D181" s="197"/>
      <c r="E181" s="197"/>
      <c r="F181" s="197"/>
      <c r="G181" s="197"/>
      <c r="H181" s="197"/>
      <c r="I181" s="197"/>
      <c r="J181" s="197"/>
      <c r="K181" s="197"/>
      <c r="L181" s="197"/>
      <c r="M181" s="197"/>
      <c r="N181" s="197"/>
      <c r="O181" s="197"/>
      <c r="P181" s="197"/>
    </row>
    <row r="182" customFormat="false" ht="12" hidden="false" customHeight="false" outlineLevel="0" collapsed="false">
      <c r="B182" s="197"/>
      <c r="C182" s="197"/>
      <c r="D182" s="197"/>
      <c r="E182" s="197"/>
      <c r="F182" s="197"/>
      <c r="G182" s="197"/>
      <c r="H182" s="197"/>
      <c r="I182" s="197"/>
      <c r="J182" s="197"/>
      <c r="K182" s="197"/>
      <c r="L182" s="197"/>
      <c r="M182" s="197"/>
      <c r="N182" s="197"/>
      <c r="O182" s="197"/>
      <c r="P182" s="197"/>
    </row>
    <row r="183" customFormat="false" ht="12" hidden="false" customHeight="false" outlineLevel="0" collapsed="false">
      <c r="B183" s="197"/>
      <c r="C183" s="197"/>
      <c r="D183" s="197"/>
      <c r="E183" s="197"/>
      <c r="F183" s="197"/>
      <c r="G183" s="197"/>
      <c r="H183" s="197"/>
      <c r="I183" s="197"/>
      <c r="J183" s="197"/>
      <c r="K183" s="197"/>
      <c r="L183" s="197"/>
      <c r="M183" s="197"/>
      <c r="N183" s="197"/>
      <c r="O183" s="197"/>
      <c r="P183" s="197"/>
    </row>
    <row r="184" customFormat="false" ht="12" hidden="false" customHeight="false" outlineLevel="0" collapsed="false">
      <c r="B184" s="197"/>
      <c r="C184" s="197"/>
      <c r="D184" s="197"/>
      <c r="E184" s="197"/>
      <c r="F184" s="197"/>
      <c r="G184" s="197"/>
      <c r="H184" s="197"/>
      <c r="I184" s="197"/>
      <c r="J184" s="197"/>
      <c r="K184" s="197"/>
      <c r="L184" s="197"/>
      <c r="M184" s="197"/>
      <c r="N184" s="197"/>
      <c r="O184" s="197"/>
      <c r="P184" s="197"/>
    </row>
    <row r="185" customFormat="false" ht="12" hidden="false" customHeight="false" outlineLevel="0" collapsed="false">
      <c r="B185" s="197"/>
      <c r="C185" s="197"/>
      <c r="D185" s="197"/>
      <c r="E185" s="197"/>
      <c r="F185" s="197"/>
      <c r="G185" s="197"/>
      <c r="H185" s="197"/>
      <c r="I185" s="197"/>
      <c r="J185" s="197"/>
      <c r="K185" s="197"/>
      <c r="L185" s="197"/>
      <c r="M185" s="197"/>
      <c r="N185" s="197"/>
      <c r="O185" s="197"/>
      <c r="P185" s="197"/>
    </row>
    <row r="186" customFormat="false" ht="12" hidden="false" customHeight="false" outlineLevel="0" collapsed="false">
      <c r="B186" s="197"/>
      <c r="C186" s="197"/>
      <c r="D186" s="197"/>
      <c r="E186" s="197"/>
      <c r="F186" s="197"/>
      <c r="G186" s="197"/>
      <c r="H186" s="197"/>
      <c r="I186" s="197"/>
      <c r="J186" s="197"/>
      <c r="K186" s="197"/>
      <c r="L186" s="197"/>
      <c r="M186" s="197"/>
      <c r="N186" s="197"/>
      <c r="O186" s="197"/>
      <c r="P186" s="197"/>
    </row>
    <row r="187" customFormat="false" ht="12" hidden="false" customHeight="false" outlineLevel="0" collapsed="false">
      <c r="B187" s="197"/>
      <c r="C187" s="197"/>
      <c r="D187" s="197"/>
      <c r="E187" s="197"/>
      <c r="F187" s="197"/>
      <c r="G187" s="197"/>
      <c r="H187" s="197"/>
      <c r="I187" s="197"/>
      <c r="J187" s="197"/>
      <c r="K187" s="197"/>
      <c r="L187" s="197"/>
      <c r="M187" s="197"/>
      <c r="N187" s="197"/>
      <c r="O187" s="197"/>
      <c r="P187" s="197"/>
    </row>
    <row r="188" customFormat="false" ht="12" hidden="false" customHeight="false" outlineLevel="0" collapsed="false">
      <c r="B188" s="197"/>
      <c r="C188" s="197"/>
      <c r="D188" s="197"/>
      <c r="E188" s="197"/>
      <c r="F188" s="197"/>
      <c r="G188" s="197"/>
      <c r="H188" s="197"/>
      <c r="I188" s="197"/>
      <c r="J188" s="197"/>
      <c r="K188" s="197"/>
      <c r="L188" s="197"/>
      <c r="M188" s="197"/>
      <c r="N188" s="197"/>
      <c r="O188" s="197"/>
      <c r="P188" s="197"/>
    </row>
    <row r="189" customFormat="false" ht="12" hidden="false" customHeight="false" outlineLevel="0" collapsed="false">
      <c r="B189" s="197"/>
      <c r="C189" s="197"/>
      <c r="D189" s="197"/>
      <c r="E189" s="197"/>
      <c r="F189" s="197"/>
      <c r="G189" s="197"/>
      <c r="H189" s="197"/>
      <c r="I189" s="197"/>
      <c r="J189" s="197"/>
      <c r="K189" s="197"/>
      <c r="L189" s="197"/>
      <c r="M189" s="197"/>
      <c r="N189" s="197"/>
      <c r="O189" s="197"/>
      <c r="P189" s="197"/>
    </row>
    <row r="190" customFormat="false" ht="12" hidden="false" customHeight="false" outlineLevel="0" collapsed="false">
      <c r="B190" s="197"/>
      <c r="C190" s="197"/>
      <c r="D190" s="197"/>
      <c r="E190" s="197"/>
      <c r="F190" s="197"/>
      <c r="G190" s="197"/>
      <c r="H190" s="197"/>
      <c r="I190" s="197"/>
      <c r="J190" s="197"/>
      <c r="K190" s="197"/>
      <c r="L190" s="197"/>
      <c r="M190" s="197"/>
      <c r="N190" s="197"/>
      <c r="O190" s="197"/>
      <c r="P190" s="197"/>
    </row>
    <row r="191" customFormat="false" ht="12" hidden="false" customHeight="false" outlineLevel="0" collapsed="false">
      <c r="B191" s="197"/>
      <c r="C191" s="197"/>
      <c r="D191" s="197"/>
      <c r="E191" s="197"/>
      <c r="F191" s="197"/>
      <c r="G191" s="197"/>
      <c r="H191" s="197"/>
      <c r="I191" s="197"/>
      <c r="J191" s="197"/>
      <c r="K191" s="197"/>
      <c r="L191" s="197"/>
      <c r="M191" s="197"/>
      <c r="N191" s="197"/>
      <c r="O191" s="197"/>
      <c r="P191" s="197"/>
    </row>
    <row r="192" customFormat="false" ht="12" hidden="false" customHeight="false" outlineLevel="0" collapsed="false">
      <c r="B192" s="197"/>
      <c r="C192" s="197"/>
      <c r="D192" s="197"/>
      <c r="E192" s="197"/>
      <c r="F192" s="197"/>
      <c r="G192" s="197"/>
      <c r="H192" s="197"/>
      <c r="I192" s="197"/>
      <c r="J192" s="197"/>
      <c r="K192" s="197"/>
      <c r="L192" s="197"/>
      <c r="M192" s="197"/>
      <c r="N192" s="197"/>
      <c r="O192" s="197"/>
      <c r="P192" s="197"/>
    </row>
    <row r="193" customFormat="false" ht="12" hidden="false" customHeight="false" outlineLevel="0" collapsed="false">
      <c r="B193" s="197"/>
      <c r="C193" s="197"/>
      <c r="D193" s="197"/>
      <c r="E193" s="197"/>
      <c r="F193" s="197"/>
      <c r="G193" s="197"/>
      <c r="H193" s="197"/>
      <c r="I193" s="197"/>
      <c r="J193" s="197"/>
      <c r="K193" s="197"/>
      <c r="L193" s="197"/>
      <c r="M193" s="197"/>
      <c r="N193" s="197"/>
      <c r="O193" s="197"/>
      <c r="P193" s="197"/>
    </row>
    <row r="194" customFormat="false" ht="12" hidden="false" customHeight="false" outlineLevel="0" collapsed="false">
      <c r="B194" s="197"/>
      <c r="C194" s="197"/>
      <c r="D194" s="197"/>
      <c r="E194" s="197"/>
      <c r="F194" s="197"/>
      <c r="G194" s="197"/>
      <c r="H194" s="197"/>
      <c r="I194" s="197"/>
      <c r="J194" s="197"/>
      <c r="K194" s="197"/>
      <c r="L194" s="197"/>
      <c r="M194" s="197"/>
      <c r="N194" s="197"/>
      <c r="O194" s="197"/>
      <c r="P194" s="197"/>
    </row>
    <row r="195" customFormat="false" ht="12" hidden="false" customHeight="false" outlineLevel="0" collapsed="false">
      <c r="B195" s="197"/>
      <c r="C195" s="197"/>
      <c r="D195" s="197"/>
      <c r="E195" s="197"/>
      <c r="F195" s="197"/>
      <c r="G195" s="197"/>
      <c r="H195" s="197"/>
      <c r="I195" s="197"/>
      <c r="J195" s="197"/>
      <c r="K195" s="197"/>
      <c r="L195" s="197"/>
      <c r="M195" s="197"/>
      <c r="N195" s="197"/>
      <c r="O195" s="197"/>
      <c r="P195" s="197"/>
    </row>
    <row r="196" customFormat="false" ht="12" hidden="false" customHeight="false" outlineLevel="0" collapsed="false">
      <c r="B196" s="197"/>
      <c r="C196" s="197"/>
      <c r="D196" s="197"/>
      <c r="E196" s="197"/>
      <c r="F196" s="197"/>
      <c r="G196" s="197"/>
      <c r="H196" s="197"/>
      <c r="I196" s="197"/>
      <c r="J196" s="197"/>
      <c r="K196" s="197"/>
      <c r="L196" s="197"/>
      <c r="M196" s="197"/>
      <c r="N196" s="197"/>
      <c r="O196" s="197"/>
      <c r="P196" s="197"/>
    </row>
    <row r="197" customFormat="false" ht="12" hidden="false" customHeight="false" outlineLevel="0" collapsed="false">
      <c r="B197" s="197"/>
      <c r="C197" s="197"/>
      <c r="D197" s="197"/>
      <c r="E197" s="197"/>
      <c r="F197" s="197"/>
      <c r="G197" s="197"/>
      <c r="H197" s="197"/>
      <c r="I197" s="197"/>
      <c r="J197" s="197"/>
      <c r="K197" s="197"/>
      <c r="L197" s="197"/>
      <c r="M197" s="197"/>
      <c r="N197" s="197"/>
      <c r="O197" s="197"/>
      <c r="P197" s="197"/>
    </row>
    <row r="198" customFormat="false" ht="12" hidden="false" customHeight="false" outlineLevel="0" collapsed="false">
      <c r="B198" s="197"/>
      <c r="C198" s="197"/>
      <c r="D198" s="197"/>
      <c r="E198" s="197"/>
      <c r="F198" s="197"/>
      <c r="G198" s="197"/>
      <c r="H198" s="197"/>
      <c r="I198" s="197"/>
      <c r="J198" s="197"/>
      <c r="K198" s="197"/>
      <c r="L198" s="197"/>
      <c r="M198" s="197"/>
      <c r="N198" s="197"/>
      <c r="O198" s="197"/>
      <c r="P198" s="197"/>
    </row>
    <row r="199" customFormat="false" ht="12" hidden="false" customHeight="false" outlineLevel="0" collapsed="false">
      <c r="B199" s="197"/>
      <c r="C199" s="197"/>
      <c r="D199" s="197"/>
      <c r="E199" s="197"/>
      <c r="F199" s="197"/>
      <c r="G199" s="197"/>
      <c r="H199" s="197"/>
      <c r="I199" s="197"/>
      <c r="J199" s="197"/>
      <c r="K199" s="197"/>
      <c r="L199" s="197"/>
      <c r="M199" s="197"/>
      <c r="N199" s="197"/>
      <c r="O199" s="197"/>
      <c r="P199" s="197"/>
    </row>
    <row r="200" customFormat="false" ht="12" hidden="false" customHeight="false" outlineLevel="0" collapsed="false">
      <c r="B200" s="197"/>
      <c r="C200" s="197"/>
      <c r="D200" s="197"/>
      <c r="E200" s="197"/>
      <c r="F200" s="197"/>
      <c r="G200" s="197"/>
      <c r="H200" s="197"/>
      <c r="I200" s="197"/>
      <c r="J200" s="197"/>
      <c r="K200" s="197"/>
      <c r="L200" s="197"/>
      <c r="M200" s="197"/>
      <c r="N200" s="197"/>
      <c r="O200" s="197"/>
      <c r="P200" s="197"/>
    </row>
    <row r="201" customFormat="false" ht="12" hidden="false" customHeight="false" outlineLevel="0" collapsed="false">
      <c r="B201" s="197"/>
      <c r="C201" s="197"/>
      <c r="D201" s="197"/>
      <c r="E201" s="197"/>
      <c r="F201" s="197"/>
      <c r="G201" s="197"/>
      <c r="H201" s="197"/>
      <c r="I201" s="197"/>
      <c r="J201" s="197"/>
      <c r="K201" s="197"/>
      <c r="L201" s="197"/>
      <c r="M201" s="197"/>
      <c r="N201" s="197"/>
      <c r="O201" s="197"/>
      <c r="P201" s="197"/>
    </row>
    <row r="202" customFormat="false" ht="12" hidden="false" customHeight="false" outlineLevel="0" collapsed="false">
      <c r="B202" s="197"/>
      <c r="C202" s="197"/>
      <c r="D202" s="197"/>
      <c r="E202" s="197"/>
      <c r="F202" s="197"/>
      <c r="G202" s="197"/>
      <c r="H202" s="197"/>
      <c r="I202" s="197"/>
      <c r="J202" s="197"/>
      <c r="K202" s="197"/>
      <c r="L202" s="197"/>
      <c r="M202" s="197"/>
      <c r="N202" s="197"/>
      <c r="O202" s="197"/>
      <c r="P202" s="197"/>
    </row>
    <row r="203" customFormat="false" ht="12" hidden="false" customHeight="false" outlineLevel="0" collapsed="false">
      <c r="B203" s="197"/>
      <c r="C203" s="197"/>
      <c r="D203" s="197"/>
      <c r="E203" s="197"/>
      <c r="F203" s="197"/>
      <c r="G203" s="197"/>
      <c r="H203" s="197"/>
      <c r="I203" s="197"/>
      <c r="J203" s="197"/>
      <c r="K203" s="197"/>
      <c r="L203" s="197"/>
      <c r="M203" s="197"/>
      <c r="N203" s="197"/>
      <c r="O203" s="197"/>
      <c r="P203" s="197"/>
    </row>
    <row r="204" customFormat="false" ht="12" hidden="false" customHeight="false" outlineLevel="0" collapsed="false">
      <c r="B204" s="197"/>
      <c r="C204" s="197"/>
      <c r="D204" s="197"/>
      <c r="E204" s="197"/>
      <c r="F204" s="197"/>
      <c r="G204" s="197"/>
      <c r="H204" s="197"/>
      <c r="I204" s="197"/>
      <c r="J204" s="197"/>
      <c r="K204" s="197"/>
      <c r="L204" s="197"/>
      <c r="M204" s="197"/>
      <c r="N204" s="197"/>
      <c r="O204" s="197"/>
      <c r="P204" s="197"/>
    </row>
    <row r="205" customFormat="false" ht="12" hidden="false" customHeight="false" outlineLevel="0" collapsed="false">
      <c r="B205" s="197"/>
      <c r="C205" s="197"/>
      <c r="D205" s="197"/>
      <c r="E205" s="197"/>
      <c r="F205" s="197"/>
      <c r="G205" s="197"/>
      <c r="H205" s="197"/>
      <c r="I205" s="197"/>
      <c r="J205" s="197"/>
      <c r="K205" s="197"/>
      <c r="L205" s="197"/>
      <c r="M205" s="197"/>
      <c r="N205" s="197"/>
      <c r="O205" s="197"/>
      <c r="P205" s="197"/>
    </row>
    <row r="206" customFormat="false" ht="12" hidden="false" customHeight="false" outlineLevel="0" collapsed="false">
      <c r="B206" s="197"/>
      <c r="C206" s="197"/>
      <c r="D206" s="197"/>
      <c r="E206" s="197"/>
      <c r="F206" s="197"/>
      <c r="G206" s="197"/>
      <c r="H206" s="197"/>
      <c r="I206" s="197"/>
      <c r="J206" s="197"/>
      <c r="K206" s="197"/>
      <c r="L206" s="197"/>
      <c r="M206" s="197"/>
      <c r="N206" s="197"/>
      <c r="O206" s="197"/>
      <c r="P206" s="197"/>
    </row>
    <row r="207" customFormat="false" ht="12" hidden="false" customHeight="false" outlineLevel="0" collapsed="false">
      <c r="B207" s="197"/>
      <c r="C207" s="197"/>
      <c r="D207" s="197"/>
      <c r="E207" s="197"/>
      <c r="F207" s="197"/>
      <c r="G207" s="197"/>
      <c r="H207" s="197"/>
      <c r="I207" s="197"/>
      <c r="J207" s="197"/>
      <c r="K207" s="197"/>
      <c r="L207" s="197"/>
      <c r="M207" s="197"/>
      <c r="N207" s="197"/>
      <c r="O207" s="197"/>
      <c r="P207" s="197"/>
    </row>
    <row r="208" customFormat="false" ht="12" hidden="false" customHeight="false" outlineLevel="0" collapsed="false">
      <c r="B208" s="197"/>
      <c r="C208" s="197"/>
      <c r="D208" s="197"/>
      <c r="E208" s="197"/>
      <c r="F208" s="197"/>
      <c r="G208" s="197"/>
      <c r="H208" s="197"/>
      <c r="I208" s="197"/>
      <c r="J208" s="197"/>
      <c r="K208" s="197"/>
      <c r="L208" s="197"/>
      <c r="M208" s="197"/>
      <c r="N208" s="197"/>
      <c r="O208" s="197"/>
      <c r="P208" s="197"/>
    </row>
    <row r="209" customFormat="false" ht="12" hidden="false" customHeight="false" outlineLevel="0" collapsed="false">
      <c r="B209" s="197"/>
      <c r="C209" s="197"/>
      <c r="D209" s="197"/>
      <c r="E209" s="197"/>
      <c r="F209" s="197"/>
      <c r="G209" s="197"/>
      <c r="H209" s="197"/>
      <c r="I209" s="197"/>
      <c r="J209" s="197"/>
      <c r="K209" s="197"/>
      <c r="L209" s="197"/>
      <c r="M209" s="197"/>
      <c r="N209" s="197"/>
      <c r="O209" s="197"/>
      <c r="P209" s="197"/>
    </row>
    <row r="210" customFormat="false" ht="12" hidden="false" customHeight="false" outlineLevel="0" collapsed="false">
      <c r="B210" s="197"/>
      <c r="C210" s="197"/>
      <c r="D210" s="197"/>
      <c r="E210" s="197"/>
      <c r="F210" s="197"/>
      <c r="G210" s="197"/>
      <c r="H210" s="197"/>
      <c r="I210" s="197"/>
      <c r="J210" s="197"/>
      <c r="K210" s="197"/>
      <c r="L210" s="197"/>
      <c r="M210" s="197"/>
      <c r="N210" s="197"/>
      <c r="O210" s="197"/>
      <c r="P210" s="197"/>
    </row>
    <row r="211" customFormat="false" ht="12" hidden="false" customHeight="false" outlineLevel="0" collapsed="false">
      <c r="B211" s="197"/>
      <c r="C211" s="197"/>
      <c r="D211" s="197"/>
      <c r="E211" s="197"/>
      <c r="F211" s="197"/>
      <c r="G211" s="197"/>
      <c r="H211" s="197"/>
      <c r="I211" s="197"/>
      <c r="J211" s="197"/>
      <c r="K211" s="197"/>
      <c r="L211" s="197"/>
      <c r="M211" s="197"/>
      <c r="N211" s="197"/>
      <c r="O211" s="197"/>
      <c r="P211" s="197"/>
    </row>
    <row r="212" customFormat="false" ht="12" hidden="false" customHeight="false" outlineLevel="0" collapsed="false">
      <c r="B212" s="197"/>
      <c r="C212" s="197"/>
      <c r="D212" s="197"/>
      <c r="E212" s="197"/>
      <c r="F212" s="197"/>
      <c r="G212" s="197"/>
      <c r="H212" s="197"/>
      <c r="I212" s="197"/>
      <c r="J212" s="197"/>
      <c r="K212" s="197"/>
      <c r="L212" s="197"/>
      <c r="M212" s="197"/>
      <c r="N212" s="197"/>
      <c r="O212" s="197"/>
      <c r="P212" s="197"/>
    </row>
    <row r="213" customFormat="false" ht="12" hidden="false" customHeight="false" outlineLevel="0" collapsed="false">
      <c r="B213" s="197"/>
      <c r="C213" s="197"/>
      <c r="D213" s="197"/>
      <c r="E213" s="197"/>
      <c r="F213" s="197"/>
      <c r="G213" s="197"/>
      <c r="H213" s="197"/>
      <c r="I213" s="197"/>
      <c r="J213" s="197"/>
      <c r="K213" s="197"/>
      <c r="L213" s="197"/>
      <c r="M213" s="197"/>
      <c r="N213" s="197"/>
      <c r="O213" s="197"/>
      <c r="P213" s="197"/>
    </row>
    <row r="214" customFormat="false" ht="12" hidden="false" customHeight="false" outlineLevel="0" collapsed="false">
      <c r="B214" s="197"/>
      <c r="C214" s="197"/>
      <c r="D214" s="197"/>
      <c r="E214" s="197"/>
      <c r="F214" s="197"/>
      <c r="G214" s="197"/>
      <c r="H214" s="197"/>
      <c r="I214" s="197"/>
      <c r="J214" s="197"/>
      <c r="K214" s="197"/>
      <c r="L214" s="197"/>
      <c r="M214" s="197"/>
      <c r="N214" s="197"/>
      <c r="O214" s="197"/>
      <c r="P214" s="197"/>
    </row>
    <row r="215" customFormat="false" ht="12" hidden="false" customHeight="false" outlineLevel="0" collapsed="false">
      <c r="B215" s="197"/>
      <c r="C215" s="197"/>
      <c r="D215" s="197"/>
      <c r="E215" s="197"/>
      <c r="F215" s="197"/>
      <c r="G215" s="197"/>
      <c r="H215" s="197"/>
      <c r="I215" s="197"/>
      <c r="J215" s="197"/>
      <c r="K215" s="197"/>
      <c r="L215" s="197"/>
      <c r="M215" s="197"/>
      <c r="N215" s="197"/>
      <c r="O215" s="197"/>
      <c r="P215" s="197"/>
    </row>
    <row r="216" customFormat="false" ht="12" hidden="false" customHeight="false" outlineLevel="0" collapsed="false">
      <c r="B216" s="197"/>
      <c r="C216" s="197"/>
      <c r="D216" s="197"/>
      <c r="E216" s="197"/>
      <c r="F216" s="197"/>
      <c r="G216" s="197"/>
      <c r="H216" s="197"/>
      <c r="I216" s="197"/>
      <c r="J216" s="197"/>
      <c r="K216" s="197"/>
      <c r="L216" s="197"/>
      <c r="M216" s="197"/>
      <c r="N216" s="197"/>
      <c r="O216" s="197"/>
      <c r="P216" s="197"/>
    </row>
    <row r="217" customFormat="false" ht="12" hidden="false" customHeight="false" outlineLevel="0" collapsed="false">
      <c r="B217" s="197"/>
      <c r="C217" s="197"/>
      <c r="D217" s="197"/>
      <c r="E217" s="197"/>
      <c r="F217" s="197"/>
      <c r="G217" s="197"/>
      <c r="H217" s="197"/>
      <c r="I217" s="197"/>
      <c r="J217" s="197"/>
      <c r="K217" s="197"/>
      <c r="L217" s="197"/>
      <c r="M217" s="197"/>
      <c r="N217" s="197"/>
      <c r="O217" s="197"/>
      <c r="P217" s="197"/>
    </row>
    <row r="218" customFormat="false" ht="12" hidden="false" customHeight="false" outlineLevel="0" collapsed="false">
      <c r="B218" s="197"/>
      <c r="C218" s="197"/>
      <c r="D218" s="197"/>
      <c r="E218" s="197"/>
      <c r="F218" s="197"/>
      <c r="G218" s="197"/>
      <c r="H218" s="197"/>
      <c r="I218" s="197"/>
      <c r="J218" s="197"/>
      <c r="K218" s="197"/>
      <c r="L218" s="197"/>
      <c r="M218" s="197"/>
      <c r="N218" s="197"/>
      <c r="O218" s="197"/>
      <c r="P218" s="197"/>
    </row>
    <row r="219" customFormat="false" ht="12" hidden="false" customHeight="false" outlineLevel="0" collapsed="false">
      <c r="B219" s="197"/>
      <c r="C219" s="197"/>
      <c r="D219" s="197"/>
      <c r="E219" s="197"/>
      <c r="F219" s="197"/>
      <c r="G219" s="197"/>
      <c r="H219" s="197"/>
      <c r="I219" s="197"/>
      <c r="J219" s="197"/>
      <c r="K219" s="197"/>
      <c r="L219" s="197"/>
      <c r="M219" s="197"/>
      <c r="N219" s="197"/>
      <c r="O219" s="197"/>
      <c r="P219" s="197"/>
    </row>
    <row r="220" customFormat="false" ht="12" hidden="false" customHeight="false" outlineLevel="0" collapsed="false">
      <c r="B220" s="197"/>
      <c r="C220" s="197"/>
      <c r="D220" s="197"/>
      <c r="E220" s="197"/>
      <c r="F220" s="197"/>
      <c r="G220" s="197"/>
      <c r="H220" s="197"/>
      <c r="I220" s="197"/>
      <c r="J220" s="197"/>
      <c r="K220" s="197"/>
      <c r="L220" s="197"/>
      <c r="M220" s="197"/>
      <c r="N220" s="197"/>
      <c r="O220" s="197"/>
      <c r="P220" s="197"/>
    </row>
    <row r="221" customFormat="false" ht="12" hidden="false" customHeight="false" outlineLevel="0" collapsed="false">
      <c r="B221" s="197"/>
      <c r="C221" s="197"/>
      <c r="D221" s="197"/>
      <c r="E221" s="197"/>
      <c r="F221" s="197"/>
      <c r="G221" s="197"/>
      <c r="H221" s="197"/>
      <c r="I221" s="197"/>
      <c r="J221" s="197"/>
      <c r="K221" s="197"/>
      <c r="L221" s="197"/>
      <c r="M221" s="197"/>
      <c r="N221" s="197"/>
      <c r="O221" s="197"/>
      <c r="P221" s="197"/>
    </row>
    <row r="222" customFormat="false" ht="12" hidden="false" customHeight="false" outlineLevel="0" collapsed="false">
      <c r="B222" s="197"/>
      <c r="C222" s="197"/>
      <c r="D222" s="197"/>
      <c r="E222" s="197"/>
      <c r="F222" s="197"/>
      <c r="G222" s="197"/>
      <c r="H222" s="197"/>
      <c r="I222" s="197"/>
      <c r="J222" s="197"/>
      <c r="K222" s="197"/>
      <c r="L222" s="197"/>
      <c r="M222" s="197"/>
      <c r="N222" s="197"/>
      <c r="O222" s="197"/>
      <c r="P222" s="197"/>
    </row>
    <row r="223" customFormat="false" ht="12" hidden="false" customHeight="false" outlineLevel="0" collapsed="false">
      <c r="B223" s="197"/>
      <c r="C223" s="197"/>
      <c r="D223" s="197"/>
      <c r="E223" s="197"/>
      <c r="F223" s="197"/>
      <c r="G223" s="197"/>
      <c r="H223" s="197"/>
      <c r="I223" s="197"/>
      <c r="J223" s="197"/>
      <c r="K223" s="197"/>
      <c r="L223" s="197"/>
      <c r="M223" s="197"/>
      <c r="N223" s="197"/>
      <c r="O223" s="197"/>
      <c r="P223" s="197"/>
    </row>
    <row r="224" customFormat="false" ht="12" hidden="false" customHeight="false" outlineLevel="0" collapsed="false">
      <c r="B224" s="197"/>
      <c r="C224" s="197"/>
      <c r="D224" s="197"/>
      <c r="E224" s="197"/>
      <c r="F224" s="197"/>
      <c r="G224" s="197"/>
      <c r="H224" s="197"/>
      <c r="I224" s="197"/>
      <c r="J224" s="197"/>
      <c r="K224" s="197"/>
      <c r="L224" s="197"/>
      <c r="M224" s="197"/>
      <c r="N224" s="197"/>
      <c r="O224" s="197"/>
      <c r="P224" s="197"/>
    </row>
    <row r="225" customFormat="false" ht="12" hidden="false" customHeight="false" outlineLevel="0" collapsed="false">
      <c r="B225" s="197"/>
      <c r="C225" s="197"/>
      <c r="D225" s="197"/>
      <c r="E225" s="197"/>
      <c r="F225" s="197"/>
      <c r="G225" s="197"/>
      <c r="H225" s="197"/>
      <c r="I225" s="197"/>
      <c r="J225" s="197"/>
      <c r="K225" s="197"/>
      <c r="L225" s="197"/>
      <c r="M225" s="197"/>
      <c r="N225" s="197"/>
      <c r="O225" s="197"/>
      <c r="P225" s="197"/>
    </row>
    <row r="226" customFormat="false" ht="12" hidden="false" customHeight="false" outlineLevel="0" collapsed="false">
      <c r="B226" s="197"/>
      <c r="C226" s="197"/>
      <c r="D226" s="197"/>
      <c r="E226" s="197"/>
      <c r="F226" s="197"/>
      <c r="G226" s="197"/>
      <c r="H226" s="197"/>
      <c r="I226" s="197"/>
      <c r="J226" s="197"/>
      <c r="K226" s="197"/>
      <c r="L226" s="197"/>
      <c r="M226" s="197"/>
      <c r="N226" s="197"/>
      <c r="O226" s="197"/>
      <c r="P226" s="197"/>
    </row>
    <row r="227" customFormat="false" ht="12" hidden="false" customHeight="false" outlineLevel="0" collapsed="false">
      <c r="B227" s="197"/>
      <c r="C227" s="197"/>
      <c r="D227" s="197"/>
      <c r="E227" s="197"/>
      <c r="F227" s="197"/>
      <c r="G227" s="197"/>
      <c r="H227" s="197"/>
      <c r="I227" s="197"/>
      <c r="J227" s="197"/>
      <c r="K227" s="197"/>
      <c r="L227" s="197"/>
      <c r="M227" s="197"/>
      <c r="N227" s="197"/>
      <c r="O227" s="197"/>
      <c r="P227" s="197"/>
    </row>
    <row r="228" customFormat="false" ht="12" hidden="false" customHeight="false" outlineLevel="0" collapsed="false">
      <c r="B228" s="197"/>
      <c r="C228" s="197"/>
      <c r="D228" s="197"/>
      <c r="E228" s="197"/>
      <c r="F228" s="197"/>
      <c r="G228" s="197"/>
      <c r="H228" s="197"/>
      <c r="I228" s="197"/>
      <c r="J228" s="197"/>
      <c r="K228" s="197"/>
      <c r="L228" s="197"/>
      <c r="M228" s="197"/>
      <c r="N228" s="197"/>
      <c r="O228" s="197"/>
      <c r="P228" s="197"/>
    </row>
    <row r="229" customFormat="false" ht="12" hidden="false" customHeight="false" outlineLevel="0" collapsed="false">
      <c r="B229" s="197"/>
      <c r="C229" s="197"/>
      <c r="D229" s="197"/>
      <c r="E229" s="197"/>
      <c r="F229" s="197"/>
      <c r="G229" s="197"/>
      <c r="H229" s="197"/>
      <c r="I229" s="197"/>
      <c r="J229" s="197"/>
      <c r="K229" s="197"/>
      <c r="L229" s="197"/>
      <c r="M229" s="197"/>
      <c r="N229" s="197"/>
      <c r="O229" s="197"/>
      <c r="P229" s="197"/>
    </row>
    <row r="230" customFormat="false" ht="12" hidden="false" customHeight="false" outlineLevel="0" collapsed="false">
      <c r="B230" s="197"/>
      <c r="C230" s="197"/>
      <c r="D230" s="197"/>
      <c r="E230" s="197"/>
      <c r="F230" s="197"/>
      <c r="G230" s="197"/>
      <c r="H230" s="197"/>
      <c r="I230" s="197"/>
      <c r="J230" s="197"/>
      <c r="K230" s="197"/>
      <c r="L230" s="197"/>
      <c r="M230" s="197"/>
      <c r="N230" s="197"/>
      <c r="O230" s="197"/>
      <c r="P230" s="197"/>
    </row>
    <row r="231" customFormat="false" ht="12" hidden="false" customHeight="false" outlineLevel="0" collapsed="false">
      <c r="B231" s="197"/>
      <c r="C231" s="197"/>
      <c r="D231" s="197"/>
      <c r="E231" s="197"/>
      <c r="F231" s="197"/>
      <c r="G231" s="197"/>
      <c r="H231" s="197"/>
      <c r="I231" s="197"/>
      <c r="J231" s="197"/>
      <c r="K231" s="197"/>
      <c r="L231" s="197"/>
      <c r="M231" s="197"/>
      <c r="N231" s="197"/>
      <c r="O231" s="197"/>
      <c r="P231" s="197"/>
    </row>
    <row r="232" customFormat="false" ht="12" hidden="false" customHeight="false" outlineLevel="0" collapsed="false">
      <c r="B232" s="197"/>
      <c r="C232" s="197"/>
      <c r="D232" s="197"/>
      <c r="E232" s="197"/>
      <c r="F232" s="197"/>
      <c r="G232" s="197"/>
      <c r="H232" s="197"/>
      <c r="I232" s="197"/>
      <c r="J232" s="197"/>
      <c r="K232" s="197"/>
      <c r="L232" s="197"/>
      <c r="M232" s="197"/>
      <c r="N232" s="197"/>
      <c r="O232" s="197"/>
      <c r="P232" s="197"/>
    </row>
    <row r="233" customFormat="false" ht="12" hidden="false" customHeight="false" outlineLevel="0" collapsed="false">
      <c r="B233" s="197"/>
      <c r="C233" s="197"/>
      <c r="D233" s="197"/>
      <c r="E233" s="197"/>
      <c r="F233" s="197"/>
      <c r="G233" s="197"/>
      <c r="H233" s="197"/>
      <c r="I233" s="197"/>
      <c r="J233" s="197"/>
      <c r="K233" s="197"/>
      <c r="L233" s="197"/>
      <c r="M233" s="197"/>
      <c r="N233" s="197"/>
      <c r="O233" s="197"/>
      <c r="P233" s="197"/>
    </row>
    <row r="234" customFormat="false" ht="12" hidden="false" customHeight="false" outlineLevel="0" collapsed="false">
      <c r="B234" s="197"/>
      <c r="C234" s="197"/>
      <c r="D234" s="197"/>
      <c r="E234" s="197"/>
      <c r="F234" s="197"/>
      <c r="G234" s="197"/>
      <c r="H234" s="197"/>
      <c r="I234" s="197"/>
      <c r="J234" s="197"/>
      <c r="K234" s="197"/>
      <c r="L234" s="197"/>
      <c r="M234" s="197"/>
      <c r="N234" s="197"/>
      <c r="O234" s="197"/>
      <c r="P234" s="197"/>
    </row>
    <row r="235" customFormat="false" ht="12" hidden="false" customHeight="false" outlineLevel="0" collapsed="false">
      <c r="B235" s="197"/>
      <c r="C235" s="197"/>
      <c r="D235" s="197"/>
      <c r="E235" s="197"/>
      <c r="F235" s="197"/>
      <c r="G235" s="197"/>
      <c r="H235" s="197"/>
      <c r="I235" s="197"/>
      <c r="J235" s="197"/>
      <c r="K235" s="197"/>
      <c r="L235" s="197"/>
      <c r="M235" s="197"/>
      <c r="N235" s="197"/>
      <c r="O235" s="197"/>
      <c r="P235" s="197"/>
    </row>
    <row r="236" customFormat="false" ht="12" hidden="false" customHeight="false" outlineLevel="0" collapsed="false">
      <c r="B236" s="197"/>
      <c r="C236" s="197"/>
      <c r="D236" s="197"/>
      <c r="E236" s="197"/>
      <c r="F236" s="197"/>
      <c r="G236" s="197"/>
      <c r="H236" s="197"/>
      <c r="I236" s="197"/>
      <c r="J236" s="197"/>
      <c r="K236" s="197"/>
      <c r="L236" s="197"/>
      <c r="M236" s="197"/>
      <c r="N236" s="197"/>
      <c r="O236" s="197"/>
      <c r="P236" s="197"/>
    </row>
    <row r="237" customFormat="false" ht="12" hidden="false" customHeight="false" outlineLevel="0" collapsed="false">
      <c r="B237" s="197"/>
      <c r="C237" s="197"/>
      <c r="D237" s="197"/>
      <c r="E237" s="197"/>
      <c r="F237" s="197"/>
      <c r="G237" s="197"/>
      <c r="H237" s="197"/>
      <c r="I237" s="197"/>
      <c r="J237" s="197"/>
      <c r="K237" s="197"/>
      <c r="L237" s="197"/>
      <c r="M237" s="197"/>
      <c r="N237" s="197"/>
      <c r="O237" s="197"/>
      <c r="P237" s="197"/>
    </row>
    <row r="238" customFormat="false" ht="12" hidden="false" customHeight="false" outlineLevel="0" collapsed="false">
      <c r="B238" s="197"/>
      <c r="C238" s="197"/>
      <c r="D238" s="197"/>
      <c r="E238" s="197"/>
      <c r="F238" s="197"/>
      <c r="G238" s="197"/>
      <c r="H238" s="197"/>
      <c r="I238" s="197"/>
      <c r="J238" s="197"/>
      <c r="K238" s="197"/>
      <c r="L238" s="197"/>
      <c r="M238" s="197"/>
      <c r="N238" s="197"/>
      <c r="O238" s="197"/>
      <c r="P238" s="197"/>
    </row>
    <row r="239" customFormat="false" ht="12" hidden="false" customHeight="false" outlineLevel="0" collapsed="false">
      <c r="B239" s="197"/>
      <c r="C239" s="197"/>
      <c r="D239" s="197"/>
      <c r="E239" s="197"/>
      <c r="F239" s="197"/>
      <c r="G239" s="197"/>
      <c r="H239" s="197"/>
      <c r="I239" s="197"/>
      <c r="J239" s="197"/>
      <c r="K239" s="197"/>
      <c r="L239" s="197"/>
      <c r="M239" s="197"/>
      <c r="N239" s="197"/>
      <c r="O239" s="197"/>
      <c r="P239" s="197"/>
    </row>
    <row r="240" customFormat="false" ht="12" hidden="false" customHeight="false" outlineLevel="0" collapsed="false">
      <c r="B240" s="197"/>
      <c r="C240" s="197"/>
      <c r="D240" s="197"/>
      <c r="E240" s="197"/>
      <c r="F240" s="197"/>
      <c r="G240" s="197"/>
      <c r="H240" s="197"/>
      <c r="I240" s="197"/>
      <c r="J240" s="197"/>
      <c r="K240" s="197"/>
      <c r="L240" s="197"/>
      <c r="M240" s="197"/>
      <c r="N240" s="197"/>
      <c r="O240" s="197"/>
      <c r="P240" s="197"/>
    </row>
    <row r="241" customFormat="false" ht="12" hidden="false" customHeight="false" outlineLevel="0" collapsed="false">
      <c r="B241" s="197"/>
      <c r="C241" s="197"/>
      <c r="D241" s="197"/>
      <c r="E241" s="197"/>
      <c r="F241" s="197"/>
      <c r="G241" s="197"/>
      <c r="H241" s="197"/>
      <c r="I241" s="197"/>
      <c r="J241" s="197"/>
      <c r="K241" s="197"/>
      <c r="L241" s="197"/>
      <c r="M241" s="197"/>
      <c r="N241" s="197"/>
      <c r="O241" s="197"/>
      <c r="P241" s="197"/>
    </row>
    <row r="242" customFormat="false" ht="12" hidden="false" customHeight="false" outlineLevel="0" collapsed="false">
      <c r="B242" s="197"/>
      <c r="C242" s="197"/>
      <c r="D242" s="197"/>
      <c r="E242" s="197"/>
      <c r="F242" s="197"/>
      <c r="G242" s="197"/>
      <c r="H242" s="197"/>
      <c r="I242" s="197"/>
      <c r="J242" s="197"/>
      <c r="K242" s="197"/>
      <c r="L242" s="197"/>
      <c r="M242" s="197"/>
      <c r="N242" s="197"/>
      <c r="O242" s="197"/>
      <c r="P242" s="197"/>
    </row>
    <row r="243" customFormat="false" ht="12" hidden="false" customHeight="false" outlineLevel="0" collapsed="false">
      <c r="B243" s="197"/>
      <c r="C243" s="197"/>
      <c r="D243" s="197"/>
      <c r="E243" s="197"/>
      <c r="F243" s="197"/>
      <c r="G243" s="197"/>
      <c r="H243" s="197"/>
      <c r="I243" s="197"/>
      <c r="J243" s="197"/>
      <c r="K243" s="197"/>
      <c r="L243" s="197"/>
      <c r="M243" s="197"/>
      <c r="N243" s="197"/>
      <c r="O243" s="197"/>
      <c r="P243" s="197"/>
    </row>
    <row r="244" customFormat="false" ht="12" hidden="false" customHeight="false" outlineLevel="0" collapsed="false">
      <c r="B244" s="197"/>
      <c r="C244" s="197"/>
      <c r="D244" s="197"/>
      <c r="E244" s="197"/>
      <c r="F244" s="197"/>
      <c r="G244" s="197"/>
      <c r="H244" s="197"/>
      <c r="I244" s="197"/>
      <c r="J244" s="197"/>
      <c r="K244" s="197"/>
      <c r="L244" s="197"/>
      <c r="M244" s="197"/>
      <c r="N244" s="197"/>
      <c r="O244" s="197"/>
      <c r="P244" s="197"/>
    </row>
    <row r="245" customFormat="false" ht="12" hidden="false" customHeight="false" outlineLevel="0" collapsed="false">
      <c r="B245" s="197"/>
      <c r="C245" s="197"/>
      <c r="D245" s="197"/>
      <c r="E245" s="197"/>
      <c r="F245" s="197"/>
      <c r="G245" s="197"/>
      <c r="H245" s="197"/>
      <c r="I245" s="197"/>
      <c r="J245" s="197"/>
      <c r="K245" s="197"/>
      <c r="L245" s="197"/>
      <c r="M245" s="197"/>
      <c r="N245" s="197"/>
      <c r="O245" s="197"/>
      <c r="P245" s="197"/>
    </row>
    <row r="246" customFormat="false" ht="12" hidden="false" customHeight="false" outlineLevel="0" collapsed="false">
      <c r="B246" s="197"/>
      <c r="C246" s="197"/>
      <c r="D246" s="197"/>
      <c r="E246" s="197"/>
      <c r="F246" s="197"/>
      <c r="G246" s="197"/>
      <c r="H246" s="197"/>
      <c r="I246" s="197"/>
      <c r="J246" s="197"/>
      <c r="K246" s="197"/>
      <c r="L246" s="197"/>
      <c r="M246" s="197"/>
      <c r="N246" s="197"/>
      <c r="O246" s="197"/>
      <c r="P246" s="197"/>
    </row>
    <row r="247" customFormat="false" ht="12" hidden="false" customHeight="false" outlineLevel="0" collapsed="false">
      <c r="B247" s="197"/>
      <c r="C247" s="197"/>
      <c r="D247" s="197"/>
      <c r="E247" s="197"/>
      <c r="F247" s="197"/>
      <c r="G247" s="197"/>
      <c r="H247" s="197"/>
      <c r="I247" s="197"/>
      <c r="J247" s="197"/>
      <c r="K247" s="197"/>
      <c r="L247" s="197"/>
      <c r="M247" s="197"/>
      <c r="N247" s="197"/>
      <c r="O247" s="197"/>
      <c r="P247" s="197"/>
    </row>
    <row r="248" customFormat="false" ht="12" hidden="false" customHeight="false" outlineLevel="0" collapsed="false">
      <c r="B248" s="197"/>
      <c r="C248" s="197"/>
      <c r="D248" s="197"/>
      <c r="E248" s="197"/>
      <c r="F248" s="197"/>
      <c r="G248" s="197"/>
      <c r="H248" s="197"/>
      <c r="I248" s="197"/>
      <c r="J248" s="197"/>
      <c r="K248" s="197"/>
      <c r="L248" s="197"/>
      <c r="M248" s="197"/>
      <c r="N248" s="197"/>
      <c r="O248" s="197"/>
      <c r="P248" s="197"/>
    </row>
    <row r="249" customFormat="false" ht="12" hidden="false" customHeight="false" outlineLevel="0" collapsed="false">
      <c r="B249" s="197"/>
      <c r="C249" s="197"/>
      <c r="D249" s="197"/>
      <c r="E249" s="197"/>
      <c r="F249" s="197"/>
      <c r="G249" s="197"/>
      <c r="H249" s="197"/>
      <c r="I249" s="197"/>
      <c r="J249" s="197"/>
      <c r="K249" s="197"/>
      <c r="L249" s="197"/>
      <c r="M249" s="197"/>
      <c r="N249" s="197"/>
      <c r="O249" s="197"/>
      <c r="P249" s="197"/>
    </row>
    <row r="250" customFormat="false" ht="12" hidden="false" customHeight="false" outlineLevel="0" collapsed="false">
      <c r="B250" s="197"/>
      <c r="C250" s="197"/>
      <c r="D250" s="197"/>
      <c r="E250" s="197"/>
      <c r="F250" s="197"/>
      <c r="G250" s="197"/>
      <c r="H250" s="197"/>
      <c r="I250" s="197"/>
      <c r="J250" s="197"/>
      <c r="K250" s="197"/>
      <c r="L250" s="197"/>
      <c r="M250" s="197"/>
      <c r="N250" s="197"/>
      <c r="O250" s="197"/>
      <c r="P250" s="197"/>
    </row>
    <row r="251" customFormat="false" ht="12" hidden="false" customHeight="false" outlineLevel="0" collapsed="false">
      <c r="B251" s="197"/>
      <c r="C251" s="197"/>
      <c r="D251" s="197"/>
      <c r="E251" s="197"/>
      <c r="F251" s="197"/>
      <c r="G251" s="197"/>
      <c r="H251" s="197"/>
      <c r="I251" s="197"/>
      <c r="J251" s="197"/>
      <c r="K251" s="197"/>
      <c r="L251" s="197"/>
      <c r="M251" s="197"/>
      <c r="N251" s="197"/>
      <c r="O251" s="197"/>
      <c r="P251" s="197"/>
    </row>
    <row r="252" customFormat="false" ht="12" hidden="false" customHeight="false" outlineLevel="0" collapsed="false">
      <c r="B252" s="197"/>
      <c r="C252" s="197"/>
      <c r="D252" s="197"/>
      <c r="E252" s="197"/>
      <c r="F252" s="197"/>
      <c r="G252" s="197"/>
      <c r="H252" s="197"/>
      <c r="I252" s="197"/>
      <c r="J252" s="197"/>
      <c r="K252" s="197"/>
      <c r="L252" s="197"/>
      <c r="M252" s="197"/>
      <c r="N252" s="197"/>
      <c r="O252" s="197"/>
      <c r="P252" s="197"/>
    </row>
    <row r="253" customFormat="false" ht="12" hidden="false" customHeight="false" outlineLevel="0" collapsed="false">
      <c r="B253" s="197"/>
      <c r="C253" s="197"/>
      <c r="D253" s="197"/>
      <c r="E253" s="197"/>
      <c r="F253" s="197"/>
      <c r="G253" s="197"/>
      <c r="H253" s="197"/>
      <c r="I253" s="197"/>
      <c r="J253" s="197"/>
      <c r="K253" s="197"/>
      <c r="L253" s="197"/>
      <c r="M253" s="197"/>
      <c r="N253" s="197"/>
      <c r="O253" s="197"/>
      <c r="P253" s="197"/>
    </row>
    <row r="254" customFormat="false" ht="12" hidden="false" customHeight="false" outlineLevel="0" collapsed="false">
      <c r="B254" s="197"/>
      <c r="C254" s="197"/>
      <c r="D254" s="197"/>
      <c r="E254" s="197"/>
      <c r="F254" s="197"/>
      <c r="G254" s="197"/>
      <c r="H254" s="197"/>
      <c r="I254" s="197"/>
      <c r="J254" s="197"/>
      <c r="K254" s="197"/>
      <c r="L254" s="197"/>
      <c r="M254" s="197"/>
      <c r="N254" s="197"/>
      <c r="O254" s="197"/>
      <c r="P254" s="197"/>
    </row>
    <row r="255" customFormat="false" ht="12" hidden="false" customHeight="false" outlineLevel="0" collapsed="false">
      <c r="B255" s="197"/>
      <c r="C255" s="197"/>
      <c r="D255" s="197"/>
      <c r="E255" s="197"/>
      <c r="F255" s="197"/>
      <c r="G255" s="197"/>
      <c r="H255" s="197"/>
      <c r="I255" s="197"/>
      <c r="J255" s="197"/>
      <c r="K255" s="197"/>
      <c r="L255" s="197"/>
      <c r="M255" s="197"/>
      <c r="N255" s="197"/>
      <c r="O255" s="197"/>
      <c r="P255" s="197"/>
    </row>
    <row r="256" customFormat="false" ht="12" hidden="false" customHeight="false" outlineLevel="0" collapsed="false">
      <c r="B256" s="197"/>
      <c r="C256" s="197"/>
      <c r="D256" s="197"/>
      <c r="E256" s="197"/>
      <c r="F256" s="197"/>
      <c r="G256" s="197"/>
      <c r="H256" s="197"/>
      <c r="I256" s="197"/>
      <c r="J256" s="197"/>
      <c r="K256" s="197"/>
      <c r="L256" s="197"/>
      <c r="M256" s="197"/>
      <c r="N256" s="197"/>
      <c r="O256" s="197"/>
      <c r="P256" s="197"/>
    </row>
    <row r="257" customFormat="false" ht="12" hidden="false" customHeight="false" outlineLevel="0" collapsed="false">
      <c r="B257" s="197"/>
      <c r="C257" s="197"/>
      <c r="D257" s="197"/>
      <c r="E257" s="197"/>
      <c r="F257" s="197"/>
      <c r="G257" s="197"/>
      <c r="H257" s="197"/>
      <c r="I257" s="197"/>
      <c r="J257" s="197"/>
      <c r="K257" s="197"/>
      <c r="L257" s="197"/>
      <c r="M257" s="197"/>
      <c r="N257" s="197"/>
      <c r="O257" s="197"/>
      <c r="P257" s="197"/>
    </row>
    <row r="258" customFormat="false" ht="12" hidden="false" customHeight="false" outlineLevel="0" collapsed="false">
      <c r="B258" s="197"/>
      <c r="C258" s="197"/>
      <c r="D258" s="197"/>
      <c r="E258" s="197"/>
      <c r="F258" s="197"/>
      <c r="G258" s="197"/>
      <c r="H258" s="197"/>
      <c r="I258" s="197"/>
      <c r="J258" s="197"/>
      <c r="K258" s="197"/>
      <c r="L258" s="197"/>
      <c r="M258" s="197"/>
      <c r="N258" s="197"/>
      <c r="O258" s="197"/>
      <c r="P258" s="197"/>
    </row>
    <row r="259" customFormat="false" ht="12" hidden="false" customHeight="false" outlineLevel="0" collapsed="false">
      <c r="B259" s="197"/>
      <c r="C259" s="197"/>
      <c r="D259" s="197"/>
      <c r="E259" s="197"/>
      <c r="F259" s="197"/>
      <c r="G259" s="197"/>
      <c r="H259" s="197"/>
      <c r="I259" s="197"/>
      <c r="J259" s="197"/>
      <c r="K259" s="197"/>
      <c r="L259" s="197"/>
      <c r="M259" s="197"/>
      <c r="N259" s="197"/>
      <c r="O259" s="197"/>
      <c r="P259" s="197"/>
    </row>
    <row r="260" customFormat="false" ht="12" hidden="false" customHeight="false" outlineLevel="0" collapsed="false">
      <c r="B260" s="197"/>
      <c r="C260" s="197"/>
      <c r="D260" s="197"/>
      <c r="E260" s="197"/>
      <c r="F260" s="197"/>
      <c r="G260" s="197"/>
      <c r="H260" s="197"/>
      <c r="I260" s="197"/>
      <c r="J260" s="197"/>
      <c r="K260" s="197"/>
      <c r="L260" s="197"/>
      <c r="M260" s="197"/>
      <c r="N260" s="197"/>
      <c r="O260" s="197"/>
      <c r="P260" s="197"/>
    </row>
    <row r="261" customFormat="false" ht="12" hidden="false" customHeight="false" outlineLevel="0" collapsed="false">
      <c r="B261" s="197"/>
      <c r="C261" s="197"/>
      <c r="D261" s="197"/>
      <c r="E261" s="197"/>
      <c r="F261" s="197"/>
      <c r="G261" s="197"/>
      <c r="H261" s="197"/>
      <c r="I261" s="197"/>
      <c r="J261" s="197"/>
      <c r="K261" s="197"/>
      <c r="L261" s="197"/>
      <c r="M261" s="197"/>
      <c r="N261" s="197"/>
      <c r="O261" s="197"/>
      <c r="P261" s="197"/>
    </row>
    <row r="262" customFormat="false" ht="12" hidden="false" customHeight="false" outlineLevel="0" collapsed="false">
      <c r="B262" s="197"/>
      <c r="C262" s="197"/>
      <c r="D262" s="197"/>
      <c r="E262" s="197"/>
      <c r="F262" s="197"/>
      <c r="G262" s="197"/>
      <c r="H262" s="197"/>
      <c r="I262" s="197"/>
      <c r="J262" s="197"/>
      <c r="K262" s="197"/>
      <c r="L262" s="197"/>
      <c r="M262" s="197"/>
      <c r="N262" s="197"/>
      <c r="O262" s="197"/>
      <c r="P262" s="197"/>
    </row>
    <row r="263" customFormat="false" ht="12" hidden="false" customHeight="false" outlineLevel="0" collapsed="false">
      <c r="B263" s="197"/>
      <c r="C263" s="197"/>
      <c r="D263" s="197"/>
      <c r="E263" s="197"/>
      <c r="F263" s="197"/>
      <c r="G263" s="197"/>
      <c r="H263" s="197"/>
      <c r="I263" s="197"/>
      <c r="J263" s="197"/>
      <c r="K263" s="197"/>
      <c r="L263" s="197"/>
      <c r="M263" s="197"/>
      <c r="N263" s="197"/>
      <c r="O263" s="197"/>
      <c r="P263" s="197"/>
    </row>
    <row r="264" customFormat="false" ht="12" hidden="false" customHeight="false" outlineLevel="0" collapsed="false">
      <c r="B264" s="197"/>
      <c r="C264" s="197"/>
      <c r="D264" s="197"/>
      <c r="E264" s="197"/>
      <c r="F264" s="197"/>
      <c r="G264" s="197"/>
      <c r="H264" s="197"/>
      <c r="I264" s="197"/>
      <c r="J264" s="197"/>
      <c r="K264" s="197"/>
      <c r="L264" s="197"/>
      <c r="M264" s="197"/>
      <c r="N264" s="197"/>
      <c r="O264" s="197"/>
      <c r="P264" s="197"/>
    </row>
    <row r="265" customFormat="false" ht="12" hidden="false" customHeight="false" outlineLevel="0" collapsed="false">
      <c r="B265" s="197"/>
      <c r="C265" s="197"/>
      <c r="D265" s="197"/>
      <c r="E265" s="197"/>
      <c r="F265" s="197"/>
      <c r="G265" s="197"/>
      <c r="H265" s="197"/>
      <c r="I265" s="197"/>
      <c r="J265" s="197"/>
      <c r="K265" s="197"/>
      <c r="L265" s="197"/>
      <c r="M265" s="197"/>
      <c r="N265" s="197"/>
      <c r="O265" s="197"/>
      <c r="P265" s="197"/>
    </row>
    <row r="266" customFormat="false" ht="12" hidden="false" customHeight="false" outlineLevel="0" collapsed="false">
      <c r="B266" s="197"/>
      <c r="C266" s="197"/>
      <c r="D266" s="197"/>
      <c r="E266" s="197"/>
      <c r="F266" s="197"/>
      <c r="G266" s="197"/>
      <c r="H266" s="197"/>
      <c r="I266" s="197"/>
      <c r="J266" s="197"/>
      <c r="K266" s="197"/>
      <c r="L266" s="197"/>
      <c r="M266" s="197"/>
      <c r="N266" s="197"/>
      <c r="O266" s="197"/>
      <c r="P266" s="197"/>
    </row>
    <row r="267" customFormat="false" ht="12" hidden="false" customHeight="false" outlineLevel="0" collapsed="false">
      <c r="B267" s="197"/>
      <c r="C267" s="197"/>
      <c r="D267" s="197"/>
      <c r="E267" s="197"/>
      <c r="F267" s="197"/>
      <c r="G267" s="197"/>
      <c r="H267" s="197"/>
      <c r="I267" s="197"/>
      <c r="J267" s="197"/>
      <c r="K267" s="197"/>
      <c r="L267" s="197"/>
      <c r="M267" s="197"/>
      <c r="N267" s="197"/>
      <c r="O267" s="197"/>
      <c r="P267" s="197"/>
    </row>
    <row r="268" customFormat="false" ht="12" hidden="false" customHeight="false" outlineLevel="0" collapsed="false">
      <c r="B268" s="197"/>
      <c r="C268" s="197"/>
      <c r="D268" s="197"/>
      <c r="E268" s="197"/>
      <c r="F268" s="197"/>
      <c r="G268" s="197"/>
      <c r="H268" s="197"/>
      <c r="I268" s="197"/>
      <c r="J268" s="197"/>
      <c r="K268" s="197"/>
      <c r="L268" s="197"/>
      <c r="M268" s="197"/>
      <c r="N268" s="197"/>
      <c r="O268" s="197"/>
      <c r="P268" s="197"/>
    </row>
    <row r="269" customFormat="false" ht="12" hidden="false" customHeight="false" outlineLevel="0" collapsed="false">
      <c r="B269" s="197"/>
      <c r="C269" s="197"/>
      <c r="D269" s="197"/>
      <c r="E269" s="197"/>
      <c r="F269" s="197"/>
      <c r="G269" s="197"/>
      <c r="H269" s="197"/>
      <c r="I269" s="197"/>
      <c r="J269" s="197"/>
      <c r="K269" s="197"/>
      <c r="L269" s="197"/>
      <c r="M269" s="197"/>
      <c r="N269" s="197"/>
      <c r="O269" s="197"/>
      <c r="P269" s="197"/>
    </row>
    <row r="270" customFormat="false" ht="12" hidden="false" customHeight="false" outlineLevel="0" collapsed="false">
      <c r="B270" s="197"/>
      <c r="C270" s="197"/>
      <c r="D270" s="197"/>
      <c r="E270" s="197"/>
      <c r="F270" s="197"/>
      <c r="G270" s="197"/>
      <c r="H270" s="197"/>
      <c r="I270" s="197"/>
      <c r="J270" s="197"/>
      <c r="K270" s="197"/>
      <c r="L270" s="197"/>
      <c r="M270" s="197"/>
      <c r="N270" s="197"/>
      <c r="O270" s="197"/>
      <c r="P270" s="197"/>
    </row>
    <row r="271" customFormat="false" ht="12" hidden="false" customHeight="false" outlineLevel="0" collapsed="false">
      <c r="B271" s="197"/>
      <c r="C271" s="197"/>
      <c r="D271" s="197"/>
      <c r="E271" s="197"/>
      <c r="F271" s="197"/>
      <c r="G271" s="197"/>
      <c r="H271" s="197"/>
      <c r="I271" s="197"/>
      <c r="J271" s="197"/>
      <c r="K271" s="197"/>
      <c r="L271" s="197"/>
      <c r="M271" s="197"/>
      <c r="N271" s="197"/>
      <c r="O271" s="197"/>
      <c r="P271" s="197"/>
    </row>
    <row r="272" customFormat="false" ht="12" hidden="false" customHeight="false" outlineLevel="0" collapsed="false">
      <c r="B272" s="197"/>
      <c r="C272" s="197"/>
      <c r="D272" s="197"/>
      <c r="E272" s="197"/>
      <c r="F272" s="197"/>
      <c r="G272" s="197"/>
      <c r="H272" s="197"/>
      <c r="I272" s="197"/>
      <c r="J272" s="197"/>
      <c r="K272" s="197"/>
      <c r="L272" s="197"/>
      <c r="M272" s="197"/>
      <c r="N272" s="197"/>
      <c r="O272" s="197"/>
      <c r="P272" s="197"/>
    </row>
    <row r="273" customFormat="false" ht="12" hidden="false" customHeight="false" outlineLevel="0" collapsed="false">
      <c r="B273" s="197"/>
      <c r="C273" s="197"/>
      <c r="D273" s="197"/>
      <c r="E273" s="197"/>
      <c r="F273" s="197"/>
      <c r="G273" s="197"/>
      <c r="H273" s="197"/>
      <c r="I273" s="197"/>
      <c r="J273" s="197"/>
      <c r="K273" s="197"/>
      <c r="L273" s="197"/>
      <c r="M273" s="197"/>
      <c r="N273" s="197"/>
      <c r="O273" s="197"/>
      <c r="P273" s="197"/>
    </row>
    <row r="274" customFormat="false" ht="12" hidden="false" customHeight="false" outlineLevel="0" collapsed="false">
      <c r="B274" s="197"/>
      <c r="C274" s="197"/>
      <c r="D274" s="197"/>
      <c r="E274" s="197"/>
      <c r="F274" s="197"/>
      <c r="G274" s="197"/>
      <c r="H274" s="197"/>
      <c r="I274" s="197"/>
      <c r="J274" s="197"/>
      <c r="K274" s="197"/>
      <c r="L274" s="197"/>
      <c r="M274" s="197"/>
      <c r="N274" s="197"/>
      <c r="O274" s="197"/>
      <c r="P274" s="197"/>
    </row>
    <row r="275" customFormat="false" ht="12" hidden="false" customHeight="false" outlineLevel="0" collapsed="false">
      <c r="B275" s="197"/>
      <c r="C275" s="197"/>
      <c r="D275" s="197"/>
      <c r="E275" s="197"/>
      <c r="F275" s="197"/>
      <c r="G275" s="197"/>
      <c r="H275" s="197"/>
      <c r="I275" s="197"/>
      <c r="J275" s="197"/>
      <c r="K275" s="197"/>
      <c r="L275" s="197"/>
      <c r="M275" s="197"/>
      <c r="N275" s="197"/>
      <c r="O275" s="197"/>
      <c r="P275" s="197"/>
    </row>
  </sheetData>
  <mergeCells count="16">
    <mergeCell ref="A3:N3"/>
    <mergeCell ref="B6:N6"/>
    <mergeCell ref="A7:A8"/>
    <mergeCell ref="B7:B8"/>
    <mergeCell ref="C7:C8"/>
    <mergeCell ref="D7:D8"/>
    <mergeCell ref="E7:E8"/>
    <mergeCell ref="F7:F8"/>
    <mergeCell ref="G7:G8"/>
    <mergeCell ref="H7:H8"/>
    <mergeCell ref="I7:I8"/>
    <mergeCell ref="J7:J8"/>
    <mergeCell ref="K7:K8"/>
    <mergeCell ref="L7:L8"/>
    <mergeCell ref="M7:M8"/>
    <mergeCell ref="N7:N8"/>
  </mergeCells>
  <hyperlinks>
    <hyperlink ref="B1" location="Index!A1" display="Back to index"/>
  </hyperlinks>
  <printOptions headings="false" gridLines="false" gridLinesSet="true" horizontalCentered="true" verticalCentered="tru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C0C0"/>
    <pageSetUpPr fitToPage="true"/>
  </sheetPr>
  <dimension ref="A1:T2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3" activeCellId="0" sqref="A3"/>
    </sheetView>
  </sheetViews>
  <sheetFormatPr defaultColWidth="11.0546875" defaultRowHeight="12" zeroHeight="false" outlineLevelRow="0" outlineLevelCol="0"/>
  <cols>
    <col collapsed="false" customWidth="true" hidden="false" outlineLevel="0" max="59" min="1" style="0" width="9.66"/>
  </cols>
  <sheetData>
    <row r="1" customFormat="false" ht="12" hidden="false" customHeight="false" outlineLevel="0" collapsed="false">
      <c r="B1" s="21" t="s">
        <v>9</v>
      </c>
      <c r="C1" s="198"/>
      <c r="D1" s="198"/>
      <c r="E1" s="198"/>
      <c r="F1" s="198"/>
      <c r="G1" s="198"/>
      <c r="H1" s="198"/>
      <c r="I1" s="198"/>
      <c r="J1" s="198"/>
      <c r="K1" s="198"/>
      <c r="L1" s="198"/>
      <c r="M1" s="198"/>
    </row>
    <row r="2" customFormat="false" ht="13" hidden="false" customHeight="false" outlineLevel="0" collapsed="false"/>
    <row r="3" customFormat="false" ht="16" hidden="false" customHeight="false" outlineLevel="0" collapsed="false">
      <c r="A3" s="357" t="s">
        <v>389</v>
      </c>
      <c r="B3" s="357"/>
      <c r="C3" s="357"/>
      <c r="D3" s="357"/>
      <c r="E3" s="357"/>
      <c r="F3" s="357"/>
      <c r="G3" s="357"/>
      <c r="H3" s="357"/>
      <c r="I3" s="357"/>
      <c r="J3" s="357"/>
      <c r="K3" s="357"/>
      <c r="L3" s="357"/>
      <c r="M3" s="357"/>
    </row>
    <row r="4" customFormat="false" ht="12" hidden="false" customHeight="false" outlineLevel="0" collapsed="false">
      <c r="A4" s="358"/>
      <c r="B4" s="114"/>
      <c r="C4" s="114"/>
      <c r="D4" s="114"/>
      <c r="E4" s="114"/>
      <c r="F4" s="114"/>
      <c r="G4" s="114"/>
      <c r="H4" s="114"/>
      <c r="I4" s="114"/>
      <c r="J4" s="114"/>
      <c r="K4" s="114"/>
      <c r="L4" s="114"/>
      <c r="M4" s="359"/>
    </row>
    <row r="5" customFormat="false" ht="12" hidden="false" customHeight="false" outlineLevel="0" collapsed="false">
      <c r="A5" s="358"/>
      <c r="B5" s="554" t="s">
        <v>11</v>
      </c>
      <c r="C5" s="554" t="s">
        <v>12</v>
      </c>
      <c r="D5" s="554" t="s">
        <v>13</v>
      </c>
      <c r="E5" s="554" t="s">
        <v>14</v>
      </c>
      <c r="F5" s="554" t="s">
        <v>15</v>
      </c>
      <c r="G5" s="554" t="s">
        <v>16</v>
      </c>
      <c r="H5" s="554" t="s">
        <v>17</v>
      </c>
      <c r="I5" s="554" t="s">
        <v>18</v>
      </c>
      <c r="J5" s="554" t="s">
        <v>19</v>
      </c>
      <c r="K5" s="554" t="s">
        <v>20</v>
      </c>
      <c r="L5" s="554" t="s">
        <v>21</v>
      </c>
      <c r="M5" s="781" t="s">
        <v>22</v>
      </c>
    </row>
    <row r="6" customFormat="false" ht="15" hidden="false" customHeight="true" outlineLevel="0" collapsed="false">
      <c r="A6" s="358"/>
      <c r="B6" s="1247" t="s">
        <v>390</v>
      </c>
      <c r="C6" s="1247"/>
      <c r="D6" s="1247"/>
      <c r="E6" s="1247"/>
      <c r="F6" s="1247"/>
      <c r="G6" s="1247"/>
      <c r="H6" s="1247"/>
      <c r="I6" s="1247"/>
      <c r="J6" s="1247"/>
      <c r="K6" s="1247"/>
      <c r="L6" s="1247"/>
      <c r="M6" s="1247"/>
    </row>
    <row r="7" customFormat="false" ht="45" hidden="false" customHeight="true" outlineLevel="0" collapsed="false">
      <c r="A7" s="1270"/>
      <c r="B7" s="366" t="s">
        <v>376</v>
      </c>
      <c r="C7" s="786" t="s">
        <v>377</v>
      </c>
      <c r="D7" s="1271" t="s">
        <v>378</v>
      </c>
      <c r="E7" s="1272" t="s">
        <v>379</v>
      </c>
      <c r="F7" s="366" t="s">
        <v>391</v>
      </c>
      <c r="G7" s="786" t="s">
        <v>382</v>
      </c>
      <c r="H7" s="1271" t="s">
        <v>383</v>
      </c>
      <c r="I7" s="1273" t="s">
        <v>384</v>
      </c>
      <c r="J7" s="1273" t="s">
        <v>385</v>
      </c>
      <c r="K7" s="1271" t="s">
        <v>386</v>
      </c>
      <c r="L7" s="1273" t="s">
        <v>387</v>
      </c>
      <c r="M7" s="1274" t="s">
        <v>388</v>
      </c>
    </row>
    <row r="8" customFormat="false" ht="39.75" hidden="false" customHeight="true" outlineLevel="0" collapsed="false">
      <c r="A8" s="1270"/>
      <c r="B8" s="366"/>
      <c r="C8" s="786"/>
      <c r="D8" s="1271"/>
      <c r="E8" s="1272"/>
      <c r="F8" s="366"/>
      <c r="G8" s="786"/>
      <c r="H8" s="1271"/>
      <c r="I8" s="1273"/>
      <c r="J8" s="1273"/>
      <c r="K8" s="1271"/>
      <c r="L8" s="1273"/>
      <c r="M8" s="1274"/>
    </row>
    <row r="9" customFormat="false" ht="12" hidden="false" customHeight="true" outlineLevel="0" collapsed="false">
      <c r="A9" s="439" t="n">
        <v>1950</v>
      </c>
      <c r="B9" s="1275" t="n">
        <f aca="false">TableDE6c!B9/TableDE6c!$B9</f>
        <v>1</v>
      </c>
      <c r="C9" s="1276" t="n">
        <f aca="false">TableDE6c!C9/TableDE6c!$B9</f>
        <v>0.330696145220506</v>
      </c>
      <c r="D9" s="1277" t="n">
        <f aca="false">TableDE6c!D9/TableDE6c!$B9</f>
        <v>0.358880788194088</v>
      </c>
      <c r="E9" s="1278" t="n">
        <f aca="false">TableDE6c!E9/TableDE6c!$B9</f>
        <v>0.0281846429735819</v>
      </c>
      <c r="F9" s="1275" t="n">
        <f aca="false">TableDE6c!F9/TableDE6c!$B9</f>
        <v>0.498670777042199</v>
      </c>
      <c r="G9" s="1276" t="n">
        <f aca="false">TableDE6c!H9/TableDE6c!$B9</f>
        <v>0.170633077737294</v>
      </c>
      <c r="H9" s="1277" t="n">
        <f aca="false">TableDE6c!I9/TableDE6c!$B9</f>
        <v>0.0385817784901366</v>
      </c>
      <c r="I9" s="1279" t="n">
        <f aca="false">TableDE6c!J9/TableDE6c!$B9</f>
        <v>0.0385817784901366</v>
      </c>
      <c r="J9" s="1279"/>
      <c r="K9" s="1277" t="n">
        <f aca="false">TableDE6c!L9/TableDE6c!$B9</f>
        <v>0.132051299247158</v>
      </c>
      <c r="L9" s="1277" t="n">
        <f aca="false">TableDE6c!M9/TableDE6c!$B9</f>
        <v>0.0242664000541702</v>
      </c>
      <c r="M9" s="1280" t="n">
        <f aca="false">TableDE6c!N9/TableDE6c!$B9</f>
        <v>0.107784899192987</v>
      </c>
    </row>
    <row r="10" customFormat="false" ht="12" hidden="false" customHeight="true" outlineLevel="0" collapsed="false">
      <c r="A10" s="439" t="n">
        <v>1951</v>
      </c>
      <c r="B10" s="1251" t="n">
        <f aca="false">TableDE6c!B10/TableDE6c!$B10</f>
        <v>1</v>
      </c>
      <c r="C10" s="1161" t="n">
        <f aca="false">TableDE6c!C10/TableDE6c!$B10</f>
        <v>0.322175455483862</v>
      </c>
      <c r="D10" s="891" t="n">
        <f aca="false">TableDE6c!D10/TableDE6c!$B10</f>
        <v>0.365385496843042</v>
      </c>
      <c r="E10" s="845" t="n">
        <f aca="false">TableDE6c!E10/TableDE6c!$B10</f>
        <v>0.0432100413591799</v>
      </c>
      <c r="F10" s="1251" t="n">
        <f aca="false">TableDE6c!F10/TableDE6c!$B10</f>
        <v>0.5052471939556</v>
      </c>
      <c r="G10" s="1161" t="n">
        <f aca="false">TableDE6c!H10/TableDE6c!$B10</f>
        <v>0.172577350560539</v>
      </c>
      <c r="H10" s="891" t="n">
        <f aca="false">TableDE6c!I10/TableDE6c!$B10</f>
        <v>0.0390375708130897</v>
      </c>
      <c r="I10" s="912" t="n">
        <f aca="false">TableDE6c!J10/TableDE6c!$B10</f>
        <v>0.0390375708130897</v>
      </c>
      <c r="J10" s="912"/>
      <c r="K10" s="891" t="n">
        <f aca="false">TableDE6c!L10/TableDE6c!$B10</f>
        <v>0.133539779747449</v>
      </c>
      <c r="L10" s="891" t="n">
        <f aca="false">TableDE6c!M10/TableDE6c!$B10</f>
        <v>0.0277984438080119</v>
      </c>
      <c r="M10" s="1281" t="n">
        <f aca="false">TableDE6c!N10/TableDE6c!$B10</f>
        <v>0.105741335939437</v>
      </c>
    </row>
    <row r="11" customFormat="false" ht="12" hidden="false" customHeight="true" outlineLevel="0" collapsed="false">
      <c r="A11" s="439" t="n">
        <v>1952</v>
      </c>
      <c r="B11" s="1251" t="n">
        <f aca="false">TableDE6c!B11/TableDE6c!$B11</f>
        <v>1</v>
      </c>
      <c r="C11" s="1161" t="n">
        <f aca="false">TableDE6c!C11/TableDE6c!$B11</f>
        <v>0.307598673385613</v>
      </c>
      <c r="D11" s="891" t="n">
        <f aca="false">TableDE6c!D11/TableDE6c!$B11</f>
        <v>0.365688364178637</v>
      </c>
      <c r="E11" s="845" t="n">
        <f aca="false">TableDE6c!E11/TableDE6c!$B11</f>
        <v>0.0580896907930247</v>
      </c>
      <c r="F11" s="1251" t="n">
        <f aca="false">TableDE6c!F11/TableDE6c!$B11</f>
        <v>0.50773741715072</v>
      </c>
      <c r="G11" s="1161" t="n">
        <f aca="false">TableDE6c!H11/TableDE6c!$B11</f>
        <v>0.184663909463668</v>
      </c>
      <c r="H11" s="891" t="n">
        <f aca="false">TableDE6c!I11/TableDE6c!$B11</f>
        <v>0.0404635049562391</v>
      </c>
      <c r="I11" s="912" t="n">
        <f aca="false">TableDE6c!J11/TableDE6c!$B11</f>
        <v>0.0404635049562391</v>
      </c>
      <c r="J11" s="912"/>
      <c r="K11" s="891" t="n">
        <f aca="false">TableDE6c!L11/TableDE6c!$B11</f>
        <v>0.144200404507429</v>
      </c>
      <c r="L11" s="891" t="n">
        <f aca="false">TableDE6c!M11/TableDE6c!$B11</f>
        <v>0.0321180455069196</v>
      </c>
      <c r="M11" s="1281" t="n">
        <f aca="false">TableDE6c!N11/TableDE6c!$B11</f>
        <v>0.112082359000509</v>
      </c>
    </row>
    <row r="12" customFormat="false" ht="12" hidden="false" customHeight="true" outlineLevel="0" collapsed="false">
      <c r="A12" s="439" t="n">
        <v>1953</v>
      </c>
      <c r="B12" s="1251" t="n">
        <f aca="false">TableDE6c!B12/TableDE6c!$B12</f>
        <v>1</v>
      </c>
      <c r="C12" s="1161" t="n">
        <f aca="false">TableDE6c!C12/TableDE6c!$B12</f>
        <v>0.29222546279477</v>
      </c>
      <c r="D12" s="891" t="n">
        <f aca="false">TableDE6c!D12/TableDE6c!$B12</f>
        <v>0.36936975612833</v>
      </c>
      <c r="E12" s="845" t="n">
        <f aca="false">TableDE6c!E12/TableDE6c!$B12</f>
        <v>0.0771442933335595</v>
      </c>
      <c r="F12" s="1251" t="n">
        <f aca="false">TableDE6c!F12/TableDE6c!$B12</f>
        <v>0.500868175504297</v>
      </c>
      <c r="G12" s="1161" t="n">
        <f aca="false">TableDE6c!H12/TableDE6c!$B12</f>
        <v>0.206906361700933</v>
      </c>
      <c r="H12" s="891" t="n">
        <f aca="false">TableDE6c!I12/TableDE6c!$B12</f>
        <v>0.040904490086509</v>
      </c>
      <c r="I12" s="912" t="n">
        <f aca="false">TableDE6c!J12/TableDE6c!$B12</f>
        <v>0.040904490086509</v>
      </c>
      <c r="J12" s="912"/>
      <c r="K12" s="891" t="n">
        <f aca="false">TableDE6c!L12/TableDE6c!$B12</f>
        <v>0.166001871614424</v>
      </c>
      <c r="L12" s="891" t="n">
        <f aca="false">TableDE6c!M12/TableDE6c!$B12</f>
        <v>0.0354575584265161</v>
      </c>
      <c r="M12" s="1281" t="n">
        <f aca="false">TableDE6c!N12/TableDE6c!$B12</f>
        <v>0.130544313187908</v>
      </c>
    </row>
    <row r="13" customFormat="false" ht="12" hidden="false" customHeight="true" outlineLevel="0" collapsed="false">
      <c r="A13" s="439" t="n">
        <v>1954</v>
      </c>
      <c r="B13" s="1251" t="n">
        <f aca="false">TableDE6c!B13/TableDE6c!$B13</f>
        <v>1</v>
      </c>
      <c r="C13" s="1161" t="n">
        <f aca="false">TableDE6c!C13/TableDE6c!$B13</f>
        <v>0.278598823430557</v>
      </c>
      <c r="D13" s="891" t="n">
        <f aca="false">TableDE6c!D13/TableDE6c!$B13</f>
        <v>0.376537315782845</v>
      </c>
      <c r="E13" s="845" t="n">
        <f aca="false">TableDE6c!E13/TableDE6c!$B13</f>
        <v>0.0979384923522881</v>
      </c>
      <c r="F13" s="1251" t="n">
        <f aca="false">TableDE6c!F13/TableDE6c!$B13</f>
        <v>0.487782806861475</v>
      </c>
      <c r="G13" s="1161" t="n">
        <f aca="false">TableDE6c!H13/TableDE6c!$B13</f>
        <v>0.233618369707968</v>
      </c>
      <c r="H13" s="891" t="n">
        <f aca="false">TableDE6c!I13/TableDE6c!$B13</f>
        <v>0.0448882230550296</v>
      </c>
      <c r="I13" s="912" t="n">
        <f aca="false">TableDE6c!J13/TableDE6c!$B13</f>
        <v>0.0448882230550296</v>
      </c>
      <c r="J13" s="912"/>
      <c r="K13" s="891" t="n">
        <f aca="false">TableDE6c!L13/TableDE6c!$B13</f>
        <v>0.188730146652938</v>
      </c>
      <c r="L13" s="891" t="n">
        <f aca="false">TableDE6c!M13/TableDE6c!$B13</f>
        <v>0.0392317226578891</v>
      </c>
      <c r="M13" s="1281" t="n">
        <f aca="false">TableDE6c!N13/TableDE6c!$B13</f>
        <v>0.149498423995049</v>
      </c>
    </row>
    <row r="14" customFormat="false" ht="12" hidden="false" customHeight="true" outlineLevel="0" collapsed="false">
      <c r="A14" s="439" t="n">
        <v>1955</v>
      </c>
      <c r="B14" s="1251" t="n">
        <f aca="false">TableDE6c!B14/TableDE6c!$B14</f>
        <v>1</v>
      </c>
      <c r="C14" s="1161" t="n">
        <f aca="false">TableDE6c!C14/TableDE6c!$B14</f>
        <v>0.262655795994599</v>
      </c>
      <c r="D14" s="891" t="n">
        <f aca="false">TableDE6c!D14/TableDE6c!$B14</f>
        <v>0.382850075694719</v>
      </c>
      <c r="E14" s="845" t="n">
        <f aca="false">TableDE6c!E14/TableDE6c!$B14</f>
        <v>0.12019427970012</v>
      </c>
      <c r="F14" s="1251" t="n">
        <f aca="false">TableDE6c!F14/TableDE6c!$B14</f>
        <v>0.476816948143367</v>
      </c>
      <c r="G14" s="1161" t="n">
        <f aca="false">TableDE6c!H14/TableDE6c!$B14</f>
        <v>0.260527255862034</v>
      </c>
      <c r="H14" s="891" t="n">
        <f aca="false">TableDE6c!I14/TableDE6c!$B14</f>
        <v>0.0508956651341124</v>
      </c>
      <c r="I14" s="912" t="n">
        <f aca="false">TableDE6c!J14/TableDE6c!$B14</f>
        <v>0.0508956651341124</v>
      </c>
      <c r="J14" s="912"/>
      <c r="K14" s="891" t="n">
        <f aca="false">TableDE6c!L14/TableDE6c!$B14</f>
        <v>0.209631590727922</v>
      </c>
      <c r="L14" s="891" t="n">
        <f aca="false">TableDE6c!M14/TableDE6c!$B14</f>
        <v>0.0426894010968784</v>
      </c>
      <c r="M14" s="1281" t="n">
        <f aca="false">TableDE6c!N14/TableDE6c!$B14</f>
        <v>0.166942189631043</v>
      </c>
    </row>
    <row r="15" customFormat="false" ht="12" hidden="false" customHeight="true" outlineLevel="0" collapsed="false">
      <c r="A15" s="439" t="n">
        <v>1956</v>
      </c>
      <c r="B15" s="1251" t="n">
        <f aca="false">TableDE6c!B15/TableDE6c!$B15</f>
        <v>1</v>
      </c>
      <c r="C15" s="1161" t="n">
        <f aca="false">TableDE6c!C15/TableDE6c!$B15</f>
        <v>0.251136334310695</v>
      </c>
      <c r="D15" s="891" t="n">
        <f aca="false">TableDE6c!D15/TableDE6c!$B15</f>
        <v>0.391881951407168</v>
      </c>
      <c r="E15" s="845" t="n">
        <f aca="false">TableDE6c!E15/TableDE6c!$B15</f>
        <v>0.140745617096473</v>
      </c>
      <c r="F15" s="1251" t="n">
        <f aca="false">TableDE6c!F15/TableDE6c!$B15</f>
        <v>0.471613252690807</v>
      </c>
      <c r="G15" s="1161" t="n">
        <f aca="false">TableDE6c!H15/TableDE6c!$B15</f>
        <v>0.277250412998498</v>
      </c>
      <c r="H15" s="891" t="n">
        <f aca="false">TableDE6c!I15/TableDE6c!$B15</f>
        <v>0.0501424741384817</v>
      </c>
      <c r="I15" s="912" t="n">
        <f aca="false">TableDE6c!J15/TableDE6c!$B15</f>
        <v>0.0501424741384817</v>
      </c>
      <c r="J15" s="912"/>
      <c r="K15" s="891" t="n">
        <f aca="false">TableDE6c!L15/TableDE6c!$B15</f>
        <v>0.227107938860016</v>
      </c>
      <c r="L15" s="891" t="n">
        <f aca="false">TableDE6c!M15/TableDE6c!$B15</f>
        <v>0.0457087673343578</v>
      </c>
      <c r="M15" s="1281" t="n">
        <f aca="false">TableDE6c!N15/TableDE6c!$B15</f>
        <v>0.181399171525659</v>
      </c>
    </row>
    <row r="16" customFormat="false" ht="12" hidden="false" customHeight="true" outlineLevel="0" collapsed="false">
      <c r="A16" s="439" t="n">
        <v>1957</v>
      </c>
      <c r="B16" s="1251" t="n">
        <f aca="false">TableDE6c!B16/TableDE6c!$B16</f>
        <v>1</v>
      </c>
      <c r="C16" s="1161" t="n">
        <f aca="false">TableDE6c!C16/TableDE6c!$B16</f>
        <v>0.257406098115445</v>
      </c>
      <c r="D16" s="891" t="n">
        <f aca="false">TableDE6c!D16/TableDE6c!$B16</f>
        <v>0.411399679098015</v>
      </c>
      <c r="E16" s="845" t="n">
        <f aca="false">TableDE6c!E16/TableDE6c!$B16</f>
        <v>0.15399358098257</v>
      </c>
      <c r="F16" s="1251" t="n">
        <f aca="false">TableDE6c!F16/TableDE6c!$B16</f>
        <v>0.46023400740545</v>
      </c>
      <c r="G16" s="1161" t="n">
        <f aca="false">TableDE6c!H16/TableDE6c!$B16</f>
        <v>0.282359894479105</v>
      </c>
      <c r="H16" s="891" t="n">
        <f aca="false">TableDE6c!I16/TableDE6c!$B16</f>
        <v>0.0480456999837259</v>
      </c>
      <c r="I16" s="912" t="n">
        <f aca="false">TableDE6c!J16/TableDE6c!$B16</f>
        <v>0.0480456999837259</v>
      </c>
      <c r="J16" s="912"/>
      <c r="K16" s="891" t="n">
        <f aca="false">TableDE6c!L16/TableDE6c!$B16</f>
        <v>0.234314194495379</v>
      </c>
      <c r="L16" s="891" t="n">
        <f aca="false">TableDE6c!M16/TableDE6c!$B16</f>
        <v>0.0479066929616019</v>
      </c>
      <c r="M16" s="1281" t="n">
        <f aca="false">TableDE6c!N16/TableDE6c!$B16</f>
        <v>0.186407501533777</v>
      </c>
    </row>
    <row r="17" customFormat="false" ht="12" hidden="false" customHeight="true" outlineLevel="0" collapsed="false">
      <c r="A17" s="439" t="n">
        <v>1958</v>
      </c>
      <c r="B17" s="1251" t="n">
        <f aca="false">TableDE6c!B17/TableDE6c!$B17</f>
        <v>1</v>
      </c>
      <c r="C17" s="1161" t="n">
        <f aca="false">TableDE6c!C17/TableDE6c!$B17</f>
        <v>0.270785179181731</v>
      </c>
      <c r="D17" s="891" t="n">
        <f aca="false">TableDE6c!D17/TableDE6c!$B17</f>
        <v>0.43109013410631</v>
      </c>
      <c r="E17" s="845" t="n">
        <f aca="false">TableDE6c!E17/TableDE6c!$B17</f>
        <v>0.160304954924578</v>
      </c>
      <c r="F17" s="1251" t="n">
        <f aca="false">TableDE6c!F17/TableDE6c!$B17</f>
        <v>0.437939106600513</v>
      </c>
      <c r="G17" s="1161" t="n">
        <f aca="false">TableDE6c!H17/TableDE6c!$B17</f>
        <v>0.291275714217756</v>
      </c>
      <c r="H17" s="891" t="n">
        <f aca="false">TableDE6c!I17/TableDE6c!$B17</f>
        <v>0.0526479370590787</v>
      </c>
      <c r="I17" s="912" t="n">
        <f aca="false">TableDE6c!J17/TableDE6c!$B17</f>
        <v>0.0526479370590787</v>
      </c>
      <c r="J17" s="912"/>
      <c r="K17" s="891" t="n">
        <f aca="false">TableDE6c!L17/TableDE6c!$B17</f>
        <v>0.238627777158677</v>
      </c>
      <c r="L17" s="891" t="n">
        <f aca="false">TableDE6c!M17/TableDE6c!$B17</f>
        <v>0.0490368055857204</v>
      </c>
      <c r="M17" s="1281" t="n">
        <f aca="false">TableDE6c!N17/TableDE6c!$B17</f>
        <v>0.189590971572957</v>
      </c>
    </row>
    <row r="18" customFormat="false" ht="12" hidden="false" customHeight="true" outlineLevel="0" collapsed="false">
      <c r="A18" s="443" t="n">
        <v>1959</v>
      </c>
      <c r="B18" s="1255" t="n">
        <f aca="false">TableDE6c!B18/TableDE6c!$B18</f>
        <v>1</v>
      </c>
      <c r="C18" s="1282" t="n">
        <f aca="false">TableDE6c!C18/TableDE6c!$B18</f>
        <v>0.271339883400134</v>
      </c>
      <c r="D18" s="990" t="n">
        <f aca="false">TableDE6c!D18/TableDE6c!$B18</f>
        <v>0.440138560335947</v>
      </c>
      <c r="E18" s="841" t="n">
        <f aca="false">TableDE6c!E18/TableDE6c!$B18</f>
        <v>0.168798676935812</v>
      </c>
      <c r="F18" s="1255" t="n">
        <f aca="false">TableDE6c!F18/TableDE6c!$B18</f>
        <v>0.413607736736227</v>
      </c>
      <c r="G18" s="1282" t="n">
        <f aca="false">TableDE6c!H18/TableDE6c!$B18</f>
        <v>0.315052379863639</v>
      </c>
      <c r="H18" s="990" t="n">
        <f aca="false">TableDE6c!I18/TableDE6c!$B18</f>
        <v>0.0677447707644798</v>
      </c>
      <c r="I18" s="1059" t="n">
        <f aca="false">TableDE6c!J18/TableDE6c!$B18</f>
        <v>0.0677447707644798</v>
      </c>
      <c r="J18" s="1059"/>
      <c r="K18" s="990" t="n">
        <f aca="false">TableDE6c!L18/TableDE6c!$B18</f>
        <v>0.247307609099159</v>
      </c>
      <c r="L18" s="990" t="n">
        <f aca="false">TableDE6c!M18/TableDE6c!$B18</f>
        <v>0.0504809657389541</v>
      </c>
      <c r="M18" s="1283" t="n">
        <f aca="false">TableDE6c!N18/TableDE6c!$B18</f>
        <v>0.196826643360205</v>
      </c>
    </row>
    <row r="19" customFormat="false" ht="12" hidden="false" customHeight="true" outlineLevel="0" collapsed="false">
      <c r="A19" s="439" t="n">
        <v>1960</v>
      </c>
      <c r="B19" s="1251" t="n">
        <f aca="false">TableDE6c!B19/TableDE6c!$B19</f>
        <v>1</v>
      </c>
      <c r="C19" s="1161" t="n">
        <f aca="false">TableDE6c!C19/TableDE6c!$B19</f>
        <v>0.296549353317455</v>
      </c>
      <c r="D19" s="891" t="n">
        <f aca="false">TableDE6c!D19/TableDE6c!$B19</f>
        <v>0.472868840253614</v>
      </c>
      <c r="E19" s="845" t="n">
        <f aca="false">TableDE6c!E19/TableDE6c!$B19</f>
        <v>0.176319486936159</v>
      </c>
      <c r="F19" s="1251" t="n">
        <f aca="false">TableDE6c!F19/TableDE6c!$B19</f>
        <v>0.365631634610552</v>
      </c>
      <c r="G19" s="1161" t="n">
        <f aca="false">TableDE6c!H19/TableDE6c!$B19</f>
        <v>0.337819012071993</v>
      </c>
      <c r="H19" s="891" t="n">
        <f aca="false">TableDE6c!I19/TableDE6c!$B19</f>
        <v>0.0874440327021411</v>
      </c>
      <c r="I19" s="912" t="n">
        <f aca="false">TableDE6c!J19/TableDE6c!$B19</f>
        <v>0.0874440327021411</v>
      </c>
      <c r="J19" s="912"/>
      <c r="K19" s="891" t="n">
        <f aca="false">TableDE6c!L19/TableDE6c!$B19</f>
        <v>0.250374979369852</v>
      </c>
      <c r="L19" s="891" t="n">
        <f aca="false">TableDE6c!M19/TableDE6c!$B19</f>
        <v>0.0491497830929899</v>
      </c>
      <c r="M19" s="1281" t="n">
        <f aca="false">TableDE6c!N19/TableDE6c!$B19</f>
        <v>0.201225196276862</v>
      </c>
    </row>
    <row r="20" customFormat="false" ht="12" hidden="false" customHeight="true" outlineLevel="0" collapsed="false">
      <c r="A20" s="439" t="n">
        <v>1961</v>
      </c>
      <c r="B20" s="1251" t="n">
        <f aca="false">TableDE6c!B20/TableDE6c!$B20</f>
        <v>1</v>
      </c>
      <c r="C20" s="1161" t="n">
        <f aca="false">TableDE6c!C20/TableDE6c!$B20</f>
        <v>0.345468777083063</v>
      </c>
      <c r="D20" s="891" t="n">
        <f aca="false">TableDE6c!D20/TableDE6c!$B20</f>
        <v>0.524616842066149</v>
      </c>
      <c r="E20" s="845" t="n">
        <f aca="false">TableDE6c!E20/TableDE6c!$B20</f>
        <v>0.179148064983086</v>
      </c>
      <c r="F20" s="1251" t="n">
        <f aca="false">TableDE6c!F20/TableDE6c!$B20</f>
        <v>0.312519415660169</v>
      </c>
      <c r="G20" s="1161" t="n">
        <f aca="false">TableDE6c!H20/TableDE6c!$B20</f>
        <v>0.342011807256768</v>
      </c>
      <c r="H20" s="891" t="n">
        <f aca="false">TableDE6c!I20/TableDE6c!$B20</f>
        <v>0.0918565603989638</v>
      </c>
      <c r="I20" s="912" t="n">
        <f aca="false">TableDE6c!J20/TableDE6c!$B20</f>
        <v>0.0918565603989638</v>
      </c>
      <c r="J20" s="912"/>
      <c r="K20" s="891" t="n">
        <f aca="false">TableDE6c!L20/TableDE6c!$B20</f>
        <v>0.250155246857804</v>
      </c>
      <c r="L20" s="891" t="n">
        <f aca="false">TableDE6c!M20/TableDE6c!$B20</f>
        <v>0.0472878737706241</v>
      </c>
      <c r="M20" s="1281" t="n">
        <f aca="false">TableDE6c!N20/TableDE6c!$B20</f>
        <v>0.20286737308718</v>
      </c>
    </row>
    <row r="21" customFormat="false" ht="12" hidden="false" customHeight="true" outlineLevel="0" collapsed="false">
      <c r="A21" s="439" t="n">
        <v>1962</v>
      </c>
      <c r="B21" s="1251" t="n">
        <f aca="false">TableDE6c!B21/TableDE6c!$B21</f>
        <v>1</v>
      </c>
      <c r="C21" s="1161" t="n">
        <f aca="false">TableDE6c!C21/TableDE6c!$B21</f>
        <v>0.348036759888656</v>
      </c>
      <c r="D21" s="891" t="n">
        <f aca="false">TableDE6c!D21/TableDE6c!$B21</f>
        <v>0.532633422910792</v>
      </c>
      <c r="E21" s="845" t="n">
        <f aca="false">TableDE6c!E21/TableDE6c!$B21</f>
        <v>0.184596663022135</v>
      </c>
      <c r="F21" s="1251" t="n">
        <f aca="false">TableDE6c!F21/TableDE6c!$B21</f>
        <v>0.318465310630865</v>
      </c>
      <c r="G21" s="1161" t="n">
        <f aca="false">TableDE6c!H21/TableDE6c!$B21</f>
        <v>0.333497929480479</v>
      </c>
      <c r="H21" s="891" t="n">
        <f aca="false">TableDE6c!I21/TableDE6c!$B21</f>
        <v>0.077695433793699</v>
      </c>
      <c r="I21" s="912" t="n">
        <f aca="false">TableDE6c!J21/TableDE6c!$B21</f>
        <v>0.077695433793699</v>
      </c>
      <c r="J21" s="912"/>
      <c r="K21" s="891" t="n">
        <f aca="false">TableDE6c!L21/TableDE6c!$B21</f>
        <v>0.25580249568678</v>
      </c>
      <c r="L21" s="891" t="n">
        <f aca="false">TableDE6c!M21/TableDE6c!$B21</f>
        <v>0.0481278845101909</v>
      </c>
      <c r="M21" s="1281" t="n">
        <f aca="false">TableDE6c!N21/TableDE6c!$B21</f>
        <v>0.207674611176589</v>
      </c>
    </row>
    <row r="22" customFormat="false" ht="12" hidden="false" customHeight="true" outlineLevel="0" collapsed="false">
      <c r="A22" s="439" t="n">
        <v>1963</v>
      </c>
      <c r="B22" s="1251" t="n">
        <f aca="false">TableDE6c!B22/TableDE6c!$B22</f>
        <v>1</v>
      </c>
      <c r="C22" s="1161" t="n">
        <f aca="false">TableDE6c!C22/TableDE6c!$B22</f>
        <v>0.332380658839901</v>
      </c>
      <c r="D22" s="891" t="n">
        <f aca="false">TableDE6c!D22/TableDE6c!$B22</f>
        <v>0.522971108172801</v>
      </c>
      <c r="E22" s="845" t="n">
        <f aca="false">TableDE6c!E22/TableDE6c!$B22</f>
        <v>0.1905904493329</v>
      </c>
      <c r="F22" s="1251" t="n">
        <f aca="false">TableDE6c!F22/TableDE6c!$B22</f>
        <v>0.336924193608135</v>
      </c>
      <c r="G22" s="1161" t="n">
        <f aca="false">TableDE6c!H22/TableDE6c!$B22</f>
        <v>0.330695147551964</v>
      </c>
      <c r="H22" s="891" t="n">
        <f aca="false">TableDE6c!I22/TableDE6c!$B22</f>
        <v>0.0661750441771406</v>
      </c>
      <c r="I22" s="912" t="n">
        <f aca="false">TableDE6c!J22/TableDE6c!$B22</f>
        <v>0.0661750441771406</v>
      </c>
      <c r="J22" s="912"/>
      <c r="K22" s="891" t="n">
        <f aca="false">TableDE6c!L22/TableDE6c!$B22</f>
        <v>0.264520103374824</v>
      </c>
      <c r="L22" s="891" t="n">
        <f aca="false">TableDE6c!M22/TableDE6c!$B22</f>
        <v>0.0490583836978354</v>
      </c>
      <c r="M22" s="1281" t="n">
        <f aca="false">TableDE6c!N22/TableDE6c!$B22</f>
        <v>0.215461719676988</v>
      </c>
    </row>
    <row r="23" customFormat="false" ht="12" hidden="false" customHeight="true" outlineLevel="0" collapsed="false">
      <c r="A23" s="439" t="n">
        <v>1964</v>
      </c>
      <c r="B23" s="1251" t="n">
        <f aca="false">TableDE6c!B23/TableDE6c!$B23</f>
        <v>1</v>
      </c>
      <c r="C23" s="1161" t="n">
        <f aca="false">TableDE6c!C23/TableDE6c!$B23</f>
        <v>0.33444191768408</v>
      </c>
      <c r="D23" s="891" t="n">
        <f aca="false">TableDE6c!D23/TableDE6c!$B23</f>
        <v>0.529700911108446</v>
      </c>
      <c r="E23" s="845" t="n">
        <f aca="false">TableDE6c!E23/TableDE6c!$B23</f>
        <v>0.195258993424365</v>
      </c>
      <c r="F23" s="1251" t="n">
        <f aca="false">TableDE6c!F23/TableDE6c!$B23</f>
        <v>0.328733052034908</v>
      </c>
      <c r="G23" s="1161" t="n">
        <f aca="false">TableDE6c!H23/TableDE6c!$B23</f>
        <v>0.336825030281012</v>
      </c>
      <c r="H23" s="891" t="n">
        <f aca="false">TableDE6c!I23/TableDE6c!$B23</f>
        <v>0.0628081154156936</v>
      </c>
      <c r="I23" s="912" t="n">
        <f aca="false">TableDE6c!J23/TableDE6c!$B23</f>
        <v>0.0628081154156936</v>
      </c>
      <c r="J23" s="912"/>
      <c r="K23" s="891" t="n">
        <f aca="false">TableDE6c!L23/TableDE6c!$B23</f>
        <v>0.274016914865318</v>
      </c>
      <c r="L23" s="891" t="n">
        <f aca="false">TableDE6c!M23/TableDE6c!$B23</f>
        <v>0.0498270348386281</v>
      </c>
      <c r="M23" s="1281" t="n">
        <f aca="false">TableDE6c!N23/TableDE6c!$B23</f>
        <v>0.22418988002669</v>
      </c>
    </row>
    <row r="24" customFormat="false" ht="12" hidden="false" customHeight="true" outlineLevel="0" collapsed="false">
      <c r="A24" s="439" t="n">
        <v>1965</v>
      </c>
      <c r="B24" s="1251" t="n">
        <f aca="false">TableDE6c!B24/TableDE6c!$B24</f>
        <v>1</v>
      </c>
      <c r="C24" s="1161" t="n">
        <f aca="false">TableDE6c!C24/TableDE6c!$B24</f>
        <v>0.333238139098008</v>
      </c>
      <c r="D24" s="891" t="n">
        <f aca="false">TableDE6c!D24/TableDE6c!$B24</f>
        <v>0.534598067091243</v>
      </c>
      <c r="E24" s="845" t="n">
        <f aca="false">TableDE6c!E24/TableDE6c!$B24</f>
        <v>0.201359927993234</v>
      </c>
      <c r="F24" s="1251" t="n">
        <f aca="false">TableDE6c!F24/TableDE6c!$B24</f>
        <v>0.321670320433421</v>
      </c>
      <c r="G24" s="1161" t="n">
        <f aca="false">TableDE6c!H24/TableDE6c!$B24</f>
        <v>0.34509154046857</v>
      </c>
      <c r="H24" s="891" t="n">
        <f aca="false">TableDE6c!I24/TableDE6c!$B24</f>
        <v>0.057867214976169</v>
      </c>
      <c r="I24" s="912" t="n">
        <f aca="false">TableDE6c!J24/TableDE6c!$B24</f>
        <v>0.057867214976169</v>
      </c>
      <c r="J24" s="912"/>
      <c r="K24" s="891" t="n">
        <f aca="false">TableDE6c!L24/TableDE6c!$B24</f>
        <v>0.287224325492401</v>
      </c>
      <c r="L24" s="891" t="n">
        <f aca="false">TableDE6c!M24/TableDE6c!$B24</f>
        <v>0.0512246572564681</v>
      </c>
      <c r="M24" s="1281" t="n">
        <f aca="false">TableDE6c!N24/TableDE6c!$B24</f>
        <v>0.235999668235933</v>
      </c>
    </row>
    <row r="25" customFormat="false" ht="12" hidden="false" customHeight="true" outlineLevel="0" collapsed="false">
      <c r="A25" s="439" t="n">
        <v>1966</v>
      </c>
      <c r="B25" s="1251" t="n">
        <f aca="false">TableDE6c!B25/TableDE6c!$B25</f>
        <v>1</v>
      </c>
      <c r="C25" s="1161" t="n">
        <f aca="false">TableDE6c!C25/TableDE6c!$B25</f>
        <v>0.340647809201702</v>
      </c>
      <c r="D25" s="891" t="n">
        <f aca="false">TableDE6c!D25/TableDE6c!$B25</f>
        <v>0.546119286226146</v>
      </c>
      <c r="E25" s="845" t="n">
        <f aca="false">TableDE6c!E25/TableDE6c!$B25</f>
        <v>0.205471477024444</v>
      </c>
      <c r="F25" s="1251" t="n">
        <f aca="false">TableDE6c!F25/TableDE6c!$B25</f>
        <v>0.30899592824265</v>
      </c>
      <c r="G25" s="1161" t="n">
        <f aca="false">TableDE6c!H25/TableDE6c!$B25</f>
        <v>0.350356262555648</v>
      </c>
      <c r="H25" s="891" t="n">
        <f aca="false">TableDE6c!I25/TableDE6c!$B25</f>
        <v>0.0506968730920486</v>
      </c>
      <c r="I25" s="912" t="n">
        <f aca="false">TableDE6c!J25/TableDE6c!$B25</f>
        <v>0.0506968730920486</v>
      </c>
      <c r="J25" s="912"/>
      <c r="K25" s="891" t="n">
        <f aca="false">TableDE6c!L25/TableDE6c!$B25</f>
        <v>0.299659389463599</v>
      </c>
      <c r="L25" s="891" t="n">
        <f aca="false">TableDE6c!M25/TableDE6c!$B25</f>
        <v>0.0526613136288039</v>
      </c>
      <c r="M25" s="1281" t="n">
        <f aca="false">TableDE6c!N25/TableDE6c!$B25</f>
        <v>0.246998075834795</v>
      </c>
    </row>
    <row r="26" customFormat="false" ht="12" hidden="false" customHeight="true" outlineLevel="0" collapsed="false">
      <c r="A26" s="439" t="n">
        <v>1967</v>
      </c>
      <c r="B26" s="1251" t="n">
        <f aca="false">TableDE6c!B26/TableDE6c!$B26</f>
        <v>1</v>
      </c>
      <c r="C26" s="1161" t="n">
        <f aca="false">TableDE6c!C26/TableDE6c!$B26</f>
        <v>0.353799741697646</v>
      </c>
      <c r="D26" s="891" t="n">
        <f aca="false">TableDE6c!D26/TableDE6c!$B26</f>
        <v>0.558239002682696</v>
      </c>
      <c r="E26" s="845" t="n">
        <f aca="false">TableDE6c!E26/TableDE6c!$B26</f>
        <v>0.204439260985051</v>
      </c>
      <c r="F26" s="1251" t="n">
        <f aca="false">TableDE6c!F26/TableDE6c!$B26</f>
        <v>0.290079872779986</v>
      </c>
      <c r="G26" s="1161" t="n">
        <f aca="false">TableDE6c!H26/TableDE6c!$B26</f>
        <v>0.356120385522369</v>
      </c>
      <c r="H26" s="891" t="n">
        <f aca="false">TableDE6c!I26/TableDE6c!$B26</f>
        <v>0.0509086039803209</v>
      </c>
      <c r="I26" s="912" t="n">
        <f aca="false">TableDE6c!J26/TableDE6c!$B26</f>
        <v>0.0509086039803209</v>
      </c>
      <c r="J26" s="912"/>
      <c r="K26" s="891" t="n">
        <f aca="false">TableDE6c!L26/TableDE6c!$B26</f>
        <v>0.305211781542048</v>
      </c>
      <c r="L26" s="891" t="n">
        <f aca="false">TableDE6c!M26/TableDE6c!$B26</f>
        <v>0.0536990000951329</v>
      </c>
      <c r="M26" s="1281" t="n">
        <f aca="false">TableDE6c!N26/TableDE6c!$B26</f>
        <v>0.251512781446915</v>
      </c>
    </row>
    <row r="27" customFormat="false" ht="12" hidden="false" customHeight="true" outlineLevel="0" collapsed="false">
      <c r="A27" s="439" t="n">
        <v>1968</v>
      </c>
      <c r="B27" s="1251" t="n">
        <f aca="false">TableDE6c!B27/TableDE6c!$B27</f>
        <v>1</v>
      </c>
      <c r="C27" s="1161" t="n">
        <f aca="false">TableDE6c!C27/TableDE6c!$B27</f>
        <v>0.361898708539096</v>
      </c>
      <c r="D27" s="891" t="n">
        <f aca="false">TableDE6c!D27/TableDE6c!$B27</f>
        <v>0.563764403397078</v>
      </c>
      <c r="E27" s="845" t="n">
        <f aca="false">TableDE6c!E27/TableDE6c!$B27</f>
        <v>0.201865694857982</v>
      </c>
      <c r="F27" s="1251" t="n">
        <f aca="false">TableDE6c!F27/TableDE6c!$B27</f>
        <v>0.272219267238725</v>
      </c>
      <c r="G27" s="1161" t="n">
        <f aca="false">TableDE6c!H27/TableDE6c!$B27</f>
        <v>0.365882024222179</v>
      </c>
      <c r="H27" s="891" t="n">
        <f aca="false">TableDE6c!I27/TableDE6c!$B27</f>
        <v>0.0560735593496166</v>
      </c>
      <c r="I27" s="912" t="n">
        <f aca="false">TableDE6c!J27/TableDE6c!$B27</f>
        <v>0.0560735593496166</v>
      </c>
      <c r="J27" s="912"/>
      <c r="K27" s="891" t="n">
        <f aca="false">TableDE6c!L27/TableDE6c!$B27</f>
        <v>0.309808464872562</v>
      </c>
      <c r="L27" s="891" t="n">
        <f aca="false">TableDE6c!M27/TableDE6c!$B27</f>
        <v>0.054692161719996</v>
      </c>
      <c r="M27" s="1281" t="n">
        <f aca="false">TableDE6c!N27/TableDE6c!$B27</f>
        <v>0.255116303152566</v>
      </c>
    </row>
    <row r="28" customFormat="false" ht="12" hidden="false" customHeight="true" outlineLevel="0" collapsed="false">
      <c r="A28" s="443" t="n">
        <v>1969</v>
      </c>
      <c r="B28" s="1255" t="n">
        <f aca="false">TableDE6c!B28/TableDE6c!$B28</f>
        <v>1</v>
      </c>
      <c r="C28" s="1282" t="n">
        <f aca="false">TableDE6c!C28/TableDE6c!$B28</f>
        <v>0.364763887615598</v>
      </c>
      <c r="D28" s="990" t="n">
        <f aca="false">TableDE6c!D28/TableDE6c!$B28</f>
        <v>0.567415905599999</v>
      </c>
      <c r="E28" s="841" t="n">
        <f aca="false">TableDE6c!E28/TableDE6c!$B28</f>
        <v>0.202652017984401</v>
      </c>
      <c r="F28" s="1255" t="n">
        <f aca="false">TableDE6c!F28/TableDE6c!$B28</f>
        <v>0.256970408832131</v>
      </c>
      <c r="G28" s="1282" t="n">
        <f aca="false">TableDE6c!H28/TableDE6c!$B28</f>
        <v>0.378265703552271</v>
      </c>
      <c r="H28" s="990" t="n">
        <f aca="false">TableDE6c!I28/TableDE6c!$B28</f>
        <v>0.0600198840242819</v>
      </c>
      <c r="I28" s="1059" t="n">
        <f aca="false">TableDE6c!J28/TableDE6c!$B28</f>
        <v>0.0600198840242819</v>
      </c>
      <c r="J28" s="1059"/>
      <c r="K28" s="990" t="n">
        <f aca="false">TableDE6c!L28/TableDE6c!$B28</f>
        <v>0.318245819527989</v>
      </c>
      <c r="L28" s="990" t="n">
        <f aca="false">TableDE6c!M28/TableDE6c!$B28</f>
        <v>0.0558961275472183</v>
      </c>
      <c r="M28" s="1283" t="n">
        <f aca="false">TableDE6c!N28/TableDE6c!$B28</f>
        <v>0.262349691980771</v>
      </c>
    </row>
    <row r="29" customFormat="false" ht="12" hidden="false" customHeight="false" outlineLevel="0" collapsed="false">
      <c r="A29" s="439" t="n">
        <v>1970</v>
      </c>
      <c r="B29" s="1251" t="n">
        <f aca="false">TableDE6c!B29/TableDE6c!$B29</f>
        <v>1</v>
      </c>
      <c r="C29" s="1161" t="n">
        <f aca="false">TableDE6c!C29/TableDE6c!$B29</f>
        <v>0.36542218926988</v>
      </c>
      <c r="D29" s="891" t="n">
        <f aca="false">TableDE6c!D29/TableDE6c!$B29</f>
        <v>0.57216985092283</v>
      </c>
      <c r="E29" s="845" t="n">
        <f aca="false">TableDE6c!E29/TableDE6c!$B29</f>
        <v>0.20674766165295</v>
      </c>
      <c r="F29" s="1251" t="n">
        <f aca="false">TableDE6c!F29/TableDE6c!$B29</f>
        <v>0.244869450513966</v>
      </c>
      <c r="G29" s="1161" t="n">
        <f aca="false">TableDE6c!H29/TableDE6c!$B29</f>
        <v>0.389708360216155</v>
      </c>
      <c r="H29" s="891" t="n">
        <f aca="false">TableDE6c!I29/TableDE6c!$B29</f>
        <v>0.0564319330264398</v>
      </c>
      <c r="I29" s="912" t="n">
        <f aca="false">TableDE6c!J29/TableDE6c!$B29</f>
        <v>0.0564319330264398</v>
      </c>
      <c r="J29" s="912"/>
      <c r="K29" s="891" t="n">
        <f aca="false">TableDE6c!L29/TableDE6c!$B29</f>
        <v>0.333276427189715</v>
      </c>
      <c r="L29" s="891" t="n">
        <f aca="false">TableDE6c!M29/TableDE6c!$B29</f>
        <v>0.0575111023157583</v>
      </c>
      <c r="M29" s="1281" t="n">
        <f aca="false">TableDE6c!N29/TableDE6c!$B29</f>
        <v>0.275765324873957</v>
      </c>
      <c r="P29" s="580"/>
    </row>
    <row r="30" customFormat="false" ht="12" hidden="false" customHeight="false" outlineLevel="0" collapsed="false">
      <c r="A30" s="439" t="n">
        <v>1971</v>
      </c>
      <c r="B30" s="1251" t="n">
        <f aca="false">TableDE6c!B30/TableDE6c!$B30</f>
        <v>1</v>
      </c>
      <c r="C30" s="1161" t="n">
        <f aca="false">TableDE6c!C30/TableDE6c!$B30</f>
        <v>0.3621215188608</v>
      </c>
      <c r="D30" s="891" t="n">
        <f aca="false">TableDE6c!D30/TableDE6c!$B30</f>
        <v>0.574902261181852</v>
      </c>
      <c r="E30" s="845" t="n">
        <f aca="false">TableDE6c!E30/TableDE6c!$B30</f>
        <v>0.212780742321052</v>
      </c>
      <c r="F30" s="1251" t="n">
        <f aca="false">TableDE6c!F30/TableDE6c!$B30</f>
        <v>0.233949745725425</v>
      </c>
      <c r="G30" s="1161" t="n">
        <f aca="false">TableDE6c!H30/TableDE6c!$B30</f>
        <v>0.403928735413776</v>
      </c>
      <c r="H30" s="891" t="n">
        <f aca="false">TableDE6c!I30/TableDE6c!$B30</f>
        <v>0.0505041886182208</v>
      </c>
      <c r="I30" s="912" t="n">
        <f aca="false">TableDE6c!J30/TableDE6c!$B30</f>
        <v>0.0505041886182208</v>
      </c>
      <c r="J30" s="912"/>
      <c r="K30" s="891" t="n">
        <f aca="false">TableDE6c!L30/TableDE6c!$B30</f>
        <v>0.353424546795555</v>
      </c>
      <c r="L30" s="891" t="n">
        <f aca="false">TableDE6c!M30/TableDE6c!$B30</f>
        <v>0.0597248117616373</v>
      </c>
      <c r="M30" s="1281" t="n">
        <f aca="false">TableDE6c!N30/TableDE6c!$B30</f>
        <v>0.293699735033917</v>
      </c>
      <c r="P30" s="580"/>
    </row>
    <row r="31" customFormat="false" ht="12" hidden="false" customHeight="false" outlineLevel="0" collapsed="false">
      <c r="A31" s="439" t="n">
        <v>1972</v>
      </c>
      <c r="B31" s="1251" t="n">
        <f aca="false">TableDE6c!B31/TableDE6c!$B31</f>
        <v>1</v>
      </c>
      <c r="C31" s="1161" t="n">
        <f aca="false">TableDE6c!C31/TableDE6c!$B31</f>
        <v>0.358395346628405</v>
      </c>
      <c r="D31" s="891" t="n">
        <f aca="false">TableDE6c!D31/TableDE6c!$B31</f>
        <v>0.579390435293913</v>
      </c>
      <c r="E31" s="845" t="n">
        <f aca="false">TableDE6c!E31/TableDE6c!$B31</f>
        <v>0.220995088665508</v>
      </c>
      <c r="F31" s="1251" t="n">
        <f aca="false">TableDE6c!F31/TableDE6c!$B31</f>
        <v>0.222527316456179</v>
      </c>
      <c r="G31" s="1161" t="n">
        <f aca="false">TableDE6c!H31/TableDE6c!$B31</f>
        <v>0.419077336915417</v>
      </c>
      <c r="H31" s="891" t="n">
        <f aca="false">TableDE6c!I31/TableDE6c!$B31</f>
        <v>0.048984783747033</v>
      </c>
      <c r="I31" s="912" t="n">
        <f aca="false">TableDE6c!J31/TableDE6c!$B31</f>
        <v>0.048984783747033</v>
      </c>
      <c r="J31" s="912"/>
      <c r="K31" s="891" t="n">
        <f aca="false">TableDE6c!L31/TableDE6c!$B31</f>
        <v>0.370092553168384</v>
      </c>
      <c r="L31" s="891" t="n">
        <f aca="false">TableDE6c!M31/TableDE6c!$B31</f>
        <v>0.0614024839352616</v>
      </c>
      <c r="M31" s="1281" t="n">
        <f aca="false">TableDE6c!N31/TableDE6c!$B31</f>
        <v>0.308690069233122</v>
      </c>
      <c r="P31" s="580"/>
    </row>
    <row r="32" customFormat="false" ht="12" hidden="false" customHeight="false" outlineLevel="0" collapsed="false">
      <c r="A32" s="439" t="n">
        <v>1973</v>
      </c>
      <c r="B32" s="1251" t="n">
        <f aca="false">TableDE6c!B32/TableDE6c!$B32</f>
        <v>1</v>
      </c>
      <c r="C32" s="1161" t="n">
        <f aca="false">TableDE6c!C32/TableDE6c!$B32</f>
        <v>0.35936469924052</v>
      </c>
      <c r="D32" s="891" t="n">
        <f aca="false">TableDE6c!D32/TableDE6c!$B32</f>
        <v>0.590422425627751</v>
      </c>
      <c r="E32" s="845" t="n">
        <f aca="false">TableDE6c!E32/TableDE6c!$B32</f>
        <v>0.231057726387231</v>
      </c>
      <c r="F32" s="1251" t="n">
        <f aca="false">TableDE6c!F32/TableDE6c!$B32</f>
        <v>0.213324629283516</v>
      </c>
      <c r="G32" s="1161" t="n">
        <f aca="false">TableDE6c!H32/TableDE6c!$B32</f>
        <v>0.427310671475964</v>
      </c>
      <c r="H32" s="891" t="n">
        <f aca="false">TableDE6c!I32/TableDE6c!$B32</f>
        <v>0.0444485982978319</v>
      </c>
      <c r="I32" s="912" t="n">
        <f aca="false">TableDE6c!J32/TableDE6c!$B32</f>
        <v>0.0444485982978319</v>
      </c>
      <c r="J32" s="912"/>
      <c r="K32" s="891" t="n">
        <f aca="false">TableDE6c!L32/TableDE6c!$B32</f>
        <v>0.382862073178132</v>
      </c>
      <c r="L32" s="891" t="n">
        <f aca="false">TableDE6c!M32/TableDE6c!$B32</f>
        <v>0.0628603547649754</v>
      </c>
      <c r="M32" s="1281" t="n">
        <f aca="false">TableDE6c!N32/TableDE6c!$B32</f>
        <v>0.320001718413157</v>
      </c>
      <c r="P32" s="580"/>
    </row>
    <row r="33" customFormat="false" ht="12" hidden="false" customHeight="false" outlineLevel="0" collapsed="false">
      <c r="A33" s="439" t="n">
        <v>1974</v>
      </c>
      <c r="B33" s="1251" t="n">
        <f aca="false">TableDE6c!B33/TableDE6c!$B33</f>
        <v>1</v>
      </c>
      <c r="C33" s="1161" t="n">
        <f aca="false">TableDE6c!C33/TableDE6c!$B33</f>
        <v>0.361129469051247</v>
      </c>
      <c r="D33" s="891" t="n">
        <f aca="false">TableDE6c!D33/TableDE6c!$B33</f>
        <v>0.595778896049586</v>
      </c>
      <c r="E33" s="845" t="n">
        <f aca="false">TableDE6c!E33/TableDE6c!$B33</f>
        <v>0.234649426998339</v>
      </c>
      <c r="F33" s="1251" t="n">
        <f aca="false">TableDE6c!F33/TableDE6c!$B33</f>
        <v>0.204289057794656</v>
      </c>
      <c r="G33" s="1161" t="n">
        <f aca="false">TableDE6c!H33/TableDE6c!$B33</f>
        <v>0.434581473154097</v>
      </c>
      <c r="H33" s="891" t="n">
        <f aca="false">TableDE6c!I33/TableDE6c!$B33</f>
        <v>0.0378481326382204</v>
      </c>
      <c r="I33" s="912" t="n">
        <f aca="false">TableDE6c!J33/TableDE6c!$B33</f>
        <v>0.0378481326382204</v>
      </c>
      <c r="J33" s="912"/>
      <c r="K33" s="891" t="n">
        <f aca="false">TableDE6c!L33/TableDE6c!$B33</f>
        <v>0.396733340515877</v>
      </c>
      <c r="L33" s="891" t="n">
        <f aca="false">TableDE6c!M33/TableDE6c!$B33</f>
        <v>0.0649351328585911</v>
      </c>
      <c r="M33" s="1281" t="n">
        <f aca="false">TableDE6c!N33/TableDE6c!$B33</f>
        <v>0.331798207657286</v>
      </c>
      <c r="P33" s="580"/>
    </row>
    <row r="34" customFormat="false" ht="12" hidden="false" customHeight="false" outlineLevel="0" collapsed="false">
      <c r="A34" s="439" t="n">
        <v>1975</v>
      </c>
      <c r="B34" s="1251" t="n">
        <f aca="false">TableDE6c!B34/TableDE6c!$B34</f>
        <v>1</v>
      </c>
      <c r="C34" s="1161" t="n">
        <f aca="false">TableDE6c!C34/TableDE6c!$B34</f>
        <v>0.357970172388918</v>
      </c>
      <c r="D34" s="891" t="n">
        <f aca="false">TableDE6c!D34/TableDE6c!$B34</f>
        <v>0.588915245601338</v>
      </c>
      <c r="E34" s="845" t="n">
        <f aca="false">TableDE6c!E34/TableDE6c!$B34</f>
        <v>0.23094507321242</v>
      </c>
      <c r="F34" s="1251" t="n">
        <f aca="false">TableDE6c!F34/TableDE6c!$B34</f>
        <v>0.19271155463447</v>
      </c>
      <c r="G34" s="1161" t="n">
        <f aca="false">TableDE6c!H34/TableDE6c!$B34</f>
        <v>0.449318272976612</v>
      </c>
      <c r="H34" s="891" t="n">
        <f aca="false">TableDE6c!I34/TableDE6c!$B34</f>
        <v>0.0366480661437914</v>
      </c>
      <c r="I34" s="912" t="n">
        <f aca="false">TableDE6c!J34/TableDE6c!$B34</f>
        <v>0.0366480661437914</v>
      </c>
      <c r="J34" s="912"/>
      <c r="K34" s="891" t="n">
        <f aca="false">TableDE6c!L34/TableDE6c!$B34</f>
        <v>0.412670206832821</v>
      </c>
      <c r="L34" s="891" t="n">
        <f aca="false">TableDE6c!M34/TableDE6c!$B34</f>
        <v>0.0666861135898969</v>
      </c>
      <c r="M34" s="1281" t="n">
        <f aca="false">TableDE6c!N34/TableDE6c!$B34</f>
        <v>0.345984093242924</v>
      </c>
      <c r="P34" s="580"/>
    </row>
    <row r="35" customFormat="false" ht="12" hidden="false" customHeight="false" outlineLevel="0" collapsed="false">
      <c r="A35" s="439" t="n">
        <v>1976</v>
      </c>
      <c r="B35" s="1251" t="n">
        <f aca="false">TableDE6c!B35/TableDE6c!$B35</f>
        <v>1</v>
      </c>
      <c r="C35" s="1161" t="n">
        <f aca="false">TableDE6c!C35/TableDE6c!$B35</f>
        <v>0.350320164833654</v>
      </c>
      <c r="D35" s="891" t="n">
        <f aca="false">TableDE6c!D35/TableDE6c!$B35</f>
        <v>0.581564301515663</v>
      </c>
      <c r="E35" s="845" t="n">
        <f aca="false">TableDE6c!E35/TableDE6c!$B35</f>
        <v>0.231244136682009</v>
      </c>
      <c r="F35" s="1251" t="n">
        <f aca="false">TableDE6c!F35/TableDE6c!$B35</f>
        <v>0.182392515625458</v>
      </c>
      <c r="G35" s="1161" t="n">
        <f aca="false">TableDE6c!H35/TableDE6c!$B35</f>
        <v>0.467287319540888</v>
      </c>
      <c r="H35" s="891" t="n">
        <f aca="false">TableDE6c!I35/TableDE6c!$B35</f>
        <v>0.0360991737837832</v>
      </c>
      <c r="I35" s="912" t="n">
        <f aca="false">TableDE6c!J35/TableDE6c!$B35</f>
        <v>0.0360991737837832</v>
      </c>
      <c r="J35" s="912"/>
      <c r="K35" s="891" t="n">
        <f aca="false">TableDE6c!L35/TableDE6c!$B35</f>
        <v>0.431188145757105</v>
      </c>
      <c r="L35" s="891" t="n">
        <f aca="false">TableDE6c!M35/TableDE6c!$B35</f>
        <v>0.0687567772641439</v>
      </c>
      <c r="M35" s="1281" t="n">
        <f aca="false">TableDE6c!N35/TableDE6c!$B35</f>
        <v>0.362431368492961</v>
      </c>
      <c r="P35" s="580"/>
    </row>
    <row r="36" customFormat="false" ht="12" hidden="false" customHeight="false" outlineLevel="0" collapsed="false">
      <c r="A36" s="439" t="n">
        <v>1977</v>
      </c>
      <c r="B36" s="1251" t="n">
        <f aca="false">TableDE6c!B36/TableDE6c!$B36</f>
        <v>1</v>
      </c>
      <c r="C36" s="1161" t="n">
        <f aca="false">TableDE6c!C36/TableDE6c!$B36</f>
        <v>0.349494200095075</v>
      </c>
      <c r="D36" s="891" t="n">
        <f aca="false">TableDE6c!D36/TableDE6c!$B36</f>
        <v>0.580903115825697</v>
      </c>
      <c r="E36" s="845" t="n">
        <f aca="false">TableDE6c!E36/TableDE6c!$B36</f>
        <v>0.231408915730621</v>
      </c>
      <c r="F36" s="1251" t="n">
        <f aca="false">TableDE6c!F36/TableDE6c!$B36</f>
        <v>0.179490359444654</v>
      </c>
      <c r="G36" s="1161" t="n">
        <f aca="false">TableDE6c!H36/TableDE6c!$B36</f>
        <v>0.471015440460271</v>
      </c>
      <c r="H36" s="891" t="n">
        <f aca="false">TableDE6c!I36/TableDE6c!$B36</f>
        <v>0.0326793731551999</v>
      </c>
      <c r="I36" s="912" t="n">
        <f aca="false">TableDE6c!J36/TableDE6c!$B36</f>
        <v>0.0326793731551999</v>
      </c>
      <c r="J36" s="912"/>
      <c r="K36" s="891" t="n">
        <f aca="false">TableDE6c!L36/TableDE6c!$B36</f>
        <v>0.438336067305071</v>
      </c>
      <c r="L36" s="891" t="n">
        <f aca="false">TableDE6c!M36/TableDE6c!$B36</f>
        <v>0.069900293095035</v>
      </c>
      <c r="M36" s="1281" t="n">
        <f aca="false">TableDE6c!N36/TableDE6c!$B36</f>
        <v>0.368435774210036</v>
      </c>
      <c r="P36" s="580"/>
    </row>
    <row r="37" customFormat="false" ht="12" hidden="false" customHeight="false" outlineLevel="0" collapsed="false">
      <c r="A37" s="439" t="n">
        <v>1978</v>
      </c>
      <c r="B37" s="1251" t="n">
        <f aca="false">TableDE6c!B37/TableDE6c!$B37</f>
        <v>1</v>
      </c>
      <c r="C37" s="1161" t="n">
        <f aca="false">TableDE6c!C37/TableDE6c!$B37</f>
        <v>0.353291658898622</v>
      </c>
      <c r="D37" s="891" t="n">
        <f aca="false">TableDE6c!D37/TableDE6c!$B37</f>
        <v>0.58532977926628</v>
      </c>
      <c r="E37" s="845" t="n">
        <f aca="false">TableDE6c!E37/TableDE6c!$B37</f>
        <v>0.232038120367658</v>
      </c>
      <c r="F37" s="1251" t="n">
        <f aca="false">TableDE6c!F37/TableDE6c!$B37</f>
        <v>0.182348984129297</v>
      </c>
      <c r="G37" s="1161" t="n">
        <f aca="false">TableDE6c!H37/TableDE6c!$B37</f>
        <v>0.464359356972081</v>
      </c>
      <c r="H37" s="891" t="n">
        <f aca="false">TableDE6c!I37/TableDE6c!$B37</f>
        <v>0.0314785485779863</v>
      </c>
      <c r="I37" s="912" t="n">
        <f aca="false">TableDE6c!J37/TableDE6c!$B37</f>
        <v>0.0314785485779863</v>
      </c>
      <c r="J37" s="912"/>
      <c r="K37" s="891" t="n">
        <f aca="false">TableDE6c!L37/TableDE6c!$B37</f>
        <v>0.432880808394094</v>
      </c>
      <c r="L37" s="891" t="n">
        <f aca="false">TableDE6c!M37/TableDE6c!$B37</f>
        <v>0.0703448448766357</v>
      </c>
      <c r="M37" s="1281" t="n">
        <f aca="false">TableDE6c!N37/TableDE6c!$B37</f>
        <v>0.362535963517459</v>
      </c>
      <c r="P37" s="580"/>
    </row>
    <row r="38" customFormat="false" ht="12.75" hidden="false" customHeight="true" outlineLevel="0" collapsed="false">
      <c r="A38" s="439" t="n">
        <v>1979</v>
      </c>
      <c r="B38" s="1251" t="n">
        <f aca="false">TableDE6c!B38/TableDE6c!$B38</f>
        <v>1</v>
      </c>
      <c r="C38" s="1161" t="n">
        <f aca="false">TableDE6c!C38/TableDE6c!$B38</f>
        <v>0.353123190503041</v>
      </c>
      <c r="D38" s="891" t="n">
        <f aca="false">TableDE6c!D38/TableDE6c!$B38</f>
        <v>0.592447343581702</v>
      </c>
      <c r="E38" s="845" t="n">
        <f aca="false">TableDE6c!E38/TableDE6c!$B38</f>
        <v>0.23932415307866</v>
      </c>
      <c r="F38" s="1251" t="n">
        <f aca="false">TableDE6c!F38/TableDE6c!$B38</f>
        <v>0.185784140608664</v>
      </c>
      <c r="G38" s="1161" t="n">
        <f aca="false">TableDE6c!H38/TableDE6c!$B38</f>
        <v>0.461092668888295</v>
      </c>
      <c r="H38" s="891" t="n">
        <f aca="false">TableDE6c!I38/TableDE6c!$B38</f>
        <v>0.0291491898482969</v>
      </c>
      <c r="I38" s="912" t="n">
        <f aca="false">TableDE6c!J38/TableDE6c!$B38</f>
        <v>0.0291491898482969</v>
      </c>
      <c r="J38" s="912"/>
      <c r="K38" s="891" t="n">
        <f aca="false">TableDE6c!L38/TableDE6c!$B38</f>
        <v>0.431943479039998</v>
      </c>
      <c r="L38" s="891" t="n">
        <f aca="false">TableDE6c!M38/TableDE6c!$B38</f>
        <v>0.0718922369503384</v>
      </c>
      <c r="M38" s="1281" t="n">
        <f aca="false">TableDE6c!N38/TableDE6c!$B38</f>
        <v>0.360051242089659</v>
      </c>
      <c r="P38" s="580"/>
      <c r="S38" s="1284"/>
      <c r="T38" s="1284"/>
    </row>
    <row r="39" customFormat="false" ht="12" hidden="false" customHeight="false" outlineLevel="0" collapsed="false">
      <c r="A39" s="859" t="n">
        <v>1980</v>
      </c>
      <c r="B39" s="1260" t="n">
        <f aca="false">TableDE6c!B39/TableDE6c!$B39</f>
        <v>1</v>
      </c>
      <c r="C39" s="1165" t="n">
        <f aca="false">TableDE6c!C39/TableDE6c!$B39</f>
        <v>0.353787426034256</v>
      </c>
      <c r="D39" s="1078" t="n">
        <f aca="false">TableDE6c!D39/TableDE6c!$B39</f>
        <v>0.601407458434668</v>
      </c>
      <c r="E39" s="868" t="n">
        <f aca="false">TableDE6c!E39/TableDE6c!$B39</f>
        <v>0.247620032400411</v>
      </c>
      <c r="F39" s="1260" t="n">
        <f aca="false">TableDE6c!F39/TableDE6c!$B39</f>
        <v>0.183710487340727</v>
      </c>
      <c r="G39" s="1165" t="n">
        <f aca="false">TableDE6c!H39/TableDE6c!$B39</f>
        <v>0.462502086625017</v>
      </c>
      <c r="H39" s="1078" t="n">
        <f aca="false">TableDE6c!I39/TableDE6c!$B39</f>
        <v>0.0261609204525704</v>
      </c>
      <c r="I39" s="1056" t="n">
        <f aca="false">TableDE6c!J39/TableDE6c!$B39</f>
        <v>0.0261609204525704</v>
      </c>
      <c r="J39" s="1056"/>
      <c r="K39" s="1078" t="n">
        <f aca="false">TableDE6c!L39/TableDE6c!$B39</f>
        <v>0.436341166172446</v>
      </c>
      <c r="L39" s="1078" t="n">
        <f aca="false">TableDE6c!M39/TableDE6c!$B39</f>
        <v>0.0740872435078538</v>
      </c>
      <c r="M39" s="1285" t="n">
        <f aca="false">TableDE6c!N39/TableDE6c!$B39</f>
        <v>0.362253922664593</v>
      </c>
      <c r="P39" s="580"/>
    </row>
    <row r="40" customFormat="false" ht="12" hidden="false" customHeight="false" outlineLevel="0" collapsed="false">
      <c r="A40" s="439" t="n">
        <v>1981</v>
      </c>
      <c r="B40" s="1251" t="n">
        <f aca="false">TableDE6c!B40/TableDE6c!$B40</f>
        <v>1</v>
      </c>
      <c r="C40" s="1161" t="n">
        <f aca="false">TableDE6c!C40/TableDE6c!$B40</f>
        <v>0.357612706661803</v>
      </c>
      <c r="D40" s="891" t="n">
        <f aca="false">TableDE6c!D40/TableDE6c!$B40</f>
        <v>0.609731160588254</v>
      </c>
      <c r="E40" s="845" t="n">
        <f aca="false">TableDE6c!E40/TableDE6c!$B40</f>
        <v>0.252118453926451</v>
      </c>
      <c r="F40" s="1251" t="n">
        <f aca="false">TableDE6c!F40/TableDE6c!$B40</f>
        <v>0.176647390279025</v>
      </c>
      <c r="G40" s="1161" t="n">
        <f aca="false">TableDE6c!H40/TableDE6c!$B40</f>
        <v>0.465739903059172</v>
      </c>
      <c r="H40" s="891" t="n">
        <f aca="false">TableDE6c!I40/TableDE6c!$B40</f>
        <v>0.0237023641449507</v>
      </c>
      <c r="I40" s="912" t="n">
        <f aca="false">TableDE6c!J40/TableDE6c!$B40</f>
        <v>0.0237023641449507</v>
      </c>
      <c r="J40" s="912"/>
      <c r="K40" s="891" t="n">
        <f aca="false">TableDE6c!L40/TableDE6c!$B40</f>
        <v>0.442037538914221</v>
      </c>
      <c r="L40" s="891" t="n">
        <f aca="false">TableDE6c!M40/TableDE6c!$B40</f>
        <v>0.0768094193724319</v>
      </c>
      <c r="M40" s="1281" t="n">
        <f aca="false">TableDE6c!N40/TableDE6c!$B40</f>
        <v>0.365228119541789</v>
      </c>
      <c r="P40" s="580"/>
    </row>
    <row r="41" customFormat="false" ht="12" hidden="false" customHeight="false" outlineLevel="0" collapsed="false">
      <c r="A41" s="439" t="n">
        <v>1982</v>
      </c>
      <c r="B41" s="1251" t="n">
        <f aca="false">TableDE6c!B41/TableDE6c!$B41</f>
        <v>1</v>
      </c>
      <c r="C41" s="1161" t="n">
        <f aca="false">TableDE6c!C41/TableDE6c!$B41</f>
        <v>0.360750632310474</v>
      </c>
      <c r="D41" s="891" t="n">
        <f aca="false">TableDE6c!D41/TableDE6c!$B41</f>
        <v>0.612324993320137</v>
      </c>
      <c r="E41" s="845" t="n">
        <f aca="false">TableDE6c!E41/TableDE6c!$B41</f>
        <v>0.251574361009663</v>
      </c>
      <c r="F41" s="1251" t="n">
        <f aca="false">TableDE6c!F41/TableDE6c!$B41</f>
        <v>0.169240191077638</v>
      </c>
      <c r="G41" s="1161" t="n">
        <f aca="false">TableDE6c!H41/TableDE6c!$B41</f>
        <v>0.470009176611888</v>
      </c>
      <c r="H41" s="891" t="n">
        <f aca="false">TableDE6c!I41/TableDE6c!$B41</f>
        <v>0.021951462387174</v>
      </c>
      <c r="I41" s="912" t="n">
        <f aca="false">TableDE6c!J41/TableDE6c!$B41</f>
        <v>0.021951462387174</v>
      </c>
      <c r="J41" s="912"/>
      <c r="K41" s="891" t="n">
        <f aca="false">TableDE6c!L41/TableDE6c!$B41</f>
        <v>0.448057714224714</v>
      </c>
      <c r="L41" s="891" t="n">
        <f aca="false">TableDE6c!M41/TableDE6c!$B41</f>
        <v>0.0795439671382866</v>
      </c>
      <c r="M41" s="1281" t="n">
        <f aca="false">TableDE6c!N41/TableDE6c!$B41</f>
        <v>0.368513747086427</v>
      </c>
      <c r="N41" s="115"/>
      <c r="O41" s="115"/>
      <c r="P41" s="580"/>
      <c r="Q41" s="115"/>
      <c r="R41" s="115"/>
    </row>
    <row r="42" customFormat="false" ht="12" hidden="false" customHeight="false" outlineLevel="0" collapsed="false">
      <c r="A42" s="439" t="n">
        <v>1983</v>
      </c>
      <c r="B42" s="1251" t="n">
        <f aca="false">TableDE6c!B42/TableDE6c!$B42</f>
        <v>1</v>
      </c>
      <c r="C42" s="1161" t="n">
        <f aca="false">TableDE6c!C42/TableDE6c!$B42</f>
        <v>0.362257599053239</v>
      </c>
      <c r="D42" s="891" t="n">
        <f aca="false">TableDE6c!D42/TableDE6c!$B42</f>
        <v>0.614344027797264</v>
      </c>
      <c r="E42" s="845" t="n">
        <f aca="false">TableDE6c!E42/TableDE6c!$B42</f>
        <v>0.252086428744024</v>
      </c>
      <c r="F42" s="1251" t="n">
        <f aca="false">TableDE6c!F42/TableDE6c!$B42</f>
        <v>0.162784826154883</v>
      </c>
      <c r="G42" s="1161" t="n">
        <f aca="false">TableDE6c!H42/TableDE6c!$B42</f>
        <v>0.474957574791878</v>
      </c>
      <c r="H42" s="891" t="n">
        <f aca="false">TableDE6c!I42/TableDE6c!$B42</f>
        <v>0.0245154736360526</v>
      </c>
      <c r="I42" s="912" t="n">
        <f aca="false">TableDE6c!J42/TableDE6c!$B42</f>
        <v>0.0245154736360526</v>
      </c>
      <c r="J42" s="912"/>
      <c r="K42" s="891" t="n">
        <f aca="false">TableDE6c!L42/TableDE6c!$B42</f>
        <v>0.450442101155825</v>
      </c>
      <c r="L42" s="891" t="n">
        <f aca="false">TableDE6c!M42/TableDE6c!$B42</f>
        <v>0.0822681528556636</v>
      </c>
      <c r="M42" s="1281" t="n">
        <f aca="false">TableDE6c!N42/TableDE6c!$B42</f>
        <v>0.368173948300162</v>
      </c>
      <c r="N42" s="115"/>
      <c r="O42" s="115"/>
      <c r="P42" s="580"/>
      <c r="Q42" s="115"/>
      <c r="R42" s="115"/>
    </row>
    <row r="43" customFormat="false" ht="12" hidden="false" customHeight="false" outlineLevel="0" collapsed="false">
      <c r="A43" s="439" t="n">
        <v>1984</v>
      </c>
      <c r="B43" s="1251" t="n">
        <f aca="false">TableDE6c!B43/TableDE6c!$B43</f>
        <v>1</v>
      </c>
      <c r="C43" s="1161" t="n">
        <f aca="false">TableDE6c!C43/TableDE6c!$B43</f>
        <v>0.362835046228654</v>
      </c>
      <c r="D43" s="891" t="n">
        <f aca="false">TableDE6c!D43/TableDE6c!$B43</f>
        <v>0.616757715865654</v>
      </c>
      <c r="E43" s="845" t="n">
        <f aca="false">TableDE6c!E43/TableDE6c!$B43</f>
        <v>0.253922669636999</v>
      </c>
      <c r="F43" s="1251" t="n">
        <f aca="false">TableDE6c!F43/TableDE6c!$B43</f>
        <v>0.157324320139867</v>
      </c>
      <c r="G43" s="1161" t="n">
        <f aca="false">TableDE6c!H43/TableDE6c!$B43</f>
        <v>0.479840633631478</v>
      </c>
      <c r="H43" s="891" t="n">
        <f aca="false">TableDE6c!I43/TableDE6c!$B43</f>
        <v>0.0276026971439315</v>
      </c>
      <c r="I43" s="912" t="n">
        <f aca="false">TableDE6c!J43/TableDE6c!$B43</f>
        <v>0.0276026971439315</v>
      </c>
      <c r="J43" s="912"/>
      <c r="K43" s="891" t="n">
        <f aca="false">TableDE6c!L43/TableDE6c!$B43</f>
        <v>0.452237936487547</v>
      </c>
      <c r="L43" s="891" t="n">
        <f aca="false">TableDE6c!M43/TableDE6c!$B43</f>
        <v>0.0850047742173399</v>
      </c>
      <c r="M43" s="1281" t="n">
        <f aca="false">TableDE6c!N43/TableDE6c!$B43</f>
        <v>0.367233162270207</v>
      </c>
      <c r="N43" s="115"/>
      <c r="O43" s="115"/>
      <c r="P43" s="580"/>
      <c r="Q43" s="115"/>
      <c r="R43" s="115"/>
    </row>
    <row r="44" customFormat="false" ht="12" hidden="false" customHeight="false" outlineLevel="0" collapsed="false">
      <c r="A44" s="439" t="n">
        <v>1985</v>
      </c>
      <c r="B44" s="1251" t="n">
        <f aca="false">TableDE6c!B44/TableDE6c!$B44</f>
        <v>1</v>
      </c>
      <c r="C44" s="1161" t="n">
        <f aca="false">TableDE6c!C44/TableDE6c!$B44</f>
        <v>0.363137035779437</v>
      </c>
      <c r="D44" s="891" t="n">
        <f aca="false">TableDE6c!D44/TableDE6c!$B44</f>
        <v>0.614898208593316</v>
      </c>
      <c r="E44" s="845" t="n">
        <f aca="false">TableDE6c!E44/TableDE6c!$B44</f>
        <v>0.251761172813879</v>
      </c>
      <c r="F44" s="1251" t="n">
        <f aca="false">TableDE6c!F44/TableDE6c!$B44</f>
        <v>0.151530114723332</v>
      </c>
      <c r="G44" s="1161" t="n">
        <f aca="false">TableDE6c!H44/TableDE6c!$B44</f>
        <v>0.485332849497231</v>
      </c>
      <c r="H44" s="891" t="n">
        <f aca="false">TableDE6c!I44/TableDE6c!$B44</f>
        <v>0.0338856732108985</v>
      </c>
      <c r="I44" s="912" t="n">
        <f aca="false">TableDE6c!J44/TableDE6c!$B44</f>
        <v>0.0338856732108985</v>
      </c>
      <c r="J44" s="912"/>
      <c r="K44" s="891" t="n">
        <f aca="false">TableDE6c!L44/TableDE6c!$B44</f>
        <v>0.451447176286332</v>
      </c>
      <c r="L44" s="891" t="n">
        <f aca="false">TableDE6c!M44/TableDE6c!$B44</f>
        <v>0.0876033747310467</v>
      </c>
      <c r="M44" s="1281" t="n">
        <f aca="false">TableDE6c!N44/TableDE6c!$B44</f>
        <v>0.363843801555285</v>
      </c>
      <c r="N44" s="115"/>
      <c r="O44" s="115"/>
      <c r="P44" s="580"/>
      <c r="Q44" s="115"/>
      <c r="R44" s="115"/>
    </row>
    <row r="45" customFormat="false" ht="12" hidden="false" customHeight="false" outlineLevel="0" collapsed="false">
      <c r="A45" s="439" t="n">
        <v>1986</v>
      </c>
      <c r="B45" s="1251" t="n">
        <f aca="false">TableDE6c!B45/TableDE6c!$B45</f>
        <v>1</v>
      </c>
      <c r="C45" s="1161" t="n">
        <f aca="false">TableDE6c!C45/TableDE6c!$B45</f>
        <v>0.365800409155558</v>
      </c>
      <c r="D45" s="891" t="n">
        <f aca="false">TableDE6c!D45/TableDE6c!$B45</f>
        <v>0.611614281104629</v>
      </c>
      <c r="E45" s="845" t="n">
        <f aca="false">TableDE6c!E45/TableDE6c!$B45</f>
        <v>0.245813871949072</v>
      </c>
      <c r="F45" s="1251" t="n">
        <f aca="false">TableDE6c!F45/TableDE6c!$B45</f>
        <v>0.146053138203098</v>
      </c>
      <c r="G45" s="1161" t="n">
        <f aca="false">TableDE6c!H45/TableDE6c!$B45</f>
        <v>0.488146452641344</v>
      </c>
      <c r="H45" s="891" t="n">
        <f aca="false">TableDE6c!I45/TableDE6c!$B45</f>
        <v>0.0409637039276239</v>
      </c>
      <c r="I45" s="912" t="n">
        <f aca="false">TableDE6c!J45/TableDE6c!$B45</f>
        <v>0.0409637039276239</v>
      </c>
      <c r="J45" s="912"/>
      <c r="K45" s="891" t="n">
        <f aca="false">TableDE6c!L45/TableDE6c!$B45</f>
        <v>0.44718274871372</v>
      </c>
      <c r="L45" s="891" t="n">
        <f aca="false">TableDE6c!M45/TableDE6c!$B45</f>
        <v>0.0903902077771952</v>
      </c>
      <c r="M45" s="1281" t="n">
        <f aca="false">TableDE6c!N45/TableDE6c!$B45</f>
        <v>0.356792540936525</v>
      </c>
      <c r="N45" s="115"/>
      <c r="O45" s="115"/>
      <c r="P45" s="580"/>
      <c r="Q45" s="115"/>
      <c r="R45" s="115"/>
    </row>
    <row r="46" customFormat="false" ht="12" hidden="false" customHeight="false" outlineLevel="0" collapsed="false">
      <c r="A46" s="439" t="n">
        <v>1987</v>
      </c>
      <c r="B46" s="1251" t="n">
        <f aca="false">TableDE6c!B46/TableDE6c!$B46</f>
        <v>1</v>
      </c>
      <c r="C46" s="1161" t="n">
        <f aca="false">TableDE6c!C46/TableDE6c!$B46</f>
        <v>0.372915710116117</v>
      </c>
      <c r="D46" s="891" t="n">
        <f aca="false">TableDE6c!D46/TableDE6c!$B46</f>
        <v>0.61274204618245</v>
      </c>
      <c r="E46" s="845" t="n">
        <f aca="false">TableDE6c!E46/TableDE6c!$B46</f>
        <v>0.239826336066333</v>
      </c>
      <c r="F46" s="1251" t="n">
        <f aca="false">TableDE6c!F46/TableDE6c!$B46</f>
        <v>0.142166684279156</v>
      </c>
      <c r="G46" s="1161" t="n">
        <f aca="false">TableDE6c!H46/TableDE6c!$B46</f>
        <v>0.484917605604728</v>
      </c>
      <c r="H46" s="891" t="n">
        <f aca="false">TableDE6c!I46/TableDE6c!$B46</f>
        <v>0.0364787299497278</v>
      </c>
      <c r="I46" s="912" t="n">
        <f aca="false">TableDE6c!J46/TableDE6c!$B46</f>
        <v>0.0364787299497278</v>
      </c>
      <c r="J46" s="912"/>
      <c r="K46" s="891" t="n">
        <f aca="false">TableDE6c!L46/TableDE6c!$B46</f>
        <v>0.448438875655</v>
      </c>
      <c r="L46" s="891" t="n">
        <f aca="false">TableDE6c!M46/TableDE6c!$B46</f>
        <v>0.0936572689973042</v>
      </c>
      <c r="M46" s="1281" t="n">
        <f aca="false">TableDE6c!N46/TableDE6c!$B46</f>
        <v>0.354781606657696</v>
      </c>
      <c r="N46" s="115"/>
      <c r="O46" s="115"/>
      <c r="P46" s="580"/>
      <c r="Q46" s="115"/>
      <c r="R46" s="115"/>
    </row>
    <row r="47" customFormat="false" ht="12" hidden="false" customHeight="false" outlineLevel="0" collapsed="false">
      <c r="A47" s="439" t="n">
        <v>1988</v>
      </c>
      <c r="B47" s="1251" t="n">
        <f aca="false">TableDE6c!B47/TableDE6c!$B47</f>
        <v>1</v>
      </c>
      <c r="C47" s="1161" t="n">
        <f aca="false">TableDE6c!C47/TableDE6c!$B47</f>
        <v>0.377802635806852</v>
      </c>
      <c r="D47" s="891" t="n">
        <f aca="false">TableDE6c!D47/TableDE6c!$B47</f>
        <v>0.610930684365777</v>
      </c>
      <c r="E47" s="845" t="n">
        <f aca="false">TableDE6c!E47/TableDE6c!$B47</f>
        <v>0.233128048558925</v>
      </c>
      <c r="F47" s="1251" t="n">
        <f aca="false">TableDE6c!F47/TableDE6c!$B47</f>
        <v>0.138039862742405</v>
      </c>
      <c r="G47" s="1161" t="n">
        <f aca="false">TableDE6c!H47/TableDE6c!$B47</f>
        <v>0.484157501450743</v>
      </c>
      <c r="H47" s="891" t="n">
        <f aca="false">TableDE6c!I47/TableDE6c!$B47</f>
        <v>0.0334928934567058</v>
      </c>
      <c r="I47" s="912" t="n">
        <f aca="false">TableDE6c!J47/TableDE6c!$B47</f>
        <v>0.0334928934567058</v>
      </c>
      <c r="J47" s="912"/>
      <c r="K47" s="891" t="n">
        <f aca="false">TableDE6c!L47/TableDE6c!$B47</f>
        <v>0.450664607994037</v>
      </c>
      <c r="L47" s="891" t="n">
        <f aca="false">TableDE6c!M47/TableDE6c!$B47</f>
        <v>0.0966242104581771</v>
      </c>
      <c r="M47" s="1281" t="n">
        <f aca="false">TableDE6c!N47/TableDE6c!$B47</f>
        <v>0.35404039753586</v>
      </c>
      <c r="N47" s="115"/>
      <c r="O47" s="115"/>
      <c r="P47" s="580"/>
      <c r="Q47" s="115"/>
      <c r="R47" s="115"/>
    </row>
    <row r="48" customFormat="false" ht="12" hidden="false" customHeight="false" outlineLevel="0" collapsed="false">
      <c r="A48" s="439" t="n">
        <v>1989</v>
      </c>
      <c r="B48" s="1251" t="n">
        <f aca="false">TableDE6c!B48/TableDE6c!$B48</f>
        <v>1</v>
      </c>
      <c r="C48" s="1161" t="n">
        <f aca="false">TableDE6c!C48/TableDE6c!$B48</f>
        <v>0.376886105226299</v>
      </c>
      <c r="D48" s="891" t="n">
        <f aca="false">TableDE6c!D48/TableDE6c!$B48</f>
        <v>0.604437082805639</v>
      </c>
      <c r="E48" s="845" t="n">
        <f aca="false">TableDE6c!E48/TableDE6c!$B48</f>
        <v>0.22755097757934</v>
      </c>
      <c r="F48" s="1251" t="n">
        <f aca="false">TableDE6c!F48/TableDE6c!$B48</f>
        <v>0.133272804727472</v>
      </c>
      <c r="G48" s="1161" t="n">
        <f aca="false">TableDE6c!H48/TableDE6c!$B48</f>
        <v>0.489841090046228</v>
      </c>
      <c r="H48" s="891" t="n">
        <f aca="false">TableDE6c!I48/TableDE6c!$B48</f>
        <v>0.0391594170156721</v>
      </c>
      <c r="I48" s="912" t="n">
        <f aca="false">TableDE6c!J48/TableDE6c!$B48</f>
        <v>0.0391594170156721</v>
      </c>
      <c r="J48" s="912"/>
      <c r="K48" s="891" t="n">
        <f aca="false">TableDE6c!L48/TableDE6c!$B48</f>
        <v>0.450681673030556</v>
      </c>
      <c r="L48" s="891" t="n">
        <f aca="false">TableDE6c!M48/TableDE6c!$B48</f>
        <v>0.0992146401825928</v>
      </c>
      <c r="M48" s="1281" t="n">
        <f aca="false">TableDE6c!N48/TableDE6c!$B48</f>
        <v>0.351467032847964</v>
      </c>
      <c r="N48" s="115"/>
      <c r="O48" s="115"/>
      <c r="P48" s="580"/>
      <c r="Q48" s="115"/>
      <c r="R48" s="115"/>
    </row>
    <row r="49" customFormat="false" ht="12" hidden="false" customHeight="false" outlineLevel="0" collapsed="false">
      <c r="A49" s="859" t="n">
        <v>1990</v>
      </c>
      <c r="B49" s="1260" t="n">
        <f aca="false">TableDE6c!B49/TableDE6c!$B49</f>
        <v>1</v>
      </c>
      <c r="C49" s="1165" t="n">
        <f aca="false">TableDE6c!C49/TableDE6c!$B49</f>
        <v>0.374298482746283</v>
      </c>
      <c r="D49" s="1078" t="n">
        <f aca="false">TableDE6c!D49/TableDE6c!$B49</f>
        <v>0.599112474694613</v>
      </c>
      <c r="E49" s="868" t="n">
        <f aca="false">TableDE6c!E49/TableDE6c!$B49</f>
        <v>0.22481399194833</v>
      </c>
      <c r="F49" s="1260" t="n">
        <f aca="false">TableDE6c!F49/TableDE6c!$B49</f>
        <v>0.128996640523941</v>
      </c>
      <c r="G49" s="1165" t="n">
        <f aca="false">TableDE6c!H49/TableDE6c!$B49</f>
        <v>0.496704876729776</v>
      </c>
      <c r="H49" s="1078" t="n">
        <f aca="false">TableDE6c!I49/TableDE6c!$B49</f>
        <v>0.0456070998492107</v>
      </c>
      <c r="I49" s="1056" t="n">
        <f aca="false">TableDE6c!J49/TableDE6c!$B49</f>
        <v>0.0456070998492107</v>
      </c>
      <c r="J49" s="1056"/>
      <c r="K49" s="1078" t="n">
        <f aca="false">TableDE6c!L49/TableDE6c!$B49</f>
        <v>0.451097776880565</v>
      </c>
      <c r="L49" s="1078" t="n">
        <f aca="false">TableDE6c!M49/TableDE6c!$B49</f>
        <v>0.102026411597591</v>
      </c>
      <c r="M49" s="1285" t="n">
        <f aca="false">TableDE6c!N49/TableDE6c!$B49</f>
        <v>0.349071365282974</v>
      </c>
      <c r="N49" s="115"/>
      <c r="O49" s="115"/>
      <c r="P49" s="580"/>
      <c r="Q49" s="115"/>
      <c r="R49" s="115"/>
    </row>
    <row r="50" customFormat="false" ht="12" hidden="false" customHeight="false" outlineLevel="0" collapsed="false">
      <c r="A50" s="439" t="n">
        <v>1991</v>
      </c>
      <c r="B50" s="1251" t="n">
        <f aca="false">TableDE6c!B50/TableDE6c!$B50</f>
        <v>1</v>
      </c>
      <c r="C50" s="1161" t="n">
        <f aca="false">TableDE6c!C50/TableDE6c!$B50</f>
        <v>0.385129939799813</v>
      </c>
      <c r="D50" s="891" t="n">
        <f aca="false">TableDE6c!D50/TableDE6c!$B50</f>
        <v>0.59577475501893</v>
      </c>
      <c r="E50" s="845" t="n">
        <f aca="false">TableDE6c!E50/TableDE6c!$B50</f>
        <v>0.210644815219117</v>
      </c>
      <c r="F50" s="1251" t="n">
        <f aca="false">TableDE6c!F50/TableDE6c!$B50</f>
        <v>0.131731142443517</v>
      </c>
      <c r="G50" s="1161" t="n">
        <f aca="false">TableDE6c!H50/TableDE6c!$B50</f>
        <v>0.48313891775667</v>
      </c>
      <c r="H50" s="891" t="n">
        <f aca="false">TableDE6c!I50/TableDE6c!$B50</f>
        <v>0.0719077515347098</v>
      </c>
      <c r="I50" s="912" t="n">
        <f aca="false">TableDE6c!J50/TableDE6c!$B50</f>
        <v>0.0326820793907538</v>
      </c>
      <c r="J50" s="912"/>
      <c r="K50" s="891" t="n">
        <f aca="false">TableDE6c!L50/TableDE6c!$B50</f>
        <v>0.41123116622196</v>
      </c>
      <c r="L50" s="891" t="n">
        <f aca="false">TableDE6c!M50/TableDE6c!$B50</f>
        <v>0.0958863170295773</v>
      </c>
      <c r="M50" s="1281" t="n">
        <f aca="false">TableDE6c!N50/TableDE6c!$B50</f>
        <v>0.315344849192383</v>
      </c>
      <c r="N50" s="115"/>
      <c r="O50" s="115"/>
      <c r="P50" s="580"/>
      <c r="Q50" s="115"/>
      <c r="R50" s="115"/>
    </row>
    <row r="51" customFormat="false" ht="12" hidden="false" customHeight="false" outlineLevel="0" collapsed="false">
      <c r="A51" s="439" t="n">
        <v>1992</v>
      </c>
      <c r="B51" s="1251" t="n">
        <f aca="false">TableDE6c!B51/TableDE6c!$B51</f>
        <v>1</v>
      </c>
      <c r="C51" s="1161" t="n">
        <f aca="false">TableDE6c!C51/TableDE6c!$B51</f>
        <v>0.388381783703925</v>
      </c>
      <c r="D51" s="891" t="n">
        <f aca="false">TableDE6c!D51/TableDE6c!$B51</f>
        <v>0.597557852245715</v>
      </c>
      <c r="E51" s="845" t="n">
        <f aca="false">TableDE6c!E51/TableDE6c!$B51</f>
        <v>0.20917606854179</v>
      </c>
      <c r="F51" s="1251" t="n">
        <f aca="false">TableDE6c!F51/TableDE6c!$B51</f>
        <v>0.12865065730966</v>
      </c>
      <c r="G51" s="1161" t="n">
        <f aca="false">TableDE6c!H51/TableDE6c!$B51</f>
        <v>0.482967558986415</v>
      </c>
      <c r="H51" s="891" t="n">
        <f aca="false">TableDE6c!I51/TableDE6c!$B51</f>
        <v>0.0731831456997782</v>
      </c>
      <c r="I51" s="912" t="n">
        <f aca="false">TableDE6c!J51/TableDE6c!$B51</f>
        <v>0.029835553024152</v>
      </c>
      <c r="J51" s="912" t="n">
        <f aca="false">TableDE6c!K51/TableDE6c!$B51</f>
        <v>0.0433475926756262</v>
      </c>
      <c r="K51" s="891" t="n">
        <f aca="false">TableDE6c!L51/TableDE6c!$B51</f>
        <v>0.409784413286637</v>
      </c>
      <c r="L51" s="891" t="n">
        <f aca="false">TableDE6c!M51/TableDE6c!$B51</f>
        <v>0.0962566196875871</v>
      </c>
      <c r="M51" s="1281" t="n">
        <f aca="false">TableDE6c!N51/TableDE6c!$B51</f>
        <v>0.31352779359905</v>
      </c>
      <c r="N51" s="115"/>
      <c r="O51" s="115"/>
      <c r="P51" s="580"/>
      <c r="Q51" s="115"/>
      <c r="R51" s="115"/>
    </row>
    <row r="52" customFormat="false" ht="12" hidden="false" customHeight="false" outlineLevel="0" collapsed="false">
      <c r="A52" s="439" t="n">
        <v>1993</v>
      </c>
      <c r="B52" s="1251" t="n">
        <f aca="false">TableDE6c!B52/TableDE6c!$B52</f>
        <v>1</v>
      </c>
      <c r="C52" s="1161" t="n">
        <f aca="false">TableDE6c!C52/TableDE6c!$B52</f>
        <v>0.382737477129131</v>
      </c>
      <c r="D52" s="891" t="n">
        <f aca="false">TableDE6c!D52/TableDE6c!$B52</f>
        <v>0.595749803523915</v>
      </c>
      <c r="E52" s="845" t="n">
        <f aca="false">TableDE6c!E52/TableDE6c!$B52</f>
        <v>0.213012326394784</v>
      </c>
      <c r="F52" s="1251" t="n">
        <f aca="false">TableDE6c!F52/TableDE6c!$B52</f>
        <v>0.125191484805061</v>
      </c>
      <c r="G52" s="1161" t="n">
        <f aca="false">TableDE6c!H52/TableDE6c!$B52</f>
        <v>0.492071038065809</v>
      </c>
      <c r="H52" s="891" t="n">
        <f aca="false">TableDE6c!I52/TableDE6c!$B52</f>
        <v>0.0813496779743511</v>
      </c>
      <c r="I52" s="912" t="n">
        <f aca="false">TableDE6c!J52/TableDE6c!$B52</f>
        <v>0.0328590670877336</v>
      </c>
      <c r="J52" s="912" t="n">
        <f aca="false">TableDE6c!K52/TableDE6c!$B52</f>
        <v>0.0484906108866175</v>
      </c>
      <c r="K52" s="891" t="n">
        <f aca="false">TableDE6c!L52/TableDE6c!$B52</f>
        <v>0.410721360091458</v>
      </c>
      <c r="L52" s="891" t="n">
        <f aca="false">TableDE6c!M52/TableDE6c!$B52</f>
        <v>0.0982942261763274</v>
      </c>
      <c r="M52" s="1281" t="n">
        <f aca="false">TableDE6c!N52/TableDE6c!$B52</f>
        <v>0.31242713391513</v>
      </c>
      <c r="N52" s="115"/>
      <c r="O52" s="115"/>
      <c r="P52" s="580"/>
      <c r="Q52" s="115"/>
      <c r="R52" s="115"/>
    </row>
    <row r="53" customFormat="false" ht="12" hidden="false" customHeight="false" outlineLevel="0" collapsed="false">
      <c r="A53" s="439" t="n">
        <v>1994</v>
      </c>
      <c r="B53" s="1251" t="n">
        <f aca="false">TableDE6c!B53/TableDE6c!$B53</f>
        <v>1</v>
      </c>
      <c r="C53" s="1161" t="n">
        <f aca="false">TableDE6c!C53/TableDE6c!$B53</f>
        <v>0.375838717496097</v>
      </c>
      <c r="D53" s="891" t="n">
        <f aca="false">TableDE6c!D53/TableDE6c!$B53</f>
        <v>0.597403054390592</v>
      </c>
      <c r="E53" s="845" t="n">
        <f aca="false">TableDE6c!E53/TableDE6c!$B53</f>
        <v>0.221564336894495</v>
      </c>
      <c r="F53" s="1251" t="n">
        <f aca="false">TableDE6c!F53/TableDE6c!$B53</f>
        <v>0.122284164041639</v>
      </c>
      <c r="G53" s="1161" t="n">
        <f aca="false">TableDE6c!H53/TableDE6c!$B53</f>
        <v>0.501877118462265</v>
      </c>
      <c r="H53" s="891" t="n">
        <f aca="false">TableDE6c!I53/TableDE6c!$B53</f>
        <v>0.0916141073497232</v>
      </c>
      <c r="I53" s="912" t="n">
        <f aca="false">TableDE6c!J53/TableDE6c!$B53</f>
        <v>0.0367807954691723</v>
      </c>
      <c r="J53" s="912" t="n">
        <f aca="false">TableDE6c!K53/TableDE6c!$B53</f>
        <v>0.0548333118805509</v>
      </c>
      <c r="K53" s="891" t="n">
        <f aca="false">TableDE6c!L53/TableDE6c!$B53</f>
        <v>0.410263011112541</v>
      </c>
      <c r="L53" s="891" t="n">
        <f aca="false">TableDE6c!M53/TableDE6c!$B53</f>
        <v>0.102018706826275</v>
      </c>
      <c r="M53" s="1281" t="n">
        <f aca="false">TableDE6c!N53/TableDE6c!$B53</f>
        <v>0.308244304286266</v>
      </c>
      <c r="N53" s="115"/>
      <c r="O53" s="115"/>
      <c r="P53" s="580"/>
      <c r="Q53" s="115"/>
      <c r="R53" s="115"/>
    </row>
    <row r="54" customFormat="false" ht="12" hidden="false" customHeight="false" outlineLevel="0" collapsed="false">
      <c r="A54" s="439" t="n">
        <v>1995</v>
      </c>
      <c r="B54" s="1251" t="n">
        <f aca="false">TableDE6c!B54/TableDE6c!$B54</f>
        <v>1</v>
      </c>
      <c r="C54" s="1161" t="n">
        <f aca="false">TableDE6c!C54/TableDE6c!$B54</f>
        <v>0.371785460871655</v>
      </c>
      <c r="D54" s="891" t="n">
        <f aca="false">TableDE6c!D54/TableDE6c!$B54</f>
        <v>0.601351731870136</v>
      </c>
      <c r="E54" s="845" t="n">
        <f aca="false">TableDE6c!E54/TableDE6c!$B54</f>
        <v>0.22956627099848</v>
      </c>
      <c r="F54" s="1251" t="n">
        <f aca="false">TableDE6c!F54/TableDE6c!$B54</f>
        <v>0.119455759812618</v>
      </c>
      <c r="G54" s="1161" t="n">
        <f aca="false">TableDE6c!H54/TableDE6c!$B54</f>
        <v>0.508758779315727</v>
      </c>
      <c r="H54" s="891" t="n">
        <f aca="false">TableDE6c!I54/TableDE6c!$B54</f>
        <v>0.0958434304021029</v>
      </c>
      <c r="I54" s="912" t="n">
        <f aca="false">TableDE6c!J54/TableDE6c!$B54</f>
        <v>0.0373454635067976</v>
      </c>
      <c r="J54" s="912" t="n">
        <f aca="false">TableDE6c!K54/TableDE6c!$B54</f>
        <v>0.0584979668953054</v>
      </c>
      <c r="K54" s="891" t="n">
        <f aca="false">TableDE6c!L54/TableDE6c!$B54</f>
        <v>0.412915348913624</v>
      </c>
      <c r="L54" s="891" t="n">
        <f aca="false">TableDE6c!M54/TableDE6c!$B54</f>
        <v>0.106861214934078</v>
      </c>
      <c r="M54" s="1281" t="n">
        <f aca="false">TableDE6c!N54/TableDE6c!$B54</f>
        <v>0.306054133979546</v>
      </c>
      <c r="N54" s="115"/>
      <c r="O54" s="115"/>
      <c r="P54" s="580"/>
      <c r="Q54" s="115"/>
      <c r="R54" s="115"/>
    </row>
    <row r="55" customFormat="false" ht="12" hidden="false" customHeight="false" outlineLevel="0" collapsed="false">
      <c r="A55" s="439" t="n">
        <v>1996</v>
      </c>
      <c r="B55" s="1251" t="n">
        <f aca="false">TableDE6c!B55/TableDE6c!$B55</f>
        <v>1</v>
      </c>
      <c r="C55" s="1161" t="n">
        <f aca="false">TableDE6c!C55/TableDE6c!$B55</f>
        <v>0.365234211571057</v>
      </c>
      <c r="D55" s="891" t="n">
        <f aca="false">TableDE6c!D55/TableDE6c!$B55</f>
        <v>0.598858687075013</v>
      </c>
      <c r="E55" s="845" t="n">
        <f aca="false">TableDE6c!E55/TableDE6c!$B55</f>
        <v>0.233624475503956</v>
      </c>
      <c r="F55" s="1251" t="n">
        <f aca="false">TableDE6c!F55/TableDE6c!$B55</f>
        <v>0.115453575128995</v>
      </c>
      <c r="G55" s="1161" t="n">
        <f aca="false">TableDE6c!H55/TableDE6c!$B55</f>
        <v>0.519312213299948</v>
      </c>
      <c r="H55" s="891" t="n">
        <f aca="false">TableDE6c!I55/TableDE6c!$B55</f>
        <v>0.100439158458935</v>
      </c>
      <c r="I55" s="912" t="n">
        <f aca="false">TableDE6c!J55/TableDE6c!$B55</f>
        <v>0.040688177932532</v>
      </c>
      <c r="J55" s="912" t="n">
        <f aca="false">TableDE6c!K55/TableDE6c!$B55</f>
        <v>0.0597509805264033</v>
      </c>
      <c r="K55" s="891" t="n">
        <f aca="false">TableDE6c!L55/TableDE6c!$B55</f>
        <v>0.418873054841013</v>
      </c>
      <c r="L55" s="891" t="n">
        <f aca="false">TableDE6c!M55/TableDE6c!$B55</f>
        <v>0.111491476022339</v>
      </c>
      <c r="M55" s="1281" t="n">
        <f aca="false">TableDE6c!N55/TableDE6c!$B55</f>
        <v>0.307381578818674</v>
      </c>
      <c r="N55" s="115"/>
      <c r="O55" s="115"/>
      <c r="P55" s="580"/>
      <c r="Q55" s="115"/>
      <c r="R55" s="115"/>
    </row>
    <row r="56" customFormat="false" ht="12" hidden="false" customHeight="false" outlineLevel="0" collapsed="false">
      <c r="A56" s="439" t="n">
        <v>1997</v>
      </c>
      <c r="B56" s="1251" t="n">
        <f aca="false">TableDE6c!B56/TableDE6c!$B56</f>
        <v>1</v>
      </c>
      <c r="C56" s="1161" t="n">
        <f aca="false">TableDE6c!C56/TableDE6c!$B56</f>
        <v>0.356732138393917</v>
      </c>
      <c r="D56" s="891" t="n">
        <f aca="false">TableDE6c!D56/TableDE6c!$B56</f>
        <v>0.592316091897452</v>
      </c>
      <c r="E56" s="845" t="n">
        <f aca="false">TableDE6c!E56/TableDE6c!$B56</f>
        <v>0.235583953503535</v>
      </c>
      <c r="F56" s="1251" t="n">
        <f aca="false">TableDE6c!F56/TableDE6c!$B56</f>
        <v>0.111641509883423</v>
      </c>
      <c r="G56" s="1161" t="n">
        <f aca="false">TableDE6c!H56/TableDE6c!$B56</f>
        <v>0.531626351722661</v>
      </c>
      <c r="H56" s="891" t="n">
        <f aca="false">TableDE6c!I56/TableDE6c!$B56</f>
        <v>0.112366457718208</v>
      </c>
      <c r="I56" s="912" t="n">
        <f aca="false">TableDE6c!J56/TableDE6c!$B56</f>
        <v>0.0488157000083828</v>
      </c>
      <c r="J56" s="912" t="n">
        <f aca="false">TableDE6c!K56/TableDE6c!$B56</f>
        <v>0.0635507577098255</v>
      </c>
      <c r="K56" s="891" t="n">
        <f aca="false">TableDE6c!L56/TableDE6c!$B56</f>
        <v>0.419259894004452</v>
      </c>
      <c r="L56" s="891" t="n">
        <f aca="false">TableDE6c!M56/TableDE6c!$B56</f>
        <v>0.11597105147956</v>
      </c>
      <c r="M56" s="1281" t="n">
        <f aca="false">TableDE6c!N56/TableDE6c!$B56</f>
        <v>0.303288842524892</v>
      </c>
      <c r="N56" s="115"/>
      <c r="O56" s="115"/>
      <c r="P56" s="580"/>
      <c r="Q56" s="115"/>
      <c r="R56" s="115"/>
    </row>
    <row r="57" customFormat="false" ht="12" hidden="false" customHeight="false" outlineLevel="0" collapsed="false">
      <c r="A57" s="439" t="n">
        <v>1998</v>
      </c>
      <c r="B57" s="1251" t="n">
        <f aca="false">TableDE6c!B57/TableDE6c!$B57</f>
        <v>1</v>
      </c>
      <c r="C57" s="1161" t="n">
        <f aca="false">TableDE6c!C57/TableDE6c!$B57</f>
        <v>0.348875002199631</v>
      </c>
      <c r="D57" s="891" t="n">
        <f aca="false">TableDE6c!D57/TableDE6c!$B57</f>
        <v>0.585321653203665</v>
      </c>
      <c r="E57" s="845" t="n">
        <f aca="false">TableDE6c!E57/TableDE6c!$B57</f>
        <v>0.236446651004034</v>
      </c>
      <c r="F57" s="1251" t="n">
        <f aca="false">TableDE6c!F57/TableDE6c!$B57</f>
        <v>0.107758713833881</v>
      </c>
      <c r="G57" s="1161" t="n">
        <f aca="false">TableDE6c!H57/TableDE6c!$B57</f>
        <v>0.543366283966488</v>
      </c>
      <c r="H57" s="891" t="n">
        <f aca="false">TableDE6c!I57/TableDE6c!$B57</f>
        <v>0.126672281572765</v>
      </c>
      <c r="I57" s="912" t="n">
        <f aca="false">TableDE6c!J57/TableDE6c!$B57</f>
        <v>0.0583979786338047</v>
      </c>
      <c r="J57" s="912" t="n">
        <f aca="false">TableDE6c!K57/TableDE6c!$B57</f>
        <v>0.0682743029389601</v>
      </c>
      <c r="K57" s="891" t="n">
        <f aca="false">TableDE6c!L57/TableDE6c!$B57</f>
        <v>0.416694002393723</v>
      </c>
      <c r="L57" s="891" t="n">
        <f aca="false">TableDE6c!M57/TableDE6c!$B57</f>
        <v>0.119934394255065</v>
      </c>
      <c r="M57" s="1281" t="n">
        <f aca="false">TableDE6c!N57/TableDE6c!$B57</f>
        <v>0.296759608138659</v>
      </c>
      <c r="N57" s="115"/>
      <c r="O57" s="115"/>
      <c r="P57" s="580"/>
      <c r="Q57" s="115"/>
      <c r="R57" s="115"/>
    </row>
    <row r="58" customFormat="false" ht="12" hidden="false" customHeight="false" outlineLevel="0" collapsed="false">
      <c r="A58" s="923" t="n">
        <f aca="false">A57+1</f>
        <v>1999</v>
      </c>
      <c r="B58" s="1251" t="n">
        <f aca="false">TableDE6c!B58/TableDE6c!$B58</f>
        <v>1</v>
      </c>
      <c r="C58" s="1161" t="n">
        <f aca="false">TableDE6c!C58/TableDE6c!$B58</f>
        <v>0.338194336855193</v>
      </c>
      <c r="D58" s="891" t="n">
        <f aca="false">TableDE6c!D58/TableDE6c!$B58</f>
        <v>0.578062541138554</v>
      </c>
      <c r="E58" s="845" t="n">
        <f aca="false">TableDE6c!E58/TableDE6c!$B58</f>
        <v>0.239868204283361</v>
      </c>
      <c r="F58" s="1251" t="n">
        <f aca="false">TableDE6c!F58/TableDE6c!$B58</f>
        <v>0.103617009404258</v>
      </c>
      <c r="G58" s="1161" t="n">
        <f aca="false">TableDE6c!H58/TableDE6c!$B58</f>
        <v>0.558188653740548</v>
      </c>
      <c r="H58" s="891" t="n">
        <f aca="false">TableDE6c!I58/TableDE6c!$B58</f>
        <v>0.145566679339332</v>
      </c>
      <c r="I58" s="912" t="n">
        <f aca="false">TableDE6c!J58/TableDE6c!$B58</f>
        <v>0.0712034807586702</v>
      </c>
      <c r="J58" s="912" t="n">
        <f aca="false">TableDE6c!K58/TableDE6c!$B58</f>
        <v>0.0743631985806615</v>
      </c>
      <c r="K58" s="891" t="n">
        <f aca="false">TableDE6c!L58/TableDE6c!$B58</f>
        <v>0.412621974401217</v>
      </c>
      <c r="L58" s="891" t="n">
        <f aca="false">TableDE6c!M58/TableDE6c!$B58</f>
        <v>0.124006251848097</v>
      </c>
      <c r="M58" s="1281" t="n">
        <f aca="false">TableDE6c!N58/TableDE6c!$B58</f>
        <v>0.28861572255312</v>
      </c>
      <c r="N58" s="115"/>
      <c r="O58" s="115"/>
      <c r="P58" s="580"/>
      <c r="Q58" s="115"/>
      <c r="R58" s="115"/>
    </row>
    <row r="59" customFormat="false" ht="12" hidden="false" customHeight="false" outlineLevel="0" collapsed="false">
      <c r="A59" s="1286" t="n">
        <f aca="false">A58+1</f>
        <v>2000</v>
      </c>
      <c r="B59" s="1260" t="n">
        <f aca="false">TableDE6c!B59/TableDE6c!$B59</f>
        <v>1</v>
      </c>
      <c r="C59" s="1165" t="n">
        <f aca="false">TableDE6c!C59/TableDE6c!$B59</f>
        <v>0.333563907569261</v>
      </c>
      <c r="D59" s="1078" t="n">
        <f aca="false">TableDE6c!D59/TableDE6c!$B59</f>
        <v>0.57613405803693</v>
      </c>
      <c r="E59" s="868" t="n">
        <f aca="false">TableDE6c!E59/TableDE6c!$B59</f>
        <v>0.24257015046767</v>
      </c>
      <c r="F59" s="1260" t="n">
        <f aca="false">TableDE6c!F59/TableDE6c!$B59</f>
        <v>0.100685787428706</v>
      </c>
      <c r="G59" s="1165" t="n">
        <f aca="false">TableDE6c!H59/TableDE6c!$B59</f>
        <v>0.565750305002033</v>
      </c>
      <c r="H59" s="1078" t="n">
        <f aca="false">TableDE6c!I59/TableDE6c!$B59</f>
        <v>0.158682391215941</v>
      </c>
      <c r="I59" s="1056" t="n">
        <f aca="false">TableDE6c!J59/TableDE6c!$B59</f>
        <v>0.0761203741358276</v>
      </c>
      <c r="J59" s="1056" t="n">
        <f aca="false">TableDE6c!K59/TableDE6c!$B59</f>
        <v>0.0825620170801139</v>
      </c>
      <c r="K59" s="1078" t="n">
        <f aca="false">TableDE6c!L59/TableDE6c!$B59</f>
        <v>0.407067913786092</v>
      </c>
      <c r="L59" s="1078" t="n">
        <f aca="false">TableDE6c!M59/TableDE6c!$B59</f>
        <v>0.128873525823505</v>
      </c>
      <c r="M59" s="1285" t="n">
        <f aca="false">TableDE6c!N59/TableDE6c!$B59</f>
        <v>0.278194387962586</v>
      </c>
      <c r="N59" s="115"/>
      <c r="O59" s="115"/>
      <c r="P59" s="580"/>
      <c r="Q59" s="115"/>
      <c r="R59" s="115"/>
    </row>
    <row r="60" customFormat="false" ht="12" hidden="false" customHeight="false" outlineLevel="0" collapsed="false">
      <c r="A60" s="923" t="n">
        <f aca="false">A59+1</f>
        <v>2001</v>
      </c>
      <c r="B60" s="1251" t="n">
        <f aca="false">TableDE6c!B60/TableDE6c!$B60</f>
        <v>1</v>
      </c>
      <c r="C60" s="1161" t="n">
        <f aca="false">TableDE6c!C60/TableDE6c!$B60</f>
        <v>0.338695962515434</v>
      </c>
      <c r="D60" s="891" t="n">
        <f aca="false">TableDE6c!D60/TableDE6c!$B60</f>
        <v>0.579394178308937</v>
      </c>
      <c r="E60" s="845" t="n">
        <f aca="false">TableDE6c!E60/TableDE6c!$B60</f>
        <v>0.240698215793502</v>
      </c>
      <c r="F60" s="1251" t="n">
        <f aca="false">TableDE6c!F60/TableDE6c!$B60</f>
        <v>0.099038308295705</v>
      </c>
      <c r="G60" s="1161" t="n">
        <f aca="false">TableDE6c!H60/TableDE6c!$B60</f>
        <v>0.562265729188861</v>
      </c>
      <c r="H60" s="891" t="n">
        <f aca="false">TableDE6c!I60/TableDE6c!$B60</f>
        <v>0.15574915366587</v>
      </c>
      <c r="I60" s="912" t="n">
        <f aca="false">TableDE6c!J60/TableDE6c!$B60</f>
        <v>0.0647554114091365</v>
      </c>
      <c r="J60" s="912" t="n">
        <f aca="false">TableDE6c!K60/TableDE6c!$B60</f>
        <v>0.0909937422567332</v>
      </c>
      <c r="K60" s="891" t="n">
        <f aca="false">TableDE6c!L60/TableDE6c!$B60</f>
        <v>0.406516575522991</v>
      </c>
      <c r="L60" s="891" t="n">
        <f aca="false">TableDE6c!M60/TableDE6c!$B60</f>
        <v>0.133109222477372</v>
      </c>
      <c r="M60" s="1281" t="n">
        <f aca="false">TableDE6c!N60/TableDE6c!$B60</f>
        <v>0.273407353045619</v>
      </c>
      <c r="N60" s="115"/>
      <c r="O60" s="115"/>
      <c r="P60" s="580"/>
      <c r="Q60" s="115"/>
      <c r="R60" s="115"/>
    </row>
    <row r="61" customFormat="false" ht="12" hidden="false" customHeight="false" outlineLevel="0" collapsed="false">
      <c r="A61" s="923" t="n">
        <f aca="false">A60+1</f>
        <v>2002</v>
      </c>
      <c r="B61" s="1251" t="n">
        <f aca="false">TableDE6c!B61/TableDE6c!$B61</f>
        <v>1</v>
      </c>
      <c r="C61" s="1161" t="n">
        <f aca="false">TableDE6c!C61/TableDE6c!$B61</f>
        <v>0.348240074172262</v>
      </c>
      <c r="D61" s="891" t="n">
        <f aca="false">TableDE6c!D61/TableDE6c!$B61</f>
        <v>0.586234402686888</v>
      </c>
      <c r="E61" s="845" t="n">
        <f aca="false">TableDE6c!E61/TableDE6c!$B61</f>
        <v>0.237994328514626</v>
      </c>
      <c r="F61" s="1251" t="n">
        <f aca="false">TableDE6c!F61/TableDE6c!$B61</f>
        <v>0.0980349312218136</v>
      </c>
      <c r="G61" s="1161" t="n">
        <f aca="false">TableDE6c!H61/TableDE6c!$B61</f>
        <v>0.553724994605924</v>
      </c>
      <c r="H61" s="891" t="n">
        <f aca="false">TableDE6c!I61/TableDE6c!$B61</f>
        <v>0.13677064389853</v>
      </c>
      <c r="I61" s="912" t="n">
        <f aca="false">TableDE6c!J61/TableDE6c!$B61</f>
        <v>0.0441851863267885</v>
      </c>
      <c r="J61" s="912" t="n">
        <f aca="false">TableDE6c!K61/TableDE6c!$B61</f>
        <v>0.0925854575717412</v>
      </c>
      <c r="K61" s="891" t="n">
        <f aca="false">TableDE6c!L61/TableDE6c!$B61</f>
        <v>0.416954350707394</v>
      </c>
      <c r="L61" s="891" t="n">
        <f aca="false">TableDE6c!M61/TableDE6c!$B61</f>
        <v>0.136169589742009</v>
      </c>
      <c r="M61" s="1281" t="n">
        <f aca="false">TableDE6c!N61/TableDE6c!$B61</f>
        <v>0.280784760965385</v>
      </c>
      <c r="N61" s="115"/>
      <c r="O61" s="115"/>
      <c r="P61" s="580"/>
      <c r="Q61" s="115"/>
      <c r="R61" s="115"/>
    </row>
    <row r="62" customFormat="false" ht="12" hidden="false" customHeight="false" outlineLevel="0" collapsed="false">
      <c r="A62" s="923" t="n">
        <f aca="false">A61+1</f>
        <v>2003</v>
      </c>
      <c r="B62" s="1251" t="n">
        <f aca="false">TableDE6c!B62/TableDE6c!$B62</f>
        <v>1</v>
      </c>
      <c r="C62" s="1161" t="n">
        <f aca="false">TableDE6c!C62/TableDE6c!$B62</f>
        <v>0.354394514668634</v>
      </c>
      <c r="D62" s="891" t="n">
        <f aca="false">TableDE6c!D62/TableDE6c!$B62</f>
        <v>0.586917661954647</v>
      </c>
      <c r="E62" s="845" t="n">
        <f aca="false">TableDE6c!E62/TableDE6c!$B62</f>
        <v>0.232523147286013</v>
      </c>
      <c r="F62" s="1251" t="n">
        <f aca="false">TableDE6c!F62/TableDE6c!$B62</f>
        <v>0.0954859313682079</v>
      </c>
      <c r="G62" s="1161" t="n">
        <f aca="false">TableDE6c!H62/TableDE6c!$B62</f>
        <v>0.550119553963158</v>
      </c>
      <c r="H62" s="891" t="n">
        <f aca="false">TableDE6c!I62/TableDE6c!$B62</f>
        <v>0.125863134920931</v>
      </c>
      <c r="I62" s="912" t="n">
        <f aca="false">TableDE6c!J62/TableDE6c!$B62</f>
        <v>0.0349201856252188</v>
      </c>
      <c r="J62" s="912" t="n">
        <f aca="false">TableDE6c!K62/TableDE6c!$B62</f>
        <v>0.0909429492957117</v>
      </c>
      <c r="K62" s="891" t="n">
        <f aca="false">TableDE6c!L62/TableDE6c!$B62</f>
        <v>0.424256419042227</v>
      </c>
      <c r="L62" s="891" t="n">
        <f aca="false">TableDE6c!M62/TableDE6c!$B62</f>
        <v>0.137572719349865</v>
      </c>
      <c r="M62" s="1281" t="n">
        <f aca="false">TableDE6c!N62/TableDE6c!$B62</f>
        <v>0.286683699692363</v>
      </c>
      <c r="N62" s="115"/>
      <c r="O62" s="115"/>
      <c r="P62" s="580"/>
      <c r="Q62" s="115"/>
      <c r="R62" s="115"/>
    </row>
    <row r="63" customFormat="false" ht="12" hidden="false" customHeight="false" outlineLevel="0" collapsed="false">
      <c r="A63" s="923" t="n">
        <f aca="false">A62+1</f>
        <v>2004</v>
      </c>
      <c r="B63" s="1251" t="n">
        <f aca="false">TableDE6c!B63/TableDE6c!$B63</f>
        <v>1</v>
      </c>
      <c r="C63" s="1161" t="n">
        <f aca="false">TableDE6c!C63/TableDE6c!$B63</f>
        <v>0.35533516751952</v>
      </c>
      <c r="D63" s="891" t="n">
        <f aca="false">TableDE6c!D63/TableDE6c!$B63</f>
        <v>0.578530117853585</v>
      </c>
      <c r="E63" s="845" t="n">
        <f aca="false">TableDE6c!E63/TableDE6c!$B63</f>
        <v>0.223194950334065</v>
      </c>
      <c r="F63" s="1251" t="n">
        <f aca="false">TableDE6c!F63/TableDE6c!$B63</f>
        <v>0.09220496639035</v>
      </c>
      <c r="G63" s="1161" t="n">
        <f aca="false">TableDE6c!H63/TableDE6c!$B63</f>
        <v>0.55245986609013</v>
      </c>
      <c r="H63" s="891" t="n">
        <f aca="false">TableDE6c!I63/TableDE6c!$B63</f>
        <v>0.128272307069674</v>
      </c>
      <c r="I63" s="912" t="n">
        <f aca="false">TableDE6c!J63/TableDE6c!$B63</f>
        <v>0.0387458197541909</v>
      </c>
      <c r="J63" s="912" t="n">
        <f aca="false">TableDE6c!K63/TableDE6c!$B63</f>
        <v>0.0895264873154834</v>
      </c>
      <c r="K63" s="891" t="n">
        <f aca="false">TableDE6c!L63/TableDE6c!$B63</f>
        <v>0.424187559020456</v>
      </c>
      <c r="L63" s="891" t="n">
        <f aca="false">TableDE6c!M63/TableDE6c!$B63</f>
        <v>0.137786582032221</v>
      </c>
      <c r="M63" s="1281" t="n">
        <f aca="false">TableDE6c!N63/TableDE6c!$B63</f>
        <v>0.286400976988235</v>
      </c>
      <c r="N63" s="115"/>
      <c r="O63" s="115"/>
      <c r="P63" s="580"/>
      <c r="Q63" s="115"/>
      <c r="R63" s="115"/>
    </row>
    <row r="64" customFormat="false" ht="12" hidden="false" customHeight="false" outlineLevel="0" collapsed="false">
      <c r="A64" s="923" t="n">
        <f aca="false">A63+1</f>
        <v>2005</v>
      </c>
      <c r="B64" s="1251" t="n">
        <f aca="false">TableDE6c!B64/TableDE6c!$B64</f>
        <v>1</v>
      </c>
      <c r="C64" s="1161" t="n">
        <f aca="false">TableDE6c!C64/TableDE6c!$B64</f>
        <v>0.356116722623679</v>
      </c>
      <c r="D64" s="891" t="n">
        <f aca="false">TableDE6c!D64/TableDE6c!$B64</f>
        <v>0.569260269523261</v>
      </c>
      <c r="E64" s="845" t="n">
        <f aca="false">TableDE6c!E64/TableDE6c!$B64</f>
        <v>0.213143546899582</v>
      </c>
      <c r="F64" s="1251" t="n">
        <f aca="false">TableDE6c!F64/TableDE6c!$B64</f>
        <v>0.0895717165886038</v>
      </c>
      <c r="G64" s="1161" t="n">
        <f aca="false">TableDE6c!H64/TableDE6c!$B64</f>
        <v>0.554311560787718</v>
      </c>
      <c r="H64" s="891" t="n">
        <f aca="false">TableDE6c!I64/TableDE6c!$B64</f>
        <v>0.132147507188195</v>
      </c>
      <c r="I64" s="912" t="n">
        <f aca="false">TableDE6c!J64/TableDE6c!$B64</f>
        <v>0.0413185591059513</v>
      </c>
      <c r="J64" s="912" t="n">
        <f aca="false">TableDE6c!K64/TableDE6c!$B64</f>
        <v>0.0908289480822438</v>
      </c>
      <c r="K64" s="891" t="n">
        <f aca="false">TableDE6c!L64/TableDE6c!$B64</f>
        <v>0.422164053599523</v>
      </c>
      <c r="L64" s="891" t="n">
        <f aca="false">TableDE6c!M64/TableDE6c!$B64</f>
        <v>0.139111918841209</v>
      </c>
      <c r="M64" s="1281" t="n">
        <f aca="false">TableDE6c!N64/TableDE6c!$B64</f>
        <v>0.283052134758314</v>
      </c>
      <c r="N64" s="115"/>
      <c r="O64" s="115"/>
      <c r="P64" s="580"/>
      <c r="Q64" s="115"/>
      <c r="R64" s="115"/>
    </row>
    <row r="65" customFormat="false" ht="12" hidden="false" customHeight="false" outlineLevel="0" collapsed="false">
      <c r="A65" s="923" t="n">
        <f aca="false">A64+1</f>
        <v>2006</v>
      </c>
      <c r="B65" s="1251" t="n">
        <f aca="false">TableDE6c!B65/TableDE6c!$B65</f>
        <v>1</v>
      </c>
      <c r="C65" s="1161" t="n">
        <f aca="false">TableDE6c!C65/TableDE6c!$B65</f>
        <v>0.360960126982956</v>
      </c>
      <c r="D65" s="891" t="n">
        <f aca="false">TableDE6c!D65/TableDE6c!$B65</f>
        <v>0.565913727819448</v>
      </c>
      <c r="E65" s="845" t="n">
        <f aca="false">TableDE6c!E65/TableDE6c!$B65</f>
        <v>0.204953600836492</v>
      </c>
      <c r="F65" s="1251" t="n">
        <f aca="false">TableDE6c!F65/TableDE6c!$B65</f>
        <v>0.0880596089992689</v>
      </c>
      <c r="G65" s="1161" t="n">
        <f aca="false">TableDE6c!H65/TableDE6c!$B65</f>
        <v>0.550980264017775</v>
      </c>
      <c r="H65" s="891" t="n">
        <f aca="false">TableDE6c!I65/TableDE6c!$B65</f>
        <v>0.133041432492485</v>
      </c>
      <c r="I65" s="912" t="n">
        <f aca="false">TableDE6c!J65/TableDE6c!$B65</f>
        <v>0.0427852568291727</v>
      </c>
      <c r="J65" s="912" t="n">
        <f aca="false">TableDE6c!K65/TableDE6c!$B65</f>
        <v>0.090256175663312</v>
      </c>
      <c r="K65" s="891" t="n">
        <f aca="false">TableDE6c!L65/TableDE6c!$B65</f>
        <v>0.417938831525291</v>
      </c>
      <c r="L65" s="891" t="n">
        <f aca="false">TableDE6c!M65/TableDE6c!$B65</f>
        <v>0.142210168605411</v>
      </c>
      <c r="M65" s="1281" t="n">
        <f aca="false">TableDE6c!N65/TableDE6c!$B65</f>
        <v>0.27572866291988</v>
      </c>
      <c r="N65" s="115"/>
      <c r="O65" s="115"/>
      <c r="P65" s="580"/>
      <c r="Q65" s="115"/>
      <c r="R65" s="115"/>
    </row>
    <row r="66" customFormat="false" ht="12" hidden="false" customHeight="false" outlineLevel="0" collapsed="false">
      <c r="A66" s="923" t="n">
        <f aca="false">A65+1</f>
        <v>2007</v>
      </c>
      <c r="B66" s="1251" t="n">
        <f aca="false">TableDE6c!B66/TableDE6c!$B66</f>
        <v>1</v>
      </c>
      <c r="C66" s="1161" t="n">
        <f aca="false">TableDE6c!C66/TableDE6c!$B66</f>
        <v>0.371432460233498</v>
      </c>
      <c r="D66" s="891" t="n">
        <f aca="false">TableDE6c!D66/TableDE6c!$B66</f>
        <v>0.565403749119619</v>
      </c>
      <c r="E66" s="845" t="n">
        <f aca="false">TableDE6c!E66/TableDE6c!$B66</f>
        <v>0.193971288886121</v>
      </c>
      <c r="F66" s="1251" t="n">
        <f aca="false">TableDE6c!F66/TableDE6c!$B66</f>
        <v>0.0866686203257773</v>
      </c>
      <c r="G66" s="1161" t="n">
        <f aca="false">TableDE6c!H66/TableDE6c!$B66</f>
        <v>0.541898919440725</v>
      </c>
      <c r="H66" s="891" t="n">
        <f aca="false">TableDE6c!I66/TableDE6c!$B66</f>
        <v>0.128153707221375</v>
      </c>
      <c r="I66" s="912" t="n">
        <f aca="false">TableDE6c!J66/TableDE6c!$B66</f>
        <v>0.0434839473110578</v>
      </c>
      <c r="J66" s="912" t="n">
        <f aca="false">TableDE6c!K66/TableDE6c!$B66</f>
        <v>0.0846697599103167</v>
      </c>
      <c r="K66" s="891" t="n">
        <f aca="false">TableDE6c!L66/TableDE6c!$B66</f>
        <v>0.41374521221935</v>
      </c>
      <c r="L66" s="891" t="n">
        <f aca="false">TableDE6c!M66/TableDE6c!$B66</f>
        <v>0.144022669946751</v>
      </c>
      <c r="M66" s="1281" t="n">
        <f aca="false">TableDE6c!N66/TableDE6c!$B66</f>
        <v>0.2697225422726</v>
      </c>
      <c r="N66" s="115"/>
      <c r="O66" s="115"/>
      <c r="P66" s="580"/>
      <c r="Q66" s="115"/>
      <c r="R66" s="115"/>
    </row>
    <row r="67" customFormat="false" ht="12" hidden="false" customHeight="false" outlineLevel="0" collapsed="false">
      <c r="A67" s="923" t="n">
        <v>2008</v>
      </c>
      <c r="B67" s="1251" t="n">
        <f aca="false">TableDE6c!B67/TableDE6c!$B67</f>
        <v>1</v>
      </c>
      <c r="C67" s="1161" t="n">
        <f aca="false">TableDE6c!C67/TableDE6c!$B67</f>
        <v>0.386928154968456</v>
      </c>
      <c r="D67" s="891" t="n">
        <f aca="false">TableDE6c!D67/TableDE6c!$B67</f>
        <v>0.571614406662853</v>
      </c>
      <c r="E67" s="845" t="n">
        <f aca="false">TableDE6c!E67/TableDE6c!$B67</f>
        <v>0.184686251694397</v>
      </c>
      <c r="F67" s="1251" t="n">
        <f aca="false">TableDE6c!F67/TableDE6c!$B67</f>
        <v>0.0866692443573839</v>
      </c>
      <c r="G67" s="1161" t="n">
        <f aca="false">TableDE6c!H67/TableDE6c!$B67</f>
        <v>0.52640260067416</v>
      </c>
      <c r="H67" s="891" t="n">
        <f aca="false">TableDE6c!I67/TableDE6c!$B67</f>
        <v>0.110102803401989</v>
      </c>
      <c r="I67" s="912" t="n">
        <f aca="false">TableDE6c!J67/TableDE6c!$B67</f>
        <v>0.0331382027998033</v>
      </c>
      <c r="J67" s="912" t="n">
        <f aca="false">TableDE6c!K67/TableDE6c!$B67</f>
        <v>0.0769646006021856</v>
      </c>
      <c r="K67" s="891" t="n">
        <f aca="false">TableDE6c!L67/TableDE6c!$B67</f>
        <v>0.416299797272171</v>
      </c>
      <c r="L67" s="891" t="n">
        <f aca="false">TableDE6c!M67/TableDE6c!$B67</f>
        <v>0.144560536449024</v>
      </c>
      <c r="M67" s="1281" t="n">
        <f aca="false">TableDE6c!N67/TableDE6c!$B67</f>
        <v>0.271739260823147</v>
      </c>
      <c r="N67" s="115"/>
      <c r="O67" s="115"/>
      <c r="P67" s="580"/>
      <c r="Q67" s="115"/>
      <c r="R67" s="115"/>
    </row>
    <row r="68" customFormat="false" ht="12" hidden="false" customHeight="false" outlineLevel="0" collapsed="false">
      <c r="A68" s="1287" t="n">
        <v>2009</v>
      </c>
      <c r="B68" s="1255" t="n">
        <f aca="false">TableDE6c!B68/TableDE6c!$B68</f>
        <v>1</v>
      </c>
      <c r="C68" s="1282" t="n">
        <f aca="false">TableDE6c!C68/TableDE6c!$B68</f>
        <v>0.397771692708956</v>
      </c>
      <c r="D68" s="990" t="n">
        <f aca="false">TableDE6c!D68/TableDE6c!$B68</f>
        <v>0.577526657691373</v>
      </c>
      <c r="E68" s="841" t="n">
        <f aca="false">TableDE6c!E68/TableDE6c!$B68</f>
        <v>0.179754964982418</v>
      </c>
      <c r="F68" s="1255" t="n">
        <f aca="false">TableDE6c!F68/TableDE6c!$B68</f>
        <v>0.0867918056443669</v>
      </c>
      <c r="G68" s="1282" t="n">
        <f aca="false">TableDE6c!H68/TableDE6c!$B68</f>
        <v>0.515436501646678</v>
      </c>
      <c r="H68" s="990" t="n">
        <f aca="false">TableDE6c!I68/TableDE6c!$B68</f>
        <v>0.0937813705288741</v>
      </c>
      <c r="I68" s="1059" t="n">
        <f aca="false">TableDE6c!J68/TableDE6c!$B68</f>
        <v>0.0225192699435844</v>
      </c>
      <c r="J68" s="1059" t="n">
        <f aca="false">TableDE6c!K68/TableDE6c!$B68</f>
        <v>0.0712621005852897</v>
      </c>
      <c r="K68" s="990" t="n">
        <f aca="false">TableDE6c!L68/TableDE6c!$B68</f>
        <v>0.421655131117803</v>
      </c>
      <c r="L68" s="990" t="n">
        <f aca="false">TableDE6c!M68/TableDE6c!$B68</f>
        <v>0.146938823432721</v>
      </c>
      <c r="M68" s="1283" t="n">
        <f aca="false">TableDE6c!N68/TableDE6c!$B68</f>
        <v>0.274716307685082</v>
      </c>
      <c r="N68" s="115"/>
      <c r="O68" s="115"/>
      <c r="P68" s="580"/>
      <c r="Q68" s="115"/>
      <c r="R68" s="115"/>
    </row>
    <row r="69" customFormat="false" ht="12" hidden="false" customHeight="false" outlineLevel="0" collapsed="false">
      <c r="A69" s="1288" t="n">
        <v>2010</v>
      </c>
      <c r="B69" s="1251" t="n">
        <f aca="false">TableDE6c!B69/TableDE6c!$B69</f>
        <v>1</v>
      </c>
      <c r="C69" s="1161" t="n">
        <f aca="false">TableDE6c!C69/TableDE6c!$B69</f>
        <v>0.399138117259998</v>
      </c>
      <c r="D69" s="891" t="n">
        <f aca="false">TableDE6c!D69/TableDE6c!$B69</f>
        <v>0.572541620075265</v>
      </c>
      <c r="E69" s="845" t="n">
        <f aca="false">TableDE6c!E69/TableDE6c!$B69</f>
        <v>0.173403502815268</v>
      </c>
      <c r="F69" s="1251" t="n">
        <f aca="false">TableDE6c!F69/TableDE6c!$B69</f>
        <v>0.0844484486795093</v>
      </c>
      <c r="G69" s="1161" t="n">
        <f aca="false">TableDE6c!H69/TableDE6c!$B69</f>
        <v>0.516413434060493</v>
      </c>
      <c r="H69" s="891" t="n">
        <f aca="false">TableDE6c!I69/TableDE6c!$B69</f>
        <v>0.0951588716294599</v>
      </c>
      <c r="I69" s="912" t="n">
        <f aca="false">TableDE6c!J69/TableDE6c!$B69</f>
        <v>0.0251931075460487</v>
      </c>
      <c r="J69" s="912" t="n">
        <f aca="false">TableDE6c!K69/TableDE6c!$B69</f>
        <v>0.0699657640834111</v>
      </c>
      <c r="K69" s="891" t="n">
        <f aca="false">TableDE6c!L69/TableDE6c!$B69</f>
        <v>0.421254562431033</v>
      </c>
      <c r="L69" s="891" t="n">
        <f aca="false">TableDE6c!M69/TableDE6c!$B69</f>
        <v>0.149240302181479</v>
      </c>
      <c r="M69" s="1285" t="n">
        <f aca="false">TableDE6c!N69/TableDE6c!$B69</f>
        <v>0.272014260249554</v>
      </c>
      <c r="N69" s="115"/>
      <c r="O69" s="115"/>
      <c r="P69" s="580"/>
      <c r="Q69" s="115"/>
      <c r="R69" s="115"/>
    </row>
    <row r="70" customFormat="false" ht="13" hidden="false" customHeight="false" outlineLevel="0" collapsed="false">
      <c r="A70" s="1289" t="n">
        <v>2011</v>
      </c>
      <c r="B70" s="1267" t="n">
        <f aca="false">TableDE6c!B70/TableDE6c!$B70</f>
        <v>1</v>
      </c>
      <c r="C70" s="1170" t="n">
        <f aca="false">TableDE6c!C70/TableDE6c!$B70</f>
        <v>0.406759976382424</v>
      </c>
      <c r="D70" s="993" t="n">
        <f aca="false">TableDE6c!D70/TableDE6c!$B70</f>
        <v>0.574862837325025</v>
      </c>
      <c r="E70" s="888" t="n">
        <f aca="false">TableDE6c!E70/TableDE6c!$B70</f>
        <v>0.168102860942601</v>
      </c>
      <c r="F70" s="1267" t="n">
        <f aca="false">TableDE6c!F70/TableDE6c!$B70</f>
        <v>0.0830231501062309</v>
      </c>
      <c r="G70" s="1170" t="n">
        <f aca="false">TableDE6c!H70/TableDE6c!$B70</f>
        <v>0.510216873511345</v>
      </c>
      <c r="H70" s="993" t="n">
        <f aca="false">TableDE6c!I70/TableDE6c!$B70</f>
        <v>0.0908099917698165</v>
      </c>
      <c r="I70" s="955" t="n">
        <f aca="false">TableDE6c!J70/TableDE6c!$B70</f>
        <v>0.0253446048694344</v>
      </c>
      <c r="J70" s="955" t="n">
        <f aca="false">TableDE6c!K70/TableDE6c!$B70</f>
        <v>0.0654653869003821</v>
      </c>
      <c r="K70" s="993" t="n">
        <f aca="false">TableDE6c!L70/TableDE6c!$B70</f>
        <v>0.419406881741529</v>
      </c>
      <c r="L70" s="993" t="n">
        <f aca="false">TableDE6c!M70/TableDE6c!$B70</f>
        <v>0.149762087741387</v>
      </c>
      <c r="M70" s="1290" t="n">
        <f aca="false">TableDE6c!N70/TableDE6c!$B70</f>
        <v>0.269644794000142</v>
      </c>
      <c r="N70" s="115"/>
      <c r="O70" s="115"/>
      <c r="P70" s="580"/>
      <c r="Q70" s="115"/>
      <c r="R70" s="115"/>
    </row>
    <row r="71" customFormat="false" ht="13" hidden="false" customHeight="false" outlineLevel="0" collapsed="false">
      <c r="B71" s="197"/>
      <c r="C71" s="197"/>
      <c r="D71" s="197"/>
      <c r="E71" s="197"/>
      <c r="F71" s="197"/>
      <c r="G71" s="197"/>
      <c r="H71" s="197"/>
      <c r="I71" s="197"/>
      <c r="J71" s="197"/>
      <c r="K71" s="197"/>
      <c r="L71" s="197"/>
      <c r="M71" s="197"/>
      <c r="N71" s="115"/>
      <c r="O71" s="115"/>
      <c r="P71" s="115"/>
      <c r="Q71" s="115"/>
      <c r="R71" s="115"/>
    </row>
    <row r="72" customFormat="false" ht="12" hidden="false" customHeight="false" outlineLevel="0" collapsed="false">
      <c r="B72" s="197"/>
      <c r="C72" s="197"/>
      <c r="D72" s="197"/>
      <c r="E72" s="197"/>
      <c r="F72" s="197"/>
      <c r="G72" s="197"/>
      <c r="H72" s="197"/>
      <c r="I72" s="197"/>
      <c r="J72" s="197"/>
      <c r="K72" s="197"/>
      <c r="L72" s="197"/>
      <c r="M72" s="197"/>
      <c r="N72" s="115"/>
      <c r="O72" s="115"/>
      <c r="P72" s="115"/>
      <c r="Q72" s="115"/>
      <c r="R72" s="115"/>
    </row>
    <row r="73" customFormat="false" ht="12" hidden="false" customHeight="false" outlineLevel="0" collapsed="false">
      <c r="B73" s="197"/>
      <c r="C73" s="197"/>
      <c r="D73" s="197"/>
      <c r="E73" s="197"/>
      <c r="F73" s="197"/>
      <c r="G73" s="197"/>
      <c r="H73" s="197"/>
      <c r="I73" s="197"/>
      <c r="J73" s="197"/>
      <c r="K73" s="197"/>
      <c r="L73" s="197"/>
      <c r="M73" s="197"/>
      <c r="N73" s="115"/>
      <c r="O73" s="115"/>
      <c r="P73" s="115"/>
      <c r="Q73" s="115"/>
      <c r="R73" s="115"/>
    </row>
    <row r="74" customFormat="false" ht="12" hidden="false" customHeight="false" outlineLevel="0" collapsed="false">
      <c r="B74" s="197"/>
      <c r="C74" s="197"/>
      <c r="D74" s="197"/>
      <c r="E74" s="197"/>
      <c r="F74" s="197"/>
      <c r="G74" s="197"/>
      <c r="H74" s="197"/>
      <c r="I74" s="197"/>
      <c r="J74" s="197"/>
      <c r="K74" s="197"/>
      <c r="L74" s="197"/>
      <c r="M74" s="197"/>
      <c r="N74" s="115"/>
      <c r="O74" s="115"/>
      <c r="P74" s="115"/>
      <c r="Q74" s="115"/>
      <c r="R74" s="115"/>
    </row>
    <row r="75" customFormat="false" ht="12" hidden="false" customHeight="false" outlineLevel="0" collapsed="false">
      <c r="B75" s="197"/>
      <c r="C75" s="197"/>
      <c r="D75" s="197"/>
      <c r="E75" s="197"/>
      <c r="F75" s="197"/>
      <c r="G75" s="197"/>
      <c r="H75" s="197"/>
      <c r="I75" s="197"/>
      <c r="J75" s="197"/>
      <c r="K75" s="197"/>
      <c r="L75" s="197"/>
      <c r="M75" s="197"/>
      <c r="N75" s="115"/>
      <c r="O75" s="115"/>
      <c r="P75" s="115"/>
      <c r="Q75" s="115"/>
      <c r="R75" s="115"/>
    </row>
    <row r="76" customFormat="false" ht="12" hidden="false" customHeight="false" outlineLevel="0" collapsed="false">
      <c r="B76" s="197"/>
      <c r="C76" s="197"/>
      <c r="D76" s="197"/>
      <c r="E76" s="197"/>
      <c r="F76" s="197"/>
      <c r="G76" s="197"/>
      <c r="H76" s="197"/>
      <c r="I76" s="197"/>
      <c r="J76" s="197"/>
      <c r="K76" s="197"/>
      <c r="L76" s="197"/>
      <c r="M76" s="197"/>
      <c r="N76" s="115"/>
      <c r="O76" s="115"/>
      <c r="P76" s="115"/>
      <c r="Q76" s="115"/>
      <c r="R76" s="115"/>
    </row>
    <row r="77" customFormat="false" ht="12" hidden="false" customHeight="false" outlineLevel="0" collapsed="false">
      <c r="B77" s="197"/>
      <c r="C77" s="197"/>
      <c r="D77" s="197"/>
      <c r="E77" s="197"/>
      <c r="F77" s="197"/>
      <c r="G77" s="197"/>
      <c r="H77" s="197"/>
      <c r="I77" s="197"/>
      <c r="J77" s="197"/>
      <c r="K77" s="197"/>
      <c r="L77" s="197"/>
      <c r="M77" s="197"/>
      <c r="N77" s="115"/>
      <c r="O77" s="115"/>
      <c r="P77" s="115"/>
      <c r="Q77" s="115"/>
      <c r="R77" s="115"/>
    </row>
    <row r="78" customFormat="false" ht="12" hidden="false" customHeight="false" outlineLevel="0" collapsed="false">
      <c r="B78" s="197"/>
      <c r="C78" s="197"/>
      <c r="D78" s="197"/>
      <c r="E78" s="197"/>
      <c r="F78" s="197"/>
      <c r="G78" s="197"/>
      <c r="H78" s="197"/>
      <c r="I78" s="197"/>
      <c r="J78" s="197"/>
      <c r="K78" s="197"/>
      <c r="L78" s="197"/>
      <c r="M78" s="197"/>
      <c r="N78" s="115"/>
      <c r="O78" s="115"/>
      <c r="P78" s="115"/>
      <c r="Q78" s="115"/>
      <c r="R78" s="115"/>
    </row>
    <row r="79" customFormat="false" ht="12" hidden="false" customHeight="false" outlineLevel="0" collapsed="false">
      <c r="B79" s="197"/>
      <c r="C79" s="197"/>
      <c r="D79" s="197"/>
      <c r="E79" s="197"/>
      <c r="F79" s="197"/>
      <c r="G79" s="197"/>
      <c r="H79" s="197"/>
      <c r="I79" s="197"/>
      <c r="J79" s="197"/>
      <c r="K79" s="197"/>
      <c r="L79" s="197"/>
      <c r="M79" s="197"/>
      <c r="N79" s="197"/>
      <c r="O79" s="197"/>
      <c r="P79" s="197"/>
      <c r="Q79" s="197"/>
      <c r="R79" s="197"/>
    </row>
    <row r="80" customFormat="false" ht="12" hidden="false" customHeight="false" outlineLevel="0" collapsed="false">
      <c r="B80" s="197"/>
      <c r="C80" s="197"/>
      <c r="D80" s="197"/>
      <c r="E80" s="197"/>
      <c r="F80" s="197"/>
      <c r="G80" s="197"/>
      <c r="H80" s="197"/>
      <c r="I80" s="197"/>
      <c r="J80" s="197"/>
      <c r="K80" s="197"/>
      <c r="L80" s="197"/>
      <c r="M80" s="197"/>
      <c r="N80" s="197"/>
      <c r="O80" s="197"/>
      <c r="P80" s="197"/>
      <c r="Q80" s="197"/>
      <c r="R80" s="197"/>
    </row>
    <row r="81" customFormat="false" ht="12" hidden="false" customHeight="false" outlineLevel="0" collapsed="false">
      <c r="B81" s="197"/>
      <c r="C81" s="197"/>
      <c r="D81" s="197"/>
      <c r="E81" s="197"/>
      <c r="F81" s="197"/>
      <c r="G81" s="197"/>
      <c r="H81" s="197"/>
      <c r="I81" s="197"/>
      <c r="J81" s="197"/>
      <c r="K81" s="197"/>
      <c r="L81" s="197"/>
      <c r="M81" s="197"/>
      <c r="N81" s="197"/>
      <c r="O81" s="197"/>
      <c r="P81" s="197"/>
      <c r="Q81" s="197"/>
      <c r="R81" s="197"/>
    </row>
    <row r="82" customFormat="false" ht="12" hidden="false" customHeight="false" outlineLevel="0" collapsed="false">
      <c r="B82" s="197"/>
      <c r="C82" s="197"/>
      <c r="D82" s="197"/>
      <c r="E82" s="197"/>
      <c r="F82" s="197"/>
      <c r="G82" s="197"/>
      <c r="H82" s="197"/>
      <c r="I82" s="197"/>
      <c r="J82" s="197"/>
      <c r="K82" s="197"/>
      <c r="L82" s="197"/>
      <c r="M82" s="197"/>
      <c r="N82" s="197"/>
      <c r="O82" s="197"/>
      <c r="P82" s="197"/>
      <c r="Q82" s="197"/>
      <c r="R82" s="197"/>
    </row>
    <row r="83" customFormat="false" ht="12" hidden="false" customHeight="false" outlineLevel="0" collapsed="false">
      <c r="B83" s="197"/>
      <c r="C83" s="197"/>
      <c r="D83" s="197"/>
      <c r="E83" s="197"/>
      <c r="F83" s="197"/>
      <c r="G83" s="197"/>
      <c r="H83" s="197"/>
      <c r="I83" s="197"/>
      <c r="J83" s="197"/>
      <c r="K83" s="197"/>
      <c r="L83" s="197"/>
      <c r="M83" s="197"/>
      <c r="N83" s="197"/>
      <c r="O83" s="197"/>
      <c r="P83" s="197"/>
      <c r="Q83" s="197"/>
      <c r="R83" s="197"/>
    </row>
    <row r="84" customFormat="false" ht="12" hidden="false" customHeight="false" outlineLevel="0" collapsed="false">
      <c r="B84" s="197"/>
      <c r="C84" s="197"/>
      <c r="D84" s="197"/>
      <c r="E84" s="197"/>
      <c r="F84" s="197"/>
      <c r="G84" s="197"/>
      <c r="H84" s="197"/>
      <c r="I84" s="197"/>
      <c r="J84" s="197"/>
      <c r="K84" s="197"/>
      <c r="L84" s="197"/>
      <c r="M84" s="197"/>
      <c r="N84" s="197"/>
      <c r="O84" s="197"/>
      <c r="P84" s="197"/>
      <c r="Q84" s="197"/>
      <c r="R84" s="197"/>
    </row>
    <row r="85" customFormat="false" ht="12" hidden="false" customHeight="false" outlineLevel="0" collapsed="false">
      <c r="B85" s="197"/>
      <c r="C85" s="197"/>
      <c r="D85" s="197"/>
      <c r="E85" s="197"/>
      <c r="F85" s="197"/>
      <c r="G85" s="197"/>
      <c r="H85" s="197"/>
      <c r="I85" s="197"/>
      <c r="J85" s="197"/>
      <c r="K85" s="197"/>
      <c r="L85" s="197"/>
      <c r="M85" s="197"/>
      <c r="N85" s="197"/>
      <c r="O85" s="197"/>
      <c r="P85" s="197"/>
      <c r="Q85" s="197"/>
      <c r="R85" s="197"/>
    </row>
    <row r="86" customFormat="false" ht="12" hidden="false" customHeight="false" outlineLevel="0" collapsed="false">
      <c r="B86" s="197"/>
      <c r="C86" s="197"/>
      <c r="D86" s="197"/>
      <c r="E86" s="197"/>
      <c r="F86" s="197"/>
      <c r="G86" s="197"/>
      <c r="H86" s="197"/>
      <c r="I86" s="197"/>
      <c r="J86" s="197"/>
      <c r="K86" s="197"/>
      <c r="L86" s="197"/>
      <c r="M86" s="197"/>
      <c r="N86" s="197"/>
      <c r="O86" s="197"/>
      <c r="P86" s="197"/>
      <c r="Q86" s="197"/>
      <c r="R86" s="197"/>
    </row>
    <row r="87" customFormat="false" ht="12" hidden="false" customHeight="false" outlineLevel="0" collapsed="false">
      <c r="B87" s="197"/>
      <c r="C87" s="197"/>
      <c r="D87" s="197"/>
      <c r="E87" s="197"/>
      <c r="F87" s="197"/>
      <c r="G87" s="197"/>
      <c r="H87" s="197"/>
      <c r="I87" s="197"/>
      <c r="J87" s="197"/>
      <c r="K87" s="197"/>
      <c r="L87" s="197"/>
      <c r="M87" s="197"/>
      <c r="N87" s="197"/>
      <c r="O87" s="197"/>
      <c r="P87" s="197"/>
      <c r="Q87" s="197"/>
      <c r="R87" s="197"/>
    </row>
    <row r="88" customFormat="false" ht="12" hidden="false" customHeight="false" outlineLevel="0" collapsed="false">
      <c r="B88" s="197"/>
      <c r="C88" s="197"/>
      <c r="D88" s="197"/>
      <c r="E88" s="197"/>
      <c r="F88" s="197"/>
      <c r="G88" s="197"/>
      <c r="H88" s="197"/>
      <c r="I88" s="197"/>
      <c r="J88" s="197"/>
      <c r="K88" s="197"/>
      <c r="L88" s="197"/>
      <c r="M88" s="197"/>
      <c r="N88" s="197"/>
      <c r="O88" s="197"/>
      <c r="P88" s="197"/>
      <c r="Q88" s="197"/>
      <c r="R88" s="197"/>
    </row>
    <row r="89" customFormat="false" ht="12" hidden="false" customHeight="false" outlineLevel="0" collapsed="false">
      <c r="B89" s="197"/>
      <c r="C89" s="197"/>
      <c r="D89" s="197"/>
      <c r="E89" s="197"/>
      <c r="F89" s="197"/>
      <c r="G89" s="197"/>
      <c r="H89" s="197"/>
      <c r="I89" s="197"/>
      <c r="J89" s="197"/>
      <c r="K89" s="197"/>
      <c r="L89" s="197"/>
      <c r="M89" s="197"/>
      <c r="N89" s="197"/>
      <c r="O89" s="197"/>
      <c r="P89" s="197"/>
      <c r="Q89" s="197"/>
      <c r="R89" s="197"/>
    </row>
    <row r="90" customFormat="false" ht="12" hidden="false" customHeight="false" outlineLevel="0" collapsed="false">
      <c r="B90" s="197"/>
      <c r="C90" s="197"/>
      <c r="D90" s="197"/>
      <c r="E90" s="197"/>
      <c r="F90" s="197"/>
      <c r="G90" s="197"/>
      <c r="H90" s="197"/>
      <c r="I90" s="197"/>
      <c r="J90" s="197"/>
      <c r="K90" s="197"/>
      <c r="L90" s="197"/>
      <c r="M90" s="197"/>
      <c r="N90" s="197"/>
      <c r="O90" s="197"/>
      <c r="P90" s="197"/>
      <c r="Q90" s="197"/>
      <c r="R90" s="197"/>
    </row>
    <row r="91" customFormat="false" ht="12" hidden="false" customHeight="false" outlineLevel="0" collapsed="false">
      <c r="B91" s="197"/>
      <c r="C91" s="197"/>
      <c r="D91" s="197"/>
      <c r="E91" s="197"/>
      <c r="F91" s="197"/>
      <c r="G91" s="197"/>
      <c r="H91" s="197"/>
      <c r="I91" s="197"/>
      <c r="J91" s="197"/>
      <c r="K91" s="197"/>
      <c r="L91" s="197"/>
      <c r="M91" s="197"/>
      <c r="N91" s="197"/>
      <c r="O91" s="197"/>
      <c r="P91" s="197"/>
      <c r="Q91" s="197"/>
      <c r="R91" s="197"/>
    </row>
    <row r="92" customFormat="false" ht="12" hidden="false" customHeight="false" outlineLevel="0" collapsed="false">
      <c r="B92" s="197"/>
      <c r="C92" s="197"/>
      <c r="D92" s="197"/>
      <c r="E92" s="197"/>
      <c r="F92" s="197"/>
      <c r="G92" s="197"/>
      <c r="H92" s="197"/>
      <c r="I92" s="197"/>
      <c r="J92" s="197"/>
      <c r="K92" s="197"/>
      <c r="L92" s="197"/>
      <c r="M92" s="197"/>
      <c r="N92" s="197"/>
      <c r="O92" s="197"/>
      <c r="P92" s="197"/>
      <c r="Q92" s="197"/>
      <c r="R92" s="197"/>
    </row>
    <row r="93" customFormat="false" ht="12" hidden="false" customHeight="false" outlineLevel="0" collapsed="false">
      <c r="B93" s="197"/>
      <c r="C93" s="197"/>
      <c r="D93" s="197"/>
      <c r="E93" s="197"/>
      <c r="F93" s="197"/>
      <c r="G93" s="197"/>
      <c r="H93" s="197"/>
      <c r="I93" s="197"/>
      <c r="J93" s="197"/>
      <c r="K93" s="197"/>
      <c r="L93" s="197"/>
      <c r="M93" s="197"/>
      <c r="N93" s="197"/>
      <c r="O93" s="197"/>
      <c r="P93" s="197"/>
      <c r="Q93" s="197"/>
      <c r="R93" s="197"/>
    </row>
    <row r="94" customFormat="false" ht="12" hidden="false" customHeight="false" outlineLevel="0" collapsed="false">
      <c r="B94" s="197"/>
      <c r="C94" s="197"/>
      <c r="D94" s="197"/>
      <c r="E94" s="197"/>
      <c r="F94" s="197"/>
      <c r="G94" s="197"/>
      <c r="H94" s="197"/>
      <c r="I94" s="197"/>
      <c r="J94" s="197"/>
      <c r="K94" s="197"/>
      <c r="L94" s="197"/>
      <c r="M94" s="197"/>
      <c r="N94" s="197"/>
      <c r="O94" s="197"/>
      <c r="P94" s="197"/>
      <c r="Q94" s="197"/>
      <c r="R94" s="197"/>
    </row>
    <row r="95" customFormat="false" ht="12" hidden="false" customHeight="false" outlineLevel="0" collapsed="false">
      <c r="B95" s="197"/>
      <c r="C95" s="197"/>
      <c r="D95" s="197"/>
      <c r="E95" s="197"/>
      <c r="F95" s="197"/>
      <c r="G95" s="197"/>
      <c r="H95" s="197"/>
      <c r="I95" s="197"/>
      <c r="J95" s="197"/>
      <c r="K95" s="197"/>
      <c r="L95" s="197"/>
      <c r="M95" s="197"/>
      <c r="N95" s="197"/>
      <c r="O95" s="197"/>
      <c r="P95" s="197"/>
      <c r="Q95" s="197"/>
      <c r="R95" s="197"/>
    </row>
    <row r="96" customFormat="false" ht="12" hidden="false" customHeight="false" outlineLevel="0" collapsed="false">
      <c r="B96" s="197"/>
      <c r="C96" s="197"/>
      <c r="D96" s="197"/>
      <c r="E96" s="197"/>
      <c r="F96" s="197"/>
      <c r="G96" s="197"/>
      <c r="H96" s="197"/>
      <c r="I96" s="197"/>
      <c r="J96" s="197"/>
      <c r="K96" s="197"/>
      <c r="L96" s="197"/>
      <c r="M96" s="197"/>
      <c r="N96" s="197"/>
      <c r="O96" s="197"/>
      <c r="P96" s="197"/>
      <c r="Q96" s="197"/>
      <c r="R96" s="197"/>
    </row>
    <row r="97" customFormat="false" ht="12" hidden="false" customHeight="false" outlineLevel="0" collapsed="false">
      <c r="B97" s="197"/>
      <c r="C97" s="197"/>
      <c r="D97" s="197"/>
      <c r="E97" s="197"/>
      <c r="F97" s="197"/>
      <c r="G97" s="197"/>
      <c r="H97" s="197"/>
      <c r="I97" s="197"/>
      <c r="J97" s="197"/>
      <c r="K97" s="197"/>
      <c r="L97" s="197"/>
      <c r="M97" s="197"/>
      <c r="N97" s="197"/>
      <c r="O97" s="197"/>
      <c r="P97" s="197"/>
      <c r="Q97" s="197"/>
      <c r="R97" s="197"/>
    </row>
    <row r="98" customFormat="false" ht="12" hidden="false" customHeight="false" outlineLevel="0" collapsed="false">
      <c r="B98" s="197"/>
      <c r="C98" s="197"/>
      <c r="D98" s="197"/>
      <c r="E98" s="197"/>
      <c r="F98" s="197"/>
      <c r="G98" s="197"/>
      <c r="H98" s="197"/>
      <c r="I98" s="197"/>
      <c r="J98" s="197"/>
      <c r="K98" s="197"/>
      <c r="L98" s="197"/>
      <c r="M98" s="197"/>
      <c r="N98" s="197"/>
      <c r="O98" s="197"/>
      <c r="P98" s="197"/>
      <c r="Q98" s="197"/>
      <c r="R98" s="197"/>
    </row>
    <row r="99" customFormat="false" ht="12" hidden="false" customHeight="false" outlineLevel="0" collapsed="false">
      <c r="B99" s="197"/>
      <c r="C99" s="197"/>
      <c r="D99" s="197"/>
      <c r="E99" s="197"/>
      <c r="F99" s="197"/>
      <c r="G99" s="197"/>
      <c r="H99" s="197"/>
      <c r="I99" s="197"/>
      <c r="J99" s="197"/>
      <c r="K99" s="197"/>
      <c r="L99" s="197"/>
      <c r="M99" s="197"/>
      <c r="N99" s="197"/>
      <c r="O99" s="197"/>
      <c r="P99" s="197"/>
      <c r="Q99" s="197"/>
      <c r="R99" s="197"/>
    </row>
    <row r="100" customFormat="false" ht="12" hidden="false" customHeight="false" outlineLevel="0" collapsed="false">
      <c r="B100" s="197"/>
      <c r="C100" s="197"/>
      <c r="D100" s="197"/>
      <c r="E100" s="197"/>
      <c r="F100" s="197"/>
      <c r="G100" s="197"/>
      <c r="H100" s="197"/>
      <c r="I100" s="197"/>
      <c r="J100" s="197"/>
      <c r="K100" s="197"/>
      <c r="L100" s="197"/>
      <c r="M100" s="197"/>
      <c r="N100" s="197"/>
      <c r="O100" s="197"/>
      <c r="P100" s="197"/>
      <c r="Q100" s="197"/>
      <c r="R100" s="197"/>
    </row>
    <row r="101" customFormat="false" ht="12" hidden="false" customHeight="false" outlineLevel="0" collapsed="false">
      <c r="B101" s="197"/>
      <c r="C101" s="197"/>
      <c r="D101" s="197"/>
      <c r="E101" s="197"/>
      <c r="F101" s="197"/>
      <c r="G101" s="197"/>
      <c r="H101" s="197"/>
      <c r="I101" s="197"/>
      <c r="J101" s="197"/>
      <c r="K101" s="197"/>
      <c r="L101" s="197"/>
      <c r="M101" s="197"/>
      <c r="N101" s="197"/>
      <c r="O101" s="197"/>
      <c r="P101" s="197"/>
      <c r="Q101" s="197"/>
      <c r="R101" s="197"/>
    </row>
    <row r="102" customFormat="false" ht="12" hidden="false" customHeight="false" outlineLevel="0" collapsed="false">
      <c r="B102" s="197"/>
      <c r="C102" s="197"/>
      <c r="D102" s="197"/>
      <c r="E102" s="197"/>
      <c r="F102" s="197"/>
      <c r="G102" s="197"/>
      <c r="H102" s="197"/>
      <c r="I102" s="197"/>
      <c r="J102" s="197"/>
      <c r="K102" s="197"/>
      <c r="L102" s="197"/>
      <c r="M102" s="197"/>
      <c r="N102" s="197"/>
      <c r="O102" s="197"/>
      <c r="P102" s="197"/>
      <c r="Q102" s="197"/>
      <c r="R102" s="197"/>
    </row>
    <row r="103" customFormat="false" ht="12" hidden="false" customHeight="false" outlineLevel="0" collapsed="false">
      <c r="B103" s="197"/>
      <c r="C103" s="197"/>
      <c r="D103" s="197"/>
      <c r="E103" s="197"/>
      <c r="F103" s="197"/>
      <c r="G103" s="197"/>
      <c r="H103" s="197"/>
      <c r="I103" s="197"/>
      <c r="J103" s="197"/>
      <c r="K103" s="197"/>
      <c r="L103" s="197"/>
      <c r="M103" s="197"/>
      <c r="N103" s="197"/>
      <c r="O103" s="197"/>
      <c r="P103" s="197"/>
      <c r="Q103" s="197"/>
      <c r="R103" s="197"/>
    </row>
    <row r="104" customFormat="false" ht="12" hidden="false" customHeight="false" outlineLevel="0" collapsed="false">
      <c r="B104" s="197"/>
      <c r="C104" s="197"/>
      <c r="D104" s="197"/>
      <c r="E104" s="197"/>
      <c r="F104" s="197"/>
      <c r="G104" s="197"/>
      <c r="H104" s="197"/>
      <c r="I104" s="197"/>
      <c r="J104" s="197"/>
      <c r="K104" s="197"/>
      <c r="L104" s="197"/>
      <c r="M104" s="197"/>
      <c r="N104" s="197"/>
      <c r="O104" s="197"/>
      <c r="P104" s="197"/>
      <c r="Q104" s="197"/>
      <c r="R104" s="197"/>
    </row>
    <row r="105" customFormat="false" ht="12" hidden="false" customHeight="false" outlineLevel="0" collapsed="false">
      <c r="B105" s="197"/>
      <c r="C105" s="197"/>
      <c r="D105" s="197"/>
      <c r="E105" s="197"/>
      <c r="F105" s="197"/>
      <c r="G105" s="197"/>
      <c r="H105" s="197"/>
      <c r="I105" s="197"/>
      <c r="J105" s="197"/>
      <c r="K105" s="197"/>
      <c r="L105" s="197"/>
      <c r="M105" s="197"/>
      <c r="N105" s="197"/>
      <c r="O105" s="197"/>
      <c r="P105" s="197"/>
      <c r="Q105" s="197"/>
      <c r="R105" s="197"/>
    </row>
    <row r="106" customFormat="false" ht="12" hidden="false" customHeight="false" outlineLevel="0" collapsed="false">
      <c r="B106" s="197"/>
      <c r="C106" s="197"/>
      <c r="D106" s="197"/>
      <c r="E106" s="197"/>
      <c r="F106" s="197"/>
      <c r="G106" s="197"/>
      <c r="H106" s="197"/>
      <c r="I106" s="197"/>
      <c r="J106" s="197"/>
      <c r="K106" s="197"/>
      <c r="L106" s="197"/>
      <c r="M106" s="197"/>
      <c r="N106" s="197"/>
      <c r="O106" s="197"/>
      <c r="P106" s="197"/>
      <c r="Q106" s="197"/>
      <c r="R106" s="197"/>
    </row>
    <row r="107" customFormat="false" ht="12" hidden="false" customHeight="false" outlineLevel="0" collapsed="false">
      <c r="B107" s="197"/>
      <c r="C107" s="197"/>
      <c r="D107" s="197"/>
      <c r="E107" s="197"/>
      <c r="F107" s="197"/>
      <c r="G107" s="197"/>
      <c r="H107" s="197"/>
      <c r="I107" s="197"/>
      <c r="J107" s="197"/>
      <c r="K107" s="197"/>
      <c r="L107" s="197"/>
      <c r="M107" s="197"/>
      <c r="N107" s="197"/>
      <c r="O107" s="197"/>
      <c r="P107" s="197"/>
      <c r="Q107" s="197"/>
      <c r="R107" s="197"/>
    </row>
    <row r="108" customFormat="false" ht="12" hidden="false" customHeight="false" outlineLevel="0" collapsed="false">
      <c r="B108" s="197"/>
      <c r="C108" s="197"/>
      <c r="D108" s="197"/>
      <c r="E108" s="197"/>
      <c r="F108" s="197"/>
      <c r="G108" s="197"/>
      <c r="H108" s="197"/>
      <c r="I108" s="197"/>
      <c r="J108" s="197"/>
      <c r="K108" s="197"/>
      <c r="L108" s="197"/>
      <c r="M108" s="197"/>
      <c r="N108" s="197"/>
      <c r="O108" s="197"/>
      <c r="P108" s="197"/>
      <c r="Q108" s="197"/>
      <c r="R108" s="197"/>
    </row>
    <row r="109" customFormat="false" ht="12" hidden="false" customHeight="false" outlineLevel="0" collapsed="false">
      <c r="B109" s="197"/>
      <c r="C109" s="197"/>
      <c r="D109" s="197"/>
      <c r="E109" s="197"/>
      <c r="F109" s="197"/>
      <c r="G109" s="197"/>
      <c r="H109" s="197"/>
      <c r="I109" s="197"/>
      <c r="J109" s="197"/>
      <c r="K109" s="197"/>
      <c r="L109" s="197"/>
      <c r="M109" s="197"/>
      <c r="N109" s="197"/>
      <c r="O109" s="197"/>
      <c r="P109" s="197"/>
      <c r="Q109" s="197"/>
      <c r="R109" s="197"/>
    </row>
    <row r="110" customFormat="false" ht="12" hidden="false" customHeight="false" outlineLevel="0" collapsed="false">
      <c r="B110" s="197"/>
      <c r="C110" s="197"/>
      <c r="D110" s="197"/>
      <c r="E110" s="197"/>
      <c r="F110" s="197"/>
      <c r="G110" s="197"/>
      <c r="H110" s="197"/>
      <c r="I110" s="197"/>
      <c r="J110" s="197"/>
      <c r="K110" s="197"/>
      <c r="L110" s="197"/>
      <c r="M110" s="197"/>
      <c r="N110" s="197"/>
      <c r="O110" s="197"/>
      <c r="P110" s="197"/>
      <c r="Q110" s="197"/>
      <c r="R110" s="197"/>
    </row>
    <row r="111" customFormat="false" ht="12" hidden="false" customHeight="false" outlineLevel="0" collapsed="false">
      <c r="B111" s="197"/>
      <c r="C111" s="197"/>
      <c r="D111" s="197"/>
      <c r="E111" s="197"/>
      <c r="F111" s="197"/>
      <c r="G111" s="197"/>
      <c r="H111" s="197"/>
      <c r="I111" s="197"/>
      <c r="J111" s="197"/>
      <c r="K111" s="197"/>
      <c r="L111" s="197"/>
      <c r="M111" s="197"/>
      <c r="N111" s="197"/>
      <c r="O111" s="197"/>
      <c r="P111" s="197"/>
      <c r="Q111" s="197"/>
      <c r="R111" s="197"/>
    </row>
    <row r="112" customFormat="false" ht="12" hidden="false" customHeight="false" outlineLevel="0" collapsed="false">
      <c r="B112" s="197"/>
      <c r="C112" s="197"/>
      <c r="D112" s="197"/>
      <c r="E112" s="197"/>
      <c r="F112" s="197"/>
      <c r="G112" s="197"/>
      <c r="H112" s="197"/>
      <c r="I112" s="197"/>
      <c r="J112" s="197"/>
      <c r="K112" s="197"/>
      <c r="L112" s="197"/>
      <c r="M112" s="197"/>
      <c r="N112" s="197"/>
      <c r="O112" s="197"/>
      <c r="P112" s="197"/>
      <c r="Q112" s="197"/>
      <c r="R112" s="197"/>
    </row>
    <row r="113" customFormat="false" ht="12" hidden="false" customHeight="false" outlineLevel="0" collapsed="false">
      <c r="B113" s="197"/>
      <c r="C113" s="197"/>
      <c r="D113" s="197"/>
      <c r="E113" s="197"/>
      <c r="F113" s="197"/>
      <c r="G113" s="197"/>
      <c r="H113" s="197"/>
      <c r="I113" s="197"/>
      <c r="J113" s="197"/>
      <c r="K113" s="197"/>
      <c r="L113" s="197"/>
      <c r="M113" s="197"/>
      <c r="N113" s="197"/>
      <c r="O113" s="197"/>
      <c r="P113" s="197"/>
      <c r="Q113" s="197"/>
      <c r="R113" s="197"/>
    </row>
    <row r="114" customFormat="false" ht="12" hidden="false" customHeight="false" outlineLevel="0" collapsed="false">
      <c r="B114" s="197"/>
      <c r="C114" s="197"/>
      <c r="D114" s="197"/>
      <c r="E114" s="197"/>
      <c r="F114" s="197"/>
      <c r="G114" s="197"/>
      <c r="H114" s="197"/>
      <c r="I114" s="197"/>
      <c r="J114" s="197"/>
      <c r="K114" s="197"/>
      <c r="L114" s="197"/>
      <c r="M114" s="197"/>
      <c r="N114" s="197"/>
      <c r="O114" s="197"/>
      <c r="P114" s="197"/>
      <c r="Q114" s="197"/>
      <c r="R114" s="197"/>
    </row>
    <row r="115" customFormat="false" ht="12" hidden="false" customHeight="false" outlineLevel="0" collapsed="false">
      <c r="B115" s="197"/>
      <c r="C115" s="197"/>
      <c r="D115" s="197"/>
      <c r="E115" s="197"/>
      <c r="F115" s="197"/>
      <c r="G115" s="197"/>
      <c r="H115" s="197"/>
      <c r="I115" s="197"/>
      <c r="J115" s="197"/>
      <c r="K115" s="197"/>
      <c r="L115" s="197"/>
      <c r="M115" s="197"/>
      <c r="N115" s="197"/>
      <c r="O115" s="197"/>
      <c r="P115" s="197"/>
      <c r="Q115" s="197"/>
      <c r="R115" s="197"/>
    </row>
    <row r="116" customFormat="false" ht="12" hidden="false" customHeight="false" outlineLevel="0" collapsed="false">
      <c r="B116" s="197"/>
      <c r="C116" s="197"/>
      <c r="D116" s="197"/>
      <c r="E116" s="197"/>
      <c r="F116" s="197"/>
      <c r="G116" s="197"/>
      <c r="H116" s="197"/>
      <c r="I116" s="197"/>
      <c r="J116" s="197"/>
      <c r="K116" s="197"/>
      <c r="L116" s="197"/>
      <c r="M116" s="197"/>
      <c r="N116" s="197"/>
      <c r="O116" s="197"/>
      <c r="P116" s="197"/>
      <c r="Q116" s="197"/>
      <c r="R116" s="197"/>
    </row>
    <row r="117" customFormat="false" ht="12" hidden="false" customHeight="false" outlineLevel="0" collapsed="false">
      <c r="B117" s="197"/>
      <c r="C117" s="197"/>
      <c r="D117" s="197"/>
      <c r="E117" s="197"/>
      <c r="F117" s="197"/>
      <c r="G117" s="197"/>
      <c r="H117" s="197"/>
      <c r="I117" s="197"/>
      <c r="J117" s="197"/>
      <c r="K117" s="197"/>
      <c r="L117" s="197"/>
      <c r="M117" s="197"/>
      <c r="N117" s="197"/>
      <c r="O117" s="197"/>
      <c r="P117" s="197"/>
      <c r="Q117" s="197"/>
      <c r="R117" s="197"/>
    </row>
    <row r="118" customFormat="false" ht="12" hidden="false" customHeight="false" outlineLevel="0" collapsed="false">
      <c r="B118" s="197"/>
      <c r="C118" s="197"/>
      <c r="D118" s="197"/>
      <c r="E118" s="197"/>
      <c r="F118" s="197"/>
      <c r="G118" s="197"/>
      <c r="H118" s="197"/>
      <c r="I118" s="197"/>
      <c r="J118" s="197"/>
      <c r="K118" s="197"/>
      <c r="L118" s="197"/>
      <c r="M118" s="197"/>
      <c r="N118" s="197"/>
      <c r="O118" s="197"/>
      <c r="P118" s="197"/>
      <c r="Q118" s="197"/>
      <c r="R118" s="197"/>
    </row>
    <row r="119" customFormat="false" ht="12" hidden="false" customHeight="false" outlineLevel="0" collapsed="false">
      <c r="B119" s="197"/>
      <c r="C119" s="197"/>
      <c r="D119" s="197"/>
      <c r="E119" s="197"/>
      <c r="F119" s="197"/>
      <c r="G119" s="197"/>
      <c r="H119" s="197"/>
      <c r="I119" s="197"/>
      <c r="J119" s="197"/>
      <c r="K119" s="197"/>
      <c r="L119" s="197"/>
      <c r="M119" s="197"/>
      <c r="N119" s="197"/>
      <c r="O119" s="197"/>
      <c r="P119" s="197"/>
      <c r="Q119" s="197"/>
      <c r="R119" s="197"/>
    </row>
    <row r="120" customFormat="false" ht="12" hidden="false" customHeight="false" outlineLevel="0" collapsed="false">
      <c r="B120" s="197"/>
      <c r="C120" s="197"/>
      <c r="D120" s="197"/>
      <c r="E120" s="197"/>
      <c r="F120" s="197"/>
      <c r="G120" s="197"/>
      <c r="H120" s="197"/>
      <c r="I120" s="197"/>
      <c r="J120" s="197"/>
      <c r="K120" s="197"/>
      <c r="L120" s="197"/>
      <c r="M120" s="197"/>
      <c r="N120" s="197"/>
      <c r="O120" s="197"/>
      <c r="P120" s="197"/>
      <c r="Q120" s="197"/>
      <c r="R120" s="197"/>
    </row>
    <row r="121" customFormat="false" ht="12" hidden="false" customHeight="false" outlineLevel="0" collapsed="false">
      <c r="B121" s="197"/>
      <c r="C121" s="197"/>
      <c r="D121" s="197"/>
      <c r="E121" s="197"/>
      <c r="F121" s="197"/>
      <c r="G121" s="197"/>
      <c r="H121" s="197"/>
      <c r="I121" s="197"/>
      <c r="J121" s="197"/>
      <c r="K121" s="197"/>
      <c r="L121" s="197"/>
      <c r="M121" s="197"/>
      <c r="N121" s="197"/>
      <c r="O121" s="197"/>
      <c r="P121" s="197"/>
      <c r="Q121" s="197"/>
      <c r="R121" s="197"/>
    </row>
    <row r="122" customFormat="false" ht="12" hidden="false" customHeight="false" outlineLevel="0" collapsed="false">
      <c r="B122" s="197"/>
      <c r="C122" s="197"/>
      <c r="D122" s="197"/>
      <c r="E122" s="197"/>
      <c r="F122" s="197"/>
      <c r="G122" s="197"/>
      <c r="H122" s="197"/>
      <c r="I122" s="197"/>
      <c r="J122" s="197"/>
      <c r="K122" s="197"/>
      <c r="L122" s="197"/>
      <c r="M122" s="197"/>
      <c r="N122" s="197"/>
      <c r="O122" s="197"/>
      <c r="P122" s="197"/>
      <c r="Q122" s="197"/>
      <c r="R122" s="197"/>
    </row>
    <row r="123" customFormat="false" ht="12" hidden="false" customHeight="false" outlineLevel="0" collapsed="false">
      <c r="B123" s="197"/>
      <c r="C123" s="197"/>
      <c r="D123" s="197"/>
      <c r="E123" s="197"/>
      <c r="F123" s="197"/>
      <c r="G123" s="197"/>
      <c r="H123" s="197"/>
      <c r="I123" s="197"/>
      <c r="J123" s="197"/>
      <c r="K123" s="197"/>
      <c r="L123" s="197"/>
      <c r="M123" s="197"/>
      <c r="N123" s="197"/>
      <c r="O123" s="197"/>
      <c r="P123" s="197"/>
      <c r="Q123" s="197"/>
      <c r="R123" s="197"/>
    </row>
    <row r="124" customFormat="false" ht="12" hidden="false" customHeight="false" outlineLevel="0" collapsed="false">
      <c r="B124" s="197"/>
      <c r="C124" s="197"/>
      <c r="D124" s="197"/>
      <c r="E124" s="197"/>
      <c r="F124" s="197"/>
      <c r="G124" s="197"/>
      <c r="H124" s="197"/>
      <c r="I124" s="197"/>
      <c r="J124" s="197"/>
      <c r="K124" s="197"/>
      <c r="L124" s="197"/>
      <c r="M124" s="197"/>
      <c r="N124" s="197"/>
      <c r="O124" s="197"/>
      <c r="P124" s="197"/>
      <c r="Q124" s="197"/>
      <c r="R124" s="197"/>
    </row>
    <row r="125" customFormat="false" ht="12" hidden="false" customHeight="false" outlineLevel="0" collapsed="false">
      <c r="B125" s="197"/>
      <c r="C125" s="197"/>
      <c r="D125" s="197"/>
      <c r="E125" s="197"/>
      <c r="F125" s="197"/>
      <c r="G125" s="197"/>
      <c r="H125" s="197"/>
      <c r="I125" s="197"/>
      <c r="J125" s="197"/>
      <c r="K125" s="197"/>
      <c r="L125" s="197"/>
      <c r="M125" s="197"/>
      <c r="N125" s="197"/>
      <c r="O125" s="197"/>
      <c r="P125" s="197"/>
      <c r="Q125" s="197"/>
      <c r="R125" s="197"/>
    </row>
    <row r="126" customFormat="false" ht="12" hidden="false" customHeight="false" outlineLevel="0" collapsed="false">
      <c r="B126" s="197"/>
      <c r="C126" s="197"/>
      <c r="D126" s="197"/>
      <c r="E126" s="197"/>
      <c r="F126" s="197"/>
      <c r="G126" s="197"/>
      <c r="H126" s="197"/>
      <c r="I126" s="197"/>
      <c r="J126" s="197"/>
      <c r="K126" s="197"/>
      <c r="L126" s="197"/>
      <c r="M126" s="197"/>
      <c r="N126" s="197"/>
      <c r="O126" s="197"/>
      <c r="P126" s="197"/>
      <c r="Q126" s="197"/>
      <c r="R126" s="197"/>
    </row>
    <row r="127" customFormat="false" ht="12" hidden="false" customHeight="false" outlineLevel="0" collapsed="false">
      <c r="B127" s="197"/>
      <c r="C127" s="197"/>
      <c r="D127" s="197"/>
      <c r="E127" s="197"/>
      <c r="F127" s="197"/>
      <c r="G127" s="197"/>
      <c r="H127" s="197"/>
      <c r="I127" s="197"/>
      <c r="J127" s="197"/>
      <c r="K127" s="197"/>
      <c r="L127" s="197"/>
      <c r="M127" s="197"/>
      <c r="N127" s="197"/>
      <c r="O127" s="197"/>
      <c r="P127" s="197"/>
      <c r="Q127" s="197"/>
      <c r="R127" s="197"/>
    </row>
    <row r="128" customFormat="false" ht="12" hidden="false" customHeight="false" outlineLevel="0" collapsed="false">
      <c r="B128" s="197"/>
      <c r="C128" s="197"/>
      <c r="D128" s="197"/>
      <c r="E128" s="197"/>
      <c r="F128" s="197"/>
      <c r="G128" s="197"/>
      <c r="H128" s="197"/>
      <c r="I128" s="197"/>
      <c r="J128" s="197"/>
      <c r="K128" s="197"/>
      <c r="L128" s="197"/>
      <c r="M128" s="197"/>
      <c r="N128" s="197"/>
      <c r="O128" s="197"/>
      <c r="P128" s="197"/>
      <c r="Q128" s="197"/>
      <c r="R128" s="197"/>
    </row>
    <row r="129" customFormat="false" ht="12" hidden="false" customHeight="false" outlineLevel="0" collapsed="false">
      <c r="B129" s="197"/>
      <c r="C129" s="197"/>
      <c r="D129" s="197"/>
      <c r="E129" s="197"/>
      <c r="F129" s="197"/>
      <c r="G129" s="197"/>
      <c r="H129" s="197"/>
      <c r="I129" s="197"/>
      <c r="J129" s="197"/>
      <c r="K129" s="197"/>
      <c r="L129" s="197"/>
      <c r="M129" s="197"/>
      <c r="N129" s="197"/>
      <c r="O129" s="197"/>
      <c r="P129" s="197"/>
      <c r="Q129" s="197"/>
      <c r="R129" s="197"/>
    </row>
    <row r="130" customFormat="false" ht="12" hidden="false" customHeight="false" outlineLevel="0" collapsed="false">
      <c r="B130" s="197"/>
      <c r="C130" s="197"/>
      <c r="D130" s="197"/>
      <c r="E130" s="197"/>
      <c r="F130" s="197"/>
      <c r="G130" s="197"/>
      <c r="H130" s="197"/>
      <c r="I130" s="197"/>
      <c r="J130" s="197"/>
      <c r="K130" s="197"/>
      <c r="L130" s="197"/>
      <c r="M130" s="197"/>
      <c r="N130" s="197"/>
      <c r="O130" s="197"/>
      <c r="P130" s="197"/>
      <c r="Q130" s="197"/>
      <c r="R130" s="197"/>
    </row>
    <row r="131" customFormat="false" ht="12" hidden="false" customHeight="false" outlineLevel="0" collapsed="false">
      <c r="B131" s="197"/>
      <c r="C131" s="197"/>
      <c r="D131" s="197"/>
      <c r="E131" s="197"/>
      <c r="F131" s="197"/>
      <c r="G131" s="197"/>
      <c r="H131" s="197"/>
      <c r="I131" s="197"/>
      <c r="J131" s="197"/>
      <c r="K131" s="197"/>
      <c r="L131" s="197"/>
      <c r="M131" s="197"/>
      <c r="N131" s="197"/>
      <c r="O131" s="197"/>
      <c r="P131" s="197"/>
      <c r="Q131" s="197"/>
      <c r="R131" s="197"/>
    </row>
    <row r="132" customFormat="false" ht="12" hidden="false" customHeight="false" outlineLevel="0" collapsed="false">
      <c r="B132" s="197"/>
      <c r="C132" s="197"/>
      <c r="D132" s="197"/>
      <c r="E132" s="197"/>
      <c r="F132" s="197"/>
      <c r="G132" s="197"/>
      <c r="H132" s="197"/>
      <c r="I132" s="197"/>
      <c r="J132" s="197"/>
      <c r="K132" s="197"/>
      <c r="L132" s="197"/>
      <c r="M132" s="197"/>
      <c r="N132" s="197"/>
      <c r="O132" s="197"/>
      <c r="P132" s="197"/>
      <c r="Q132" s="197"/>
      <c r="R132" s="197"/>
    </row>
    <row r="133" customFormat="false" ht="12" hidden="false" customHeight="false" outlineLevel="0" collapsed="false">
      <c r="B133" s="197"/>
      <c r="C133" s="197"/>
      <c r="D133" s="197"/>
      <c r="E133" s="197"/>
      <c r="F133" s="197"/>
      <c r="G133" s="197"/>
      <c r="H133" s="197"/>
      <c r="I133" s="197"/>
      <c r="J133" s="197"/>
      <c r="K133" s="197"/>
      <c r="L133" s="197"/>
      <c r="M133" s="197"/>
      <c r="N133" s="197"/>
      <c r="O133" s="197"/>
      <c r="P133" s="197"/>
      <c r="Q133" s="197"/>
      <c r="R133" s="197"/>
    </row>
    <row r="134" customFormat="false" ht="12" hidden="false" customHeight="false" outlineLevel="0" collapsed="false">
      <c r="B134" s="197"/>
      <c r="C134" s="197"/>
      <c r="D134" s="197"/>
      <c r="E134" s="197"/>
      <c r="F134" s="197"/>
      <c r="G134" s="197"/>
      <c r="H134" s="197"/>
      <c r="I134" s="197"/>
      <c r="J134" s="197"/>
      <c r="K134" s="197"/>
      <c r="L134" s="197"/>
      <c r="M134" s="197"/>
      <c r="N134" s="197"/>
      <c r="O134" s="197"/>
      <c r="P134" s="197"/>
      <c r="Q134" s="197"/>
      <c r="R134" s="197"/>
    </row>
    <row r="135" customFormat="false" ht="12" hidden="false" customHeight="false" outlineLevel="0" collapsed="false">
      <c r="B135" s="197"/>
      <c r="C135" s="197"/>
      <c r="D135" s="197"/>
      <c r="E135" s="197"/>
      <c r="F135" s="197"/>
      <c r="G135" s="197"/>
      <c r="H135" s="197"/>
      <c r="I135" s="197"/>
      <c r="J135" s="197"/>
      <c r="K135" s="197"/>
      <c r="L135" s="197"/>
      <c r="M135" s="197"/>
      <c r="N135" s="197"/>
      <c r="O135" s="197"/>
      <c r="P135" s="197"/>
      <c r="Q135" s="197"/>
      <c r="R135" s="197"/>
    </row>
    <row r="136" customFormat="false" ht="12" hidden="false" customHeight="false" outlineLevel="0" collapsed="false">
      <c r="B136" s="197"/>
      <c r="C136" s="197"/>
      <c r="D136" s="197"/>
      <c r="E136" s="197"/>
      <c r="F136" s="197"/>
      <c r="G136" s="197"/>
      <c r="H136" s="197"/>
      <c r="I136" s="197"/>
      <c r="J136" s="197"/>
      <c r="K136" s="197"/>
      <c r="L136" s="197"/>
      <c r="M136" s="197"/>
      <c r="N136" s="197"/>
      <c r="O136" s="197"/>
      <c r="P136" s="197"/>
      <c r="Q136" s="197"/>
      <c r="R136" s="197"/>
    </row>
    <row r="137" customFormat="false" ht="12" hidden="false" customHeight="false" outlineLevel="0" collapsed="false">
      <c r="B137" s="197"/>
      <c r="C137" s="197"/>
      <c r="D137" s="197"/>
      <c r="E137" s="197"/>
      <c r="F137" s="197"/>
      <c r="G137" s="197"/>
      <c r="H137" s="197"/>
      <c r="I137" s="197"/>
      <c r="J137" s="197"/>
      <c r="K137" s="197"/>
      <c r="L137" s="197"/>
      <c r="M137" s="197"/>
      <c r="N137" s="197"/>
      <c r="O137" s="197"/>
      <c r="P137" s="197"/>
      <c r="Q137" s="197"/>
      <c r="R137" s="197"/>
    </row>
    <row r="138" customFormat="false" ht="12" hidden="false" customHeight="false" outlineLevel="0" collapsed="false">
      <c r="B138" s="197"/>
      <c r="C138" s="197"/>
      <c r="D138" s="197"/>
      <c r="E138" s="197"/>
      <c r="F138" s="197"/>
      <c r="G138" s="197"/>
      <c r="H138" s="197"/>
      <c r="I138" s="197"/>
      <c r="J138" s="197"/>
      <c r="K138" s="197"/>
      <c r="L138" s="197"/>
      <c r="M138" s="197"/>
      <c r="N138" s="197"/>
      <c r="O138" s="197"/>
      <c r="P138" s="197"/>
      <c r="Q138" s="197"/>
      <c r="R138" s="197"/>
    </row>
    <row r="139" customFormat="false" ht="12" hidden="false" customHeight="false" outlineLevel="0" collapsed="false">
      <c r="B139" s="197"/>
      <c r="C139" s="197"/>
      <c r="D139" s="197"/>
      <c r="E139" s="197"/>
      <c r="F139" s="197"/>
      <c r="G139" s="197"/>
      <c r="H139" s="197"/>
      <c r="I139" s="197"/>
      <c r="J139" s="197"/>
      <c r="K139" s="197"/>
      <c r="L139" s="197"/>
      <c r="M139" s="197"/>
      <c r="N139" s="197"/>
      <c r="O139" s="197"/>
      <c r="P139" s="197"/>
      <c r="Q139" s="197"/>
      <c r="R139" s="197"/>
    </row>
    <row r="140" customFormat="false" ht="12" hidden="false" customHeight="false" outlineLevel="0" collapsed="false">
      <c r="B140" s="197"/>
      <c r="C140" s="197"/>
      <c r="D140" s="197"/>
      <c r="E140" s="197"/>
      <c r="F140" s="197"/>
      <c r="G140" s="197"/>
      <c r="H140" s="197"/>
      <c r="I140" s="197"/>
      <c r="J140" s="197"/>
      <c r="K140" s="197"/>
      <c r="L140" s="197"/>
      <c r="M140" s="197"/>
      <c r="N140" s="197"/>
      <c r="O140" s="197"/>
      <c r="P140" s="197"/>
      <c r="Q140" s="197"/>
      <c r="R140" s="197"/>
    </row>
    <row r="141" customFormat="false" ht="12" hidden="false" customHeight="false" outlineLevel="0" collapsed="false">
      <c r="B141" s="197"/>
      <c r="C141" s="197"/>
      <c r="D141" s="197"/>
      <c r="E141" s="197"/>
      <c r="F141" s="197"/>
      <c r="G141" s="197"/>
      <c r="H141" s="197"/>
      <c r="I141" s="197"/>
      <c r="J141" s="197"/>
      <c r="K141" s="197"/>
      <c r="L141" s="197"/>
      <c r="M141" s="197"/>
      <c r="N141" s="197"/>
      <c r="O141" s="197"/>
      <c r="P141" s="197"/>
      <c r="Q141" s="197"/>
      <c r="R141" s="197"/>
    </row>
    <row r="142" customFormat="false" ht="12" hidden="false" customHeight="false" outlineLevel="0" collapsed="false">
      <c r="B142" s="197"/>
      <c r="C142" s="197"/>
      <c r="D142" s="197"/>
      <c r="E142" s="197"/>
      <c r="F142" s="197"/>
      <c r="G142" s="197"/>
      <c r="H142" s="197"/>
      <c r="I142" s="197"/>
      <c r="J142" s="197"/>
      <c r="K142" s="197"/>
      <c r="L142" s="197"/>
      <c r="M142" s="197"/>
      <c r="N142" s="197"/>
      <c r="O142" s="197"/>
      <c r="P142" s="197"/>
      <c r="Q142" s="197"/>
      <c r="R142" s="197"/>
    </row>
    <row r="143" customFormat="false" ht="12" hidden="false" customHeight="false" outlineLevel="0" collapsed="false">
      <c r="B143" s="197"/>
      <c r="C143" s="197"/>
      <c r="D143" s="197"/>
      <c r="E143" s="197"/>
      <c r="F143" s="197"/>
      <c r="G143" s="197"/>
      <c r="H143" s="197"/>
      <c r="I143" s="197"/>
      <c r="J143" s="197"/>
      <c r="K143" s="197"/>
      <c r="L143" s="197"/>
      <c r="M143" s="197"/>
      <c r="N143" s="197"/>
      <c r="O143" s="197"/>
      <c r="P143" s="197"/>
      <c r="Q143" s="197"/>
      <c r="R143" s="197"/>
    </row>
    <row r="144" customFormat="false" ht="12" hidden="false" customHeight="false" outlineLevel="0" collapsed="false">
      <c r="B144" s="197"/>
      <c r="C144" s="197"/>
      <c r="D144" s="197"/>
      <c r="E144" s="197"/>
      <c r="F144" s="197"/>
      <c r="G144" s="197"/>
      <c r="H144" s="197"/>
      <c r="I144" s="197"/>
      <c r="J144" s="197"/>
      <c r="K144" s="197"/>
      <c r="L144" s="197"/>
      <c r="M144" s="197"/>
      <c r="N144" s="197"/>
      <c r="O144" s="197"/>
      <c r="P144" s="197"/>
      <c r="Q144" s="197"/>
      <c r="R144" s="197"/>
    </row>
    <row r="145" customFormat="false" ht="12" hidden="false" customHeight="false" outlineLevel="0" collapsed="false">
      <c r="B145" s="197"/>
      <c r="C145" s="197"/>
      <c r="D145" s="197"/>
      <c r="E145" s="197"/>
      <c r="F145" s="197"/>
      <c r="G145" s="197"/>
      <c r="H145" s="197"/>
      <c r="I145" s="197"/>
      <c r="J145" s="197"/>
      <c r="K145" s="197"/>
      <c r="L145" s="197"/>
      <c r="M145" s="197"/>
      <c r="N145" s="197"/>
      <c r="O145" s="197"/>
      <c r="P145" s="197"/>
      <c r="Q145" s="197"/>
      <c r="R145" s="197"/>
    </row>
    <row r="146" customFormat="false" ht="12" hidden="false" customHeight="false" outlineLevel="0" collapsed="false">
      <c r="B146" s="197"/>
      <c r="C146" s="197"/>
      <c r="D146" s="197"/>
      <c r="E146" s="197"/>
      <c r="F146" s="197"/>
      <c r="G146" s="197"/>
      <c r="H146" s="197"/>
      <c r="I146" s="197"/>
      <c r="J146" s="197"/>
      <c r="K146" s="197"/>
      <c r="L146" s="197"/>
      <c r="M146" s="197"/>
      <c r="N146" s="197"/>
      <c r="O146" s="197"/>
      <c r="P146" s="197"/>
      <c r="Q146" s="197"/>
      <c r="R146" s="197"/>
    </row>
    <row r="147" customFormat="false" ht="12" hidden="false" customHeight="false" outlineLevel="0" collapsed="false">
      <c r="B147" s="197"/>
      <c r="C147" s="197"/>
      <c r="D147" s="197"/>
      <c r="E147" s="197"/>
      <c r="F147" s="197"/>
      <c r="G147" s="197"/>
      <c r="H147" s="197"/>
      <c r="I147" s="197"/>
      <c r="J147" s="197"/>
      <c r="K147" s="197"/>
      <c r="L147" s="197"/>
      <c r="M147" s="197"/>
      <c r="N147" s="197"/>
      <c r="O147" s="197"/>
      <c r="P147" s="197"/>
      <c r="Q147" s="197"/>
      <c r="R147" s="197"/>
    </row>
    <row r="148" customFormat="false" ht="12" hidden="false" customHeight="false" outlineLevel="0" collapsed="false">
      <c r="B148" s="197"/>
      <c r="C148" s="197"/>
      <c r="D148" s="197"/>
      <c r="E148" s="197"/>
      <c r="F148" s="197"/>
      <c r="G148" s="197"/>
      <c r="H148" s="197"/>
      <c r="I148" s="197"/>
      <c r="J148" s="197"/>
      <c r="K148" s="197"/>
      <c r="L148" s="197"/>
      <c r="M148" s="197"/>
      <c r="N148" s="197"/>
      <c r="O148" s="197"/>
      <c r="P148" s="197"/>
      <c r="Q148" s="197"/>
      <c r="R148" s="197"/>
    </row>
    <row r="149" customFormat="false" ht="12" hidden="false" customHeight="false" outlineLevel="0" collapsed="false">
      <c r="B149" s="197"/>
      <c r="C149" s="197"/>
      <c r="D149" s="197"/>
      <c r="E149" s="197"/>
      <c r="F149" s="197"/>
      <c r="G149" s="197"/>
      <c r="H149" s="197"/>
      <c r="I149" s="197"/>
      <c r="J149" s="197"/>
      <c r="K149" s="197"/>
      <c r="L149" s="197"/>
      <c r="M149" s="197"/>
      <c r="N149" s="197"/>
      <c r="O149" s="197"/>
      <c r="P149" s="197"/>
      <c r="Q149" s="197"/>
      <c r="R149" s="197"/>
    </row>
    <row r="150" customFormat="false" ht="12" hidden="false" customHeight="false" outlineLevel="0" collapsed="false">
      <c r="B150" s="197"/>
      <c r="C150" s="197"/>
      <c r="D150" s="197"/>
      <c r="E150" s="197"/>
      <c r="F150" s="197"/>
      <c r="G150" s="197"/>
      <c r="H150" s="197"/>
      <c r="I150" s="197"/>
      <c r="J150" s="197"/>
      <c r="K150" s="197"/>
      <c r="L150" s="197"/>
      <c r="M150" s="197"/>
      <c r="N150" s="197"/>
      <c r="O150" s="197"/>
      <c r="P150" s="197"/>
      <c r="Q150" s="197"/>
      <c r="R150" s="197"/>
    </row>
    <row r="151" customFormat="false" ht="12" hidden="false" customHeight="false" outlineLevel="0" collapsed="false">
      <c r="B151" s="197"/>
      <c r="C151" s="197"/>
      <c r="D151" s="197"/>
      <c r="E151" s="197"/>
      <c r="F151" s="197"/>
      <c r="G151" s="197"/>
      <c r="H151" s="197"/>
      <c r="I151" s="197"/>
      <c r="J151" s="197"/>
      <c r="K151" s="197"/>
      <c r="L151" s="197"/>
      <c r="M151" s="197"/>
      <c r="N151" s="197"/>
      <c r="O151" s="197"/>
      <c r="P151" s="197"/>
      <c r="Q151" s="197"/>
      <c r="R151" s="197"/>
    </row>
    <row r="152" customFormat="false" ht="12" hidden="false" customHeight="false" outlineLevel="0" collapsed="false">
      <c r="B152" s="197"/>
      <c r="C152" s="197"/>
      <c r="D152" s="197"/>
      <c r="E152" s="197"/>
      <c r="F152" s="197"/>
      <c r="G152" s="197"/>
      <c r="H152" s="197"/>
      <c r="I152" s="197"/>
      <c r="J152" s="197"/>
      <c r="K152" s="197"/>
      <c r="L152" s="197"/>
      <c r="M152" s="197"/>
      <c r="N152" s="197"/>
      <c r="O152" s="197"/>
      <c r="P152" s="197"/>
      <c r="Q152" s="197"/>
      <c r="R152" s="197"/>
    </row>
    <row r="153" customFormat="false" ht="12" hidden="false" customHeight="false" outlineLevel="0" collapsed="false">
      <c r="B153" s="197"/>
      <c r="C153" s="197"/>
      <c r="D153" s="197"/>
      <c r="E153" s="197"/>
      <c r="F153" s="197"/>
      <c r="G153" s="197"/>
      <c r="H153" s="197"/>
      <c r="I153" s="197"/>
      <c r="J153" s="197"/>
      <c r="K153" s="197"/>
      <c r="L153" s="197"/>
      <c r="M153" s="197"/>
      <c r="N153" s="197"/>
      <c r="O153" s="197"/>
      <c r="P153" s="197"/>
      <c r="Q153" s="197"/>
      <c r="R153" s="197"/>
    </row>
    <row r="154" customFormat="false" ht="12" hidden="false" customHeight="false" outlineLevel="0" collapsed="false">
      <c r="B154" s="197"/>
      <c r="C154" s="197"/>
      <c r="D154" s="197"/>
      <c r="E154" s="197"/>
      <c r="F154" s="197"/>
      <c r="G154" s="197"/>
      <c r="H154" s="197"/>
      <c r="I154" s="197"/>
      <c r="J154" s="197"/>
      <c r="K154" s="197"/>
      <c r="L154" s="197"/>
      <c r="M154" s="197"/>
      <c r="N154" s="197"/>
      <c r="O154" s="197"/>
      <c r="P154" s="197"/>
      <c r="Q154" s="197"/>
      <c r="R154" s="197"/>
    </row>
    <row r="155" customFormat="false" ht="12" hidden="false" customHeight="false" outlineLevel="0" collapsed="false">
      <c r="B155" s="197"/>
      <c r="C155" s="197"/>
      <c r="D155" s="197"/>
      <c r="E155" s="197"/>
      <c r="F155" s="197"/>
      <c r="G155" s="197"/>
      <c r="H155" s="197"/>
      <c r="I155" s="197"/>
      <c r="J155" s="197"/>
      <c r="K155" s="197"/>
      <c r="L155" s="197"/>
      <c r="M155" s="197"/>
      <c r="N155" s="197"/>
      <c r="O155" s="197"/>
      <c r="P155" s="197"/>
      <c r="Q155" s="197"/>
      <c r="R155" s="197"/>
    </row>
    <row r="156" customFormat="false" ht="12" hidden="false" customHeight="false" outlineLevel="0" collapsed="false">
      <c r="B156" s="197"/>
      <c r="C156" s="197"/>
      <c r="D156" s="197"/>
      <c r="E156" s="197"/>
      <c r="F156" s="197"/>
      <c r="G156" s="197"/>
      <c r="H156" s="197"/>
      <c r="I156" s="197"/>
      <c r="J156" s="197"/>
      <c r="K156" s="197"/>
      <c r="L156" s="197"/>
      <c r="M156" s="197"/>
      <c r="N156" s="197"/>
      <c r="O156" s="197"/>
      <c r="P156" s="197"/>
      <c r="Q156" s="197"/>
      <c r="R156" s="197"/>
    </row>
    <row r="157" customFormat="false" ht="12" hidden="false" customHeight="false" outlineLevel="0" collapsed="false">
      <c r="B157" s="197"/>
      <c r="C157" s="197"/>
      <c r="D157" s="197"/>
      <c r="E157" s="197"/>
      <c r="F157" s="197"/>
      <c r="G157" s="197"/>
      <c r="H157" s="197"/>
      <c r="I157" s="197"/>
      <c r="J157" s="197"/>
      <c r="K157" s="197"/>
      <c r="L157" s="197"/>
      <c r="M157" s="197"/>
      <c r="N157" s="197"/>
      <c r="O157" s="197"/>
      <c r="P157" s="197"/>
      <c r="Q157" s="197"/>
      <c r="R157" s="197"/>
    </row>
    <row r="158" customFormat="false" ht="12" hidden="false" customHeight="false" outlineLevel="0" collapsed="false">
      <c r="B158" s="197"/>
      <c r="C158" s="197"/>
      <c r="D158" s="197"/>
      <c r="E158" s="197"/>
      <c r="F158" s="197"/>
      <c r="G158" s="197"/>
      <c r="H158" s="197"/>
      <c r="I158" s="197"/>
      <c r="J158" s="197"/>
      <c r="K158" s="197"/>
      <c r="L158" s="197"/>
      <c r="M158" s="197"/>
      <c r="N158" s="197"/>
      <c r="O158" s="197"/>
      <c r="P158" s="197"/>
      <c r="Q158" s="197"/>
      <c r="R158" s="197"/>
    </row>
    <row r="159" customFormat="false" ht="12" hidden="false" customHeight="false" outlineLevel="0" collapsed="false">
      <c r="B159" s="197"/>
      <c r="C159" s="197"/>
      <c r="D159" s="197"/>
      <c r="E159" s="197"/>
      <c r="F159" s="197"/>
      <c r="G159" s="197"/>
      <c r="H159" s="197"/>
      <c r="I159" s="197"/>
      <c r="J159" s="197"/>
      <c r="K159" s="197"/>
      <c r="L159" s="197"/>
      <c r="M159" s="197"/>
      <c r="N159" s="197"/>
      <c r="O159" s="197"/>
      <c r="P159" s="197"/>
      <c r="Q159" s="197"/>
      <c r="R159" s="197"/>
    </row>
    <row r="160" customFormat="false" ht="12" hidden="false" customHeight="false" outlineLevel="0" collapsed="false">
      <c r="B160" s="197"/>
      <c r="C160" s="197"/>
      <c r="D160" s="197"/>
      <c r="E160" s="197"/>
      <c r="F160" s="197"/>
      <c r="G160" s="197"/>
      <c r="H160" s="197"/>
      <c r="I160" s="197"/>
      <c r="J160" s="197"/>
      <c r="K160" s="197"/>
      <c r="L160" s="197"/>
      <c r="M160" s="197"/>
      <c r="N160" s="197"/>
      <c r="O160" s="197"/>
      <c r="P160" s="197"/>
      <c r="Q160" s="197"/>
      <c r="R160" s="197"/>
    </row>
    <row r="161" customFormat="false" ht="12" hidden="false" customHeight="false" outlineLevel="0" collapsed="false">
      <c r="B161" s="197"/>
      <c r="C161" s="197"/>
      <c r="D161" s="197"/>
      <c r="E161" s="197"/>
      <c r="F161" s="197"/>
      <c r="G161" s="197"/>
      <c r="H161" s="197"/>
      <c r="I161" s="197"/>
      <c r="J161" s="197"/>
      <c r="K161" s="197"/>
      <c r="L161" s="197"/>
      <c r="M161" s="197"/>
      <c r="N161" s="197"/>
      <c r="O161" s="197"/>
      <c r="P161" s="197"/>
      <c r="Q161" s="197"/>
      <c r="R161" s="197"/>
    </row>
    <row r="162" customFormat="false" ht="12" hidden="false" customHeight="false" outlineLevel="0" collapsed="false">
      <c r="B162" s="197"/>
      <c r="C162" s="197"/>
      <c r="D162" s="197"/>
      <c r="E162" s="197"/>
      <c r="F162" s="197"/>
      <c r="G162" s="197"/>
      <c r="H162" s="197"/>
      <c r="I162" s="197"/>
      <c r="J162" s="197"/>
      <c r="K162" s="197"/>
      <c r="L162" s="197"/>
      <c r="M162" s="197"/>
      <c r="N162" s="197"/>
      <c r="O162" s="197"/>
      <c r="P162" s="197"/>
      <c r="Q162" s="197"/>
      <c r="R162" s="197"/>
    </row>
    <row r="163" customFormat="false" ht="12" hidden="false" customHeight="false" outlineLevel="0" collapsed="false">
      <c r="B163" s="197"/>
      <c r="C163" s="197"/>
      <c r="D163" s="197"/>
      <c r="E163" s="197"/>
      <c r="F163" s="197"/>
      <c r="G163" s="197"/>
      <c r="H163" s="197"/>
      <c r="I163" s="197"/>
      <c r="J163" s="197"/>
      <c r="K163" s="197"/>
      <c r="L163" s="197"/>
      <c r="M163" s="197"/>
      <c r="N163" s="197"/>
      <c r="O163" s="197"/>
      <c r="P163" s="197"/>
      <c r="Q163" s="197"/>
      <c r="R163" s="197"/>
    </row>
    <row r="164" customFormat="false" ht="12" hidden="false" customHeight="false" outlineLevel="0" collapsed="false">
      <c r="B164" s="197"/>
      <c r="C164" s="197"/>
      <c r="D164" s="197"/>
      <c r="E164" s="197"/>
      <c r="F164" s="197"/>
      <c r="G164" s="197"/>
      <c r="H164" s="197"/>
      <c r="I164" s="197"/>
      <c r="J164" s="197"/>
      <c r="K164" s="197"/>
      <c r="L164" s="197"/>
      <c r="M164" s="197"/>
      <c r="N164" s="197"/>
      <c r="O164" s="197"/>
      <c r="P164" s="197"/>
      <c r="Q164" s="197"/>
      <c r="R164" s="197"/>
    </row>
    <row r="165" customFormat="false" ht="12" hidden="false" customHeight="false" outlineLevel="0" collapsed="false">
      <c r="B165" s="197"/>
      <c r="C165" s="197"/>
      <c r="D165" s="197"/>
      <c r="E165" s="197"/>
      <c r="F165" s="197"/>
      <c r="G165" s="197"/>
      <c r="H165" s="197"/>
      <c r="I165" s="197"/>
      <c r="J165" s="197"/>
      <c r="K165" s="197"/>
      <c r="L165" s="197"/>
      <c r="M165" s="197"/>
      <c r="N165" s="197"/>
      <c r="O165" s="197"/>
      <c r="P165" s="197"/>
      <c r="Q165" s="197"/>
      <c r="R165" s="197"/>
    </row>
    <row r="166" customFormat="false" ht="12" hidden="false" customHeight="false" outlineLevel="0" collapsed="false">
      <c r="B166" s="197"/>
      <c r="C166" s="197"/>
      <c r="D166" s="197"/>
      <c r="E166" s="197"/>
      <c r="F166" s="197"/>
      <c r="G166" s="197"/>
      <c r="H166" s="197"/>
      <c r="I166" s="197"/>
      <c r="J166" s="197"/>
      <c r="K166" s="197"/>
      <c r="L166" s="197"/>
      <c r="M166" s="197"/>
      <c r="N166" s="197"/>
      <c r="O166" s="197"/>
      <c r="P166" s="197"/>
      <c r="Q166" s="197"/>
      <c r="R166" s="197"/>
    </row>
    <row r="167" customFormat="false" ht="12" hidden="false" customHeight="false" outlineLevel="0" collapsed="false">
      <c r="B167" s="197"/>
      <c r="C167" s="197"/>
      <c r="D167" s="197"/>
      <c r="E167" s="197"/>
      <c r="F167" s="197"/>
      <c r="G167" s="197"/>
      <c r="H167" s="197"/>
      <c r="I167" s="197"/>
      <c r="J167" s="197"/>
      <c r="K167" s="197"/>
      <c r="L167" s="197"/>
      <c r="M167" s="197"/>
      <c r="N167" s="197"/>
      <c r="O167" s="197"/>
      <c r="P167" s="197"/>
      <c r="Q167" s="197"/>
      <c r="R167" s="197"/>
    </row>
    <row r="168" customFormat="false" ht="12" hidden="false" customHeight="false" outlineLevel="0" collapsed="false">
      <c r="B168" s="197"/>
      <c r="C168" s="197"/>
      <c r="D168" s="197"/>
      <c r="E168" s="197"/>
      <c r="F168" s="197"/>
      <c r="G168" s="197"/>
      <c r="H168" s="197"/>
      <c r="I168" s="197"/>
      <c r="J168" s="197"/>
      <c r="K168" s="197"/>
      <c r="L168" s="197"/>
      <c r="M168" s="197"/>
      <c r="N168" s="197"/>
      <c r="O168" s="197"/>
      <c r="P168" s="197"/>
      <c r="Q168" s="197"/>
      <c r="R168" s="197"/>
    </row>
    <row r="169" customFormat="false" ht="12" hidden="false" customHeight="false" outlineLevel="0" collapsed="false">
      <c r="B169" s="197"/>
      <c r="C169" s="197"/>
      <c r="D169" s="197"/>
      <c r="E169" s="197"/>
      <c r="F169" s="197"/>
      <c r="G169" s="197"/>
      <c r="H169" s="197"/>
      <c r="I169" s="197"/>
      <c r="J169" s="197"/>
      <c r="K169" s="197"/>
      <c r="L169" s="197"/>
      <c r="M169" s="197"/>
      <c r="N169" s="197"/>
      <c r="O169" s="197"/>
      <c r="P169" s="197"/>
      <c r="Q169" s="197"/>
      <c r="R169" s="197"/>
    </row>
    <row r="170" customFormat="false" ht="12" hidden="false" customHeight="false" outlineLevel="0" collapsed="false">
      <c r="B170" s="197"/>
      <c r="C170" s="197"/>
      <c r="D170" s="197"/>
      <c r="E170" s="197"/>
      <c r="F170" s="197"/>
      <c r="G170" s="197"/>
      <c r="H170" s="197"/>
      <c r="I170" s="197"/>
      <c r="J170" s="197"/>
      <c r="K170" s="197"/>
      <c r="L170" s="197"/>
      <c r="M170" s="197"/>
      <c r="N170" s="197"/>
      <c r="O170" s="197"/>
      <c r="P170" s="197"/>
      <c r="Q170" s="197"/>
      <c r="R170" s="197"/>
    </row>
    <row r="171" customFormat="false" ht="12" hidden="false" customHeight="false" outlineLevel="0" collapsed="false">
      <c r="B171" s="197"/>
      <c r="C171" s="197"/>
      <c r="D171" s="197"/>
      <c r="E171" s="197"/>
      <c r="F171" s="197"/>
      <c r="G171" s="197"/>
      <c r="H171" s="197"/>
      <c r="I171" s="197"/>
      <c r="J171" s="197"/>
      <c r="K171" s="197"/>
      <c r="L171" s="197"/>
      <c r="M171" s="197"/>
      <c r="N171" s="197"/>
      <c r="O171" s="197"/>
      <c r="P171" s="197"/>
      <c r="Q171" s="197"/>
      <c r="R171" s="197"/>
    </row>
    <row r="172" customFormat="false" ht="12" hidden="false" customHeight="false" outlineLevel="0" collapsed="false">
      <c r="B172" s="197"/>
      <c r="C172" s="197"/>
      <c r="D172" s="197"/>
      <c r="E172" s="197"/>
      <c r="F172" s="197"/>
      <c r="G172" s="197"/>
      <c r="H172" s="197"/>
      <c r="I172" s="197"/>
      <c r="J172" s="197"/>
      <c r="K172" s="197"/>
      <c r="L172" s="197"/>
      <c r="M172" s="197"/>
      <c r="N172" s="197"/>
      <c r="O172" s="197"/>
      <c r="P172" s="197"/>
      <c r="Q172" s="197"/>
      <c r="R172" s="197"/>
    </row>
    <row r="173" customFormat="false" ht="12" hidden="false" customHeight="false" outlineLevel="0" collapsed="false">
      <c r="B173" s="197"/>
      <c r="C173" s="197"/>
      <c r="D173" s="197"/>
      <c r="E173" s="197"/>
      <c r="F173" s="197"/>
      <c r="G173" s="197"/>
      <c r="H173" s="197"/>
      <c r="I173" s="197"/>
      <c r="J173" s="197"/>
      <c r="K173" s="197"/>
      <c r="L173" s="197"/>
      <c r="M173" s="197"/>
      <c r="N173" s="197"/>
      <c r="O173" s="197"/>
      <c r="P173" s="197"/>
      <c r="Q173" s="197"/>
      <c r="R173" s="197"/>
    </row>
    <row r="174" customFormat="false" ht="12" hidden="false" customHeight="false" outlineLevel="0" collapsed="false">
      <c r="B174" s="197"/>
      <c r="C174" s="197"/>
      <c r="D174" s="197"/>
      <c r="E174" s="197"/>
      <c r="F174" s="197"/>
      <c r="G174" s="197"/>
      <c r="H174" s="197"/>
      <c r="I174" s="197"/>
      <c r="J174" s="197"/>
      <c r="K174" s="197"/>
      <c r="L174" s="197"/>
      <c r="M174" s="197"/>
      <c r="N174" s="197"/>
      <c r="O174" s="197"/>
      <c r="P174" s="197"/>
      <c r="Q174" s="197"/>
      <c r="R174" s="197"/>
    </row>
    <row r="175" customFormat="false" ht="12" hidden="false" customHeight="false" outlineLevel="0" collapsed="false">
      <c r="B175" s="197"/>
      <c r="C175" s="197"/>
      <c r="D175" s="197"/>
      <c r="E175" s="197"/>
      <c r="F175" s="197"/>
      <c r="G175" s="197"/>
      <c r="H175" s="197"/>
      <c r="I175" s="197"/>
      <c r="J175" s="197"/>
      <c r="K175" s="197"/>
      <c r="L175" s="197"/>
      <c r="M175" s="197"/>
      <c r="N175" s="197"/>
      <c r="O175" s="197"/>
      <c r="P175" s="197"/>
      <c r="Q175" s="197"/>
      <c r="R175" s="197"/>
    </row>
    <row r="176" customFormat="false" ht="12" hidden="false" customHeight="false" outlineLevel="0" collapsed="false">
      <c r="B176" s="197"/>
      <c r="C176" s="197"/>
      <c r="D176" s="197"/>
      <c r="E176" s="197"/>
      <c r="F176" s="197"/>
      <c r="G176" s="197"/>
      <c r="H176" s="197"/>
      <c r="I176" s="197"/>
      <c r="J176" s="197"/>
      <c r="K176" s="197"/>
      <c r="L176" s="197"/>
      <c r="M176" s="197"/>
      <c r="N176" s="197"/>
      <c r="O176" s="197"/>
      <c r="P176" s="197"/>
      <c r="Q176" s="197"/>
      <c r="R176" s="197"/>
    </row>
    <row r="177" customFormat="false" ht="12" hidden="false" customHeight="false" outlineLevel="0" collapsed="false">
      <c r="B177" s="197"/>
      <c r="C177" s="197"/>
      <c r="D177" s="197"/>
      <c r="E177" s="197"/>
      <c r="F177" s="197"/>
      <c r="G177" s="197"/>
      <c r="H177" s="197"/>
      <c r="I177" s="197"/>
      <c r="J177" s="197"/>
      <c r="K177" s="197"/>
      <c r="L177" s="197"/>
      <c r="M177" s="197"/>
      <c r="N177" s="197"/>
      <c r="O177" s="197"/>
      <c r="P177" s="197"/>
      <c r="Q177" s="197"/>
      <c r="R177" s="197"/>
    </row>
    <row r="178" customFormat="false" ht="12" hidden="false" customHeight="false" outlineLevel="0" collapsed="false">
      <c r="B178" s="197"/>
      <c r="C178" s="197"/>
      <c r="D178" s="197"/>
      <c r="E178" s="197"/>
      <c r="F178" s="197"/>
      <c r="G178" s="197"/>
      <c r="H178" s="197"/>
      <c r="I178" s="197"/>
      <c r="J178" s="197"/>
      <c r="K178" s="197"/>
      <c r="L178" s="197"/>
      <c r="M178" s="197"/>
      <c r="N178" s="197"/>
      <c r="O178" s="197"/>
      <c r="P178" s="197"/>
      <c r="Q178" s="197"/>
      <c r="R178" s="197"/>
    </row>
    <row r="179" customFormat="false" ht="12" hidden="false" customHeight="false" outlineLevel="0" collapsed="false">
      <c r="B179" s="197"/>
      <c r="C179" s="197"/>
      <c r="D179" s="197"/>
      <c r="E179" s="197"/>
      <c r="F179" s="197"/>
      <c r="G179" s="197"/>
      <c r="H179" s="197"/>
      <c r="I179" s="197"/>
      <c r="J179" s="197"/>
      <c r="K179" s="197"/>
      <c r="L179" s="197"/>
      <c r="M179" s="197"/>
      <c r="N179" s="197"/>
      <c r="O179" s="197"/>
      <c r="P179" s="197"/>
      <c r="Q179" s="197"/>
      <c r="R179" s="197"/>
    </row>
    <row r="180" customFormat="false" ht="12" hidden="false" customHeight="false" outlineLevel="0" collapsed="false">
      <c r="B180" s="197"/>
      <c r="C180" s="197"/>
      <c r="D180" s="197"/>
      <c r="E180" s="197"/>
      <c r="F180" s="197"/>
      <c r="G180" s="197"/>
      <c r="H180" s="197"/>
      <c r="I180" s="197"/>
      <c r="J180" s="197"/>
      <c r="K180" s="197"/>
      <c r="L180" s="197"/>
      <c r="M180" s="197"/>
      <c r="N180" s="197"/>
      <c r="O180" s="197"/>
      <c r="P180" s="197"/>
      <c r="Q180" s="197"/>
      <c r="R180" s="197"/>
    </row>
    <row r="181" customFormat="false" ht="12" hidden="false" customHeight="false" outlineLevel="0" collapsed="false">
      <c r="B181" s="197"/>
      <c r="C181" s="197"/>
      <c r="D181" s="197"/>
      <c r="E181" s="197"/>
      <c r="F181" s="197"/>
      <c r="G181" s="197"/>
      <c r="H181" s="197"/>
      <c r="I181" s="197"/>
      <c r="J181" s="197"/>
      <c r="K181" s="197"/>
      <c r="L181" s="197"/>
      <c r="M181" s="197"/>
      <c r="N181" s="197"/>
      <c r="O181" s="197"/>
      <c r="P181" s="197"/>
      <c r="Q181" s="197"/>
      <c r="R181" s="197"/>
    </row>
    <row r="182" customFormat="false" ht="12" hidden="false" customHeight="false" outlineLevel="0" collapsed="false">
      <c r="B182" s="197"/>
      <c r="C182" s="197"/>
      <c r="D182" s="197"/>
      <c r="E182" s="197"/>
      <c r="F182" s="197"/>
      <c r="G182" s="197"/>
      <c r="H182" s="197"/>
      <c r="I182" s="197"/>
      <c r="J182" s="197"/>
      <c r="K182" s="197"/>
      <c r="L182" s="197"/>
      <c r="M182" s="197"/>
      <c r="N182" s="197"/>
      <c r="O182" s="197"/>
      <c r="P182" s="197"/>
      <c r="Q182" s="197"/>
      <c r="R182" s="197"/>
    </row>
    <row r="183" customFormat="false" ht="12" hidden="false" customHeight="false" outlineLevel="0" collapsed="false">
      <c r="B183" s="197"/>
      <c r="C183" s="197"/>
      <c r="D183" s="197"/>
      <c r="E183" s="197"/>
      <c r="F183" s="197"/>
      <c r="G183" s="197"/>
      <c r="H183" s="197"/>
      <c r="I183" s="197"/>
      <c r="J183" s="197"/>
      <c r="K183" s="197"/>
      <c r="L183" s="197"/>
      <c r="M183" s="197"/>
      <c r="N183" s="197"/>
      <c r="O183" s="197"/>
      <c r="P183" s="197"/>
      <c r="Q183" s="197"/>
      <c r="R183" s="197"/>
    </row>
    <row r="184" customFormat="false" ht="12" hidden="false" customHeight="false" outlineLevel="0" collapsed="false">
      <c r="B184" s="197"/>
      <c r="C184" s="197"/>
      <c r="D184" s="197"/>
      <c r="E184" s="197"/>
      <c r="F184" s="197"/>
      <c r="G184" s="197"/>
      <c r="H184" s="197"/>
      <c r="I184" s="197"/>
      <c r="J184" s="197"/>
      <c r="K184" s="197"/>
      <c r="L184" s="197"/>
      <c r="M184" s="197"/>
      <c r="N184" s="197"/>
      <c r="O184" s="197"/>
      <c r="P184" s="197"/>
      <c r="Q184" s="197"/>
      <c r="R184" s="197"/>
    </row>
    <row r="185" customFormat="false" ht="12" hidden="false" customHeight="false" outlineLevel="0" collapsed="false">
      <c r="B185" s="197"/>
      <c r="C185" s="197"/>
      <c r="D185" s="197"/>
      <c r="E185" s="197"/>
      <c r="F185" s="197"/>
      <c r="G185" s="197"/>
      <c r="H185" s="197"/>
      <c r="I185" s="197"/>
      <c r="J185" s="197"/>
      <c r="K185" s="197"/>
      <c r="L185" s="197"/>
      <c r="M185" s="197"/>
      <c r="N185" s="197"/>
      <c r="O185" s="197"/>
      <c r="P185" s="197"/>
      <c r="Q185" s="197"/>
      <c r="R185" s="197"/>
    </row>
    <row r="186" customFormat="false" ht="12" hidden="false" customHeight="false" outlineLevel="0" collapsed="false">
      <c r="B186" s="197"/>
      <c r="C186" s="197"/>
      <c r="D186" s="197"/>
      <c r="E186" s="197"/>
      <c r="F186" s="197"/>
      <c r="G186" s="197"/>
      <c r="H186" s="197"/>
      <c r="I186" s="197"/>
      <c r="J186" s="197"/>
      <c r="K186" s="197"/>
      <c r="L186" s="197"/>
      <c r="M186" s="197"/>
      <c r="N186" s="197"/>
      <c r="O186" s="197"/>
      <c r="P186" s="197"/>
      <c r="Q186" s="197"/>
      <c r="R186" s="197"/>
    </row>
    <row r="187" customFormat="false" ht="12" hidden="false" customHeight="false" outlineLevel="0" collapsed="false">
      <c r="B187" s="197"/>
      <c r="C187" s="197"/>
      <c r="D187" s="197"/>
      <c r="E187" s="197"/>
      <c r="F187" s="197"/>
      <c r="G187" s="197"/>
      <c r="H187" s="197"/>
      <c r="I187" s="197"/>
      <c r="J187" s="197"/>
      <c r="K187" s="197"/>
      <c r="L187" s="197"/>
      <c r="M187" s="197"/>
      <c r="N187" s="197"/>
      <c r="O187" s="197"/>
      <c r="P187" s="197"/>
      <c r="Q187" s="197"/>
      <c r="R187" s="197"/>
    </row>
    <row r="188" customFormat="false" ht="12" hidden="false" customHeight="false" outlineLevel="0" collapsed="false">
      <c r="B188" s="197"/>
      <c r="C188" s="197"/>
      <c r="D188" s="197"/>
      <c r="E188" s="197"/>
      <c r="F188" s="197"/>
      <c r="G188" s="197"/>
      <c r="H188" s="197"/>
      <c r="I188" s="197"/>
      <c r="J188" s="197"/>
      <c r="K188" s="197"/>
      <c r="L188" s="197"/>
      <c r="M188" s="197"/>
      <c r="N188" s="197"/>
      <c r="O188" s="197"/>
      <c r="P188" s="197"/>
      <c r="Q188" s="197"/>
      <c r="R188" s="197"/>
    </row>
    <row r="189" customFormat="false" ht="12" hidden="false" customHeight="false" outlineLevel="0" collapsed="false">
      <c r="B189" s="197"/>
      <c r="C189" s="197"/>
      <c r="D189" s="197"/>
      <c r="E189" s="197"/>
      <c r="F189" s="197"/>
      <c r="G189" s="197"/>
      <c r="H189" s="197"/>
      <c r="I189" s="197"/>
      <c r="J189" s="197"/>
      <c r="K189" s="197"/>
      <c r="L189" s="197"/>
      <c r="M189" s="197"/>
      <c r="N189" s="197"/>
      <c r="O189" s="197"/>
      <c r="P189" s="197"/>
      <c r="Q189" s="197"/>
      <c r="R189" s="197"/>
    </row>
    <row r="190" customFormat="false" ht="12" hidden="false" customHeight="false" outlineLevel="0" collapsed="false">
      <c r="B190" s="197"/>
      <c r="C190" s="197"/>
      <c r="D190" s="197"/>
      <c r="E190" s="197"/>
      <c r="F190" s="197"/>
      <c r="G190" s="197"/>
      <c r="H190" s="197"/>
      <c r="I190" s="197"/>
      <c r="J190" s="197"/>
      <c r="K190" s="197"/>
      <c r="L190" s="197"/>
      <c r="M190" s="197"/>
      <c r="N190" s="197"/>
      <c r="O190" s="197"/>
      <c r="P190" s="197"/>
      <c r="Q190" s="197"/>
      <c r="R190" s="197"/>
    </row>
    <row r="191" customFormat="false" ht="12" hidden="false" customHeight="false" outlineLevel="0" collapsed="false">
      <c r="B191" s="197"/>
      <c r="C191" s="197"/>
      <c r="D191" s="197"/>
      <c r="E191" s="197"/>
      <c r="F191" s="197"/>
      <c r="G191" s="197"/>
      <c r="H191" s="197"/>
      <c r="I191" s="197"/>
      <c r="J191" s="197"/>
      <c r="K191" s="197"/>
      <c r="L191" s="197"/>
      <c r="M191" s="197"/>
      <c r="N191" s="197"/>
      <c r="O191" s="197"/>
      <c r="P191" s="197"/>
      <c r="Q191" s="197"/>
      <c r="R191" s="197"/>
    </row>
    <row r="192" customFormat="false" ht="12" hidden="false" customHeight="false" outlineLevel="0" collapsed="false">
      <c r="B192" s="197"/>
      <c r="C192" s="197"/>
      <c r="D192" s="197"/>
      <c r="E192" s="197"/>
      <c r="F192" s="197"/>
      <c r="G192" s="197"/>
      <c r="H192" s="197"/>
      <c r="I192" s="197"/>
      <c r="J192" s="197"/>
      <c r="K192" s="197"/>
      <c r="L192" s="197"/>
      <c r="M192" s="197"/>
      <c r="N192" s="197"/>
      <c r="O192" s="197"/>
      <c r="P192" s="197"/>
      <c r="Q192" s="197"/>
      <c r="R192" s="197"/>
    </row>
    <row r="193" customFormat="false" ht="12" hidden="false" customHeight="false" outlineLevel="0" collapsed="false">
      <c r="B193" s="197"/>
      <c r="C193" s="197"/>
      <c r="D193" s="197"/>
      <c r="E193" s="197"/>
      <c r="F193" s="197"/>
      <c r="G193" s="197"/>
      <c r="H193" s="197"/>
      <c r="I193" s="197"/>
      <c r="J193" s="197"/>
      <c r="K193" s="197"/>
      <c r="L193" s="197"/>
      <c r="M193" s="197"/>
      <c r="N193" s="197"/>
      <c r="O193" s="197"/>
      <c r="P193" s="197"/>
      <c r="Q193" s="197"/>
      <c r="R193" s="197"/>
    </row>
    <row r="194" customFormat="false" ht="12" hidden="false" customHeight="false" outlineLevel="0" collapsed="false">
      <c r="B194" s="197"/>
      <c r="C194" s="197"/>
      <c r="D194" s="197"/>
      <c r="E194" s="197"/>
      <c r="F194" s="197"/>
      <c r="G194" s="197"/>
      <c r="H194" s="197"/>
      <c r="I194" s="197"/>
      <c r="J194" s="197"/>
      <c r="K194" s="197"/>
      <c r="L194" s="197"/>
      <c r="M194" s="197"/>
      <c r="N194" s="197"/>
      <c r="O194" s="197"/>
      <c r="P194" s="197"/>
      <c r="Q194" s="197"/>
      <c r="R194" s="197"/>
    </row>
    <row r="195" customFormat="false" ht="12" hidden="false" customHeight="false" outlineLevel="0" collapsed="false">
      <c r="B195" s="197"/>
      <c r="C195" s="197"/>
      <c r="D195" s="197"/>
      <c r="E195" s="197"/>
      <c r="F195" s="197"/>
      <c r="G195" s="197"/>
      <c r="H195" s="197"/>
      <c r="I195" s="197"/>
      <c r="J195" s="197"/>
      <c r="K195" s="197"/>
      <c r="L195" s="197"/>
      <c r="M195" s="197"/>
      <c r="N195" s="197"/>
      <c r="O195" s="197"/>
      <c r="P195" s="197"/>
      <c r="Q195" s="197"/>
      <c r="R195" s="197"/>
    </row>
    <row r="196" customFormat="false" ht="12" hidden="false" customHeight="false" outlineLevel="0" collapsed="false">
      <c r="B196" s="197"/>
      <c r="C196" s="197"/>
      <c r="D196" s="197"/>
      <c r="E196" s="197"/>
      <c r="F196" s="197"/>
      <c r="G196" s="197"/>
      <c r="H196" s="197"/>
      <c r="I196" s="197"/>
      <c r="J196" s="197"/>
      <c r="K196" s="197"/>
      <c r="L196" s="197"/>
      <c r="M196" s="197"/>
      <c r="N196" s="197"/>
      <c r="O196" s="197"/>
      <c r="P196" s="197"/>
      <c r="Q196" s="197"/>
      <c r="R196" s="197"/>
    </row>
    <row r="197" customFormat="false" ht="12" hidden="false" customHeight="false" outlineLevel="0" collapsed="false">
      <c r="B197" s="197"/>
      <c r="C197" s="197"/>
      <c r="D197" s="197"/>
      <c r="E197" s="197"/>
      <c r="F197" s="197"/>
      <c r="G197" s="197"/>
      <c r="H197" s="197"/>
      <c r="I197" s="197"/>
      <c r="J197" s="197"/>
      <c r="K197" s="197"/>
      <c r="L197" s="197"/>
      <c r="M197" s="197"/>
      <c r="N197" s="197"/>
      <c r="O197" s="197"/>
      <c r="P197" s="197"/>
      <c r="Q197" s="197"/>
      <c r="R197" s="197"/>
    </row>
    <row r="198" customFormat="false" ht="12" hidden="false" customHeight="false" outlineLevel="0" collapsed="false">
      <c r="B198" s="197"/>
      <c r="C198" s="197"/>
      <c r="D198" s="197"/>
      <c r="E198" s="197"/>
      <c r="F198" s="197"/>
      <c r="G198" s="197"/>
      <c r="H198" s="197"/>
      <c r="I198" s="197"/>
      <c r="J198" s="197"/>
      <c r="K198" s="197"/>
      <c r="L198" s="197"/>
      <c r="M198" s="197"/>
      <c r="N198" s="197"/>
      <c r="O198" s="197"/>
      <c r="P198" s="197"/>
      <c r="Q198" s="197"/>
      <c r="R198" s="197"/>
    </row>
    <row r="199" customFormat="false" ht="12" hidden="false" customHeight="false" outlineLevel="0" collapsed="false">
      <c r="B199" s="197"/>
      <c r="C199" s="197"/>
      <c r="D199" s="197"/>
      <c r="E199" s="197"/>
      <c r="F199" s="197"/>
      <c r="G199" s="197"/>
      <c r="H199" s="197"/>
      <c r="I199" s="197"/>
      <c r="J199" s="197"/>
      <c r="K199" s="197"/>
      <c r="L199" s="197"/>
      <c r="M199" s="197"/>
      <c r="N199" s="197"/>
      <c r="O199" s="197"/>
      <c r="P199" s="197"/>
      <c r="Q199" s="197"/>
      <c r="R199" s="197"/>
    </row>
    <row r="200" customFormat="false" ht="12" hidden="false" customHeight="false" outlineLevel="0" collapsed="false">
      <c r="B200" s="197"/>
      <c r="C200" s="197"/>
      <c r="D200" s="197"/>
      <c r="E200" s="197"/>
      <c r="F200" s="197"/>
      <c r="G200" s="197"/>
      <c r="H200" s="197"/>
      <c r="I200" s="197"/>
      <c r="J200" s="197"/>
      <c r="K200" s="197"/>
      <c r="L200" s="197"/>
      <c r="M200" s="197"/>
      <c r="N200" s="197"/>
      <c r="O200" s="197"/>
      <c r="P200" s="197"/>
      <c r="Q200" s="197"/>
      <c r="R200" s="197"/>
    </row>
    <row r="201" customFormat="false" ht="12" hidden="false" customHeight="false" outlineLevel="0" collapsed="false">
      <c r="B201" s="197"/>
      <c r="C201" s="197"/>
      <c r="D201" s="197"/>
      <c r="E201" s="197"/>
      <c r="F201" s="197"/>
      <c r="G201" s="197"/>
      <c r="H201" s="197"/>
      <c r="I201" s="197"/>
      <c r="J201" s="197"/>
      <c r="K201" s="197"/>
      <c r="L201" s="197"/>
      <c r="M201" s="197"/>
      <c r="N201" s="197"/>
      <c r="O201" s="197"/>
      <c r="P201" s="197"/>
      <c r="Q201" s="197"/>
      <c r="R201" s="197"/>
    </row>
    <row r="202" customFormat="false" ht="12" hidden="false" customHeight="false" outlineLevel="0" collapsed="false">
      <c r="B202" s="197"/>
      <c r="C202" s="197"/>
      <c r="D202" s="197"/>
      <c r="E202" s="197"/>
      <c r="F202" s="197"/>
      <c r="G202" s="197"/>
      <c r="H202" s="197"/>
      <c r="I202" s="197"/>
      <c r="J202" s="197"/>
      <c r="K202" s="197"/>
      <c r="L202" s="197"/>
      <c r="M202" s="197"/>
      <c r="N202" s="197"/>
      <c r="O202" s="197"/>
      <c r="P202" s="197"/>
      <c r="Q202" s="197"/>
      <c r="R202" s="197"/>
    </row>
    <row r="203" customFormat="false" ht="12" hidden="false" customHeight="false" outlineLevel="0" collapsed="false">
      <c r="B203" s="197"/>
      <c r="C203" s="197"/>
      <c r="D203" s="197"/>
      <c r="E203" s="197"/>
      <c r="F203" s="197"/>
      <c r="G203" s="197"/>
      <c r="H203" s="197"/>
      <c r="I203" s="197"/>
      <c r="J203" s="197"/>
      <c r="K203" s="197"/>
      <c r="L203" s="197"/>
      <c r="M203" s="197"/>
      <c r="N203" s="197"/>
      <c r="O203" s="197"/>
      <c r="P203" s="197"/>
      <c r="Q203" s="197"/>
      <c r="R203" s="197"/>
    </row>
    <row r="204" customFormat="false" ht="12" hidden="false" customHeight="false" outlineLevel="0" collapsed="false">
      <c r="B204" s="197"/>
      <c r="C204" s="197"/>
      <c r="D204" s="197"/>
      <c r="E204" s="197"/>
      <c r="F204" s="197"/>
      <c r="G204" s="197"/>
      <c r="H204" s="197"/>
      <c r="I204" s="197"/>
      <c r="J204" s="197"/>
      <c r="K204" s="197"/>
      <c r="L204" s="197"/>
      <c r="M204" s="197"/>
      <c r="N204" s="197"/>
      <c r="O204" s="197"/>
      <c r="P204" s="197"/>
      <c r="Q204" s="197"/>
      <c r="R204" s="197"/>
    </row>
    <row r="205" customFormat="false" ht="12" hidden="false" customHeight="false" outlineLevel="0" collapsed="false">
      <c r="B205" s="197"/>
      <c r="C205" s="197"/>
      <c r="D205" s="197"/>
      <c r="E205" s="197"/>
      <c r="F205" s="197"/>
      <c r="G205" s="197"/>
      <c r="H205" s="197"/>
      <c r="I205" s="197"/>
      <c r="J205" s="197"/>
      <c r="K205" s="197"/>
      <c r="L205" s="197"/>
      <c r="M205" s="197"/>
      <c r="N205" s="197"/>
      <c r="O205" s="197"/>
      <c r="P205" s="197"/>
      <c r="Q205" s="197"/>
      <c r="R205" s="197"/>
    </row>
    <row r="206" customFormat="false" ht="12" hidden="false" customHeight="false" outlineLevel="0" collapsed="false">
      <c r="B206" s="197"/>
      <c r="C206" s="197"/>
      <c r="D206" s="197"/>
      <c r="E206" s="197"/>
      <c r="F206" s="197"/>
      <c r="G206" s="197"/>
      <c r="H206" s="197"/>
      <c r="I206" s="197"/>
      <c r="J206" s="197"/>
      <c r="K206" s="197"/>
      <c r="L206" s="197"/>
      <c r="M206" s="197"/>
      <c r="N206" s="197"/>
      <c r="O206" s="197"/>
      <c r="P206" s="197"/>
      <c r="Q206" s="197"/>
      <c r="R206" s="197"/>
    </row>
    <row r="207" customFormat="false" ht="12" hidden="false" customHeight="false" outlineLevel="0" collapsed="false">
      <c r="B207" s="197"/>
      <c r="C207" s="197"/>
      <c r="D207" s="197"/>
      <c r="E207" s="197"/>
      <c r="F207" s="197"/>
      <c r="G207" s="197"/>
      <c r="H207" s="197"/>
      <c r="I207" s="197"/>
      <c r="J207" s="197"/>
      <c r="K207" s="197"/>
      <c r="L207" s="197"/>
      <c r="M207" s="197"/>
      <c r="N207" s="197"/>
      <c r="O207" s="197"/>
      <c r="P207" s="197"/>
      <c r="Q207" s="197"/>
      <c r="R207" s="197"/>
    </row>
    <row r="208" customFormat="false" ht="12" hidden="false" customHeight="false" outlineLevel="0" collapsed="false">
      <c r="B208" s="197"/>
      <c r="C208" s="197"/>
      <c r="D208" s="197"/>
      <c r="E208" s="197"/>
      <c r="F208" s="197"/>
      <c r="G208" s="197"/>
      <c r="H208" s="197"/>
      <c r="I208" s="197"/>
      <c r="J208" s="197"/>
      <c r="K208" s="197"/>
      <c r="L208" s="197"/>
      <c r="M208" s="197"/>
      <c r="N208" s="197"/>
      <c r="O208" s="197"/>
      <c r="P208" s="197"/>
      <c r="Q208" s="197"/>
      <c r="R208" s="197"/>
    </row>
    <row r="209" customFormat="false" ht="12" hidden="false" customHeight="false" outlineLevel="0" collapsed="false">
      <c r="B209" s="197"/>
      <c r="C209" s="197"/>
      <c r="D209" s="197"/>
      <c r="E209" s="197"/>
      <c r="F209" s="197"/>
      <c r="G209" s="197"/>
      <c r="H209" s="197"/>
      <c r="I209" s="197"/>
      <c r="J209" s="197"/>
      <c r="K209" s="197"/>
      <c r="L209" s="197"/>
      <c r="M209" s="197"/>
      <c r="N209" s="197"/>
      <c r="O209" s="197"/>
      <c r="P209" s="197"/>
      <c r="Q209" s="197"/>
      <c r="R209" s="197"/>
    </row>
    <row r="210" customFormat="false" ht="12" hidden="false" customHeight="false" outlineLevel="0" collapsed="false">
      <c r="B210" s="197"/>
      <c r="C210" s="197"/>
      <c r="D210" s="197"/>
      <c r="E210" s="197"/>
      <c r="F210" s="197"/>
      <c r="G210" s="197"/>
      <c r="H210" s="197"/>
      <c r="I210" s="197"/>
      <c r="J210" s="197"/>
      <c r="K210" s="197"/>
      <c r="L210" s="197"/>
      <c r="M210" s="197"/>
      <c r="N210" s="197"/>
      <c r="O210" s="197"/>
      <c r="P210" s="197"/>
      <c r="Q210" s="197"/>
      <c r="R210" s="197"/>
    </row>
    <row r="211" customFormat="false" ht="12" hidden="false" customHeight="false" outlineLevel="0" collapsed="false">
      <c r="B211" s="197"/>
      <c r="C211" s="197"/>
      <c r="D211" s="197"/>
      <c r="E211" s="197"/>
      <c r="F211" s="197"/>
      <c r="G211" s="197"/>
      <c r="H211" s="197"/>
      <c r="I211" s="197"/>
      <c r="J211" s="197"/>
      <c r="K211" s="197"/>
      <c r="L211" s="197"/>
      <c r="M211" s="197"/>
      <c r="N211" s="197"/>
      <c r="O211" s="197"/>
      <c r="P211" s="197"/>
      <c r="Q211" s="197"/>
      <c r="R211" s="197"/>
    </row>
    <row r="212" customFormat="false" ht="12" hidden="false" customHeight="false" outlineLevel="0" collapsed="false">
      <c r="B212" s="197"/>
      <c r="C212" s="197"/>
      <c r="D212" s="197"/>
      <c r="E212" s="197"/>
      <c r="F212" s="197"/>
      <c r="G212" s="197"/>
      <c r="H212" s="197"/>
      <c r="I212" s="197"/>
      <c r="J212" s="197"/>
      <c r="K212" s="197"/>
      <c r="L212" s="197"/>
      <c r="M212" s="197"/>
      <c r="N212" s="197"/>
      <c r="O212" s="197"/>
      <c r="P212" s="197"/>
      <c r="Q212" s="197"/>
      <c r="R212" s="197"/>
    </row>
    <row r="213" customFormat="false" ht="12" hidden="false" customHeight="false" outlineLevel="0" collapsed="false">
      <c r="B213" s="197"/>
      <c r="C213" s="197"/>
      <c r="D213" s="197"/>
      <c r="E213" s="197"/>
      <c r="F213" s="197"/>
      <c r="G213" s="197"/>
      <c r="H213" s="197"/>
      <c r="I213" s="197"/>
      <c r="J213" s="197"/>
      <c r="K213" s="197"/>
      <c r="L213" s="197"/>
      <c r="M213" s="197"/>
      <c r="N213" s="197"/>
      <c r="O213" s="197"/>
      <c r="P213" s="197"/>
      <c r="Q213" s="197"/>
      <c r="R213" s="197"/>
    </row>
    <row r="214" customFormat="false" ht="12" hidden="false" customHeight="false" outlineLevel="0" collapsed="false">
      <c r="B214" s="197"/>
      <c r="C214" s="197"/>
      <c r="D214" s="197"/>
      <c r="E214" s="197"/>
      <c r="F214" s="197"/>
      <c r="G214" s="197"/>
      <c r="H214" s="197"/>
      <c r="I214" s="197"/>
      <c r="J214" s="197"/>
      <c r="K214" s="197"/>
      <c r="L214" s="197"/>
      <c r="M214" s="197"/>
      <c r="N214" s="197"/>
      <c r="O214" s="197"/>
      <c r="P214" s="197"/>
      <c r="Q214" s="197"/>
      <c r="R214" s="197"/>
    </row>
    <row r="215" customFormat="false" ht="12" hidden="false" customHeight="false" outlineLevel="0" collapsed="false">
      <c r="B215" s="197"/>
      <c r="C215" s="197"/>
      <c r="D215" s="197"/>
      <c r="E215" s="197"/>
      <c r="F215" s="197"/>
      <c r="G215" s="197"/>
      <c r="H215" s="197"/>
      <c r="I215" s="197"/>
      <c r="J215" s="197"/>
      <c r="K215" s="197"/>
      <c r="L215" s="197"/>
      <c r="M215" s="197"/>
      <c r="N215" s="197"/>
      <c r="O215" s="197"/>
      <c r="P215" s="197"/>
      <c r="Q215" s="197"/>
      <c r="R215" s="197"/>
    </row>
    <row r="216" customFormat="false" ht="12" hidden="false" customHeight="false" outlineLevel="0" collapsed="false">
      <c r="B216" s="197"/>
      <c r="C216" s="197"/>
      <c r="D216" s="197"/>
      <c r="E216" s="197"/>
      <c r="F216" s="197"/>
      <c r="G216" s="197"/>
      <c r="H216" s="197"/>
      <c r="I216" s="197"/>
      <c r="J216" s="197"/>
      <c r="K216" s="197"/>
      <c r="L216" s="197"/>
      <c r="M216" s="197"/>
      <c r="N216" s="197"/>
      <c r="O216" s="197"/>
      <c r="P216" s="197"/>
      <c r="Q216" s="197"/>
      <c r="R216" s="197"/>
    </row>
    <row r="217" customFormat="false" ht="12" hidden="false" customHeight="false" outlineLevel="0" collapsed="false">
      <c r="B217" s="197"/>
      <c r="C217" s="197"/>
      <c r="D217" s="197"/>
      <c r="E217" s="197"/>
      <c r="F217" s="197"/>
      <c r="G217" s="197"/>
      <c r="H217" s="197"/>
      <c r="I217" s="197"/>
      <c r="J217" s="197"/>
      <c r="K217" s="197"/>
      <c r="L217" s="197"/>
      <c r="M217" s="197"/>
      <c r="N217" s="197"/>
      <c r="O217" s="197"/>
      <c r="P217" s="197"/>
      <c r="Q217" s="197"/>
      <c r="R217" s="197"/>
    </row>
    <row r="218" customFormat="false" ht="12" hidden="false" customHeight="false" outlineLevel="0" collapsed="false">
      <c r="B218" s="197"/>
      <c r="C218" s="197"/>
      <c r="D218" s="197"/>
      <c r="E218" s="197"/>
      <c r="F218" s="197"/>
      <c r="G218" s="197"/>
      <c r="H218" s="197"/>
      <c r="I218" s="197"/>
      <c r="J218" s="197"/>
      <c r="K218" s="197"/>
      <c r="L218" s="197"/>
      <c r="M218" s="197"/>
      <c r="N218" s="197"/>
      <c r="O218" s="197"/>
      <c r="P218" s="197"/>
      <c r="Q218" s="197"/>
      <c r="R218" s="197"/>
    </row>
    <row r="219" customFormat="false" ht="12" hidden="false" customHeight="false" outlineLevel="0" collapsed="false">
      <c r="B219" s="197"/>
      <c r="C219" s="197"/>
      <c r="D219" s="197"/>
      <c r="E219" s="197"/>
      <c r="F219" s="197"/>
      <c r="G219" s="197"/>
      <c r="H219" s="197"/>
      <c r="I219" s="197"/>
      <c r="J219" s="197"/>
      <c r="K219" s="197"/>
      <c r="L219" s="197"/>
      <c r="M219" s="197"/>
      <c r="N219" s="197"/>
      <c r="O219" s="197"/>
      <c r="P219" s="197"/>
      <c r="Q219" s="197"/>
      <c r="R219" s="197"/>
    </row>
    <row r="220" customFormat="false" ht="12" hidden="false" customHeight="false" outlineLevel="0" collapsed="false">
      <c r="B220" s="197"/>
      <c r="C220" s="197"/>
      <c r="D220" s="197"/>
      <c r="E220" s="197"/>
      <c r="F220" s="197"/>
      <c r="G220" s="197"/>
      <c r="H220" s="197"/>
      <c r="I220" s="197"/>
      <c r="J220" s="197"/>
      <c r="K220" s="197"/>
      <c r="L220" s="197"/>
      <c r="M220" s="197"/>
      <c r="N220" s="197"/>
      <c r="O220" s="197"/>
      <c r="P220" s="197"/>
      <c r="Q220" s="197"/>
      <c r="R220" s="197"/>
    </row>
    <row r="221" customFormat="false" ht="12" hidden="false" customHeight="false" outlineLevel="0" collapsed="false">
      <c r="B221" s="197"/>
      <c r="C221" s="197"/>
      <c r="D221" s="197"/>
      <c r="E221" s="197"/>
      <c r="F221" s="197"/>
      <c r="G221" s="197"/>
      <c r="H221" s="197"/>
      <c r="I221" s="197"/>
      <c r="J221" s="197"/>
      <c r="K221" s="197"/>
      <c r="L221" s="197"/>
      <c r="M221" s="197"/>
      <c r="N221" s="197"/>
      <c r="O221" s="197"/>
      <c r="P221" s="197"/>
      <c r="Q221" s="197"/>
      <c r="R221" s="197"/>
    </row>
    <row r="222" customFormat="false" ht="12" hidden="false" customHeight="false" outlineLevel="0" collapsed="false">
      <c r="B222" s="197"/>
      <c r="C222" s="197"/>
      <c r="D222" s="197"/>
      <c r="E222" s="197"/>
      <c r="F222" s="197"/>
      <c r="G222" s="197"/>
      <c r="H222" s="197"/>
      <c r="I222" s="197"/>
      <c r="J222" s="197"/>
      <c r="K222" s="197"/>
      <c r="L222" s="197"/>
      <c r="M222" s="197"/>
      <c r="N222" s="197"/>
      <c r="O222" s="197"/>
      <c r="P222" s="197"/>
      <c r="Q222" s="197"/>
      <c r="R222" s="197"/>
    </row>
    <row r="223" customFormat="false" ht="12" hidden="false" customHeight="false" outlineLevel="0" collapsed="false">
      <c r="B223" s="197"/>
      <c r="C223" s="197"/>
      <c r="D223" s="197"/>
      <c r="E223" s="197"/>
      <c r="F223" s="197"/>
      <c r="G223" s="197"/>
      <c r="H223" s="197"/>
      <c r="I223" s="197"/>
      <c r="J223" s="197"/>
      <c r="K223" s="197"/>
      <c r="L223" s="197"/>
      <c r="M223" s="197"/>
      <c r="N223" s="197"/>
      <c r="O223" s="197"/>
      <c r="P223" s="197"/>
      <c r="Q223" s="197"/>
      <c r="R223" s="197"/>
    </row>
    <row r="224" customFormat="false" ht="12" hidden="false" customHeight="false" outlineLevel="0" collapsed="false">
      <c r="B224" s="197"/>
      <c r="C224" s="197"/>
      <c r="D224" s="197"/>
      <c r="E224" s="197"/>
      <c r="F224" s="197"/>
      <c r="G224" s="197"/>
      <c r="H224" s="197"/>
      <c r="I224" s="197"/>
      <c r="J224" s="197"/>
      <c r="K224" s="197"/>
      <c r="L224" s="197"/>
      <c r="M224" s="197"/>
      <c r="N224" s="197"/>
      <c r="O224" s="197"/>
      <c r="P224" s="197"/>
      <c r="Q224" s="197"/>
      <c r="R224" s="197"/>
    </row>
    <row r="225" customFormat="false" ht="12" hidden="false" customHeight="false" outlineLevel="0" collapsed="false">
      <c r="B225" s="197"/>
      <c r="C225" s="197"/>
      <c r="D225" s="197"/>
      <c r="E225" s="197"/>
      <c r="F225" s="197"/>
      <c r="G225" s="197"/>
      <c r="H225" s="197"/>
      <c r="I225" s="197"/>
      <c r="J225" s="197"/>
      <c r="K225" s="197"/>
      <c r="L225" s="197"/>
      <c r="M225" s="197"/>
      <c r="N225" s="197"/>
      <c r="O225" s="197"/>
      <c r="P225" s="197"/>
      <c r="Q225" s="197"/>
      <c r="R225" s="197"/>
    </row>
    <row r="226" customFormat="false" ht="12" hidden="false" customHeight="false" outlineLevel="0" collapsed="false">
      <c r="B226" s="197"/>
      <c r="C226" s="197"/>
      <c r="D226" s="197"/>
      <c r="E226" s="197"/>
      <c r="F226" s="197"/>
      <c r="G226" s="197"/>
      <c r="H226" s="197"/>
      <c r="I226" s="197"/>
      <c r="J226" s="197"/>
      <c r="K226" s="197"/>
      <c r="L226" s="197"/>
      <c r="M226" s="197"/>
      <c r="N226" s="197"/>
      <c r="O226" s="197"/>
      <c r="P226" s="197"/>
      <c r="Q226" s="197"/>
      <c r="R226" s="197"/>
    </row>
    <row r="227" customFormat="false" ht="12" hidden="false" customHeight="false" outlineLevel="0" collapsed="false">
      <c r="B227" s="197"/>
      <c r="C227" s="197"/>
      <c r="D227" s="197"/>
      <c r="E227" s="197"/>
      <c r="F227" s="197"/>
      <c r="G227" s="197"/>
      <c r="H227" s="197"/>
      <c r="I227" s="197"/>
      <c r="J227" s="197"/>
      <c r="K227" s="197"/>
      <c r="L227" s="197"/>
      <c r="M227" s="197"/>
      <c r="N227" s="197"/>
      <c r="O227" s="197"/>
      <c r="P227" s="197"/>
      <c r="Q227" s="197"/>
      <c r="R227" s="197"/>
    </row>
    <row r="228" customFormat="false" ht="12" hidden="false" customHeight="false" outlineLevel="0" collapsed="false">
      <c r="B228" s="197"/>
      <c r="C228" s="197"/>
      <c r="D228" s="197"/>
      <c r="E228" s="197"/>
      <c r="F228" s="197"/>
      <c r="G228" s="197"/>
      <c r="H228" s="197"/>
      <c r="I228" s="197"/>
      <c r="J228" s="197"/>
      <c r="K228" s="197"/>
      <c r="L228" s="197"/>
      <c r="M228" s="197"/>
      <c r="N228" s="197"/>
      <c r="O228" s="197"/>
      <c r="P228" s="197"/>
      <c r="Q228" s="197"/>
      <c r="R228" s="197"/>
    </row>
    <row r="229" customFormat="false" ht="12" hidden="false" customHeight="false" outlineLevel="0" collapsed="false">
      <c r="B229" s="197"/>
      <c r="C229" s="197"/>
      <c r="D229" s="197"/>
      <c r="E229" s="197"/>
      <c r="F229" s="197"/>
      <c r="G229" s="197"/>
      <c r="H229" s="197"/>
      <c r="I229" s="197"/>
      <c r="J229" s="197"/>
      <c r="K229" s="197"/>
      <c r="L229" s="197"/>
      <c r="M229" s="197"/>
      <c r="N229" s="197"/>
      <c r="O229" s="197"/>
      <c r="P229" s="197"/>
      <c r="Q229" s="197"/>
      <c r="R229" s="197"/>
    </row>
    <row r="230" customFormat="false" ht="12" hidden="false" customHeight="false" outlineLevel="0" collapsed="false">
      <c r="B230" s="197"/>
      <c r="C230" s="197"/>
      <c r="D230" s="197"/>
      <c r="E230" s="197"/>
      <c r="F230" s="197"/>
      <c r="G230" s="197"/>
      <c r="H230" s="197"/>
      <c r="I230" s="197"/>
      <c r="J230" s="197"/>
      <c r="K230" s="197"/>
      <c r="L230" s="197"/>
      <c r="M230" s="197"/>
      <c r="N230" s="197"/>
      <c r="O230" s="197"/>
      <c r="P230" s="197"/>
      <c r="Q230" s="197"/>
      <c r="R230" s="197"/>
    </row>
    <row r="231" customFormat="false" ht="12" hidden="false" customHeight="false" outlineLevel="0" collapsed="false">
      <c r="B231" s="197"/>
      <c r="C231" s="197"/>
      <c r="D231" s="197"/>
      <c r="E231" s="197"/>
      <c r="F231" s="197"/>
      <c r="G231" s="197"/>
      <c r="H231" s="197"/>
      <c r="I231" s="197"/>
      <c r="J231" s="197"/>
      <c r="K231" s="197"/>
      <c r="L231" s="197"/>
      <c r="M231" s="197"/>
      <c r="N231" s="197"/>
      <c r="O231" s="197"/>
      <c r="P231" s="197"/>
      <c r="Q231" s="197"/>
      <c r="R231" s="197"/>
    </row>
    <row r="232" customFormat="false" ht="12" hidden="false" customHeight="false" outlineLevel="0" collapsed="false">
      <c r="B232" s="197"/>
      <c r="C232" s="197"/>
      <c r="D232" s="197"/>
      <c r="E232" s="197"/>
      <c r="F232" s="197"/>
      <c r="G232" s="197"/>
      <c r="H232" s="197"/>
      <c r="I232" s="197"/>
      <c r="J232" s="197"/>
      <c r="K232" s="197"/>
      <c r="L232" s="197"/>
      <c r="M232" s="197"/>
      <c r="N232" s="197"/>
      <c r="O232" s="197"/>
      <c r="P232" s="197"/>
      <c r="Q232" s="197"/>
      <c r="R232" s="197"/>
    </row>
    <row r="233" customFormat="false" ht="12" hidden="false" customHeight="false" outlineLevel="0" collapsed="false">
      <c r="B233" s="197"/>
      <c r="C233" s="197"/>
      <c r="D233" s="197"/>
      <c r="E233" s="197"/>
      <c r="F233" s="197"/>
      <c r="G233" s="197"/>
      <c r="H233" s="197"/>
      <c r="I233" s="197"/>
      <c r="J233" s="197"/>
      <c r="K233" s="197"/>
      <c r="L233" s="197"/>
      <c r="M233" s="197"/>
      <c r="N233" s="197"/>
      <c r="O233" s="197"/>
      <c r="P233" s="197"/>
      <c r="Q233" s="197"/>
      <c r="R233" s="197"/>
    </row>
    <row r="234" customFormat="false" ht="12" hidden="false" customHeight="false" outlineLevel="0" collapsed="false">
      <c r="B234" s="197"/>
      <c r="C234" s="197"/>
      <c r="D234" s="197"/>
      <c r="E234" s="197"/>
      <c r="F234" s="197"/>
      <c r="G234" s="197"/>
      <c r="H234" s="197"/>
      <c r="I234" s="197"/>
      <c r="J234" s="197"/>
      <c r="K234" s="197"/>
      <c r="L234" s="197"/>
      <c r="M234" s="197"/>
      <c r="N234" s="197"/>
      <c r="O234" s="197"/>
      <c r="P234" s="197"/>
      <c r="Q234" s="197"/>
      <c r="R234" s="197"/>
    </row>
    <row r="235" customFormat="false" ht="12" hidden="false" customHeight="false" outlineLevel="0" collapsed="false">
      <c r="B235" s="197"/>
      <c r="C235" s="197"/>
      <c r="D235" s="197"/>
      <c r="E235" s="197"/>
      <c r="F235" s="197"/>
      <c r="G235" s="197"/>
      <c r="H235" s="197"/>
      <c r="I235" s="197"/>
      <c r="J235" s="197"/>
      <c r="K235" s="197"/>
      <c r="L235" s="197"/>
      <c r="M235" s="197"/>
      <c r="N235" s="197"/>
      <c r="O235" s="197"/>
      <c r="P235" s="197"/>
      <c r="Q235" s="197"/>
      <c r="R235" s="197"/>
    </row>
    <row r="236" customFormat="false" ht="12" hidden="false" customHeight="false" outlineLevel="0" collapsed="false">
      <c r="B236" s="197"/>
      <c r="C236" s="197"/>
      <c r="D236" s="197"/>
      <c r="E236" s="197"/>
      <c r="F236" s="197"/>
      <c r="G236" s="197"/>
      <c r="H236" s="197"/>
      <c r="I236" s="197"/>
      <c r="J236" s="197"/>
      <c r="K236" s="197"/>
      <c r="L236" s="197"/>
      <c r="M236" s="197"/>
      <c r="N236" s="197"/>
      <c r="O236" s="197"/>
      <c r="P236" s="197"/>
      <c r="Q236" s="197"/>
      <c r="R236" s="197"/>
    </row>
    <row r="237" customFormat="false" ht="12" hidden="false" customHeight="false" outlineLevel="0" collapsed="false">
      <c r="B237" s="197"/>
      <c r="C237" s="197"/>
      <c r="D237" s="197"/>
      <c r="E237" s="197"/>
      <c r="F237" s="197"/>
      <c r="G237" s="197"/>
      <c r="H237" s="197"/>
      <c r="I237" s="197"/>
      <c r="J237" s="197"/>
      <c r="K237" s="197"/>
      <c r="L237" s="197"/>
      <c r="M237" s="197"/>
      <c r="N237" s="197"/>
      <c r="O237" s="197"/>
      <c r="P237" s="197"/>
      <c r="Q237" s="197"/>
      <c r="R237" s="197"/>
    </row>
    <row r="238" customFormat="false" ht="12" hidden="false" customHeight="false" outlineLevel="0" collapsed="false">
      <c r="B238" s="197"/>
      <c r="C238" s="197"/>
      <c r="D238" s="197"/>
      <c r="E238" s="197"/>
      <c r="F238" s="197"/>
      <c r="G238" s="197"/>
      <c r="H238" s="197"/>
      <c r="I238" s="197"/>
      <c r="J238" s="197"/>
      <c r="K238" s="197"/>
      <c r="L238" s="197"/>
      <c r="M238" s="197"/>
      <c r="N238" s="197"/>
      <c r="O238" s="197"/>
      <c r="P238" s="197"/>
      <c r="Q238" s="197"/>
      <c r="R238" s="197"/>
    </row>
    <row r="239" customFormat="false" ht="12" hidden="false" customHeight="false" outlineLevel="0" collapsed="false">
      <c r="B239" s="197"/>
      <c r="C239" s="197"/>
      <c r="D239" s="197"/>
      <c r="E239" s="197"/>
      <c r="F239" s="197"/>
      <c r="G239" s="197"/>
      <c r="H239" s="197"/>
      <c r="I239" s="197"/>
      <c r="J239" s="197"/>
      <c r="K239" s="197"/>
      <c r="L239" s="197"/>
      <c r="M239" s="197"/>
      <c r="N239" s="197"/>
      <c r="O239" s="197"/>
      <c r="P239" s="197"/>
      <c r="Q239" s="197"/>
      <c r="R239" s="197"/>
    </row>
    <row r="240" customFormat="false" ht="12" hidden="false" customHeight="false" outlineLevel="0" collapsed="false">
      <c r="B240" s="197"/>
      <c r="C240" s="197"/>
      <c r="D240" s="197"/>
      <c r="E240" s="197"/>
      <c r="F240" s="197"/>
      <c r="G240" s="197"/>
      <c r="H240" s="197"/>
      <c r="I240" s="197"/>
      <c r="J240" s="197"/>
      <c r="K240" s="197"/>
      <c r="L240" s="197"/>
      <c r="M240" s="197"/>
      <c r="N240" s="197"/>
      <c r="O240" s="197"/>
      <c r="P240" s="197"/>
      <c r="Q240" s="197"/>
      <c r="R240" s="197"/>
    </row>
    <row r="241" customFormat="false" ht="12" hidden="false" customHeight="false" outlineLevel="0" collapsed="false">
      <c r="B241" s="197"/>
      <c r="C241" s="197"/>
      <c r="D241" s="197"/>
      <c r="E241" s="197"/>
      <c r="F241" s="197"/>
      <c r="G241" s="197"/>
      <c r="H241" s="197"/>
      <c r="I241" s="197"/>
      <c r="J241" s="197"/>
      <c r="K241" s="197"/>
      <c r="L241" s="197"/>
      <c r="M241" s="197"/>
      <c r="N241" s="197"/>
      <c r="O241" s="197"/>
      <c r="P241" s="197"/>
      <c r="Q241" s="197"/>
      <c r="R241" s="197"/>
    </row>
    <row r="242" customFormat="false" ht="12" hidden="false" customHeight="false" outlineLevel="0" collapsed="false">
      <c r="B242" s="197"/>
      <c r="C242" s="197"/>
      <c r="D242" s="197"/>
      <c r="E242" s="197"/>
      <c r="F242" s="197"/>
      <c r="G242" s="197"/>
      <c r="H242" s="197"/>
      <c r="I242" s="197"/>
      <c r="J242" s="197"/>
      <c r="K242" s="197"/>
      <c r="L242" s="197"/>
      <c r="M242" s="197"/>
      <c r="N242" s="197"/>
      <c r="O242" s="197"/>
      <c r="P242" s="197"/>
      <c r="Q242" s="197"/>
      <c r="R242" s="197"/>
    </row>
    <row r="243" customFormat="false" ht="12" hidden="false" customHeight="false" outlineLevel="0" collapsed="false">
      <c r="B243" s="197"/>
      <c r="C243" s="197"/>
      <c r="D243" s="197"/>
      <c r="E243" s="197"/>
      <c r="F243" s="197"/>
      <c r="G243" s="197"/>
      <c r="H243" s="197"/>
      <c r="I243" s="197"/>
      <c r="J243" s="197"/>
      <c r="K243" s="197"/>
      <c r="L243" s="197"/>
      <c r="M243" s="197"/>
      <c r="N243" s="197"/>
      <c r="O243" s="197"/>
      <c r="P243" s="197"/>
      <c r="Q243" s="197"/>
      <c r="R243" s="197"/>
    </row>
    <row r="244" customFormat="false" ht="12" hidden="false" customHeight="false" outlineLevel="0" collapsed="false">
      <c r="B244" s="197"/>
      <c r="C244" s="197"/>
      <c r="D244" s="197"/>
      <c r="E244" s="197"/>
      <c r="F244" s="197"/>
      <c r="G244" s="197"/>
      <c r="H244" s="197"/>
      <c r="I244" s="197"/>
      <c r="J244" s="197"/>
      <c r="K244" s="197"/>
      <c r="L244" s="197"/>
      <c r="M244" s="197"/>
      <c r="N244" s="197"/>
      <c r="O244" s="197"/>
      <c r="P244" s="197"/>
      <c r="Q244" s="197"/>
      <c r="R244" s="197"/>
    </row>
    <row r="245" customFormat="false" ht="12" hidden="false" customHeight="false" outlineLevel="0" collapsed="false">
      <c r="B245" s="197"/>
      <c r="C245" s="197"/>
      <c r="D245" s="197"/>
      <c r="E245" s="197"/>
      <c r="F245" s="197"/>
      <c r="G245" s="197"/>
      <c r="H245" s="197"/>
      <c r="I245" s="197"/>
      <c r="J245" s="197"/>
      <c r="K245" s="197"/>
      <c r="L245" s="197"/>
      <c r="M245" s="197"/>
      <c r="N245" s="197"/>
      <c r="O245" s="197"/>
      <c r="P245" s="197"/>
      <c r="Q245" s="197"/>
      <c r="R245" s="197"/>
    </row>
    <row r="246" customFormat="false" ht="12" hidden="false" customHeight="false" outlineLevel="0" collapsed="false">
      <c r="B246" s="197"/>
      <c r="C246" s="197"/>
      <c r="D246" s="197"/>
      <c r="E246" s="197"/>
      <c r="F246" s="197"/>
      <c r="G246" s="197"/>
      <c r="H246" s="197"/>
      <c r="I246" s="197"/>
      <c r="J246" s="197"/>
      <c r="K246" s="197"/>
      <c r="L246" s="197"/>
      <c r="M246" s="197"/>
      <c r="N246" s="197"/>
      <c r="O246" s="197"/>
      <c r="P246" s="197"/>
      <c r="Q246" s="197"/>
      <c r="R246" s="197"/>
    </row>
    <row r="247" customFormat="false" ht="12" hidden="false" customHeight="false" outlineLevel="0" collapsed="false">
      <c r="B247" s="197"/>
      <c r="C247" s="197"/>
      <c r="D247" s="197"/>
      <c r="E247" s="197"/>
      <c r="F247" s="197"/>
      <c r="G247" s="197"/>
      <c r="H247" s="197"/>
      <c r="I247" s="197"/>
      <c r="J247" s="197"/>
      <c r="K247" s="197"/>
      <c r="L247" s="197"/>
      <c r="M247" s="197"/>
      <c r="N247" s="197"/>
      <c r="O247" s="197"/>
      <c r="P247" s="197"/>
      <c r="Q247" s="197"/>
      <c r="R247" s="197"/>
    </row>
    <row r="248" customFormat="false" ht="12" hidden="false" customHeight="false" outlineLevel="0" collapsed="false">
      <c r="B248" s="197"/>
      <c r="C248" s="197"/>
      <c r="D248" s="197"/>
      <c r="E248" s="197"/>
      <c r="F248" s="197"/>
      <c r="G248" s="197"/>
      <c r="H248" s="197"/>
      <c r="I248" s="197"/>
      <c r="J248" s="197"/>
      <c r="K248" s="197"/>
      <c r="L248" s="197"/>
      <c r="M248" s="197"/>
      <c r="N248" s="197"/>
      <c r="O248" s="197"/>
      <c r="P248" s="197"/>
      <c r="Q248" s="197"/>
      <c r="R248" s="197"/>
    </row>
    <row r="249" customFormat="false" ht="12" hidden="false" customHeight="false" outlineLevel="0" collapsed="false">
      <c r="B249" s="197"/>
      <c r="C249" s="197"/>
      <c r="D249" s="197"/>
      <c r="E249" s="197"/>
      <c r="F249" s="197"/>
      <c r="G249" s="197"/>
      <c r="H249" s="197"/>
      <c r="I249" s="197"/>
      <c r="J249" s="197"/>
      <c r="K249" s="197"/>
      <c r="L249" s="197"/>
      <c r="M249" s="197"/>
      <c r="N249" s="197"/>
      <c r="O249" s="197"/>
      <c r="P249" s="197"/>
      <c r="Q249" s="197"/>
      <c r="R249" s="197"/>
    </row>
    <row r="250" customFormat="false" ht="12" hidden="false" customHeight="false" outlineLevel="0" collapsed="false">
      <c r="B250" s="197"/>
      <c r="C250" s="197"/>
      <c r="D250" s="197"/>
      <c r="E250" s="197"/>
      <c r="F250" s="197"/>
      <c r="G250" s="197"/>
      <c r="H250" s="197"/>
      <c r="I250" s="197"/>
      <c r="J250" s="197"/>
      <c r="K250" s="197"/>
      <c r="L250" s="197"/>
      <c r="M250" s="197"/>
      <c r="N250" s="197"/>
      <c r="O250" s="197"/>
      <c r="P250" s="197"/>
      <c r="Q250" s="197"/>
      <c r="R250" s="197"/>
    </row>
    <row r="251" customFormat="false" ht="12" hidden="false" customHeight="false" outlineLevel="0" collapsed="false">
      <c r="B251" s="197"/>
      <c r="C251" s="197"/>
      <c r="D251" s="197"/>
      <c r="E251" s="197"/>
      <c r="F251" s="197"/>
      <c r="G251" s="197"/>
      <c r="H251" s="197"/>
      <c r="I251" s="197"/>
      <c r="J251" s="197"/>
      <c r="K251" s="197"/>
      <c r="L251" s="197"/>
      <c r="M251" s="197"/>
      <c r="N251" s="197"/>
      <c r="O251" s="197"/>
      <c r="P251" s="197"/>
      <c r="Q251" s="197"/>
      <c r="R251" s="197"/>
    </row>
    <row r="252" customFormat="false" ht="12" hidden="false" customHeight="false" outlineLevel="0" collapsed="false">
      <c r="B252" s="197"/>
      <c r="C252" s="197"/>
      <c r="D252" s="197"/>
      <c r="E252" s="197"/>
      <c r="F252" s="197"/>
      <c r="G252" s="197"/>
      <c r="H252" s="197"/>
      <c r="I252" s="197"/>
      <c r="J252" s="197"/>
      <c r="K252" s="197"/>
      <c r="L252" s="197"/>
      <c r="M252" s="197"/>
      <c r="N252" s="197"/>
      <c r="O252" s="197"/>
      <c r="P252" s="197"/>
      <c r="Q252" s="197"/>
      <c r="R252" s="197"/>
    </row>
    <row r="253" customFormat="false" ht="12" hidden="false" customHeight="false" outlineLevel="0" collapsed="false">
      <c r="B253" s="197"/>
      <c r="C253" s="197"/>
      <c r="D253" s="197"/>
      <c r="E253" s="197"/>
      <c r="F253" s="197"/>
      <c r="G253" s="197"/>
      <c r="H253" s="197"/>
      <c r="I253" s="197"/>
      <c r="J253" s="197"/>
      <c r="K253" s="197"/>
      <c r="L253" s="197"/>
      <c r="M253" s="197"/>
      <c r="N253" s="197"/>
      <c r="O253" s="197"/>
      <c r="P253" s="197"/>
      <c r="Q253" s="197"/>
      <c r="R253" s="197"/>
    </row>
    <row r="254" customFormat="false" ht="12" hidden="false" customHeight="false" outlineLevel="0" collapsed="false">
      <c r="B254" s="197"/>
      <c r="C254" s="197"/>
      <c r="D254" s="197"/>
      <c r="E254" s="197"/>
      <c r="F254" s="197"/>
      <c r="G254" s="197"/>
      <c r="H254" s="197"/>
      <c r="I254" s="197"/>
      <c r="J254" s="197"/>
      <c r="K254" s="197"/>
      <c r="L254" s="197"/>
      <c r="M254" s="197"/>
      <c r="N254" s="197"/>
      <c r="O254" s="197"/>
      <c r="P254" s="197"/>
      <c r="Q254" s="197"/>
      <c r="R254" s="197"/>
    </row>
    <row r="255" customFormat="false" ht="12" hidden="false" customHeight="false" outlineLevel="0" collapsed="false">
      <c r="B255" s="197"/>
      <c r="C255" s="197"/>
      <c r="D255" s="197"/>
      <c r="E255" s="197"/>
      <c r="F255" s="197"/>
      <c r="G255" s="197"/>
      <c r="H255" s="197"/>
      <c r="I255" s="197"/>
      <c r="J255" s="197"/>
      <c r="K255" s="197"/>
      <c r="L255" s="197"/>
      <c r="M255" s="197"/>
      <c r="N255" s="197"/>
      <c r="O255" s="197"/>
      <c r="P255" s="197"/>
      <c r="Q255" s="197"/>
      <c r="R255" s="197"/>
    </row>
    <row r="256" customFormat="false" ht="12" hidden="false" customHeight="false" outlineLevel="0" collapsed="false">
      <c r="B256" s="197"/>
      <c r="C256" s="197"/>
      <c r="D256" s="197"/>
      <c r="E256" s="197"/>
      <c r="F256" s="197"/>
      <c r="G256" s="197"/>
      <c r="H256" s="197"/>
      <c r="I256" s="197"/>
      <c r="J256" s="197"/>
      <c r="K256" s="197"/>
      <c r="L256" s="197"/>
      <c r="M256" s="197"/>
      <c r="N256" s="197"/>
      <c r="O256" s="197"/>
      <c r="P256" s="197"/>
      <c r="Q256" s="197"/>
      <c r="R256" s="197"/>
    </row>
    <row r="257" customFormat="false" ht="12" hidden="false" customHeight="false" outlineLevel="0" collapsed="false">
      <c r="B257" s="197"/>
      <c r="C257" s="197"/>
      <c r="D257" s="197"/>
      <c r="E257" s="197"/>
      <c r="F257" s="197"/>
      <c r="G257" s="197"/>
      <c r="H257" s="197"/>
      <c r="I257" s="197"/>
      <c r="J257" s="197"/>
      <c r="K257" s="197"/>
      <c r="L257" s="197"/>
      <c r="M257" s="197"/>
      <c r="N257" s="197"/>
      <c r="O257" s="197"/>
      <c r="P257" s="197"/>
      <c r="Q257" s="197"/>
      <c r="R257" s="197"/>
    </row>
    <row r="258" customFormat="false" ht="12" hidden="false" customHeight="false" outlineLevel="0" collapsed="false">
      <c r="B258" s="197"/>
      <c r="C258" s="197"/>
      <c r="D258" s="197"/>
      <c r="E258" s="197"/>
      <c r="F258" s="197"/>
      <c r="G258" s="197"/>
      <c r="H258" s="197"/>
      <c r="I258" s="197"/>
      <c r="J258" s="197"/>
      <c r="K258" s="197"/>
      <c r="L258" s="197"/>
      <c r="M258" s="197"/>
      <c r="N258" s="197"/>
      <c r="O258" s="197"/>
      <c r="P258" s="197"/>
      <c r="Q258" s="197"/>
      <c r="R258" s="197"/>
    </row>
    <row r="259" customFormat="false" ht="12" hidden="false" customHeight="false" outlineLevel="0" collapsed="false">
      <c r="B259" s="197"/>
      <c r="C259" s="197"/>
      <c r="D259" s="197"/>
      <c r="E259" s="197"/>
      <c r="F259" s="197"/>
      <c r="G259" s="197"/>
      <c r="H259" s="197"/>
      <c r="I259" s="197"/>
      <c r="J259" s="197"/>
      <c r="K259" s="197"/>
      <c r="L259" s="197"/>
      <c r="M259" s="197"/>
      <c r="N259" s="197"/>
      <c r="O259" s="197"/>
      <c r="P259" s="197"/>
      <c r="Q259" s="197"/>
      <c r="R259" s="197"/>
    </row>
    <row r="260" customFormat="false" ht="12" hidden="false" customHeight="false" outlineLevel="0" collapsed="false">
      <c r="B260" s="197"/>
      <c r="C260" s="197"/>
      <c r="D260" s="197"/>
      <c r="E260" s="197"/>
      <c r="F260" s="197"/>
      <c r="G260" s="197"/>
      <c r="H260" s="197"/>
      <c r="I260" s="197"/>
      <c r="J260" s="197"/>
      <c r="K260" s="197"/>
      <c r="L260" s="197"/>
      <c r="M260" s="197"/>
      <c r="N260" s="197"/>
      <c r="O260" s="197"/>
      <c r="P260" s="197"/>
      <c r="Q260" s="197"/>
      <c r="R260" s="197"/>
    </row>
    <row r="261" customFormat="false" ht="12" hidden="false" customHeight="false" outlineLevel="0" collapsed="false">
      <c r="B261" s="197"/>
      <c r="C261" s="197"/>
      <c r="D261" s="197"/>
      <c r="E261" s="197"/>
      <c r="F261" s="197"/>
      <c r="G261" s="197"/>
      <c r="H261" s="197"/>
      <c r="I261" s="197"/>
      <c r="J261" s="197"/>
      <c r="K261" s="197"/>
      <c r="L261" s="197"/>
      <c r="M261" s="197"/>
      <c r="N261" s="197"/>
      <c r="O261" s="197"/>
      <c r="P261" s="197"/>
      <c r="Q261" s="197"/>
      <c r="R261" s="197"/>
    </row>
    <row r="262" customFormat="false" ht="12" hidden="false" customHeight="false" outlineLevel="0" collapsed="false">
      <c r="B262" s="197"/>
      <c r="C262" s="197"/>
      <c r="D262" s="197"/>
      <c r="E262" s="197"/>
      <c r="F262" s="197"/>
      <c r="G262" s="197"/>
      <c r="H262" s="197"/>
      <c r="I262" s="197"/>
      <c r="J262" s="197"/>
      <c r="K262" s="197"/>
      <c r="L262" s="197"/>
      <c r="M262" s="197"/>
      <c r="N262" s="197"/>
      <c r="O262" s="197"/>
      <c r="P262" s="197"/>
      <c r="Q262" s="197"/>
      <c r="R262" s="197"/>
    </row>
    <row r="263" customFormat="false" ht="12" hidden="false" customHeight="false" outlineLevel="0" collapsed="false">
      <c r="B263" s="197"/>
      <c r="C263" s="197"/>
      <c r="D263" s="197"/>
      <c r="E263" s="197"/>
      <c r="F263" s="197"/>
      <c r="G263" s="197"/>
      <c r="H263" s="197"/>
      <c r="I263" s="197"/>
      <c r="J263" s="197"/>
      <c r="K263" s="197"/>
      <c r="L263" s="197"/>
      <c r="M263" s="197"/>
      <c r="N263" s="197"/>
      <c r="O263" s="197"/>
      <c r="P263" s="197"/>
      <c r="Q263" s="197"/>
      <c r="R263" s="197"/>
    </row>
    <row r="264" customFormat="false" ht="12" hidden="false" customHeight="false" outlineLevel="0" collapsed="false">
      <c r="B264" s="197"/>
      <c r="C264" s="197"/>
      <c r="D264" s="197"/>
      <c r="E264" s="197"/>
      <c r="F264" s="197"/>
      <c r="G264" s="197"/>
      <c r="H264" s="197"/>
      <c r="I264" s="197"/>
      <c r="J264" s="197"/>
      <c r="K264" s="197"/>
      <c r="L264" s="197"/>
      <c r="M264" s="197"/>
      <c r="N264" s="197"/>
      <c r="O264" s="197"/>
      <c r="P264" s="197"/>
      <c r="Q264" s="197"/>
      <c r="R264" s="197"/>
    </row>
    <row r="265" customFormat="false" ht="12" hidden="false" customHeight="false" outlineLevel="0" collapsed="false">
      <c r="B265" s="197"/>
      <c r="C265" s="197"/>
      <c r="D265" s="197"/>
      <c r="E265" s="197"/>
      <c r="F265" s="197"/>
      <c r="G265" s="197"/>
      <c r="H265" s="197"/>
      <c r="I265" s="197"/>
      <c r="J265" s="197"/>
      <c r="K265" s="197"/>
      <c r="L265" s="197"/>
      <c r="M265" s="197"/>
      <c r="N265" s="197"/>
      <c r="O265" s="197"/>
      <c r="P265" s="197"/>
      <c r="Q265" s="197"/>
      <c r="R265" s="197"/>
    </row>
    <row r="266" customFormat="false" ht="12" hidden="false" customHeight="false" outlineLevel="0" collapsed="false">
      <c r="B266" s="197"/>
      <c r="C266" s="197"/>
      <c r="D266" s="197"/>
      <c r="E266" s="197"/>
      <c r="F266" s="197"/>
      <c r="G266" s="197"/>
      <c r="H266" s="197"/>
      <c r="I266" s="197"/>
      <c r="J266" s="197"/>
      <c r="K266" s="197"/>
      <c r="L266" s="197"/>
      <c r="M266" s="197"/>
      <c r="N266" s="197"/>
      <c r="O266" s="197"/>
      <c r="P266" s="197"/>
      <c r="Q266" s="197"/>
      <c r="R266" s="197"/>
    </row>
    <row r="267" customFormat="false" ht="12" hidden="false" customHeight="false" outlineLevel="0" collapsed="false">
      <c r="B267" s="197"/>
      <c r="C267" s="197"/>
      <c r="D267" s="197"/>
      <c r="E267" s="197"/>
      <c r="F267" s="197"/>
      <c r="G267" s="197"/>
      <c r="H267" s="197"/>
      <c r="I267" s="197"/>
      <c r="J267" s="197"/>
      <c r="K267" s="197"/>
      <c r="L267" s="197"/>
      <c r="M267" s="197"/>
      <c r="N267" s="197"/>
      <c r="O267" s="197"/>
      <c r="P267" s="197"/>
      <c r="Q267" s="197"/>
      <c r="R267" s="197"/>
    </row>
    <row r="268" customFormat="false" ht="12" hidden="false" customHeight="false" outlineLevel="0" collapsed="false">
      <c r="B268" s="197"/>
      <c r="C268" s="197"/>
      <c r="D268" s="197"/>
      <c r="E268" s="197"/>
      <c r="F268" s="197"/>
      <c r="G268" s="197"/>
      <c r="H268" s="197"/>
      <c r="I268" s="197"/>
      <c r="J268" s="197"/>
      <c r="K268" s="197"/>
      <c r="L268" s="197"/>
      <c r="M268" s="197"/>
      <c r="N268" s="197"/>
      <c r="O268" s="197"/>
      <c r="P268" s="197"/>
      <c r="Q268" s="197"/>
      <c r="R268" s="197"/>
    </row>
    <row r="269" customFormat="false" ht="12" hidden="false" customHeight="false" outlineLevel="0" collapsed="false">
      <c r="B269" s="197"/>
      <c r="C269" s="197"/>
      <c r="D269" s="197"/>
      <c r="E269" s="197"/>
      <c r="F269" s="197"/>
      <c r="G269" s="197"/>
      <c r="H269" s="197"/>
      <c r="I269" s="197"/>
      <c r="J269" s="197"/>
      <c r="K269" s="197"/>
      <c r="L269" s="197"/>
      <c r="M269" s="197"/>
      <c r="N269" s="197"/>
      <c r="O269" s="197"/>
      <c r="P269" s="197"/>
      <c r="Q269" s="197"/>
      <c r="R269" s="197"/>
    </row>
    <row r="270" customFormat="false" ht="12" hidden="false" customHeight="false" outlineLevel="0" collapsed="false">
      <c r="B270" s="197"/>
      <c r="C270" s="197"/>
      <c r="D270" s="197"/>
      <c r="E270" s="197"/>
      <c r="F270" s="197"/>
      <c r="G270" s="197"/>
      <c r="H270" s="197"/>
      <c r="I270" s="197"/>
      <c r="J270" s="197"/>
      <c r="K270" s="197"/>
      <c r="L270" s="197"/>
      <c r="M270" s="197"/>
      <c r="N270" s="197"/>
      <c r="O270" s="197"/>
      <c r="P270" s="197"/>
      <c r="Q270" s="197"/>
      <c r="R270" s="197"/>
    </row>
    <row r="271" customFormat="false" ht="12" hidden="false" customHeight="false" outlineLevel="0" collapsed="false">
      <c r="B271" s="197"/>
      <c r="C271" s="197"/>
      <c r="D271" s="197"/>
      <c r="E271" s="197"/>
      <c r="F271" s="197"/>
      <c r="G271" s="197"/>
      <c r="H271" s="197"/>
      <c r="I271" s="197"/>
      <c r="J271" s="197"/>
      <c r="K271" s="197"/>
      <c r="L271" s="197"/>
      <c r="M271" s="197"/>
      <c r="N271" s="197"/>
      <c r="O271" s="197"/>
      <c r="P271" s="197"/>
      <c r="Q271" s="197"/>
      <c r="R271" s="197"/>
    </row>
    <row r="272" customFormat="false" ht="12" hidden="false" customHeight="false" outlineLevel="0" collapsed="false">
      <c r="B272" s="197"/>
      <c r="C272" s="197"/>
      <c r="D272" s="197"/>
      <c r="E272" s="197"/>
      <c r="F272" s="197"/>
      <c r="G272" s="197"/>
      <c r="H272" s="197"/>
      <c r="I272" s="197"/>
      <c r="J272" s="197"/>
      <c r="K272" s="197"/>
      <c r="L272" s="197"/>
      <c r="M272" s="197"/>
      <c r="N272" s="197"/>
      <c r="O272" s="197"/>
      <c r="P272" s="197"/>
      <c r="Q272" s="197"/>
      <c r="R272" s="197"/>
    </row>
    <row r="273" customFormat="false" ht="12" hidden="false" customHeight="false" outlineLevel="0" collapsed="false">
      <c r="N273" s="197"/>
      <c r="O273" s="197"/>
      <c r="P273" s="197"/>
      <c r="Q273" s="197"/>
      <c r="R273" s="197"/>
    </row>
    <row r="274" customFormat="false" ht="12" hidden="false" customHeight="false" outlineLevel="0" collapsed="false">
      <c r="N274" s="197"/>
      <c r="O274" s="197"/>
      <c r="P274" s="197"/>
      <c r="Q274" s="197"/>
      <c r="R274" s="197"/>
    </row>
    <row r="275" customFormat="false" ht="12" hidden="false" customHeight="false" outlineLevel="0" collapsed="false">
      <c r="N275" s="197"/>
      <c r="O275" s="197"/>
      <c r="P275" s="197"/>
      <c r="Q275" s="197"/>
      <c r="R275" s="197"/>
    </row>
    <row r="276" customFormat="false" ht="12" hidden="false" customHeight="false" outlineLevel="0" collapsed="false">
      <c r="N276" s="197"/>
      <c r="O276" s="197"/>
      <c r="P276" s="197"/>
      <c r="Q276" s="197"/>
      <c r="R276" s="197"/>
    </row>
    <row r="277" customFormat="false" ht="12" hidden="false" customHeight="false" outlineLevel="0" collapsed="false">
      <c r="N277" s="197"/>
      <c r="O277" s="197"/>
      <c r="P277" s="197"/>
      <c r="Q277" s="197"/>
      <c r="R277" s="197"/>
    </row>
    <row r="278" customFormat="false" ht="12" hidden="false" customHeight="false" outlineLevel="0" collapsed="false">
      <c r="N278" s="197"/>
      <c r="O278" s="197"/>
      <c r="P278" s="197"/>
      <c r="Q278" s="197"/>
      <c r="R278" s="197"/>
    </row>
    <row r="279" customFormat="false" ht="12" hidden="false" customHeight="false" outlineLevel="0" collapsed="false">
      <c r="N279" s="197"/>
      <c r="O279" s="197"/>
      <c r="P279" s="197"/>
      <c r="Q279" s="197"/>
      <c r="R279" s="197"/>
    </row>
    <row r="280" customFormat="false" ht="12" hidden="false" customHeight="false" outlineLevel="0" collapsed="false">
      <c r="N280" s="197"/>
      <c r="O280" s="197"/>
      <c r="P280" s="197"/>
      <c r="Q280" s="197"/>
      <c r="R280" s="197"/>
    </row>
    <row r="281" customFormat="false" ht="12" hidden="false" customHeight="false" outlineLevel="0" collapsed="false">
      <c r="N281" s="197"/>
      <c r="O281" s="197"/>
      <c r="P281" s="197"/>
      <c r="Q281" s="197"/>
      <c r="R281" s="197"/>
    </row>
    <row r="282" customFormat="false" ht="12" hidden="false" customHeight="false" outlineLevel="0" collapsed="false">
      <c r="N282" s="197"/>
      <c r="O282" s="197"/>
      <c r="P282" s="197"/>
      <c r="Q282" s="197"/>
      <c r="R282" s="197"/>
    </row>
    <row r="283" customFormat="false" ht="12" hidden="false" customHeight="false" outlineLevel="0" collapsed="false">
      <c r="N283" s="197"/>
      <c r="O283" s="197"/>
      <c r="P283" s="197"/>
      <c r="Q283" s="197"/>
      <c r="R283" s="197"/>
    </row>
    <row r="284" customFormat="false" ht="12" hidden="false" customHeight="false" outlineLevel="0" collapsed="false">
      <c r="N284" s="197"/>
      <c r="O284" s="197"/>
      <c r="P284" s="197"/>
      <c r="Q284" s="197"/>
      <c r="R284" s="197"/>
    </row>
  </sheetData>
  <mergeCells count="15">
    <mergeCell ref="A3:M3"/>
    <mergeCell ref="B6:M6"/>
    <mergeCell ref="A7:A8"/>
    <mergeCell ref="B7:B8"/>
    <mergeCell ref="C7:C8"/>
    <mergeCell ref="D7:D8"/>
    <mergeCell ref="E7:E8"/>
    <mergeCell ref="F7:F8"/>
    <mergeCell ref="G7:G8"/>
    <mergeCell ref="H7:H8"/>
    <mergeCell ref="I7:I8"/>
    <mergeCell ref="J7:J8"/>
    <mergeCell ref="K7:K8"/>
    <mergeCell ref="L7:L8"/>
    <mergeCell ref="M7:M8"/>
  </mergeCells>
  <hyperlinks>
    <hyperlink ref="B1" location="Index!A1" display="Back to index"/>
  </hyperlinks>
  <printOptions headings="false" gridLines="false" gridLinesSet="true" horizontalCentered="true" verticalCentered="tru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C0C0"/>
    <pageSetUpPr fitToPage="true"/>
  </sheetPr>
  <dimension ref="A1:Z1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3" activeCellId="0" sqref="A3"/>
    </sheetView>
  </sheetViews>
  <sheetFormatPr defaultColWidth="11.0546875" defaultRowHeight="12" zeroHeight="false" outlineLevelRow="0" outlineLevelCol="0"/>
  <cols>
    <col collapsed="false" customWidth="true" hidden="false" outlineLevel="0" max="1" min="1" style="0" width="10.32"/>
    <col collapsed="false" customWidth="true" hidden="false" outlineLevel="0" max="11" min="2" style="0" width="9.66"/>
  </cols>
  <sheetData>
    <row r="1" customFormat="false" ht="12" hidden="false" customHeight="true" outlineLevel="0" collapsed="false">
      <c r="B1" s="21" t="s">
        <v>9</v>
      </c>
      <c r="C1" s="1291"/>
      <c r="D1" s="198"/>
      <c r="E1" s="198"/>
      <c r="F1" s="198"/>
    </row>
    <row r="2" customFormat="false" ht="13" hidden="false" customHeight="true" outlineLevel="0" collapsed="false"/>
    <row r="3" customFormat="false" ht="16" hidden="false" customHeight="false" outlineLevel="0" collapsed="false">
      <c r="A3" s="1292" t="s">
        <v>392</v>
      </c>
      <c r="B3" s="1292"/>
      <c r="C3" s="1292"/>
      <c r="D3" s="1292"/>
      <c r="E3" s="1292"/>
      <c r="F3" s="1292"/>
      <c r="G3" s="1292"/>
      <c r="H3" s="1292"/>
      <c r="I3" s="1292"/>
      <c r="J3" s="1292"/>
      <c r="K3" s="1292"/>
    </row>
    <row r="4" customFormat="false" ht="15" hidden="false" customHeight="false" outlineLevel="0" collapsed="false">
      <c r="A4" s="1293"/>
      <c r="B4" s="1294"/>
      <c r="C4" s="1294"/>
      <c r="D4" s="1294"/>
      <c r="E4" s="1294"/>
      <c r="F4" s="1294"/>
      <c r="G4" s="29"/>
      <c r="H4" s="29"/>
      <c r="I4" s="29"/>
      <c r="J4" s="29"/>
      <c r="K4" s="199"/>
    </row>
    <row r="5" customFormat="false" ht="13" hidden="false" customHeight="false" outlineLevel="0" collapsed="false">
      <c r="A5" s="28"/>
      <c r="B5" s="31" t="s">
        <v>11</v>
      </c>
      <c r="C5" s="31" t="s">
        <v>12</v>
      </c>
      <c r="D5" s="485" t="s">
        <v>13</v>
      </c>
      <c r="E5" s="485" t="s">
        <v>14</v>
      </c>
      <c r="F5" s="485" t="s">
        <v>15</v>
      </c>
      <c r="G5" s="31" t="s">
        <v>16</v>
      </c>
      <c r="H5" s="31" t="s">
        <v>17</v>
      </c>
      <c r="I5" s="32" t="s">
        <v>18</v>
      </c>
      <c r="J5" s="32" t="s">
        <v>19</v>
      </c>
      <c r="K5" s="1295" t="s">
        <v>20</v>
      </c>
    </row>
    <row r="6" customFormat="false" ht="16.75" hidden="false" customHeight="true" outlineLevel="0" collapsed="false">
      <c r="A6" s="28"/>
      <c r="B6" s="1296" t="s">
        <v>393</v>
      </c>
      <c r="C6" s="1296"/>
      <c r="D6" s="1296"/>
      <c r="E6" s="1296"/>
      <c r="F6" s="1296"/>
      <c r="G6" s="1296"/>
      <c r="H6" s="1296"/>
      <c r="I6" s="1296"/>
      <c r="J6" s="1297"/>
      <c r="K6" s="1298"/>
    </row>
    <row r="7" customFormat="false" ht="58" hidden="false" customHeight="true" outlineLevel="0" collapsed="false">
      <c r="A7" s="1299"/>
      <c r="B7" s="1300" t="s">
        <v>336</v>
      </c>
      <c r="C7" s="1301" t="s">
        <v>331</v>
      </c>
      <c r="D7" s="1302" t="s">
        <v>394</v>
      </c>
      <c r="E7" s="1303" t="s">
        <v>395</v>
      </c>
      <c r="F7" s="1304" t="s">
        <v>396</v>
      </c>
      <c r="G7" s="1305" t="s">
        <v>397</v>
      </c>
      <c r="H7" s="1303" t="s">
        <v>398</v>
      </c>
      <c r="I7" s="1303" t="s">
        <v>399</v>
      </c>
      <c r="J7" s="1306" t="s">
        <v>400</v>
      </c>
      <c r="K7" s="1307" t="s">
        <v>401</v>
      </c>
    </row>
    <row r="8" customFormat="false" ht="30" hidden="false" customHeight="true" outlineLevel="0" collapsed="false">
      <c r="A8" s="1299"/>
      <c r="B8" s="1308" t="s">
        <v>348</v>
      </c>
      <c r="C8" s="1309" t="s">
        <v>340</v>
      </c>
      <c r="D8" s="1310" t="s">
        <v>344</v>
      </c>
      <c r="E8" s="1311"/>
      <c r="F8" s="1312"/>
      <c r="G8" s="1313"/>
      <c r="H8" s="1314"/>
      <c r="I8" s="1315"/>
      <c r="J8" s="1309"/>
      <c r="K8" s="1316"/>
    </row>
    <row r="9" customFormat="false" ht="12" hidden="false" customHeight="false" outlineLevel="0" collapsed="false">
      <c r="A9" s="447" t="n">
        <v>1870</v>
      </c>
      <c r="B9" s="1317" t="n">
        <f aca="false">D9+C9</f>
        <v>6.98217537556253</v>
      </c>
      <c r="C9" s="855" t="n">
        <f aca="false">TableDE2!N10</f>
        <v>6.43898758884511</v>
      </c>
      <c r="D9" s="1318" t="n">
        <f aca="false">E9-F9</f>
        <v>0.543187786717424</v>
      </c>
      <c r="E9" s="514" t="n">
        <f aca="false">AVERAGE(TableDE6a!G10:G19)+AVERAGE(TableDE6a!H10:H19)</f>
        <v>0.796628872314814</v>
      </c>
      <c r="F9" s="1319" t="n">
        <f aca="false">AVERAGE(TableDE6a!I10:I19)</f>
        <v>0.253441085597391</v>
      </c>
      <c r="G9" s="1054" t="n">
        <f aca="false">H9-I9</f>
        <v>0.0641051298338475</v>
      </c>
      <c r="H9" s="1050" t="n">
        <f aca="false">AVERAGE(TableDE6b!L10:L19)</f>
        <v>0.0641051298338475</v>
      </c>
      <c r="I9" s="1050" t="n">
        <f aca="false">AVERAGE(TableDE6b!M10:M19)</f>
        <v>0</v>
      </c>
      <c r="J9" s="1320" t="n">
        <f aca="false">D9/B9</f>
        <v>0.0777963539298325</v>
      </c>
      <c r="K9" s="840" t="n">
        <f aca="false">G9/B9</f>
        <v>0.00918125460701175</v>
      </c>
    </row>
    <row r="10" customFormat="false" ht="12" hidden="true" customHeight="false" outlineLevel="0" collapsed="false">
      <c r="A10" s="447"/>
      <c r="B10" s="1317"/>
      <c r="C10" s="855"/>
      <c r="D10" s="1318" t="n">
        <f aca="false">E10-F10</f>
        <v>0</v>
      </c>
      <c r="E10" s="514"/>
      <c r="F10" s="1319"/>
      <c r="G10" s="1054" t="n">
        <f aca="false">H10-I10</f>
        <v>0.0885047127506351</v>
      </c>
      <c r="H10" s="1050" t="n">
        <f aca="false">AVERAGE(TableDE6b!L11:L20)</f>
        <v>0.0885047127506351</v>
      </c>
      <c r="I10" s="1050" t="n">
        <f aca="false">AVERAGE(TableDE6b!M11:M20)</f>
        <v>0</v>
      </c>
      <c r="J10" s="1320" t="e">
        <f aca="false">D10/B10</f>
        <v>#DIV/0!</v>
      </c>
      <c r="K10" s="840" t="e">
        <f aca="false">G10/B10</f>
        <v>#DIV/0!</v>
      </c>
    </row>
    <row r="11" customFormat="false" ht="12" hidden="true" customHeight="false" outlineLevel="0" collapsed="false">
      <c r="A11" s="447"/>
      <c r="B11" s="1317"/>
      <c r="C11" s="855"/>
      <c r="D11" s="1318" t="n">
        <f aca="false">E11-F11</f>
        <v>0</v>
      </c>
      <c r="E11" s="514"/>
      <c r="F11" s="1319"/>
      <c r="G11" s="1054" t="n">
        <f aca="false">H11-I11</f>
        <v>0.118398561416939</v>
      </c>
      <c r="H11" s="1050" t="n">
        <f aca="false">AVERAGE(TableDE6b!L12:L21)</f>
        <v>0.118398561416939</v>
      </c>
      <c r="I11" s="1050" t="n">
        <f aca="false">AVERAGE(TableDE6b!M12:M21)</f>
        <v>0</v>
      </c>
      <c r="J11" s="1320" t="e">
        <f aca="false">D11/B11</f>
        <v>#DIV/0!</v>
      </c>
      <c r="K11" s="840" t="e">
        <f aca="false">G11/B11</f>
        <v>#DIV/0!</v>
      </c>
    </row>
    <row r="12" customFormat="false" ht="12" hidden="true" customHeight="false" outlineLevel="0" collapsed="false">
      <c r="A12" s="447"/>
      <c r="B12" s="1317"/>
      <c r="C12" s="855"/>
      <c r="D12" s="1318" t="n">
        <f aca="false">E12-F12</f>
        <v>0</v>
      </c>
      <c r="E12" s="514"/>
      <c r="F12" s="1319"/>
      <c r="G12" s="1054" t="n">
        <f aca="false">H12-I12</f>
        <v>0.15527486918593</v>
      </c>
      <c r="H12" s="1050" t="n">
        <f aca="false">AVERAGE(TableDE6b!L13:L22)</f>
        <v>0.15527486918593</v>
      </c>
      <c r="I12" s="1050" t="n">
        <f aca="false">AVERAGE(TableDE6b!M13:M22)</f>
        <v>0</v>
      </c>
      <c r="J12" s="1320" t="e">
        <f aca="false">D12/B12</f>
        <v>#DIV/0!</v>
      </c>
      <c r="K12" s="840" t="e">
        <f aca="false">G12/B12</f>
        <v>#DIV/0!</v>
      </c>
    </row>
    <row r="13" customFormat="false" ht="12" hidden="true" customHeight="false" outlineLevel="0" collapsed="false">
      <c r="A13" s="447"/>
      <c r="B13" s="1317"/>
      <c r="C13" s="855"/>
      <c r="D13" s="1318" t="n">
        <f aca="false">E13-F13</f>
        <v>0</v>
      </c>
      <c r="E13" s="514"/>
      <c r="F13" s="1319"/>
      <c r="G13" s="1054" t="n">
        <f aca="false">H13-I13</f>
        <v>0.194354406658603</v>
      </c>
      <c r="H13" s="1050" t="n">
        <f aca="false">AVERAGE(TableDE6b!L14:L23)</f>
        <v>0.194354406658603</v>
      </c>
      <c r="I13" s="1050" t="n">
        <f aca="false">AVERAGE(TableDE6b!M14:M23)</f>
        <v>0</v>
      </c>
      <c r="J13" s="1320" t="e">
        <f aca="false">D13/B13</f>
        <v>#DIV/0!</v>
      </c>
      <c r="K13" s="840" t="e">
        <f aca="false">G13/B13</f>
        <v>#DIV/0!</v>
      </c>
    </row>
    <row r="14" customFormat="false" ht="12" hidden="true" customHeight="false" outlineLevel="0" collapsed="false">
      <c r="A14" s="447"/>
      <c r="B14" s="1317"/>
      <c r="C14" s="855"/>
      <c r="D14" s="1318" t="n">
        <f aca="false">E14-F14</f>
        <v>0</v>
      </c>
      <c r="E14" s="514"/>
      <c r="F14" s="1319"/>
      <c r="G14" s="1054" t="n">
        <f aca="false">H14-I14</f>
        <v>0.23292846426259</v>
      </c>
      <c r="H14" s="1050" t="n">
        <f aca="false">AVERAGE(TableDE6b!L15:L24)</f>
        <v>0.23292846426259</v>
      </c>
      <c r="I14" s="1050" t="n">
        <f aca="false">AVERAGE(TableDE6b!M15:M24)</f>
        <v>0</v>
      </c>
      <c r="J14" s="1320" t="e">
        <f aca="false">D14/B14</f>
        <v>#DIV/0!</v>
      </c>
      <c r="K14" s="840" t="e">
        <f aca="false">G14/B14</f>
        <v>#DIV/0!</v>
      </c>
    </row>
    <row r="15" customFormat="false" ht="12" hidden="true" customHeight="false" outlineLevel="0" collapsed="false">
      <c r="A15" s="447"/>
      <c r="B15" s="1317"/>
      <c r="C15" s="855"/>
      <c r="D15" s="1318" t="n">
        <f aca="false">E15-F15</f>
        <v>0</v>
      </c>
      <c r="E15" s="514"/>
      <c r="F15" s="1319"/>
      <c r="G15" s="1054" t="n">
        <f aca="false">H15-I15</f>
        <v>0.27153002511283</v>
      </c>
      <c r="H15" s="1050" t="n">
        <f aca="false">AVERAGE(TableDE6b!L16:L25)</f>
        <v>0.27153002511283</v>
      </c>
      <c r="I15" s="1050" t="n">
        <f aca="false">AVERAGE(TableDE6b!M16:M25)</f>
        <v>0</v>
      </c>
      <c r="J15" s="1320" t="e">
        <f aca="false">D15/B15</f>
        <v>#DIV/0!</v>
      </c>
      <c r="K15" s="840" t="e">
        <f aca="false">G15/B15</f>
        <v>#DIV/0!</v>
      </c>
    </row>
    <row r="16" customFormat="false" ht="12" hidden="true" customHeight="false" outlineLevel="0" collapsed="false">
      <c r="A16" s="447"/>
      <c r="B16" s="1317"/>
      <c r="C16" s="855"/>
      <c r="D16" s="1318" t="n">
        <f aca="false">E16-F16</f>
        <v>0</v>
      </c>
      <c r="E16" s="514"/>
      <c r="F16" s="1319"/>
      <c r="G16" s="1054" t="n">
        <f aca="false">H16-I16</f>
        <v>0.308476584312899</v>
      </c>
      <c r="H16" s="1050" t="n">
        <f aca="false">AVERAGE(TableDE6b!L17:L26)</f>
        <v>0.308476584312899</v>
      </c>
      <c r="I16" s="1050" t="n">
        <f aca="false">AVERAGE(TableDE6b!M17:M26)</f>
        <v>0</v>
      </c>
      <c r="J16" s="1320" t="e">
        <f aca="false">D16/B16</f>
        <v>#DIV/0!</v>
      </c>
      <c r="K16" s="840" t="e">
        <f aca="false">G16/B16</f>
        <v>#DIV/0!</v>
      </c>
    </row>
    <row r="17" customFormat="false" ht="12" hidden="true" customHeight="false" outlineLevel="0" collapsed="false">
      <c r="A17" s="447"/>
      <c r="B17" s="1317"/>
      <c r="C17" s="855"/>
      <c r="D17" s="1318" t="n">
        <f aca="false">E17-F17</f>
        <v>0</v>
      </c>
      <c r="E17" s="514"/>
      <c r="F17" s="1319"/>
      <c r="G17" s="1054" t="n">
        <f aca="false">H17-I17</f>
        <v>0.345171822481304</v>
      </c>
      <c r="H17" s="1050" t="n">
        <f aca="false">AVERAGE(TableDE6b!L18:L27)</f>
        <v>0.345171822481304</v>
      </c>
      <c r="I17" s="1050" t="n">
        <f aca="false">AVERAGE(TableDE6b!M18:M27)</f>
        <v>0</v>
      </c>
      <c r="J17" s="1320" t="e">
        <f aca="false">D17/B17</f>
        <v>#DIV/0!</v>
      </c>
      <c r="K17" s="840" t="e">
        <f aca="false">G17/B17</f>
        <v>#DIV/0!</v>
      </c>
    </row>
    <row r="18" customFormat="false" ht="12" hidden="true" customHeight="false" outlineLevel="0" collapsed="false">
      <c r="A18" s="447"/>
      <c r="B18" s="1317"/>
      <c r="C18" s="855"/>
      <c r="D18" s="1318" t="n">
        <f aca="false">E18-F18</f>
        <v>0</v>
      </c>
      <c r="E18" s="514"/>
      <c r="F18" s="1319"/>
      <c r="G18" s="1054" t="n">
        <f aca="false">H18-I18</f>
        <v>0.378075995124147</v>
      </c>
      <c r="H18" s="1050" t="n">
        <f aca="false">AVERAGE(TableDE6b!L19:L28)</f>
        <v>0.378075995124147</v>
      </c>
      <c r="I18" s="1050" t="n">
        <f aca="false">AVERAGE(TableDE6b!M19:M28)</f>
        <v>0</v>
      </c>
      <c r="J18" s="1320" t="e">
        <f aca="false">D18/B18</f>
        <v>#DIV/0!</v>
      </c>
      <c r="K18" s="840" t="e">
        <f aca="false">G18/B18</f>
        <v>#DIV/0!</v>
      </c>
    </row>
    <row r="19" customFormat="false" ht="12" hidden="false" customHeight="false" outlineLevel="0" collapsed="false">
      <c r="A19" s="76" t="n">
        <v>1880</v>
      </c>
      <c r="B19" s="1317" t="n">
        <f aca="false">D19+C19</f>
        <v>6.86125241331373</v>
      </c>
      <c r="C19" s="855" t="n">
        <f aca="false">TableDE2!N20</f>
        <v>6.44334771885553</v>
      </c>
      <c r="D19" s="1318" t="n">
        <f aca="false">E19-F19</f>
        <v>0.417904694458206</v>
      </c>
      <c r="E19" s="514" t="n">
        <f aca="false">AVERAGE(TableDE6a!G20:G29)+AVERAGE(TableDE6a!H20:H29)</f>
        <v>0.869400447192155</v>
      </c>
      <c r="F19" s="1319" t="n">
        <f aca="false">AVERAGE(TableDE6a!I20:I29)</f>
        <v>0.451495752733949</v>
      </c>
      <c r="G19" s="1054" t="n">
        <f aca="false">H19-I19</f>
        <v>0.405123010189416</v>
      </c>
      <c r="H19" s="1050" t="n">
        <f aca="false">AVERAGE(TableDE6b!L20:L29)</f>
        <v>0.405123010189416</v>
      </c>
      <c r="I19" s="1050" t="n">
        <f aca="false">AVERAGE(TableDE6b!M20:M29)</f>
        <v>0</v>
      </c>
      <c r="J19" s="1320" t="n">
        <f aca="false">D19/B19</f>
        <v>0.0609079318591012</v>
      </c>
      <c r="K19" s="840" t="n">
        <f aca="false">G19/B19</f>
        <v>0.0590450526792027</v>
      </c>
    </row>
    <row r="20" customFormat="false" ht="12" hidden="true" customHeight="false" outlineLevel="0" collapsed="false">
      <c r="A20" s="76"/>
      <c r="B20" s="1317"/>
      <c r="C20" s="855"/>
      <c r="D20" s="1318" t="n">
        <f aca="false">E20-F20</f>
        <v>0</v>
      </c>
      <c r="E20" s="514"/>
      <c r="F20" s="1319"/>
      <c r="G20" s="1054" t="n">
        <f aca="false">H20-I20</f>
        <v>0.42663998109795</v>
      </c>
      <c r="H20" s="1050" t="n">
        <f aca="false">AVERAGE(TableDE6b!L21:L30)</f>
        <v>0.42663998109795</v>
      </c>
      <c r="I20" s="1050" t="n">
        <f aca="false">AVERAGE(TableDE6b!M21:M30)</f>
        <v>0</v>
      </c>
      <c r="J20" s="1320" t="e">
        <f aca="false">D20/B20</f>
        <v>#DIV/0!</v>
      </c>
      <c r="K20" s="840" t="e">
        <f aca="false">G20/B20</f>
        <v>#DIV/0!</v>
      </c>
    </row>
    <row r="21" customFormat="false" ht="12" hidden="true" customHeight="false" outlineLevel="0" collapsed="false">
      <c r="A21" s="76"/>
      <c r="B21" s="1317"/>
      <c r="C21" s="855"/>
      <c r="D21" s="1318" t="n">
        <f aca="false">E21-F21</f>
        <v>0</v>
      </c>
      <c r="E21" s="514"/>
      <c r="F21" s="1319"/>
      <c r="G21" s="1054" t="n">
        <f aca="false">H21-I21</f>
        <v>0.446258392441401</v>
      </c>
      <c r="H21" s="1050" t="n">
        <f aca="false">AVERAGE(TableDE6b!L22:L31)</f>
        <v>0.446258392441401</v>
      </c>
      <c r="I21" s="1050" t="n">
        <f aca="false">AVERAGE(TableDE6b!M22:M31)</f>
        <v>0</v>
      </c>
      <c r="J21" s="1320" t="e">
        <f aca="false">D21/B21</f>
        <v>#DIV/0!</v>
      </c>
      <c r="K21" s="840" t="e">
        <f aca="false">G21/B21</f>
        <v>#DIV/0!</v>
      </c>
    </row>
    <row r="22" customFormat="false" ht="12" hidden="true" customHeight="false" outlineLevel="0" collapsed="false">
      <c r="A22" s="76"/>
      <c r="B22" s="1317"/>
      <c r="C22" s="855"/>
      <c r="D22" s="1318" t="n">
        <f aca="false">E22-F22</f>
        <v>0</v>
      </c>
      <c r="E22" s="514"/>
      <c r="F22" s="1319"/>
      <c r="G22" s="1054" t="n">
        <f aca="false">H22-I22</f>
        <v>0.456683315543999</v>
      </c>
      <c r="H22" s="1050" t="n">
        <f aca="false">AVERAGE(TableDE6b!L23:L32)</f>
        <v>0.456683315543999</v>
      </c>
      <c r="I22" s="1050" t="n">
        <f aca="false">AVERAGE(TableDE6b!M23:M32)</f>
        <v>0</v>
      </c>
      <c r="J22" s="1320" t="e">
        <f aca="false">D22/B22</f>
        <v>#DIV/0!</v>
      </c>
      <c r="K22" s="840" t="e">
        <f aca="false">G22/B22</f>
        <v>#DIV/0!</v>
      </c>
    </row>
    <row r="23" customFormat="false" ht="12" hidden="true" customHeight="false" outlineLevel="0" collapsed="false">
      <c r="A23" s="76"/>
      <c r="B23" s="1317"/>
      <c r="C23" s="855"/>
      <c r="D23" s="1318" t="n">
        <f aca="false">E23-F23</f>
        <v>0</v>
      </c>
      <c r="E23" s="514"/>
      <c r="F23" s="1319"/>
      <c r="G23" s="1054" t="n">
        <f aca="false">H23-I23</f>
        <v>0.463914039675537</v>
      </c>
      <c r="H23" s="1050" t="n">
        <f aca="false">AVERAGE(TableDE6b!L24:L33)</f>
        <v>0.463914039675537</v>
      </c>
      <c r="I23" s="1050" t="n">
        <f aca="false">AVERAGE(TableDE6b!M24:M33)</f>
        <v>0</v>
      </c>
      <c r="J23" s="1320" t="e">
        <f aca="false">D23/B23</f>
        <v>#DIV/0!</v>
      </c>
      <c r="K23" s="840" t="e">
        <f aca="false">G23/B23</f>
        <v>#DIV/0!</v>
      </c>
    </row>
    <row r="24" customFormat="false" ht="12" hidden="true" customHeight="false" outlineLevel="0" collapsed="false">
      <c r="A24" s="76"/>
      <c r="B24" s="1317"/>
      <c r="C24" s="855"/>
      <c r="D24" s="1318" t="n">
        <f aca="false">E24-F24</f>
        <v>0</v>
      </c>
      <c r="E24" s="514"/>
      <c r="F24" s="1319"/>
      <c r="G24" s="1054" t="n">
        <f aca="false">H24-I24</f>
        <v>0.472038255430193</v>
      </c>
      <c r="H24" s="1050" t="n">
        <f aca="false">AVERAGE(TableDE6b!L25:L34)</f>
        <v>0.472038255430193</v>
      </c>
      <c r="I24" s="1050" t="n">
        <f aca="false">AVERAGE(TableDE6b!M25:M34)</f>
        <v>0</v>
      </c>
      <c r="J24" s="1320" t="e">
        <f aca="false">D24/B24</f>
        <v>#DIV/0!</v>
      </c>
      <c r="K24" s="840" t="e">
        <f aca="false">G24/B24</f>
        <v>#DIV/0!</v>
      </c>
    </row>
    <row r="25" customFormat="false" ht="12" hidden="true" customHeight="false" outlineLevel="0" collapsed="false">
      <c r="A25" s="76"/>
      <c r="B25" s="1317"/>
      <c r="C25" s="855"/>
      <c r="D25" s="1318" t="n">
        <f aca="false">E25-F25</f>
        <v>0</v>
      </c>
      <c r="E25" s="514"/>
      <c r="F25" s="1319"/>
      <c r="G25" s="1054" t="n">
        <f aca="false">H25-I25</f>
        <v>0.476887424812675</v>
      </c>
      <c r="H25" s="1050" t="n">
        <f aca="false">AVERAGE(TableDE6b!L26:L35)</f>
        <v>0.476887424812675</v>
      </c>
      <c r="I25" s="1050" t="n">
        <f aca="false">AVERAGE(TableDE6b!M26:M35)</f>
        <v>0</v>
      </c>
      <c r="J25" s="1320" t="e">
        <f aca="false">D25/B25</f>
        <v>#DIV/0!</v>
      </c>
      <c r="K25" s="840" t="e">
        <f aca="false">G25/B25</f>
        <v>#DIV/0!</v>
      </c>
    </row>
    <row r="26" customFormat="false" ht="12" hidden="true" customHeight="false" outlineLevel="0" collapsed="false">
      <c r="A26" s="76"/>
      <c r="B26" s="1317"/>
      <c r="C26" s="855"/>
      <c r="D26" s="1318" t="n">
        <f aca="false">E26-F26</f>
        <v>0</v>
      </c>
      <c r="E26" s="514"/>
      <c r="F26" s="1319"/>
      <c r="G26" s="1054" t="n">
        <f aca="false">H26-I26</f>
        <v>0.478092719334775</v>
      </c>
      <c r="H26" s="1050" t="n">
        <f aca="false">AVERAGE(TableDE6b!L27:L36)</f>
        <v>0.478092719334775</v>
      </c>
      <c r="I26" s="1050" t="n">
        <f aca="false">AVERAGE(TableDE6b!M27:M36)</f>
        <v>0</v>
      </c>
      <c r="J26" s="1320" t="e">
        <f aca="false">D26/B26</f>
        <v>#DIV/0!</v>
      </c>
      <c r="K26" s="840" t="e">
        <f aca="false">G26/B26</f>
        <v>#DIV/0!</v>
      </c>
    </row>
    <row r="27" customFormat="false" ht="12" hidden="true" customHeight="false" outlineLevel="0" collapsed="false">
      <c r="A27" s="76"/>
      <c r="B27" s="1317"/>
      <c r="C27" s="855"/>
      <c r="D27" s="1318" t="n">
        <f aca="false">E27-F27</f>
        <v>0</v>
      </c>
      <c r="E27" s="514"/>
      <c r="F27" s="1319"/>
      <c r="G27" s="1054" t="n">
        <f aca="false">H27-I27</f>
        <v>0.47699667678589</v>
      </c>
      <c r="H27" s="1050" t="n">
        <f aca="false">AVERAGE(TableDE6b!L28:L37)</f>
        <v>0.47699667678589</v>
      </c>
      <c r="I27" s="1050" t="n">
        <f aca="false">AVERAGE(TableDE6b!M28:M37)</f>
        <v>0</v>
      </c>
      <c r="J27" s="1320" t="e">
        <f aca="false">D27/B27</f>
        <v>#DIV/0!</v>
      </c>
      <c r="K27" s="840" t="e">
        <f aca="false">G27/B27</f>
        <v>#DIV/0!</v>
      </c>
    </row>
    <row r="28" customFormat="false" ht="12" hidden="true" customHeight="false" outlineLevel="0" collapsed="false">
      <c r="A28" s="76"/>
      <c r="B28" s="1317"/>
      <c r="C28" s="855"/>
      <c r="D28" s="1318" t="n">
        <f aca="false">E28-F28</f>
        <v>0</v>
      </c>
      <c r="E28" s="514"/>
      <c r="F28" s="1319"/>
      <c r="G28" s="1054" t="n">
        <f aca="false">H28-I28</f>
        <v>0.475412129864684</v>
      </c>
      <c r="H28" s="1050" t="n">
        <f aca="false">AVERAGE(TableDE6b!L29:L38)</f>
        <v>0.475412129864684</v>
      </c>
      <c r="I28" s="1050" t="n">
        <f aca="false">AVERAGE(TableDE6b!M29:M38)</f>
        <v>0</v>
      </c>
      <c r="J28" s="1320" t="e">
        <f aca="false">D28/B28</f>
        <v>#DIV/0!</v>
      </c>
      <c r="K28" s="840" t="e">
        <f aca="false">G28/B28</f>
        <v>#DIV/0!</v>
      </c>
    </row>
    <row r="29" customFormat="false" ht="12" hidden="false" customHeight="false" outlineLevel="0" collapsed="false">
      <c r="A29" s="94" t="n">
        <v>1890</v>
      </c>
      <c r="B29" s="1317" t="n">
        <f aca="false">D29+C29</f>
        <v>6.20667393416301</v>
      </c>
      <c r="C29" s="855" t="n">
        <f aca="false">TableDE2!N30</f>
        <v>5.92305132537533</v>
      </c>
      <c r="D29" s="1318" t="n">
        <f aca="false">E29-F29</f>
        <v>0.283622608787686</v>
      </c>
      <c r="E29" s="514" t="n">
        <f aca="false">AVERAGE(TableDE6a!G30:G39)+AVERAGE(TableDE6a!H30:H39)</f>
        <v>0.817856295382219</v>
      </c>
      <c r="F29" s="1319" t="n">
        <f aca="false">AVERAGE(TableDE6a!I30:I39)</f>
        <v>0.534233686594533</v>
      </c>
      <c r="G29" s="1054" t="n">
        <f aca="false">H29-I29</f>
        <v>0.474768667383322</v>
      </c>
      <c r="H29" s="1050" t="n">
        <f aca="false">AVERAGE(TableDE6b!L30:L39)</f>
        <v>0.474768667383322</v>
      </c>
      <c r="I29" s="1050" t="n">
        <f aca="false">AVERAGE(TableDE6b!M30:M39)</f>
        <v>0</v>
      </c>
      <c r="J29" s="1320" t="n">
        <f aca="false">D29/B29</f>
        <v>0.0456963925922642</v>
      </c>
      <c r="K29" s="840" t="n">
        <f aca="false">G29/B29</f>
        <v>0.0764932510422502</v>
      </c>
    </row>
    <row r="30" customFormat="false" ht="12" hidden="true" customHeight="false" outlineLevel="0" collapsed="false">
      <c r="A30" s="76"/>
      <c r="B30" s="1317"/>
      <c r="C30" s="855"/>
      <c r="D30" s="1318" t="n">
        <f aca="false">E30-F30</f>
        <v>0</v>
      </c>
      <c r="E30" s="514"/>
      <c r="F30" s="1319"/>
      <c r="G30" s="1054" t="n">
        <f aca="false">H30-I30</f>
        <v>0.474616844927151</v>
      </c>
      <c r="H30" s="1050" t="n">
        <f aca="false">AVERAGE(TableDE6b!L31:L40)</f>
        <v>0.474616844927151</v>
      </c>
      <c r="I30" s="1050" t="n">
        <f aca="false">AVERAGE(TableDE6b!M31:M40)</f>
        <v>0</v>
      </c>
      <c r="J30" s="1320" t="e">
        <f aca="false">D30/B30</f>
        <v>#DIV/0!</v>
      </c>
      <c r="K30" s="840" t="e">
        <f aca="false">G30/B30</f>
        <v>#DIV/0!</v>
      </c>
    </row>
    <row r="31" customFormat="false" ht="12" hidden="true" customHeight="false" outlineLevel="0" collapsed="false">
      <c r="A31" s="76"/>
      <c r="B31" s="1317"/>
      <c r="C31" s="855"/>
      <c r="D31" s="1318" t="n">
        <f aca="false">E31-F31</f>
        <v>0</v>
      </c>
      <c r="E31" s="514"/>
      <c r="F31" s="1319"/>
      <c r="G31" s="1054" t="n">
        <f aca="false">H31-I31</f>
        <v>0.472957111263349</v>
      </c>
      <c r="H31" s="1050" t="n">
        <f aca="false">AVERAGE(TableDE6b!L32:L41)</f>
        <v>0.472957111263349</v>
      </c>
      <c r="I31" s="1050" t="n">
        <f aca="false">AVERAGE(TableDE6b!M32:M41)</f>
        <v>0</v>
      </c>
      <c r="J31" s="1320" t="e">
        <f aca="false">D31/B31</f>
        <v>#DIV/0!</v>
      </c>
      <c r="K31" s="840" t="e">
        <f aca="false">G31/B31</f>
        <v>#DIV/0!</v>
      </c>
    </row>
    <row r="32" customFormat="false" ht="12" hidden="true" customHeight="false" outlineLevel="0" collapsed="false">
      <c r="A32" s="76"/>
      <c r="B32" s="1317"/>
      <c r="C32" s="855"/>
      <c r="D32" s="1318" t="n">
        <f aca="false">E32-F32</f>
        <v>0</v>
      </c>
      <c r="E32" s="514"/>
      <c r="F32" s="1319"/>
      <c r="G32" s="1054" t="n">
        <f aca="false">H32-I32</f>
        <v>0.473830742408818</v>
      </c>
      <c r="H32" s="1050" t="n">
        <f aca="false">AVERAGE(TableDE6b!L33:L42)</f>
        <v>0.473830742408818</v>
      </c>
      <c r="I32" s="1050" t="n">
        <f aca="false">AVERAGE(TableDE6b!M33:M42)</f>
        <v>0</v>
      </c>
      <c r="J32" s="1320" t="e">
        <f aca="false">D32/B32</f>
        <v>#DIV/0!</v>
      </c>
      <c r="K32" s="840" t="e">
        <f aca="false">G32/B32</f>
        <v>#DIV/0!</v>
      </c>
    </row>
    <row r="33" customFormat="false" ht="12" hidden="true" customHeight="false" outlineLevel="0" collapsed="false">
      <c r="A33" s="76"/>
      <c r="B33" s="1317"/>
      <c r="C33" s="855"/>
      <c r="D33" s="1318" t="n">
        <f aca="false">E33-F33</f>
        <v>0</v>
      </c>
      <c r="E33" s="514"/>
      <c r="F33" s="1319"/>
      <c r="G33" s="1054" t="n">
        <f aca="false">H33-I33</f>
        <v>0.471972841088283</v>
      </c>
      <c r="H33" s="1050" t="n">
        <f aca="false">AVERAGE(TableDE6b!L34:L43)</f>
        <v>0.471972841088283</v>
      </c>
      <c r="I33" s="1050" t="n">
        <f aca="false">AVERAGE(TableDE6b!M34:M43)</f>
        <v>0</v>
      </c>
      <c r="J33" s="1320" t="e">
        <f aca="false">D33/B33</f>
        <v>#DIV/0!</v>
      </c>
      <c r="K33" s="840" t="e">
        <f aca="false">G33/B33</f>
        <v>#DIV/0!</v>
      </c>
    </row>
    <row r="34" customFormat="false" ht="12" hidden="true" customHeight="false" outlineLevel="0" collapsed="false">
      <c r="A34" s="76"/>
      <c r="B34" s="1317"/>
      <c r="C34" s="855"/>
      <c r="D34" s="1318" t="n">
        <f aca="false">E34-F34</f>
        <v>0</v>
      </c>
      <c r="E34" s="514"/>
      <c r="F34" s="1319"/>
      <c r="G34" s="1054" t="n">
        <f aca="false">H34-I34</f>
        <v>0.466658406308302</v>
      </c>
      <c r="H34" s="1050" t="n">
        <f aca="false">AVERAGE(TableDE6b!L35:L44)</f>
        <v>0.466658406308302</v>
      </c>
      <c r="I34" s="1050" t="n">
        <f aca="false">AVERAGE(TableDE6b!M35:M44)</f>
        <v>0</v>
      </c>
      <c r="J34" s="1320" t="e">
        <f aca="false">D34/B34</f>
        <v>#DIV/0!</v>
      </c>
      <c r="K34" s="840" t="e">
        <f aca="false">G34/B34</f>
        <v>#DIV/0!</v>
      </c>
    </row>
    <row r="35" customFormat="false" ht="12" hidden="true" customHeight="false" outlineLevel="0" collapsed="false">
      <c r="A35" s="76"/>
      <c r="B35" s="1317"/>
      <c r="C35" s="855"/>
      <c r="D35" s="1318" t="n">
        <f aca="false">E35-F35</f>
        <v>0</v>
      </c>
      <c r="E35" s="514"/>
      <c r="F35" s="1319"/>
      <c r="G35" s="1054" t="n">
        <f aca="false">H35-I35</f>
        <v>0.460693368488758</v>
      </c>
      <c r="H35" s="1050" t="n">
        <f aca="false">AVERAGE(TableDE6b!L36:L45)</f>
        <v>0.460693368488758</v>
      </c>
      <c r="I35" s="1050" t="n">
        <f aca="false">AVERAGE(TableDE6b!M36:M45)</f>
        <v>0</v>
      </c>
      <c r="J35" s="1320" t="e">
        <f aca="false">D35/B35</f>
        <v>#DIV/0!</v>
      </c>
      <c r="K35" s="840" t="e">
        <f aca="false">G35/B35</f>
        <v>#DIV/0!</v>
      </c>
    </row>
    <row r="36" customFormat="false" ht="12" hidden="true" customHeight="false" outlineLevel="0" collapsed="false">
      <c r="A36" s="76"/>
      <c r="B36" s="1317"/>
      <c r="C36" s="855"/>
      <c r="D36" s="1318" t="n">
        <f aca="false">E36-F36</f>
        <v>0</v>
      </c>
      <c r="E36" s="514"/>
      <c r="F36" s="1319"/>
      <c r="G36" s="1054" t="n">
        <f aca="false">H36-I36</f>
        <v>0.456084388142269</v>
      </c>
      <c r="H36" s="1050" t="n">
        <f aca="false">AVERAGE(TableDE6b!L37:L46)</f>
        <v>0.456084388142269</v>
      </c>
      <c r="I36" s="1050" t="n">
        <f aca="false">AVERAGE(TableDE6b!M37:M46)</f>
        <v>0</v>
      </c>
      <c r="J36" s="1320" t="e">
        <f aca="false">D36/B36</f>
        <v>#DIV/0!</v>
      </c>
      <c r="K36" s="840" t="e">
        <f aca="false">G36/B36</f>
        <v>#DIV/0!</v>
      </c>
    </row>
    <row r="37" customFormat="false" ht="12" hidden="true" customHeight="false" outlineLevel="0" collapsed="false">
      <c r="A37" s="76"/>
      <c r="B37" s="1317"/>
      <c r="C37" s="855"/>
      <c r="D37" s="1318" t="n">
        <f aca="false">E37-F37</f>
        <v>0</v>
      </c>
      <c r="E37" s="514"/>
      <c r="F37" s="1319"/>
      <c r="G37" s="1054" t="n">
        <f aca="false">H37-I37</f>
        <v>0.450048951576926</v>
      </c>
      <c r="H37" s="1050" t="n">
        <f aca="false">AVERAGE(TableDE6b!L38:L47)</f>
        <v>0.450048951576926</v>
      </c>
      <c r="I37" s="1050" t="n">
        <f aca="false">AVERAGE(TableDE6b!M38:M47)</f>
        <v>0</v>
      </c>
      <c r="J37" s="1320" t="e">
        <f aca="false">D37/B37</f>
        <v>#DIV/0!</v>
      </c>
      <c r="K37" s="840" t="e">
        <f aca="false">G37/B37</f>
        <v>#DIV/0!</v>
      </c>
    </row>
    <row r="38" customFormat="false" ht="12" hidden="true" customHeight="false" outlineLevel="0" collapsed="false">
      <c r="A38" s="76"/>
      <c r="B38" s="1317"/>
      <c r="C38" s="855"/>
      <c r="D38" s="1318" t="n">
        <f aca="false">E38-F38</f>
        <v>0</v>
      </c>
      <c r="E38" s="514"/>
      <c r="F38" s="1319"/>
      <c r="G38" s="1054" t="n">
        <f aca="false">H38-I38</f>
        <v>0.446508983976011</v>
      </c>
      <c r="H38" s="1050" t="n">
        <f aca="false">AVERAGE(TableDE6b!L39:L48)</f>
        <v>0.446508983976011</v>
      </c>
      <c r="I38" s="1050" t="n">
        <f aca="false">AVERAGE(TableDE6b!M39:M48)</f>
        <v>0</v>
      </c>
      <c r="J38" s="1320" t="e">
        <f aca="false">D38/B38</f>
        <v>#DIV/0!</v>
      </c>
      <c r="K38" s="840" t="e">
        <f aca="false">G38/B38</f>
        <v>#DIV/0!</v>
      </c>
    </row>
    <row r="39" customFormat="false" ht="12" hidden="false" customHeight="false" outlineLevel="0" collapsed="false">
      <c r="A39" s="1321" t="n">
        <v>1900</v>
      </c>
      <c r="B39" s="1322" t="n">
        <f aca="false">D39+C39</f>
        <v>6.45639825681777</v>
      </c>
      <c r="C39" s="1323" t="n">
        <f aca="false">TableDE2!N40</f>
        <v>6.11238551757944</v>
      </c>
      <c r="D39" s="1324" t="n">
        <f aca="false">E39-F39</f>
        <v>0.344012739238325</v>
      </c>
      <c r="E39" s="1325" t="n">
        <f aca="false">AVERAGE(TableDE6a!G40:G49)+AVERAGE(TableDE6a!H40:H49)</f>
        <v>0.898226454892865</v>
      </c>
      <c r="F39" s="1326" t="n">
        <f aca="false">AVERAGE(TableDE6a!I40:I49)</f>
        <v>0.55421371565454</v>
      </c>
      <c r="G39" s="1327" t="n">
        <f aca="false">H39-I39</f>
        <v>0.44106924012808</v>
      </c>
      <c r="H39" s="1047" t="n">
        <f aca="false">AVERAGE(TableDE6b!L40:L49)</f>
        <v>0.44106924012808</v>
      </c>
      <c r="I39" s="1047" t="n">
        <f aca="false">AVERAGE(TableDE6b!M40:M49)</f>
        <v>0</v>
      </c>
      <c r="J39" s="1328" t="n">
        <f aca="false">D39/B39</f>
        <v>0.053282453398078</v>
      </c>
      <c r="K39" s="880" t="n">
        <f aca="false">G39/B39</f>
        <v>0.0683150609029306</v>
      </c>
    </row>
    <row r="40" customFormat="false" ht="12" hidden="true" customHeight="false" outlineLevel="0" collapsed="false">
      <c r="A40" s="76"/>
      <c r="B40" s="1317"/>
      <c r="C40" s="855"/>
      <c r="D40" s="1318" t="n">
        <f aca="false">E40-F40</f>
        <v>0</v>
      </c>
      <c r="E40" s="514"/>
      <c r="F40" s="1319"/>
      <c r="G40" s="1054" t="n">
        <f aca="false">H40-I40</f>
        <v>0.43565861920453</v>
      </c>
      <c r="H40" s="1050" t="n">
        <f aca="false">AVERAGE(TableDE6b!L41:L50)</f>
        <v>0.43565861920453</v>
      </c>
      <c r="I40" s="1050" t="n">
        <f aca="false">AVERAGE(TableDE6b!M41:M50)</f>
        <v>0</v>
      </c>
      <c r="J40" s="1320" t="e">
        <f aca="false">D40/B40</f>
        <v>#DIV/0!</v>
      </c>
      <c r="K40" s="840" t="e">
        <f aca="false">G40/B40</f>
        <v>#DIV/0!</v>
      </c>
    </row>
    <row r="41" customFormat="false" ht="12" hidden="true" customHeight="false" outlineLevel="0" collapsed="false">
      <c r="A41" s="76"/>
      <c r="B41" s="1317"/>
      <c r="C41" s="855"/>
      <c r="D41" s="1318" t="n">
        <f aca="false">E41-F41</f>
        <v>0</v>
      </c>
      <c r="E41" s="514"/>
      <c r="F41" s="1319"/>
      <c r="G41" s="1054" t="n">
        <f aca="false">H41-I41</f>
        <v>0.427236011686698</v>
      </c>
      <c r="H41" s="1050" t="n">
        <f aca="false">AVERAGE(TableDE6b!L42:L51)</f>
        <v>0.427236011686698</v>
      </c>
      <c r="I41" s="1050" t="n">
        <f aca="false">AVERAGE(TableDE6b!M42:M51)</f>
        <v>0</v>
      </c>
      <c r="J41" s="1320" t="e">
        <f aca="false">D41/B41</f>
        <v>#DIV/0!</v>
      </c>
      <c r="K41" s="840" t="e">
        <f aca="false">G41/B41</f>
        <v>#DIV/0!</v>
      </c>
    </row>
    <row r="42" customFormat="false" ht="12" hidden="true" customHeight="false" outlineLevel="0" collapsed="false">
      <c r="A42" s="76"/>
      <c r="B42" s="1317"/>
      <c r="C42" s="855"/>
      <c r="D42" s="1318" t="n">
        <f aca="false">E42-F42</f>
        <v>0</v>
      </c>
      <c r="E42" s="514"/>
      <c r="F42" s="1319"/>
      <c r="G42" s="1054" t="n">
        <f aca="false">H42-I42</f>
        <v>0.416548498832737</v>
      </c>
      <c r="H42" s="1050" t="n">
        <f aca="false">AVERAGE(TableDE6b!L43:L52)</f>
        <v>0.416548498832737</v>
      </c>
      <c r="I42" s="1050" t="n">
        <f aca="false">AVERAGE(TableDE6b!M43:M52)</f>
        <v>0</v>
      </c>
      <c r="J42" s="1320" t="e">
        <f aca="false">D42/B42</f>
        <v>#DIV/0!</v>
      </c>
      <c r="K42" s="840" t="e">
        <f aca="false">G42/B42</f>
        <v>#DIV/0!</v>
      </c>
    </row>
    <row r="43" customFormat="false" ht="12" hidden="true" customHeight="false" outlineLevel="0" collapsed="false">
      <c r="A43" s="76"/>
      <c r="B43" s="1317"/>
      <c r="C43" s="855"/>
      <c r="D43" s="1318" t="n">
        <f aca="false">E43-F43</f>
        <v>0</v>
      </c>
      <c r="E43" s="514"/>
      <c r="F43" s="1319"/>
      <c r="G43" s="1054" t="n">
        <f aca="false">H43-I43</f>
        <v>0.408417259673841</v>
      </c>
      <c r="H43" s="1050" t="n">
        <f aca="false">AVERAGE(TableDE6b!L44:L53)</f>
        <v>0.408417259673841</v>
      </c>
      <c r="I43" s="1050" t="n">
        <f aca="false">AVERAGE(TableDE6b!M44:M53)</f>
        <v>0</v>
      </c>
      <c r="J43" s="1320" t="e">
        <f aca="false">D43/B43</f>
        <v>#DIV/0!</v>
      </c>
      <c r="K43" s="840" t="e">
        <f aca="false">G43/B43</f>
        <v>#DIV/0!</v>
      </c>
    </row>
    <row r="44" customFormat="false" ht="12" hidden="true" customHeight="false" outlineLevel="0" collapsed="false">
      <c r="A44" s="76"/>
      <c r="B44" s="1317"/>
      <c r="C44" s="855"/>
      <c r="D44" s="1318" t="n">
        <f aca="false">E44-F44</f>
        <v>0</v>
      </c>
      <c r="E44" s="514"/>
      <c r="F44" s="1319"/>
      <c r="G44" s="1054" t="n">
        <f aca="false">H44-I44</f>
        <v>0.403692591054703</v>
      </c>
      <c r="H44" s="1050" t="n">
        <f aca="false">AVERAGE(TableDE6b!L45:L54)</f>
        <v>0.403692591054703</v>
      </c>
      <c r="I44" s="1050" t="n">
        <f aca="false">AVERAGE(TableDE6b!M45:M54)</f>
        <v>0</v>
      </c>
      <c r="J44" s="1320" t="e">
        <f aca="false">D44/B44</f>
        <v>#DIV/0!</v>
      </c>
      <c r="K44" s="840" t="e">
        <f aca="false">G44/B44</f>
        <v>#DIV/0!</v>
      </c>
    </row>
    <row r="45" customFormat="false" ht="12" hidden="true" customHeight="false" outlineLevel="0" collapsed="false">
      <c r="A45" s="76"/>
      <c r="B45" s="1317"/>
      <c r="C45" s="855"/>
      <c r="D45" s="1318" t="n">
        <f aca="false">E45-F45</f>
        <v>0</v>
      </c>
      <c r="E45" s="514"/>
      <c r="F45" s="1319"/>
      <c r="G45" s="1054" t="n">
        <f aca="false">H45-I45</f>
        <v>0.386632473945558</v>
      </c>
      <c r="H45" s="1050" t="n">
        <f aca="false">AVERAGE(TableDE6b!L46:L55)</f>
        <v>0.386632473945558</v>
      </c>
      <c r="I45" s="1050" t="n">
        <f aca="false">AVERAGE(TableDE6b!M46:M55)</f>
        <v>0</v>
      </c>
      <c r="J45" s="1320" t="e">
        <f aca="false">D45/B45</f>
        <v>#DIV/0!</v>
      </c>
      <c r="K45" s="840" t="e">
        <f aca="false">G45/B45</f>
        <v>#DIV/0!</v>
      </c>
    </row>
    <row r="46" customFormat="false" ht="12" hidden="true" customHeight="false" outlineLevel="0" collapsed="false">
      <c r="A46" s="76"/>
      <c r="B46" s="1317"/>
      <c r="C46" s="855"/>
      <c r="D46" s="1318" t="n">
        <f aca="false">E46-F46</f>
        <v>0</v>
      </c>
      <c r="E46" s="514"/>
      <c r="F46" s="1319"/>
      <c r="G46" s="1054" t="n">
        <f aca="false">H46-I46</f>
        <v>0.357692896885804</v>
      </c>
      <c r="H46" s="1050" t="n">
        <f aca="false">AVERAGE(TableDE6b!L47:L56)</f>
        <v>0.357692896885804</v>
      </c>
      <c r="I46" s="1050" t="n">
        <f aca="false">AVERAGE(TableDE6b!M47:M56)</f>
        <v>0</v>
      </c>
      <c r="J46" s="1320" t="e">
        <f aca="false">D46/B46</f>
        <v>#DIV/0!</v>
      </c>
      <c r="K46" s="840" t="e">
        <f aca="false">G46/B46</f>
        <v>#DIV/0!</v>
      </c>
    </row>
    <row r="47" customFormat="false" ht="12" hidden="true" customHeight="false" outlineLevel="0" collapsed="false">
      <c r="A47" s="76"/>
      <c r="B47" s="1317"/>
      <c r="C47" s="855"/>
      <c r="D47" s="1318" t="n">
        <f aca="false">E47-F47</f>
        <v>0</v>
      </c>
      <c r="E47" s="514"/>
      <c r="F47" s="1319"/>
      <c r="G47" s="1054" t="n">
        <f aca="false">H47-I47</f>
        <v>0.321821537930655</v>
      </c>
      <c r="H47" s="1050" t="n">
        <f aca="false">AVERAGE(TableDE6b!L48:L57)</f>
        <v>0.321821537930655</v>
      </c>
      <c r="I47" s="1050" t="n">
        <f aca="false">AVERAGE(TableDE6b!M48:M57)</f>
        <v>0</v>
      </c>
      <c r="J47" s="1320" t="e">
        <f aca="false">D47/B47</f>
        <v>#DIV/0!</v>
      </c>
      <c r="K47" s="840" t="e">
        <f aca="false">G47/B47</f>
        <v>#DIV/0!</v>
      </c>
    </row>
    <row r="48" customFormat="false" ht="12" hidden="true" customHeight="false" outlineLevel="0" collapsed="false">
      <c r="A48" s="76"/>
      <c r="B48" s="1317"/>
      <c r="C48" s="855"/>
      <c r="D48" s="1318" t="n">
        <f aca="false">E48-F48</f>
        <v>0</v>
      </c>
      <c r="E48" s="514"/>
      <c r="F48" s="1319"/>
      <c r="G48" s="1054" t="n">
        <f aca="false">H48-I48</f>
        <v>0.279890496897221</v>
      </c>
      <c r="H48" s="1050" t="n">
        <f aca="false">AVERAGE(TableDE6b!L49:L58)</f>
        <v>0.279890496897221</v>
      </c>
      <c r="I48" s="1050" t="n">
        <f aca="false">AVERAGE(TableDE6b!M49:M58)</f>
        <v>0</v>
      </c>
      <c r="J48" s="1320" t="e">
        <f aca="false">D48/B48</f>
        <v>#DIV/0!</v>
      </c>
      <c r="K48" s="840" t="e">
        <f aca="false">G48/B48</f>
        <v>#DIV/0!</v>
      </c>
    </row>
    <row r="49" customFormat="false" ht="12" hidden="false" customHeight="false" outlineLevel="0" collapsed="false">
      <c r="A49" s="76" t="n">
        <v>1910</v>
      </c>
      <c r="B49" s="1317" t="n">
        <f aca="false">D49+C49</f>
        <v>5.87432957876813</v>
      </c>
      <c r="C49" s="855" t="n">
        <f aca="false">TableDE2!N50</f>
        <v>5.55991326040128</v>
      </c>
      <c r="D49" s="1318" t="n">
        <f aca="false">E49-F49</f>
        <v>0.314416318366853</v>
      </c>
      <c r="E49" s="514" t="n">
        <f aca="false">AVERAGE(TableDE6a!G50:G59)+AVERAGE(TableDE6a!H50:H59)</f>
        <v>1.14588359677431</v>
      </c>
      <c r="F49" s="1319" t="n">
        <f aca="false">AVERAGE(TableDE6a!I50:I59)</f>
        <v>0.831467278407461</v>
      </c>
      <c r="G49" s="1054" t="n">
        <f aca="false">H49-I49</f>
        <v>0.239975369433032</v>
      </c>
      <c r="H49" s="1050" t="n">
        <f aca="false">AVERAGE(TableDE6b!L50:L59)</f>
        <v>0.239975369433032</v>
      </c>
      <c r="I49" s="1050" t="n">
        <f aca="false">AVERAGE(TableDE6b!M50:M59)</f>
        <v>0</v>
      </c>
      <c r="J49" s="1320" t="n">
        <f aca="false">D49/B49</f>
        <v>0.0535237790374009</v>
      </c>
      <c r="K49" s="840" t="n">
        <f aca="false">G49/B49</f>
        <v>0.0408515331350129</v>
      </c>
    </row>
    <row r="50" customFormat="false" ht="12" hidden="true" customHeight="false" outlineLevel="0" collapsed="false">
      <c r="A50" s="76"/>
      <c r="B50" s="1317"/>
      <c r="C50" s="855"/>
      <c r="D50" s="1318" t="n">
        <f aca="false">E50-F50</f>
        <v>0</v>
      </c>
      <c r="E50" s="514"/>
      <c r="F50" s="1319"/>
      <c r="G50" s="1054" t="n">
        <f aca="false">H50-I50</f>
        <v>0.199792479018643</v>
      </c>
      <c r="H50" s="1050" t="n">
        <f aca="false">AVERAGE(TableDE6b!L51:L60)</f>
        <v>0.200061982451455</v>
      </c>
      <c r="I50" s="1050" t="n">
        <f aca="false">AVERAGE(TableDE6b!M51:M60)</f>
        <v>0.000269503432811701</v>
      </c>
      <c r="J50" s="1320" t="e">
        <f aca="false">D50/B50</f>
        <v>#DIV/0!</v>
      </c>
      <c r="K50" s="840" t="e">
        <f aca="false">G50/B50</f>
        <v>#DIV/0!</v>
      </c>
    </row>
    <row r="51" customFormat="false" ht="12" hidden="true" customHeight="false" outlineLevel="0" collapsed="false">
      <c r="A51" s="76"/>
      <c r="B51" s="1317"/>
      <c r="C51" s="855"/>
      <c r="D51" s="1318" t="n">
        <f aca="false">E51-F51</f>
        <v>0</v>
      </c>
      <c r="E51" s="514"/>
      <c r="F51" s="1319"/>
      <c r="G51" s="1054" t="n">
        <f aca="false">H51-I51</f>
        <v>0.160450146776519</v>
      </c>
      <c r="H51" s="1050" t="n">
        <f aca="false">AVERAGE(TableDE6b!L52:L61)</f>
        <v>0.161106367254282</v>
      </c>
      <c r="I51" s="1050" t="n">
        <f aca="false">AVERAGE(TableDE6b!M52:M61)</f>
        <v>0.000656220477762174</v>
      </c>
      <c r="J51" s="1320" t="e">
        <f aca="false">D51/B51</f>
        <v>#DIV/0!</v>
      </c>
      <c r="K51" s="840" t="e">
        <f aca="false">G51/B51</f>
        <v>#DIV/0!</v>
      </c>
    </row>
    <row r="52" customFormat="false" ht="12" hidden="true" customHeight="false" outlineLevel="0" collapsed="false">
      <c r="A52" s="76"/>
      <c r="B52" s="1317"/>
      <c r="C52" s="855"/>
      <c r="D52" s="1318" t="n">
        <f aca="false">E52-F52</f>
        <v>0</v>
      </c>
      <c r="E52" s="514"/>
      <c r="F52" s="1319"/>
      <c r="G52" s="1054" t="n">
        <f aca="false">H52-I52</f>
        <v>0.122965535698659</v>
      </c>
      <c r="H52" s="1050" t="n">
        <f aca="false">AVERAGE(TableDE6b!L53:L62)</f>
        <v>0.123652108142573</v>
      </c>
      <c r="I52" s="1050" t="n">
        <f aca="false">AVERAGE(TableDE6b!M53:M62)</f>
        <v>0.000686572443913628</v>
      </c>
      <c r="J52" s="1320" t="e">
        <f aca="false">D52/B52</f>
        <v>#DIV/0!</v>
      </c>
      <c r="K52" s="840" t="e">
        <f aca="false">G52/B52</f>
        <v>#DIV/0!</v>
      </c>
    </row>
    <row r="53" customFormat="false" ht="12" hidden="true" customHeight="false" outlineLevel="0" collapsed="false">
      <c r="A53" s="76"/>
      <c r="B53" s="1317"/>
      <c r="C53" s="855"/>
      <c r="D53" s="1318" t="n">
        <f aca="false">E53-F53</f>
        <v>0</v>
      </c>
      <c r="E53" s="514"/>
      <c r="F53" s="1319"/>
      <c r="G53" s="1054" t="n">
        <f aca="false">H53-I53</f>
        <v>0.0851611023429387</v>
      </c>
      <c r="H53" s="1050" t="n">
        <f aca="false">AVERAGE(TableDE6b!L54:L63)</f>
        <v>0.0858476747870164</v>
      </c>
      <c r="I53" s="1050" t="n">
        <f aca="false">AVERAGE(TableDE6b!M54:M63)</f>
        <v>0.000686572444077745</v>
      </c>
      <c r="J53" s="1320" t="e">
        <f aca="false">D53/B53</f>
        <v>#DIV/0!</v>
      </c>
      <c r="K53" s="840" t="e">
        <f aca="false">G53/B53</f>
        <v>#DIV/0!</v>
      </c>
    </row>
    <row r="54" customFormat="false" ht="12" hidden="true" customHeight="false" outlineLevel="0" collapsed="false">
      <c r="A54" s="76"/>
      <c r="B54" s="1317"/>
      <c r="C54" s="855"/>
      <c r="D54" s="1318" t="n">
        <f aca="false">E54-F54</f>
        <v>0</v>
      </c>
      <c r="E54" s="514"/>
      <c r="F54" s="1319"/>
      <c r="G54" s="1054" t="n">
        <f aca="false">H54-I54</f>
        <v>0.0452512953998764</v>
      </c>
      <c r="H54" s="1050" t="n">
        <f aca="false">AVERAGE(TableDE6b!L55:L64)</f>
        <v>0.0557935725310274</v>
      </c>
      <c r="I54" s="1050" t="n">
        <f aca="false">AVERAGE(TableDE6b!M55:M64)</f>
        <v>0.010542277131151</v>
      </c>
      <c r="J54" s="1320" t="e">
        <f aca="false">D54/B54</f>
        <v>#DIV/0!</v>
      </c>
      <c r="K54" s="840" t="e">
        <f aca="false">G54/B54</f>
        <v>#DIV/0!</v>
      </c>
    </row>
    <row r="55" customFormat="false" ht="12" hidden="true" customHeight="false" outlineLevel="0" collapsed="false">
      <c r="A55" s="76"/>
      <c r="B55" s="1317"/>
      <c r="C55" s="855"/>
      <c r="D55" s="1318" t="n">
        <f aca="false">E55-F55</f>
        <v>0</v>
      </c>
      <c r="E55" s="514"/>
      <c r="F55" s="1319"/>
      <c r="G55" s="1054" t="n">
        <f aca="false">H55-I55</f>
        <v>0.018894418903246</v>
      </c>
      <c r="H55" s="1050" t="n">
        <f aca="false">AVERAGE(TableDE6b!L56:L65)</f>
        <v>0.0393773345859106</v>
      </c>
      <c r="I55" s="1050" t="n">
        <f aca="false">AVERAGE(TableDE6b!M56:M65)</f>
        <v>0.0204829156826645</v>
      </c>
      <c r="J55" s="1320" t="e">
        <f aca="false">D55/B55</f>
        <v>#DIV/0!</v>
      </c>
      <c r="K55" s="840" t="e">
        <f aca="false">G55/B55</f>
        <v>#DIV/0!</v>
      </c>
    </row>
    <row r="56" customFormat="false" ht="12" hidden="true" customHeight="false" outlineLevel="0" collapsed="false">
      <c r="A56" s="76"/>
      <c r="B56" s="1317"/>
      <c r="C56" s="855"/>
      <c r="D56" s="1318" t="n">
        <f aca="false">E56-F56</f>
        <v>0</v>
      </c>
      <c r="E56" s="514"/>
      <c r="F56" s="1319"/>
      <c r="G56" s="1054" t="n">
        <f aca="false">H56-I56</f>
        <v>-0.00178611795160213</v>
      </c>
      <c r="H56" s="1050" t="n">
        <f aca="false">AVERAGE(TableDE6b!L57:L66)</f>
        <v>0.0359590577535145</v>
      </c>
      <c r="I56" s="1050" t="n">
        <f aca="false">AVERAGE(TableDE6b!M57:M66)</f>
        <v>0.0377451757051167</v>
      </c>
      <c r="J56" s="1320" t="e">
        <f aca="false">D56/B56</f>
        <v>#DIV/0!</v>
      </c>
      <c r="K56" s="840" t="e">
        <f aca="false">G56/B56</f>
        <v>#DIV/0!</v>
      </c>
    </row>
    <row r="57" customFormat="false" ht="12" hidden="true" customHeight="false" outlineLevel="0" collapsed="false">
      <c r="A57" s="76"/>
      <c r="B57" s="1317"/>
      <c r="C57" s="855"/>
      <c r="D57" s="1318" t="n">
        <f aca="false">E57-F57</f>
        <v>0</v>
      </c>
      <c r="E57" s="514"/>
      <c r="F57" s="1319"/>
      <c r="G57" s="1054" t="n">
        <f aca="false">H57-I57</f>
        <v>-0.0176901360898168</v>
      </c>
      <c r="H57" s="1050" t="n">
        <f aca="false">AVERAGE(TableDE6b!L58:L67)</f>
        <v>0.0416537291268978</v>
      </c>
      <c r="I57" s="1050" t="n">
        <f aca="false">AVERAGE(TableDE6b!M58:M67)</f>
        <v>0.0593438652167146</v>
      </c>
      <c r="J57" s="1320" t="e">
        <f aca="false">D57/B57</f>
        <v>#DIV/0!</v>
      </c>
      <c r="K57" s="840" t="e">
        <f aca="false">G57/B57</f>
        <v>#DIV/0!</v>
      </c>
    </row>
    <row r="58" customFormat="false" ht="12" hidden="true" customHeight="false" outlineLevel="0" collapsed="false">
      <c r="A58" s="76"/>
      <c r="B58" s="1317"/>
      <c r="C58" s="855"/>
      <c r="D58" s="1318" t="n">
        <f aca="false">E58-F58</f>
        <v>0</v>
      </c>
      <c r="E58" s="514"/>
      <c r="F58" s="1319"/>
      <c r="G58" s="1054" t="n">
        <f aca="false">H58-I58</f>
        <v>-0.033708012987334</v>
      </c>
      <c r="H58" s="1050" t="n">
        <f aca="false">AVERAGE(TableDE6b!L59:L68)</f>
        <v>0.0519247341604203</v>
      </c>
      <c r="I58" s="1050" t="n">
        <f aca="false">AVERAGE(TableDE6b!M59:M68)</f>
        <v>0.0856327471477543</v>
      </c>
      <c r="J58" s="1320" t="e">
        <f aca="false">D58/B58</f>
        <v>#DIV/0!</v>
      </c>
      <c r="K58" s="840" t="e">
        <f aca="false">G58/B58</f>
        <v>#DIV/0!</v>
      </c>
    </row>
    <row r="59" s="1330" customFormat="true" ht="12" hidden="false" customHeight="false" outlineLevel="0" collapsed="false">
      <c r="A59" s="76" t="n">
        <v>1920</v>
      </c>
      <c r="B59" s="1317" t="n">
        <f aca="false">D59+C59</f>
        <v>3.37683867891839</v>
      </c>
      <c r="C59" s="855" t="n">
        <f aca="false">TableDE2!N60</f>
        <v>2.67399642351853</v>
      </c>
      <c r="D59" s="1318" t="n">
        <f aca="false">E59-F59</f>
        <v>0.702842255399858</v>
      </c>
      <c r="E59" s="514" t="n">
        <f aca="false">AVERAGE(TableDE6a!G60:G69)+AVERAGE(TableDE6a!H60:H69)</f>
        <v>0.900010473868725</v>
      </c>
      <c r="F59" s="1319" t="n">
        <f aca="false">AVERAGE(TableDE6a!I60:I69)</f>
        <v>0.197168218468868</v>
      </c>
      <c r="G59" s="1054" t="n">
        <f aca="false">H59-I59</f>
        <v>-0.0536973148253931</v>
      </c>
      <c r="H59" s="1050" t="n">
        <f aca="false">AVERAGE(TableDE6b!L60:L69)</f>
        <v>0.0626066504151769</v>
      </c>
      <c r="I59" s="1050" t="n">
        <f aca="false">AVERAGE(TableDE6b!M60:M69)</f>
        <v>0.11630396524057</v>
      </c>
      <c r="J59" s="1320" t="n">
        <f aca="false">D59/B59</f>
        <v>0.208136165872448</v>
      </c>
      <c r="K59" s="840" t="n">
        <f aca="false">G59/B59</f>
        <v>-0.0159016523829301</v>
      </c>
      <c r="L59" s="1329"/>
      <c r="M59" s="1329"/>
      <c r="N59" s="1329"/>
      <c r="O59" s="1329"/>
      <c r="P59" s="1329"/>
      <c r="Q59" s="1329"/>
      <c r="R59" s="1329"/>
      <c r="S59" s="1329"/>
      <c r="T59" s="1329"/>
      <c r="U59" s="1329"/>
      <c r="V59" s="1329"/>
      <c r="W59" s="1329"/>
      <c r="X59" s="1329"/>
      <c r="Y59" s="1329"/>
      <c r="Z59" s="1329"/>
    </row>
    <row r="60" s="1330" customFormat="true" ht="12" hidden="true" customHeight="false" outlineLevel="0" collapsed="false">
      <c r="A60" s="76"/>
      <c r="B60" s="1317"/>
      <c r="C60" s="855"/>
      <c r="D60" s="1318" t="n">
        <f aca="false">E60-F60</f>
        <v>0</v>
      </c>
      <c r="E60" s="514"/>
      <c r="F60" s="1319"/>
      <c r="G60" s="1054" t="n">
        <f aca="false">H60-I60</f>
        <v>-0.0849796380929581</v>
      </c>
      <c r="H60" s="1050" t="n">
        <f aca="false">AVERAGE(TableDE6b!L61:L70)</f>
        <v>0.0741573586054241</v>
      </c>
      <c r="I60" s="1050" t="n">
        <f aca="false">AVERAGE(TableDE6b!M61:M70)</f>
        <v>0.159136996698382</v>
      </c>
      <c r="J60" s="1320" t="e">
        <f aca="false">D60/B60</f>
        <v>#DIV/0!</v>
      </c>
      <c r="K60" s="840" t="e">
        <f aca="false">G60/B60</f>
        <v>#DIV/0!</v>
      </c>
      <c r="L60" s="1329"/>
      <c r="M60" s="1329"/>
      <c r="N60" s="1329"/>
      <c r="O60" s="1329"/>
      <c r="P60" s="1329"/>
      <c r="Q60" s="1329"/>
      <c r="R60" s="1329"/>
      <c r="S60" s="1329"/>
      <c r="T60" s="1329"/>
      <c r="U60" s="1329"/>
      <c r="V60" s="1329"/>
      <c r="W60" s="1329"/>
      <c r="X60" s="1329"/>
      <c r="Y60" s="1329"/>
      <c r="Z60" s="1329"/>
    </row>
    <row r="61" s="1330" customFormat="true" ht="12" hidden="true" customHeight="false" outlineLevel="0" collapsed="false">
      <c r="A61" s="76"/>
      <c r="B61" s="1317"/>
      <c r="C61" s="855"/>
      <c r="D61" s="1318" t="n">
        <f aca="false">E61-F61</f>
        <v>0</v>
      </c>
      <c r="E61" s="514"/>
      <c r="F61" s="1319"/>
      <c r="G61" s="1054" t="n">
        <f aca="false">H61-I61</f>
        <v>-0.121290658369776</v>
      </c>
      <c r="H61" s="1050" t="n">
        <f aca="false">AVERAGE(TableDE6b!L62:L71)</f>
        <v>0.0806484754376607</v>
      </c>
      <c r="I61" s="1050" t="n">
        <f aca="false">AVERAGE(TableDE6b!M62:M71)</f>
        <v>0.201939133807437</v>
      </c>
      <c r="J61" s="1320" t="e">
        <f aca="false">D61/B61</f>
        <v>#DIV/0!</v>
      </c>
      <c r="K61" s="840" t="e">
        <f aca="false">G61/B61</f>
        <v>#DIV/0!</v>
      </c>
      <c r="L61" s="1329"/>
      <c r="M61" s="1329"/>
      <c r="N61" s="1329"/>
      <c r="O61" s="1329"/>
      <c r="P61" s="1329"/>
      <c r="Q61" s="1329"/>
      <c r="R61" s="1329"/>
      <c r="S61" s="1329"/>
      <c r="T61" s="1329"/>
      <c r="U61" s="1329"/>
      <c r="V61" s="1329"/>
      <c r="W61" s="1329"/>
      <c r="X61" s="1329"/>
      <c r="Y61" s="1329"/>
      <c r="Z61" s="1329"/>
    </row>
    <row r="62" s="1330" customFormat="true" ht="12" hidden="true" customHeight="false" outlineLevel="0" collapsed="false">
      <c r="A62" s="76"/>
      <c r="B62" s="1317"/>
      <c r="C62" s="855"/>
      <c r="D62" s="1318" t="n">
        <f aca="false">E62-F62</f>
        <v>0</v>
      </c>
      <c r="E62" s="514"/>
      <c r="F62" s="1319"/>
      <c r="G62" s="1054" t="n">
        <f aca="false">H62-I62</f>
        <v>-0.165650676459021</v>
      </c>
      <c r="H62" s="1050" t="n">
        <f aca="false">AVERAGE(TableDE6b!L63:L72)</f>
        <v>0.0829224547267052</v>
      </c>
      <c r="I62" s="1050" t="n">
        <f aca="false">AVERAGE(TableDE6b!M63:M72)</f>
        <v>0.248573131185726</v>
      </c>
      <c r="J62" s="1320" t="e">
        <f aca="false">D62/B62</f>
        <v>#DIV/0!</v>
      </c>
      <c r="K62" s="840" t="e">
        <f aca="false">G62/B62</f>
        <v>#DIV/0!</v>
      </c>
      <c r="L62" s="1329"/>
      <c r="M62" s="1329"/>
      <c r="N62" s="1329"/>
      <c r="O62" s="1329"/>
      <c r="P62" s="1329"/>
      <c r="Q62" s="1329"/>
      <c r="R62" s="1329"/>
      <c r="S62" s="1329"/>
      <c r="T62" s="1329"/>
      <c r="U62" s="1329"/>
      <c r="V62" s="1329"/>
      <c r="W62" s="1329"/>
      <c r="X62" s="1329"/>
      <c r="Y62" s="1329"/>
      <c r="Z62" s="1329"/>
    </row>
    <row r="63" s="1330" customFormat="true" ht="12" hidden="true" customHeight="false" outlineLevel="0" collapsed="false">
      <c r="A63" s="76"/>
      <c r="B63" s="1317"/>
      <c r="C63" s="855"/>
      <c r="D63" s="1318" t="n">
        <f aca="false">E63-F63</f>
        <v>0</v>
      </c>
      <c r="E63" s="514"/>
      <c r="F63" s="1319"/>
      <c r="G63" s="1054" t="n">
        <f aca="false">H63-I63</f>
        <v>-0.20099616393219</v>
      </c>
      <c r="H63" s="1050" t="n">
        <f aca="false">AVERAGE(TableDE6b!L64:L73)</f>
        <v>0.0829224547265375</v>
      </c>
      <c r="I63" s="1050" t="n">
        <f aca="false">AVERAGE(TableDE6b!M64:M73)</f>
        <v>0.283918618658728</v>
      </c>
      <c r="J63" s="1320" t="e">
        <f aca="false">D63/B63</f>
        <v>#DIV/0!</v>
      </c>
      <c r="K63" s="840" t="e">
        <f aca="false">G63/B63</f>
        <v>#DIV/0!</v>
      </c>
      <c r="L63" s="1329"/>
      <c r="M63" s="1329"/>
      <c r="N63" s="1329"/>
      <c r="O63" s="1329"/>
      <c r="P63" s="1329"/>
      <c r="Q63" s="1329"/>
      <c r="R63" s="1329"/>
      <c r="S63" s="1329"/>
      <c r="T63" s="1329"/>
      <c r="U63" s="1329"/>
      <c r="V63" s="1329"/>
      <c r="W63" s="1329"/>
      <c r="X63" s="1329"/>
      <c r="Y63" s="1329"/>
      <c r="Z63" s="1329"/>
    </row>
    <row r="64" s="1330" customFormat="true" ht="12" hidden="true" customHeight="false" outlineLevel="0" collapsed="false">
      <c r="A64" s="76"/>
      <c r="B64" s="1317"/>
      <c r="C64" s="855"/>
      <c r="D64" s="1318" t="n">
        <f aca="false">E64-F64</f>
        <v>0</v>
      </c>
      <c r="E64" s="514"/>
      <c r="F64" s="1319"/>
      <c r="G64" s="1054" t="n">
        <f aca="false">H64-I64</f>
        <v>-0.230590120861471</v>
      </c>
      <c r="H64" s="1050" t="n">
        <f aca="false">AVERAGE(TableDE6b!L65:L74)</f>
        <v>0.073252135655459</v>
      </c>
      <c r="I64" s="1050" t="n">
        <f aca="false">AVERAGE(TableDE6b!M65:M74)</f>
        <v>0.30384225651693</v>
      </c>
      <c r="J64" s="1320" t="e">
        <f aca="false">D64/B64</f>
        <v>#DIV/0!</v>
      </c>
      <c r="K64" s="840" t="e">
        <f aca="false">G64/B64</f>
        <v>#DIV/0!</v>
      </c>
      <c r="L64" s="1329"/>
      <c r="M64" s="1329"/>
      <c r="N64" s="1329"/>
      <c r="O64" s="1329"/>
      <c r="P64" s="1329"/>
      <c r="Q64" s="1329"/>
      <c r="R64" s="1329"/>
      <c r="S64" s="1329"/>
      <c r="T64" s="1329"/>
      <c r="U64" s="1329"/>
      <c r="V64" s="1329"/>
      <c r="W64" s="1329"/>
      <c r="X64" s="1329"/>
      <c r="Y64" s="1329"/>
      <c r="Z64" s="1329"/>
    </row>
    <row r="65" s="1330" customFormat="true" ht="12" hidden="true" customHeight="false" outlineLevel="0" collapsed="false">
      <c r="A65" s="76"/>
      <c r="B65" s="1317"/>
      <c r="C65" s="855"/>
      <c r="D65" s="1318" t="n">
        <f aca="false">E65-F65</f>
        <v>0</v>
      </c>
      <c r="E65" s="514"/>
      <c r="F65" s="1319"/>
      <c r="G65" s="1054" t="n">
        <f aca="false">H65-I65</f>
        <v>-0.255441975814224</v>
      </c>
      <c r="H65" s="1050" t="n">
        <f aca="false">AVERAGE(TableDE6b!L66:L75)</f>
        <v>0.0637694151946102</v>
      </c>
      <c r="I65" s="1050" t="n">
        <f aca="false">AVERAGE(TableDE6b!M66:M75)</f>
        <v>0.319211391008835</v>
      </c>
      <c r="J65" s="1320" t="e">
        <f aca="false">D65/B65</f>
        <v>#DIV/0!</v>
      </c>
      <c r="K65" s="840" t="e">
        <f aca="false">G65/B65</f>
        <v>#DIV/0!</v>
      </c>
      <c r="L65" s="1329"/>
      <c r="M65" s="1329"/>
      <c r="N65" s="1329"/>
      <c r="O65" s="1329"/>
      <c r="P65" s="1329"/>
      <c r="Q65" s="1329"/>
      <c r="R65" s="1329"/>
      <c r="S65" s="1329"/>
      <c r="T65" s="1329"/>
      <c r="U65" s="1329"/>
      <c r="V65" s="1329"/>
      <c r="W65" s="1329"/>
      <c r="X65" s="1329"/>
      <c r="Y65" s="1329"/>
      <c r="Z65" s="1329"/>
    </row>
    <row r="66" s="1330" customFormat="true" ht="12" hidden="true" customHeight="false" outlineLevel="0" collapsed="false">
      <c r="A66" s="76"/>
      <c r="B66" s="1317"/>
      <c r="C66" s="855"/>
      <c r="D66" s="1318" t="n">
        <f aca="false">E66-F66</f>
        <v>0</v>
      </c>
      <c r="E66" s="514"/>
      <c r="F66" s="1319"/>
      <c r="G66" s="1054" t="n">
        <f aca="false">H66-I66</f>
        <v>-0.269161883774965</v>
      </c>
      <c r="H66" s="1050" t="n">
        <f aca="false">AVERAGE(TableDE6b!L67:L76)</f>
        <v>0.0532940266339769</v>
      </c>
      <c r="I66" s="1050" t="n">
        <f aca="false">AVERAGE(TableDE6b!M67:M76)</f>
        <v>0.322455910408942</v>
      </c>
      <c r="J66" s="1320" t="e">
        <f aca="false">D66/B66</f>
        <v>#DIV/0!</v>
      </c>
      <c r="K66" s="840" t="e">
        <f aca="false">G66/B66</f>
        <v>#DIV/0!</v>
      </c>
      <c r="L66" s="1329"/>
      <c r="M66" s="1329"/>
      <c r="N66" s="1329"/>
      <c r="O66" s="1329"/>
      <c r="P66" s="1329"/>
      <c r="Q66" s="1329"/>
      <c r="R66" s="1329"/>
      <c r="S66" s="1329"/>
      <c r="T66" s="1329"/>
      <c r="U66" s="1329"/>
      <c r="V66" s="1329"/>
      <c r="W66" s="1329"/>
      <c r="X66" s="1329"/>
      <c r="Y66" s="1329"/>
      <c r="Z66" s="1329"/>
    </row>
    <row r="67" s="1330" customFormat="true" ht="12" hidden="true" customHeight="false" outlineLevel="0" collapsed="false">
      <c r="A67" s="76"/>
      <c r="B67" s="1317"/>
      <c r="C67" s="855"/>
      <c r="D67" s="1318" t="n">
        <f aca="false">E67-F67</f>
        <v>0</v>
      </c>
      <c r="E67" s="514"/>
      <c r="F67" s="1319"/>
      <c r="G67" s="1054" t="n">
        <f aca="false">H67-I67</f>
        <v>-0.275149743699593</v>
      </c>
      <c r="H67" s="1050" t="n">
        <f aca="false">AVERAGE(TableDE6b!L68:L77)</f>
        <v>0.0428219347495658</v>
      </c>
      <c r="I67" s="1050" t="n">
        <f aca="false">AVERAGE(TableDE6b!M68:M77)</f>
        <v>0.317971678449159</v>
      </c>
      <c r="J67" s="1320" t="e">
        <f aca="false">D67/B67</f>
        <v>#DIV/0!</v>
      </c>
      <c r="K67" s="840" t="e">
        <f aca="false">G67/B67</f>
        <v>#DIV/0!</v>
      </c>
      <c r="L67" s="1329"/>
      <c r="M67" s="1329"/>
      <c r="N67" s="1329"/>
      <c r="O67" s="1329"/>
      <c r="P67" s="1329"/>
      <c r="Q67" s="1329"/>
      <c r="R67" s="1329"/>
      <c r="S67" s="1329"/>
      <c r="T67" s="1329"/>
      <c r="U67" s="1329"/>
      <c r="V67" s="1329"/>
      <c r="W67" s="1329"/>
      <c r="X67" s="1329"/>
      <c r="Y67" s="1329"/>
      <c r="Z67" s="1329"/>
    </row>
    <row r="68" s="1330" customFormat="true" ht="12" hidden="true" customHeight="false" outlineLevel="0" collapsed="false">
      <c r="A68" s="76"/>
      <c r="B68" s="1317"/>
      <c r="C68" s="855"/>
      <c r="D68" s="1318" t="n">
        <f aca="false">E68-F68</f>
        <v>0</v>
      </c>
      <c r="E68" s="514"/>
      <c r="F68" s="1319"/>
      <c r="G68" s="1054" t="n">
        <f aca="false">H68-I68</f>
        <v>-0.273870111841375</v>
      </c>
      <c r="H68" s="1050" t="n">
        <f aca="false">AVERAGE(TableDE6b!L69:L78)</f>
        <v>0.0325509297160433</v>
      </c>
      <c r="I68" s="1050" t="n">
        <f aca="false">AVERAGE(TableDE6b!M69:M78)</f>
        <v>0.306421041557419</v>
      </c>
      <c r="J68" s="1320" t="e">
        <f aca="false">D68/B68</f>
        <v>#DIV/0!</v>
      </c>
      <c r="K68" s="840" t="e">
        <f aca="false">G68/B68</f>
        <v>#DIV/0!</v>
      </c>
      <c r="L68" s="1329"/>
      <c r="M68" s="1329"/>
      <c r="N68" s="1329"/>
      <c r="O68" s="1329"/>
      <c r="P68" s="1329"/>
      <c r="Q68" s="1329"/>
      <c r="R68" s="1329"/>
      <c r="S68" s="1329"/>
      <c r="T68" s="1329"/>
      <c r="U68" s="1329"/>
      <c r="V68" s="1329"/>
      <c r="W68" s="1329"/>
      <c r="X68" s="1329"/>
      <c r="Y68" s="1329"/>
      <c r="Z68" s="1329"/>
    </row>
    <row r="69" s="1330" customFormat="true" ht="12" hidden="false" customHeight="false" outlineLevel="0" collapsed="false">
      <c r="A69" s="447" t="n">
        <v>1930</v>
      </c>
      <c r="B69" s="1317" t="n">
        <f aca="false">D69+C69</f>
        <v>3.52271318442116</v>
      </c>
      <c r="C69" s="855" t="n">
        <f aca="false">TableDE2!N70</f>
        <v>3.02305123417686</v>
      </c>
      <c r="D69" s="1318" t="n">
        <f aca="false">E69-F69</f>
        <v>0.499661950244302</v>
      </c>
      <c r="E69" s="514" t="n">
        <f aca="false">AVERAGE(TableDE6a!G70:G79)+AVERAGE(TableDE6a!H70:H79)</f>
        <v>0.941075854906335</v>
      </c>
      <c r="F69" s="1319" t="n">
        <f aca="false">AVERAGE(TableDE6a!I70:I79)</f>
        <v>0.441413904662033</v>
      </c>
      <c r="G69" s="1054" t="n">
        <f aca="false">H69-I69</f>
        <v>-0.266688038165545</v>
      </c>
      <c r="H69" s="1050" t="n">
        <f aca="false">AVERAGE(TableDE6b!L70:L79)</f>
        <v>0.0212639214578871</v>
      </c>
      <c r="I69" s="1050" t="n">
        <f aca="false">AVERAGE(TableDE6b!M70:M79)</f>
        <v>0.287951959623432</v>
      </c>
      <c r="J69" s="1320" t="n">
        <f aca="false">D69/B69</f>
        <v>0.14184008861522</v>
      </c>
      <c r="K69" s="840" t="n">
        <f aca="false">G69/B69</f>
        <v>-0.0757052942444892</v>
      </c>
    </row>
    <row r="70" s="1330" customFormat="true" ht="12" hidden="true" customHeight="false" outlineLevel="0" collapsed="false">
      <c r="A70" s="447"/>
      <c r="B70" s="1317"/>
      <c r="C70" s="855"/>
      <c r="D70" s="1318" t="n">
        <f aca="false">E70-F70</f>
        <v>0</v>
      </c>
      <c r="E70" s="514"/>
      <c r="F70" s="1319"/>
      <c r="G70" s="1054" t="n">
        <f aca="false">H70-I70</f>
        <v>-0.245462224383747</v>
      </c>
      <c r="H70" s="1050" t="n">
        <f aca="false">AVERAGE(TableDE6b!L71:L80)</f>
        <v>0.00927248980361768</v>
      </c>
      <c r="I70" s="1050" t="n">
        <f aca="false">AVERAGE(TableDE6b!M71:M80)</f>
        <v>0.254734714187365</v>
      </c>
      <c r="J70" s="1320" t="e">
        <f aca="false">D70/B70</f>
        <v>#DIV/0!</v>
      </c>
      <c r="K70" s="840" t="e">
        <f aca="false">G70/B70</f>
        <v>#DIV/0!</v>
      </c>
    </row>
    <row r="71" s="1330" customFormat="true" ht="12" hidden="true" customHeight="false" outlineLevel="0" collapsed="false">
      <c r="A71" s="447"/>
      <c r="B71" s="1317"/>
      <c r="C71" s="855"/>
      <c r="D71" s="1318" t="n">
        <f aca="false">E71-F71</f>
        <v>0</v>
      </c>
      <c r="E71" s="514"/>
      <c r="F71" s="1319"/>
      <c r="G71" s="1054" t="n">
        <f aca="false">H71-I71</f>
        <v>-0.22100794816754</v>
      </c>
      <c r="H71" s="1050" t="n">
        <f aca="false">AVERAGE(TableDE6b!L72:L81)</f>
        <v>0.00230706934043421</v>
      </c>
      <c r="I71" s="1050" t="n">
        <f aca="false">AVERAGE(TableDE6b!M72:M81)</f>
        <v>0.223315017507975</v>
      </c>
      <c r="J71" s="1320" t="e">
        <f aca="false">D71/B71</f>
        <v>#DIV/0!</v>
      </c>
      <c r="K71" s="840" t="e">
        <f aca="false">G71/B71</f>
        <v>#DIV/0!</v>
      </c>
    </row>
    <row r="72" s="1330" customFormat="true" ht="12" hidden="true" customHeight="false" outlineLevel="0" collapsed="false">
      <c r="A72" s="447"/>
      <c r="B72" s="1317"/>
      <c r="C72" s="855"/>
      <c r="D72" s="1318" t="n">
        <f aca="false">E72-F72</f>
        <v>0</v>
      </c>
      <c r="E72" s="514"/>
      <c r="F72" s="1319"/>
      <c r="G72" s="1054" t="n">
        <f aca="false">H72-I72</f>
        <v>-0.192301286128421</v>
      </c>
      <c r="H72" s="1050" t="n">
        <f aca="false">AVERAGE(TableDE6b!L73:L82)</f>
        <v>0</v>
      </c>
      <c r="I72" s="1050" t="n">
        <f aca="false">AVERAGE(TableDE6b!M73:M82)</f>
        <v>0.192301286128421</v>
      </c>
      <c r="J72" s="1320" t="e">
        <f aca="false">D72/B72</f>
        <v>#DIV/0!</v>
      </c>
      <c r="K72" s="840" t="e">
        <f aca="false">G72/B72</f>
        <v>#DIV/0!</v>
      </c>
    </row>
    <row r="73" s="1330" customFormat="true" ht="12" hidden="true" customHeight="false" outlineLevel="0" collapsed="false">
      <c r="A73" s="447"/>
      <c r="B73" s="1317"/>
      <c r="C73" s="855"/>
      <c r="D73" s="1318" t="n">
        <f aca="false">E73-F73</f>
        <v>0</v>
      </c>
      <c r="E73" s="514"/>
      <c r="F73" s="1319"/>
      <c r="G73" s="1054" t="n">
        <f aca="false">H73-I73</f>
        <v>-0.177038465990355</v>
      </c>
      <c r="H73" s="1050" t="n">
        <f aca="false">AVERAGE(TableDE6b!L74:L83)</f>
        <v>0</v>
      </c>
      <c r="I73" s="1050" t="n">
        <f aca="false">AVERAGE(TableDE6b!M74:M83)</f>
        <v>0.177038465990355</v>
      </c>
      <c r="J73" s="1320" t="e">
        <f aca="false">D73/B73</f>
        <v>#DIV/0!</v>
      </c>
      <c r="K73" s="840" t="e">
        <f aca="false">G73/B73</f>
        <v>#DIV/0!</v>
      </c>
    </row>
    <row r="74" s="1330" customFormat="true" ht="12" hidden="true" customHeight="false" outlineLevel="0" collapsed="false">
      <c r="A74" s="447"/>
      <c r="B74" s="1317"/>
      <c r="C74" s="855"/>
      <c r="D74" s="1318" t="n">
        <f aca="false">E74-F74</f>
        <v>0</v>
      </c>
      <c r="E74" s="514"/>
      <c r="F74" s="1319"/>
      <c r="G74" s="1054" t="n">
        <f aca="false">H74-I74</f>
        <v>-0.173668291299472</v>
      </c>
      <c r="H74" s="1050" t="n">
        <f aca="false">AVERAGE(TableDE6b!L75:L84)</f>
        <v>0</v>
      </c>
      <c r="I74" s="1050" t="n">
        <f aca="false">AVERAGE(TableDE6b!M75:M84)</f>
        <v>0.173668291299472</v>
      </c>
      <c r="J74" s="1320" t="e">
        <f aca="false">D74/B74</f>
        <v>#DIV/0!</v>
      </c>
      <c r="K74" s="840" t="e">
        <f aca="false">G74/B74</f>
        <v>#DIV/0!</v>
      </c>
    </row>
    <row r="75" s="1330" customFormat="true" ht="12" hidden="true" customHeight="false" outlineLevel="0" collapsed="false">
      <c r="A75" s="447"/>
      <c r="B75" s="1317"/>
      <c r="C75" s="855"/>
      <c r="D75" s="1318" t="n">
        <f aca="false">E75-F75</f>
        <v>0</v>
      </c>
      <c r="E75" s="514"/>
      <c r="F75" s="1319"/>
      <c r="G75" s="1054" t="n">
        <f aca="false">H75-I75</f>
        <v>-0.174094624938384</v>
      </c>
      <c r="H75" s="1050" t="n">
        <f aca="false">AVERAGE(TableDE6b!L76:L85)</f>
        <v>0</v>
      </c>
      <c r="I75" s="1050" t="n">
        <f aca="false">AVERAGE(TableDE6b!M76:M85)</f>
        <v>0.174094624938384</v>
      </c>
      <c r="J75" s="1320" t="e">
        <f aca="false">D75/B75</f>
        <v>#DIV/0!</v>
      </c>
      <c r="K75" s="840" t="e">
        <f aca="false">G75/B75</f>
        <v>#DIV/0!</v>
      </c>
    </row>
    <row r="76" s="1330" customFormat="true" ht="12" hidden="true" customHeight="false" outlineLevel="0" collapsed="false">
      <c r="A76" s="447"/>
      <c r="B76" s="1317"/>
      <c r="C76" s="855"/>
      <c r="D76" s="1318" t="n">
        <f aca="false">E76-F76</f>
        <v>0</v>
      </c>
      <c r="E76" s="514"/>
      <c r="F76" s="1319"/>
      <c r="G76" s="1054" t="n">
        <f aca="false">H76-I76</f>
        <v>-0.17865089102609</v>
      </c>
      <c r="H76" s="1050" t="n">
        <f aca="false">AVERAGE(TableDE6b!L77:L86)</f>
        <v>0</v>
      </c>
      <c r="I76" s="1050" t="n">
        <f aca="false">AVERAGE(TableDE6b!M77:M86)</f>
        <v>0.17865089102609</v>
      </c>
      <c r="J76" s="1320" t="e">
        <f aca="false">D76/B76</f>
        <v>#DIV/0!</v>
      </c>
      <c r="K76" s="840" t="e">
        <f aca="false">G76/B76</f>
        <v>#DIV/0!</v>
      </c>
    </row>
    <row r="77" s="1330" customFormat="true" ht="12" hidden="true" customHeight="false" outlineLevel="0" collapsed="false">
      <c r="A77" s="447"/>
      <c r="B77" s="1317"/>
      <c r="C77" s="855"/>
      <c r="D77" s="1318" t="n">
        <f aca="false">E77-F77</f>
        <v>0</v>
      </c>
      <c r="E77" s="514"/>
      <c r="F77" s="1319"/>
      <c r="G77" s="1054" t="n">
        <f aca="false">H77-I77</f>
        <v>-0.185926417812477</v>
      </c>
      <c r="H77" s="1050" t="n">
        <f aca="false">AVERAGE(TableDE6b!L78:L87)</f>
        <v>0</v>
      </c>
      <c r="I77" s="1050" t="n">
        <f aca="false">AVERAGE(TableDE6b!M78:M87)</f>
        <v>0.185926417812477</v>
      </c>
      <c r="J77" s="1320" t="e">
        <f aca="false">D77/B77</f>
        <v>#DIV/0!</v>
      </c>
      <c r="K77" s="840" t="e">
        <f aca="false">G77/B77</f>
        <v>#DIV/0!</v>
      </c>
    </row>
    <row r="78" s="1330" customFormat="true" ht="12" hidden="true" customHeight="false" outlineLevel="0" collapsed="false">
      <c r="A78" s="447"/>
      <c r="B78" s="1317"/>
      <c r="C78" s="855"/>
      <c r="D78" s="1318" t="n">
        <f aca="false">E78-F78</f>
        <v>0</v>
      </c>
      <c r="E78" s="514"/>
      <c r="F78" s="1319"/>
      <c r="G78" s="1054" t="n">
        <f aca="false">H78-I78</f>
        <v>-0.194905095939316</v>
      </c>
      <c r="H78" s="1050" t="n">
        <f aca="false">AVERAGE(TableDE6b!L79:L88)</f>
        <v>0</v>
      </c>
      <c r="I78" s="1050" t="n">
        <f aca="false">AVERAGE(TableDE6b!M79:M88)</f>
        <v>0.194905095939316</v>
      </c>
      <c r="J78" s="1320" t="e">
        <f aca="false">D78/B78</f>
        <v>#DIV/0!</v>
      </c>
      <c r="K78" s="840" t="e">
        <f aca="false">G78/B78</f>
        <v>#DIV/0!</v>
      </c>
    </row>
    <row r="79" s="1330" customFormat="true" ht="12" hidden="false" customHeight="false" outlineLevel="0" collapsed="false">
      <c r="A79" s="76" t="n">
        <v>1940</v>
      </c>
      <c r="B79" s="1317" t="n">
        <f aca="false">D79+C79</f>
        <v>2.36872759495815</v>
      </c>
      <c r="C79" s="855" t="n">
        <f aca="false">TableDE2!N80</f>
        <v>2.48694490731312</v>
      </c>
      <c r="D79" s="1318" t="n">
        <f aca="false">E79-F79</f>
        <v>-0.118217312354967</v>
      </c>
      <c r="E79" s="514" t="n">
        <f aca="false">AVERAGE(TableDE6a!G80:G89)+AVERAGE(TableDE6a!H80:H89)</f>
        <v>0.816758105975955</v>
      </c>
      <c r="F79" s="1319" t="n">
        <f aca="false">AVERAGE(TableDE6a!I80:I89)</f>
        <v>0.934975418330922</v>
      </c>
      <c r="G79" s="1054" t="n">
        <f aca="false">H79-I79</f>
        <v>-0.205746821774561</v>
      </c>
      <c r="H79" s="1050" t="n">
        <f aca="false">AVERAGE(TableDE6b!L80:L89)</f>
        <v>0</v>
      </c>
      <c r="I79" s="1050" t="n">
        <f aca="false">AVERAGE(TableDE6b!M80:M89)</f>
        <v>0.205746821774561</v>
      </c>
      <c r="J79" s="1320" t="n">
        <f aca="false">D79/B79</f>
        <v>-0.0499075168485362</v>
      </c>
      <c r="K79" s="840" t="n">
        <f aca="false">G79/B79</f>
        <v>-0.0868596381502433</v>
      </c>
    </row>
    <row r="80" s="1330" customFormat="true" ht="12" hidden="true" customHeight="false" outlineLevel="0" collapsed="false">
      <c r="A80" s="76"/>
      <c r="B80" s="1317"/>
      <c r="C80" s="855"/>
      <c r="D80" s="1318" t="n">
        <f aca="false">E80-F80</f>
        <v>0</v>
      </c>
      <c r="E80" s="514"/>
      <c r="F80" s="1319"/>
      <c r="G80" s="1054" t="n">
        <f aca="false">H80-I80</f>
        <v>-0.215091470152051</v>
      </c>
      <c r="H80" s="1050" t="n">
        <f aca="false">AVERAGE(TableDE6b!L81:L90)</f>
        <v>0.00314086298996448</v>
      </c>
      <c r="I80" s="1050" t="n">
        <f aca="false">AVERAGE(TableDE6b!M81:M90)</f>
        <v>0.218232333142016</v>
      </c>
      <c r="J80" s="1320" t="e">
        <f aca="false">D80/B80</f>
        <v>#DIV/0!</v>
      </c>
      <c r="K80" s="840" t="e">
        <f aca="false">G80/B80</f>
        <v>#DIV/0!</v>
      </c>
    </row>
    <row r="81" s="1330" customFormat="true" ht="12" hidden="true" customHeight="false" outlineLevel="0" collapsed="false">
      <c r="A81" s="76"/>
      <c r="B81" s="1317"/>
      <c r="C81" s="855"/>
      <c r="D81" s="1318" t="n">
        <f aca="false">E81-F81</f>
        <v>0</v>
      </c>
      <c r="E81" s="514"/>
      <c r="F81" s="1319"/>
      <c r="G81" s="1054" t="n">
        <f aca="false">H81-I81</f>
        <v>-0.218903344540714</v>
      </c>
      <c r="H81" s="1050" t="n">
        <f aca="false">AVERAGE(TableDE6b!L82:L91)</f>
        <v>0.0072239278216292</v>
      </c>
      <c r="I81" s="1050" t="n">
        <f aca="false">AVERAGE(TableDE6b!M82:M91)</f>
        <v>0.226127272362343</v>
      </c>
      <c r="J81" s="1320" t="e">
        <f aca="false">D81/B81</f>
        <v>#DIV/0!</v>
      </c>
      <c r="K81" s="840" t="e">
        <f aca="false">G81/B81</f>
        <v>#DIV/0!</v>
      </c>
    </row>
    <row r="82" s="1330" customFormat="true" ht="12" hidden="true" customHeight="false" outlineLevel="0" collapsed="false">
      <c r="A82" s="76"/>
      <c r="B82" s="1317"/>
      <c r="C82" s="855"/>
      <c r="D82" s="1318" t="n">
        <f aca="false">E82-F82</f>
        <v>0</v>
      </c>
      <c r="E82" s="514"/>
      <c r="F82" s="1319"/>
      <c r="G82" s="1054" t="n">
        <f aca="false">H82-I82</f>
        <v>-0.215018293488548</v>
      </c>
      <c r="H82" s="1050" t="n">
        <f aca="false">AVERAGE(TableDE6b!L83:L92)</f>
        <v>0.0128979006897902</v>
      </c>
      <c r="I82" s="1050" t="n">
        <f aca="false">AVERAGE(TableDE6b!M83:M92)</f>
        <v>0.227916194178338</v>
      </c>
      <c r="J82" s="1320" t="e">
        <f aca="false">D82/B82</f>
        <v>#DIV/0!</v>
      </c>
      <c r="K82" s="840" t="e">
        <f aca="false">G82/B82</f>
        <v>#DIV/0!</v>
      </c>
    </row>
    <row r="83" s="1330" customFormat="true" ht="12" hidden="true" customHeight="false" outlineLevel="0" collapsed="false">
      <c r="A83" s="76"/>
      <c r="B83" s="1317"/>
      <c r="C83" s="855"/>
      <c r="D83" s="1318" t="n">
        <f aca="false">E83-F83</f>
        <v>0</v>
      </c>
      <c r="E83" s="514"/>
      <c r="F83" s="1319"/>
      <c r="G83" s="1054" t="n">
        <f aca="false">H83-I83</f>
        <v>-0.202806592806492</v>
      </c>
      <c r="H83" s="1050" t="n">
        <f aca="false">AVERAGE(TableDE6b!L84:L93)</f>
        <v>0.0207556062007523</v>
      </c>
      <c r="I83" s="1050" t="n">
        <f aca="false">AVERAGE(TableDE6b!M84:M93)</f>
        <v>0.223562199007244</v>
      </c>
      <c r="J83" s="1320" t="e">
        <f aca="false">D83/B83</f>
        <v>#DIV/0!</v>
      </c>
      <c r="K83" s="840" t="e">
        <f aca="false">G83/B83</f>
        <v>#DIV/0!</v>
      </c>
    </row>
    <row r="84" s="1330" customFormat="true" ht="12" hidden="true" customHeight="false" outlineLevel="0" collapsed="false">
      <c r="A84" s="76"/>
      <c r="B84" s="1317"/>
      <c r="C84" s="855"/>
      <c r="D84" s="1318" t="n">
        <f aca="false">E84-F84</f>
        <v>0</v>
      </c>
      <c r="E84" s="514"/>
      <c r="F84" s="1319"/>
      <c r="G84" s="1054" t="n">
        <f aca="false">H84-I84</f>
        <v>-0.181041900726033</v>
      </c>
      <c r="H84" s="1050" t="n">
        <f aca="false">AVERAGE(TableDE6b!L85:L94)</f>
        <v>0.0306939169157518</v>
      </c>
      <c r="I84" s="1050" t="n">
        <f aca="false">AVERAGE(TableDE6b!M85:M94)</f>
        <v>0.211735817641785</v>
      </c>
      <c r="J84" s="1320" t="e">
        <f aca="false">D84/B84</f>
        <v>#DIV/0!</v>
      </c>
      <c r="K84" s="840" t="e">
        <f aca="false">G84/B84</f>
        <v>#DIV/0!</v>
      </c>
    </row>
    <row r="85" s="1330" customFormat="true" ht="12" hidden="true" customHeight="false" outlineLevel="0" collapsed="false">
      <c r="A85" s="76"/>
      <c r="B85" s="1317"/>
      <c r="C85" s="855"/>
      <c r="D85" s="1318" t="n">
        <f aca="false">E85-F85</f>
        <v>0</v>
      </c>
      <c r="E85" s="514"/>
      <c r="F85" s="1319"/>
      <c r="G85" s="1054" t="n">
        <f aca="false">H85-I85</f>
        <v>-0.158160593394009</v>
      </c>
      <c r="H85" s="1050" t="n">
        <f aca="false">AVERAGE(TableDE6b!L86:L95)</f>
        <v>0.0414679830245397</v>
      </c>
      <c r="I85" s="1050" t="n">
        <f aca="false">AVERAGE(TableDE6b!M86:M95)</f>
        <v>0.199628576418548</v>
      </c>
      <c r="J85" s="1320" t="e">
        <f aca="false">D85/B85</f>
        <v>#DIV/0!</v>
      </c>
      <c r="K85" s="840" t="e">
        <f aca="false">G85/B85</f>
        <v>#DIV/0!</v>
      </c>
    </row>
    <row r="86" s="1330" customFormat="true" ht="12" hidden="true" customHeight="false" outlineLevel="0" collapsed="false">
      <c r="A86" s="76"/>
      <c r="B86" s="1317"/>
      <c r="C86" s="855"/>
      <c r="D86" s="1318" t="n">
        <f aca="false">E86-F86</f>
        <v>0</v>
      </c>
      <c r="E86" s="514"/>
      <c r="F86" s="1319"/>
      <c r="G86" s="1054" t="n">
        <f aca="false">H86-I86</f>
        <v>-0.134091867162759</v>
      </c>
      <c r="H86" s="1050" t="n">
        <f aca="false">AVERAGE(TableDE6b!L87:L96)</f>
        <v>0.0538566115135501</v>
      </c>
      <c r="I86" s="1050" t="n">
        <f aca="false">AVERAGE(TableDE6b!M87:M96)</f>
        <v>0.187948478676309</v>
      </c>
      <c r="J86" s="1320" t="e">
        <f aca="false">D86/B86</f>
        <v>#DIV/0!</v>
      </c>
      <c r="K86" s="840" t="e">
        <f aca="false">G86/B86</f>
        <v>#DIV/0!</v>
      </c>
    </row>
    <row r="87" s="1330" customFormat="true" ht="12" hidden="true" customHeight="false" outlineLevel="0" collapsed="false">
      <c r="A87" s="76"/>
      <c r="B87" s="1317"/>
      <c r="C87" s="855"/>
      <c r="D87" s="1318" t="n">
        <f aca="false">E87-F87</f>
        <v>0</v>
      </c>
      <c r="E87" s="514"/>
      <c r="F87" s="1319"/>
      <c r="G87" s="1054" t="n">
        <f aca="false">H87-I87</f>
        <v>-0.108141954114715</v>
      </c>
      <c r="H87" s="1050" t="n">
        <f aca="false">AVERAGE(TableDE6b!L88:L97)</f>
        <v>0.0691804341288852</v>
      </c>
      <c r="I87" s="1050" t="n">
        <f aca="false">AVERAGE(TableDE6b!M88:M97)</f>
        <v>0.1773223882436</v>
      </c>
      <c r="J87" s="1320" t="e">
        <f aca="false">D87/B87</f>
        <v>#DIV/0!</v>
      </c>
      <c r="K87" s="840" t="e">
        <f aca="false">G87/B87</f>
        <v>#DIV/0!</v>
      </c>
    </row>
    <row r="88" s="1330" customFormat="true" ht="12" hidden="true" customHeight="false" outlineLevel="0" collapsed="false">
      <c r="A88" s="76"/>
      <c r="B88" s="1317"/>
      <c r="C88" s="855"/>
      <c r="D88" s="1318" t="n">
        <f aca="false">E88-F88</f>
        <v>0</v>
      </c>
      <c r="E88" s="514"/>
      <c r="F88" s="1319"/>
      <c r="G88" s="1054" t="n">
        <f aca="false">H88-I88</f>
        <v>-0.0804560229461709</v>
      </c>
      <c r="H88" s="1050" t="n">
        <f aca="false">AVERAGE(TableDE6b!L89:L98)</f>
        <v>0.0869583516676943</v>
      </c>
      <c r="I88" s="1050" t="n">
        <f aca="false">AVERAGE(TableDE6b!M89:M98)</f>
        <v>0.167414374613865</v>
      </c>
      <c r="J88" s="1320" t="e">
        <f aca="false">D88/B88</f>
        <v>#DIV/0!</v>
      </c>
      <c r="K88" s="840" t="e">
        <f aca="false">G88/B88</f>
        <v>#DIV/0!</v>
      </c>
    </row>
    <row r="89" customFormat="false" ht="12" hidden="false" customHeight="false" outlineLevel="0" collapsed="false">
      <c r="A89" s="447" t="n">
        <v>1950</v>
      </c>
      <c r="B89" s="1317" t="n">
        <f aca="false">D89+C89</f>
        <v>2.29316054823286</v>
      </c>
      <c r="C89" s="855" t="n">
        <f aca="false">TableDE2!N90</f>
        <v>1.65653502548827</v>
      </c>
      <c r="D89" s="1318" t="n">
        <f aca="false">E89-F89</f>
        <v>0.636625522744591</v>
      </c>
      <c r="E89" s="514" t="n">
        <f aca="false">AVERAGE(TableDE6a!G90:G99)+AVERAGE(TableDE6a!H90:H99)</f>
        <v>0.86353342368829</v>
      </c>
      <c r="F89" s="1319" t="n">
        <f aca="false">AVERAGE(TableDE6a!I90:I99)</f>
        <v>0.226907900943699</v>
      </c>
      <c r="G89" s="1054" t="n">
        <f aca="false">H89-I89</f>
        <v>-0.0521259763624146</v>
      </c>
      <c r="H89" s="1050" t="n">
        <f aca="false">AVERAGE(TableDE6b!L90:L99)</f>
        <v>0.105573378927241</v>
      </c>
      <c r="I89" s="1050" t="n">
        <f aca="false">AVERAGE(TableDE6b!M90:M99)</f>
        <v>0.157699355289656</v>
      </c>
      <c r="J89" s="1320" t="n">
        <f aca="false">D89/B89</f>
        <v>0.277619254890454</v>
      </c>
      <c r="K89" s="840" t="n">
        <f aca="false">G89/B89</f>
        <v>-0.0227310627694967</v>
      </c>
    </row>
    <row r="90" customFormat="false" ht="12" hidden="true" customHeight="false" outlineLevel="0" collapsed="false">
      <c r="A90" s="447"/>
      <c r="B90" s="1317"/>
      <c r="C90" s="855"/>
      <c r="D90" s="1318" t="n">
        <f aca="false">E90-F90</f>
        <v>0</v>
      </c>
      <c r="E90" s="514"/>
      <c r="F90" s="1319"/>
      <c r="G90" s="1054" t="n">
        <f aca="false">H90-I90</f>
        <v>-0.0267871344002876</v>
      </c>
      <c r="H90" s="1050" t="n">
        <f aca="false">AVERAGE(TableDE6b!L91:L100)</f>
        <v>0.122216180626421</v>
      </c>
      <c r="I90" s="1050" t="n">
        <f aca="false">AVERAGE(TableDE6b!M91:M100)</f>
        <v>0.149003315026708</v>
      </c>
      <c r="J90" s="1320" t="e">
        <f aca="false">D90/B90</f>
        <v>#DIV/0!</v>
      </c>
      <c r="K90" s="840" t="e">
        <f aca="false">G90/B90</f>
        <v>#DIV/0!</v>
      </c>
    </row>
    <row r="91" customFormat="false" ht="12" hidden="true" customHeight="false" outlineLevel="0" collapsed="false">
      <c r="A91" s="447"/>
      <c r="B91" s="1317"/>
      <c r="C91" s="855"/>
      <c r="D91" s="1318" t="n">
        <f aca="false">E91-F91</f>
        <v>0</v>
      </c>
      <c r="E91" s="514"/>
      <c r="F91" s="1319"/>
      <c r="G91" s="1054" t="n">
        <f aca="false">H91-I91</f>
        <v>-0.00443509019568431</v>
      </c>
      <c r="H91" s="1050" t="n">
        <f aca="false">AVERAGE(TableDE6b!L92:L101)</f>
        <v>0.139008408378977</v>
      </c>
      <c r="I91" s="1050" t="n">
        <f aca="false">AVERAGE(TableDE6b!M92:M101)</f>
        <v>0.143443498574661</v>
      </c>
      <c r="J91" s="1320" t="e">
        <f aca="false">D91/B91</f>
        <v>#DIV/0!</v>
      </c>
      <c r="K91" s="840" t="e">
        <f aca="false">G91/B91</f>
        <v>#DIV/0!</v>
      </c>
    </row>
    <row r="92" customFormat="false" ht="12" hidden="true" customHeight="false" outlineLevel="0" collapsed="false">
      <c r="A92" s="447"/>
      <c r="B92" s="1317"/>
      <c r="C92" s="855"/>
      <c r="D92" s="1318" t="n">
        <f aca="false">E92-F92</f>
        <v>0</v>
      </c>
      <c r="E92" s="514"/>
      <c r="F92" s="1319"/>
      <c r="G92" s="1054" t="n">
        <f aca="false">H92-I92</f>
        <v>0.0139180218174578</v>
      </c>
      <c r="H92" s="1050" t="n">
        <f aca="false">AVERAGE(TableDE6b!L93:L102)</f>
        <v>0.153829946341333</v>
      </c>
      <c r="I92" s="1050" t="n">
        <f aca="false">AVERAGE(TableDE6b!M93:M102)</f>
        <v>0.139911924523876</v>
      </c>
      <c r="J92" s="1320" t="e">
        <f aca="false">D92/B92</f>
        <v>#DIV/0!</v>
      </c>
      <c r="K92" s="840" t="e">
        <f aca="false">G92/B92</f>
        <v>#DIV/0!</v>
      </c>
    </row>
    <row r="93" customFormat="false" ht="12" hidden="true" customHeight="false" outlineLevel="0" collapsed="false">
      <c r="A93" s="447"/>
      <c r="B93" s="1317"/>
      <c r="C93" s="855"/>
      <c r="D93" s="1318" t="n">
        <f aca="false">E93-F93</f>
        <v>0</v>
      </c>
      <c r="E93" s="514"/>
      <c r="F93" s="1319"/>
      <c r="G93" s="1054" t="n">
        <f aca="false">H93-I93</f>
        <v>0.0283005023231615</v>
      </c>
      <c r="H93" s="1050" t="n">
        <f aca="false">AVERAGE(TableDE6b!L94:L103)</f>
        <v>0.166984354247469</v>
      </c>
      <c r="I93" s="1050" t="n">
        <f aca="false">AVERAGE(TableDE6b!M94:M103)</f>
        <v>0.138683851924308</v>
      </c>
      <c r="J93" s="1320" t="e">
        <f aca="false">D93/B93</f>
        <v>#DIV/0!</v>
      </c>
      <c r="K93" s="840" t="e">
        <f aca="false">G93/B93</f>
        <v>#DIV/0!</v>
      </c>
    </row>
    <row r="94" customFormat="false" ht="12" hidden="true" customHeight="false" outlineLevel="0" collapsed="false">
      <c r="A94" s="447"/>
      <c r="B94" s="1317"/>
      <c r="C94" s="855"/>
      <c r="D94" s="1318" t="n">
        <f aca="false">E94-F94</f>
        <v>0</v>
      </c>
      <c r="E94" s="514"/>
      <c r="F94" s="1319"/>
      <c r="G94" s="1054" t="n">
        <f aca="false">H94-I94</f>
        <v>0.0393150494336223</v>
      </c>
      <c r="H94" s="1050" t="n">
        <f aca="false">AVERAGE(TableDE6b!L95:L104)</f>
        <v>0.178221695875584</v>
      </c>
      <c r="I94" s="1050" t="n">
        <f aca="false">AVERAGE(TableDE6b!M95:M104)</f>
        <v>0.138906646441962</v>
      </c>
      <c r="J94" s="1320" t="e">
        <f aca="false">D94/B94</f>
        <v>#DIV/0!</v>
      </c>
      <c r="K94" s="840" t="e">
        <f aca="false">G94/B94</f>
        <v>#DIV/0!</v>
      </c>
    </row>
    <row r="95" customFormat="false" ht="12" hidden="true" customHeight="false" outlineLevel="0" collapsed="false">
      <c r="A95" s="447"/>
      <c r="B95" s="1317"/>
      <c r="C95" s="855"/>
      <c r="D95" s="1318" t="n">
        <f aca="false">E95-F95</f>
        <v>0</v>
      </c>
      <c r="E95" s="514"/>
      <c r="F95" s="1319"/>
      <c r="G95" s="1054" t="n">
        <f aca="false">H95-I95</f>
        <v>0.0476593116146406</v>
      </c>
      <c r="H95" s="1050" t="n">
        <f aca="false">AVERAGE(TableDE6b!L96:L105)</f>
        <v>0.188263087375428</v>
      </c>
      <c r="I95" s="1050" t="n">
        <f aca="false">AVERAGE(TableDE6b!M96:M105)</f>
        <v>0.140603775760788</v>
      </c>
      <c r="J95" s="1320" t="e">
        <f aca="false">D95/B95</f>
        <v>#DIV/0!</v>
      </c>
      <c r="K95" s="840" t="e">
        <f aca="false">G95/B95</f>
        <v>#DIV/0!</v>
      </c>
    </row>
    <row r="96" customFormat="false" ht="12" hidden="true" customHeight="false" outlineLevel="0" collapsed="false">
      <c r="A96" s="447"/>
      <c r="B96" s="1317"/>
      <c r="C96" s="855"/>
      <c r="D96" s="1318" t="n">
        <f aca="false">E96-F96</f>
        <v>0</v>
      </c>
      <c r="E96" s="514"/>
      <c r="F96" s="1319"/>
      <c r="G96" s="1054" t="n">
        <f aca="false">H96-I96</f>
        <v>0.0537263005316872</v>
      </c>
      <c r="H96" s="1050" t="n">
        <f aca="false">AVERAGE(TableDE6b!L97:L106)</f>
        <v>0.196798952121783</v>
      </c>
      <c r="I96" s="1050" t="n">
        <f aca="false">AVERAGE(TableDE6b!M97:M106)</f>
        <v>0.143072651590096</v>
      </c>
      <c r="J96" s="1320" t="e">
        <f aca="false">D96/B96</f>
        <v>#DIV/0!</v>
      </c>
      <c r="K96" s="840" t="e">
        <f aca="false">G96/B96</f>
        <v>#DIV/0!</v>
      </c>
    </row>
    <row r="97" customFormat="false" ht="12" hidden="true" customHeight="false" outlineLevel="0" collapsed="false">
      <c r="A97" s="447"/>
      <c r="B97" s="1317"/>
      <c r="C97" s="855"/>
      <c r="D97" s="1318" t="n">
        <f aca="false">E97-F97</f>
        <v>0</v>
      </c>
      <c r="E97" s="514"/>
      <c r="F97" s="1319"/>
      <c r="G97" s="1054" t="n">
        <f aca="false">H97-I97</f>
        <v>0.0587500048886123</v>
      </c>
      <c r="H97" s="1050" t="n">
        <f aca="false">AVERAGE(TableDE6b!L98:L107)</f>
        <v>0.204779558327709</v>
      </c>
      <c r="I97" s="1050" t="n">
        <f aca="false">AVERAGE(TableDE6b!M98:M107)</f>
        <v>0.146029553439097</v>
      </c>
      <c r="J97" s="1320" t="e">
        <f aca="false">D97/B97</f>
        <v>#DIV/0!</v>
      </c>
      <c r="K97" s="840" t="e">
        <f aca="false">G97/B97</f>
        <v>#DIV/0!</v>
      </c>
    </row>
    <row r="98" customFormat="false" ht="12" hidden="true" customHeight="false" outlineLevel="0" collapsed="false">
      <c r="A98" s="447"/>
      <c r="B98" s="1317"/>
      <c r="C98" s="855"/>
      <c r="D98" s="1318" t="n">
        <f aca="false">E98-F98</f>
        <v>0</v>
      </c>
      <c r="E98" s="514"/>
      <c r="F98" s="1319"/>
      <c r="G98" s="1054" t="n">
        <f aca="false">H98-I98</f>
        <v>0.0630696457044811</v>
      </c>
      <c r="H98" s="1050" t="n">
        <f aca="false">AVERAGE(TableDE6b!L99:L108)</f>
        <v>0.212509465820953</v>
      </c>
      <c r="I98" s="1050" t="n">
        <f aca="false">AVERAGE(TableDE6b!M99:M108)</f>
        <v>0.149439820116472</v>
      </c>
      <c r="J98" s="1320" t="e">
        <f aca="false">D98/B98</f>
        <v>#DIV/0!</v>
      </c>
      <c r="K98" s="840" t="e">
        <f aca="false">G98/B98</f>
        <v>#DIV/0!</v>
      </c>
    </row>
    <row r="99" customFormat="false" ht="12" hidden="false" customHeight="false" outlineLevel="0" collapsed="false">
      <c r="A99" s="447" t="n">
        <v>1960</v>
      </c>
      <c r="B99" s="1317" t="n">
        <f aca="false">D99+C99</f>
        <v>2.97295119612285</v>
      </c>
      <c r="C99" s="855" t="n">
        <f aca="false">TableDE2!N100</f>
        <v>2.09334194173539</v>
      </c>
      <c r="D99" s="1318" t="n">
        <f aca="false">E99-F99</f>
        <v>0.879609254387461</v>
      </c>
      <c r="E99" s="514" t="n">
        <f aca="false">AVERAGE(TableDE6a!G100:G109)+AVERAGE(TableDE6a!H100:H109)</f>
        <v>1.05005205064723</v>
      </c>
      <c r="F99" s="1319" t="n">
        <f aca="false">AVERAGE(TableDE6a!I100:I109)</f>
        <v>0.170442796259764</v>
      </c>
      <c r="G99" s="1054" t="n">
        <f aca="false">H99-I99</f>
        <v>0.0663334144957576</v>
      </c>
      <c r="H99" s="1050" t="n">
        <f aca="false">AVERAGE(TableDE6b!L100:L109)</f>
        <v>0.219933443805583</v>
      </c>
      <c r="I99" s="1050" t="n">
        <f aca="false">AVERAGE(TableDE6b!M100:M109)</f>
        <v>0.153600029309825</v>
      </c>
      <c r="J99" s="1320" t="n">
        <f aca="false">D99/B99</f>
        <v>0.295870734620399</v>
      </c>
      <c r="K99" s="840" t="n">
        <f aca="false">G99/B99</f>
        <v>0.0223123119485667</v>
      </c>
    </row>
    <row r="100" customFormat="false" ht="12" hidden="true" customHeight="false" outlineLevel="0" collapsed="false">
      <c r="A100" s="447"/>
      <c r="B100" s="1317"/>
      <c r="C100" s="855"/>
      <c r="D100" s="1318" t="n">
        <f aca="false">E100-F100</f>
        <v>0</v>
      </c>
      <c r="E100" s="514"/>
      <c r="F100" s="1319"/>
      <c r="G100" s="1054" t="n">
        <f aca="false">H100-I100</f>
        <v>0.0681816603407644</v>
      </c>
      <c r="H100" s="1050" t="n">
        <f aca="false">AVERAGE(TableDE6b!L101:L110)</f>
        <v>0.226902239255951</v>
      </c>
      <c r="I100" s="1050" t="n">
        <f aca="false">AVERAGE(TableDE6b!M101:M110)</f>
        <v>0.158720578915186</v>
      </c>
      <c r="J100" s="1320" t="e">
        <f aca="false">D100/B100</f>
        <v>#DIV/0!</v>
      </c>
      <c r="K100" s="840" t="e">
        <f aca="false">G100/B100</f>
        <v>#DIV/0!</v>
      </c>
    </row>
    <row r="101" customFormat="false" ht="12" hidden="true" customHeight="false" outlineLevel="0" collapsed="false">
      <c r="A101" s="447"/>
      <c r="B101" s="1317"/>
      <c r="C101" s="855"/>
      <c r="D101" s="1318" t="n">
        <f aca="false">E101-F101</f>
        <v>0</v>
      </c>
      <c r="E101" s="514"/>
      <c r="F101" s="1319"/>
      <c r="G101" s="1054" t="n">
        <f aca="false">H101-I101</f>
        <v>0.068643823381623</v>
      </c>
      <c r="H101" s="1050" t="n">
        <f aca="false">AVERAGE(TableDE6b!L102:L111)</f>
        <v>0.233770360672971</v>
      </c>
      <c r="I101" s="1050" t="n">
        <f aca="false">AVERAGE(TableDE6b!M102:M111)</f>
        <v>0.165126537291348</v>
      </c>
      <c r="J101" s="1320" t="e">
        <f aca="false">D101/B101</f>
        <v>#DIV/0!</v>
      </c>
      <c r="K101" s="840" t="e">
        <f aca="false">G101/B101</f>
        <v>#DIV/0!</v>
      </c>
    </row>
    <row r="102" customFormat="false" ht="12" hidden="true" customHeight="false" outlineLevel="0" collapsed="false">
      <c r="A102" s="447"/>
      <c r="B102" s="1317"/>
      <c r="C102" s="855"/>
      <c r="D102" s="1318" t="n">
        <f aca="false">E102-F102</f>
        <v>0</v>
      </c>
      <c r="E102" s="514"/>
      <c r="F102" s="1319"/>
      <c r="G102" s="1054" t="n">
        <f aca="false">H102-I102</f>
        <v>0.0685823264339629</v>
      </c>
      <c r="H102" s="1050" t="n">
        <f aca="false">AVERAGE(TableDE6b!L103:L112)</f>
        <v>0.241165572133861</v>
      </c>
      <c r="I102" s="1050" t="n">
        <f aca="false">AVERAGE(TableDE6b!M103:M112)</f>
        <v>0.172583245699898</v>
      </c>
      <c r="J102" s="1320" t="e">
        <f aca="false">D102/B102</f>
        <v>#DIV/0!</v>
      </c>
      <c r="K102" s="840" t="e">
        <f aca="false">G102/B102</f>
        <v>#DIV/0!</v>
      </c>
    </row>
    <row r="103" customFormat="false" ht="12" hidden="true" customHeight="false" outlineLevel="0" collapsed="false">
      <c r="A103" s="447"/>
      <c r="B103" s="1317"/>
      <c r="C103" s="855"/>
      <c r="D103" s="1318" t="n">
        <f aca="false">E103-F103</f>
        <v>0</v>
      </c>
      <c r="E103" s="514"/>
      <c r="F103" s="1319"/>
      <c r="G103" s="1054" t="n">
        <f aca="false">H103-I103</f>
        <v>0.0682946799743277</v>
      </c>
      <c r="H103" s="1050" t="n">
        <f aca="false">AVERAGE(TableDE6b!L104:L113)</f>
        <v>0.247864382030075</v>
      </c>
      <c r="I103" s="1050" t="n">
        <f aca="false">AVERAGE(TableDE6b!M104:M113)</f>
        <v>0.179569702055747</v>
      </c>
      <c r="J103" s="1320" t="e">
        <f aca="false">D103/B103</f>
        <v>#DIV/0!</v>
      </c>
      <c r="K103" s="840" t="e">
        <f aca="false">G103/B103</f>
        <v>#DIV/0!</v>
      </c>
    </row>
    <row r="104" customFormat="false" ht="12" hidden="true" customHeight="false" outlineLevel="0" collapsed="false">
      <c r="A104" s="447"/>
      <c r="B104" s="1317"/>
      <c r="C104" s="855"/>
      <c r="D104" s="1318" t="n">
        <f aca="false">E104-F104</f>
        <v>0</v>
      </c>
      <c r="E104" s="514"/>
      <c r="F104" s="1319"/>
      <c r="G104" s="1054" t="n">
        <f aca="false">H104-I104</f>
        <v>0.0689408510410716</v>
      </c>
      <c r="H104" s="1050" t="n">
        <f aca="false">AVERAGE(TableDE6b!L105:L114)</f>
        <v>0.255445461308821</v>
      </c>
      <c r="I104" s="1050" t="n">
        <f aca="false">AVERAGE(TableDE6b!M105:M114)</f>
        <v>0.18650461026775</v>
      </c>
      <c r="J104" s="1320" t="e">
        <f aca="false">D104/B104</f>
        <v>#DIV/0!</v>
      </c>
      <c r="K104" s="840" t="e">
        <f aca="false">G104/B104</f>
        <v>#DIV/0!</v>
      </c>
    </row>
    <row r="105" customFormat="false" ht="12" hidden="true" customHeight="false" outlineLevel="0" collapsed="false">
      <c r="A105" s="447"/>
      <c r="B105" s="1317"/>
      <c r="C105" s="855"/>
      <c r="D105" s="1318" t="n">
        <f aca="false">E105-F105</f>
        <v>0</v>
      </c>
      <c r="E105" s="514"/>
      <c r="F105" s="1319"/>
      <c r="G105" s="1054" t="n">
        <f aca="false">H105-I105</f>
        <v>0.0719229283773671</v>
      </c>
      <c r="H105" s="1050" t="n">
        <f aca="false">AVERAGE(TableDE6b!L106:L115)</f>
        <v>0.266206224665358</v>
      </c>
      <c r="I105" s="1050" t="n">
        <f aca="false">AVERAGE(TableDE6b!M106:M115)</f>
        <v>0.194283296287991</v>
      </c>
      <c r="J105" s="1320" t="e">
        <f aca="false">D105/B105</f>
        <v>#DIV/0!</v>
      </c>
      <c r="K105" s="840" t="e">
        <f aca="false">G105/B105</f>
        <v>#DIV/0!</v>
      </c>
    </row>
    <row r="106" customFormat="false" ht="12" hidden="true" customHeight="false" outlineLevel="0" collapsed="false">
      <c r="A106" s="447"/>
      <c r="B106" s="1317"/>
      <c r="C106" s="855"/>
      <c r="D106" s="1318" t="n">
        <f aca="false">E106-F106</f>
        <v>0</v>
      </c>
      <c r="E106" s="514"/>
      <c r="F106" s="1319"/>
      <c r="G106" s="1054" t="n">
        <f aca="false">H106-I106</f>
        <v>0.07573875596701</v>
      </c>
      <c r="H106" s="1050" t="n">
        <f aca="false">AVERAGE(TableDE6b!L107:L116)</f>
        <v>0.278387403742932</v>
      </c>
      <c r="I106" s="1050" t="n">
        <f aca="false">AVERAGE(TableDE6b!M107:M116)</f>
        <v>0.202648647775922</v>
      </c>
      <c r="J106" s="1320" t="e">
        <f aca="false">D106/B106</f>
        <v>#DIV/0!</v>
      </c>
      <c r="K106" s="840" t="e">
        <f aca="false">G106/B106</f>
        <v>#DIV/0!</v>
      </c>
    </row>
    <row r="107" customFormat="false" ht="12" hidden="true" customHeight="false" outlineLevel="0" collapsed="false">
      <c r="A107" s="447"/>
      <c r="B107" s="1317"/>
      <c r="C107" s="855"/>
      <c r="D107" s="1318" t="n">
        <f aca="false">E107-F107</f>
        <v>0</v>
      </c>
      <c r="E107" s="514"/>
      <c r="F107" s="1319"/>
      <c r="G107" s="1054" t="n">
        <f aca="false">H107-I107</f>
        <v>0.0777319515786502</v>
      </c>
      <c r="H107" s="1050" t="n">
        <f aca="false">AVERAGE(TableDE6b!L108:L117)</f>
        <v>0.289060384047596</v>
      </c>
      <c r="I107" s="1050" t="n">
        <f aca="false">AVERAGE(TableDE6b!M108:M117)</f>
        <v>0.211328432468946</v>
      </c>
      <c r="J107" s="1320" t="e">
        <f aca="false">D107/B107</f>
        <v>#DIV/0!</v>
      </c>
      <c r="K107" s="840" t="e">
        <f aca="false">G107/B107</f>
        <v>#DIV/0!</v>
      </c>
    </row>
    <row r="108" customFormat="false" ht="12" hidden="true" customHeight="false" outlineLevel="0" collapsed="false">
      <c r="A108" s="447"/>
      <c r="B108" s="1317"/>
      <c r="C108" s="855"/>
      <c r="D108" s="1318" t="n">
        <f aca="false">E108-F108</f>
        <v>0</v>
      </c>
      <c r="E108" s="514"/>
      <c r="F108" s="1319"/>
      <c r="G108" s="1054" t="n">
        <f aca="false">H108-I108</f>
        <v>0.0774504082704976</v>
      </c>
      <c r="H108" s="1050" t="n">
        <f aca="false">AVERAGE(TableDE6b!L109:L118)</f>
        <v>0.298335539307807</v>
      </c>
      <c r="I108" s="1050" t="n">
        <f aca="false">AVERAGE(TableDE6b!M109:M118)</f>
        <v>0.220885131037309</v>
      </c>
      <c r="J108" s="1320" t="e">
        <f aca="false">D108/B108</f>
        <v>#DIV/0!</v>
      </c>
      <c r="K108" s="840" t="e">
        <f aca="false">G108/B108</f>
        <v>#DIV/0!</v>
      </c>
    </row>
    <row r="109" customFormat="false" ht="12" hidden="false" customHeight="false" outlineLevel="0" collapsed="false">
      <c r="A109" s="447" t="n">
        <v>1970</v>
      </c>
      <c r="B109" s="1317" t="n">
        <f aca="false">D109+C109</f>
        <v>3.1333951636698</v>
      </c>
      <c r="C109" s="855" t="n">
        <f aca="false">TableDE2!N110</f>
        <v>2.29436379035529</v>
      </c>
      <c r="D109" s="1318" t="n">
        <f aca="false">E109-F109</f>
        <v>0.839031373314508</v>
      </c>
      <c r="E109" s="514" t="n">
        <f aca="false">AVERAGE(TableDE6a!G110:G119)+AVERAGE(TableDE6a!H110:H119)</f>
        <v>1.05537501260358</v>
      </c>
      <c r="F109" s="1319" t="n">
        <f aca="false">AVERAGE(TableDE6a!I110:I119)</f>
        <v>0.216343639289072</v>
      </c>
      <c r="G109" s="1054" t="n">
        <f aca="false">H109-I109</f>
        <v>0.0756631909287321</v>
      </c>
      <c r="H109" s="1050" t="n">
        <f aca="false">AVERAGE(TableDE6b!L110:L119)</f>
        <v>0.307237543644729</v>
      </c>
      <c r="I109" s="1050" t="n">
        <f aca="false">AVERAGE(TableDE6b!M110:M119)</f>
        <v>0.231574352715997</v>
      </c>
      <c r="J109" s="1320" t="n">
        <f aca="false">D109/B109</f>
        <v>0.267770686264749</v>
      </c>
      <c r="K109" s="840" t="n">
        <f aca="false">G109/B109</f>
        <v>0.0241473503904041</v>
      </c>
    </row>
    <row r="110" customFormat="false" ht="12" hidden="true" customHeight="false" outlineLevel="0" collapsed="false">
      <c r="A110" s="447"/>
      <c r="B110" s="1317"/>
      <c r="C110" s="855"/>
      <c r="D110" s="1318" t="n">
        <f aca="false">E110-F110</f>
        <v>0</v>
      </c>
      <c r="E110" s="514"/>
      <c r="F110" s="1319"/>
      <c r="G110" s="1054" t="n">
        <f aca="false">H110-I110</f>
        <v>0.0726969281738826</v>
      </c>
      <c r="H110" s="1050" t="n">
        <f aca="false">AVERAGE(TableDE6b!L111:L120)</f>
        <v>0.316055980931768</v>
      </c>
      <c r="I110" s="1050" t="n">
        <f aca="false">AVERAGE(TableDE6b!M111:M120)</f>
        <v>0.243359052757885</v>
      </c>
      <c r="J110" s="1320" t="e">
        <f aca="false">D110/B110</f>
        <v>#DIV/0!</v>
      </c>
      <c r="K110" s="840" t="e">
        <f aca="false">G110/B110</f>
        <v>#DIV/0!</v>
      </c>
    </row>
    <row r="111" customFormat="false" ht="12" hidden="true" customHeight="false" outlineLevel="0" collapsed="false">
      <c r="A111" s="447"/>
      <c r="B111" s="1317"/>
      <c r="C111" s="855"/>
      <c r="D111" s="1318" t="n">
        <f aca="false">E111-F111</f>
        <v>0</v>
      </c>
      <c r="E111" s="514"/>
      <c r="F111" s="1319"/>
      <c r="G111" s="1054" t="n">
        <f aca="false">H111-I111</f>
        <v>0.0695947793393764</v>
      </c>
      <c r="H111" s="1050" t="n">
        <f aca="false">AVERAGE(TableDE6b!L112:L121)</f>
        <v>0.326473382443801</v>
      </c>
      <c r="I111" s="1050" t="n">
        <f aca="false">AVERAGE(TableDE6b!M112:M121)</f>
        <v>0.256878603104424</v>
      </c>
      <c r="J111" s="1320" t="e">
        <f aca="false">D111/B111</f>
        <v>#DIV/0!</v>
      </c>
      <c r="K111" s="840" t="e">
        <f aca="false">G111/B111</f>
        <v>#DIV/0!</v>
      </c>
    </row>
    <row r="112" customFormat="false" ht="12" hidden="true" customHeight="false" outlineLevel="0" collapsed="false">
      <c r="A112" s="447"/>
      <c r="B112" s="1317"/>
      <c r="C112" s="855"/>
      <c r="D112" s="1318" t="n">
        <f aca="false">E112-F112</f>
        <v>0</v>
      </c>
      <c r="E112" s="514"/>
      <c r="F112" s="1319"/>
      <c r="G112" s="1054" t="n">
        <f aca="false">H112-I112</f>
        <v>0.0672727490014553</v>
      </c>
      <c r="H112" s="1050" t="n">
        <f aca="false">AVERAGE(TableDE6b!L113:L122)</f>
        <v>0.338906738613495</v>
      </c>
      <c r="I112" s="1050" t="n">
        <f aca="false">AVERAGE(TableDE6b!M113:M122)</f>
        <v>0.271633989612039</v>
      </c>
      <c r="J112" s="1320" t="e">
        <f aca="false">D112/B112</f>
        <v>#DIV/0!</v>
      </c>
      <c r="K112" s="840" t="e">
        <f aca="false">G112/B112</f>
        <v>#DIV/0!</v>
      </c>
    </row>
    <row r="113" customFormat="false" ht="12" hidden="true" customHeight="false" outlineLevel="0" collapsed="false">
      <c r="A113" s="447"/>
      <c r="B113" s="1317"/>
      <c r="C113" s="855"/>
      <c r="D113" s="1318" t="n">
        <f aca="false">E113-F113</f>
        <v>0</v>
      </c>
      <c r="E113" s="514"/>
      <c r="F113" s="1319"/>
      <c r="G113" s="1054" t="n">
        <f aca="false">H113-I113</f>
        <v>0.0657775647812274</v>
      </c>
      <c r="H113" s="1050" t="n">
        <f aca="false">AVERAGE(TableDE6b!L114:L123)</f>
        <v>0.352927213580615</v>
      </c>
      <c r="I113" s="1050" t="n">
        <f aca="false">AVERAGE(TableDE6b!M114:M123)</f>
        <v>0.287149648799387</v>
      </c>
      <c r="J113" s="1320" t="e">
        <f aca="false">D113/B113</f>
        <v>#DIV/0!</v>
      </c>
      <c r="K113" s="840" t="e">
        <f aca="false">G113/B113</f>
        <v>#DIV/0!</v>
      </c>
    </row>
    <row r="114" customFormat="false" ht="12" hidden="true" customHeight="false" outlineLevel="0" collapsed="false">
      <c r="A114" s="447"/>
      <c r="B114" s="1317"/>
      <c r="C114" s="855"/>
      <c r="D114" s="1318" t="n">
        <f aca="false">E114-F114</f>
        <v>0</v>
      </c>
      <c r="E114" s="514"/>
      <c r="F114" s="1319"/>
      <c r="G114" s="1054" t="n">
        <f aca="false">H114-I114</f>
        <v>0.0653176369581934</v>
      </c>
      <c r="H114" s="1050" t="n">
        <f aca="false">AVERAGE(TableDE6b!L115:L124)</f>
        <v>0.368986432125234</v>
      </c>
      <c r="I114" s="1050" t="n">
        <f aca="false">AVERAGE(TableDE6b!M115:M124)</f>
        <v>0.30366879516704</v>
      </c>
      <c r="J114" s="1320" t="e">
        <f aca="false">D114/B114</f>
        <v>#DIV/0!</v>
      </c>
      <c r="K114" s="840" t="e">
        <f aca="false">G114/B114</f>
        <v>#DIV/0!</v>
      </c>
    </row>
    <row r="115" customFormat="false" ht="12" hidden="true" customHeight="false" outlineLevel="0" collapsed="false">
      <c r="A115" s="447"/>
      <c r="B115" s="1317"/>
      <c r="C115" s="855"/>
      <c r="D115" s="1318" t="n">
        <f aca="false">E115-F115</f>
        <v>0</v>
      </c>
      <c r="E115" s="514"/>
      <c r="F115" s="1319"/>
      <c r="G115" s="1054" t="n">
        <f aca="false">H115-I115</f>
        <v>0.0644357361184933</v>
      </c>
      <c r="H115" s="1050" t="n">
        <f aca="false">AVERAGE(TableDE6b!L116:L125)</f>
        <v>0.385926152916538</v>
      </c>
      <c r="I115" s="1050" t="n">
        <f aca="false">AVERAGE(TableDE6b!M116:M125)</f>
        <v>0.321490416798044</v>
      </c>
      <c r="J115" s="1320" t="e">
        <f aca="false">D115/B115</f>
        <v>#DIV/0!</v>
      </c>
      <c r="K115" s="840" t="e">
        <f aca="false">G115/B115</f>
        <v>#DIV/0!</v>
      </c>
    </row>
    <row r="116" customFormat="false" ht="12" hidden="true" customHeight="false" outlineLevel="0" collapsed="false">
      <c r="A116" s="447"/>
      <c r="B116" s="1317"/>
      <c r="C116" s="855"/>
      <c r="D116" s="1318" t="n">
        <f aca="false">E116-F116</f>
        <v>0</v>
      </c>
      <c r="E116" s="514"/>
      <c r="F116" s="1319"/>
      <c r="G116" s="1054" t="n">
        <f aca="false">H116-I116</f>
        <v>0.0641878801125345</v>
      </c>
      <c r="H116" s="1050" t="n">
        <f aca="false">AVERAGE(TableDE6b!L117:L126)</f>
        <v>0.404996157938688</v>
      </c>
      <c r="I116" s="1050" t="n">
        <f aca="false">AVERAGE(TableDE6b!M117:M126)</f>
        <v>0.340808277826153</v>
      </c>
      <c r="J116" s="1320" t="e">
        <f aca="false">D116/B116</f>
        <v>#DIV/0!</v>
      </c>
      <c r="K116" s="840" t="e">
        <f aca="false">G116/B116</f>
        <v>#DIV/0!</v>
      </c>
    </row>
    <row r="117" customFormat="false" ht="12" hidden="true" customHeight="false" outlineLevel="0" collapsed="false">
      <c r="A117" s="447"/>
      <c r="B117" s="1317"/>
      <c r="C117" s="855"/>
      <c r="D117" s="1318" t="n">
        <f aca="false">E117-F117</f>
        <v>0</v>
      </c>
      <c r="E117" s="514"/>
      <c r="F117" s="1319"/>
      <c r="G117" s="1054" t="n">
        <f aca="false">H117-I117</f>
        <v>0.0678073304430265</v>
      </c>
      <c r="H117" s="1050" t="n">
        <f aca="false">AVERAGE(TableDE6b!L118:L127)</f>
        <v>0.427687196727612</v>
      </c>
      <c r="I117" s="1050" t="n">
        <f aca="false">AVERAGE(TableDE6b!M118:M127)</f>
        <v>0.359879866284586</v>
      </c>
      <c r="J117" s="1320" t="e">
        <f aca="false">D117/B117</f>
        <v>#DIV/0!</v>
      </c>
      <c r="K117" s="840" t="e">
        <f aca="false">G117/B117</f>
        <v>#DIV/0!</v>
      </c>
    </row>
    <row r="118" customFormat="false" ht="12" hidden="true" customHeight="false" outlineLevel="0" collapsed="false">
      <c r="A118" s="447"/>
      <c r="B118" s="1317"/>
      <c r="C118" s="855"/>
      <c r="D118" s="1318" t="n">
        <f aca="false">E118-F118</f>
        <v>0</v>
      </c>
      <c r="E118" s="514"/>
      <c r="F118" s="1319"/>
      <c r="G118" s="1054" t="n">
        <f aca="false">H118-I118</f>
        <v>0.076186352872118</v>
      </c>
      <c r="H118" s="1050" t="n">
        <f aca="false">AVERAGE(TableDE6b!L119:L128)</f>
        <v>0.45270080746112</v>
      </c>
      <c r="I118" s="1050" t="n">
        <f aca="false">AVERAGE(TableDE6b!M119:M128)</f>
        <v>0.376514454589002</v>
      </c>
      <c r="J118" s="1320" t="e">
        <f aca="false">D118/B118</f>
        <v>#DIV/0!</v>
      </c>
      <c r="K118" s="840" t="e">
        <f aca="false">G118/B118</f>
        <v>#DIV/0!</v>
      </c>
    </row>
    <row r="119" customFormat="false" ht="12" hidden="false" customHeight="false" outlineLevel="0" collapsed="false">
      <c r="A119" s="447" t="n">
        <v>1980</v>
      </c>
      <c r="B119" s="1317" t="n">
        <f aca="false">D119+C119</f>
        <v>3.52798761058555</v>
      </c>
      <c r="C119" s="855" t="n">
        <f aca="false">TableDE2!N120</f>
        <v>2.84477836630842</v>
      </c>
      <c r="D119" s="1318" t="n">
        <f aca="false">E119-F119</f>
        <v>0.683209244277128</v>
      </c>
      <c r="E119" s="514" t="n">
        <f aca="false">AVERAGE(TableDE6a!G120:G129)+AVERAGE(TableDE6a!H120:H129)</f>
        <v>1.07672472848375</v>
      </c>
      <c r="F119" s="1319" t="n">
        <f aca="false">AVERAGE(TableDE6a!I120:I129)</f>
        <v>0.393515484206621</v>
      </c>
      <c r="G119" s="1054" t="n">
        <f aca="false">H119-I119</f>
        <v>0.0893059359512771</v>
      </c>
      <c r="H119" s="1050" t="n">
        <f aca="false">AVERAGE(TableDE6b!L120:L129)</f>
        <v>0.483620746610257</v>
      </c>
      <c r="I119" s="1050" t="n">
        <f aca="false">AVERAGE(TableDE6b!M120:M129)</f>
        <v>0.39431481065898</v>
      </c>
      <c r="J119" s="1320" t="n">
        <f aca="false">D119/B119</f>
        <v>0.193654093973344</v>
      </c>
      <c r="K119" s="840" t="n">
        <f aca="false">G119/B119</f>
        <v>0.0253135628037126</v>
      </c>
    </row>
    <row r="120" customFormat="false" ht="12" hidden="true" customHeight="false" outlineLevel="0" collapsed="false">
      <c r="A120" s="447"/>
      <c r="B120" s="1317"/>
      <c r="C120" s="855"/>
      <c r="D120" s="1318" t="n">
        <f aca="false">E120-F120</f>
        <v>0</v>
      </c>
      <c r="E120" s="514"/>
      <c r="F120" s="1319"/>
      <c r="G120" s="1054" t="n">
        <f aca="false">H120-I120</f>
        <v>0.106141929505347</v>
      </c>
      <c r="H120" s="1050" t="n">
        <f aca="false">AVERAGE(TableDE6b!L121:L130)</f>
        <v>0.517688784511467</v>
      </c>
      <c r="I120" s="1050" t="n">
        <f aca="false">AVERAGE(TableDE6b!M121:M130)</f>
        <v>0.41154685500612</v>
      </c>
      <c r="J120" s="1320" t="e">
        <f aca="false">D120/B120</f>
        <v>#DIV/0!</v>
      </c>
      <c r="K120" s="840" t="e">
        <f aca="false">G120/B120</f>
        <v>#DIV/0!</v>
      </c>
    </row>
    <row r="121" customFormat="false" ht="12" hidden="true" customHeight="false" outlineLevel="0" collapsed="false">
      <c r="A121" s="447"/>
      <c r="B121" s="1317"/>
      <c r="C121" s="855"/>
      <c r="D121" s="1318" t="n">
        <f aca="false">E121-F121</f>
        <v>0</v>
      </c>
      <c r="E121" s="514"/>
      <c r="F121" s="1319"/>
      <c r="G121" s="1054" t="n">
        <f aca="false">H121-I121</f>
        <v>0.121702952229784</v>
      </c>
      <c r="H121" s="1050" t="n">
        <f aca="false">AVERAGE(TableDE6b!L122:L131)</f>
        <v>0.544425268651725</v>
      </c>
      <c r="I121" s="1050" t="n">
        <f aca="false">AVERAGE(TableDE6b!M122:M131)</f>
        <v>0.422722316421941</v>
      </c>
      <c r="J121" s="1320" t="e">
        <f aca="false">D121/B121</f>
        <v>#DIV/0!</v>
      </c>
      <c r="K121" s="840" t="e">
        <f aca="false">G121/B121</f>
        <v>#DIV/0!</v>
      </c>
    </row>
    <row r="122" customFormat="false" ht="12" hidden="true" customHeight="false" outlineLevel="0" collapsed="false">
      <c r="A122" s="447"/>
      <c r="B122" s="1317"/>
      <c r="C122" s="855"/>
      <c r="D122" s="1318" t="n">
        <f aca="false">E122-F122</f>
        <v>0</v>
      </c>
      <c r="E122" s="514"/>
      <c r="F122" s="1319"/>
      <c r="G122" s="1054" t="n">
        <f aca="false">H122-I122</f>
        <v>0.13459298902322</v>
      </c>
      <c r="H122" s="1050" t="n">
        <f aca="false">AVERAGE(TableDE6b!L123:L132)</f>
        <v>0.569653839141437</v>
      </c>
      <c r="I122" s="1050" t="n">
        <f aca="false">AVERAGE(TableDE6b!M123:M132)</f>
        <v>0.435060850118217</v>
      </c>
      <c r="J122" s="1320" t="e">
        <f aca="false">D122/B122</f>
        <v>#DIV/0!</v>
      </c>
      <c r="K122" s="840" t="e">
        <f aca="false">G122/B122</f>
        <v>#DIV/0!</v>
      </c>
    </row>
    <row r="123" customFormat="false" ht="12" hidden="true" customHeight="false" outlineLevel="0" collapsed="false">
      <c r="A123" s="447"/>
      <c r="B123" s="1317"/>
      <c r="C123" s="855"/>
      <c r="D123" s="1318" t="n">
        <f aca="false">E123-F123</f>
        <v>0</v>
      </c>
      <c r="E123" s="514"/>
      <c r="F123" s="1319"/>
      <c r="G123" s="1054" t="n">
        <f aca="false">H123-I123</f>
        <v>0.144510354881758</v>
      </c>
      <c r="H123" s="1050" t="n">
        <f aca="false">AVERAGE(TableDE6b!L124:L133)</f>
        <v>0.600667356919249</v>
      </c>
      <c r="I123" s="1050" t="n">
        <f aca="false">AVERAGE(TableDE6b!M124:M133)</f>
        <v>0.45615700203749</v>
      </c>
      <c r="J123" s="1320" t="e">
        <f aca="false">D123/B123</f>
        <v>#DIV/0!</v>
      </c>
      <c r="K123" s="840" t="e">
        <f aca="false">G123/B123</f>
        <v>#DIV/0!</v>
      </c>
    </row>
    <row r="124" customFormat="false" ht="12" hidden="true" customHeight="false" outlineLevel="0" collapsed="false">
      <c r="A124" s="447"/>
      <c r="B124" s="1317"/>
      <c r="C124" s="855"/>
      <c r="D124" s="1318" t="n">
        <f aca="false">E124-F124</f>
        <v>0</v>
      </c>
      <c r="E124" s="514"/>
      <c r="F124" s="1319"/>
      <c r="G124" s="1054" t="n">
        <f aca="false">H124-I124</f>
        <v>0.149992959063713</v>
      </c>
      <c r="H124" s="1050" t="n">
        <f aca="false">AVERAGE(TableDE6b!L125:L134)</f>
        <v>0.631072787690087</v>
      </c>
      <c r="I124" s="1050" t="n">
        <f aca="false">AVERAGE(TableDE6b!M125:M134)</f>
        <v>0.481079828626374</v>
      </c>
      <c r="J124" s="1320" t="e">
        <f aca="false">D124/B124</f>
        <v>#DIV/0!</v>
      </c>
      <c r="K124" s="840" t="e">
        <f aca="false">G124/B124</f>
        <v>#DIV/0!</v>
      </c>
    </row>
    <row r="125" customFormat="false" ht="12" hidden="true" customHeight="false" outlineLevel="0" collapsed="false">
      <c r="A125" s="447"/>
      <c r="B125" s="1317"/>
      <c r="C125" s="855"/>
      <c r="D125" s="1318" t="n">
        <f aca="false">E125-F125</f>
        <v>0</v>
      </c>
      <c r="E125" s="514"/>
      <c r="F125" s="1319"/>
      <c r="G125" s="1054" t="n">
        <f aca="false">H125-I125</f>
        <v>0.151100153497723</v>
      </c>
      <c r="H125" s="1050" t="n">
        <f aca="false">AVERAGE(TableDE6b!L126:L135)</f>
        <v>0.657777539587756</v>
      </c>
      <c r="I125" s="1050" t="n">
        <f aca="false">AVERAGE(TableDE6b!M126:M135)</f>
        <v>0.506677386090033</v>
      </c>
      <c r="J125" s="1320" t="e">
        <f aca="false">D125/B125</f>
        <v>#DIV/0!</v>
      </c>
      <c r="K125" s="840" t="e">
        <f aca="false">G125/B125</f>
        <v>#DIV/0!</v>
      </c>
    </row>
    <row r="126" customFormat="false" ht="12" hidden="true" customHeight="false" outlineLevel="0" collapsed="false">
      <c r="A126" s="447"/>
      <c r="B126" s="1317"/>
      <c r="C126" s="855"/>
      <c r="D126" s="1318" t="n">
        <f aca="false">E126-F126</f>
        <v>0</v>
      </c>
      <c r="E126" s="514"/>
      <c r="F126" s="1319"/>
      <c r="G126" s="1054" t="n">
        <f aca="false">H126-I126</f>
        <v>0.148185616255227</v>
      </c>
      <c r="H126" s="1050" t="n">
        <f aca="false">AVERAGE(TableDE6b!L127:L136)</f>
        <v>0.686218823188304</v>
      </c>
      <c r="I126" s="1050" t="n">
        <f aca="false">AVERAGE(TableDE6b!M127:M136)</f>
        <v>0.538033206933076</v>
      </c>
      <c r="J126" s="1320" t="e">
        <f aca="false">D126/B126</f>
        <v>#DIV/0!</v>
      </c>
      <c r="K126" s="840" t="e">
        <f aca="false">G126/B126</f>
        <v>#DIV/0!</v>
      </c>
    </row>
    <row r="127" customFormat="false" ht="12" hidden="true" customHeight="false" outlineLevel="0" collapsed="false">
      <c r="A127" s="447"/>
      <c r="B127" s="1317"/>
      <c r="C127" s="855"/>
      <c r="D127" s="1318" t="n">
        <f aca="false">E127-F127</f>
        <v>0</v>
      </c>
      <c r="E127" s="514"/>
      <c r="F127" s="1319"/>
      <c r="G127" s="1054" t="n">
        <f aca="false">H127-I127</f>
        <v>0.140886505835558</v>
      </c>
      <c r="H127" s="1050" t="n">
        <f aca="false">AVERAGE(TableDE6b!L128:L137)</f>
        <v>0.721523911761025</v>
      </c>
      <c r="I127" s="1050" t="n">
        <f aca="false">AVERAGE(TableDE6b!M128:M137)</f>
        <v>0.580637405925467</v>
      </c>
      <c r="J127" s="1320" t="e">
        <f aca="false">D127/B127</f>
        <v>#DIV/0!</v>
      </c>
      <c r="K127" s="840" t="e">
        <f aca="false">G127/B127</f>
        <v>#DIV/0!</v>
      </c>
    </row>
    <row r="128" customFormat="false" ht="12" hidden="true" customHeight="false" outlineLevel="0" collapsed="false">
      <c r="A128" s="447"/>
      <c r="B128" s="1317"/>
      <c r="C128" s="855"/>
      <c r="D128" s="1318" t="n">
        <f aca="false">E128-F128</f>
        <v>0</v>
      </c>
      <c r="E128" s="514"/>
      <c r="F128" s="1319"/>
      <c r="G128" s="1054" t="n">
        <f aca="false">H128-I128</f>
        <v>0.127100142303738</v>
      </c>
      <c r="H128" s="1050" t="n">
        <f aca="false">AVERAGE(TableDE6b!L129:L138)</f>
        <v>0.768076209221419</v>
      </c>
      <c r="I128" s="1050" t="n">
        <f aca="false">AVERAGE(TableDE6b!M129:M138)</f>
        <v>0.64097606691768</v>
      </c>
      <c r="J128" s="1320" t="e">
        <f aca="false">D128/B128</f>
        <v>#DIV/0!</v>
      </c>
      <c r="K128" s="840" t="e">
        <f aca="false">G128/B128</f>
        <v>#DIV/0!</v>
      </c>
    </row>
    <row r="129" customFormat="false" ht="12" hidden="false" customHeight="false" outlineLevel="0" collapsed="false">
      <c r="A129" s="1331" t="n">
        <v>1990</v>
      </c>
      <c r="B129" s="1332" t="n">
        <f aca="false">D129+C129</f>
        <v>3.55116525673476</v>
      </c>
      <c r="C129" s="1333" t="n">
        <f aca="false">TableDE2!N130</f>
        <v>3.1344869674577</v>
      </c>
      <c r="D129" s="1334" t="n">
        <f aca="false">E129-F129</f>
        <v>0.416678289277058</v>
      </c>
      <c r="E129" s="842" t="n">
        <f aca="false">AVERAGE(TableDE6a!G130:G139)+AVERAGE(TableDE6a!H130:H139)</f>
        <v>0.985337048781564</v>
      </c>
      <c r="F129" s="1335" t="n">
        <f aca="false">AVERAGE(TableDE6a!I130:I139)</f>
        <v>0.568658759504506</v>
      </c>
      <c r="G129" s="1069" t="n">
        <f aca="false">H129-I129</f>
        <v>0.110112694174735</v>
      </c>
      <c r="H129" s="1062" t="n">
        <f aca="false">AVERAGE(TableDE6b!L130:L139)</f>
        <v>0.830640637031576</v>
      </c>
      <c r="I129" s="1062" t="n">
        <f aca="false">AVERAGE(TableDE6b!M130:M139)</f>
        <v>0.720527942856841</v>
      </c>
      <c r="J129" s="1336" t="n">
        <f aca="false">D129/B129</f>
        <v>0.117335651582767</v>
      </c>
      <c r="K129" s="844" t="n">
        <f aca="false">G129/B129</f>
        <v>0.0310074823935347</v>
      </c>
    </row>
    <row r="130" customFormat="false" ht="12" hidden="true" customHeight="false" outlineLevel="0" collapsed="false">
      <c r="A130" s="447"/>
      <c r="B130" s="1317"/>
      <c r="C130" s="855"/>
      <c r="D130" s="1318" t="n">
        <f aca="false">E130-F130</f>
        <v>0</v>
      </c>
      <c r="E130" s="514"/>
      <c r="F130" s="1319"/>
      <c r="G130" s="1054" t="n">
        <f aca="false">H130-I130</f>
        <v>0.0928443018001657</v>
      </c>
      <c r="H130" s="1050" t="n">
        <f aca="false">AVERAGE(TableDE6b!L131:L140)</f>
        <v>0.914216055759703</v>
      </c>
      <c r="I130" s="1050" t="n">
        <f aca="false">AVERAGE(TableDE6b!M131:M140)</f>
        <v>0.821371753959538</v>
      </c>
      <c r="J130" s="1320" t="e">
        <f aca="false">D130/B130</f>
        <v>#DIV/0!</v>
      </c>
      <c r="K130" s="840" t="e">
        <f aca="false">G130/B130</f>
        <v>#DIV/0!</v>
      </c>
    </row>
    <row r="131" customFormat="false" ht="12" hidden="true" customHeight="false" outlineLevel="0" collapsed="false">
      <c r="A131" s="447"/>
      <c r="B131" s="1317"/>
      <c r="C131" s="855"/>
      <c r="D131" s="1318" t="n">
        <f aca="false">E131-F131</f>
        <v>0</v>
      </c>
      <c r="E131" s="514"/>
      <c r="F131" s="1319"/>
      <c r="G131" s="1054" t="n">
        <f aca="false">H131-I131</f>
        <v>0.0802334641966396</v>
      </c>
      <c r="H131" s="1050" t="n">
        <f aca="false">AVERAGE(TableDE6b!L132:L141)</f>
        <v>1.01787967334427</v>
      </c>
      <c r="I131" s="1050" t="n">
        <f aca="false">AVERAGE(TableDE6b!M132:M141)</f>
        <v>0.937646209147633</v>
      </c>
      <c r="J131" s="1320" t="e">
        <f aca="false">D131/B131</f>
        <v>#DIV/0!</v>
      </c>
      <c r="K131" s="840" t="e">
        <f aca="false">G131/B131</f>
        <v>#DIV/0!</v>
      </c>
    </row>
    <row r="132" customFormat="false" ht="12" hidden="true" customHeight="false" outlineLevel="0" collapsed="false">
      <c r="A132" s="447"/>
      <c r="B132" s="1317"/>
      <c r="C132" s="855"/>
      <c r="D132" s="1318" t="n">
        <f aca="false">E132-F132</f>
        <v>0</v>
      </c>
      <c r="E132" s="514"/>
      <c r="F132" s="1319"/>
      <c r="G132" s="1054" t="n">
        <f aca="false">H132-I132</f>
        <v>0.0713003519574904</v>
      </c>
      <c r="H132" s="1050" t="n">
        <f aca="false">AVERAGE(TableDE6b!L133:L142)</f>
        <v>1.12502195728519</v>
      </c>
      <c r="I132" s="1050" t="n">
        <f aca="false">AVERAGE(TableDE6b!M133:M142)</f>
        <v>1.0537216053277</v>
      </c>
      <c r="J132" s="1320" t="e">
        <f aca="false">D132/B132</f>
        <v>#DIV/0!</v>
      </c>
      <c r="K132" s="840" t="e">
        <f aca="false">G132/B132</f>
        <v>#DIV/0!</v>
      </c>
    </row>
    <row r="133" customFormat="false" ht="12" hidden="true" customHeight="false" outlineLevel="0" collapsed="false">
      <c r="A133" s="447"/>
      <c r="B133" s="1317"/>
      <c r="C133" s="855"/>
      <c r="D133" s="1318" t="n">
        <f aca="false">E133-F133</f>
        <v>0</v>
      </c>
      <c r="E133" s="514"/>
      <c r="F133" s="1319"/>
      <c r="G133" s="1054" t="n">
        <f aca="false">H133-I133</f>
        <v>0.0635622245380785</v>
      </c>
      <c r="H133" s="1050" t="n">
        <f aca="false">AVERAGE(TableDE6b!L134:L143)</f>
        <v>1.22537855930588</v>
      </c>
      <c r="I133" s="1050" t="n">
        <f aca="false">AVERAGE(TableDE6b!M134:M143)</f>
        <v>1.1618163347678</v>
      </c>
      <c r="J133" s="1320" t="e">
        <f aca="false">D133/B133</f>
        <v>#DIV/0!</v>
      </c>
      <c r="K133" s="840" t="e">
        <f aca="false">G133/B133</f>
        <v>#DIV/0!</v>
      </c>
    </row>
    <row r="134" customFormat="false" ht="12" hidden="true" customHeight="false" outlineLevel="0" collapsed="false">
      <c r="A134" s="447"/>
      <c r="B134" s="1317"/>
      <c r="C134" s="855"/>
      <c r="D134" s="1318" t="n">
        <f aca="false">E134-F134</f>
        <v>0</v>
      </c>
      <c r="E134" s="514"/>
      <c r="F134" s="1319"/>
      <c r="G134" s="1054" t="n">
        <f aca="false">H134-I134</f>
        <v>0.0614691182712621</v>
      </c>
      <c r="H134" s="1050" t="n">
        <f aca="false">AVERAGE(TableDE6b!L135:L144)</f>
        <v>1.32734524337242</v>
      </c>
      <c r="I134" s="1050" t="n">
        <f aca="false">AVERAGE(TableDE6b!M135:M144)</f>
        <v>1.26587612510116</v>
      </c>
      <c r="J134" s="1320" t="e">
        <f aca="false">D134/B134</f>
        <v>#DIV/0!</v>
      </c>
      <c r="K134" s="840" t="e">
        <f aca="false">G134/B134</f>
        <v>#DIV/0!</v>
      </c>
    </row>
    <row r="135" customFormat="false" ht="12" hidden="true" customHeight="false" outlineLevel="0" collapsed="false">
      <c r="A135" s="447"/>
      <c r="B135" s="1317"/>
      <c r="C135" s="855"/>
      <c r="D135" s="1318" t="n">
        <f aca="false">E135-F135</f>
        <v>0</v>
      </c>
      <c r="E135" s="514"/>
      <c r="F135" s="1319"/>
      <c r="G135" s="1054" t="n">
        <f aca="false">H135-I135</f>
        <v>0.0710461197435734</v>
      </c>
      <c r="H135" s="1050" t="n">
        <f aca="false">AVERAGE(TableDE6b!L136:L145)</f>
        <v>1.44899847966317</v>
      </c>
      <c r="I135" s="1050" t="n">
        <f aca="false">AVERAGE(TableDE6b!M136:M145)</f>
        <v>1.3779523599196</v>
      </c>
      <c r="J135" s="1320" t="e">
        <f aca="false">D135/B135</f>
        <v>#DIV/0!</v>
      </c>
      <c r="K135" s="840" t="e">
        <f aca="false">G135/B135</f>
        <v>#DIV/0!</v>
      </c>
    </row>
    <row r="136" customFormat="false" ht="12" hidden="true" customHeight="false" outlineLevel="0" collapsed="false">
      <c r="A136" s="447"/>
      <c r="B136" s="1317"/>
      <c r="C136" s="855"/>
      <c r="D136" s="1318" t="n">
        <f aca="false">E136-F136</f>
        <v>0</v>
      </c>
      <c r="E136" s="514"/>
      <c r="F136" s="1319"/>
      <c r="G136" s="1054" t="n">
        <f aca="false">H136-I136</f>
        <v>0.0928397669000445</v>
      </c>
      <c r="H136" s="1050" t="n">
        <f aca="false">AVERAGE(TableDE6b!L137:L146)</f>
        <v>1.58181742629222</v>
      </c>
      <c r="I136" s="1050" t="n">
        <f aca="false">AVERAGE(TableDE6b!M137:M146)</f>
        <v>1.48897765939217</v>
      </c>
      <c r="J136" s="1320" t="e">
        <f aca="false">D136/B136</f>
        <v>#DIV/0!</v>
      </c>
      <c r="K136" s="840" t="e">
        <f aca="false">G136/B136</f>
        <v>#DIV/0!</v>
      </c>
    </row>
    <row r="137" customFormat="false" ht="12" hidden="true" customHeight="false" outlineLevel="0" collapsed="false">
      <c r="A137" s="447"/>
      <c r="B137" s="1317"/>
      <c r="C137" s="855"/>
      <c r="D137" s="1318" t="n">
        <f aca="false">E137-F137</f>
        <v>0</v>
      </c>
      <c r="E137" s="514"/>
      <c r="F137" s="1319"/>
      <c r="G137" s="1054" t="n">
        <f aca="false">H137-I137</f>
        <v>0.118401687073799</v>
      </c>
      <c r="H137" s="1050" t="n">
        <f aca="false">AVERAGE(TableDE6b!L138:L147)</f>
        <v>1.71610142049398</v>
      </c>
      <c r="I137" s="1050" t="n">
        <f aca="false">AVERAGE(TableDE6b!M138:M147)</f>
        <v>1.59769973342018</v>
      </c>
      <c r="J137" s="1320" t="e">
        <f aca="false">D137/B137</f>
        <v>#DIV/0!</v>
      </c>
      <c r="K137" s="840" t="e">
        <f aca="false">G137/B137</f>
        <v>#DIV/0!</v>
      </c>
    </row>
    <row r="138" customFormat="false" ht="12" hidden="true" customHeight="false" outlineLevel="0" collapsed="false">
      <c r="A138" s="447"/>
      <c r="B138" s="1317"/>
      <c r="C138" s="855"/>
      <c r="D138" s="1318" t="n">
        <f aca="false">E138-F138</f>
        <v>0</v>
      </c>
      <c r="E138" s="514"/>
      <c r="F138" s="1319"/>
      <c r="G138" s="1054" t="n">
        <f aca="false">H138-I138</f>
        <v>0.145554003847665</v>
      </c>
      <c r="H138" s="1050" t="n">
        <f aca="false">AVERAGE(TableDE6b!L139:L148)</f>
        <v>1.84182632805439</v>
      </c>
      <c r="I138" s="1050" t="n">
        <f aca="false">AVERAGE(TableDE6b!M139:M148)</f>
        <v>1.69627232420672</v>
      </c>
      <c r="J138" s="1320" t="e">
        <f aca="false">D138/B138</f>
        <v>#DIV/0!</v>
      </c>
      <c r="K138" s="840" t="e">
        <f aca="false">G138/B138</f>
        <v>#DIV/0!</v>
      </c>
    </row>
    <row r="139" customFormat="false" ht="12" hidden="false" customHeight="false" outlineLevel="0" collapsed="false">
      <c r="A139" s="447" t="n">
        <v>2000</v>
      </c>
      <c r="B139" s="1317" t="n">
        <f aca="false">D139+C139</f>
        <v>3.8751676998671</v>
      </c>
      <c r="C139" s="855" t="n">
        <f aca="false">TableDE2!N140</f>
        <v>3.76618931654701</v>
      </c>
      <c r="D139" s="1318" t="n">
        <f aca="false">E139-F139</f>
        <v>0.108978383320091</v>
      </c>
      <c r="E139" s="514" t="n">
        <f aca="false">AVERAGE(TableDE6a!G140:G149)+AVERAGE(TableDE6a!H140:H149)</f>
        <v>0.878605727864631</v>
      </c>
      <c r="F139" s="1319" t="n">
        <f aca="false">AVERAGE(TableDE6a!I140:I149)</f>
        <v>0.76962734454454</v>
      </c>
      <c r="G139" s="1054" t="n">
        <f aca="false">H139-I139</f>
        <v>0.177563732733522</v>
      </c>
      <c r="H139" s="1050" t="n">
        <f aca="false">AVERAGE(TableDE6b!L140:L149)</f>
        <v>1.95612831287426</v>
      </c>
      <c r="I139" s="1050" t="n">
        <f aca="false">AVERAGE(TableDE6b!M140:M149)</f>
        <v>1.77856458014074</v>
      </c>
      <c r="J139" s="1320" t="n">
        <f aca="false">D139/B139</f>
        <v>0.0281222367031571</v>
      </c>
      <c r="K139" s="840" t="n">
        <f aca="false">G139/B139</f>
        <v>0.045820915760526</v>
      </c>
    </row>
    <row r="140" customFormat="false" ht="12" hidden="true" customHeight="false" outlineLevel="0" collapsed="false">
      <c r="A140" s="447"/>
      <c r="B140" s="1317"/>
      <c r="C140" s="855"/>
      <c r="D140" s="1318" t="n">
        <f aca="false">E140-F140</f>
        <v>0</v>
      </c>
      <c r="E140" s="514"/>
      <c r="F140" s="1319"/>
      <c r="G140" s="1054" t="n">
        <f aca="false">H140-I140</f>
        <v>0.211993017275826</v>
      </c>
      <c r="H140" s="1050" t="n">
        <f aca="false">AVERAGE(TableDE6b!L141:L150)</f>
        <v>2.06746606826545</v>
      </c>
      <c r="I140" s="1050" t="n">
        <f aca="false">AVERAGE(TableDE6b!M141:M150)</f>
        <v>1.85547305098963</v>
      </c>
      <c r="J140" s="1320" t="e">
        <f aca="false">D140/B140</f>
        <v>#DIV/0!</v>
      </c>
      <c r="K140" s="840" t="e">
        <f aca="false">G140/B140</f>
        <v>#DIV/0!</v>
      </c>
    </row>
    <row r="141" customFormat="false" ht="12" hidden="true" customHeight="false" outlineLevel="0" collapsed="false">
      <c r="A141" s="447"/>
      <c r="B141" s="1317"/>
      <c r="C141" s="855"/>
      <c r="D141" s="1318" t="n">
        <f aca="false">E141-F141</f>
        <v>0</v>
      </c>
      <c r="E141" s="514"/>
      <c r="F141" s="1319"/>
      <c r="G141" s="1054" t="n">
        <f aca="false">H141-I141</f>
        <v>0.243400633174876</v>
      </c>
      <c r="H141" s="1050" t="n">
        <f aca="false">AVERAGE(TableDE6b!L142:L151)</f>
        <v>2.18748035181705</v>
      </c>
      <c r="I141" s="1050" t="n">
        <f aca="false">AVERAGE(TableDE6b!M142:M151)</f>
        <v>1.94407971864217</v>
      </c>
      <c r="J141" s="1320" t="e">
        <f aca="false">D141/B141</f>
        <v>#DIV/0!</v>
      </c>
      <c r="K141" s="840" t="e">
        <f aca="false">G141/B141</f>
        <v>#DIV/0!</v>
      </c>
    </row>
    <row r="142" customFormat="false" ht="12" hidden="true" customHeight="false" outlineLevel="0" collapsed="false">
      <c r="A142" s="447"/>
      <c r="B142" s="1317"/>
      <c r="C142" s="855"/>
      <c r="D142" s="1318" t="n">
        <f aca="false">E142-F142</f>
        <v>0</v>
      </c>
      <c r="E142" s="514"/>
      <c r="F142" s="1319"/>
      <c r="G142" s="1054" t="n">
        <f aca="false">H142-I142</f>
        <v>0.261377434228611</v>
      </c>
      <c r="H142" s="1050" t="n">
        <f aca="false">AVERAGE(TableDE6b!L143:L152)</f>
        <v>2.23865046547258</v>
      </c>
      <c r="I142" s="1050" t="n">
        <f aca="false">AVERAGE(TableDE6b!M143:M152)</f>
        <v>1.97727303124397</v>
      </c>
      <c r="J142" s="1320" t="e">
        <f aca="false">D142/B142</f>
        <v>#DIV/0!</v>
      </c>
      <c r="K142" s="840" t="e">
        <f aca="false">G142/B142</f>
        <v>#DIV/0!</v>
      </c>
    </row>
    <row r="143" customFormat="false" ht="12" hidden="true" customHeight="false" outlineLevel="0" collapsed="false">
      <c r="A143" s="447"/>
      <c r="B143" s="1317"/>
      <c r="C143" s="855"/>
      <c r="D143" s="1318" t="n">
        <f aca="false">E143-F143</f>
        <v>0</v>
      </c>
      <c r="E143" s="514"/>
      <c r="F143" s="1319"/>
      <c r="G143" s="1054" t="n">
        <f aca="false">H143-I143</f>
        <v>0.285414711492283</v>
      </c>
      <c r="H143" s="1050" t="n">
        <f aca="false">AVERAGE(TableDE6b!L144:L153)</f>
        <v>2.30210487605798</v>
      </c>
      <c r="I143" s="1050" t="n">
        <f aca="false">AVERAGE(TableDE6b!M144:M153)</f>
        <v>2.0166901645657</v>
      </c>
      <c r="J143" s="1320" t="e">
        <f aca="false">D143/B143</f>
        <v>#DIV/0!</v>
      </c>
      <c r="K143" s="840" t="e">
        <f aca="false">G143/B143</f>
        <v>#DIV/0!</v>
      </c>
    </row>
    <row r="144" customFormat="false" ht="12" hidden="true" customHeight="false" outlineLevel="0" collapsed="false">
      <c r="A144" s="447"/>
      <c r="B144" s="1317"/>
      <c r="C144" s="855"/>
      <c r="D144" s="1318" t="n">
        <f aca="false">E144-F144</f>
        <v>0</v>
      </c>
      <c r="E144" s="514"/>
      <c r="F144" s="1319"/>
      <c r="G144" s="1054" t="n">
        <f aca="false">H144-I144</f>
        <v>0.311979938140646</v>
      </c>
      <c r="H144" s="1050" t="n">
        <f aca="false">AVERAGE(TableDE6b!L145:L154)</f>
        <v>2.37785119406075</v>
      </c>
      <c r="I144" s="1050" t="n">
        <f aca="false">AVERAGE(TableDE6b!M145:M154)</f>
        <v>2.0658712559201</v>
      </c>
      <c r="J144" s="1320" t="e">
        <f aca="false">D144/B144</f>
        <v>#DIV/0!</v>
      </c>
      <c r="K144" s="840" t="e">
        <f aca="false">G144/B144</f>
        <v>#DIV/0!</v>
      </c>
    </row>
    <row r="145" customFormat="false" ht="12" hidden="true" customHeight="false" outlineLevel="0" collapsed="false">
      <c r="A145" s="447"/>
      <c r="B145" s="1317"/>
      <c r="C145" s="855"/>
      <c r="D145" s="1318" t="n">
        <f aca="false">E145-F145</f>
        <v>0</v>
      </c>
      <c r="E145" s="514"/>
      <c r="F145" s="1319"/>
      <c r="G145" s="1054" t="n">
        <f aca="false">H145-I145</f>
        <v>0.33352020244137</v>
      </c>
      <c r="H145" s="1050" t="n">
        <f aca="false">AVERAGE(TableDE6b!L146:L155)</f>
        <v>2.44603650982939</v>
      </c>
      <c r="I145" s="1050" t="n">
        <f aca="false">AVERAGE(TableDE6b!M146:M155)</f>
        <v>2.11251630738802</v>
      </c>
      <c r="J145" s="1320" t="e">
        <f aca="false">D145/B145</f>
        <v>#DIV/0!</v>
      </c>
      <c r="K145" s="840" t="e">
        <f aca="false">G145/B145</f>
        <v>#DIV/0!</v>
      </c>
    </row>
    <row r="146" customFormat="false" ht="12" hidden="true" customHeight="false" outlineLevel="0" collapsed="false">
      <c r="A146" s="447"/>
      <c r="B146" s="1317"/>
      <c r="C146" s="855"/>
      <c r="D146" s="1318" t="n">
        <f aca="false">E146-F146</f>
        <v>0</v>
      </c>
      <c r="E146" s="514"/>
      <c r="F146" s="1319"/>
      <c r="G146" s="1054" t="n">
        <f aca="false">H146-I146</f>
        <v>0.345184740658264</v>
      </c>
      <c r="H146" s="1050" t="n">
        <f aca="false">AVERAGE(TableDE6b!L147:L156)</f>
        <v>2.5083719966659</v>
      </c>
      <c r="I146" s="1050" t="n">
        <f aca="false">AVERAGE(TableDE6b!M147:M156)</f>
        <v>2.16318725600763</v>
      </c>
      <c r="J146" s="1320" t="e">
        <f aca="false">D146/B146</f>
        <v>#DIV/0!</v>
      </c>
      <c r="K146" s="840" t="e">
        <f aca="false">G146/B146</f>
        <v>#DIV/0!</v>
      </c>
    </row>
    <row r="147" customFormat="false" ht="12" hidden="true" customHeight="false" outlineLevel="0" collapsed="false">
      <c r="A147" s="447"/>
      <c r="B147" s="1317"/>
      <c r="C147" s="855"/>
      <c r="D147" s="1318" t="n">
        <f aca="false">E147-F147</f>
        <v>0</v>
      </c>
      <c r="E147" s="514"/>
      <c r="F147" s="1319"/>
      <c r="G147" s="1054" t="n">
        <f aca="false">H147-I147</f>
        <v>0.35533320391537</v>
      </c>
      <c r="H147" s="1050" t="n">
        <f aca="false">AVERAGE(TableDE6b!L148:L157)</f>
        <v>2.56982116910905</v>
      </c>
      <c r="I147" s="1050" t="n">
        <f aca="false">AVERAGE(TableDE6b!M148:M157)</f>
        <v>2.21448796519368</v>
      </c>
      <c r="J147" s="1320" t="e">
        <f aca="false">D147/B147</f>
        <v>#DIV/0!</v>
      </c>
      <c r="K147" s="840" t="e">
        <f aca="false">G147/B147</f>
        <v>#DIV/0!</v>
      </c>
    </row>
    <row r="148" customFormat="false" ht="12" hidden="true" customHeight="false" outlineLevel="0" collapsed="false">
      <c r="A148" s="447"/>
      <c r="B148" s="1317"/>
      <c r="C148" s="855"/>
      <c r="D148" s="1318" t="n">
        <f aca="false">E148-F148</f>
        <v>0</v>
      </c>
      <c r="E148" s="514"/>
      <c r="F148" s="1319"/>
      <c r="G148" s="1054" t="n">
        <f aca="false">H148-I148</f>
        <v>0.374604001282959</v>
      </c>
      <c r="H148" s="1050" t="n">
        <f aca="false">AVERAGE(TableDE6b!L149:L158)</f>
        <v>2.65284890532349</v>
      </c>
      <c r="I148" s="1050" t="n">
        <f aca="false">AVERAGE(TableDE6b!M149:M158)</f>
        <v>2.27824490404053</v>
      </c>
      <c r="J148" s="1320" t="e">
        <f aca="false">D148/B148</f>
        <v>#DIV/0!</v>
      </c>
      <c r="K148" s="840" t="e">
        <f aca="false">G148/B148</f>
        <v>#DIV/0!</v>
      </c>
    </row>
    <row r="149" customFormat="false" ht="13" hidden="false" customHeight="false" outlineLevel="0" collapsed="false">
      <c r="A149" s="1337" t="n">
        <v>2010</v>
      </c>
      <c r="B149" s="1338" t="n">
        <f aca="false">D149+C149</f>
        <v>4.14306349811516</v>
      </c>
      <c r="C149" s="1339" t="n">
        <f aca="false">TableDE2!N150</f>
        <v>4.11664761767039</v>
      </c>
      <c r="D149" s="1340" t="n">
        <f aca="false">E149-F149</f>
        <v>0.0264158804447738</v>
      </c>
      <c r="E149" s="739" t="n">
        <f aca="false">AVERAGE(TableDE6a!G150:G151)+AVERAGE(TableDE6a!H150:H151)</f>
        <v>0.982240803975723</v>
      </c>
      <c r="F149" s="1341" t="n">
        <f aca="false">AVERAGE(TableDE6a!I150:I151)</f>
        <v>0.95582492353095</v>
      </c>
      <c r="G149" s="1342" t="n">
        <f aca="false">H149-I149</f>
        <v>0.387383002548415</v>
      </c>
      <c r="H149" s="1235" t="n">
        <f aca="false">AVERAGE(TableDE6b!L150:L151)</f>
        <v>2.76563655118389</v>
      </c>
      <c r="I149" s="1235" t="n">
        <f aca="false">AVERAGE(TableDE6b!M150:M151)</f>
        <v>2.37825354863547</v>
      </c>
      <c r="J149" s="1343" t="n">
        <f aca="false">D149/B149</f>
        <v>0.00637592941956874</v>
      </c>
      <c r="K149" s="890" t="n">
        <f aca="false">G149/B149</f>
        <v>0.0935015846908092</v>
      </c>
    </row>
    <row r="150" customFormat="false" ht="13" hidden="false" customHeight="false" outlineLevel="0" collapsed="false">
      <c r="G150" s="580"/>
      <c r="H150" s="580"/>
      <c r="I150" s="580"/>
    </row>
    <row r="151" customFormat="false" ht="12" hidden="false" customHeight="true" outlineLevel="0" collapsed="false">
      <c r="A151" s="287" t="s">
        <v>59</v>
      </c>
      <c r="B151" s="287"/>
      <c r="C151" s="287"/>
      <c r="D151" s="287"/>
      <c r="E151" s="287"/>
      <c r="F151" s="287"/>
      <c r="G151" s="287"/>
      <c r="H151" s="287"/>
      <c r="I151" s="287"/>
      <c r="J151" s="287"/>
      <c r="K151" s="287"/>
      <c r="L151" s="1344"/>
      <c r="M151" s="1345"/>
      <c r="N151" s="1345"/>
      <c r="O151" s="1345"/>
      <c r="P151" s="1345"/>
      <c r="Q151" s="1345"/>
      <c r="R151" s="1345"/>
      <c r="S151" s="1345"/>
      <c r="T151" s="1345"/>
    </row>
    <row r="152" customFormat="false" ht="12" hidden="false" customHeight="false" outlineLevel="0" collapsed="false">
      <c r="A152" s="287"/>
      <c r="B152" s="287"/>
      <c r="C152" s="287"/>
      <c r="D152" s="287"/>
      <c r="E152" s="287"/>
      <c r="F152" s="287"/>
      <c r="G152" s="287"/>
      <c r="H152" s="287"/>
      <c r="I152" s="287"/>
      <c r="J152" s="287"/>
      <c r="K152" s="287"/>
      <c r="L152" s="1344"/>
      <c r="M152" s="1345"/>
      <c r="N152" s="1345"/>
      <c r="O152" s="1345"/>
      <c r="P152" s="1345"/>
      <c r="Q152" s="1345"/>
      <c r="R152" s="1345"/>
      <c r="S152" s="1345"/>
      <c r="T152" s="1345"/>
    </row>
    <row r="153" customFormat="false" ht="12" hidden="false" customHeight="false" outlineLevel="0" collapsed="false">
      <c r="G153" s="580"/>
      <c r="H153" s="580"/>
      <c r="I153" s="580"/>
    </row>
    <row r="154" customFormat="false" ht="12" hidden="false" customHeight="false" outlineLevel="0" collapsed="false">
      <c r="G154" s="580"/>
      <c r="H154" s="580"/>
      <c r="I154" s="580"/>
    </row>
    <row r="155" customFormat="false" ht="12" hidden="false" customHeight="false" outlineLevel="0" collapsed="false">
      <c r="G155" s="580"/>
      <c r="H155" s="580"/>
      <c r="I155" s="580"/>
    </row>
    <row r="156" customFormat="false" ht="12" hidden="false" customHeight="false" outlineLevel="0" collapsed="false">
      <c r="G156" s="580"/>
      <c r="H156" s="580"/>
      <c r="I156" s="580"/>
    </row>
    <row r="157" customFormat="false" ht="12" hidden="false" customHeight="false" outlineLevel="0" collapsed="false">
      <c r="G157" s="580"/>
      <c r="H157" s="580"/>
      <c r="I157" s="580"/>
    </row>
  </sheetData>
  <mergeCells count="3">
    <mergeCell ref="A3:K3"/>
    <mergeCell ref="B6:I6"/>
    <mergeCell ref="A151:K152"/>
  </mergeCells>
  <hyperlinks>
    <hyperlink ref="B1" location="Index!A1" display="Back to index"/>
  </hyperlinks>
  <printOptions headings="false" gridLines="false" gridLinesSet="true" horizontalCentered="true" verticalCentered="true"/>
  <pageMargins left="0.7875" right="0.7875" top="0.984027777777778" bottom="0.9840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C0C0"/>
    <pageSetUpPr fitToPage="true"/>
  </sheetPr>
  <dimension ref="A1:AF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8" topLeftCell="C9" activePane="bottomRight" state="frozen"/>
      <selection pane="topLeft" activeCell="A1" activeCellId="0" sqref="A1"/>
      <selection pane="topRight" activeCell="C1" activeCellId="0" sqref="C1"/>
      <selection pane="bottomLeft" activeCell="A9" activeCellId="0" sqref="A9"/>
      <selection pane="bottomRight" activeCell="A3" activeCellId="0" sqref="A3"/>
    </sheetView>
  </sheetViews>
  <sheetFormatPr defaultColWidth="11.0546875" defaultRowHeight="12" zeroHeight="false" outlineLevelRow="0" outlineLevelCol="0"/>
  <cols>
    <col collapsed="false" customWidth="true" hidden="false" outlineLevel="0" max="1" min="1" style="0" width="8.66"/>
    <col collapsed="false" customWidth="true" hidden="false" outlineLevel="0" max="2" min="2" style="0" width="20.66"/>
    <col collapsed="false" customWidth="true" hidden="false" outlineLevel="0" max="13" min="3" style="0" width="9.66"/>
    <col collapsed="false" customWidth="true" hidden="false" outlineLevel="0" max="15" min="14" style="0" width="10.66"/>
    <col collapsed="false" customWidth="true" hidden="false" outlineLevel="0" max="20" min="20" style="0" width="17.99"/>
  </cols>
  <sheetData>
    <row r="1" customFormat="false" ht="12" hidden="false" customHeight="true" outlineLevel="0" collapsed="false">
      <c r="B1" s="21" t="s">
        <v>9</v>
      </c>
      <c r="C1" s="198"/>
      <c r="D1" s="1291"/>
      <c r="E1" s="1291"/>
      <c r="I1" s="198"/>
      <c r="J1" s="198"/>
      <c r="K1" s="198"/>
      <c r="L1" s="198"/>
    </row>
    <row r="2" customFormat="false" ht="13" hidden="false" customHeight="true" outlineLevel="0" collapsed="false"/>
    <row r="3" customFormat="false" ht="19" hidden="false" customHeight="true" outlineLevel="0" collapsed="false">
      <c r="A3" s="1292" t="s">
        <v>402</v>
      </c>
      <c r="B3" s="1292"/>
      <c r="C3" s="1292"/>
      <c r="D3" s="1292"/>
      <c r="E3" s="1292"/>
      <c r="F3" s="1292"/>
      <c r="G3" s="1292"/>
      <c r="H3" s="1292"/>
      <c r="I3" s="1292"/>
      <c r="J3" s="1292"/>
      <c r="K3" s="1292"/>
      <c r="L3" s="1292"/>
      <c r="M3" s="1292"/>
    </row>
    <row r="4" customFormat="false" ht="15" hidden="false" customHeight="false" outlineLevel="0" collapsed="false">
      <c r="A4" s="1293"/>
      <c r="B4" s="1294"/>
      <c r="C4" s="1294"/>
      <c r="D4" s="1294"/>
      <c r="E4" s="1294"/>
      <c r="F4" s="1294"/>
      <c r="G4" s="1294"/>
      <c r="H4" s="1294"/>
      <c r="I4" s="1294"/>
      <c r="J4" s="1294"/>
      <c r="K4" s="1294"/>
      <c r="L4" s="1294"/>
      <c r="M4" s="1346"/>
    </row>
    <row r="5" customFormat="false" ht="12" hidden="false" customHeight="false" outlineLevel="0" collapsed="false">
      <c r="A5" s="28"/>
      <c r="C5" s="31" t="s">
        <v>11</v>
      </c>
      <c r="D5" s="31" t="s">
        <v>12</v>
      </c>
      <c r="E5" s="31" t="s">
        <v>13</v>
      </c>
      <c r="F5" s="31" t="s">
        <v>14</v>
      </c>
      <c r="G5" s="31" t="s">
        <v>15</v>
      </c>
      <c r="H5" s="31" t="s">
        <v>16</v>
      </c>
      <c r="I5" s="32" t="s">
        <v>17</v>
      </c>
      <c r="J5" s="32" t="s">
        <v>18</v>
      </c>
      <c r="K5" s="32" t="s">
        <v>19</v>
      </c>
      <c r="L5" s="32" t="s">
        <v>20</v>
      </c>
      <c r="M5" s="486" t="s">
        <v>21</v>
      </c>
      <c r="O5" s="435"/>
    </row>
    <row r="6" customFormat="false" ht="31" hidden="false" customHeight="true" outlineLevel="0" collapsed="false">
      <c r="A6" s="28"/>
      <c r="B6" s="1347" t="s">
        <v>31</v>
      </c>
      <c r="C6" s="1347"/>
      <c r="D6" s="1347"/>
      <c r="E6" s="1347"/>
      <c r="F6" s="1347"/>
      <c r="G6" s="1347"/>
      <c r="H6" s="1347"/>
      <c r="I6" s="1347"/>
      <c r="J6" s="1347"/>
      <c r="K6" s="1347"/>
      <c r="L6" s="1347"/>
      <c r="M6" s="1347"/>
      <c r="O6" s="435"/>
    </row>
    <row r="7" customFormat="false" ht="58" hidden="false" customHeight="true" outlineLevel="0" collapsed="false">
      <c r="A7" s="1299"/>
      <c r="B7" s="1348" t="s">
        <v>403</v>
      </c>
      <c r="C7" s="202" t="s">
        <v>404</v>
      </c>
      <c r="D7" s="1305" t="s">
        <v>336</v>
      </c>
      <c r="E7" s="967" t="s">
        <v>405</v>
      </c>
      <c r="F7" s="967" t="s">
        <v>406</v>
      </c>
      <c r="G7" s="967" t="s">
        <v>407</v>
      </c>
      <c r="H7" s="1349" t="s">
        <v>408</v>
      </c>
      <c r="I7" s="1305" t="s">
        <v>335</v>
      </c>
      <c r="J7" s="1350" t="s">
        <v>409</v>
      </c>
      <c r="K7" s="1351" t="s">
        <v>396</v>
      </c>
      <c r="L7" s="1305" t="s">
        <v>331</v>
      </c>
      <c r="M7" s="1352" t="s">
        <v>410</v>
      </c>
      <c r="O7" s="435"/>
    </row>
    <row r="8" customFormat="false" ht="30" hidden="false" customHeight="true" outlineLevel="0" collapsed="false">
      <c r="A8" s="1299"/>
      <c r="B8" s="496"/>
      <c r="C8" s="1353" t="s">
        <v>411</v>
      </c>
      <c r="D8" s="1353" t="s">
        <v>348</v>
      </c>
      <c r="E8" s="967"/>
      <c r="F8" s="967"/>
      <c r="G8" s="967"/>
      <c r="H8" s="1349"/>
      <c r="I8" s="1353" t="s">
        <v>344</v>
      </c>
      <c r="J8" s="802"/>
      <c r="K8" s="53"/>
      <c r="L8" s="1354" t="s">
        <v>340</v>
      </c>
      <c r="M8" s="1352"/>
      <c r="O8" s="435"/>
      <c r="R8" s="435"/>
    </row>
    <row r="9" customFormat="false" ht="12" hidden="false" customHeight="true" outlineLevel="0" collapsed="false">
      <c r="A9" s="1299" t="s">
        <v>160</v>
      </c>
      <c r="B9" s="1348" t="s">
        <v>412</v>
      </c>
      <c r="C9" s="1355" t="n">
        <f aca="false">TableDE2!B10</f>
        <v>16.913</v>
      </c>
      <c r="D9" s="1356" t="n">
        <f aca="false">D27*$C9</f>
        <v>118.089532126889</v>
      </c>
      <c r="E9" s="1357" t="n">
        <f aca="false">E27*$C9</f>
        <v>47.6325630367255</v>
      </c>
      <c r="F9" s="1357" t="n">
        <f aca="false">F27*$C9</f>
        <v>14.0089929915768</v>
      </c>
      <c r="G9" s="1357" t="n">
        <f aca="false">G27*$C9</f>
        <v>55.3637660377069</v>
      </c>
      <c r="H9" s="1357" t="n">
        <f aca="false">H27*$C9</f>
        <v>1.08421006087986</v>
      </c>
      <c r="I9" s="1356" t="n">
        <f aca="false">I27*$C9</f>
        <v>9.18693503675179</v>
      </c>
      <c r="J9" s="64" t="n">
        <f aca="false">J27*$C9</f>
        <v>13.4733841174605</v>
      </c>
      <c r="K9" s="1358" t="n">
        <f aca="false">K27*$C9</f>
        <v>4.28644908070867</v>
      </c>
      <c r="L9" s="1359" t="n">
        <f aca="false">L27*$C9</f>
        <v>108.902597090137</v>
      </c>
      <c r="M9" s="1360"/>
      <c r="O9" s="435"/>
    </row>
    <row r="10" customFormat="false" ht="12" hidden="false" customHeight="true" outlineLevel="0" collapsed="false">
      <c r="A10" s="1299" t="s">
        <v>161</v>
      </c>
      <c r="B10" s="499" t="s">
        <v>412</v>
      </c>
      <c r="C10" s="1361" t="n">
        <f aca="false">TableDE2!B20</f>
        <v>18.8293</v>
      </c>
      <c r="D10" s="1362" t="n">
        <f aca="false">D28*$C10</f>
        <v>129.192580066008</v>
      </c>
      <c r="E10" s="1363" t="n">
        <f aca="false">E28*$C10</f>
        <v>47.2215719873627</v>
      </c>
      <c r="F10" s="1363" t="n">
        <f aca="false">F28*$C10</f>
        <v>17.2138717649021</v>
      </c>
      <c r="G10" s="82" t="n">
        <f aca="false">G28*$C10</f>
        <v>57.1289536179839</v>
      </c>
      <c r="H10" s="1364" t="n">
        <f aca="false">H28*$C10</f>
        <v>7.62818269575957</v>
      </c>
      <c r="I10" s="1362" t="n">
        <f aca="false">I28*$C10</f>
        <v>7.8688528633619</v>
      </c>
      <c r="J10" s="82" t="n">
        <f aca="false">J28*$C10</f>
        <v>16.3702018403152</v>
      </c>
      <c r="K10" s="1365" t="n">
        <f aca="false">K28*$C10</f>
        <v>8.50134897695334</v>
      </c>
      <c r="L10" s="1366" t="n">
        <f aca="false">L28*$C10</f>
        <v>121.323727202646</v>
      </c>
      <c r="M10" s="1367"/>
      <c r="O10" s="435"/>
    </row>
    <row r="11" customFormat="false" ht="12" hidden="false" customHeight="true" outlineLevel="0" collapsed="false">
      <c r="A11" s="94" t="s">
        <v>162</v>
      </c>
      <c r="B11" s="510" t="s">
        <v>412</v>
      </c>
      <c r="C11" s="1368" t="n">
        <f aca="false">TableDE2!B30</f>
        <v>26.2092</v>
      </c>
      <c r="D11" s="1369" t="n">
        <f aca="false">D29*$C11</f>
        <v>162.671958475265</v>
      </c>
      <c r="E11" s="1370" t="n">
        <f aca="false">E29*$C11</f>
        <v>45.6661131973775</v>
      </c>
      <c r="F11" s="1370" t="n">
        <f aca="false">F29*$C11</f>
        <v>26.3420041932912</v>
      </c>
      <c r="G11" s="100" t="n">
        <f aca="false">G29*$C11</f>
        <v>78.2205341274135</v>
      </c>
      <c r="H11" s="1371" t="n">
        <f aca="false">H29*$C11</f>
        <v>12.443306957183</v>
      </c>
      <c r="I11" s="1369" t="n">
        <f aca="false">I29*$C11</f>
        <v>7.43352167823822</v>
      </c>
      <c r="J11" s="100" t="n">
        <f aca="false">J29*$C11</f>
        <v>21.4353592169317</v>
      </c>
      <c r="K11" s="1372" t="n">
        <f aca="false">K29*$C11</f>
        <v>14.0018375386934</v>
      </c>
      <c r="L11" s="1373" t="n">
        <f aca="false">L29*$C11</f>
        <v>155.238436797027</v>
      </c>
      <c r="M11" s="1374"/>
      <c r="O11" s="435"/>
    </row>
    <row r="12" customFormat="false" ht="12" hidden="false" customHeight="true" outlineLevel="0" collapsed="false">
      <c r="A12" s="1299" t="s">
        <v>163</v>
      </c>
      <c r="B12" s="499" t="s">
        <v>412</v>
      </c>
      <c r="C12" s="1361" t="n">
        <f aca="false">TableDE2!B40</f>
        <v>37.4087</v>
      </c>
      <c r="D12" s="1362" t="n">
        <f aca="false">D30*$C12</f>
        <v>241.525465469819</v>
      </c>
      <c r="E12" s="1363" t="n">
        <f aca="false">E30*$C12</f>
        <v>54.0205559953818</v>
      </c>
      <c r="F12" s="1363" t="n">
        <f aca="false">F30*$C12</f>
        <v>45.0099316923021</v>
      </c>
      <c r="G12" s="82" t="n">
        <f aca="false">G30*$C12</f>
        <v>125.995150898956</v>
      </c>
      <c r="H12" s="1364" t="n">
        <f aca="false">H30*$C12</f>
        <v>16.4998268831793</v>
      </c>
      <c r="I12" s="1362" t="n">
        <f aca="false">I30*$C12</f>
        <v>12.8690693583447</v>
      </c>
      <c r="J12" s="82" t="n">
        <f aca="false">J30*$C12</f>
        <v>33.6014839831507</v>
      </c>
      <c r="K12" s="1365" t="n">
        <f aca="false">K30*$C12</f>
        <v>20.732414624806</v>
      </c>
      <c r="L12" s="1366" t="n">
        <f aca="false">L30*$C12</f>
        <v>228.656396111474</v>
      </c>
      <c r="M12" s="1367"/>
      <c r="O12" s="435"/>
    </row>
    <row r="13" customFormat="false" ht="12" hidden="false" customHeight="true" outlineLevel="0" collapsed="false">
      <c r="A13" s="1299" t="s">
        <v>413</v>
      </c>
      <c r="B13" s="499" t="s">
        <v>412</v>
      </c>
      <c r="C13" s="1361" t="n">
        <f aca="false">AVERAGE(TableDE1!B50:B53)</f>
        <v>49.24675</v>
      </c>
      <c r="D13" s="1362" t="n">
        <f aca="false">D31*$C13</f>
        <v>314.731492048708</v>
      </c>
      <c r="E13" s="1363" t="n">
        <f aca="false">E31*$C13</f>
        <v>67.8560200431364</v>
      </c>
      <c r="F13" s="1363" t="n">
        <f aca="false">F31*$C13</f>
        <v>61.7423401391051</v>
      </c>
      <c r="G13" s="82" t="n">
        <f aca="false">G31*$C13</f>
        <v>166.04068253048</v>
      </c>
      <c r="H13" s="1364" t="n">
        <f aca="false">H31*$C13</f>
        <v>19.092449335986</v>
      </c>
      <c r="I13" s="1362" t="n">
        <f aca="false">I31*$C13</f>
        <v>15.092689994815</v>
      </c>
      <c r="J13" s="82" t="n">
        <f aca="false">J31*$C13</f>
        <v>45.5496236403562</v>
      </c>
      <c r="K13" s="1365" t="n">
        <f aca="false">K31*$C13</f>
        <v>30.4569336455412</v>
      </c>
      <c r="L13" s="1366" t="n">
        <f aca="false">L31*$C13</f>
        <v>299.638802053893</v>
      </c>
      <c r="M13" s="1367"/>
      <c r="O13" s="435"/>
    </row>
    <row r="14" customFormat="false" ht="12" hidden="false" customHeight="true" outlineLevel="0" collapsed="false">
      <c r="A14" s="1299" t="n">
        <v>1909</v>
      </c>
      <c r="B14" s="496" t="s">
        <v>414</v>
      </c>
      <c r="C14" s="1361" t="n">
        <f aca="false">DataDE1c!B72</f>
        <v>44.289</v>
      </c>
      <c r="D14" s="1362" t="n">
        <f aca="false">(330+358)/2-M14</f>
        <v>321.348939306283</v>
      </c>
      <c r="E14" s="82" t="n">
        <v>50</v>
      </c>
      <c r="F14" s="82" t="n">
        <f aca="false">DataDE1c!BY72</f>
        <v>55.15</v>
      </c>
      <c r="G14" s="82" t="n">
        <f aca="false">D14-E14-F14-H14</f>
        <v>186.198939306283</v>
      </c>
      <c r="H14" s="1375" t="n">
        <v>30</v>
      </c>
      <c r="I14" s="1362" t="n">
        <f aca="false">J14-K14</f>
        <v>5.57983333333333</v>
      </c>
      <c r="J14" s="82" t="n">
        <f aca="false">19+15</f>
        <v>34</v>
      </c>
      <c r="K14" s="1365" t="n">
        <f aca="false">DataDE1c!CP72</f>
        <v>28.4201666666667</v>
      </c>
      <c r="L14" s="1366" t="n">
        <f aca="false">D14-I14</f>
        <v>315.76910597295</v>
      </c>
      <c r="M14" s="1376" t="n">
        <f aca="false">M33*C14</f>
        <v>22.651060693717</v>
      </c>
    </row>
    <row r="15" customFormat="false" ht="12" hidden="false" customHeight="true" outlineLevel="0" collapsed="false">
      <c r="A15" s="1299" t="n">
        <v>1911</v>
      </c>
      <c r="B15" s="496" t="s">
        <v>415</v>
      </c>
      <c r="C15" s="1361" t="n">
        <f aca="false">DataDE1c!B74</f>
        <v>47.923</v>
      </c>
      <c r="D15" s="1362" t="n">
        <f aca="false">300-M15</f>
        <v>275.490375</v>
      </c>
      <c r="E15" s="82" t="n">
        <f aca="false">2*20.45</f>
        <v>40.9</v>
      </c>
      <c r="F15" s="82" t="n">
        <f aca="false">DataDE1c!BY74</f>
        <v>60.4</v>
      </c>
      <c r="G15" s="82" t="n">
        <f aca="false">D15-E15-F15-H15</f>
        <v>153.740375</v>
      </c>
      <c r="H15" s="1375" t="n">
        <v>20.45</v>
      </c>
      <c r="I15" s="1362" t="n">
        <f aca="false">J15-K15</f>
        <v>25</v>
      </c>
      <c r="J15" s="440" t="n">
        <v>50</v>
      </c>
      <c r="K15" s="1377" t="n">
        <v>25</v>
      </c>
      <c r="L15" s="1366" t="n">
        <f aca="false">D15-I15</f>
        <v>250.490375</v>
      </c>
      <c r="M15" s="1376" t="n">
        <f aca="false">375*TableDE1!R51/1000000</f>
        <v>24.509625</v>
      </c>
    </row>
    <row r="16" customFormat="false" ht="12" hidden="false" customHeight="true" outlineLevel="0" collapsed="false">
      <c r="A16" s="1299" t="n">
        <v>1911</v>
      </c>
      <c r="B16" s="496" t="s">
        <v>416</v>
      </c>
      <c r="C16" s="1361" t="n">
        <f aca="false">C15</f>
        <v>47.923</v>
      </c>
      <c r="D16" s="1362" t="n">
        <f aca="false">D15+0.8*20.45</f>
        <v>291.850375</v>
      </c>
      <c r="E16" s="82" t="n">
        <f aca="false">E15/$D15*$D16</f>
        <v>43.3288471058199</v>
      </c>
      <c r="F16" s="82" t="n">
        <f aca="false">F15/$D15*$D16</f>
        <v>63.9868548946583</v>
      </c>
      <c r="G16" s="82" t="n">
        <f aca="false">D16-E16-F16-H16</f>
        <v>164.084672999522</v>
      </c>
      <c r="H16" s="1375" t="n">
        <v>20.45</v>
      </c>
      <c r="I16" s="1362" t="n">
        <f aca="false">J16-K16</f>
        <v>25</v>
      </c>
      <c r="J16" s="440" t="n">
        <f aca="false">J15</f>
        <v>50</v>
      </c>
      <c r="K16" s="1377" t="n">
        <f aca="false">K15</f>
        <v>25</v>
      </c>
      <c r="L16" s="1366" t="n">
        <f aca="false">D16-I16</f>
        <v>266.850375</v>
      </c>
      <c r="M16" s="1376"/>
    </row>
    <row r="17" s="435" customFormat="true" ht="12" hidden="false" customHeight="true" outlineLevel="0" collapsed="false">
      <c r="A17" s="436" t="n">
        <v>1927</v>
      </c>
      <c r="B17" s="1378" t="s">
        <v>417</v>
      </c>
      <c r="C17" s="1368" t="n">
        <f aca="false">TableDE1!B67</f>
        <v>76.393523741984</v>
      </c>
      <c r="D17" s="1379" t="n">
        <f aca="false">L17+I17</f>
        <v>255.899734061334</v>
      </c>
      <c r="E17" s="408" t="n">
        <f aca="false">34.812+1.503+0.146+0.286</f>
        <v>36.747</v>
      </c>
      <c r="F17" s="408" t="n">
        <v>48.81</v>
      </c>
      <c r="G17" s="408" t="n">
        <f aca="false">132.835+I17</f>
        <v>178.842734061334</v>
      </c>
      <c r="H17" s="1380" t="n">
        <f aca="false">DataDE1c!CE90</f>
        <v>-8.5</v>
      </c>
      <c r="I17" s="1369" t="n">
        <f aca="false">J17-K17</f>
        <v>46.0077340613344</v>
      </c>
      <c r="J17" s="444" t="n">
        <f aca="false">J35*C17</f>
        <v>60.9527207392197</v>
      </c>
      <c r="K17" s="1381" t="n">
        <f aca="false">C17*K35</f>
        <v>14.9449866778853</v>
      </c>
      <c r="L17" s="423" t="n">
        <f aca="false">H17+G17+F17+E17-I17</f>
        <v>209.892</v>
      </c>
      <c r="M17" s="1382"/>
      <c r="O17" s="1383"/>
    </row>
    <row r="18" s="435" customFormat="true" ht="12" hidden="false" customHeight="true" outlineLevel="0" collapsed="false">
      <c r="A18" s="416" t="n">
        <v>1950</v>
      </c>
      <c r="B18" s="1384" t="s">
        <v>412</v>
      </c>
      <c r="C18" s="1361" t="n">
        <f aca="false">TableDE1!B90</f>
        <v>50.7503830983098</v>
      </c>
      <c r="D18" s="1385" t="n">
        <f aca="false">D36*$C18</f>
        <v>113.260919488843</v>
      </c>
      <c r="E18" s="440" t="n">
        <v>18.5811912784936</v>
      </c>
      <c r="F18" s="440" t="n">
        <f aca="false">F36*$C18</f>
        <v>30.5590047211061</v>
      </c>
      <c r="G18" s="440" t="n">
        <f aca="false">G36*$C18</f>
        <v>73.8799906085739</v>
      </c>
      <c r="H18" s="1375" t="n">
        <f aca="false">H36*$C18</f>
        <v>-9.75926711933042</v>
      </c>
      <c r="I18" s="1385" t="n">
        <f aca="false">I36*$C18</f>
        <v>21.3537564234874</v>
      </c>
      <c r="J18" s="383" t="n">
        <f aca="false">J36*$C18</f>
        <v>37.9396079681473</v>
      </c>
      <c r="K18" s="1375" t="n">
        <f aca="false">K36*$C18</f>
        <v>16.5858515446598</v>
      </c>
      <c r="L18" s="432" t="n">
        <f aca="false">L36*$C18</f>
        <v>91.9071630653557</v>
      </c>
      <c r="M18" s="1386"/>
    </row>
    <row r="19" s="435" customFormat="true" ht="12" hidden="false" customHeight="true" outlineLevel="0" collapsed="false">
      <c r="A19" s="416" t="s">
        <v>168</v>
      </c>
      <c r="B19" s="499" t="s">
        <v>412</v>
      </c>
      <c r="C19" s="1361" t="n">
        <f aca="false">TableDE2!B90</f>
        <v>90.4018344169669</v>
      </c>
      <c r="D19" s="1385" t="n">
        <f aca="false">D37*$C19</f>
        <v>207.305920172868</v>
      </c>
      <c r="E19" s="440" t="n">
        <v>24.7816781705719</v>
      </c>
      <c r="F19" s="440" t="n">
        <f aca="false">F37*$C19</f>
        <v>58.1886983799981</v>
      </c>
      <c r="G19" s="440" t="n">
        <f aca="false">G37*$C19</f>
        <v>129.047827506236</v>
      </c>
      <c r="H19" s="1375" t="n">
        <f aca="false">H37*$C19</f>
        <v>-4.71228388393774</v>
      </c>
      <c r="I19" s="1387" t="n">
        <f aca="false">I37*$C19</f>
        <v>57.5521150927715</v>
      </c>
      <c r="J19" s="383" t="n">
        <f aca="false">J37*$C19</f>
        <v>78.0650055817854</v>
      </c>
      <c r="K19" s="385" t="n">
        <f aca="false">K37*$C19</f>
        <v>20.5128904890139</v>
      </c>
      <c r="L19" s="381" t="n">
        <f aca="false">L37*$C19</f>
        <v>149.753805080097</v>
      </c>
      <c r="M19" s="1386"/>
    </row>
    <row r="20" s="435" customFormat="true" ht="12" hidden="false" customHeight="true" outlineLevel="0" collapsed="false">
      <c r="A20" s="416" t="s">
        <v>169</v>
      </c>
      <c r="B20" s="499" t="s">
        <v>412</v>
      </c>
      <c r="C20" s="1361" t="n">
        <f aca="false">TableDE2!B100</f>
        <v>209.102274416188</v>
      </c>
      <c r="D20" s="1385" t="n">
        <f aca="false">D38*$C20</f>
        <v>621.650856837614</v>
      </c>
      <c r="E20" s="440" t="n">
        <v>47.8526273043014</v>
      </c>
      <c r="F20" s="440" t="n">
        <f aca="false">F38*$C20</f>
        <v>235.371201597871</v>
      </c>
      <c r="G20" s="440" t="n">
        <f aca="false">G38*$C20</f>
        <v>324.556560094587</v>
      </c>
      <c r="H20" s="1375" t="n">
        <f aca="false">H38*$C20</f>
        <v>13.8704678408546</v>
      </c>
      <c r="I20" s="1387" t="n">
        <f aca="false">I38*$C20</f>
        <v>183.928295689945</v>
      </c>
      <c r="J20" s="383" t="n">
        <f aca="false">J38*$C20</f>
        <v>219.568272045717</v>
      </c>
      <c r="K20" s="385" t="n">
        <f aca="false">K38*$C20</f>
        <v>35.6399763557716</v>
      </c>
      <c r="L20" s="381" t="n">
        <f aca="false">L38*$C20</f>
        <v>437.722561147669</v>
      </c>
      <c r="M20" s="1386"/>
    </row>
    <row r="21" s="435" customFormat="true" ht="12" hidden="false" customHeight="true" outlineLevel="0" collapsed="false">
      <c r="A21" s="416" t="s">
        <v>170</v>
      </c>
      <c r="B21" s="499" t="s">
        <v>412</v>
      </c>
      <c r="C21" s="1361" t="n">
        <f aca="false">TableDE2!B110</f>
        <v>476.038</v>
      </c>
      <c r="D21" s="1385" t="n">
        <f aca="false">D39*$C21</f>
        <v>1491.61516692304</v>
      </c>
      <c r="E21" s="440" t="n">
        <f aca="false">E39*$C21</f>
        <v>66.5143898885836</v>
      </c>
      <c r="F21" s="440" t="n">
        <f aca="false">F39*$C21</f>
        <v>638.121330595156</v>
      </c>
      <c r="G21" s="440" t="n">
        <f aca="false">G39*$C21</f>
        <v>750.960892355972</v>
      </c>
      <c r="H21" s="1375" t="n">
        <f aca="false">H39*$C21</f>
        <v>36.0185540833318</v>
      </c>
      <c r="I21" s="1387" t="n">
        <f aca="false">I39*$C21</f>
        <v>399.410816889892</v>
      </c>
      <c r="J21" s="383" t="n">
        <f aca="false">J39*$C21</f>
        <v>502.398610249783</v>
      </c>
      <c r="K21" s="385" t="n">
        <f aca="false">K39*$C21</f>
        <v>102.987793359891</v>
      </c>
      <c r="L21" s="381" t="n">
        <f aca="false">L39*$C21</f>
        <v>1092.20435003315</v>
      </c>
      <c r="M21" s="1386"/>
    </row>
    <row r="22" s="435" customFormat="true" ht="12" hidden="false" customHeight="true" outlineLevel="0" collapsed="false">
      <c r="A22" s="416" t="s">
        <v>171</v>
      </c>
      <c r="B22" s="499" t="s">
        <v>412</v>
      </c>
      <c r="C22" s="1361" t="n">
        <f aca="false">TableDE2!B120</f>
        <v>840.566</v>
      </c>
      <c r="D22" s="1385" t="n">
        <f aca="false">D40*$C22</f>
        <v>2965.50643387945</v>
      </c>
      <c r="E22" s="440" t="n">
        <f aca="false">E40*$C22</f>
        <v>78.7020134367585</v>
      </c>
      <c r="F22" s="440" t="n">
        <f aca="false">F40*$C22</f>
        <v>1461.05125241785</v>
      </c>
      <c r="G22" s="440" t="n">
        <f aca="false">G40*$C22</f>
        <v>1350.68563466602</v>
      </c>
      <c r="H22" s="1375" t="n">
        <f aca="false">H40*$C22</f>
        <v>75.0675333588212</v>
      </c>
      <c r="I22" s="1387" t="n">
        <f aca="false">I40*$C22</f>
        <v>574.282461625048</v>
      </c>
      <c r="J22" s="383" t="n">
        <f aca="false">J40*$C22</f>
        <v>905.058198122671</v>
      </c>
      <c r="K22" s="385" t="n">
        <f aca="false">K40*$C22</f>
        <v>330.775736497622</v>
      </c>
      <c r="L22" s="381" t="n">
        <f aca="false">L40*$C22</f>
        <v>2391.2239722544</v>
      </c>
      <c r="M22" s="1386"/>
    </row>
    <row r="23" customFormat="false" ht="12" hidden="false" customHeight="false" outlineLevel="0" collapsed="false">
      <c r="A23" s="445" t="s">
        <v>172</v>
      </c>
      <c r="B23" s="510" t="s">
        <v>418</v>
      </c>
      <c r="C23" s="1368" t="n">
        <f aca="false">TableDE2!B130</f>
        <v>1498.985</v>
      </c>
      <c r="D23" s="1379" t="n">
        <f aca="false">D41*$C23</f>
        <v>5323.14345236655</v>
      </c>
      <c r="E23" s="444" t="n">
        <f aca="false">E41*$C23</f>
        <v>69.3827595429146</v>
      </c>
      <c r="F23" s="444" t="n">
        <f aca="false">F41*$C23</f>
        <v>2789.96499615847</v>
      </c>
      <c r="G23" s="444" t="n">
        <f aca="false">G41*$C23</f>
        <v>2298.73841978765</v>
      </c>
      <c r="H23" s="1380" t="n">
        <f aca="false">H41*$C23</f>
        <v>165.057276877515</v>
      </c>
      <c r="I23" s="1388" t="n">
        <f aca="false">I41*$C23</f>
        <v>624.594505451971</v>
      </c>
      <c r="J23" s="408" t="n">
        <f aca="false">J41*$C23</f>
        <v>1477.00545606783</v>
      </c>
      <c r="K23" s="411" t="n">
        <f aca="false">K41*$C23</f>
        <v>852.410950615862</v>
      </c>
      <c r="L23" s="1389" t="n">
        <f aca="false">L41*$C23</f>
        <v>4698.54894691458</v>
      </c>
      <c r="M23" s="1390" t="n">
        <f aca="false">AVERAGE(DataDE2!AV52:AV61)</f>
        <v>738.4375</v>
      </c>
    </row>
    <row r="24" customFormat="false" ht="12" hidden="false" customHeight="false" outlineLevel="0" collapsed="false">
      <c r="A24" s="446" t="s">
        <v>173</v>
      </c>
      <c r="B24" s="496" t="s">
        <v>418</v>
      </c>
      <c r="C24" s="1361" t="n">
        <f aca="false">TableDE2!B140</f>
        <v>1923.81</v>
      </c>
      <c r="D24" s="1385" t="n">
        <f aca="false">D42*$C24</f>
        <v>7455.08637268132</v>
      </c>
      <c r="E24" s="440" t="n">
        <f aca="false">E42*$C24</f>
        <v>62.1690342331944</v>
      </c>
      <c r="F24" s="440" t="n">
        <f aca="false">F42*$C24</f>
        <v>4170.44357222113</v>
      </c>
      <c r="G24" s="440" t="n">
        <f aca="false">G42*$C24</f>
        <v>2880.87488155692</v>
      </c>
      <c r="H24" s="1375" t="n">
        <f aca="false">H42*$C24</f>
        <v>341.598884670076</v>
      </c>
      <c r="I24" s="1387" t="n">
        <f aca="false">I42*$C24</f>
        <v>209.653703615025</v>
      </c>
      <c r="J24" s="383" t="n">
        <f aca="false">J42*$C24</f>
        <v>1690.27048532326</v>
      </c>
      <c r="K24" s="385" t="n">
        <f aca="false">K42*$C24</f>
        <v>1480.61678170823</v>
      </c>
      <c r="L24" s="381" t="n">
        <f aca="false">L42*$C24</f>
        <v>7245.4326690663</v>
      </c>
      <c r="M24" s="1391" t="n">
        <f aca="false">AVERAGE(DataDE2!AV62:AV71)</f>
        <v>868.665</v>
      </c>
    </row>
    <row r="25" customFormat="false" ht="13" hidden="false" customHeight="false" outlineLevel="0" collapsed="false">
      <c r="A25" s="446" t="s">
        <v>174</v>
      </c>
      <c r="B25" s="1392" t="s">
        <v>418</v>
      </c>
      <c r="C25" s="1393" t="n">
        <f aca="false">TableDE2!B150</f>
        <v>2187.38</v>
      </c>
      <c r="D25" s="1385" t="n">
        <f aca="false">D43*$C25</f>
        <v>9062.45423450714</v>
      </c>
      <c r="E25" s="440" t="n">
        <f aca="false">E43*$C25</f>
        <v>74.9457384229705</v>
      </c>
      <c r="F25" s="440" t="n">
        <f aca="false">F43*$C25</f>
        <v>5165.9993845744</v>
      </c>
      <c r="G25" s="440" t="n">
        <f aca="false">G43*$C25</f>
        <v>2974.15527939542</v>
      </c>
      <c r="H25" s="1375" t="n">
        <f aca="false">H43*$C25</f>
        <v>847.353832114352</v>
      </c>
      <c r="I25" s="1394" t="n">
        <f aca="false">I43*$C25</f>
        <v>57.7815685672894</v>
      </c>
      <c r="J25" s="1395" t="n">
        <f aca="false">J43*$C25</f>
        <v>2148.53388980042</v>
      </c>
      <c r="K25" s="1396" t="n">
        <f aca="false">K43*$C25</f>
        <v>2090.75232123313</v>
      </c>
      <c r="L25" s="381" t="n">
        <f aca="false">L43*$C25</f>
        <v>9004.67266593985</v>
      </c>
      <c r="M25" s="1391" t="n">
        <f aca="false">AVERAGE(DataDE2!AV72:AV73)</f>
        <v>908.55</v>
      </c>
    </row>
    <row r="26" customFormat="false" ht="16" hidden="false" customHeight="false" outlineLevel="0" collapsed="false">
      <c r="A26" s="1397" t="s">
        <v>419</v>
      </c>
      <c r="B26" s="1397"/>
      <c r="C26" s="1397"/>
      <c r="D26" s="1397"/>
      <c r="E26" s="1397"/>
      <c r="F26" s="1397"/>
      <c r="G26" s="1397"/>
      <c r="H26" s="1397"/>
      <c r="I26" s="1397"/>
      <c r="J26" s="1397"/>
      <c r="K26" s="1397"/>
      <c r="L26" s="1397"/>
      <c r="M26" s="1397"/>
    </row>
    <row r="27" customFormat="false" ht="12" hidden="false" customHeight="false" outlineLevel="0" collapsed="false">
      <c r="A27" s="447" t="s">
        <v>160</v>
      </c>
      <c r="B27" s="1398" t="s">
        <v>412</v>
      </c>
      <c r="C27" s="1399" t="n">
        <f aca="false">C9/$C9</f>
        <v>1</v>
      </c>
      <c r="D27" s="1318" t="n">
        <f aca="false">TableDE6e!B9</f>
        <v>6.98217537556253</v>
      </c>
      <c r="E27" s="514" t="n">
        <f aca="false">AVERAGE(DataDE1c!BV33:BV42)</f>
        <v>2.81632844774585</v>
      </c>
      <c r="F27" s="514" t="n">
        <f aca="false">AVERAGE(DataDE1c!BZ33:BZ42)</f>
        <v>0.828297344739358</v>
      </c>
      <c r="G27" s="514" t="n">
        <f aca="false">D27-E27-F27-H27</f>
        <v>3.27344445324348</v>
      </c>
      <c r="H27" s="1319" t="n">
        <f aca="false">TableDE6e!G9</f>
        <v>0.0641051298338475</v>
      </c>
      <c r="I27" s="1400" t="n">
        <f aca="false">J27-K27</f>
        <v>0.543187786717424</v>
      </c>
      <c r="J27" s="1401" t="n">
        <f aca="false">TableDE6e!E9</f>
        <v>0.796628872314814</v>
      </c>
      <c r="K27" s="1401" t="n">
        <f aca="false">TableDE6e!F9</f>
        <v>0.253441085597391</v>
      </c>
      <c r="L27" s="1400" t="n">
        <f aca="false">D27-I27</f>
        <v>6.43898758884511</v>
      </c>
      <c r="M27" s="1402"/>
      <c r="O27" s="580"/>
    </row>
    <row r="28" customFormat="false" ht="12" hidden="false" customHeight="false" outlineLevel="0" collapsed="false">
      <c r="A28" s="76" t="s">
        <v>161</v>
      </c>
      <c r="B28" s="499" t="s">
        <v>412</v>
      </c>
      <c r="C28" s="1403" t="n">
        <f aca="false">C10/$C10</f>
        <v>1</v>
      </c>
      <c r="D28" s="1318" t="n">
        <f aca="false">TableDE6e!B19</f>
        <v>6.86125241331373</v>
      </c>
      <c r="E28" s="514" t="n">
        <f aca="false">AVERAGE(DataDE1c!BV43:BV52)</f>
        <v>2.50787719072736</v>
      </c>
      <c r="F28" s="514" t="n">
        <f aca="false">AVERAGE(DataDE1c!BZ43:BZ52)</f>
        <v>0.914206676026306</v>
      </c>
      <c r="G28" s="514" t="n">
        <f aca="false">D28-E28-F28-H28</f>
        <v>3.03404553637065</v>
      </c>
      <c r="H28" s="1319" t="n">
        <f aca="false">TableDE6e!G19</f>
        <v>0.405123010189416</v>
      </c>
      <c r="I28" s="1318" t="n">
        <f aca="false">J28-K28</f>
        <v>0.417904694458206</v>
      </c>
      <c r="J28" s="514" t="n">
        <f aca="false">TableDE6e!E19</f>
        <v>0.869400447192155</v>
      </c>
      <c r="K28" s="514" t="n">
        <f aca="false">TableDE6e!F19</f>
        <v>0.451495752733949</v>
      </c>
      <c r="L28" s="1318" t="n">
        <f aca="false">D28-I28</f>
        <v>6.44334771885553</v>
      </c>
      <c r="M28" s="1402"/>
      <c r="O28" s="580"/>
    </row>
    <row r="29" customFormat="false" ht="12" hidden="false" customHeight="false" outlineLevel="0" collapsed="false">
      <c r="A29" s="94" t="s">
        <v>162</v>
      </c>
      <c r="B29" s="510" t="s">
        <v>412</v>
      </c>
      <c r="C29" s="1404" t="n">
        <f aca="false">C11/$C11</f>
        <v>1</v>
      </c>
      <c r="D29" s="1334" t="n">
        <f aca="false">TableDE6e!B29</f>
        <v>6.20667393416301</v>
      </c>
      <c r="E29" s="842" t="n">
        <f aca="false">AVERAGE(DataDE1c!BV53:BV62)</f>
        <v>1.74236959530919</v>
      </c>
      <c r="F29" s="842" t="n">
        <f aca="false">AVERAGE(DataDE1c!BZ53:BZ62)</f>
        <v>1.00506708305829</v>
      </c>
      <c r="G29" s="842" t="n">
        <f aca="false">D29-E29-F29-H29</f>
        <v>2.98446858841222</v>
      </c>
      <c r="H29" s="1335" t="n">
        <f aca="false">TableDE6e!G29</f>
        <v>0.474768667383322</v>
      </c>
      <c r="I29" s="1334" t="n">
        <f aca="false">J29-K29</f>
        <v>0.283622608787686</v>
      </c>
      <c r="J29" s="842" t="n">
        <f aca="false">TableDE6e!E29</f>
        <v>0.817856295382219</v>
      </c>
      <c r="K29" s="842" t="n">
        <f aca="false">TableDE6e!F29</f>
        <v>0.534233686594533</v>
      </c>
      <c r="L29" s="1334" t="n">
        <f aca="false">D29-I29</f>
        <v>5.92305132537533</v>
      </c>
      <c r="M29" s="1405"/>
      <c r="O29" s="580"/>
    </row>
    <row r="30" customFormat="false" ht="12" hidden="false" customHeight="false" outlineLevel="0" collapsed="false">
      <c r="A30" s="76" t="s">
        <v>163</v>
      </c>
      <c r="B30" s="499" t="s">
        <v>412</v>
      </c>
      <c r="C30" s="1403" t="n">
        <f aca="false">C12/$C12</f>
        <v>1</v>
      </c>
      <c r="D30" s="1318" t="n">
        <f aca="false">TableDE6e!B39</f>
        <v>6.45639825681777</v>
      </c>
      <c r="E30" s="514" t="n">
        <f aca="false">AVERAGE(DataDE1c!BV63:BV72)</f>
        <v>1.44406397429961</v>
      </c>
      <c r="F30" s="514" t="n">
        <f aca="false">AVERAGE(DataDE1c!BZ63:BZ72)</f>
        <v>1.20319422199387</v>
      </c>
      <c r="G30" s="514" t="n">
        <f aca="false">D30-E30-F30-H30</f>
        <v>3.36807082039621</v>
      </c>
      <c r="H30" s="1319" t="n">
        <f aca="false">TableDE6e!G39</f>
        <v>0.44106924012808</v>
      </c>
      <c r="I30" s="1318" t="n">
        <f aca="false">J30-K30</f>
        <v>0.344012739238325</v>
      </c>
      <c r="J30" s="514" t="n">
        <f aca="false">TableDE6e!E39</f>
        <v>0.898226454892865</v>
      </c>
      <c r="K30" s="514" t="n">
        <f aca="false">TableDE6e!F39</f>
        <v>0.55421371565454</v>
      </c>
      <c r="L30" s="1318" t="n">
        <f aca="false">D30-I30</f>
        <v>6.11238551757944</v>
      </c>
      <c r="M30" s="1402"/>
      <c r="O30" s="580"/>
    </row>
    <row r="31" customFormat="false" ht="12" hidden="false" customHeight="false" outlineLevel="0" collapsed="false">
      <c r="A31" s="76" t="s">
        <v>413</v>
      </c>
      <c r="B31" s="499" t="s">
        <v>412</v>
      </c>
      <c r="C31" s="1403" t="n">
        <f aca="false">C13/$C13</f>
        <v>1</v>
      </c>
      <c r="D31" s="1318" t="n">
        <f aca="false">AVERAGE(TableDE6a!J50:J53)</f>
        <v>6.39090888330109</v>
      </c>
      <c r="E31" s="514" t="n">
        <f aca="false">AVERAGE(DataDE1c!BV73:BV76)</f>
        <v>1.37787813496599</v>
      </c>
      <c r="F31" s="514" t="n">
        <f aca="false">AVERAGE(DataDE1c!BZ73:BZ76)</f>
        <v>1.25373431016473</v>
      </c>
      <c r="G31" s="514" t="n">
        <f aca="false">D31-E31-F31-H31</f>
        <v>3.37160690868901</v>
      </c>
      <c r="H31" s="1319" t="n">
        <f aca="false">AVERAGE(TableDE6b!K50:K53)</f>
        <v>0.387689529481356</v>
      </c>
      <c r="I31" s="1318" t="n">
        <f aca="false">J31-K31</f>
        <v>0.306470782230604</v>
      </c>
      <c r="J31" s="514" t="n">
        <f aca="false">AVERAGE(TableDE6a!G50:G53)</f>
        <v>0.92492649038477</v>
      </c>
      <c r="K31" s="514" t="n">
        <f aca="false">AVERAGE(TableDE6a!I50:I53)</f>
        <v>0.618455708154166</v>
      </c>
      <c r="L31" s="1318" t="n">
        <f aca="false">D31-I31</f>
        <v>6.08443810107049</v>
      </c>
      <c r="M31" s="1402"/>
      <c r="O31" s="580"/>
    </row>
    <row r="32" s="1408" customFormat="true" ht="12" hidden="false" customHeight="true" outlineLevel="0" collapsed="false">
      <c r="A32" s="1406" t="n">
        <v>1909</v>
      </c>
      <c r="B32" s="1407" t="s">
        <v>414</v>
      </c>
      <c r="C32" s="1403" t="n">
        <f aca="false">C15/$C15</f>
        <v>1</v>
      </c>
      <c r="D32" s="1318" t="n">
        <f aca="false">D14/$C14</f>
        <v>7.25572804322254</v>
      </c>
      <c r="E32" s="514" t="n">
        <f aca="false">E14/$C14</f>
        <v>1.12894849736955</v>
      </c>
      <c r="F32" s="514" t="n">
        <f aca="false">F14/$C14</f>
        <v>1.24523019259861</v>
      </c>
      <c r="G32" s="514" t="n">
        <f aca="false">G14/$C14</f>
        <v>4.20418025483265</v>
      </c>
      <c r="H32" s="1319" t="n">
        <f aca="false">H14/$C14</f>
        <v>0.67736909842173</v>
      </c>
      <c r="I32" s="1318" t="n">
        <f aca="false">I14/$C14</f>
        <v>0.125986889144784</v>
      </c>
      <c r="J32" s="514" t="n">
        <f aca="false">J14/$C14</f>
        <v>0.767684978211294</v>
      </c>
      <c r="K32" s="1319" t="n">
        <f aca="false">K14/$C14</f>
        <v>0.64169808906651</v>
      </c>
      <c r="L32" s="855" t="n">
        <f aca="false">L14/$C14</f>
        <v>7.12974115407776</v>
      </c>
      <c r="M32" s="1402" t="n">
        <f aca="false">M14/$C14</f>
        <v>0.511437618679966</v>
      </c>
      <c r="P32" s="622"/>
      <c r="Q32" s="622"/>
      <c r="R32" s="622"/>
      <c r="S32" s="622"/>
      <c r="T32" s="622"/>
      <c r="U32" s="622"/>
      <c r="V32" s="622"/>
      <c r="W32" s="622"/>
      <c r="X32" s="622"/>
      <c r="Y32" s="622"/>
      <c r="Z32" s="622"/>
      <c r="AA32" s="622"/>
      <c r="AB32" s="622"/>
      <c r="AC32" s="622"/>
      <c r="AD32" s="622"/>
      <c r="AE32" s="622"/>
      <c r="AF32" s="622"/>
    </row>
    <row r="33" s="1408" customFormat="true" ht="12" hidden="false" customHeight="false" outlineLevel="0" collapsed="false">
      <c r="A33" s="923" t="n">
        <v>1911</v>
      </c>
      <c r="B33" s="1409" t="s">
        <v>415</v>
      </c>
      <c r="C33" s="1403" t="n">
        <f aca="false">C16/$C16</f>
        <v>1</v>
      </c>
      <c r="D33" s="1318" t="n">
        <f aca="false">D15/$C15</f>
        <v>5.74860453227052</v>
      </c>
      <c r="E33" s="514" t="n">
        <f aca="false">E15/$C15</f>
        <v>0.853452413246249</v>
      </c>
      <c r="F33" s="514" t="n">
        <f aca="false">F15/$C15</f>
        <v>1.26035515305803</v>
      </c>
      <c r="G33" s="514" t="n">
        <f aca="false">G15/$C15</f>
        <v>3.20807075934311</v>
      </c>
      <c r="H33" s="1319" t="n">
        <f aca="false">H15/$C15</f>
        <v>0.426726206623125</v>
      </c>
      <c r="I33" s="1318" t="n">
        <f aca="false">I15/$C15</f>
        <v>0.521670179245874</v>
      </c>
      <c r="J33" s="514" t="n">
        <f aca="false">J15/$C15</f>
        <v>1.04334035849175</v>
      </c>
      <c r="K33" s="1319" t="n">
        <f aca="false">K15/$C15</f>
        <v>0.521670179245874</v>
      </c>
      <c r="L33" s="855" t="n">
        <f aca="false">L15/$C15</f>
        <v>5.22693435302464</v>
      </c>
      <c r="M33" s="1402" t="n">
        <f aca="false">M15/$C15</f>
        <v>0.511437618679966</v>
      </c>
    </row>
    <row r="34" s="1408" customFormat="true" ht="12" hidden="false" customHeight="false" outlineLevel="0" collapsed="false">
      <c r="A34" s="1406" t="n">
        <v>1911</v>
      </c>
      <c r="B34" s="1407" t="s">
        <v>416</v>
      </c>
      <c r="C34" s="1403" t="n">
        <f aca="false">C16/$C16</f>
        <v>1</v>
      </c>
      <c r="D34" s="1318" t="n">
        <f aca="false">D16/$C16</f>
        <v>6.08998549756902</v>
      </c>
      <c r="E34" s="514" t="n">
        <f aca="false">E16/$C16</f>
        <v>0.904134697448406</v>
      </c>
      <c r="F34" s="514" t="n">
        <f aca="false">F16/$C16</f>
        <v>1.33520136249104</v>
      </c>
      <c r="G34" s="514" t="n">
        <f aca="false">G16/$C16</f>
        <v>3.42392323100644</v>
      </c>
      <c r="H34" s="1319" t="n">
        <f aca="false">H16/$C16</f>
        <v>0.426726206623125</v>
      </c>
      <c r="I34" s="1318" t="n">
        <f aca="false">I16/$C16</f>
        <v>0.521670179245874</v>
      </c>
      <c r="J34" s="514" t="n">
        <f aca="false">J16/$C16</f>
        <v>1.04334035849175</v>
      </c>
      <c r="K34" s="1319" t="n">
        <f aca="false">K16/$C16</f>
        <v>0.521670179245874</v>
      </c>
      <c r="L34" s="855" t="n">
        <f aca="false">L16/$C16</f>
        <v>5.56831531832314</v>
      </c>
      <c r="M34" s="1402"/>
    </row>
    <row r="35" s="20" customFormat="true" ht="12" hidden="false" customHeight="false" outlineLevel="0" collapsed="false">
      <c r="A35" s="1410" t="n">
        <v>1927</v>
      </c>
      <c r="B35" s="1411" t="s">
        <v>417</v>
      </c>
      <c r="C35" s="1404" t="n">
        <f aca="false">C17/$C17</f>
        <v>1</v>
      </c>
      <c r="D35" s="1334" t="n">
        <f aca="false">D17/$C17</f>
        <v>3.34975691035834</v>
      </c>
      <c r="E35" s="842" t="n">
        <f aca="false">E17/$C17</f>
        <v>0.48102245059557</v>
      </c>
      <c r="F35" s="842" t="n">
        <f aca="false">F17/$C17</f>
        <v>0.638928506097635</v>
      </c>
      <c r="G35" s="842" t="n">
        <f aca="false">G17/$C17</f>
        <v>2.341071929937</v>
      </c>
      <c r="H35" s="1335" t="n">
        <f aca="false">H17/$C17</f>
        <v>-0.111265976271868</v>
      </c>
      <c r="I35" s="1334" t="n">
        <f aca="false">I17/$C17</f>
        <v>0.602246523104808</v>
      </c>
      <c r="J35" s="842" t="n">
        <f aca="false">TableDE6a!G67</f>
        <v>0.797878115232451</v>
      </c>
      <c r="K35" s="1335" t="n">
        <f aca="false">TableDE6a!I67</f>
        <v>0.195631592127644</v>
      </c>
      <c r="L35" s="1333" t="n">
        <f aca="false">L17/$C17</f>
        <v>2.74751038725353</v>
      </c>
      <c r="M35" s="1412"/>
    </row>
    <row r="36" s="20" customFormat="true" ht="12" hidden="false" customHeight="false" outlineLevel="0" collapsed="false">
      <c r="A36" s="923" t="n">
        <v>1950</v>
      </c>
      <c r="B36" s="1413" t="s">
        <v>412</v>
      </c>
      <c r="C36" s="1403" t="n">
        <f aca="false">C18/$C18</f>
        <v>1</v>
      </c>
      <c r="D36" s="1318" t="n">
        <f aca="false">TableDE6a!J90</f>
        <v>2.23172540923371</v>
      </c>
      <c r="E36" s="514" t="n">
        <f aca="false">E18/$C18</f>
        <v>0.366129084040597</v>
      </c>
      <c r="F36" s="514" t="n">
        <f aca="false">DataDE2!AW12</f>
        <v>0.602143330857413</v>
      </c>
      <c r="G36" s="514" t="n">
        <f aca="false">D36-E36-F36-H36</f>
        <v>1.45575237265617</v>
      </c>
      <c r="H36" s="1319" t="n">
        <f aca="false">TableDE6b!K90</f>
        <v>-0.192299378320465</v>
      </c>
      <c r="I36" s="1161" t="n">
        <f aca="false">J36-K36</f>
        <v>0.420760497159648</v>
      </c>
      <c r="J36" s="514" t="n">
        <f aca="false">TableDE6a!G90+TableDE6a!H90</f>
        <v>0.7475728389016</v>
      </c>
      <c r="K36" s="1319" t="n">
        <f aca="false">TableDE6a!I90</f>
        <v>0.326812341741952</v>
      </c>
      <c r="L36" s="1065" t="n">
        <f aca="false">D36-I36</f>
        <v>1.81096491207406</v>
      </c>
      <c r="M36" s="200"/>
    </row>
    <row r="37" s="20" customFormat="true" ht="12" hidden="false" customHeight="false" outlineLevel="0" collapsed="false">
      <c r="A37" s="923" t="s">
        <v>168</v>
      </c>
      <c r="B37" s="1407" t="s">
        <v>412</v>
      </c>
      <c r="C37" s="1403" t="n">
        <f aca="false">C19/$C19</f>
        <v>1</v>
      </c>
      <c r="D37" s="1318" t="n">
        <f aca="false">TableDE6e!B89</f>
        <v>2.29316054823286</v>
      </c>
      <c r="E37" s="514" t="n">
        <f aca="false">E19/$C19</f>
        <v>0.274128045414096</v>
      </c>
      <c r="F37" s="514" t="n">
        <f aca="true">AVERAGE(OFFSET(TableDE6c!D9:D18,ROW($A1:$IV1)*9-9,,,))</f>
        <v>0.643667230375107</v>
      </c>
      <c r="G37" s="514" t="n">
        <f aca="false">D37-E37-F37-H37</f>
        <v>1.42749124880607</v>
      </c>
      <c r="H37" s="1319" t="n">
        <f aca="false">TableDE6e!G89</f>
        <v>-0.0521259763624146</v>
      </c>
      <c r="I37" s="1318" t="n">
        <f aca="false">J37-K37</f>
        <v>0.636625522744591</v>
      </c>
      <c r="J37" s="514" t="n">
        <f aca="false">TableDE6e!E89</f>
        <v>0.86353342368829</v>
      </c>
      <c r="K37" s="1319" t="n">
        <f aca="false">TableDE6e!F89</f>
        <v>0.226907900943699</v>
      </c>
      <c r="L37" s="855" t="n">
        <f aca="false">D37-I37</f>
        <v>1.65653502548827</v>
      </c>
      <c r="M37" s="1402"/>
    </row>
    <row r="38" s="20" customFormat="true" ht="12" hidden="false" customHeight="false" outlineLevel="0" collapsed="false">
      <c r="A38" s="923" t="s">
        <v>169</v>
      </c>
      <c r="B38" s="1407" t="s">
        <v>412</v>
      </c>
      <c r="C38" s="1403" t="n">
        <f aca="false">C20/$C20</f>
        <v>1</v>
      </c>
      <c r="D38" s="1318" t="n">
        <f aca="false">TableDE6e!B99</f>
        <v>2.97295119612285</v>
      </c>
      <c r="E38" s="514" t="n">
        <f aca="false">E20/$C20</f>
        <v>0.228847952218146</v>
      </c>
      <c r="F38" s="514" t="n">
        <f aca="true">AVERAGE(OFFSET(TableDE6c!D10:D19,ROW($A2:$IV2)*9-9,,,))</f>
        <v>1.12562717098619</v>
      </c>
      <c r="G38" s="514" t="n">
        <f aca="false">D38-E38-F38-H38</f>
        <v>1.55214265842276</v>
      </c>
      <c r="H38" s="1319" t="n">
        <f aca="false">TableDE6e!G99</f>
        <v>0.0663334144957576</v>
      </c>
      <c r="I38" s="1318" t="n">
        <f aca="false">J38-K38</f>
        <v>0.879609254387461</v>
      </c>
      <c r="J38" s="514" t="n">
        <f aca="false">TableDE6e!E99</f>
        <v>1.05005205064723</v>
      </c>
      <c r="K38" s="1319" t="n">
        <f aca="false">TableDE6e!F99</f>
        <v>0.170442796259764</v>
      </c>
      <c r="L38" s="855" t="n">
        <f aca="false">D38-I38</f>
        <v>2.09334194173539</v>
      </c>
      <c r="M38" s="1402"/>
    </row>
    <row r="39" s="20" customFormat="true" ht="12" hidden="false" customHeight="false" outlineLevel="0" collapsed="false">
      <c r="A39" s="923" t="s">
        <v>170</v>
      </c>
      <c r="B39" s="1407" t="s">
        <v>412</v>
      </c>
      <c r="C39" s="1403" t="n">
        <f aca="false">C21/$C21</f>
        <v>1</v>
      </c>
      <c r="D39" s="1318" t="n">
        <f aca="false">TableDE6e!B109</f>
        <v>3.1333951636698</v>
      </c>
      <c r="E39" s="514" t="n">
        <f aca="false">AVERAGE(TableDE6c!G29:G38)</f>
        <v>0.139724958697801</v>
      </c>
      <c r="F39" s="514" t="n">
        <f aca="true">AVERAGE(OFFSET(TableDE6c!D11:D20,ROW($A3:$IV3)*9-9,,,))</f>
        <v>1.34048401723215</v>
      </c>
      <c r="G39" s="514" t="n">
        <f aca="false">D39-E39-F39-H39</f>
        <v>1.57752299681112</v>
      </c>
      <c r="H39" s="1319" t="n">
        <f aca="false">TableDE6e!G109</f>
        <v>0.0756631909287321</v>
      </c>
      <c r="I39" s="1318" t="n">
        <f aca="false">J39-K39</f>
        <v>0.839031373314508</v>
      </c>
      <c r="J39" s="514" t="n">
        <f aca="false">TableDE6e!E109</f>
        <v>1.05537501260358</v>
      </c>
      <c r="K39" s="1319" t="n">
        <f aca="false">TableDE6e!F109</f>
        <v>0.216343639289072</v>
      </c>
      <c r="L39" s="855" t="n">
        <f aca="false">D39-I39</f>
        <v>2.29436379035529</v>
      </c>
      <c r="M39" s="1402"/>
    </row>
    <row r="40" s="20" customFormat="true" ht="12" hidden="false" customHeight="false" outlineLevel="0" collapsed="false">
      <c r="A40" s="923" t="s">
        <v>171</v>
      </c>
      <c r="B40" s="1407" t="s">
        <v>412</v>
      </c>
      <c r="C40" s="1403" t="n">
        <f aca="false">C22/$C22</f>
        <v>1</v>
      </c>
      <c r="D40" s="1318" t="n">
        <f aca="false">TableDE6e!B119</f>
        <v>3.52798761058555</v>
      </c>
      <c r="E40" s="514" t="n">
        <f aca="false">AVERAGE(TableDE6c!G39:G48)</f>
        <v>0.0936297844984908</v>
      </c>
      <c r="F40" s="514" t="n">
        <f aca="true">AVERAGE(OFFSET(TableDE6c!D12:D21,ROW($A4:$IV4)*9-9,,,))</f>
        <v>1.73817552984281</v>
      </c>
      <c r="G40" s="514" t="n">
        <f aca="false">D40-E40-F40-H40</f>
        <v>1.60687636029297</v>
      </c>
      <c r="H40" s="1319" t="n">
        <f aca="false">TableDE6e!G119</f>
        <v>0.0893059359512771</v>
      </c>
      <c r="I40" s="1318" t="n">
        <f aca="false">J40-K40</f>
        <v>0.683209244277128</v>
      </c>
      <c r="J40" s="514" t="n">
        <f aca="false">TableDE6e!E119</f>
        <v>1.07672472848375</v>
      </c>
      <c r="K40" s="1319" t="n">
        <f aca="false">TableDE6e!F119</f>
        <v>0.393515484206621</v>
      </c>
      <c r="L40" s="855" t="n">
        <f aca="false">D40-I40</f>
        <v>2.84477836630842</v>
      </c>
      <c r="M40" s="1402"/>
    </row>
    <row r="41" s="20" customFormat="true" ht="12" hidden="false" customHeight="false" outlineLevel="0" collapsed="false">
      <c r="A41" s="1410" t="s">
        <v>172</v>
      </c>
      <c r="B41" s="1414" t="s">
        <v>418</v>
      </c>
      <c r="C41" s="1404" t="n">
        <f aca="false">C23/$C23</f>
        <v>1</v>
      </c>
      <c r="D41" s="1334" t="n">
        <f aca="false">TableDE6e!B129</f>
        <v>3.55116525673476</v>
      </c>
      <c r="E41" s="842" t="n">
        <f aca="false">AVERAGE(TableDE6c!G49:G58)</f>
        <v>0.0462864935559159</v>
      </c>
      <c r="F41" s="842" t="n">
        <f aca="true">AVERAGE(OFFSET(TableDE6c!D13:D22,ROW($A5:$IV5)*9-9,,,))</f>
        <v>1.86123610053367</v>
      </c>
      <c r="G41" s="842" t="n">
        <f aca="false">D41-E41-F41-H41</f>
        <v>1.53352996847043</v>
      </c>
      <c r="H41" s="1335" t="n">
        <f aca="false">TableDE6e!G129</f>
        <v>0.110112694174735</v>
      </c>
      <c r="I41" s="1334" t="n">
        <f aca="false">J41-K41</f>
        <v>0.416678289277058</v>
      </c>
      <c r="J41" s="842" t="n">
        <f aca="false">TableDE6e!E129</f>
        <v>0.985337048781564</v>
      </c>
      <c r="K41" s="1335" t="n">
        <f aca="false">TableDE6e!F129</f>
        <v>0.568658759504506</v>
      </c>
      <c r="L41" s="1333" t="n">
        <f aca="false">D41-I41</f>
        <v>3.1344869674577</v>
      </c>
      <c r="M41" s="1405" t="n">
        <f aca="false">M23/$C23</f>
        <v>0.492625009589822</v>
      </c>
    </row>
    <row r="42" s="20" customFormat="true" ht="12" hidden="false" customHeight="false" outlineLevel="0" collapsed="false">
      <c r="A42" s="923" t="s">
        <v>173</v>
      </c>
      <c r="B42" s="1407" t="s">
        <v>418</v>
      </c>
      <c r="C42" s="1403" t="n">
        <f aca="false">C24/$C24</f>
        <v>1</v>
      </c>
      <c r="D42" s="1318" t="n">
        <f aca="false">TableDE6e!B139</f>
        <v>3.8751676998671</v>
      </c>
      <c r="E42" s="514" t="n">
        <f aca="false">AVERAGE(TableDE6c!G59:G68)</f>
        <v>0.0323155791025072</v>
      </c>
      <c r="F42" s="514" t="n">
        <f aca="true">AVERAGE(OFFSET(TableDE6c!D14:D23,ROW($A6:$IV6)*9-9,,,))</f>
        <v>2.16780429055943</v>
      </c>
      <c r="G42" s="514" t="n">
        <f aca="false">D42-E42-F42-H42</f>
        <v>1.49748409747164</v>
      </c>
      <c r="H42" s="1319" t="n">
        <f aca="false">TableDE6e!G139</f>
        <v>0.177563732733522</v>
      </c>
      <c r="I42" s="1318" t="n">
        <f aca="false">J42-K42</f>
        <v>0.108978383320091</v>
      </c>
      <c r="J42" s="514" t="n">
        <f aca="false">TableDE6e!E139</f>
        <v>0.878605727864631</v>
      </c>
      <c r="K42" s="1319" t="n">
        <f aca="false">TableDE6e!F139</f>
        <v>0.76962734454454</v>
      </c>
      <c r="L42" s="855" t="n">
        <f aca="false">D42-I42</f>
        <v>3.76618931654701</v>
      </c>
      <c r="M42" s="1402" t="n">
        <f aca="false">M24/$C24</f>
        <v>0.451533675362952</v>
      </c>
    </row>
    <row r="43" s="20" customFormat="true" ht="13" hidden="false" customHeight="false" outlineLevel="0" collapsed="false">
      <c r="A43" s="1415" t="s">
        <v>174</v>
      </c>
      <c r="B43" s="1416" t="s">
        <v>418</v>
      </c>
      <c r="C43" s="1417" t="n">
        <f aca="false">C25/$C25</f>
        <v>1</v>
      </c>
      <c r="D43" s="1340" t="n">
        <f aca="false">TableDE6e!B149</f>
        <v>4.14306349811516</v>
      </c>
      <c r="E43" s="739" t="n">
        <f aca="false">TableDE6c!G69</f>
        <v>0.0342627885520442</v>
      </c>
      <c r="F43" s="739" t="n">
        <f aca="false">AVERAGE(TableDE6c!D69:D70)</f>
        <v>2.36172927638289</v>
      </c>
      <c r="G43" s="739" t="n">
        <f aca="false">D43-E43-F43-H43</f>
        <v>1.35968843063181</v>
      </c>
      <c r="H43" s="1341" t="n">
        <f aca="false">TableDE6e!G149</f>
        <v>0.387383002548415</v>
      </c>
      <c r="I43" s="1340" t="n">
        <f aca="false">J43-K43</f>
        <v>0.0264158804447738</v>
      </c>
      <c r="J43" s="739" t="n">
        <f aca="false">TableDE6e!E149</f>
        <v>0.982240803975723</v>
      </c>
      <c r="K43" s="1341" t="n">
        <f aca="false">TableDE6e!F149</f>
        <v>0.95582492353095</v>
      </c>
      <c r="L43" s="1339" t="n">
        <f aca="false">D43-I43</f>
        <v>4.11664761767039</v>
      </c>
      <c r="M43" s="770" t="n">
        <f aca="false">M25/$C25</f>
        <v>0.415359928316068</v>
      </c>
    </row>
    <row r="44" customFormat="false" ht="13" hidden="false" customHeight="false" outlineLevel="0" collapsed="false"/>
    <row r="46" customFormat="false" ht="12" hidden="false" customHeight="true" outlineLevel="0" collapsed="false">
      <c r="A46" s="1418" t="s">
        <v>420</v>
      </c>
      <c r="B46" s="1418"/>
      <c r="C46" s="1418"/>
      <c r="D46" s="1418"/>
      <c r="E46" s="1418"/>
      <c r="F46" s="1418"/>
      <c r="G46" s="1418"/>
      <c r="H46" s="1418"/>
      <c r="I46" s="1418"/>
      <c r="J46" s="1418"/>
      <c r="K46" s="1418"/>
      <c r="L46" s="1418"/>
      <c r="M46" s="1418"/>
    </row>
    <row r="47" customFormat="false" ht="12" hidden="false" customHeight="false" outlineLevel="0" collapsed="false">
      <c r="A47" s="1418"/>
      <c r="B47" s="1418"/>
      <c r="C47" s="1418"/>
      <c r="D47" s="1418"/>
      <c r="E47" s="1418"/>
      <c r="F47" s="1418"/>
      <c r="G47" s="1418"/>
      <c r="H47" s="1418"/>
      <c r="I47" s="1418"/>
      <c r="J47" s="1418"/>
      <c r="K47" s="1418"/>
      <c r="L47" s="1418"/>
      <c r="M47" s="1418"/>
    </row>
    <row r="48" customFormat="false" ht="12" hidden="false" customHeight="false" outlineLevel="0" collapsed="false">
      <c r="A48" s="1419" t="s">
        <v>421</v>
      </c>
      <c r="B48" s="1420"/>
      <c r="C48" s="114"/>
      <c r="D48" s="114"/>
      <c r="E48" s="114"/>
      <c r="F48" s="114"/>
      <c r="G48" s="29"/>
      <c r="H48" s="29"/>
      <c r="I48" s="29"/>
      <c r="J48" s="29"/>
      <c r="K48" s="29"/>
      <c r="L48" s="29"/>
      <c r="M48" s="830"/>
    </row>
    <row r="49" customFormat="false" ht="12" hidden="false" customHeight="false" outlineLevel="0" collapsed="false">
      <c r="A49" s="1421"/>
      <c r="B49" s="29" t="s">
        <v>422</v>
      </c>
      <c r="C49" s="29"/>
      <c r="D49" s="891" t="n">
        <v>0.5</v>
      </c>
      <c r="E49" s="114"/>
      <c r="F49" s="158"/>
      <c r="G49" s="114"/>
      <c r="H49" s="29"/>
      <c r="I49" s="29"/>
      <c r="J49" s="29"/>
      <c r="K49" s="29"/>
      <c r="L49" s="29"/>
      <c r="M49" s="830"/>
    </row>
    <row r="50" customFormat="false" ht="12" hidden="false" customHeight="false" outlineLevel="0" collapsed="false">
      <c r="A50" s="1422"/>
      <c r="B50" s="114" t="s">
        <v>423</v>
      </c>
      <c r="C50" s="114"/>
      <c r="D50" s="891" t="n">
        <v>0.25</v>
      </c>
      <c r="E50" s="114"/>
      <c r="F50" s="158"/>
      <c r="G50" s="29"/>
      <c r="H50" s="29"/>
      <c r="I50" s="29"/>
      <c r="J50" s="29"/>
      <c r="K50" s="29"/>
      <c r="L50" s="29"/>
      <c r="M50" s="830"/>
    </row>
    <row r="51" customFormat="false" ht="12" hidden="false" customHeight="false" outlineLevel="0" collapsed="false">
      <c r="A51" s="1422"/>
      <c r="B51" s="114" t="s">
        <v>424</v>
      </c>
      <c r="C51" s="29"/>
      <c r="D51" s="891" t="n">
        <v>0</v>
      </c>
      <c r="E51" s="114"/>
      <c r="F51" s="158"/>
      <c r="G51" s="29"/>
      <c r="H51" s="29"/>
      <c r="I51" s="29"/>
      <c r="J51" s="29"/>
      <c r="K51" s="29"/>
      <c r="L51" s="29"/>
      <c r="M51" s="830"/>
    </row>
    <row r="52" customFormat="false" ht="12" hidden="false" customHeight="false" outlineLevel="0" collapsed="false">
      <c r="A52" s="1423"/>
      <c r="B52" s="1424" t="s">
        <v>425</v>
      </c>
      <c r="C52" s="999"/>
      <c r="D52" s="1425" t="n">
        <f aca="false">D49*F35/(D35-H35)+D50*G35/(D35-H35)+D51*E35/(D35-H35)</f>
        <v>0.261406025088136</v>
      </c>
      <c r="E52" s="999"/>
      <c r="F52" s="1315"/>
      <c r="G52" s="1315"/>
      <c r="H52" s="1315"/>
      <c r="I52" s="1315"/>
      <c r="J52" s="1315"/>
      <c r="K52" s="1315"/>
      <c r="L52" s="1315"/>
      <c r="M52" s="1426"/>
    </row>
    <row r="53" customFormat="false" ht="12" hidden="false" customHeight="false" outlineLevel="0" collapsed="false">
      <c r="E53" s="20"/>
    </row>
    <row r="54" customFormat="false" ht="12" hidden="false" customHeight="false" outlineLevel="0" collapsed="false">
      <c r="E54" s="25"/>
    </row>
    <row r="59" customFormat="false" ht="12" hidden="false" customHeight="false" outlineLevel="0" collapsed="false">
      <c r="H59" s="983"/>
    </row>
  </sheetData>
  <mergeCells count="9">
    <mergeCell ref="A3:M3"/>
    <mergeCell ref="B6:M6"/>
    <mergeCell ref="E7:E8"/>
    <mergeCell ref="F7:F8"/>
    <mergeCell ref="G7:G8"/>
    <mergeCell ref="H7:H8"/>
    <mergeCell ref="M7:M8"/>
    <mergeCell ref="A26:M26"/>
    <mergeCell ref="A46:M47"/>
  </mergeCells>
  <hyperlinks>
    <hyperlink ref="B1" location="Index!A1" display="Back to index"/>
  </hyperlinks>
  <printOptions headings="false" gridLines="false" gridLinesSet="true" horizontalCentered="true" verticalCentered="true"/>
  <pageMargins left="0.7875" right="0.7875" top="0.984027777777778" bottom="0.9840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C0C0"/>
    <pageSetUpPr fitToPage="false"/>
  </sheetPr>
  <dimension ref="A1:E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10.82421875" defaultRowHeight="15" zeroHeight="false" outlineLevelRow="0" outlineLevelCol="0"/>
  <cols>
    <col collapsed="false" customWidth="true" hidden="false" outlineLevel="0" max="1" min="1" style="1427" width="54.15"/>
    <col collapsed="false" customWidth="true" hidden="false" outlineLevel="0" max="5" min="2" style="1427" width="11.5"/>
    <col collapsed="false" customWidth="false" hidden="false" outlineLevel="0" max="257" min="6" style="1427" width="10.82"/>
  </cols>
  <sheetData>
    <row r="1" customFormat="false" ht="15" hidden="false" customHeight="false" outlineLevel="0" collapsed="false">
      <c r="A1" s="21" t="s">
        <v>9</v>
      </c>
    </row>
    <row r="2" customFormat="false" ht="16" hidden="false" customHeight="false" outlineLevel="0" collapsed="false"/>
    <row r="3" customFormat="false" ht="16" hidden="false" customHeight="false" outlineLevel="0" collapsed="false">
      <c r="A3" s="1428" t="s">
        <v>426</v>
      </c>
      <c r="B3" s="1428"/>
      <c r="C3" s="1428"/>
      <c r="D3" s="1428"/>
      <c r="E3" s="1428"/>
    </row>
    <row r="4" customFormat="false" ht="15" hidden="false" customHeight="false" outlineLevel="0" collapsed="false">
      <c r="A4" s="1429"/>
      <c r="B4" s="1430"/>
      <c r="C4" s="1430"/>
      <c r="D4" s="1430"/>
      <c r="E4" s="1431"/>
    </row>
    <row r="5" customFormat="false" ht="15" hidden="false" customHeight="false" outlineLevel="0" collapsed="false">
      <c r="A5" s="1429"/>
      <c r="B5" s="1432" t="s">
        <v>11</v>
      </c>
      <c r="C5" s="1432" t="s">
        <v>12</v>
      </c>
      <c r="D5" s="1432" t="s">
        <v>13</v>
      </c>
      <c r="E5" s="1433" t="s">
        <v>14</v>
      </c>
    </row>
    <row r="6" customFormat="false" ht="15" hidden="false" customHeight="false" outlineLevel="0" collapsed="false">
      <c r="A6" s="1434"/>
      <c r="B6" s="1435" t="n">
        <v>33239</v>
      </c>
      <c r="C6" s="1435"/>
      <c r="D6" s="1436" t="n">
        <v>35796</v>
      </c>
      <c r="E6" s="1436"/>
    </row>
    <row r="7" customFormat="false" ht="15" hidden="false" customHeight="false" outlineLevel="0" collapsed="false">
      <c r="A7" s="1429"/>
      <c r="B7" s="1437" t="s">
        <v>427</v>
      </c>
      <c r="C7" s="1437" t="s">
        <v>428</v>
      </c>
      <c r="D7" s="1437" t="s">
        <v>427</v>
      </c>
      <c r="E7" s="1438" t="s">
        <v>428</v>
      </c>
    </row>
    <row r="8" customFormat="false" ht="15" hidden="false" customHeight="false" outlineLevel="0" collapsed="false">
      <c r="A8" s="1439" t="s">
        <v>429</v>
      </c>
      <c r="B8" s="1440"/>
      <c r="C8" s="1440"/>
      <c r="D8" s="1440"/>
      <c r="E8" s="1441"/>
    </row>
    <row r="9" customFormat="false" ht="15" hidden="false" customHeight="false" outlineLevel="0" collapsed="false">
      <c r="A9" s="1429"/>
      <c r="B9" s="1440"/>
      <c r="C9" s="1440"/>
      <c r="D9" s="1440"/>
      <c r="E9" s="1441"/>
    </row>
    <row r="10" customFormat="false" ht="15" hidden="false" customHeight="false" outlineLevel="0" collapsed="false">
      <c r="A10" s="1442" t="s">
        <v>430</v>
      </c>
      <c r="B10" s="1443" t="n">
        <v>429.3</v>
      </c>
      <c r="C10" s="1443" t="n">
        <f aca="false">B10/B$49</f>
        <v>219.497604597537</v>
      </c>
      <c r="D10" s="1443" t="n">
        <v>1120.2</v>
      </c>
      <c r="E10" s="1444" t="n">
        <f aca="false">D10/B$49</f>
        <v>572.749165316004</v>
      </c>
    </row>
    <row r="11" customFormat="false" ht="15" hidden="false" customHeight="false" outlineLevel="0" collapsed="false">
      <c r="A11" s="1429" t="s">
        <v>431</v>
      </c>
      <c r="B11" s="1443" t="n">
        <v>177.5</v>
      </c>
      <c r="C11" s="1443" t="n">
        <f aca="false">B11/B$49</f>
        <v>90.7543089123288</v>
      </c>
      <c r="D11" s="1443" t="n">
        <v>544.6</v>
      </c>
      <c r="E11" s="1444" t="n">
        <f aca="false">D11/B$49</f>
        <v>278.449558499461</v>
      </c>
    </row>
    <row r="12" customFormat="false" ht="15" hidden="false" customHeight="false" outlineLevel="0" collapsed="false">
      <c r="A12" s="1429" t="s">
        <v>333</v>
      </c>
      <c r="B12" s="1443" t="n">
        <v>137.3</v>
      </c>
      <c r="C12" s="1443" t="n">
        <f aca="false">B12/B$49</f>
        <v>70.2003752882408</v>
      </c>
      <c r="D12" s="1443" t="n">
        <v>352.8</v>
      </c>
      <c r="E12" s="1444" t="n">
        <f aca="false">D12/B$49</f>
        <v>180.383775686026</v>
      </c>
    </row>
    <row r="13" customFormat="false" ht="15" hidden="false" customHeight="false" outlineLevel="0" collapsed="false">
      <c r="A13" s="1429" t="s">
        <v>432</v>
      </c>
      <c r="B13" s="1443" t="n">
        <v>114.5</v>
      </c>
      <c r="C13" s="1443" t="n">
        <f aca="false">B13/B$49</f>
        <v>58.542920396967</v>
      </c>
      <c r="D13" s="1443" t="n">
        <v>222.8</v>
      </c>
      <c r="E13" s="1444" t="n">
        <f aca="false">D13/B$49</f>
        <v>113.915831130517</v>
      </c>
    </row>
    <row r="14" customFormat="false" ht="15" hidden="false" customHeight="false" outlineLevel="0" collapsed="false">
      <c r="A14" s="1429"/>
      <c r="B14" s="1443"/>
      <c r="C14" s="1443"/>
      <c r="D14" s="1443"/>
      <c r="E14" s="1444"/>
    </row>
    <row r="15" customFormat="false" ht="15" hidden="false" customHeight="false" outlineLevel="0" collapsed="false">
      <c r="A15" s="1442" t="s">
        <v>433</v>
      </c>
      <c r="B15" s="1443" t="n">
        <v>14.2</v>
      </c>
      <c r="C15" s="1443" t="n">
        <f aca="false">B15/B$49</f>
        <v>7.2603447129863</v>
      </c>
      <c r="D15" s="1443" t="n">
        <v>76.3</v>
      </c>
      <c r="E15" s="1444" t="n">
        <f aca="false">D15/B$49</f>
        <v>39.0115705352715</v>
      </c>
    </row>
    <row r="16" customFormat="false" ht="15" hidden="false" customHeight="false" outlineLevel="0" collapsed="false">
      <c r="A16" s="1429" t="s">
        <v>434</v>
      </c>
      <c r="B16" s="1443" t="n">
        <v>10.5</v>
      </c>
      <c r="C16" s="1443" t="n">
        <f aca="false">B16/B$49</f>
        <v>5.36856475256029</v>
      </c>
      <c r="D16" s="1443" t="n">
        <v>54.9</v>
      </c>
      <c r="E16" s="1444" t="n">
        <f aca="false">D16/B$49</f>
        <v>28.0699242776724</v>
      </c>
    </row>
    <row r="17" customFormat="false" ht="15" hidden="false" customHeight="false" outlineLevel="0" collapsed="false">
      <c r="A17" s="1429" t="s">
        <v>435</v>
      </c>
      <c r="B17" s="1443" t="n">
        <v>3.7</v>
      </c>
      <c r="C17" s="1443" t="n">
        <f aca="false">B17/B$49</f>
        <v>1.89177996042601</v>
      </c>
      <c r="D17" s="1443" t="n">
        <v>21.4</v>
      </c>
      <c r="E17" s="1444" t="n">
        <f aca="false">D17/B$49</f>
        <v>10.9416462575991</v>
      </c>
    </row>
    <row r="18" customFormat="false" ht="15" hidden="false" customHeight="false" outlineLevel="0" collapsed="false">
      <c r="A18" s="1429"/>
      <c r="B18" s="1443"/>
      <c r="C18" s="1443"/>
      <c r="D18" s="1443"/>
      <c r="E18" s="1444"/>
    </row>
    <row r="19" customFormat="false" ht="15" hidden="false" customHeight="false" outlineLevel="0" collapsed="false">
      <c r="A19" s="1442" t="s">
        <v>436</v>
      </c>
      <c r="B19" s="1443" t="n">
        <v>415.1</v>
      </c>
      <c r="C19" s="1443" t="n">
        <f aca="false">B19/B$49</f>
        <v>212.23725988455</v>
      </c>
      <c r="D19" s="1443" t="n">
        <v>1043.3</v>
      </c>
      <c r="E19" s="1444" t="n">
        <f aca="false">D19/B$49</f>
        <v>533.430819652015</v>
      </c>
    </row>
    <row r="20" customFormat="false" ht="15" hidden="false" customHeight="false" outlineLevel="0" collapsed="false">
      <c r="A20" s="1429" t="s">
        <v>437</v>
      </c>
      <c r="B20" s="1443" t="n">
        <f aca="false">B19-B13</f>
        <v>300.6</v>
      </c>
      <c r="C20" s="1443" t="n">
        <f aca="false">C19-C13</f>
        <v>153.694339487583</v>
      </c>
      <c r="D20" s="1443" t="n">
        <f aca="false">D19-D13</f>
        <v>820.5</v>
      </c>
      <c r="E20" s="1444" t="n">
        <f aca="false">E19-E13</f>
        <v>419.514988521497</v>
      </c>
    </row>
    <row r="21" customFormat="false" ht="15" hidden="false" customHeight="false" outlineLevel="0" collapsed="false">
      <c r="A21" s="1429"/>
      <c r="B21" s="1443"/>
      <c r="C21" s="1443"/>
      <c r="D21" s="1443"/>
      <c r="E21" s="1444"/>
    </row>
    <row r="22" customFormat="false" ht="15" hidden="false" customHeight="false" outlineLevel="0" collapsed="false">
      <c r="A22" s="1439" t="s">
        <v>438</v>
      </c>
      <c r="B22" s="1443"/>
      <c r="C22" s="1443"/>
      <c r="D22" s="1443"/>
      <c r="E22" s="1444"/>
    </row>
    <row r="23" customFormat="false" ht="15" hidden="false" customHeight="false" outlineLevel="0" collapsed="false">
      <c r="A23" s="1429"/>
      <c r="B23" s="1443"/>
      <c r="C23" s="1443"/>
      <c r="D23" s="1443"/>
      <c r="E23" s="1444"/>
    </row>
    <row r="24" customFormat="false" ht="15" hidden="false" customHeight="false" outlineLevel="0" collapsed="false">
      <c r="A24" s="1429" t="s">
        <v>430</v>
      </c>
      <c r="B24" s="1443" t="n">
        <f aca="false">603.6-(509.3-27.8-13.3+26.4+42.1)</f>
        <v>66.9000000000001</v>
      </c>
      <c r="C24" s="1443" t="n">
        <f aca="false">B24/$B$49</f>
        <v>34.2054268520271</v>
      </c>
      <c r="D24" s="1443"/>
      <c r="E24" s="1444"/>
    </row>
    <row r="25" customFormat="false" ht="15" hidden="false" customHeight="false" outlineLevel="0" collapsed="false">
      <c r="A25" s="1429" t="s">
        <v>433</v>
      </c>
      <c r="B25" s="1443" t="n">
        <f aca="false">1049.1-(1033.9-480.5+432.4)</f>
        <v>63.2999999999998</v>
      </c>
      <c r="C25" s="1443" t="n">
        <f aca="false">B25/$B$49</f>
        <v>32.3647760797206</v>
      </c>
      <c r="D25" s="1443"/>
      <c r="E25" s="1444"/>
    </row>
    <row r="26" customFormat="false" ht="15" hidden="false" customHeight="false" outlineLevel="0" collapsed="false">
      <c r="A26" s="1429" t="s">
        <v>436</v>
      </c>
      <c r="B26" s="1443" t="n">
        <f aca="false">B24-B25</f>
        <v>3.60000000000025</v>
      </c>
      <c r="C26" s="1443" t="n">
        <f aca="false">B26/$B$49</f>
        <v>1.84065077230651</v>
      </c>
      <c r="D26" s="1443"/>
      <c r="E26" s="1444"/>
    </row>
    <row r="27" customFormat="false" ht="15" hidden="false" customHeight="false" outlineLevel="0" collapsed="false">
      <c r="A27" s="1442"/>
      <c r="B27" s="1443"/>
      <c r="C27" s="1443"/>
      <c r="D27" s="1443"/>
      <c r="E27" s="1444"/>
    </row>
    <row r="28" customFormat="false" ht="15" hidden="false" customHeight="false" outlineLevel="0" collapsed="false">
      <c r="A28" s="1439" t="s">
        <v>439</v>
      </c>
      <c r="B28" s="1443"/>
      <c r="C28" s="1443"/>
      <c r="D28" s="1443"/>
      <c r="E28" s="1444"/>
    </row>
    <row r="29" customFormat="false" ht="15" hidden="false" customHeight="false" outlineLevel="0" collapsed="false">
      <c r="A29" s="1442"/>
      <c r="B29" s="1443"/>
      <c r="C29" s="1443"/>
      <c r="D29" s="1443"/>
      <c r="E29" s="1444"/>
    </row>
    <row r="30" customFormat="false" ht="15" hidden="false" customHeight="false" outlineLevel="0" collapsed="false">
      <c r="A30" s="1429" t="s">
        <v>430</v>
      </c>
      <c r="B30" s="1443" t="n">
        <f aca="false">1630.6-(1426-116-199.9+107+373.9)</f>
        <v>39.5999999999999</v>
      </c>
      <c r="C30" s="1443" t="n">
        <f aca="false">B30/$B$49</f>
        <v>20.2471584953702</v>
      </c>
      <c r="D30" s="1443"/>
      <c r="E30" s="1444"/>
    </row>
    <row r="31" customFormat="false" ht="15" hidden="false" customHeight="false" outlineLevel="0" collapsed="false">
      <c r="A31" s="1429" t="s">
        <v>433</v>
      </c>
      <c r="B31" s="1443" t="n">
        <f aca="false">3794.1-(3051.9-67.3-214.9+60.5+668.7)</f>
        <v>295.2</v>
      </c>
      <c r="C31" s="1443" t="n">
        <f aca="false">B31/$B$49</f>
        <v>150.933363329124</v>
      </c>
      <c r="D31" s="1443"/>
      <c r="E31" s="1444"/>
    </row>
    <row r="32" customFormat="false" ht="15" hidden="false" customHeight="false" outlineLevel="0" collapsed="false">
      <c r="A32" s="1429" t="s">
        <v>436</v>
      </c>
      <c r="B32" s="1443" t="n">
        <f aca="false">B30-B31</f>
        <v>-255.6</v>
      </c>
      <c r="C32" s="1443" t="n">
        <f aca="false">B32/$B$49</f>
        <v>-130.686204833754</v>
      </c>
      <c r="D32" s="1443"/>
      <c r="E32" s="1444"/>
    </row>
    <row r="33" customFormat="false" ht="15" hidden="false" customHeight="false" outlineLevel="0" collapsed="false">
      <c r="A33" s="1429"/>
      <c r="B33" s="1443"/>
      <c r="C33" s="1443"/>
      <c r="D33" s="1443"/>
      <c r="E33" s="1444"/>
    </row>
    <row r="34" customFormat="false" ht="15" hidden="false" customHeight="false" outlineLevel="0" collapsed="false">
      <c r="A34" s="1442" t="s">
        <v>404</v>
      </c>
      <c r="B34" s="1443" t="n">
        <f aca="false">C34*B49</f>
        <v>218.1728365</v>
      </c>
      <c r="C34" s="1445" t="n">
        <v>111.55</v>
      </c>
      <c r="D34" s="1443"/>
      <c r="E34" s="1444"/>
    </row>
    <row r="35" customFormat="false" ht="15" hidden="false" customHeight="false" outlineLevel="0" collapsed="false">
      <c r="A35" s="1446" t="s">
        <v>440</v>
      </c>
      <c r="B35" s="1447" t="n">
        <f aca="false">B20/B34</f>
        <v>1.3778067188488</v>
      </c>
      <c r="C35" s="1447" t="n">
        <f aca="false">C20/C34</f>
        <v>1.3778067188488</v>
      </c>
      <c r="D35" s="1440"/>
      <c r="E35" s="1441"/>
    </row>
    <row r="36" customFormat="false" ht="15" hidden="false" customHeight="false" outlineLevel="0" collapsed="false">
      <c r="A36" s="1446" t="s">
        <v>441</v>
      </c>
      <c r="B36" s="1448" t="n">
        <f aca="false">B32/B34</f>
        <v>-1.17154822800317</v>
      </c>
      <c r="C36" s="1448" t="n">
        <f aca="false">C32/C34</f>
        <v>-1.17154822800317</v>
      </c>
      <c r="D36" s="1440"/>
      <c r="E36" s="1441"/>
    </row>
    <row r="37" customFormat="false" ht="16" hidden="false" customHeight="false" outlineLevel="0" collapsed="false">
      <c r="A37" s="1449" t="s">
        <v>442</v>
      </c>
      <c r="B37" s="1450" t="n">
        <f aca="false">B26/B34</f>
        <v>0.0165006792676514</v>
      </c>
      <c r="C37" s="1450" t="n">
        <f aca="false">C26/C34</f>
        <v>0.0165006792676514</v>
      </c>
      <c r="D37" s="1451"/>
      <c r="E37" s="1452"/>
    </row>
    <row r="38" customFormat="false" ht="16" hidden="false" customHeight="false" outlineLevel="0" collapsed="false">
      <c r="A38" s="1453"/>
      <c r="B38" s="1454"/>
      <c r="C38" s="1454"/>
      <c r="D38" s="1430"/>
      <c r="E38" s="1430"/>
    </row>
    <row r="39" customFormat="false" ht="16" hidden="false" customHeight="false" outlineLevel="0" collapsed="false">
      <c r="A39" s="1453"/>
      <c r="B39" s="1454"/>
      <c r="C39" s="1454"/>
      <c r="D39" s="1430"/>
      <c r="E39" s="1430"/>
    </row>
    <row r="40" customFormat="false" ht="15" hidden="false" customHeight="false" outlineLevel="0" collapsed="false">
      <c r="A40" s="1455" t="s">
        <v>443</v>
      </c>
      <c r="B40" s="1456"/>
      <c r="C40" s="1456"/>
      <c r="D40" s="1457"/>
      <c r="E40" s="1458"/>
    </row>
    <row r="41" customFormat="false" ht="15" hidden="false" customHeight="false" outlineLevel="0" collapsed="false">
      <c r="A41" s="1459"/>
      <c r="B41" s="1430"/>
      <c r="C41" s="1430"/>
      <c r="D41" s="1430"/>
      <c r="E41" s="1460"/>
    </row>
    <row r="42" customFormat="false" ht="30" hidden="false" customHeight="true" outlineLevel="0" collapsed="false">
      <c r="A42" s="1461" t="s">
        <v>444</v>
      </c>
      <c r="B42" s="1461"/>
      <c r="C42" s="1461"/>
      <c r="D42" s="1461"/>
      <c r="E42" s="1461"/>
    </row>
    <row r="43" customFormat="false" ht="15" hidden="false" customHeight="false" outlineLevel="0" collapsed="false">
      <c r="A43" s="1462" t="s">
        <v>445</v>
      </c>
      <c r="B43" s="1463"/>
      <c r="C43" s="1463"/>
      <c r="D43" s="1463"/>
      <c r="E43" s="1464"/>
    </row>
    <row r="44" customFormat="false" ht="15" hidden="false" customHeight="false" outlineLevel="0" collapsed="false">
      <c r="A44" s="1462" t="s">
        <v>446</v>
      </c>
      <c r="B44" s="1463"/>
      <c r="C44" s="1463"/>
      <c r="D44" s="1463"/>
      <c r="E44" s="1464"/>
    </row>
    <row r="45" customFormat="false" ht="15" hidden="false" customHeight="false" outlineLevel="0" collapsed="false">
      <c r="A45" s="1462" t="s">
        <v>447</v>
      </c>
      <c r="B45" s="1463"/>
      <c r="C45" s="1463"/>
      <c r="D45" s="1463"/>
      <c r="E45" s="1464"/>
    </row>
    <row r="46" customFormat="false" ht="15" hidden="false" customHeight="false" outlineLevel="0" collapsed="false">
      <c r="A46" s="1462" t="s">
        <v>448</v>
      </c>
      <c r="B46" s="1463"/>
      <c r="C46" s="1463"/>
      <c r="D46" s="1463"/>
      <c r="E46" s="1464"/>
    </row>
    <row r="47" customFormat="false" ht="15" hidden="false" customHeight="false" outlineLevel="0" collapsed="false">
      <c r="A47" s="1462" t="s">
        <v>449</v>
      </c>
      <c r="B47" s="1463"/>
      <c r="C47" s="1463"/>
      <c r="D47" s="1463"/>
      <c r="E47" s="1464"/>
    </row>
    <row r="48" customFormat="false" ht="15" hidden="false" customHeight="false" outlineLevel="0" collapsed="false">
      <c r="A48" s="1459"/>
      <c r="B48" s="1430"/>
      <c r="C48" s="1430"/>
      <c r="D48" s="1430"/>
      <c r="E48" s="1460"/>
    </row>
    <row r="49" customFormat="false" ht="16" hidden="false" customHeight="false" outlineLevel="0" collapsed="false">
      <c r="A49" s="1465" t="s">
        <v>450</v>
      </c>
      <c r="B49" s="1466" t="n">
        <v>1.95583</v>
      </c>
      <c r="C49" s="1467" t="s">
        <v>451</v>
      </c>
      <c r="D49" s="1468"/>
      <c r="E49" s="1469"/>
    </row>
  </sheetData>
  <mergeCells count="4">
    <mergeCell ref="A3:E3"/>
    <mergeCell ref="B6:C6"/>
    <mergeCell ref="D6:E6"/>
    <mergeCell ref="A42:E42"/>
  </mergeCells>
  <hyperlinks>
    <hyperlink ref="A1" location="Index!A1" display="Back to index"/>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C0C0"/>
    <pageSetUpPr fitToPage="true"/>
  </sheetPr>
  <dimension ref="A1:S2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3" activeCellId="0" sqref="A3"/>
    </sheetView>
  </sheetViews>
  <sheetFormatPr defaultColWidth="11.0546875" defaultRowHeight="12" zeroHeight="false" outlineLevelRow="0" outlineLevelCol="0"/>
  <cols>
    <col collapsed="false" customWidth="true" hidden="false" outlineLevel="0" max="1" min="1" style="0" width="12.66"/>
    <col collapsed="false" customWidth="true" hidden="false" outlineLevel="0" max="16" min="2" style="0" width="9.33"/>
    <col collapsed="false" customWidth="true" hidden="false" outlineLevel="0" max="19" min="17" style="0" width="9.66"/>
  </cols>
  <sheetData>
    <row r="1" customFormat="false" ht="12" hidden="false" customHeight="false" outlineLevel="0" collapsed="false">
      <c r="B1" s="21" t="s">
        <v>9</v>
      </c>
      <c r="C1" s="198"/>
      <c r="D1" s="198"/>
      <c r="E1" s="198"/>
      <c r="F1" s="198"/>
      <c r="G1" s="198"/>
      <c r="H1" s="198"/>
      <c r="I1" s="198"/>
      <c r="J1" s="198"/>
      <c r="K1" s="198"/>
      <c r="L1" s="198"/>
      <c r="M1" s="198"/>
      <c r="N1" s="198"/>
      <c r="O1" s="198"/>
      <c r="P1" s="198"/>
    </row>
    <row r="2" customFormat="false" ht="13" hidden="false" customHeight="false" outlineLevel="0" collapsed="false"/>
    <row r="3" customFormat="false" ht="19.75" hidden="false" customHeight="true" outlineLevel="0" collapsed="false">
      <c r="A3" s="27" t="s">
        <v>452</v>
      </c>
      <c r="B3" s="27"/>
      <c r="C3" s="27"/>
      <c r="D3" s="27"/>
      <c r="E3" s="27"/>
      <c r="F3" s="27"/>
      <c r="G3" s="27"/>
      <c r="H3" s="27"/>
      <c r="I3" s="27"/>
      <c r="J3" s="27"/>
      <c r="K3" s="27"/>
      <c r="L3" s="27"/>
      <c r="M3" s="27"/>
      <c r="N3" s="27"/>
      <c r="O3" s="27"/>
      <c r="P3" s="27"/>
    </row>
    <row r="4" customFormat="false" ht="12" hidden="false" customHeight="false" outlineLevel="0" collapsed="false">
      <c r="A4" s="28"/>
      <c r="B4" s="29"/>
      <c r="C4" s="29"/>
      <c r="D4" s="29"/>
      <c r="E4" s="29"/>
      <c r="F4" s="29"/>
      <c r="G4" s="29"/>
      <c r="H4" s="29"/>
      <c r="I4" s="29"/>
      <c r="J4" s="29"/>
      <c r="K4" s="29"/>
      <c r="L4" s="29"/>
      <c r="M4" s="29"/>
      <c r="N4" s="29"/>
      <c r="O4" s="29"/>
      <c r="P4" s="199"/>
    </row>
    <row r="5" customFormat="false" ht="12" hidden="false" customHeight="false" outlineLevel="0" collapsed="false">
      <c r="A5" s="28"/>
      <c r="B5" s="553" t="s">
        <v>11</v>
      </c>
      <c r="C5" s="553" t="s">
        <v>12</v>
      </c>
      <c r="D5" s="553" t="s">
        <v>13</v>
      </c>
      <c r="E5" s="553" t="s">
        <v>14</v>
      </c>
      <c r="F5" s="553" t="s">
        <v>15</v>
      </c>
      <c r="G5" s="553" t="s">
        <v>16</v>
      </c>
      <c r="H5" s="553" t="s">
        <v>17</v>
      </c>
      <c r="I5" s="553" t="s">
        <v>18</v>
      </c>
      <c r="J5" s="553" t="s">
        <v>19</v>
      </c>
      <c r="K5" s="553" t="s">
        <v>20</v>
      </c>
      <c r="L5" s="553" t="s">
        <v>21</v>
      </c>
      <c r="M5" s="553" t="s">
        <v>22</v>
      </c>
      <c r="N5" s="32" t="s">
        <v>23</v>
      </c>
      <c r="O5" s="32" t="s">
        <v>24</v>
      </c>
      <c r="P5" s="555" t="s">
        <v>25</v>
      </c>
    </row>
    <row r="6" customFormat="false" ht="61" hidden="false" customHeight="true" outlineLevel="0" collapsed="false">
      <c r="A6" s="1470" t="s">
        <v>453</v>
      </c>
      <c r="B6" s="1300" t="s">
        <v>404</v>
      </c>
      <c r="C6" s="1350" t="s">
        <v>454</v>
      </c>
      <c r="D6" s="1350" t="s">
        <v>455</v>
      </c>
      <c r="E6" s="565" t="s">
        <v>456</v>
      </c>
      <c r="F6" s="51" t="s">
        <v>457</v>
      </c>
      <c r="G6" s="1471" t="s">
        <v>458</v>
      </c>
      <c r="H6" s="1471" t="s">
        <v>459</v>
      </c>
      <c r="I6" s="1472" t="s">
        <v>460</v>
      </c>
      <c r="J6" s="47" t="s">
        <v>461</v>
      </c>
      <c r="K6" s="1473" t="s">
        <v>462</v>
      </c>
      <c r="L6" s="1474" t="s">
        <v>463</v>
      </c>
      <c r="M6" s="1475" t="s">
        <v>464</v>
      </c>
      <c r="N6" s="1350" t="s">
        <v>465</v>
      </c>
      <c r="O6" s="49" t="s">
        <v>466</v>
      </c>
      <c r="P6" s="1476" t="s">
        <v>467</v>
      </c>
    </row>
    <row r="7" customFormat="false" ht="49.75" hidden="false" customHeight="true" outlineLevel="0" collapsed="false">
      <c r="A7" s="1470"/>
      <c r="B7" s="1308" t="s">
        <v>468</v>
      </c>
      <c r="C7" s="971" t="s">
        <v>469</v>
      </c>
      <c r="D7" s="971" t="s">
        <v>470</v>
      </c>
      <c r="E7" s="565"/>
      <c r="F7" s="51"/>
      <c r="G7" s="1471"/>
      <c r="H7" s="1471"/>
      <c r="I7" s="1472"/>
      <c r="J7" s="47"/>
      <c r="K7" s="1473"/>
      <c r="L7" s="1474"/>
      <c r="M7" s="206" t="s">
        <v>471</v>
      </c>
      <c r="N7" s="971" t="s">
        <v>472</v>
      </c>
      <c r="O7" s="49"/>
      <c r="P7" s="1476"/>
    </row>
    <row r="8" customFormat="false" ht="12" hidden="false" customHeight="false" outlineLevel="0" collapsed="false">
      <c r="A8" s="416" t="n">
        <v>1950</v>
      </c>
      <c r="B8" s="1477" t="n">
        <f aca="false">DataDE1!B11</f>
        <v>50.7503830983098</v>
      </c>
      <c r="C8" s="1478" t="n">
        <f aca="false">DataDE1!F11</f>
        <v>49.9786995068464</v>
      </c>
      <c r="D8" s="1479" t="n">
        <f aca="false">DataDE1!E11</f>
        <v>0.771683591463391</v>
      </c>
      <c r="E8" s="1480" t="n">
        <f aca="false">D8/B8</f>
        <v>0.0152054732270404</v>
      </c>
      <c r="F8" s="1050" t="n">
        <f aca="false">DataDE1!CI11/B8</f>
        <v>-0.000252239856248207</v>
      </c>
      <c r="G8" s="1481" t="n">
        <f aca="false">DataDE1!CJ11/$B8</f>
        <v>0.000411605912447291</v>
      </c>
      <c r="H8" s="1481" t="n">
        <f aca="false">DataDE1!CK11/$B8</f>
        <v>0.000663845768695497</v>
      </c>
      <c r="I8" s="1050" t="n">
        <f aca="false">DataDE1!CL11/B8</f>
        <v>0.0154577130832886</v>
      </c>
      <c r="J8" s="1156" t="n">
        <f aca="false">DataDE1!CO11/DataDE1!B11</f>
        <v>0</v>
      </c>
      <c r="K8" s="1072" t="n">
        <f aca="false">DataDE1!CR11/B8</f>
        <v>-0.0369245935355276</v>
      </c>
      <c r="L8" s="1072" t="n">
        <f aca="false">DataDE1!CU11/B8</f>
        <v>-0.0020149281640132</v>
      </c>
      <c r="M8" s="1482" t="n">
        <f aca="false">DataDE1!G11</f>
        <v>55.051501395389</v>
      </c>
      <c r="N8" s="1479" t="n">
        <f aca="false">DataDE1!H11</f>
        <v>5.07280188854255</v>
      </c>
      <c r="O8" s="829" t="n">
        <f aca="false">N8/M8</f>
        <v>0.0921464766620778</v>
      </c>
      <c r="P8" s="1149" t="n">
        <f aca="false">B8/M8</f>
        <v>0.921871008273002</v>
      </c>
    </row>
    <row r="9" customFormat="false" ht="12" hidden="false" customHeight="false" outlineLevel="0" collapsed="false">
      <c r="A9" s="416" t="n">
        <f aca="false">A8+1</f>
        <v>1951</v>
      </c>
      <c r="B9" s="1477" t="n">
        <f aca="false">DataDE1!B12</f>
        <v>62.1959264596005</v>
      </c>
      <c r="C9" s="1478" t="n">
        <f aca="false">DataDE1!F12</f>
        <v>61.4219111315403</v>
      </c>
      <c r="D9" s="1479" t="n">
        <f aca="false">DataDE1!E12</f>
        <v>0.774015328060209</v>
      </c>
      <c r="E9" s="1480" t="n">
        <f aca="false">D9/B9</f>
        <v>0.0124447913572438</v>
      </c>
      <c r="F9" s="1050" t="n">
        <f aca="false">DataDE1!CI12/B9</f>
        <v>-0.000953863716927384</v>
      </c>
      <c r="G9" s="1481" t="n">
        <f aca="false">DataDE1!CJ12/$B9</f>
        <v>0.000738893198459799</v>
      </c>
      <c r="H9" s="1481" t="n">
        <f aca="false">DataDE1!CK12/$B9</f>
        <v>0.00169275691538718</v>
      </c>
      <c r="I9" s="1050" t="n">
        <f aca="false">DataDE1!CL12/B9</f>
        <v>0.0133986550741712</v>
      </c>
      <c r="J9" s="1156" t="n">
        <f aca="false">DataDE1!CO12/DataDE1!B12</f>
        <v>0</v>
      </c>
      <c r="K9" s="1072" t="n">
        <f aca="false">DataDE1!CR12/B9</f>
        <v>-0.0373880722359637</v>
      </c>
      <c r="L9" s="1072" t="n">
        <f aca="false">DataDE1!CU12/B9</f>
        <v>0.000822066508693828</v>
      </c>
      <c r="M9" s="1482" t="n">
        <f aca="false">DataDE1!G12</f>
        <v>67.5097318294583</v>
      </c>
      <c r="N9" s="1479" t="n">
        <f aca="false">DataDE1!H12</f>
        <v>6.08782069791794</v>
      </c>
      <c r="O9" s="829" t="n">
        <f aca="false">N9/M9</f>
        <v>0.0901769349831943</v>
      </c>
      <c r="P9" s="1149" t="n">
        <f aca="false">B9/M9</f>
        <v>0.921288305761881</v>
      </c>
    </row>
    <row r="10" customFormat="false" ht="12" hidden="false" customHeight="false" outlineLevel="0" collapsed="false">
      <c r="A10" s="416" t="n">
        <f aca="false">A9+1</f>
        <v>1952</v>
      </c>
      <c r="B10" s="1477" t="n">
        <f aca="false">DataDE1!B13</f>
        <v>71.0613197081928</v>
      </c>
      <c r="C10" s="1478" t="n">
        <f aca="false">DataDE1!F13</f>
        <v>70.2393940916415</v>
      </c>
      <c r="D10" s="1479" t="n">
        <f aca="false">DataDE1!E13</f>
        <v>0.821925616551317</v>
      </c>
      <c r="E10" s="1480" t="n">
        <f aca="false">D10/B10</f>
        <v>0.0115664276983102</v>
      </c>
      <c r="F10" s="1050" t="n">
        <f aca="false">DataDE1!CI13/B10</f>
        <v>-0.00119279542556528</v>
      </c>
      <c r="G10" s="1481" t="n">
        <f aca="false">DataDE1!CJ13/$B10</f>
        <v>0.000940670748159879</v>
      </c>
      <c r="H10" s="1481" t="n">
        <f aca="false">DataDE1!CK13/$B10</f>
        <v>0.00213346617372516</v>
      </c>
      <c r="I10" s="1050" t="n">
        <f aca="false">DataDE1!CL13/B10</f>
        <v>0.0127592231238755</v>
      </c>
      <c r="J10" s="1156" t="n">
        <f aca="false">DataDE1!CO13/DataDE1!B13</f>
        <v>0</v>
      </c>
      <c r="K10" s="1072" t="n">
        <f aca="false">DataDE1!CR13/B10</f>
        <v>-0.0394961276360435</v>
      </c>
      <c r="L10" s="1072" t="n">
        <f aca="false">DataDE1!CU13/B10</f>
        <v>0.00280608120543441</v>
      </c>
      <c r="M10" s="1482" t="n">
        <f aca="false">DataDE1!G13</f>
        <v>77.1517265589824</v>
      </c>
      <c r="N10" s="1479" t="n">
        <f aca="false">DataDE1!H13</f>
        <v>6.91233246734091</v>
      </c>
      <c r="O10" s="829" t="n">
        <f aca="false">N10/M10</f>
        <v>0.0895940087880787</v>
      </c>
      <c r="P10" s="1149" t="n">
        <f aca="false">B10/M10</f>
        <v>0.92105935767836</v>
      </c>
    </row>
    <row r="11" customFormat="false" ht="12" hidden="false" customHeight="false" outlineLevel="0" collapsed="false">
      <c r="A11" s="416" t="n">
        <f aca="false">A10+1</f>
        <v>1953</v>
      </c>
      <c r="B11" s="1477" t="n">
        <f aca="false">DataDE1!B14</f>
        <v>76.4154369443251</v>
      </c>
      <c r="C11" s="1478" t="n">
        <f aca="false">DataDE1!F14</f>
        <v>75.6624008262404</v>
      </c>
      <c r="D11" s="1479" t="n">
        <f aca="false">DataDE1!E14</f>
        <v>0.753036118084616</v>
      </c>
      <c r="E11" s="1480" t="n">
        <f aca="false">D11/B11</f>
        <v>0.00985450254813389</v>
      </c>
      <c r="F11" s="1050" t="n">
        <f aca="false">DataDE1!CI14/B11</f>
        <v>-0.000839362262352666</v>
      </c>
      <c r="G11" s="1481" t="n">
        <f aca="false">DataDE1!CJ14/$B11</f>
        <v>0.00158550575315304</v>
      </c>
      <c r="H11" s="1481" t="n">
        <f aca="false">DataDE1!CK14/$B11</f>
        <v>0.0024248680155057</v>
      </c>
      <c r="I11" s="1050" t="n">
        <f aca="false">DataDE1!CL14/B11</f>
        <v>0.0106938648104866</v>
      </c>
      <c r="J11" s="1156" t="n">
        <f aca="false">DataDE1!CO14/DataDE1!B14</f>
        <v>0</v>
      </c>
      <c r="K11" s="1072" t="n">
        <f aca="false">DataDE1!CR14/B11</f>
        <v>-0.0346108982973358</v>
      </c>
      <c r="L11" s="1072" t="n">
        <f aca="false">DataDE1!CU14/B11</f>
        <v>0.0622258366276078</v>
      </c>
      <c r="M11" s="1482" t="n">
        <f aca="false">DataDE1!G14</f>
        <v>82.7883784021812</v>
      </c>
      <c r="N11" s="1479" t="n">
        <f aca="false">DataDE1!H14</f>
        <v>7.12597757594078</v>
      </c>
      <c r="O11" s="829" t="n">
        <f aca="false">N11/M11</f>
        <v>0.0860746123244882</v>
      </c>
      <c r="P11" s="1149" t="n">
        <f aca="false">B11/M11</f>
        <v>0.923021303462465</v>
      </c>
    </row>
    <row r="12" customFormat="false" ht="12" hidden="false" customHeight="false" outlineLevel="0" collapsed="false">
      <c r="A12" s="416" t="n">
        <f aca="false">A11+1</f>
        <v>1954</v>
      </c>
      <c r="B12" s="1477" t="n">
        <f aca="false">DataDE1!B15</f>
        <v>81.8499263433462</v>
      </c>
      <c r="C12" s="1478" t="n">
        <f aca="false">DataDE1!F15</f>
        <v>81.3320915109172</v>
      </c>
      <c r="D12" s="1479" t="n">
        <f aca="false">DataDE1!E15</f>
        <v>0.517834832428955</v>
      </c>
      <c r="E12" s="1480" t="n">
        <f aca="false">D12/B12</f>
        <v>0.0063266377327785</v>
      </c>
      <c r="F12" s="1050" t="n">
        <f aca="false">DataDE1!CI15/B12</f>
        <v>-0.0033594798462923</v>
      </c>
      <c r="G12" s="1481" t="n">
        <f aca="false">DataDE1!CJ15/$B12</f>
        <v>0.00188857552105865</v>
      </c>
      <c r="H12" s="1481" t="n">
        <f aca="false">DataDE1!CK15/$B12</f>
        <v>0.00524805536735095</v>
      </c>
      <c r="I12" s="1050" t="n">
        <f aca="false">DataDE1!CL15/B12</f>
        <v>0.0096861175790708</v>
      </c>
      <c r="J12" s="1156" t="n">
        <f aca="false">DataDE1!CO15/DataDE1!B15</f>
        <v>0</v>
      </c>
      <c r="K12" s="1072" t="n">
        <f aca="false">DataDE1!CR15/B12</f>
        <v>-0.0313242419705361</v>
      </c>
      <c r="L12" s="1072" t="n">
        <f aca="false">DataDE1!CU15/B12</f>
        <v>0.00131180686224203</v>
      </c>
      <c r="M12" s="1482" t="n">
        <f aca="false">DataDE1!G15</f>
        <v>88.8441036311466</v>
      </c>
      <c r="N12" s="1479" t="n">
        <f aca="false">DataDE1!H15</f>
        <v>7.51201212022935</v>
      </c>
      <c r="O12" s="829" t="n">
        <f aca="false">N12/M12</f>
        <v>0.0845527369088771</v>
      </c>
      <c r="P12" s="1149" t="n">
        <f aca="false">B12/M12</f>
        <v>0.921275841592841</v>
      </c>
    </row>
    <row r="13" customFormat="false" ht="12" hidden="false" customHeight="false" outlineLevel="0" collapsed="false">
      <c r="A13" s="416" t="n">
        <f aca="false">A12+1</f>
        <v>1955</v>
      </c>
      <c r="B13" s="1477" t="n">
        <f aca="false">DataDE1!B16</f>
        <v>93.7018568297592</v>
      </c>
      <c r="C13" s="1478" t="n">
        <f aca="false">DataDE1!F16</f>
        <v>93.2017963524128</v>
      </c>
      <c r="D13" s="1479" t="n">
        <f aca="false">DataDE1!E16</f>
        <v>0.500060477346458</v>
      </c>
      <c r="E13" s="1480" t="n">
        <f aca="false">D13/B13</f>
        <v>0.00533671897511044</v>
      </c>
      <c r="F13" s="1050" t="n">
        <f aca="false">DataDE1!CI16/B13</f>
        <v>-0.0037924129201813</v>
      </c>
      <c r="G13" s="1481" t="n">
        <f aca="false">DataDE1!CJ16/$B13</f>
        <v>0.00214014877730484</v>
      </c>
      <c r="H13" s="1481" t="n">
        <f aca="false">DataDE1!CK16/$B13</f>
        <v>0.00593256169748614</v>
      </c>
      <c r="I13" s="1050" t="n">
        <f aca="false">DataDE1!CL16/B13</f>
        <v>0.00912913189529175</v>
      </c>
      <c r="J13" s="1156" t="n">
        <f aca="false">DataDE1!CO16/DataDE1!B16</f>
        <v>0</v>
      </c>
      <c r="K13" s="1072" t="n">
        <f aca="false">DataDE1!CR16/B13</f>
        <v>-0.0294529757985761</v>
      </c>
      <c r="L13" s="1072" t="n">
        <f aca="false">DataDE1!CU16/B13</f>
        <v>-0.000109131643383578</v>
      </c>
      <c r="M13" s="1482" t="n">
        <f aca="false">DataDE1!G16</f>
        <v>101.487405666776</v>
      </c>
      <c r="N13" s="1479" t="n">
        <f aca="false">DataDE1!H16</f>
        <v>8.28560931436275</v>
      </c>
      <c r="O13" s="829" t="n">
        <f aca="false">N13/M13</f>
        <v>0.0816417491404577</v>
      </c>
      <c r="P13" s="1149" t="n">
        <f aca="false">B13/M13</f>
        <v>0.923285566461523</v>
      </c>
    </row>
    <row r="14" customFormat="false" ht="12" hidden="false" customHeight="false" outlineLevel="0" collapsed="false">
      <c r="A14" s="416" t="n">
        <f aca="false">A13+1</f>
        <v>1956</v>
      </c>
      <c r="B14" s="1477" t="n">
        <f aca="false">DataDE1!B17</f>
        <v>103.437600145709</v>
      </c>
      <c r="C14" s="1478" t="n">
        <f aca="false">DataDE1!F17</f>
        <v>102.938117693332</v>
      </c>
      <c r="D14" s="1479" t="n">
        <f aca="false">DataDE1!E17</f>
        <v>0.499482452377386</v>
      </c>
      <c r="E14" s="1480" t="n">
        <f aca="false">D14/B14</f>
        <v>0.00482882870130185</v>
      </c>
      <c r="F14" s="1050" t="n">
        <f aca="false">DataDE1!CI17/B14</f>
        <v>-0.00270747531565076</v>
      </c>
      <c r="G14" s="1481" t="n">
        <f aca="false">DataDE1!CJ17/$B14</f>
        <v>0.00254456200821871</v>
      </c>
      <c r="H14" s="1481" t="n">
        <f aca="false">DataDE1!CK17/$B14</f>
        <v>0.00525203732386947</v>
      </c>
      <c r="I14" s="1050" t="n">
        <f aca="false">DataDE1!CL17/B14</f>
        <v>0.00753630401695261</v>
      </c>
      <c r="J14" s="1156" t="n">
        <f aca="false">DataDE1!CO17/DataDE1!B17</f>
        <v>0</v>
      </c>
      <c r="K14" s="1072" t="n">
        <f aca="false">DataDE1!CR17/B14</f>
        <v>-0.0215752195016769</v>
      </c>
      <c r="L14" s="1072" t="n">
        <f aca="false">DataDE1!CU17/B14</f>
        <v>-0.0013346095397468</v>
      </c>
      <c r="M14" s="1482" t="n">
        <f aca="false">DataDE1!G17</f>
        <v>112.227558809135</v>
      </c>
      <c r="N14" s="1479" t="n">
        <f aca="false">DataDE1!H17</f>
        <v>9.28944111580347</v>
      </c>
      <c r="O14" s="829" t="n">
        <f aca="false">N14/M14</f>
        <v>0.0827732618830457</v>
      </c>
      <c r="P14" s="1149" t="n">
        <f aca="false">B14/M14</f>
        <v>0.921677360207263</v>
      </c>
    </row>
    <row r="15" customFormat="false" ht="12" hidden="false" customHeight="false" outlineLevel="0" collapsed="false">
      <c r="A15" s="416" t="n">
        <f aca="false">A14+1</f>
        <v>1957</v>
      </c>
      <c r="B15" s="1477" t="n">
        <f aca="false">DataDE1!B18</f>
        <v>112.53719409896</v>
      </c>
      <c r="C15" s="1478" t="n">
        <f aca="false">DataDE1!F18</f>
        <v>112.027841756351</v>
      </c>
      <c r="D15" s="1479" t="n">
        <f aca="false">DataDE1!E18</f>
        <v>0.509352342608538</v>
      </c>
      <c r="E15" s="1480" t="n">
        <f aca="false">D15/B15</f>
        <v>0.00452607999236802</v>
      </c>
      <c r="F15" s="1050" t="n">
        <f aca="false">DataDE1!CI18/B15</f>
        <v>-0.00223255132804342</v>
      </c>
      <c r="G15" s="1481" t="n">
        <f aca="false">DataDE1!CJ18/$B15</f>
        <v>0.00308129255662873</v>
      </c>
      <c r="H15" s="1481" t="n">
        <f aca="false">DataDE1!CK18/$B15</f>
        <v>0.00531384388467215</v>
      </c>
      <c r="I15" s="1050" t="n">
        <f aca="false">DataDE1!CL18/B15</f>
        <v>0.00675863132041143</v>
      </c>
      <c r="J15" s="1156" t="n">
        <f aca="false">DataDE1!CO18/DataDE1!B18</f>
        <v>0</v>
      </c>
      <c r="K15" s="1072" t="n">
        <f aca="false">DataDE1!CR18/B15</f>
        <v>-0.0169544733155923</v>
      </c>
      <c r="L15" s="1072" t="n">
        <f aca="false">DataDE1!CU18/B15</f>
        <v>-0.00249882305054307</v>
      </c>
      <c r="M15" s="1482" t="n">
        <f aca="false">DataDE1!G18</f>
        <v>122.373557354441</v>
      </c>
      <c r="N15" s="1479" t="n">
        <f aca="false">DataDE1!H18</f>
        <v>10.34571559809</v>
      </c>
      <c r="O15" s="829" t="n">
        <f aca="false">N15/M15</f>
        <v>0.084542084268457</v>
      </c>
      <c r="P15" s="1149" t="n">
        <f aca="false">B15/M15</f>
        <v>0.919620190275326</v>
      </c>
    </row>
    <row r="16" customFormat="false" ht="12" hidden="false" customHeight="false" outlineLevel="0" collapsed="false">
      <c r="A16" s="416" t="n">
        <f aca="false">A15+1</f>
        <v>1958</v>
      </c>
      <c r="B16" s="1477" t="n">
        <f aca="false">DataDE1!B19</f>
        <v>120.433115708075</v>
      </c>
      <c r="C16" s="1478" t="n">
        <f aca="false">DataDE1!F19</f>
        <v>120.074716446426</v>
      </c>
      <c r="D16" s="1479" t="n">
        <f aca="false">DataDE1!E19</f>
        <v>0.358399261648831</v>
      </c>
      <c r="E16" s="1480" t="n">
        <f aca="false">D16/B16</f>
        <v>0.00297591953460357</v>
      </c>
      <c r="F16" s="1050" t="n">
        <f aca="false">DataDE1!CI19/B16</f>
        <v>-0.00282273032559847</v>
      </c>
      <c r="G16" s="1481" t="n">
        <f aca="false">DataDE1!CJ19/$B16</f>
        <v>0.0031567951113224</v>
      </c>
      <c r="H16" s="1481" t="n">
        <f aca="false">DataDE1!CK19/$B16</f>
        <v>0.00597952543692087</v>
      </c>
      <c r="I16" s="1050" t="n">
        <f aca="false">DataDE1!CL19/B16</f>
        <v>0.00579864986020204</v>
      </c>
      <c r="J16" s="1156" t="n">
        <f aca="false">DataDE1!CO19/DataDE1!B19</f>
        <v>0</v>
      </c>
      <c r="K16" s="1072" t="n">
        <f aca="false">DataDE1!CR19/B16</f>
        <v>-0.0123418958348462</v>
      </c>
      <c r="L16" s="1072" t="n">
        <f aca="false">DataDE1!CU19/B16</f>
        <v>-0.00220763015769265</v>
      </c>
      <c r="M16" s="1482" t="n">
        <f aca="false">DataDE1!G19</f>
        <v>131.493678051899</v>
      </c>
      <c r="N16" s="1479" t="n">
        <f aca="false">DataDE1!H19</f>
        <v>11.4189616054731</v>
      </c>
      <c r="O16" s="829" t="n">
        <f aca="false">N16/M16</f>
        <v>0.0868403848355828</v>
      </c>
      <c r="P16" s="1149" t="n">
        <f aca="false">B16/M16</f>
        <v>0.915885215869779</v>
      </c>
    </row>
    <row r="17" customFormat="false" ht="12" hidden="false" customHeight="false" outlineLevel="0" collapsed="false">
      <c r="A17" s="416" t="n">
        <f aca="false">A16+1</f>
        <v>1959</v>
      </c>
      <c r="B17" s="1477" t="n">
        <f aca="false">DataDE1!B20</f>
        <v>131.635584833392</v>
      </c>
      <c r="C17" s="1478" t="n">
        <f aca="false">DataDE1!F20</f>
        <v>131.504360731029</v>
      </c>
      <c r="D17" s="1479" t="n">
        <f aca="false">DataDE1!E20</f>
        <v>0.131224102363214</v>
      </c>
      <c r="E17" s="1480" t="n">
        <f aca="false">D17/B17</f>
        <v>0.000996874078762978</v>
      </c>
      <c r="F17" s="1050" t="n">
        <f aca="false">DataDE1!CI20/B17</f>
        <v>-0.0040617764519676</v>
      </c>
      <c r="G17" s="1481" t="n">
        <f aca="false">DataDE1!CJ20/$B17</f>
        <v>0.00384028086327699</v>
      </c>
      <c r="H17" s="1481" t="n">
        <f aca="false">DataDE1!CK20/$B17</f>
        <v>0.00790205731524459</v>
      </c>
      <c r="I17" s="1050" t="n">
        <f aca="false">DataDE1!CL20/B17</f>
        <v>0.00505865053073057</v>
      </c>
      <c r="J17" s="1156" t="n">
        <f aca="false">DataDE1!CO20/DataDE1!B20</f>
        <v>0</v>
      </c>
      <c r="K17" s="1072" t="n">
        <f aca="false">DataDE1!CR20/B17</f>
        <v>-0.012488675152954</v>
      </c>
      <c r="L17" s="1072" t="n">
        <f aca="false">DataDE1!CU20/B17</f>
        <v>-0.0044279268808766</v>
      </c>
      <c r="M17" s="1482" t="n">
        <f aca="false">DataDE1!G20</f>
        <v>144.00775535182</v>
      </c>
      <c r="N17" s="1479" t="n">
        <f aca="false">DataDE1!H20</f>
        <v>12.5033946207909</v>
      </c>
      <c r="O17" s="829" t="n">
        <f aca="false">N17/M17</f>
        <v>0.0868244532403431</v>
      </c>
      <c r="P17" s="1149" t="n">
        <f aca="false">B17/M17</f>
        <v>0.914086776172563</v>
      </c>
    </row>
    <row r="18" customFormat="false" ht="12" hidden="false" customHeight="false" outlineLevel="0" collapsed="false">
      <c r="A18" s="864" t="n">
        <f aca="false">A17+1</f>
        <v>1960</v>
      </c>
      <c r="B18" s="1483" t="n">
        <f aca="false">DataDE1!B21</f>
        <v>147.636954320336</v>
      </c>
      <c r="C18" s="1484" t="n">
        <f aca="false">DataDE1!F21</f>
        <v>147.3803316305</v>
      </c>
      <c r="D18" s="1485" t="n">
        <f aca="false">DataDE1!E21</f>
        <v>0.2566226898359</v>
      </c>
      <c r="E18" s="1486" t="n">
        <f aca="false">D18/B18</f>
        <v>0.00173820092006972</v>
      </c>
      <c r="F18" s="1047" t="n">
        <f aca="false">DataDE1!CI21/B18</f>
        <v>-0.00266349668981727</v>
      </c>
      <c r="G18" s="1487" t="n">
        <f aca="false">DataDE1!CJ21/$B18</f>
        <v>0.00489555518947454</v>
      </c>
      <c r="H18" s="1487" t="n">
        <f aca="false">DataDE1!CK21/$B18</f>
        <v>0.00755905187929181</v>
      </c>
      <c r="I18" s="1047" t="n">
        <f aca="false">DataDE1!CL21/B18</f>
        <v>0.00440169760988699</v>
      </c>
      <c r="J18" s="1152" t="n">
        <f aca="false">DataDE1!CO21/DataDE1!B21</f>
        <v>0</v>
      </c>
      <c r="K18" s="1488" t="n">
        <f aca="false">DataDE1!CR21/B18</f>
        <v>-0.0100100620421713</v>
      </c>
      <c r="L18" s="1488" t="n">
        <f aca="false">DataDE1!CU21/B18</f>
        <v>-0.00270127265337468</v>
      </c>
      <c r="M18" s="1489" t="n">
        <f aca="false">DataDE1!G21</f>
        <v>161.457933093422</v>
      </c>
      <c r="N18" s="1485" t="n">
        <f aca="false">DataDE1!H21</f>
        <v>14.0776014629216</v>
      </c>
      <c r="O18" s="1490" t="n">
        <f aca="false">N18/M18</f>
        <v>0.0871905219719129</v>
      </c>
      <c r="P18" s="1154" t="n">
        <f aca="false">B18/M18</f>
        <v>0.914398887014807</v>
      </c>
    </row>
    <row r="19" customFormat="false" ht="12" hidden="false" customHeight="false" outlineLevel="0" collapsed="false">
      <c r="A19" s="416" t="n">
        <f aca="false">A18+1</f>
        <v>1961</v>
      </c>
      <c r="B19" s="1477" t="n">
        <f aca="false">DataDE1!B22</f>
        <v>160.780980025015</v>
      </c>
      <c r="C19" s="1478" t="n">
        <f aca="false">DataDE1!F22</f>
        <v>160.78559498596</v>
      </c>
      <c r="D19" s="1479" t="n">
        <f aca="false">DataDE1!E22</f>
        <v>-0.00461496094406477</v>
      </c>
      <c r="E19" s="1480" t="n">
        <f aca="false">D19/B19</f>
        <v>-2.87034010076736E-005</v>
      </c>
      <c r="F19" s="1050" t="n">
        <f aca="false">DataDE1!CI22/B19</f>
        <v>-0.00388199018251959</v>
      </c>
      <c r="G19" s="1481" t="n">
        <f aca="false">DataDE1!CJ22/$B19</f>
        <v>0.00487446295022347</v>
      </c>
      <c r="H19" s="1481" t="n">
        <f aca="false">DataDE1!CK22/$B19</f>
        <v>0.00875645313274306</v>
      </c>
      <c r="I19" s="1050" t="n">
        <f aca="false">DataDE1!CL22/B19</f>
        <v>0.00385328678151192</v>
      </c>
      <c r="J19" s="1156" t="n">
        <f aca="false">DataDE1!CO22/DataDE1!B22</f>
        <v>0</v>
      </c>
      <c r="K19" s="1072" t="n">
        <f aca="false">DataDE1!CR22/B19</f>
        <v>-0.0111861598234481</v>
      </c>
      <c r="L19" s="1072" t="n">
        <f aca="false">DataDE1!CU22/B19</f>
        <v>-0.00295744838374851</v>
      </c>
      <c r="M19" s="1482" t="n">
        <f aca="false">DataDE1!G22</f>
        <v>176.886017971336</v>
      </c>
      <c r="N19" s="1479" t="n">
        <f aca="false">DataDE1!H22</f>
        <v>16.1004229853763</v>
      </c>
      <c r="O19" s="829" t="n">
        <f aca="false">N19/M19</f>
        <v>0.0910214564725255</v>
      </c>
      <c r="P19" s="1149" t="n">
        <f aca="false">B19/M19</f>
        <v>0.908952453500705</v>
      </c>
    </row>
    <row r="20" customFormat="false" ht="12" hidden="false" customHeight="false" outlineLevel="0" collapsed="false">
      <c r="A20" s="416" t="n">
        <f aca="false">A19+1</f>
        <v>1962</v>
      </c>
      <c r="B20" s="1477" t="n">
        <f aca="false">DataDE1!B23</f>
        <v>173.972243457862</v>
      </c>
      <c r="C20" s="1478" t="n">
        <f aca="false">DataDE1!F23</f>
        <v>173.952016262935</v>
      </c>
      <c r="D20" s="1479" t="n">
        <f aca="false">DataDE1!E23</f>
        <v>0.0202271949272425</v>
      </c>
      <c r="E20" s="1480" t="n">
        <f aca="false">D20/B20</f>
        <v>0.00011626679362873</v>
      </c>
      <c r="F20" s="1050" t="n">
        <f aca="false">DataDE1!CI23/B20</f>
        <v>-0.00380401689294911</v>
      </c>
      <c r="G20" s="1481" t="n">
        <f aca="false">DataDE1!CJ23/$B20</f>
        <v>0.00490529406276579</v>
      </c>
      <c r="H20" s="1481" t="n">
        <f aca="false">DataDE1!CK23/$B20</f>
        <v>0.00870931095571491</v>
      </c>
      <c r="I20" s="1050" t="n">
        <f aca="false">DataDE1!CL23/B20</f>
        <v>0.00392028368657784</v>
      </c>
      <c r="J20" s="1156" t="n">
        <f aca="false">DataDE1!CO23/DataDE1!B23</f>
        <v>0</v>
      </c>
      <c r="K20" s="1072" t="n">
        <f aca="false">DataDE1!CR23/B20</f>
        <v>-0.0121010474715267</v>
      </c>
      <c r="L20" s="1072" t="n">
        <f aca="false">DataDE1!CU23/B20</f>
        <v>-0.00314465285959517</v>
      </c>
      <c r="M20" s="1482" t="n">
        <f aca="false">DataDE1!G23</f>
        <v>192.454553425047</v>
      </c>
      <c r="N20" s="1479" t="n">
        <f aca="false">DataDE1!H23</f>
        <v>18.5025371621124</v>
      </c>
      <c r="O20" s="829" t="n">
        <f aca="false">N20/M20</f>
        <v>0.0961397734313329</v>
      </c>
      <c r="P20" s="1149" t="n">
        <f aca="false">B20/M20</f>
        <v>0.903965327718872</v>
      </c>
    </row>
    <row r="21" customFormat="false" ht="12" hidden="false" customHeight="false" outlineLevel="0" collapsed="false">
      <c r="A21" s="416" t="n">
        <f aca="false">A20+1</f>
        <v>1963</v>
      </c>
      <c r="B21" s="1477" t="n">
        <f aca="false">DataDE1!B24</f>
        <v>183.375176190734</v>
      </c>
      <c r="C21" s="1478" t="n">
        <f aca="false">DataDE1!F24</f>
        <v>183.349123560064</v>
      </c>
      <c r="D21" s="1479" t="n">
        <f aca="false">DataDE1!E24</f>
        <v>0.0260526306701112</v>
      </c>
      <c r="E21" s="1480" t="n">
        <f aca="false">D21/B21</f>
        <v>0.000142072832382792</v>
      </c>
      <c r="F21" s="1050" t="n">
        <f aca="false">DataDE1!CI24/B21</f>
        <v>-0.00358151247360089</v>
      </c>
      <c r="G21" s="1481" t="n">
        <f aca="false">DataDE1!CJ24/$B21</f>
        <v>0.00493868959664105</v>
      </c>
      <c r="H21" s="1481" t="n">
        <f aca="false">DataDE1!CK24/$B21</f>
        <v>0.00852020207024195</v>
      </c>
      <c r="I21" s="1050" t="n">
        <f aca="false">DataDE1!CL24/B21</f>
        <v>0.00372358530598369</v>
      </c>
      <c r="J21" s="1156" t="n">
        <f aca="false">DataDE1!CO24/DataDE1!B24</f>
        <v>0</v>
      </c>
      <c r="K21" s="1072" t="n">
        <f aca="false">DataDE1!CR24/B21</f>
        <v>-0.0122154992306133</v>
      </c>
      <c r="L21" s="1072" t="n">
        <f aca="false">DataDE1!CU24/B21</f>
        <v>-0.0017287016319588</v>
      </c>
      <c r="M21" s="1482" t="n">
        <f aca="false">DataDE1!G24</f>
        <v>204.074428432052</v>
      </c>
      <c r="N21" s="1479" t="n">
        <f aca="false">DataDE1!H24</f>
        <v>20.7253048719875</v>
      </c>
      <c r="O21" s="829" t="n">
        <f aca="false">N21/M21</f>
        <v>0.101557578924633</v>
      </c>
      <c r="P21" s="1149" t="n">
        <f aca="false">B21/M21</f>
        <v>0.898570083472221</v>
      </c>
    </row>
    <row r="22" customFormat="false" ht="12" hidden="false" customHeight="false" outlineLevel="0" collapsed="false">
      <c r="A22" s="416" t="n">
        <f aca="false">A21+1</f>
        <v>1964</v>
      </c>
      <c r="B22" s="1477" t="n">
        <f aca="false">DataDE1!B25</f>
        <v>201.143744286343</v>
      </c>
      <c r="C22" s="1478" t="n">
        <f aca="false">DataDE1!F25</f>
        <v>201.253528699521</v>
      </c>
      <c r="D22" s="1479" t="n">
        <f aca="false">DataDE1!E25</f>
        <v>-0.109784413177677</v>
      </c>
      <c r="E22" s="1480" t="n">
        <f aca="false">D22/B22</f>
        <v>-0.000545800783251758</v>
      </c>
      <c r="F22" s="1050" t="n">
        <f aca="false">DataDE1!CI25/B22</f>
        <v>-0.00381320477725891</v>
      </c>
      <c r="G22" s="1481" t="n">
        <f aca="false">DataDE1!CJ25/$B22</f>
        <v>0.00497863451922667</v>
      </c>
      <c r="H22" s="1481" t="n">
        <f aca="false">DataDE1!CK25/$B22</f>
        <v>0.00879183929648558</v>
      </c>
      <c r="I22" s="1050" t="n">
        <f aca="false">DataDE1!CL25/B22</f>
        <v>0.00326740399400715</v>
      </c>
      <c r="J22" s="1156" t="n">
        <f aca="false">DataDE1!CO25/DataDE1!B25</f>
        <v>0</v>
      </c>
      <c r="K22" s="1072" t="n">
        <f aca="false">DataDE1!CR25/B22</f>
        <v>-0.0120143848672106</v>
      </c>
      <c r="L22" s="1072" t="n">
        <f aca="false">DataDE1!CU25/B22</f>
        <v>-0.00139805757149273</v>
      </c>
      <c r="M22" s="1482" t="n">
        <f aca="false">DataDE1!G25</f>
        <v>224.326284503714</v>
      </c>
      <c r="N22" s="1479" t="n">
        <f aca="false">DataDE1!H25</f>
        <v>23.0727558041927</v>
      </c>
      <c r="O22" s="829" t="n">
        <f aca="false">N22/M22</f>
        <v>0.102853554835259</v>
      </c>
      <c r="P22" s="1149" t="n">
        <f aca="false">B22/M22</f>
        <v>0.896657049045064</v>
      </c>
    </row>
    <row r="23" customFormat="false" ht="12" hidden="false" customHeight="false" outlineLevel="0" collapsed="false">
      <c r="A23" s="416" t="n">
        <f aca="false">A22+1</f>
        <v>1965</v>
      </c>
      <c r="B23" s="1477" t="n">
        <f aca="false">DataDE1!B26</f>
        <v>219.320184347369</v>
      </c>
      <c r="C23" s="1478" t="n">
        <f aca="false">DataDE1!F26</f>
        <v>219.601101445441</v>
      </c>
      <c r="D23" s="1479" t="n">
        <f aca="false">DataDE1!E26</f>
        <v>-0.280917098071326</v>
      </c>
      <c r="E23" s="1480" t="n">
        <f aca="false">D23/B23</f>
        <v>-0.00128085382978885</v>
      </c>
      <c r="F23" s="1050" t="n">
        <f aca="false">DataDE1!CI26/B23</f>
        <v>-0.00411528847078728</v>
      </c>
      <c r="G23" s="1481" t="n">
        <f aca="false">DataDE1!CJ26/$B23</f>
        <v>0.00514173988069976</v>
      </c>
      <c r="H23" s="1481" t="n">
        <f aca="false">DataDE1!CK26/$B23</f>
        <v>0.00925702835148703</v>
      </c>
      <c r="I23" s="1050" t="n">
        <f aca="false">DataDE1!CL26/B23</f>
        <v>0.00283443464099843</v>
      </c>
      <c r="J23" s="1156" t="n">
        <f aca="false">DataDE1!CO26/DataDE1!B26</f>
        <v>0</v>
      </c>
      <c r="K23" s="1072" t="n">
        <f aca="false">DataDE1!CR26/B23</f>
        <v>-0.0130952742884148</v>
      </c>
      <c r="L23" s="1072" t="n">
        <f aca="false">DataDE1!CU26/B23</f>
        <v>-0.00170181816317499</v>
      </c>
      <c r="M23" s="1482" t="n">
        <f aca="false">DataDE1!G26</f>
        <v>245.248958220128</v>
      </c>
      <c r="N23" s="1479" t="n">
        <f aca="false">DataDE1!H26</f>
        <v>25.6478567746876</v>
      </c>
      <c r="O23" s="829" t="n">
        <f aca="false">N23/M23</f>
        <v>0.10457886125521</v>
      </c>
      <c r="P23" s="1149" t="n">
        <f aca="false">B23/M23</f>
        <v>0.894275702286629</v>
      </c>
    </row>
    <row r="24" customFormat="false" ht="12" hidden="false" customHeight="false" outlineLevel="0" collapsed="false">
      <c r="A24" s="416" t="n">
        <f aca="false">A23+1</f>
        <v>1966</v>
      </c>
      <c r="B24" s="1477" t="n">
        <f aca="false">DataDE1!B27</f>
        <v>232.323428114566</v>
      </c>
      <c r="C24" s="1478" t="n">
        <f aca="false">DataDE1!F27</f>
        <v>232.535071054245</v>
      </c>
      <c r="D24" s="1479" t="n">
        <f aca="false">DataDE1!E27</f>
        <v>-0.211642939679553</v>
      </c>
      <c r="E24" s="1480" t="n">
        <f aca="false">D24/B24</f>
        <v>-0.000910984059580878</v>
      </c>
      <c r="F24" s="1050" t="n">
        <f aca="false">DataDE1!CI27/B24</f>
        <v>-0.00372466479052686</v>
      </c>
      <c r="G24" s="1481" t="n">
        <f aca="false">DataDE1!CJ27/$B24</f>
        <v>0.00573478788690368</v>
      </c>
      <c r="H24" s="1481" t="n">
        <f aca="false">DataDE1!CK27/$B24</f>
        <v>0.00945945267743055</v>
      </c>
      <c r="I24" s="1050" t="n">
        <f aca="false">DataDE1!CL27/B24</f>
        <v>0.00281368073094599</v>
      </c>
      <c r="J24" s="1156" t="n">
        <f aca="false">DataDE1!CO27/DataDE1!B27</f>
        <v>0</v>
      </c>
      <c r="K24" s="1072" t="n">
        <f aca="false">DataDE1!CR27/B24</f>
        <v>-0.0124023335932524</v>
      </c>
      <c r="L24" s="1072" t="n">
        <f aca="false">DataDE1!CU27/B24</f>
        <v>-0.00147452008254861</v>
      </c>
      <c r="M24" s="1482" t="n">
        <f aca="false">DataDE1!G27</f>
        <v>260.839093094714</v>
      </c>
      <c r="N24" s="1479" t="n">
        <f aca="false">DataDE1!H27</f>
        <v>28.3040220404692</v>
      </c>
      <c r="O24" s="829" t="n">
        <f aca="false">N24/M24</f>
        <v>0.108511426353532</v>
      </c>
      <c r="P24" s="1149" t="n">
        <f aca="false">B24/M24</f>
        <v>0.890677180932406</v>
      </c>
    </row>
    <row r="25" customFormat="false" ht="12" hidden="false" customHeight="false" outlineLevel="0" collapsed="false">
      <c r="A25" s="416" t="n">
        <f aca="false">A24+1</f>
        <v>1967</v>
      </c>
      <c r="B25" s="1477" t="n">
        <f aca="false">DataDE1!B28</f>
        <v>234.034914214422</v>
      </c>
      <c r="C25" s="1478" t="n">
        <f aca="false">DataDE1!F28</f>
        <v>234.143957637796</v>
      </c>
      <c r="D25" s="1479" t="n">
        <f aca="false">DataDE1!E28</f>
        <v>-0.109043423374037</v>
      </c>
      <c r="E25" s="1480" t="n">
        <f aca="false">D25/B25</f>
        <v>-0.000465928016510101</v>
      </c>
      <c r="F25" s="1050" t="n">
        <f aca="false">DataDE1!CI28/B25</f>
        <v>-0.0038328104287973</v>
      </c>
      <c r="G25" s="1481" t="n">
        <f aca="false">DataDE1!CJ28/$B25</f>
        <v>0.00649282526377824</v>
      </c>
      <c r="H25" s="1481" t="n">
        <f aca="false">DataDE1!CK28/$B25</f>
        <v>0.0103256356925755</v>
      </c>
      <c r="I25" s="1050" t="n">
        <f aca="false">DataDE1!CL28/B25</f>
        <v>0.0033668824122872</v>
      </c>
      <c r="J25" s="1156" t="n">
        <f aca="false">DataDE1!CO28/DataDE1!B28</f>
        <v>0</v>
      </c>
      <c r="K25" s="1072" t="n">
        <f aca="false">DataDE1!CR28/B25</f>
        <v>-0.0127683579004623</v>
      </c>
      <c r="L25" s="1072" t="n">
        <f aca="false">DataDE1!CU28/B25</f>
        <v>-0.00128896242220247</v>
      </c>
      <c r="M25" s="1482" t="n">
        <f aca="false">DataDE1!G28</f>
        <v>264.06904768286</v>
      </c>
      <c r="N25" s="1479" t="n">
        <f aca="false">DataDE1!H28</f>
        <v>29.9250900450639</v>
      </c>
      <c r="O25" s="829" t="n">
        <f aca="false">N25/M25</f>
        <v>0.113322974834231</v>
      </c>
      <c r="P25" s="1149" t="n">
        <f aca="false">B25/M25</f>
        <v>0.88626408989626</v>
      </c>
    </row>
    <row r="26" customFormat="false" ht="12" hidden="false" customHeight="false" outlineLevel="0" collapsed="false">
      <c r="A26" s="416" t="n">
        <f aca="false">A25+1</f>
        <v>1968</v>
      </c>
      <c r="B26" s="1477" t="n">
        <f aca="false">DataDE1!B29</f>
        <v>253.708420528518</v>
      </c>
      <c r="C26" s="1478" t="n">
        <f aca="false">DataDE1!F29</f>
        <v>253.347814308427</v>
      </c>
      <c r="D26" s="1479" t="n">
        <f aca="false">DataDE1!E29</f>
        <v>0.360606220090304</v>
      </c>
      <c r="E26" s="1480" t="n">
        <f aca="false">D26/B26</f>
        <v>0.00142134115745587</v>
      </c>
      <c r="F26" s="1050" t="n">
        <f aca="false">DataDE1!CI29/B26</f>
        <v>-0.00178951019858362</v>
      </c>
      <c r="G26" s="1481" t="n">
        <f aca="false">DataDE1!CJ29/$B26</f>
        <v>0.00743090920592518</v>
      </c>
      <c r="H26" s="1481" t="n">
        <f aca="false">DataDE1!CK29/$B26</f>
        <v>0.0092204194045088</v>
      </c>
      <c r="I26" s="1050" t="n">
        <f aca="false">DataDE1!CL29/B26</f>
        <v>0.00321085135603949</v>
      </c>
      <c r="J26" s="1156" t="n">
        <f aca="false">DataDE1!CO29/DataDE1!B29</f>
        <v>0</v>
      </c>
      <c r="K26" s="1072" t="n">
        <f aca="false">DataDE1!CR29/B26</f>
        <v>-0.0136466520275065</v>
      </c>
      <c r="L26" s="1072" t="n">
        <f aca="false">DataDE1!CU29/B26</f>
        <v>-0.00122931689409432</v>
      </c>
      <c r="M26" s="1482" t="n">
        <f aca="false">DataDE1!G29</f>
        <v>285.19632701856</v>
      </c>
      <c r="N26" s="1479" t="n">
        <f aca="false">DataDE1!H29</f>
        <v>31.8485127101328</v>
      </c>
      <c r="O26" s="829" t="n">
        <f aca="false">N26/M26</f>
        <v>0.111672240112896</v>
      </c>
      <c r="P26" s="1149" t="n">
        <f aca="false">B26/M26</f>
        <v>0.889592173857157</v>
      </c>
    </row>
    <row r="27" customFormat="false" ht="12" hidden="false" customHeight="false" outlineLevel="0" collapsed="false">
      <c r="A27" s="436" t="n">
        <f aca="false">A26+1</f>
        <v>1969</v>
      </c>
      <c r="B27" s="1491" t="n">
        <f aca="false">DataDE1!B30</f>
        <v>284.726698676712</v>
      </c>
      <c r="C27" s="1492" t="n">
        <f aca="false">DataDE1!F30</f>
        <v>284.178914965271</v>
      </c>
      <c r="D27" s="1493" t="n">
        <f aca="false">DataDE1!E30</f>
        <v>0.547783711441189</v>
      </c>
      <c r="E27" s="1494" t="n">
        <f aca="false">D27/B27</f>
        <v>0.00192389303141242</v>
      </c>
      <c r="F27" s="1062" t="n">
        <f aca="false">DataDE1!CI30/B27</f>
        <v>-0.00077814075993048</v>
      </c>
      <c r="G27" s="1495" t="n">
        <f aca="false">DataDE1!CJ30/$B27</f>
        <v>0.00891516329419483</v>
      </c>
      <c r="H27" s="1495" t="n">
        <f aca="false">DataDE1!CK30/$B27</f>
        <v>0.00969330405412531</v>
      </c>
      <c r="I27" s="1062" t="n">
        <f aca="false">DataDE1!CL30/B27</f>
        <v>0.0027020337913429</v>
      </c>
      <c r="J27" s="1159" t="n">
        <f aca="false">DataDE1!CO30/DataDE1!B30</f>
        <v>0</v>
      </c>
      <c r="K27" s="1496" t="n">
        <f aca="false">DataDE1!CR30/B27</f>
        <v>-0.0148041617319645</v>
      </c>
      <c r="L27" s="1496" t="n">
        <f aca="false">DataDE1!CU30/B27</f>
        <v>-0.00105947988477289</v>
      </c>
      <c r="M27" s="1497" t="n">
        <f aca="false">DataDE1!G30</f>
        <v>318.796487388821</v>
      </c>
      <c r="N27" s="1493" t="n">
        <f aca="false">DataDE1!H30</f>
        <v>34.6175724235496</v>
      </c>
      <c r="O27" s="1498" t="n">
        <f aca="false">N27/M27</f>
        <v>0.108588311957554</v>
      </c>
      <c r="P27" s="1148" t="n">
        <f aca="false">B27/M27</f>
        <v>0.89312997457668</v>
      </c>
    </row>
    <row r="28" customFormat="false" ht="12" hidden="false" customHeight="false" outlineLevel="0" collapsed="false">
      <c r="A28" s="416" t="n">
        <f aca="false">A27+1</f>
        <v>1970</v>
      </c>
      <c r="B28" s="1477" t="n">
        <f aca="false">DataDE1!B31</f>
        <v>321.12</v>
      </c>
      <c r="C28" s="1478" t="n">
        <f aca="false">DataDE1!F31</f>
        <v>320.08</v>
      </c>
      <c r="D28" s="1479" t="n">
        <f aca="false">DataDE1!E31</f>
        <v>1.04</v>
      </c>
      <c r="E28" s="1480" t="n">
        <f aca="false">D28/B28</f>
        <v>0.00323866467364225</v>
      </c>
      <c r="F28" s="1050" t="n">
        <f aca="false">DataDE1!CI31/B28</f>
        <v>-0.00112107623318386</v>
      </c>
      <c r="G28" s="1481" t="n">
        <f aca="false">DataDE1!CJ31/$B28</f>
        <v>0.01049451918286</v>
      </c>
      <c r="H28" s="1481" t="n">
        <f aca="false">DataDE1!CK31/$B28</f>
        <v>0.0116155954160438</v>
      </c>
      <c r="I28" s="1050" t="n">
        <f aca="false">DataDE1!CL31/B28</f>
        <v>0.00224215246636771</v>
      </c>
      <c r="J28" s="1156" t="n">
        <f aca="false">DataDE1!CO31/DataDE1!B31</f>
        <v>0.0021175884404584</v>
      </c>
      <c r="K28" s="1072" t="n">
        <f aca="false">DataDE1!CR31/B28</f>
        <v>-0.0149788241155954</v>
      </c>
      <c r="L28" s="1072" t="n">
        <f aca="false">DataDE1!CU31/B28</f>
        <v>-0.000373692077727952</v>
      </c>
      <c r="M28" s="1482" t="n">
        <f aca="false">DataDE1!G31</f>
        <v>360.6</v>
      </c>
      <c r="N28" s="1479" t="n">
        <f aca="false">DataDE1!H31</f>
        <v>40.52</v>
      </c>
      <c r="O28" s="829" t="n">
        <f aca="false">N28/M28</f>
        <v>0.11236827509706</v>
      </c>
      <c r="P28" s="1149" t="n">
        <f aca="false">B28/M28</f>
        <v>0.890515806988353</v>
      </c>
    </row>
    <row r="29" customFormat="false" ht="12" hidden="false" customHeight="false" outlineLevel="0" collapsed="false">
      <c r="A29" s="416" t="n">
        <v>1971</v>
      </c>
      <c r="B29" s="1477" t="n">
        <f aca="false">DataDE1!B32</f>
        <v>354.54</v>
      </c>
      <c r="C29" s="1478" t="n">
        <f aca="false">DataDE1!F32</f>
        <v>353.94</v>
      </c>
      <c r="D29" s="1479" t="n">
        <f aca="false">DataDE1!E32</f>
        <v>0.6</v>
      </c>
      <c r="E29" s="1480" t="n">
        <f aca="false">D29/B29</f>
        <v>0.0016923337282112</v>
      </c>
      <c r="F29" s="1050" t="n">
        <f aca="false">DataDE1!CI32/B29</f>
        <v>0.000225644497094827</v>
      </c>
      <c r="G29" s="1481" t="n">
        <f aca="false">DataDE1!CJ32/$B29</f>
        <v>0.0130027641450894</v>
      </c>
      <c r="H29" s="1481" t="n">
        <f aca="false">DataDE1!CK32/$B29</f>
        <v>0.0127771196479946</v>
      </c>
      <c r="I29" s="1050" t="n">
        <f aca="false">DataDE1!CL32/B29</f>
        <v>0.00279235065154849</v>
      </c>
      <c r="J29" s="1156" t="n">
        <f aca="false">DataDE1!CO32/DataDE1!B32</f>
        <v>-0.00132566142043211</v>
      </c>
      <c r="K29" s="1072" t="n">
        <f aca="false">DataDE1!CR32/B29</f>
        <v>-0.0140745755062898</v>
      </c>
      <c r="L29" s="1072" t="n">
        <f aca="false">DataDE1!CU32/B29</f>
        <v>-0.000507700118463361</v>
      </c>
      <c r="M29" s="1482" t="n">
        <f aca="false">DataDE1!G32</f>
        <v>400.24</v>
      </c>
      <c r="N29" s="1479" t="n">
        <f aca="false">DataDE1!H32</f>
        <v>46.3</v>
      </c>
      <c r="O29" s="829" t="n">
        <f aca="false">N29/M29</f>
        <v>0.115680591645013</v>
      </c>
      <c r="P29" s="1149" t="n">
        <f aca="false">B29/M29</f>
        <v>0.885818508894663</v>
      </c>
    </row>
    <row r="30" customFormat="false" ht="12" hidden="false" customHeight="false" outlineLevel="0" collapsed="false">
      <c r="A30" s="416" t="n">
        <v>1972</v>
      </c>
      <c r="B30" s="1477" t="n">
        <f aca="false">DataDE1!B33</f>
        <v>385.44</v>
      </c>
      <c r="C30" s="1478" t="n">
        <f aca="false">DataDE1!F33</f>
        <v>385.19</v>
      </c>
      <c r="D30" s="1479" t="n">
        <f aca="false">DataDE1!E33</f>
        <v>0.25</v>
      </c>
      <c r="E30" s="1480" t="n">
        <f aca="false">D30/B30</f>
        <v>0.000648609381486094</v>
      </c>
      <c r="F30" s="1050" t="n">
        <f aca="false">DataDE1!CI33/B30</f>
        <v>0.000103777501037775</v>
      </c>
      <c r="G30" s="1481" t="n">
        <f aca="false">DataDE1!CJ33/$B30</f>
        <v>0.0125570776255708</v>
      </c>
      <c r="H30" s="1481" t="n">
        <f aca="false">DataDE1!CK33/$B30</f>
        <v>0.012453300124533</v>
      </c>
      <c r="I30" s="1050" t="n">
        <f aca="false">DataDE1!CL33/B30</f>
        <v>0.00256849315068493</v>
      </c>
      <c r="J30" s="1156" t="n">
        <f aca="false">DataDE1!CO33/DataDE1!B33</f>
        <v>-0.00202366127023661</v>
      </c>
      <c r="K30" s="1072" t="n">
        <f aca="false">DataDE1!CR33/B30</f>
        <v>-0.0147364051473641</v>
      </c>
      <c r="L30" s="1072" t="n">
        <f aca="false">DataDE1!CU33/B30</f>
        <v>-0.000518887505188875</v>
      </c>
      <c r="M30" s="1482" t="n">
        <f aca="false">DataDE1!G33</f>
        <v>436.37</v>
      </c>
      <c r="N30" s="1479" t="n">
        <f aca="false">DataDE1!H33</f>
        <v>51.18</v>
      </c>
      <c r="O30" s="829" t="n">
        <f aca="false">N30/M30</f>
        <v>0.117285789582235</v>
      </c>
      <c r="P30" s="1149" t="n">
        <f aca="false">B30/M30</f>
        <v>0.883287118729519</v>
      </c>
    </row>
    <row r="31" customFormat="false" ht="12" hidden="false" customHeight="false" outlineLevel="0" collapsed="false">
      <c r="A31" s="416" t="n">
        <v>1973</v>
      </c>
      <c r="B31" s="1477" t="n">
        <f aca="false">DataDE1!B34</f>
        <v>429.54</v>
      </c>
      <c r="C31" s="1478" t="n">
        <f aca="false">DataDE1!F34</f>
        <v>429.33</v>
      </c>
      <c r="D31" s="1479" t="n">
        <f aca="false">DataDE1!E34</f>
        <v>0.21</v>
      </c>
      <c r="E31" s="1480" t="n">
        <f aca="false">D31/B31</f>
        <v>0.000488895097080597</v>
      </c>
      <c r="F31" s="1050" t="n">
        <f aca="false">DataDE1!CI34/B31</f>
        <v>0.000791544442892396</v>
      </c>
      <c r="G31" s="1481" t="n">
        <f aca="false">DataDE1!CJ34/$B31</f>
        <v>0.0143642035666061</v>
      </c>
      <c r="H31" s="1481" t="n">
        <f aca="false">DataDE1!CK34/$B31</f>
        <v>0.0135726591237137</v>
      </c>
      <c r="I31" s="1050" t="n">
        <f aca="false">DataDE1!CL34/B31</f>
        <v>0.00223494901522559</v>
      </c>
      <c r="J31" s="1156" t="n">
        <f aca="false">DataDE1!CO34/DataDE1!B34</f>
        <v>-0.00253759836103739</v>
      </c>
      <c r="K31" s="1072" t="n">
        <f aca="false">DataDE1!CR34/B31</f>
        <v>-0.0148763793825953</v>
      </c>
      <c r="L31" s="1072" t="n">
        <f aca="false">DataDE1!CU34/B31</f>
        <v>-0.000465614378171998</v>
      </c>
      <c r="M31" s="1482" t="n">
        <f aca="false">DataDE1!G34</f>
        <v>486.02</v>
      </c>
      <c r="N31" s="1479" t="n">
        <f aca="false">DataDE1!H34</f>
        <v>56.69</v>
      </c>
      <c r="O31" s="829" t="n">
        <f aca="false">N31/M31</f>
        <v>0.116641290481873</v>
      </c>
      <c r="P31" s="1149" t="n">
        <f aca="false">B31/M31</f>
        <v>0.883790790502449</v>
      </c>
    </row>
    <row r="32" customFormat="false" ht="12" hidden="false" customHeight="false" outlineLevel="0" collapsed="false">
      <c r="A32" s="416" t="n">
        <v>1974</v>
      </c>
      <c r="B32" s="1477" t="n">
        <f aca="false">DataDE1!B35</f>
        <v>462.37</v>
      </c>
      <c r="C32" s="1478" t="n">
        <f aca="false">DataDE1!F35</f>
        <v>462.14</v>
      </c>
      <c r="D32" s="1479" t="n">
        <f aca="false">DataDE1!E35</f>
        <v>0.23</v>
      </c>
      <c r="E32" s="1480" t="n">
        <f aca="false">D32/B32</f>
        <v>0.000497437117460042</v>
      </c>
      <c r="F32" s="1050" t="n">
        <f aca="false">DataDE1!CI35/B32</f>
        <v>0.00019464930683219</v>
      </c>
      <c r="G32" s="1481" t="n">
        <f aca="false">DataDE1!CJ35/$B32</f>
        <v>0.0151610182321517</v>
      </c>
      <c r="H32" s="1481" t="n">
        <f aca="false">DataDE1!CK35/$B32</f>
        <v>0.0149663689253196</v>
      </c>
      <c r="I32" s="1050" t="n">
        <f aca="false">DataDE1!CL35/B32</f>
        <v>0.00229253628046802</v>
      </c>
      <c r="J32" s="1156" t="n">
        <f aca="false">DataDE1!CO35/DataDE1!B35</f>
        <v>-0.00198974846984017</v>
      </c>
      <c r="K32" s="1072" t="n">
        <f aca="false">DataDE1!CR35/B32</f>
        <v>-0.0156800830503709</v>
      </c>
      <c r="L32" s="1072" t="n">
        <f aca="false">DataDE1!CU35/B32</f>
        <v>-0.000929991132642689</v>
      </c>
      <c r="M32" s="1482" t="n">
        <f aca="false">DataDE1!G35</f>
        <v>526.02</v>
      </c>
      <c r="N32" s="1479" t="n">
        <f aca="false">DataDE1!H35</f>
        <v>63.88</v>
      </c>
      <c r="O32" s="829" t="n">
        <f aca="false">N32/M32</f>
        <v>0.121440249420174</v>
      </c>
      <c r="P32" s="1149" t="n">
        <f aca="false">B32/M32</f>
        <v>0.878996996311927</v>
      </c>
    </row>
    <row r="33" customFormat="false" ht="12" hidden="false" customHeight="false" outlineLevel="0" collapsed="false">
      <c r="A33" s="416" t="n">
        <v>1975</v>
      </c>
      <c r="B33" s="1477" t="n">
        <f aca="false">DataDE1!B36</f>
        <v>482.61</v>
      </c>
      <c r="C33" s="1478" t="n">
        <f aca="false">DataDE1!F36</f>
        <v>481.6</v>
      </c>
      <c r="D33" s="1479" t="n">
        <f aca="false">DataDE1!E36</f>
        <v>1.01</v>
      </c>
      <c r="E33" s="1480" t="n">
        <f aca="false">D33/B33</f>
        <v>0.00209278713661134</v>
      </c>
      <c r="F33" s="1050" t="n">
        <f aca="false">DataDE1!CI36/B33</f>
        <v>0.00302521704896293</v>
      </c>
      <c r="G33" s="1481" t="n">
        <f aca="false">DataDE1!CJ36/$B33</f>
        <v>0.0141729346677441</v>
      </c>
      <c r="H33" s="1481" t="n">
        <f aca="false">DataDE1!CK36/$B33</f>
        <v>0.0111477176187812</v>
      </c>
      <c r="I33" s="1050" t="n">
        <f aca="false">DataDE1!CL36/B33</f>
        <v>0.00254864176042767</v>
      </c>
      <c r="J33" s="1156" t="n">
        <f aca="false">DataDE1!CO36/DataDE1!B36</f>
        <v>-0.00348107167277926</v>
      </c>
      <c r="K33" s="1072" t="n">
        <f aca="false">DataDE1!CR36/B33</f>
        <v>-0.0157062638569445</v>
      </c>
      <c r="L33" s="1072" t="n">
        <f aca="false">DataDE1!CU36/B33</f>
        <v>-0.00064234060628665</v>
      </c>
      <c r="M33" s="1482" t="n">
        <f aca="false">DataDE1!G36</f>
        <v>551.01</v>
      </c>
      <c r="N33" s="1479" t="n">
        <f aca="false">DataDE1!H36</f>
        <v>69.41</v>
      </c>
      <c r="O33" s="829" t="n">
        <f aca="false">N33/M33</f>
        <v>0.125968675704615</v>
      </c>
      <c r="P33" s="1149" t="n">
        <f aca="false">B33/M33</f>
        <v>0.875864321881636</v>
      </c>
    </row>
    <row r="34" customFormat="false" ht="12" hidden="false" customHeight="false" outlineLevel="0" collapsed="false">
      <c r="A34" s="416" t="n">
        <v>1976</v>
      </c>
      <c r="B34" s="1477" t="n">
        <f aca="false">DataDE1!B37</f>
        <v>524.83</v>
      </c>
      <c r="C34" s="1478" t="n">
        <f aca="false">DataDE1!F37</f>
        <v>523.24</v>
      </c>
      <c r="D34" s="1479" t="n">
        <f aca="false">DataDE1!E37</f>
        <v>1.59</v>
      </c>
      <c r="E34" s="1480" t="n">
        <f aca="false">D34/B34</f>
        <v>0.00302955242650001</v>
      </c>
      <c r="F34" s="1050" t="n">
        <f aca="false">DataDE1!CI37/B34</f>
        <v>0.00369643503610693</v>
      </c>
      <c r="G34" s="1481" t="n">
        <f aca="false">DataDE1!CJ37/$B34</f>
        <v>0.0156431606424938</v>
      </c>
      <c r="H34" s="1481" t="n">
        <f aca="false">DataDE1!CK37/$B34</f>
        <v>0.0119467256063868</v>
      </c>
      <c r="I34" s="1050" t="n">
        <f aca="false">DataDE1!CL37/B34</f>
        <v>0.00257226149419812</v>
      </c>
      <c r="J34" s="1156" t="n">
        <f aca="false">DataDE1!CO37/DataDE1!B37</f>
        <v>-0.00323914410380504</v>
      </c>
      <c r="K34" s="1072" t="n">
        <f aca="false">DataDE1!CR37/B34</f>
        <v>-0.0156050530648019</v>
      </c>
      <c r="L34" s="1072" t="n">
        <f aca="false">DataDE1!CU37/B34</f>
        <v>-0.00057161366537736</v>
      </c>
      <c r="M34" s="1482" t="n">
        <f aca="false">DataDE1!G37</f>
        <v>597.4</v>
      </c>
      <c r="N34" s="1479" t="n">
        <f aca="false">DataDE1!H37</f>
        <v>74.16</v>
      </c>
      <c r="O34" s="829" t="n">
        <f aca="false">N34/M34</f>
        <v>0.124137931034483</v>
      </c>
      <c r="P34" s="1149" t="n">
        <f aca="false">B34/M34</f>
        <v>0.878523602276532</v>
      </c>
      <c r="R34" s="1499"/>
    </row>
    <row r="35" customFormat="false" ht="12" hidden="false" customHeight="false" outlineLevel="0" collapsed="false">
      <c r="A35" s="416" t="n">
        <v>1977</v>
      </c>
      <c r="B35" s="1477" t="n">
        <f aca="false">DataDE1!B38</f>
        <v>558.19</v>
      </c>
      <c r="C35" s="1478" t="n">
        <f aca="false">DataDE1!F38</f>
        <v>557.51</v>
      </c>
      <c r="D35" s="1479" t="n">
        <f aca="false">DataDE1!E38</f>
        <v>0.679999999999999</v>
      </c>
      <c r="E35" s="1480" t="n">
        <f aca="false">D35/B35</f>
        <v>0.00121822318565363</v>
      </c>
      <c r="F35" s="1050" t="n">
        <f aca="false">DataDE1!CI38/B35</f>
        <v>0.00103907271717515</v>
      </c>
      <c r="G35" s="1481" t="n">
        <f aca="false">DataDE1!CJ38/$B35</f>
        <v>0.0151382145864311</v>
      </c>
      <c r="H35" s="1481" t="n">
        <f aca="false">DataDE1!CK38/$B35</f>
        <v>0.014099141869256</v>
      </c>
      <c r="I35" s="1050" t="n">
        <f aca="false">DataDE1!CL38/B35</f>
        <v>0.00247227646500296</v>
      </c>
      <c r="J35" s="1156" t="n">
        <f aca="false">DataDE1!CO38/DataDE1!B38</f>
        <v>-0.00229312599652448</v>
      </c>
      <c r="K35" s="1072" t="n">
        <f aca="false">DataDE1!CR38/B35</f>
        <v>-0.014099141869256</v>
      </c>
      <c r="L35" s="1072" t="n">
        <f aca="false">DataDE1!CU38/B35</f>
        <v>-0.00050162131173973</v>
      </c>
      <c r="M35" s="1482" t="n">
        <f aca="false">DataDE1!G38</f>
        <v>636.54</v>
      </c>
      <c r="N35" s="1479" t="n">
        <f aca="false">DataDE1!H38</f>
        <v>79.03</v>
      </c>
      <c r="O35" s="829" t="n">
        <f aca="false">N35/M35</f>
        <v>0.124155591164734</v>
      </c>
      <c r="P35" s="1149" t="n">
        <f aca="false">B35/M35</f>
        <v>0.876912684198951</v>
      </c>
      <c r="R35" s="1499"/>
    </row>
    <row r="36" customFormat="false" ht="12" hidden="false" customHeight="false" outlineLevel="0" collapsed="false">
      <c r="A36" s="416" t="n">
        <v>1978</v>
      </c>
      <c r="B36" s="1477" t="n">
        <f aca="false">DataDE1!B39</f>
        <v>596.72</v>
      </c>
      <c r="C36" s="1478" t="n">
        <f aca="false">DataDE1!F39</f>
        <v>593.56</v>
      </c>
      <c r="D36" s="1479" t="n">
        <f aca="false">DataDE1!E39</f>
        <v>3.16</v>
      </c>
      <c r="E36" s="1480" t="n">
        <f aca="false">D36/B36</f>
        <v>0.00529561603432095</v>
      </c>
      <c r="F36" s="1050" t="n">
        <f aca="false">DataDE1!CI39/B36</f>
        <v>0.00499396701970774</v>
      </c>
      <c r="G36" s="1481" t="n">
        <f aca="false">DataDE1!CJ39/$B36</f>
        <v>0.0173448183402601</v>
      </c>
      <c r="H36" s="1481" t="n">
        <f aca="false">DataDE1!CK39/$B36</f>
        <v>0.0123508513205524</v>
      </c>
      <c r="I36" s="1050" t="n">
        <f aca="false">DataDE1!CL39/B36</f>
        <v>0.00246346695267462</v>
      </c>
      <c r="J36" s="1156" t="n">
        <f aca="false">DataDE1!CO39/DataDE1!B39</f>
        <v>-0.0021618179380614</v>
      </c>
      <c r="K36" s="1072" t="n">
        <f aca="false">DataDE1!CR39/B36</f>
        <v>-0.0149651427805336</v>
      </c>
      <c r="L36" s="1072" t="n">
        <f aca="false">DataDE1!CU39/B36</f>
        <v>-0.000620056307816061</v>
      </c>
      <c r="M36" s="1482" t="n">
        <f aca="false">DataDE1!G39</f>
        <v>678.94</v>
      </c>
      <c r="N36" s="1479" t="n">
        <f aca="false">DataDE1!H39</f>
        <v>85.38</v>
      </c>
      <c r="O36" s="829" t="n">
        <f aca="false">N36/M36</f>
        <v>0.125754853153445</v>
      </c>
      <c r="P36" s="1149" t="n">
        <f aca="false">B36/M36</f>
        <v>0.878899460924382</v>
      </c>
      <c r="R36" s="1499"/>
    </row>
    <row r="37" customFormat="false" ht="12.75" hidden="false" customHeight="true" outlineLevel="0" collapsed="false">
      <c r="A37" s="416" t="n">
        <v>1979</v>
      </c>
      <c r="B37" s="1477" t="n">
        <f aca="false">DataDE1!B40</f>
        <v>645.02</v>
      </c>
      <c r="C37" s="1478" t="n">
        <f aca="false">DataDE1!F40</f>
        <v>643.78</v>
      </c>
      <c r="D37" s="1479" t="n">
        <f aca="false">DataDE1!E40</f>
        <v>1.24</v>
      </c>
      <c r="E37" s="1480" t="n">
        <f aca="false">D37/B37</f>
        <v>0.00192242101020124</v>
      </c>
      <c r="F37" s="1050" t="n">
        <f aca="false">DataDE1!CI40/B37</f>
        <v>0.00265108058664848</v>
      </c>
      <c r="G37" s="1481" t="n">
        <f aca="false">DataDE1!CJ40/$B37</f>
        <v>0.0193327338687173</v>
      </c>
      <c r="H37" s="1481" t="n">
        <f aca="false">DataDE1!CK40/$B37</f>
        <v>0.0166816532820688</v>
      </c>
      <c r="I37" s="1050" t="n">
        <f aca="false">DataDE1!CL40/B37</f>
        <v>0.00235651607702087</v>
      </c>
      <c r="J37" s="1156" t="n">
        <f aca="false">DataDE1!CO40/DataDE1!B40</f>
        <v>-0.00308517565346811</v>
      </c>
      <c r="K37" s="1072" t="n">
        <f aca="false">DataDE1!CR40/B37</f>
        <v>-0.0153018511053921</v>
      </c>
      <c r="L37" s="1072" t="n">
        <f aca="false">DataDE1!CU40/B37</f>
        <v>-0.0011162444575362</v>
      </c>
      <c r="M37" s="1482" t="n">
        <f aca="false">DataDE1!G40</f>
        <v>737.37</v>
      </c>
      <c r="N37" s="1479" t="n">
        <f aca="false">DataDE1!H40</f>
        <v>93.59</v>
      </c>
      <c r="O37" s="829" t="n">
        <f aca="false">N37/M37</f>
        <v>0.126924067971303</v>
      </c>
      <c r="P37" s="1149" t="n">
        <f aca="false">B37/M37</f>
        <v>0.874757584387756</v>
      </c>
      <c r="R37" s="1499"/>
    </row>
    <row r="38" customFormat="false" ht="12" hidden="false" customHeight="false" outlineLevel="0" collapsed="false">
      <c r="A38" s="864" t="n">
        <v>1980</v>
      </c>
      <c r="B38" s="1483" t="n">
        <f aca="false">DataDE1!B41</f>
        <v>685.85</v>
      </c>
      <c r="C38" s="1484" t="n">
        <f aca="false">DataDE1!F41</f>
        <v>684.39</v>
      </c>
      <c r="D38" s="1485" t="n">
        <f aca="false">DataDE1!E41</f>
        <v>1.46</v>
      </c>
      <c r="E38" s="1486" t="n">
        <f aca="false">D38/B38</f>
        <v>0.00212874535248232</v>
      </c>
      <c r="F38" s="1047" t="n">
        <f aca="false">DataDE1!CI41/B38</f>
        <v>0.00314937668586426</v>
      </c>
      <c r="G38" s="1487" t="n">
        <f aca="false">DataDE1!CJ41/$B38</f>
        <v>0.0218269300867537</v>
      </c>
      <c r="H38" s="1487" t="n">
        <f aca="false">DataDE1!CK41/$B38</f>
        <v>0.0186775534008894</v>
      </c>
      <c r="I38" s="1047" t="n">
        <f aca="false">DataDE1!CL41/B38</f>
        <v>0.00228913027629948</v>
      </c>
      <c r="J38" s="1152" t="n">
        <f aca="false">DataDE1!CO41/DataDE1!B41</f>
        <v>-0.00330976160968142</v>
      </c>
      <c r="K38" s="1488" t="n">
        <f aca="false">DataDE1!CR41/B38</f>
        <v>-0.0154844353721659</v>
      </c>
      <c r="L38" s="1488" t="n">
        <f aca="false">DataDE1!CU41/B38</f>
        <v>-0.00227454982867974</v>
      </c>
      <c r="M38" s="1489" t="n">
        <f aca="false">DataDE1!G41</f>
        <v>788.52</v>
      </c>
      <c r="N38" s="1485" t="n">
        <f aca="false">DataDE1!H41</f>
        <v>104.13</v>
      </c>
      <c r="O38" s="1490" t="n">
        <f aca="false">N38/M38</f>
        <v>0.132057525490793</v>
      </c>
      <c r="P38" s="1154" t="n">
        <f aca="false">B38/M38</f>
        <v>0.869794044539137</v>
      </c>
      <c r="R38" s="1499"/>
    </row>
    <row r="39" customFormat="false" ht="12" hidden="false" customHeight="false" outlineLevel="0" collapsed="false">
      <c r="A39" s="416" t="n">
        <v>1981</v>
      </c>
      <c r="B39" s="1477" t="n">
        <f aca="false">DataDE1!B42</f>
        <v>712.68</v>
      </c>
      <c r="C39" s="1478" t="n">
        <f aca="false">DataDE1!F42</f>
        <v>712.57</v>
      </c>
      <c r="D39" s="1479" t="n">
        <f aca="false">DataDE1!E42</f>
        <v>0.110000000000003</v>
      </c>
      <c r="E39" s="1480" t="n">
        <f aca="false">D39/B39</f>
        <v>0.000154346971993045</v>
      </c>
      <c r="F39" s="1050" t="n">
        <f aca="false">DataDE1!CI42/B39</f>
        <v>0.00263793006679015</v>
      </c>
      <c r="G39" s="1481" t="n">
        <f aca="false">DataDE1!CJ42/$B39</f>
        <v>0.0254251557501263</v>
      </c>
      <c r="H39" s="1481" t="n">
        <f aca="false">DataDE1!CK42/$B39</f>
        <v>0.0227872256833361</v>
      </c>
      <c r="I39" s="1050" t="n">
        <f aca="false">DataDE1!CL42/B39</f>
        <v>0.00249761463770556</v>
      </c>
      <c r="J39" s="1156" t="n">
        <f aca="false">DataDE1!CO42/DataDE1!B42</f>
        <v>-0.00498119773250267</v>
      </c>
      <c r="K39" s="1072" t="n">
        <f aca="false">DataDE1!CR42/B39</f>
        <v>-0.0148032777684234</v>
      </c>
      <c r="L39" s="1072" t="n">
        <f aca="false">DataDE1!CU42/B39</f>
        <v>-0.00130493349048661</v>
      </c>
      <c r="M39" s="1482" t="n">
        <f aca="false">DataDE1!G42</f>
        <v>825.79</v>
      </c>
      <c r="N39" s="1479" t="n">
        <f aca="false">DataDE1!H42</f>
        <v>113.22</v>
      </c>
      <c r="O39" s="829" t="n">
        <f aca="false">N39/M39</f>
        <v>0.137105075140169</v>
      </c>
      <c r="P39" s="1149" t="n">
        <f aca="false">B39/M39</f>
        <v>0.86302813063854</v>
      </c>
      <c r="R39" s="1499"/>
    </row>
    <row r="40" customFormat="false" ht="12" hidden="false" customHeight="false" outlineLevel="0" collapsed="false">
      <c r="A40" s="416" t="n">
        <v>1982</v>
      </c>
      <c r="B40" s="1477" t="n">
        <f aca="false">DataDE1!B43</f>
        <v>738.71</v>
      </c>
      <c r="C40" s="1478" t="n">
        <f aca="false">DataDE1!F43</f>
        <v>739.36</v>
      </c>
      <c r="D40" s="1479" t="n">
        <f aca="false">DataDE1!E43</f>
        <v>-0.650000000000003</v>
      </c>
      <c r="E40" s="1480" t="n">
        <f aca="false">D40/B40</f>
        <v>-0.000879912279514292</v>
      </c>
      <c r="F40" s="1050" t="n">
        <f aca="false">DataDE1!CI43/B40</f>
        <v>0.00148908231917802</v>
      </c>
      <c r="G40" s="1481" t="n">
        <f aca="false">DataDE1!CJ43/$B40</f>
        <v>0.0239606882267737</v>
      </c>
      <c r="H40" s="1481" t="n">
        <f aca="false">DataDE1!CK43/$B40</f>
        <v>0.0224716059075957</v>
      </c>
      <c r="I40" s="1050" t="n">
        <f aca="false">DataDE1!CL43/B40</f>
        <v>0.00292401619038594</v>
      </c>
      <c r="J40" s="1156" t="n">
        <f aca="false">DataDE1!CO43/DataDE1!B43</f>
        <v>-0.00529301078907826</v>
      </c>
      <c r="K40" s="1072" t="n">
        <f aca="false">DataDE1!CR43/B40</f>
        <v>-0.0143493387120792</v>
      </c>
      <c r="L40" s="1072" t="n">
        <f aca="false">DataDE1!CU43/B40</f>
        <v>-0.00131309986327517</v>
      </c>
      <c r="M40" s="1482" t="n">
        <f aca="false">DataDE1!G43</f>
        <v>860.21</v>
      </c>
      <c r="N40" s="1479" t="n">
        <f aca="false">DataDE1!H43</f>
        <v>120.85</v>
      </c>
      <c r="O40" s="829" t="n">
        <f aca="false">N40/M40</f>
        <v>0.140488950372583</v>
      </c>
      <c r="P40" s="1149" t="n">
        <f aca="false">B40/M40</f>
        <v>0.858755420188094</v>
      </c>
      <c r="Q40" s="115"/>
      <c r="R40" s="1499"/>
      <c r="S40" s="115"/>
    </row>
    <row r="41" customFormat="false" ht="12" hidden="false" customHeight="false" outlineLevel="0" collapsed="false">
      <c r="A41" s="416" t="n">
        <v>1983</v>
      </c>
      <c r="B41" s="1477" t="n">
        <f aca="false">DataDE1!B44</f>
        <v>773.45</v>
      </c>
      <c r="C41" s="1478" t="n">
        <f aca="false">DataDE1!F44</f>
        <v>771.32</v>
      </c>
      <c r="D41" s="1479" t="n">
        <f aca="false">DataDE1!E44</f>
        <v>2.13</v>
      </c>
      <c r="E41" s="1480" t="n">
        <f aca="false">D41/B41</f>
        <v>0.00275389488654729</v>
      </c>
      <c r="F41" s="1050" t="n">
        <f aca="false">DataDE1!CI44/B41</f>
        <v>0.00416316503975693</v>
      </c>
      <c r="G41" s="1481" t="n">
        <f aca="false">DataDE1!CJ44/$B41</f>
        <v>0.0240093089404616</v>
      </c>
      <c r="H41" s="1481" t="n">
        <f aca="false">DataDE1!CK44/$B41</f>
        <v>0.0198461439007046</v>
      </c>
      <c r="I41" s="1050" t="n">
        <f aca="false">DataDE1!CL44/B41</f>
        <v>0.00292197297821449</v>
      </c>
      <c r="J41" s="1156" t="n">
        <f aca="false">DataDE1!CO44/DataDE1!B44</f>
        <v>-0.00433124313142414</v>
      </c>
      <c r="K41" s="1072" t="n">
        <f aca="false">DataDE1!CR44/B41</f>
        <v>-0.0136789708449156</v>
      </c>
      <c r="L41" s="1072" t="n">
        <f aca="false">DataDE1!CU44/B41</f>
        <v>-0.00131876656538884</v>
      </c>
      <c r="M41" s="1482" t="n">
        <f aca="false">DataDE1!G44</f>
        <v>898.27</v>
      </c>
      <c r="N41" s="1479" t="n">
        <f aca="false">DataDE1!H44</f>
        <v>126.95</v>
      </c>
      <c r="O41" s="829" t="n">
        <f aca="false">N41/M41</f>
        <v>0.141327217874359</v>
      </c>
      <c r="P41" s="1149" t="n">
        <f aca="false">B41/M41</f>
        <v>0.861044006813096</v>
      </c>
      <c r="Q41" s="115"/>
      <c r="R41" s="1499"/>
      <c r="S41" s="115"/>
    </row>
    <row r="42" customFormat="false" ht="12" hidden="false" customHeight="false" outlineLevel="0" collapsed="false">
      <c r="A42" s="416" t="n">
        <v>1984</v>
      </c>
      <c r="B42" s="1477" t="n">
        <f aca="false">DataDE1!B45</f>
        <v>813.91</v>
      </c>
      <c r="C42" s="1478" t="n">
        <f aca="false">DataDE1!F45</f>
        <v>807.98</v>
      </c>
      <c r="D42" s="1479" t="n">
        <f aca="false">DataDE1!E45</f>
        <v>5.93</v>
      </c>
      <c r="E42" s="1480" t="n">
        <f aca="false">D42/B42</f>
        <v>0.00728581784226757</v>
      </c>
      <c r="F42" s="1050" t="n">
        <f aca="false">DataDE1!CI45/B42</f>
        <v>0.00888304603703112</v>
      </c>
      <c r="G42" s="1481" t="n">
        <f aca="false">DataDE1!CJ45/$B42</f>
        <v>0.0290449804032387</v>
      </c>
      <c r="H42" s="1481" t="n">
        <f aca="false">DataDE1!CK45/$B42</f>
        <v>0.0201619343662076</v>
      </c>
      <c r="I42" s="1050" t="n">
        <f aca="false">DataDE1!CL45/B42</f>
        <v>0.00287501075057439</v>
      </c>
      <c r="J42" s="1156" t="n">
        <f aca="false">DataDE1!CO45/DataDE1!B45</f>
        <v>-0.00447223894533794</v>
      </c>
      <c r="K42" s="1072" t="n">
        <f aca="false">DataDE1!CR45/B42</f>
        <v>-0.0158125591281591</v>
      </c>
      <c r="L42" s="1072" t="n">
        <f aca="false">DataDE1!CU45/B42</f>
        <v>-0.00125320981435294</v>
      </c>
      <c r="M42" s="1482" t="n">
        <f aca="false">DataDE1!G45</f>
        <v>942</v>
      </c>
      <c r="N42" s="1479" t="n">
        <f aca="false">DataDE1!H45</f>
        <v>134.02</v>
      </c>
      <c r="O42" s="829" t="n">
        <f aca="false">N42/M42</f>
        <v>0.142271762208068</v>
      </c>
      <c r="P42" s="1149" t="n">
        <f aca="false">B42/M42</f>
        <v>0.864023354564756</v>
      </c>
      <c r="Q42" s="115"/>
      <c r="R42" s="1499"/>
      <c r="S42" s="115"/>
    </row>
    <row r="43" customFormat="false" ht="12" hidden="false" customHeight="false" outlineLevel="0" collapsed="false">
      <c r="A43" s="416" t="n">
        <v>1985</v>
      </c>
      <c r="B43" s="1477" t="n">
        <f aca="false">DataDE1!B46</f>
        <v>850.91</v>
      </c>
      <c r="C43" s="1478" t="n">
        <f aca="false">DataDE1!F46</f>
        <v>844.64</v>
      </c>
      <c r="D43" s="1479" t="n">
        <f aca="false">DataDE1!E46</f>
        <v>6.27</v>
      </c>
      <c r="E43" s="1480" t="n">
        <f aca="false">D43/B43</f>
        <v>0.00736858187117322</v>
      </c>
      <c r="F43" s="1050" t="n">
        <f aca="false">DataDE1!CI46/B43</f>
        <v>0.00853204216662162</v>
      </c>
      <c r="G43" s="1481" t="n">
        <f aca="false">DataDE1!CJ46/$B43</f>
        <v>0.0296271050992467</v>
      </c>
      <c r="H43" s="1481" t="n">
        <f aca="false">DataDE1!CK46/$B43</f>
        <v>0.0210950629326251</v>
      </c>
      <c r="I43" s="1050" t="n">
        <f aca="false">DataDE1!CL46/B43</f>
        <v>0.00302029591848727</v>
      </c>
      <c r="J43" s="1156" t="n">
        <f aca="false">DataDE1!CO46/DataDE1!B46</f>
        <v>-0.00418375621393567</v>
      </c>
      <c r="K43" s="1072" t="n">
        <f aca="false">DataDE1!CR46/B43</f>
        <v>-0.0146666509971677</v>
      </c>
      <c r="L43" s="1072" t="n">
        <f aca="false">DataDE1!CU46/B43</f>
        <v>-0.00149251977294896</v>
      </c>
      <c r="M43" s="1482" t="n">
        <f aca="false">DataDE1!G46</f>
        <v>984.41</v>
      </c>
      <c r="N43" s="1479" t="n">
        <f aca="false">DataDE1!H46</f>
        <v>139.77</v>
      </c>
      <c r="O43" s="829" t="n">
        <f aca="false">N43/M43</f>
        <v>0.141983523125527</v>
      </c>
      <c r="P43" s="1149" t="n">
        <f aca="false">B43/M43</f>
        <v>0.864385774220091</v>
      </c>
      <c r="Q43" s="115"/>
      <c r="R43" s="1499"/>
      <c r="S43" s="115"/>
    </row>
    <row r="44" customFormat="false" ht="12" hidden="false" customHeight="false" outlineLevel="0" collapsed="false">
      <c r="A44" s="416" t="n">
        <v>1986</v>
      </c>
      <c r="B44" s="1477" t="n">
        <f aca="false">DataDE1!B47</f>
        <v>895.79</v>
      </c>
      <c r="C44" s="1478" t="n">
        <f aca="false">DataDE1!F47</f>
        <v>891.73</v>
      </c>
      <c r="D44" s="1479" t="n">
        <f aca="false">DataDE1!E47</f>
        <v>4.06</v>
      </c>
      <c r="E44" s="1480" t="n">
        <f aca="false">D44/B44</f>
        <v>0.0045323122606861</v>
      </c>
      <c r="F44" s="1050" t="n">
        <f aca="false">DataDE1!CI47/B44</f>
        <v>0.00580493195949944</v>
      </c>
      <c r="G44" s="1481" t="n">
        <f aca="false">DataDE1!CJ47/$B44</f>
        <v>0.0293483963875462</v>
      </c>
      <c r="H44" s="1481" t="n">
        <f aca="false">DataDE1!CK47/$B44</f>
        <v>0.0235434644280468</v>
      </c>
      <c r="I44" s="1050" t="n">
        <f aca="false">DataDE1!CL47/B44</f>
        <v>0.00290246597974972</v>
      </c>
      <c r="J44" s="1156" t="n">
        <f aca="false">DataDE1!CO47/DataDE1!B47</f>
        <v>-0.00417508567856306</v>
      </c>
      <c r="K44" s="1072" t="n">
        <f aca="false">DataDE1!CR47/B44</f>
        <v>-0.013005280255417</v>
      </c>
      <c r="L44" s="1072" t="n">
        <f aca="false">DataDE1!CU47/B44</f>
        <v>-0.0012391297067393</v>
      </c>
      <c r="M44" s="1482" t="n">
        <f aca="false">DataDE1!G47</f>
        <v>1037.13</v>
      </c>
      <c r="N44" s="1479" t="n">
        <f aca="false">DataDE1!H47</f>
        <v>145.4</v>
      </c>
      <c r="O44" s="829" t="n">
        <f aca="false">N44/M44</f>
        <v>0.140194575414847</v>
      </c>
      <c r="P44" s="1149" t="n">
        <f aca="false">B44/M44</f>
        <v>0.863720073664825</v>
      </c>
      <c r="Q44" s="115"/>
      <c r="R44" s="1499"/>
      <c r="S44" s="115"/>
    </row>
    <row r="45" customFormat="false" ht="12" hidden="false" customHeight="false" outlineLevel="0" collapsed="false">
      <c r="A45" s="416" t="n">
        <v>1987</v>
      </c>
      <c r="B45" s="1477" t="n">
        <f aca="false">DataDE1!B48</f>
        <v>916.96</v>
      </c>
      <c r="C45" s="1478" t="n">
        <f aca="false">DataDE1!F48</f>
        <v>914.34</v>
      </c>
      <c r="D45" s="1479" t="n">
        <f aca="false">DataDE1!E48</f>
        <v>2.62</v>
      </c>
      <c r="E45" s="1480" t="n">
        <f aca="false">D45/B45</f>
        <v>0.00285726749258419</v>
      </c>
      <c r="F45" s="1050" t="n">
        <f aca="false">DataDE1!CI48/B45</f>
        <v>0.00402416681207468</v>
      </c>
      <c r="G45" s="1481" t="n">
        <f aca="false">DataDE1!CJ48/$B45</f>
        <v>0.0299358750654336</v>
      </c>
      <c r="H45" s="1481" t="n">
        <f aca="false">DataDE1!CK48/$B45</f>
        <v>0.0259117082533589</v>
      </c>
      <c r="I45" s="1050" t="n">
        <f aca="false">DataDE1!CL48/B45</f>
        <v>0.00298813470598499</v>
      </c>
      <c r="J45" s="1156" t="n">
        <f aca="false">DataDE1!CO48/DataDE1!B48</f>
        <v>-0.00415503402547549</v>
      </c>
      <c r="K45" s="1072" t="n">
        <f aca="false">DataDE1!CR48/B45</f>
        <v>-0.0127268365032281</v>
      </c>
      <c r="L45" s="1072" t="n">
        <f aca="false">DataDE1!CU48/B45</f>
        <v>-0.00122142732507416</v>
      </c>
      <c r="M45" s="1482" t="n">
        <f aca="false">DataDE1!G48</f>
        <v>1065.13</v>
      </c>
      <c r="N45" s="1479" t="n">
        <f aca="false">DataDE1!H48</f>
        <v>150.79</v>
      </c>
      <c r="O45" s="829" t="n">
        <f aca="false">N45/M45</f>
        <v>0.141569573667064</v>
      </c>
      <c r="P45" s="1149" t="n">
        <f aca="false">B45/M45</f>
        <v>0.860890219973149</v>
      </c>
      <c r="Q45" s="115"/>
      <c r="R45" s="1499"/>
      <c r="S45" s="115"/>
    </row>
    <row r="46" customFormat="false" ht="12" hidden="false" customHeight="false" outlineLevel="0" collapsed="false">
      <c r="A46" s="416" t="n">
        <v>1988</v>
      </c>
      <c r="B46" s="1477" t="n">
        <f aca="false">DataDE1!B49</f>
        <v>973.9</v>
      </c>
      <c r="C46" s="1478" t="n">
        <f aca="false">DataDE1!F49</f>
        <v>965.53</v>
      </c>
      <c r="D46" s="1479" t="n">
        <f aca="false">DataDE1!E49</f>
        <v>8.37</v>
      </c>
      <c r="E46" s="1480" t="n">
        <f aca="false">D46/B46</f>
        <v>0.008594311530958</v>
      </c>
      <c r="F46" s="1050" t="n">
        <f aca="false">DataDE1!CI49/B46</f>
        <v>0.00981620289557449</v>
      </c>
      <c r="G46" s="1481" t="n">
        <f aca="false">DataDE1!CJ49/$B46</f>
        <v>0.0365232570079063</v>
      </c>
      <c r="H46" s="1481" t="n">
        <f aca="false">DataDE1!CK49/$B46</f>
        <v>0.0267070541123319</v>
      </c>
      <c r="I46" s="1050" t="n">
        <f aca="false">DataDE1!CL49/B46</f>
        <v>0.00278262655303419</v>
      </c>
      <c r="J46" s="1156" t="n">
        <f aca="false">DataDE1!CO49/DataDE1!B49</f>
        <v>-0.00400451791765068</v>
      </c>
      <c r="K46" s="1072" t="n">
        <f aca="false">DataDE1!CR49/B46</f>
        <v>-0.0135024129787453</v>
      </c>
      <c r="L46" s="1072" t="n">
        <f aca="false">DataDE1!CU49/B46</f>
        <v>-0.00106787144470685</v>
      </c>
      <c r="M46" s="1482" t="n">
        <f aca="false">DataDE1!G49</f>
        <v>1123.29</v>
      </c>
      <c r="N46" s="1479" t="n">
        <f aca="false">DataDE1!H49</f>
        <v>157.76</v>
      </c>
      <c r="O46" s="829" t="n">
        <f aca="false">N46/M46</f>
        <v>0.140444586883174</v>
      </c>
      <c r="P46" s="1149" t="n">
        <f aca="false">B46/M46</f>
        <v>0.86700673913237</v>
      </c>
      <c r="Q46" s="115"/>
      <c r="R46" s="1499"/>
      <c r="S46" s="115"/>
    </row>
    <row r="47" customFormat="false" ht="12" hidden="false" customHeight="false" outlineLevel="0" collapsed="false">
      <c r="A47" s="436" t="n">
        <v>1989</v>
      </c>
      <c r="B47" s="1491" t="n">
        <f aca="false">DataDE1!B50</f>
        <v>1043.5</v>
      </c>
      <c r="C47" s="1492" t="n">
        <f aca="false">DataDE1!F50</f>
        <v>1033.05</v>
      </c>
      <c r="D47" s="1493" t="n">
        <f aca="false">DataDE1!E50</f>
        <v>10.45</v>
      </c>
      <c r="E47" s="1494" t="n">
        <f aca="false">D47/B47</f>
        <v>0.0100143747005271</v>
      </c>
      <c r="F47" s="1062" t="n">
        <f aca="false">DataDE1!CI50/B47</f>
        <v>0.0132630570196454</v>
      </c>
      <c r="G47" s="1495" t="n">
        <f aca="false">DataDE1!CJ50/$B47</f>
        <v>0.0434595112601821</v>
      </c>
      <c r="H47" s="1495" t="n">
        <f aca="false">DataDE1!CK50/$B47</f>
        <v>0.0301964542405367</v>
      </c>
      <c r="I47" s="1062" t="n">
        <f aca="false">DataDE1!CL50/B47</f>
        <v>0.00248203162434116</v>
      </c>
      <c r="J47" s="1159" t="n">
        <f aca="false">DataDE1!CO50/DataDE1!B50</f>
        <v>-0.00573071394345951</v>
      </c>
      <c r="K47" s="1496" t="n">
        <f aca="false">DataDE1!CR50/B47</f>
        <v>-0.0136176329659799</v>
      </c>
      <c r="L47" s="1496" t="n">
        <f aca="false">DataDE1!CU50/B47</f>
        <v>-0.00101581217057978</v>
      </c>
      <c r="M47" s="1497" t="n">
        <f aca="false">DataDE1!G50</f>
        <v>1200.66</v>
      </c>
      <c r="N47" s="1493" t="n">
        <f aca="false">DataDE1!H50</f>
        <v>167.61</v>
      </c>
      <c r="O47" s="1498" t="n">
        <f aca="false">N47/M47</f>
        <v>0.139598220978462</v>
      </c>
      <c r="P47" s="1148" t="n">
        <f aca="false">B47/M47</f>
        <v>0.869105325404361</v>
      </c>
      <c r="Q47" s="115"/>
      <c r="R47" s="387"/>
      <c r="S47" s="115"/>
    </row>
    <row r="48" customFormat="false" ht="12" hidden="false" customHeight="false" outlineLevel="0" collapsed="false">
      <c r="A48" s="416" t="n">
        <v>1990</v>
      </c>
      <c r="B48" s="1477" t="n">
        <f aca="false">DataDE1!B51</f>
        <v>1136.5</v>
      </c>
      <c r="C48" s="1478" t="n">
        <f aca="false">DataDE1!F51</f>
        <v>1125.24</v>
      </c>
      <c r="D48" s="1479" t="n">
        <f aca="false">DataDE1!E51</f>
        <v>11.26</v>
      </c>
      <c r="E48" s="1480" t="n">
        <f aca="false">D48/B48</f>
        <v>0.0099076110866696</v>
      </c>
      <c r="F48" s="1050" t="n">
        <f aca="false">DataDE1!CI51/B48</f>
        <v>0.0147822261328641</v>
      </c>
      <c r="G48" s="1481" t="n">
        <f aca="false">DataDE1!CJ51/$B48</f>
        <v>0.0493620765508139</v>
      </c>
      <c r="H48" s="1481" t="n">
        <f aca="false">DataDE1!CK51/$B48</f>
        <v>0.0345798504179498</v>
      </c>
      <c r="I48" s="1050" t="n">
        <f aca="false">DataDE1!CL51/B48</f>
        <v>0.000378354597448306</v>
      </c>
      <c r="J48" s="1156" t="n">
        <f aca="false">DataDE1!CO51/DataDE1!B51</f>
        <v>-0.00525296964364276</v>
      </c>
      <c r="K48" s="1072" t="n">
        <f aca="false">DataDE1!CR51/B48</f>
        <v>-0.0306907171139463</v>
      </c>
      <c r="L48" s="1072" t="n">
        <f aca="false">DataDE1!CU51/B48</f>
        <v>-0.00223493180818302</v>
      </c>
      <c r="M48" s="1482" t="n">
        <f aca="false">DataDE1!G51</f>
        <v>1306.68</v>
      </c>
      <c r="N48" s="1479" t="n">
        <f aca="false">DataDE1!H51</f>
        <v>181.44</v>
      </c>
      <c r="O48" s="829" t="n">
        <f aca="false">N48/M48</f>
        <v>0.13885572596198</v>
      </c>
      <c r="P48" s="1149" t="n">
        <f aca="false">B48/M48</f>
        <v>0.869761533045581</v>
      </c>
      <c r="Q48" s="115"/>
      <c r="R48" s="387"/>
      <c r="S48" s="115"/>
    </row>
    <row r="49" customFormat="false" ht="12" hidden="false" customHeight="false" outlineLevel="0" collapsed="false">
      <c r="A49" s="416" t="n">
        <v>1991</v>
      </c>
      <c r="B49" s="1477" t="n">
        <f aca="false">DataDE1!B52</f>
        <v>1330.57</v>
      </c>
      <c r="C49" s="1478" t="n">
        <f aca="false">DataDE1!F52</f>
        <v>1323.53</v>
      </c>
      <c r="D49" s="1479" t="n">
        <f aca="false">DataDE1!E52</f>
        <v>7.03999999999999</v>
      </c>
      <c r="E49" s="1480" t="n">
        <f aca="false">D49/B49</f>
        <v>0.00529096552605274</v>
      </c>
      <c r="F49" s="1050" t="n">
        <f aca="false">DataDE1!CI52/B49</f>
        <v>0.00995062266547419</v>
      </c>
      <c r="G49" s="1481" t="n">
        <f aca="false">DataDE1!CJ52/$B49</f>
        <v>0.0444846945294122</v>
      </c>
      <c r="H49" s="1481" t="n">
        <f aca="false">DataDE1!CK52/$B49</f>
        <v>0.034534071863938</v>
      </c>
      <c r="I49" s="1050" t="n">
        <f aca="false">DataDE1!CL52/B49</f>
        <v>0.00178119151942401</v>
      </c>
      <c r="J49" s="1156" t="n">
        <f aca="false">DataDE1!CO52/DataDE1!B52</f>
        <v>-0.00644084865884546</v>
      </c>
      <c r="K49" s="1072" t="n">
        <f aca="false">DataDE1!CR52/B49</f>
        <v>-0.0163313467160691</v>
      </c>
      <c r="L49" s="1072" t="n">
        <f aca="false">DataDE1!CU52/B49</f>
        <v>-0.0021720014730529</v>
      </c>
      <c r="M49" s="1482" t="n">
        <f aca="false">DataDE1!G52</f>
        <v>1534.6</v>
      </c>
      <c r="N49" s="1479" t="n">
        <f aca="false">DataDE1!H52</f>
        <v>211.07</v>
      </c>
      <c r="O49" s="829" t="n">
        <f aca="false">N49/M49</f>
        <v>0.137540727225336</v>
      </c>
      <c r="P49" s="1149" t="n">
        <f aca="false">B49/M49</f>
        <v>0.867046787436465</v>
      </c>
      <c r="Q49" s="115"/>
      <c r="R49" s="387"/>
      <c r="S49" s="115"/>
    </row>
    <row r="50" customFormat="false" ht="12" hidden="false" customHeight="false" outlineLevel="0" collapsed="false">
      <c r="A50" s="416" t="n">
        <v>1992</v>
      </c>
      <c r="B50" s="1477" t="n">
        <f aca="false">DataDE1!B53</f>
        <v>1423.96</v>
      </c>
      <c r="C50" s="1478" t="n">
        <f aca="false">DataDE1!F53</f>
        <v>1418.84</v>
      </c>
      <c r="D50" s="1479" t="n">
        <f aca="false">DataDE1!E53</f>
        <v>5.12</v>
      </c>
      <c r="E50" s="1480" t="n">
        <f aca="false">D50/B50</f>
        <v>0.00359560661816344</v>
      </c>
      <c r="F50" s="1050" t="n">
        <f aca="false">DataDE1!CI53/B50</f>
        <v>0.00981769150818843</v>
      </c>
      <c r="G50" s="1481" t="n">
        <f aca="false">DataDE1!CJ53/$B50</f>
        <v>0.0427540099440996</v>
      </c>
      <c r="H50" s="1481" t="n">
        <f aca="false">DataDE1!CK53/$B50</f>
        <v>0.0329363184359111</v>
      </c>
      <c r="I50" s="1050" t="n">
        <f aca="false">DataDE1!CL53/B50</f>
        <v>0.00101126436135847</v>
      </c>
      <c r="J50" s="1156" t="n">
        <f aca="false">DataDE1!CO53/DataDE1!B53</f>
        <v>-0.00723334925138347</v>
      </c>
      <c r="K50" s="1072" t="n">
        <f aca="false">DataDE1!CR53/B50</f>
        <v>-0.0114539734262198</v>
      </c>
      <c r="L50" s="1072" t="n">
        <f aca="false">DataDE1!CU53/B50</f>
        <v>-0.000751425601842748</v>
      </c>
      <c r="M50" s="1482" t="n">
        <f aca="false">DataDE1!G53</f>
        <v>1648.4</v>
      </c>
      <c r="N50" s="1479" t="n">
        <f aca="false">DataDE1!H53</f>
        <v>229.56</v>
      </c>
      <c r="O50" s="829" t="n">
        <f aca="false">N50/M50</f>
        <v>0.139262314972094</v>
      </c>
      <c r="P50" s="1149" t="n">
        <f aca="false">B50/M50</f>
        <v>0.863843727250667</v>
      </c>
      <c r="Q50" s="115"/>
      <c r="R50" s="387"/>
      <c r="S50" s="115"/>
    </row>
    <row r="51" customFormat="false" ht="12" hidden="false" customHeight="false" outlineLevel="0" collapsed="false">
      <c r="A51" s="416" t="n">
        <v>1993</v>
      </c>
      <c r="B51" s="1477" t="n">
        <f aca="false">DataDE1!B54</f>
        <v>1454.58</v>
      </c>
      <c r="C51" s="1478" t="n">
        <f aca="false">DataDE1!F54</f>
        <v>1452.66</v>
      </c>
      <c r="D51" s="1479" t="n">
        <f aca="false">DataDE1!E54</f>
        <v>1.92</v>
      </c>
      <c r="E51" s="1480" t="n">
        <f aca="false">D51/B51</f>
        <v>0.00131996865074454</v>
      </c>
      <c r="F51" s="1050" t="n">
        <f aca="false">DataDE1!CI54/B51</f>
        <v>0.00611860468313877</v>
      </c>
      <c r="G51" s="1481" t="n">
        <f aca="false">DataDE1!CJ54/$B51</f>
        <v>0.0416615105391247</v>
      </c>
      <c r="H51" s="1481" t="n">
        <f aca="false">DataDE1!CK54/$B51</f>
        <v>0.0355429058559859</v>
      </c>
      <c r="I51" s="1050" t="n">
        <f aca="false">DataDE1!CL54/B51</f>
        <v>0.000453739223693437</v>
      </c>
      <c r="J51" s="1156" t="n">
        <f aca="false">DataDE1!CO54/DataDE1!B54</f>
        <v>-0.00525237525608767</v>
      </c>
      <c r="K51" s="1072" t="n">
        <f aca="false">DataDE1!CR54/B51</f>
        <v>-0.0130759394464381</v>
      </c>
      <c r="L51" s="1072" t="n">
        <f aca="false">DataDE1!CU54/B51</f>
        <v>-0.00070123334570804</v>
      </c>
      <c r="M51" s="1482" t="n">
        <f aca="false">DataDE1!G54</f>
        <v>1696.9</v>
      </c>
      <c r="N51" s="1479" t="n">
        <f aca="false">DataDE1!H54</f>
        <v>244.24</v>
      </c>
      <c r="O51" s="829" t="n">
        <f aca="false">N51/M51</f>
        <v>0.143933054393305</v>
      </c>
      <c r="P51" s="1149" t="n">
        <f aca="false">B51/M51</f>
        <v>0.857198420649419</v>
      </c>
      <c r="Q51" s="115"/>
      <c r="R51" s="387"/>
      <c r="S51" s="115"/>
    </row>
    <row r="52" customFormat="false" ht="12" hidden="false" customHeight="false" outlineLevel="0" collapsed="false">
      <c r="A52" s="416" t="n">
        <v>1994</v>
      </c>
      <c r="B52" s="1477" t="n">
        <f aca="false">DataDE1!B55</f>
        <v>1517.52</v>
      </c>
      <c r="C52" s="1478" t="n">
        <f aca="false">DataDE1!F55</f>
        <v>1528.09</v>
      </c>
      <c r="D52" s="1479" t="n">
        <f aca="false">DataDE1!E55</f>
        <v>-10.57</v>
      </c>
      <c r="E52" s="1480" t="n">
        <f aca="false">D52/B52</f>
        <v>-0.00696531182455585</v>
      </c>
      <c r="F52" s="1050" t="n">
        <f aca="false">DataDE1!CI55/B52</f>
        <v>-0.000619431704359743</v>
      </c>
      <c r="G52" s="1481" t="n">
        <f aca="false">DataDE1!CJ55/$B52</f>
        <v>0.036750751225684</v>
      </c>
      <c r="H52" s="1481" t="n">
        <f aca="false">DataDE1!CK55/$B52</f>
        <v>0.0373701829300438</v>
      </c>
      <c r="I52" s="1050" t="n">
        <f aca="false">DataDE1!CL55/B52</f>
        <v>4.61278928778529E-005</v>
      </c>
      <c r="J52" s="1156" t="n">
        <f aca="false">DataDE1!CO55/DataDE1!B55</f>
        <v>-0.00639200801307396</v>
      </c>
      <c r="K52" s="1072" t="n">
        <f aca="false">DataDE1!CR55/B52</f>
        <v>-0.0132848331488218</v>
      </c>
      <c r="L52" s="1072" t="n">
        <f aca="false">DataDE1!CU55/B52</f>
        <v>-0.000883019663661764</v>
      </c>
      <c r="M52" s="1482" t="n">
        <f aca="false">DataDE1!G55</f>
        <v>1782.2</v>
      </c>
      <c r="N52" s="1479" t="n">
        <f aca="false">DataDE1!H55</f>
        <v>254.11</v>
      </c>
      <c r="O52" s="829" t="n">
        <f aca="false">N52/M52</f>
        <v>0.142582201773089</v>
      </c>
      <c r="P52" s="1149" t="n">
        <f aca="false">B52/M52</f>
        <v>0.851486926270901</v>
      </c>
      <c r="Q52" s="115"/>
      <c r="R52" s="387"/>
      <c r="S52" s="115"/>
    </row>
    <row r="53" customFormat="false" ht="12" hidden="false" customHeight="false" outlineLevel="0" collapsed="false">
      <c r="A53" s="416" t="n">
        <v>1995</v>
      </c>
      <c r="B53" s="1477" t="n">
        <f aca="false">DataDE1!B56</f>
        <v>1569.37</v>
      </c>
      <c r="C53" s="1478" t="n">
        <f aca="false">DataDE1!F56</f>
        <v>1585.29</v>
      </c>
      <c r="D53" s="1479" t="n">
        <f aca="false">DataDE1!E56</f>
        <v>-15.92</v>
      </c>
      <c r="E53" s="1480" t="n">
        <f aca="false">D53/B53</f>
        <v>-0.0101441979902764</v>
      </c>
      <c r="F53" s="1050" t="n">
        <f aca="false">DataDE1!CI56/B53</f>
        <v>-0.00224931023276856</v>
      </c>
      <c r="G53" s="1481" t="n">
        <f aca="false">DataDE1!CJ56/$B53</f>
        <v>0.0368491815186986</v>
      </c>
      <c r="H53" s="1481" t="n">
        <f aca="false">DataDE1!CK56/$B53</f>
        <v>0.0390984917514672</v>
      </c>
      <c r="I53" s="1050" t="n">
        <f aca="false">DataDE1!CL56/B53</f>
        <v>-0.00115332904286433</v>
      </c>
      <c r="J53" s="1156" t="n">
        <f aca="false">DataDE1!CO56/DataDE1!B56</f>
        <v>-0.00674155871464346</v>
      </c>
      <c r="K53" s="1072" t="n">
        <f aca="false">DataDE1!CR56/B53</f>
        <v>-0.0104819131243747</v>
      </c>
      <c r="L53" s="1072" t="n">
        <f aca="false">DataDE1!CU56/B53</f>
        <v>-0.00124253681413561</v>
      </c>
      <c r="M53" s="1482" t="n">
        <f aca="false">DataDE1!G56</f>
        <v>1848.5</v>
      </c>
      <c r="N53" s="1479" t="n">
        <f aca="false">DataDE1!H56</f>
        <v>263.21</v>
      </c>
      <c r="O53" s="829" t="n">
        <f aca="false">N53/M53</f>
        <v>0.142391127941574</v>
      </c>
      <c r="P53" s="1149" t="n">
        <f aca="false">B53/M53</f>
        <v>0.84899648363538</v>
      </c>
      <c r="Q53" s="115"/>
      <c r="R53" s="387"/>
      <c r="S53" s="115"/>
    </row>
    <row r="54" customFormat="false" ht="12" hidden="false" customHeight="false" outlineLevel="0" collapsed="false">
      <c r="A54" s="416" t="n">
        <v>1996</v>
      </c>
      <c r="B54" s="1477" t="n">
        <f aca="false">DataDE1!B57</f>
        <v>1593.78</v>
      </c>
      <c r="C54" s="1478" t="n">
        <f aca="false">DataDE1!F57</f>
        <v>1605.8</v>
      </c>
      <c r="D54" s="1479" t="n">
        <f aca="false">DataDE1!E57</f>
        <v>-12.02</v>
      </c>
      <c r="E54" s="1480" t="n">
        <f aca="false">D54/B54</f>
        <v>-0.00754181882066534</v>
      </c>
      <c r="F54" s="1050" t="n">
        <f aca="false">DataDE1!CI57/B54</f>
        <v>-0.00107919537200868</v>
      </c>
      <c r="G54" s="1481" t="n">
        <f aca="false">DataDE1!CJ57/$B54</f>
        <v>0.0383553564481923</v>
      </c>
      <c r="H54" s="1481" t="n">
        <f aca="false">DataDE1!CK57/$B54</f>
        <v>0.039434551820201</v>
      </c>
      <c r="I54" s="1050" t="n">
        <f aca="false">DataDE1!CL57/B54</f>
        <v>-0.00117958563917228</v>
      </c>
      <c r="J54" s="1156" t="n">
        <f aca="false">DataDE1!CO57/DataDE1!B57</f>
        <v>-0.00528303780948437</v>
      </c>
      <c r="K54" s="1072" t="n">
        <f aca="false">DataDE1!CR57/B54</f>
        <v>-0.0107480329782028</v>
      </c>
      <c r="L54" s="1072" t="n">
        <f aca="false">DataDE1!CU57/B54</f>
        <v>-0.00106664658861323</v>
      </c>
      <c r="M54" s="1482" t="n">
        <f aca="false">DataDE1!G57</f>
        <v>1875</v>
      </c>
      <c r="N54" s="1479" t="n">
        <f aca="false">DataDE1!H57</f>
        <v>269.2</v>
      </c>
      <c r="O54" s="829" t="n">
        <f aca="false">N54/M54</f>
        <v>0.143573333333333</v>
      </c>
      <c r="P54" s="1149" t="n">
        <f aca="false">B54/M54</f>
        <v>0.850016</v>
      </c>
      <c r="Q54" s="115"/>
      <c r="R54" s="387"/>
      <c r="S54" s="115"/>
    </row>
    <row r="55" customFormat="false" ht="12" hidden="false" customHeight="false" outlineLevel="0" collapsed="false">
      <c r="A55" s="416" t="n">
        <v>1997</v>
      </c>
      <c r="B55" s="1477" t="n">
        <f aca="false">DataDE1!B58</f>
        <v>1621.1</v>
      </c>
      <c r="C55" s="1478" t="n">
        <f aca="false">DataDE1!F58</f>
        <v>1636.76</v>
      </c>
      <c r="D55" s="1479" t="n">
        <f aca="false">DataDE1!E58</f>
        <v>-15.66</v>
      </c>
      <c r="E55" s="1480" t="n">
        <f aca="false">D55/B55</f>
        <v>-0.00966010733452594</v>
      </c>
      <c r="F55" s="1050" t="n">
        <f aca="false">DataDE1!CI58/B55</f>
        <v>-0.00338042070199248</v>
      </c>
      <c r="G55" s="1481" t="n">
        <f aca="false">DataDE1!CJ58/$B55</f>
        <v>0.0424279810005552</v>
      </c>
      <c r="H55" s="1481" t="n">
        <f aca="false">DataDE1!CK58/$B55</f>
        <v>0.0458084017025477</v>
      </c>
      <c r="I55" s="1050" t="n">
        <f aca="false">DataDE1!CL58/B55</f>
        <v>-0.00128924804145333</v>
      </c>
      <c r="J55" s="1156" t="n">
        <f aca="false">DataDE1!CO58/DataDE1!B58</f>
        <v>-0.00499043859108013</v>
      </c>
      <c r="K55" s="1072" t="n">
        <f aca="false">DataDE1!CR58/B55</f>
        <v>-0.0113503176855222</v>
      </c>
      <c r="L55" s="1072" t="n">
        <f aca="false">DataDE1!CU58/B55</f>
        <v>4.31805564123125E-005</v>
      </c>
      <c r="M55" s="1482" t="n">
        <f aca="false">DataDE1!G58</f>
        <v>1912.6</v>
      </c>
      <c r="N55" s="1479" t="n">
        <f aca="false">DataDE1!H58</f>
        <v>275.84</v>
      </c>
      <c r="O55" s="829" t="n">
        <f aca="false">N55/M55</f>
        <v>0.144222524312454</v>
      </c>
      <c r="P55" s="1149" t="n">
        <f aca="false">B55/M55</f>
        <v>0.847589668514065</v>
      </c>
      <c r="Q55" s="115"/>
      <c r="R55" s="387"/>
      <c r="S55" s="115"/>
    </row>
    <row r="56" customFormat="false" ht="12" hidden="false" customHeight="false" outlineLevel="0" collapsed="false">
      <c r="A56" s="416" t="n">
        <v>1998</v>
      </c>
      <c r="B56" s="1477" t="n">
        <f aca="false">DataDE1!B59</f>
        <v>1655.4</v>
      </c>
      <c r="C56" s="1478" t="n">
        <f aca="false">DataDE1!F59</f>
        <v>1677.38</v>
      </c>
      <c r="D56" s="1479" t="n">
        <f aca="false">DataDE1!E59</f>
        <v>-21.98</v>
      </c>
      <c r="E56" s="1480" t="n">
        <f aca="false">D56/B56</f>
        <v>-0.0132777576416576</v>
      </c>
      <c r="F56" s="1050" t="n">
        <f aca="false">DataDE1!CI59/B56</f>
        <v>-0.00807659780113568</v>
      </c>
      <c r="G56" s="1481" t="n">
        <f aca="false">DataDE1!CJ59/$B56</f>
        <v>0.0426060166727075</v>
      </c>
      <c r="H56" s="1481" t="n">
        <f aca="false">DataDE1!CK59/$B56</f>
        <v>0.0506826144738432</v>
      </c>
      <c r="I56" s="1050" t="n">
        <f aca="false">DataDE1!CL59/B56</f>
        <v>-0.00139543312794491</v>
      </c>
      <c r="J56" s="1156" t="n">
        <f aca="false">DataDE1!CO59/DataDE1!B59</f>
        <v>-0.00380572671257702</v>
      </c>
      <c r="K56" s="1072" t="n">
        <f aca="false">DataDE1!CR59/B56</f>
        <v>-0.0122024888244533</v>
      </c>
      <c r="L56" s="1072" t="n">
        <f aca="false">DataDE1!CU59/B56</f>
        <v>0.00041681768756796</v>
      </c>
      <c r="M56" s="1482" t="n">
        <f aca="false">DataDE1!G59</f>
        <v>1959.7</v>
      </c>
      <c r="N56" s="1479" t="n">
        <f aca="false">DataDE1!H59</f>
        <v>282.32</v>
      </c>
      <c r="O56" s="829" t="n">
        <f aca="false">N56/M56</f>
        <v>0.144062866765321</v>
      </c>
      <c r="P56" s="1149" t="n">
        <f aca="false">B56/M56</f>
        <v>0.844721130785324</v>
      </c>
      <c r="Q56" s="115"/>
      <c r="R56" s="387"/>
      <c r="S56" s="115"/>
    </row>
    <row r="57" customFormat="false" ht="12" hidden="false" customHeight="false" outlineLevel="0" collapsed="false">
      <c r="A57" s="446" t="n">
        <f aca="false">A56+1</f>
        <v>1999</v>
      </c>
      <c r="B57" s="1477" t="n">
        <f aca="false">DataDE1!B60</f>
        <v>1687.07</v>
      </c>
      <c r="C57" s="1478" t="n">
        <f aca="false">DataDE1!F60</f>
        <v>1711.11</v>
      </c>
      <c r="D57" s="1479" t="n">
        <f aca="false">DataDE1!E60</f>
        <v>-24.04</v>
      </c>
      <c r="E57" s="1480" t="n">
        <f aca="false">D57/B57</f>
        <v>-0.0142495569241347</v>
      </c>
      <c r="F57" s="1050" t="n">
        <f aca="false">DataDE1!CI60/B57</f>
        <v>-0.00978026993545022</v>
      </c>
      <c r="G57" s="1481" t="n">
        <f aca="false">DataDE1!CJ60/$B57</f>
        <v>0.0477988465208912</v>
      </c>
      <c r="H57" s="1481" t="n">
        <f aca="false">DataDE1!CK60/$B57</f>
        <v>0.0575791164563415</v>
      </c>
      <c r="I57" s="1050" t="n">
        <f aca="false">DataDE1!CL60/B57</f>
        <v>-0.00145222189950624</v>
      </c>
      <c r="J57" s="1156" t="n">
        <f aca="false">DataDE1!CO60/DataDE1!B60</f>
        <v>-0.00301706508917828</v>
      </c>
      <c r="K57" s="1072" t="n">
        <f aca="false">DataDE1!CR60/B57</f>
        <v>-0.0115288636511822</v>
      </c>
      <c r="L57" s="1072" t="n">
        <f aca="false">DataDE1!CU60/B57</f>
        <v>-8.89115448677292E-005</v>
      </c>
      <c r="M57" s="1482" t="n">
        <f aca="false">DataDE1!G60</f>
        <v>2000.2</v>
      </c>
      <c r="N57" s="1479" t="n">
        <f aca="false">DataDE1!H60</f>
        <v>289.09</v>
      </c>
      <c r="O57" s="829" t="n">
        <f aca="false">N57/M57</f>
        <v>0.144530546945305</v>
      </c>
      <c r="P57" s="1149" t="n">
        <f aca="false">B57/M57</f>
        <v>0.843450654934507</v>
      </c>
      <c r="Q57" s="115"/>
      <c r="R57" s="387"/>
      <c r="S57" s="115"/>
    </row>
    <row r="58" customFormat="false" ht="12" hidden="false" customHeight="false" outlineLevel="0" collapsed="false">
      <c r="A58" s="542" t="n">
        <f aca="false">A57+1</f>
        <v>2000</v>
      </c>
      <c r="B58" s="1483" t="n">
        <f aca="false">DataDE1!B61</f>
        <v>1724.53</v>
      </c>
      <c r="C58" s="1484" t="n">
        <f aca="false">DataDE1!F61</f>
        <v>1746.16</v>
      </c>
      <c r="D58" s="1485" t="n">
        <f aca="false">DataDE1!E61</f>
        <v>-21.63</v>
      </c>
      <c r="E58" s="1486" t="n">
        <f aca="false">D58/B58</f>
        <v>-0.0125425478246247</v>
      </c>
      <c r="F58" s="1047" t="n">
        <f aca="false">DataDE1!CI61/B58</f>
        <v>-0.00692362556754594</v>
      </c>
      <c r="G58" s="1487" t="n">
        <f aca="false">DataDE1!CJ61/$B58</f>
        <v>0.0632926072611088</v>
      </c>
      <c r="H58" s="1487" t="n">
        <f aca="false">DataDE1!CK61/$B58</f>
        <v>0.0702162328286548</v>
      </c>
      <c r="I58" s="1047" t="n">
        <f aca="false">DataDE1!CL61/B58</f>
        <v>-0.00167581891877787</v>
      </c>
      <c r="J58" s="1152" t="n">
        <f aca="false">DataDE1!CO61/DataDE1!B61</f>
        <v>-0.00394310333830087</v>
      </c>
      <c r="K58" s="1488" t="n">
        <f aca="false">DataDE1!CR61/B58</f>
        <v>-0.0121192440838953</v>
      </c>
      <c r="L58" s="1488" t="n">
        <f aca="false">DataDE1!CU61/B58</f>
        <v>-0.000927789020776675</v>
      </c>
      <c r="M58" s="1489" t="n">
        <f aca="false">DataDE1!G61</f>
        <v>2047.5</v>
      </c>
      <c r="N58" s="1485" t="n">
        <f aca="false">DataDE1!H61</f>
        <v>301.34</v>
      </c>
      <c r="O58" s="1490" t="n">
        <f aca="false">N58/M58</f>
        <v>0.147174603174603</v>
      </c>
      <c r="P58" s="1154" t="n">
        <f aca="false">B58/M58</f>
        <v>0.842261294261294</v>
      </c>
      <c r="Q58" s="115"/>
      <c r="R58" s="387"/>
      <c r="S58" s="115"/>
    </row>
    <row r="59" customFormat="false" ht="12" hidden="false" customHeight="false" outlineLevel="0" collapsed="false">
      <c r="A59" s="446" t="n">
        <f aca="false">A58+1</f>
        <v>2001</v>
      </c>
      <c r="B59" s="1477" t="n">
        <f aca="false">DataDE1!B62</f>
        <v>1767.48</v>
      </c>
      <c r="C59" s="1478" t="n">
        <f aca="false">DataDE1!F62</f>
        <v>1791.24</v>
      </c>
      <c r="D59" s="1479" t="n">
        <f aca="false">DataDE1!E62</f>
        <v>-23.76</v>
      </c>
      <c r="E59" s="1480" t="n">
        <f aca="false">D59/B59</f>
        <v>-0.0134428678117998</v>
      </c>
      <c r="F59" s="1050" t="n">
        <f aca="false">DataDE1!CI62/B59</f>
        <v>-0.00911467173603096</v>
      </c>
      <c r="G59" s="1481" t="n">
        <f aca="false">DataDE1!CJ62/$B59</f>
        <v>0.0529737253038224</v>
      </c>
      <c r="H59" s="1481" t="n">
        <f aca="false">DataDE1!CK62/$B59</f>
        <v>0.0620883970398533</v>
      </c>
      <c r="I59" s="1050" t="n">
        <f aca="false">DataDE1!CL62/B59</f>
        <v>-0.00179917170208432</v>
      </c>
      <c r="J59" s="1156" t="n">
        <f aca="false">DataDE1!CO62/DataDE1!B62</f>
        <v>-0.00252902437368457</v>
      </c>
      <c r="K59" s="1072" t="n">
        <f aca="false">DataDE1!CR62/B59</f>
        <v>-0.0121415801027452</v>
      </c>
      <c r="L59" s="1072" t="n">
        <f aca="false">DataDE1!CU62/B59</f>
        <v>-0.000203679815330301</v>
      </c>
      <c r="M59" s="1482" t="n">
        <f aca="false">DataDE1!G62</f>
        <v>2101.9</v>
      </c>
      <c r="N59" s="1479" t="n">
        <f aca="false">DataDE1!H62</f>
        <v>310.66</v>
      </c>
      <c r="O59" s="829" t="n">
        <f aca="false">N59/M59</f>
        <v>0.147799609876778</v>
      </c>
      <c r="P59" s="1149" t="n">
        <f aca="false">B59/M59</f>
        <v>0.840896331890195</v>
      </c>
      <c r="Q59" s="115"/>
      <c r="R59" s="387"/>
      <c r="S59" s="115"/>
    </row>
    <row r="60" customFormat="false" ht="12" hidden="false" customHeight="false" outlineLevel="0" collapsed="false">
      <c r="A60" s="446" t="n">
        <f aca="false">A59+1</f>
        <v>2002</v>
      </c>
      <c r="B60" s="1477" t="n">
        <f aca="false">DataDE1!B63</f>
        <v>1787.41</v>
      </c>
      <c r="C60" s="1478" t="n">
        <f aca="false">DataDE1!F63</f>
        <v>1816.08</v>
      </c>
      <c r="D60" s="1479" t="n">
        <f aca="false">DataDE1!E63</f>
        <v>-28.67</v>
      </c>
      <c r="E60" s="1480" t="n">
        <f aca="false">D60/B60</f>
        <v>-0.0160399684459637</v>
      </c>
      <c r="F60" s="1050" t="n">
        <f aca="false">DataDE1!CI63/B60</f>
        <v>-0.0134160601093202</v>
      </c>
      <c r="G60" s="1481" t="n">
        <f aca="false">DataDE1!CJ63/$B60</f>
        <v>0.0534236688840277</v>
      </c>
      <c r="H60" s="1481" t="n">
        <f aca="false">DataDE1!CK63/$B60</f>
        <v>0.0668397289933479</v>
      </c>
      <c r="I60" s="1050" t="n">
        <f aca="false">DataDE1!CL63/B60</f>
        <v>-0.00149378150508277</v>
      </c>
      <c r="J60" s="1156" t="n">
        <f aca="false">DataDE1!CO63/DataDE1!B63</f>
        <v>-0.00113012683156075</v>
      </c>
      <c r="K60" s="1072" t="n">
        <f aca="false">DataDE1!CR63/B60</f>
        <v>-0.0137013891608529</v>
      </c>
      <c r="L60" s="1072" t="n">
        <f aca="false">DataDE1!CU63/B60</f>
        <v>-0.000369249360806978</v>
      </c>
      <c r="M60" s="1482" t="n">
        <f aca="false">DataDE1!G63</f>
        <v>2132.2</v>
      </c>
      <c r="N60" s="1479" t="n">
        <f aca="false">DataDE1!H63</f>
        <v>316.12</v>
      </c>
      <c r="O60" s="829" t="n">
        <f aca="false">N60/M60</f>
        <v>0.148260013131976</v>
      </c>
      <c r="P60" s="1149" t="n">
        <f aca="false">B60/M60</f>
        <v>0.838293781071194</v>
      </c>
      <c r="Q60" s="115"/>
      <c r="R60" s="387"/>
      <c r="S60" s="115"/>
    </row>
    <row r="61" customFormat="false" ht="12" hidden="false" customHeight="false" outlineLevel="0" collapsed="false">
      <c r="A61" s="446" t="n">
        <f aca="false">A60+1</f>
        <v>2003</v>
      </c>
      <c r="B61" s="1477" t="n">
        <f aca="false">DataDE1!B64</f>
        <v>1811.5</v>
      </c>
      <c r="C61" s="1478" t="n">
        <f aca="false">DataDE1!F64</f>
        <v>1829.65</v>
      </c>
      <c r="D61" s="1479" t="n">
        <f aca="false">DataDE1!E64</f>
        <v>-18.15</v>
      </c>
      <c r="E61" s="1480" t="n">
        <f aca="false">D61/B61</f>
        <v>-0.0100193210046922</v>
      </c>
      <c r="F61" s="1050" t="n">
        <f aca="false">DataDE1!CI64/B61</f>
        <v>-0.00763455699696384</v>
      </c>
      <c r="G61" s="1481" t="n">
        <f aca="false">DataDE1!CJ64/$B61</f>
        <v>0.055545128346674</v>
      </c>
      <c r="H61" s="1481" t="n">
        <f aca="false">DataDE1!CK64/$B61</f>
        <v>0.0631796853436379</v>
      </c>
      <c r="I61" s="1050" t="n">
        <f aca="false">DataDE1!CL64/B61</f>
        <v>-0.00145735578250069</v>
      </c>
      <c r="J61" s="1156" t="n">
        <f aca="false">DataDE1!CO64/DataDE1!B64</f>
        <v>-0.000927408225227712</v>
      </c>
      <c r="K61" s="1072" t="n">
        <f aca="false">DataDE1!CR64/B61</f>
        <v>-0.0141595362958874</v>
      </c>
      <c r="L61" s="1072" t="n">
        <f aca="false">DataDE1!CU64/B61</f>
        <v>9.38448799337565E-005</v>
      </c>
      <c r="M61" s="1482" t="n">
        <f aca="false">DataDE1!G64</f>
        <v>2147.5</v>
      </c>
      <c r="N61" s="1479" t="n">
        <f aca="false">DataDE1!H64</f>
        <v>317.85</v>
      </c>
      <c r="O61" s="829" t="n">
        <f aca="false">N61/M61</f>
        <v>0.148009313154831</v>
      </c>
      <c r="P61" s="1149" t="n">
        <f aca="false">B61/M61</f>
        <v>0.843538998835856</v>
      </c>
      <c r="Q61" s="115"/>
      <c r="R61" s="387"/>
      <c r="S61" s="115"/>
    </row>
    <row r="62" customFormat="false" ht="12" hidden="false" customHeight="false" outlineLevel="0" collapsed="false">
      <c r="A62" s="446" t="n">
        <f aca="false">A61+1</f>
        <v>2004</v>
      </c>
      <c r="B62" s="1477" t="n">
        <f aca="false">DataDE1!B65</f>
        <v>1891.58</v>
      </c>
      <c r="C62" s="1478" t="n">
        <f aca="false">DataDE1!F65</f>
        <v>1872.77</v>
      </c>
      <c r="D62" s="1479" t="n">
        <f aca="false">DataDE1!E65</f>
        <v>18.81</v>
      </c>
      <c r="E62" s="1480" t="n">
        <f aca="false">D62/B62</f>
        <v>0.00994406792205457</v>
      </c>
      <c r="F62" s="1050" t="n">
        <f aca="false">DataDE1!CI65/B62</f>
        <v>0.011033104600387</v>
      </c>
      <c r="G62" s="1481" t="n">
        <f aca="false">DataDE1!CJ65/$B62</f>
        <v>0.0700684084204739</v>
      </c>
      <c r="H62" s="1481" t="n">
        <f aca="false">DataDE1!CK65/$B62</f>
        <v>0.0590353038200869</v>
      </c>
      <c r="I62" s="1050" t="n">
        <f aca="false">DataDE1!CL65/B62</f>
        <v>-0.00111018302160099</v>
      </c>
      <c r="J62" s="1156" t="n">
        <f aca="false">DataDE1!CO65/DataDE1!B65</f>
        <v>2.11463432685903E-005</v>
      </c>
      <c r="K62" s="1072" t="n">
        <f aca="false">DataDE1!CR65/B62</f>
        <v>-0.0143213609786528</v>
      </c>
      <c r="L62" s="1072" t="n">
        <f aca="false">DataDE1!CU65/B62</f>
        <v>-0.000116304887977247</v>
      </c>
      <c r="M62" s="1482" t="n">
        <f aca="false">DataDE1!G65</f>
        <v>2195.7</v>
      </c>
      <c r="N62" s="1479" t="n">
        <f aca="false">DataDE1!H65</f>
        <v>322.93</v>
      </c>
      <c r="O62" s="829" t="n">
        <f aca="false">N62/M62</f>
        <v>0.147073826114679</v>
      </c>
      <c r="P62" s="1149" t="n">
        <f aca="false">B62/M62</f>
        <v>0.861492917976044</v>
      </c>
      <c r="Q62" s="115"/>
      <c r="R62" s="387"/>
      <c r="S62" s="115"/>
    </row>
    <row r="63" customFormat="false" ht="12" hidden="false" customHeight="false" outlineLevel="0" collapsed="false">
      <c r="A63" s="446" t="n">
        <f aca="false">A62+1</f>
        <v>2005</v>
      </c>
      <c r="B63" s="1477" t="n">
        <f aca="false">DataDE1!B66</f>
        <v>1921.63</v>
      </c>
      <c r="C63" s="1478" t="n">
        <f aca="false">DataDE1!F66</f>
        <v>1896.44</v>
      </c>
      <c r="D63" s="1479" t="n">
        <f aca="false">DataDE1!E66</f>
        <v>25.19</v>
      </c>
      <c r="E63" s="1480" t="n">
        <f aca="false">D63/B63</f>
        <v>0.0131086629580096</v>
      </c>
      <c r="F63" s="1050" t="n">
        <f aca="false">DataDE1!CI66/B63</f>
        <v>0.0143471948293896</v>
      </c>
      <c r="G63" s="1481" t="n">
        <f aca="false">DataDE1!CJ66/$B63</f>
        <v>0.082632973048922</v>
      </c>
      <c r="H63" s="1481" t="n">
        <f aca="false">DataDE1!CK66/$B63</f>
        <v>0.0682857782195324</v>
      </c>
      <c r="I63" s="1050" t="n">
        <f aca="false">DataDE1!CL66/B63</f>
        <v>-0.000931500861248003</v>
      </c>
      <c r="J63" s="1156" t="n">
        <f aca="false">DataDE1!CO66/DataDE1!B66</f>
        <v>-0.000307031010132024</v>
      </c>
      <c r="K63" s="1072" t="n">
        <f aca="false">DataDE1!CR66/B63</f>
        <v>-0.0144824966304648</v>
      </c>
      <c r="L63" s="1072" t="n">
        <f aca="false">DataDE1!CU66/B63</f>
        <v>-0.000478760219188918</v>
      </c>
      <c r="M63" s="1482" t="n">
        <f aca="false">DataDE1!G66</f>
        <v>2224.4</v>
      </c>
      <c r="N63" s="1479" t="n">
        <f aca="false">DataDE1!H66</f>
        <v>327.96</v>
      </c>
      <c r="O63" s="829" t="n">
        <f aca="false">N63/M63</f>
        <v>0.147437511238986</v>
      </c>
      <c r="P63" s="1149" t="n">
        <f aca="false">B63/M63</f>
        <v>0.86388689084697</v>
      </c>
      <c r="Q63" s="115"/>
      <c r="R63" s="387"/>
      <c r="S63" s="115"/>
    </row>
    <row r="64" customFormat="false" ht="12" hidden="false" customHeight="false" outlineLevel="0" collapsed="false">
      <c r="A64" s="446" t="n">
        <f aca="false">A63+1</f>
        <v>2006</v>
      </c>
      <c r="B64" s="1477" t="n">
        <f aca="false">DataDE1!B67</f>
        <v>2025.2</v>
      </c>
      <c r="C64" s="1478" t="n">
        <f aca="false">DataDE1!F67</f>
        <v>1978.07</v>
      </c>
      <c r="D64" s="1479" t="n">
        <f aca="false">DataDE1!E67</f>
        <v>47.13</v>
      </c>
      <c r="E64" s="1480" t="n">
        <f aca="false">D64/B64</f>
        <v>0.0232717756270986</v>
      </c>
      <c r="F64" s="1050" t="n">
        <f aca="false">DataDE1!CI67/B64</f>
        <v>0.0236816116926723</v>
      </c>
      <c r="G64" s="1481" t="n">
        <f aca="false">DataDE1!CJ67/$B64</f>
        <v>0.0980100730792021</v>
      </c>
      <c r="H64" s="1481" t="n">
        <f aca="false">DataDE1!CK67/$B64</f>
        <v>0.0743284613865297</v>
      </c>
      <c r="I64" s="1050" t="n">
        <f aca="false">DataDE1!CL67/B64</f>
        <v>-0.0004444005530318</v>
      </c>
      <c r="J64" s="1156" t="n">
        <f aca="false">DataDE1!CO67/DataDE1!B67</f>
        <v>3.4564487458029E-005</v>
      </c>
      <c r="K64" s="1072" t="n">
        <f aca="false">DataDE1!CR67/B64</f>
        <v>-0.0134208967015603</v>
      </c>
      <c r="L64" s="1072" t="n">
        <f aca="false">DataDE1!CU67/B64</f>
        <v>-1.48133517677266E-005</v>
      </c>
      <c r="M64" s="1482" t="n">
        <f aca="false">DataDE1!G67</f>
        <v>2313.9</v>
      </c>
      <c r="N64" s="1479" t="n">
        <f aca="false">DataDE1!H67</f>
        <v>335.83</v>
      </c>
      <c r="O64" s="829" t="n">
        <f aca="false">N64/M64</f>
        <v>0.145135917714681</v>
      </c>
      <c r="P64" s="1149" t="n">
        <f aca="false">B64/M64</f>
        <v>0.87523229180172</v>
      </c>
      <c r="Q64" s="115"/>
      <c r="R64" s="387"/>
      <c r="S64" s="115"/>
    </row>
    <row r="65" customFormat="false" ht="12" hidden="false" customHeight="false" outlineLevel="0" collapsed="false">
      <c r="A65" s="446" t="n">
        <f aca="false">A64+1</f>
        <v>2007</v>
      </c>
      <c r="B65" s="1477" t="n">
        <f aca="false">DataDE1!B68</f>
        <v>2118</v>
      </c>
      <c r="C65" s="1478" t="n">
        <f aca="false">DataDE1!F68</f>
        <v>2076.17</v>
      </c>
      <c r="D65" s="1479" t="n">
        <f aca="false">DataDE1!E68</f>
        <v>41.83</v>
      </c>
      <c r="E65" s="1480" t="n">
        <f aca="false">D65/B65</f>
        <v>0.0197497639282342</v>
      </c>
      <c r="F65" s="1050" t="n">
        <f aca="false">DataDE1!CI68/B65</f>
        <v>0.0206468366383381</v>
      </c>
      <c r="G65" s="1481" t="n">
        <f aca="false">DataDE1!CJ68/$B65</f>
        <v>0.110684608120869</v>
      </c>
      <c r="H65" s="1481" t="n">
        <f aca="false">DataDE1!CK68/$B65</f>
        <v>0.0900377714825307</v>
      </c>
      <c r="I65" s="1050" t="n">
        <f aca="false">DataDE1!CL68/B65</f>
        <v>7.55429650613787E-005</v>
      </c>
      <c r="J65" s="1156" t="n">
        <f aca="false">DataDE1!CO68/DataDE1!B68</f>
        <v>-0.00097261567516525</v>
      </c>
      <c r="K65" s="1072" t="n">
        <f aca="false">DataDE1!CR68/B65</f>
        <v>-0.0138385269121813</v>
      </c>
      <c r="L65" s="1072" t="n">
        <f aca="false">DataDE1!CU68/B65</f>
        <v>0.000207743153918791</v>
      </c>
      <c r="M65" s="1482" t="n">
        <f aca="false">DataDE1!G68</f>
        <v>2428.5</v>
      </c>
      <c r="N65" s="1479" t="n">
        <f aca="false">DataDE1!H68</f>
        <v>352.33</v>
      </c>
      <c r="O65" s="829" t="n">
        <f aca="false">N65/M65</f>
        <v>0.145081325921351</v>
      </c>
      <c r="P65" s="1149" t="n">
        <f aca="false">B65/M65</f>
        <v>0.872143298332304</v>
      </c>
      <c r="Q65" s="115"/>
      <c r="R65" s="387"/>
      <c r="S65" s="115"/>
    </row>
    <row r="66" customFormat="false" ht="12" hidden="false" customHeight="false" outlineLevel="0" collapsed="false">
      <c r="A66" s="446" t="n">
        <f aca="false">A65+1</f>
        <v>2008</v>
      </c>
      <c r="B66" s="1477" t="n">
        <f aca="false">DataDE1!B69</f>
        <v>2139.41</v>
      </c>
      <c r="C66" s="1478" t="n">
        <f aca="false">DataDE1!F69</f>
        <v>2107.71</v>
      </c>
      <c r="D66" s="1479" t="n">
        <f aca="false">DataDE1!E69</f>
        <v>31.7</v>
      </c>
      <c r="E66" s="1480" t="n">
        <f aca="false">D66/B66</f>
        <v>0.0148171692195512</v>
      </c>
      <c r="F66" s="1050" t="n">
        <f aca="false">DataDE1!CI69/B66</f>
        <v>0.0157099387214232</v>
      </c>
      <c r="G66" s="1481" t="n">
        <f aca="false">DataDE1!CJ69/$B66</f>
        <v>0.0876456593172884</v>
      </c>
      <c r="H66" s="1481" t="n">
        <f aca="false">DataDE1!CK69/$B66</f>
        <v>0.0719357205958652</v>
      </c>
      <c r="I66" s="1050" t="n">
        <f aca="false">DataDE1!CL69/B66</f>
        <v>0.000168270691452316</v>
      </c>
      <c r="J66" s="1156" t="n">
        <f aca="false">DataDE1!CO69/DataDE1!B69</f>
        <v>-0.00106104019332433</v>
      </c>
      <c r="K66" s="1072" t="n">
        <f aca="false">DataDE1!CR69/B66</f>
        <v>-0.0148311917771722</v>
      </c>
      <c r="L66" s="1072" t="n">
        <f aca="false">DataDE1!CU69/B66</f>
        <v>-0.000392631613388738</v>
      </c>
      <c r="M66" s="1482" t="n">
        <f aca="false">DataDE1!G69</f>
        <v>2473.8</v>
      </c>
      <c r="N66" s="1479" t="n">
        <f aca="false">DataDE1!H69</f>
        <v>366.09</v>
      </c>
      <c r="O66" s="829" t="n">
        <f aca="false">N66/M66</f>
        <v>0.147986902740723</v>
      </c>
      <c r="P66" s="1149" t="n">
        <f aca="false">B66/M66</f>
        <v>0.864827391058291</v>
      </c>
      <c r="Q66" s="115"/>
      <c r="R66" s="387"/>
      <c r="S66" s="115"/>
    </row>
    <row r="67" customFormat="false" ht="12" hidden="false" customHeight="false" outlineLevel="0" collapsed="false">
      <c r="A67" s="446" t="n">
        <f aca="false">A66+1</f>
        <v>2009</v>
      </c>
      <c r="B67" s="1477" t="n">
        <f aca="false">DataDE1!B70</f>
        <v>2051.36</v>
      </c>
      <c r="C67" s="1478" t="n">
        <f aca="false">DataDE1!F70</f>
        <v>2001.01</v>
      </c>
      <c r="D67" s="1479" t="n">
        <f aca="false">DataDE1!E70</f>
        <v>50.35</v>
      </c>
      <c r="E67" s="1480" t="n">
        <f aca="false">D67/B67</f>
        <v>0.0245446923016925</v>
      </c>
      <c r="F67" s="1050" t="n">
        <f aca="false">DataDE1!CI70/B67</f>
        <v>0.0237257234225099</v>
      </c>
      <c r="G67" s="1481" t="n">
        <f aca="false">DataDE1!CJ70/$B67</f>
        <v>0.0836030730832228</v>
      </c>
      <c r="H67" s="1481" t="n">
        <f aca="false">DataDE1!CK70/$B67</f>
        <v>0.0598773496607129</v>
      </c>
      <c r="I67" s="1050" t="n">
        <f aca="false">DataDE1!CL70/B67</f>
        <v>0.000448482957647609</v>
      </c>
      <c r="J67" s="1156" t="n">
        <f aca="false">DataDE1!CO70/DataDE1!B70</f>
        <v>0.000370485921534982</v>
      </c>
      <c r="K67" s="1072" t="n">
        <f aca="false">DataDE1!CR70/B67</f>
        <v>-0.0156969035176663</v>
      </c>
      <c r="L67" s="1072" t="n">
        <f aca="false">DataDE1!CU70/B67</f>
        <v>4.87481475703935E-006</v>
      </c>
      <c r="M67" s="1482" t="n">
        <f aca="false">DataDE1!G70</f>
        <v>2374.5</v>
      </c>
      <c r="N67" s="1479" t="n">
        <f aca="false">DataDE1!H70</f>
        <v>373.49</v>
      </c>
      <c r="O67" s="829" t="n">
        <f aca="false">N67/M67</f>
        <v>0.157292061486629</v>
      </c>
      <c r="P67" s="1149" t="n">
        <f aca="false">B67/M67</f>
        <v>0.863912402611076</v>
      </c>
      <c r="Q67" s="115"/>
      <c r="R67" s="387"/>
      <c r="S67" s="115"/>
    </row>
    <row r="68" customFormat="false" ht="12" hidden="false" customHeight="false" outlineLevel="0" collapsed="false">
      <c r="A68" s="542" t="n">
        <f aca="false">A67+1</f>
        <v>2010</v>
      </c>
      <c r="B68" s="1483" t="n">
        <f aca="false">DataDE1!B71</f>
        <v>2146.06</v>
      </c>
      <c r="C68" s="1484" t="n">
        <f aca="false">DataDE1!F71</f>
        <v>2100.11</v>
      </c>
      <c r="D68" s="1485" t="n">
        <f aca="false">DataDE1!E71</f>
        <v>45.95</v>
      </c>
      <c r="E68" s="1486" t="n">
        <f aca="false">D68/B68</f>
        <v>0.0214113305312992</v>
      </c>
      <c r="F68" s="1047" t="n">
        <f aca="false">DataDE1!CI71/B68</f>
        <v>0.0207636319581</v>
      </c>
      <c r="G68" s="1487" t="n">
        <f aca="false">DataDE1!CJ71/$B68</f>
        <v>0.078469381098385</v>
      </c>
      <c r="H68" s="1487" t="n">
        <f aca="false">DataDE1!CK71/$B68</f>
        <v>0.057705749140285</v>
      </c>
      <c r="I68" s="1047" t="n">
        <f aca="false">DataDE1!CL71/B68</f>
        <v>0.000694295592853881</v>
      </c>
      <c r="J68" s="1152" t="n">
        <f aca="false">DataDE1!CO71/DataDE1!B71</f>
        <v>-4.65970196546231E-005</v>
      </c>
      <c r="K68" s="1488" t="n">
        <f aca="false">DataDE1!CR71/B68</f>
        <v>-0.0176369719392748</v>
      </c>
      <c r="L68" s="1488" t="n">
        <f aca="false">DataDE1!CU71/B68</f>
        <v>-0.000144450760929331</v>
      </c>
      <c r="M68" s="1489" t="n">
        <f aca="false">DataDE1!G71</f>
        <v>2476.8</v>
      </c>
      <c r="N68" s="1485" t="n">
        <f aca="false">DataDE1!H71</f>
        <v>376.69</v>
      </c>
      <c r="O68" s="1490" t="n">
        <f aca="false">N68/M68</f>
        <v>0.152087370801034</v>
      </c>
      <c r="P68" s="1154" t="n">
        <f aca="false">B68/M68</f>
        <v>0.866464793281654</v>
      </c>
      <c r="Q68" s="115"/>
      <c r="R68" s="387"/>
      <c r="S68" s="115"/>
    </row>
    <row r="69" customFormat="false" ht="13" hidden="false" customHeight="false" outlineLevel="0" collapsed="false">
      <c r="A69" s="449" t="n">
        <f aca="false">A68+1</f>
        <v>2011</v>
      </c>
      <c r="B69" s="1500" t="n">
        <f aca="false">DataDE1!B72</f>
        <v>2228.7</v>
      </c>
      <c r="C69" s="1501" t="n">
        <f aca="false">DataDE1!F72</f>
        <v>2187.08</v>
      </c>
      <c r="D69" s="1502" t="n">
        <f aca="false">DataDE1!E72</f>
        <v>41.62</v>
      </c>
      <c r="E69" s="1503" t="n">
        <f aca="false">D69/B69</f>
        <v>0.0186745636469691</v>
      </c>
      <c r="F69" s="1235" t="n">
        <f aca="false">DataDE1!CI72/B69</f>
        <v>0.0184232960918921</v>
      </c>
      <c r="G69" s="1504" t="n">
        <f aca="false">DataDE1!CJ72/$B69</f>
        <v>0.0816754161618881</v>
      </c>
      <c r="H69" s="1504" t="n">
        <f aca="false">DataDE1!CK72/$B69</f>
        <v>0.063252120069996</v>
      </c>
      <c r="I69" s="1235" t="n">
        <f aca="false">DataDE1!CL72/B69</f>
        <v>0.000547404316417643</v>
      </c>
      <c r="J69" s="1236" t="n">
        <f aca="false">DataDE1!CO72/DataDE1!B72</f>
        <v>-0.000296136761340692</v>
      </c>
      <c r="K69" s="1505" t="n">
        <f aca="false">DataDE1!CR72/B69</f>
        <v>-0.0168573607932876</v>
      </c>
      <c r="L69" s="1505" t="n">
        <f aca="false">DataDE1!CU72/B69</f>
        <v>-0.000215372190065958</v>
      </c>
      <c r="M69" s="1506" t="n">
        <f aca="false">DataDE1!G72</f>
        <v>2570.8</v>
      </c>
      <c r="N69" s="1502" t="n">
        <f aca="false">DataDE1!H72</f>
        <v>383.72</v>
      </c>
      <c r="O69" s="1507" t="n">
        <f aca="false">N69/M69</f>
        <v>0.149260930449665</v>
      </c>
      <c r="P69" s="1508" t="n">
        <f aca="false">B69/M69</f>
        <v>0.866928582542399</v>
      </c>
      <c r="Q69" s="115"/>
      <c r="R69" s="387"/>
      <c r="S69" s="115"/>
    </row>
    <row r="70" customFormat="false" ht="13" hidden="false" customHeight="false" outlineLevel="0" collapsed="false">
      <c r="B70" s="115"/>
      <c r="C70" s="115"/>
      <c r="D70" s="115"/>
      <c r="E70" s="115"/>
      <c r="F70" s="115"/>
      <c r="G70" s="115"/>
      <c r="H70" s="115"/>
      <c r="I70" s="115"/>
      <c r="J70" s="115"/>
      <c r="K70" s="115"/>
      <c r="L70" s="115"/>
      <c r="M70" s="115"/>
      <c r="N70" s="115"/>
      <c r="O70" s="115"/>
      <c r="P70" s="1509"/>
      <c r="Q70" s="115"/>
      <c r="R70" s="115"/>
      <c r="S70" s="115"/>
    </row>
    <row r="71" customFormat="false" ht="12" hidden="false" customHeight="false" outlineLevel="0" collapsed="false">
      <c r="B71" s="197"/>
      <c r="C71" s="197"/>
      <c r="D71" s="197"/>
      <c r="E71" s="197"/>
      <c r="F71" s="197"/>
      <c r="G71" s="197"/>
      <c r="H71" s="197"/>
      <c r="I71" s="197"/>
      <c r="J71" s="197"/>
      <c r="K71" s="197"/>
      <c r="L71" s="197"/>
      <c r="M71" s="197"/>
      <c r="N71" s="197"/>
      <c r="O71" s="197"/>
      <c r="P71" s="1510"/>
      <c r="Q71" s="115"/>
      <c r="R71" s="115"/>
      <c r="S71" s="115"/>
    </row>
    <row r="72" customFormat="false" ht="12" hidden="false" customHeight="false" outlineLevel="0" collapsed="false">
      <c r="B72" s="197"/>
      <c r="C72" s="197"/>
      <c r="D72" s="197"/>
      <c r="E72" s="197"/>
      <c r="F72" s="197"/>
      <c r="G72" s="197"/>
      <c r="H72" s="197"/>
      <c r="I72" s="197"/>
      <c r="J72" s="197"/>
      <c r="K72" s="197"/>
      <c r="L72" s="197"/>
      <c r="M72" s="197"/>
      <c r="N72" s="197"/>
      <c r="O72" s="197"/>
      <c r="P72" s="197"/>
      <c r="Q72" s="115"/>
      <c r="R72" s="115"/>
      <c r="S72" s="115"/>
    </row>
    <row r="73" customFormat="false" ht="12" hidden="false" customHeight="false" outlineLevel="0" collapsed="false">
      <c r="B73" s="197"/>
      <c r="C73" s="197"/>
      <c r="D73" s="197"/>
      <c r="E73" s="197"/>
      <c r="F73" s="197"/>
      <c r="G73" s="197"/>
      <c r="H73" s="197"/>
      <c r="I73" s="197"/>
      <c r="J73" s="197"/>
      <c r="K73" s="197"/>
      <c r="L73" s="197"/>
      <c r="M73" s="197"/>
      <c r="N73" s="197"/>
      <c r="O73" s="197"/>
      <c r="P73" s="197"/>
      <c r="Q73" s="115"/>
      <c r="R73" s="115"/>
      <c r="S73" s="115"/>
    </row>
    <row r="74" customFormat="false" ht="12" hidden="false" customHeight="false" outlineLevel="0" collapsed="false">
      <c r="B74" s="197"/>
      <c r="C74" s="197"/>
      <c r="D74" s="197"/>
      <c r="E74" s="197"/>
      <c r="F74" s="197"/>
      <c r="G74" s="197"/>
      <c r="H74" s="197"/>
      <c r="I74" s="197"/>
      <c r="J74" s="197"/>
      <c r="K74" s="197"/>
      <c r="L74" s="197"/>
      <c r="M74" s="197"/>
      <c r="N74" s="197"/>
      <c r="O74" s="197"/>
      <c r="P74" s="197"/>
      <c r="Q74" s="115"/>
      <c r="R74" s="115"/>
      <c r="S74" s="115"/>
    </row>
    <row r="75" customFormat="false" ht="12" hidden="false" customHeight="false" outlineLevel="0" collapsed="false">
      <c r="B75" s="197"/>
      <c r="C75" s="197"/>
      <c r="D75" s="197"/>
      <c r="E75" s="197"/>
      <c r="F75" s="197"/>
      <c r="G75" s="197"/>
      <c r="H75" s="197"/>
      <c r="I75" s="197"/>
      <c r="J75" s="197"/>
      <c r="K75" s="197"/>
      <c r="L75" s="197"/>
      <c r="M75" s="197"/>
      <c r="N75" s="197"/>
      <c r="O75" s="197"/>
      <c r="P75" s="197"/>
      <c r="Q75" s="115"/>
      <c r="R75" s="115"/>
      <c r="S75" s="115"/>
    </row>
    <row r="76" customFormat="false" ht="12" hidden="false" customHeight="false" outlineLevel="0" collapsed="false">
      <c r="B76" s="197"/>
      <c r="C76" s="197"/>
      <c r="D76" s="197"/>
      <c r="E76" s="197"/>
      <c r="F76" s="197"/>
      <c r="G76" s="197"/>
      <c r="H76" s="197"/>
      <c r="I76" s="197"/>
      <c r="J76" s="197"/>
      <c r="K76" s="197"/>
      <c r="L76" s="197"/>
      <c r="M76" s="197"/>
      <c r="N76" s="197"/>
      <c r="O76" s="197"/>
      <c r="P76" s="197"/>
      <c r="Q76" s="115"/>
      <c r="R76" s="115"/>
      <c r="S76" s="115"/>
    </row>
    <row r="77" customFormat="false" ht="12" hidden="false" customHeight="false" outlineLevel="0" collapsed="false">
      <c r="B77" s="197"/>
      <c r="C77" s="197"/>
      <c r="D77" s="197"/>
      <c r="E77" s="197"/>
      <c r="F77" s="197"/>
      <c r="G77" s="197"/>
      <c r="H77" s="197"/>
      <c r="I77" s="197"/>
      <c r="J77" s="197"/>
      <c r="K77" s="197"/>
      <c r="L77" s="197"/>
      <c r="M77" s="197"/>
      <c r="N77" s="197"/>
      <c r="O77" s="197"/>
      <c r="P77" s="197"/>
      <c r="Q77" s="115"/>
      <c r="R77" s="115"/>
      <c r="S77" s="115"/>
    </row>
    <row r="78" customFormat="false" ht="12" hidden="false" customHeight="false" outlineLevel="0" collapsed="false">
      <c r="B78" s="197"/>
      <c r="C78" s="197"/>
      <c r="D78" s="197"/>
      <c r="E78" s="197"/>
      <c r="F78" s="197"/>
      <c r="G78" s="197"/>
      <c r="H78" s="197"/>
      <c r="I78" s="197"/>
      <c r="J78" s="197"/>
      <c r="K78" s="197"/>
      <c r="L78" s="197"/>
      <c r="M78" s="197"/>
      <c r="N78" s="197"/>
      <c r="O78" s="197"/>
      <c r="P78" s="197"/>
      <c r="Q78" s="115"/>
      <c r="R78" s="115"/>
      <c r="S78" s="115"/>
    </row>
    <row r="79" customFormat="false" ht="12" hidden="false" customHeight="false" outlineLevel="0" collapsed="false">
      <c r="B79" s="197"/>
      <c r="C79" s="197"/>
      <c r="D79" s="197"/>
      <c r="E79" s="197"/>
      <c r="F79" s="197"/>
      <c r="G79" s="197"/>
      <c r="H79" s="197"/>
      <c r="I79" s="197"/>
      <c r="J79" s="197"/>
      <c r="K79" s="197"/>
      <c r="L79" s="197"/>
      <c r="M79" s="197"/>
      <c r="N79" s="197"/>
      <c r="O79" s="197"/>
      <c r="P79" s="197"/>
      <c r="Q79" s="115"/>
      <c r="R79" s="115"/>
      <c r="S79" s="115"/>
    </row>
    <row r="80" customFormat="false" ht="12" hidden="false" customHeight="false" outlineLevel="0" collapsed="false">
      <c r="B80" s="197"/>
      <c r="C80" s="197"/>
      <c r="D80" s="197"/>
      <c r="E80" s="197"/>
      <c r="F80" s="197"/>
      <c r="G80" s="197"/>
      <c r="H80" s="197"/>
      <c r="I80" s="197"/>
      <c r="J80" s="197"/>
      <c r="K80" s="197"/>
      <c r="L80" s="197"/>
      <c r="M80" s="197"/>
      <c r="N80" s="197"/>
      <c r="O80" s="197"/>
      <c r="P80" s="197"/>
      <c r="Q80" s="115"/>
      <c r="R80" s="115"/>
      <c r="S80" s="115"/>
    </row>
    <row r="81" customFormat="false" ht="12" hidden="false" customHeight="false" outlineLevel="0" collapsed="false">
      <c r="B81" s="197"/>
      <c r="C81" s="197"/>
      <c r="D81" s="197"/>
      <c r="E81" s="197"/>
      <c r="F81" s="197"/>
      <c r="G81" s="197"/>
      <c r="H81" s="197"/>
      <c r="I81" s="197"/>
      <c r="J81" s="197"/>
      <c r="K81" s="197"/>
      <c r="L81" s="197"/>
      <c r="M81" s="197"/>
      <c r="N81" s="197"/>
      <c r="O81" s="197"/>
      <c r="P81" s="197"/>
      <c r="Q81" s="115"/>
      <c r="R81" s="115"/>
      <c r="S81" s="115"/>
    </row>
    <row r="82" customFormat="false" ht="12" hidden="false" customHeight="false" outlineLevel="0" collapsed="false">
      <c r="B82" s="197"/>
      <c r="C82" s="197"/>
      <c r="D82" s="197"/>
      <c r="E82" s="197"/>
      <c r="F82" s="197"/>
      <c r="G82" s="197"/>
      <c r="H82" s="197"/>
      <c r="I82" s="197"/>
      <c r="J82" s="197"/>
      <c r="K82" s="197"/>
      <c r="L82" s="197"/>
      <c r="M82" s="197"/>
      <c r="N82" s="197"/>
      <c r="O82" s="197"/>
      <c r="P82" s="197"/>
      <c r="Q82" s="115"/>
      <c r="R82" s="115"/>
      <c r="S82" s="115"/>
    </row>
    <row r="83" customFormat="false" ht="12" hidden="false" customHeight="false" outlineLevel="0" collapsed="false">
      <c r="B83" s="197"/>
      <c r="C83" s="197"/>
      <c r="D83" s="197"/>
      <c r="E83" s="197"/>
      <c r="F83" s="197"/>
      <c r="G83" s="197"/>
      <c r="H83" s="197"/>
      <c r="I83" s="197"/>
      <c r="J83" s="197"/>
      <c r="K83" s="197"/>
      <c r="L83" s="197"/>
      <c r="M83" s="197"/>
      <c r="N83" s="197"/>
      <c r="O83" s="197"/>
      <c r="P83" s="197"/>
      <c r="Q83" s="197"/>
      <c r="R83" s="197"/>
      <c r="S83" s="197"/>
    </row>
    <row r="84" customFormat="false" ht="12" hidden="false" customHeight="false" outlineLevel="0" collapsed="false">
      <c r="B84" s="197"/>
      <c r="C84" s="197"/>
      <c r="D84" s="197"/>
      <c r="E84" s="197"/>
      <c r="F84" s="197"/>
      <c r="G84" s="197"/>
      <c r="H84" s="197"/>
      <c r="I84" s="197"/>
      <c r="J84" s="197"/>
      <c r="K84" s="197"/>
      <c r="L84" s="197"/>
      <c r="M84" s="197"/>
      <c r="N84" s="197"/>
      <c r="O84" s="197"/>
      <c r="P84" s="197"/>
      <c r="Q84" s="197"/>
      <c r="R84" s="197"/>
      <c r="S84" s="197"/>
    </row>
    <row r="85" customFormat="false" ht="12" hidden="false" customHeight="false" outlineLevel="0" collapsed="false">
      <c r="B85" s="197"/>
      <c r="C85" s="197"/>
      <c r="D85" s="197"/>
      <c r="E85" s="197"/>
      <c r="F85" s="197"/>
      <c r="G85" s="197"/>
      <c r="H85" s="197"/>
      <c r="I85" s="197"/>
      <c r="J85" s="197"/>
      <c r="K85" s="197"/>
      <c r="L85" s="197"/>
      <c r="M85" s="197"/>
      <c r="N85" s="197"/>
      <c r="O85" s="197"/>
      <c r="P85" s="197"/>
      <c r="Q85" s="197"/>
      <c r="R85" s="197"/>
      <c r="S85" s="197"/>
    </row>
    <row r="86" customFormat="false" ht="12" hidden="false" customHeight="false" outlineLevel="0" collapsed="false">
      <c r="B86" s="197"/>
      <c r="C86" s="197"/>
      <c r="D86" s="197"/>
      <c r="E86" s="197"/>
      <c r="F86" s="197"/>
      <c r="G86" s="197"/>
      <c r="H86" s="197"/>
      <c r="I86" s="197"/>
      <c r="J86" s="197"/>
      <c r="K86" s="197"/>
      <c r="L86" s="197"/>
      <c r="M86" s="197"/>
      <c r="N86" s="197"/>
      <c r="O86" s="197"/>
      <c r="P86" s="197"/>
      <c r="Q86" s="197"/>
      <c r="R86" s="197"/>
      <c r="S86" s="197"/>
    </row>
    <row r="87" customFormat="false" ht="12" hidden="false" customHeight="false" outlineLevel="0" collapsed="false">
      <c r="B87" s="197"/>
      <c r="C87" s="197"/>
      <c r="D87" s="197"/>
      <c r="E87" s="197"/>
      <c r="F87" s="197"/>
      <c r="G87" s="197"/>
      <c r="H87" s="197"/>
      <c r="I87" s="197"/>
      <c r="J87" s="197"/>
      <c r="K87" s="197"/>
      <c r="L87" s="197"/>
      <c r="M87" s="197"/>
      <c r="N87" s="197"/>
      <c r="O87" s="197"/>
      <c r="P87" s="197"/>
      <c r="Q87" s="197"/>
      <c r="R87" s="197"/>
      <c r="S87" s="197"/>
    </row>
    <row r="88" customFormat="false" ht="12" hidden="false" customHeight="false" outlineLevel="0" collapsed="false">
      <c r="B88" s="197"/>
      <c r="C88" s="197"/>
      <c r="D88" s="197"/>
      <c r="E88" s="197"/>
      <c r="F88" s="197"/>
      <c r="G88" s="197"/>
      <c r="H88" s="197"/>
      <c r="I88" s="197"/>
      <c r="J88" s="197"/>
      <c r="K88" s="197"/>
      <c r="L88" s="197"/>
      <c r="M88" s="197"/>
      <c r="N88" s="197"/>
      <c r="O88" s="197"/>
      <c r="P88" s="197"/>
      <c r="Q88" s="197"/>
      <c r="R88" s="197"/>
      <c r="S88" s="197"/>
    </row>
    <row r="89" customFormat="false" ht="12" hidden="false" customHeight="false" outlineLevel="0" collapsed="false">
      <c r="B89" s="197"/>
      <c r="C89" s="197"/>
      <c r="D89" s="197"/>
      <c r="E89" s="197"/>
      <c r="F89" s="197"/>
      <c r="G89" s="197"/>
      <c r="H89" s="197"/>
      <c r="I89" s="197"/>
      <c r="J89" s="197"/>
      <c r="K89" s="197"/>
      <c r="L89" s="197"/>
      <c r="M89" s="197"/>
      <c r="N89" s="197"/>
      <c r="O89" s="197"/>
      <c r="P89" s="197"/>
      <c r="Q89" s="197"/>
      <c r="R89" s="197"/>
      <c r="S89" s="197"/>
    </row>
    <row r="90" customFormat="false" ht="12" hidden="false" customHeight="false" outlineLevel="0" collapsed="false">
      <c r="B90" s="197"/>
      <c r="C90" s="197"/>
      <c r="D90" s="197"/>
      <c r="E90" s="197"/>
      <c r="F90" s="197"/>
      <c r="G90" s="197"/>
      <c r="H90" s="197"/>
      <c r="I90" s="197"/>
      <c r="J90" s="197"/>
      <c r="K90" s="197"/>
      <c r="L90" s="197"/>
      <c r="M90" s="197"/>
      <c r="N90" s="197"/>
      <c r="O90" s="197"/>
      <c r="P90" s="197"/>
      <c r="Q90" s="197"/>
      <c r="R90" s="197"/>
      <c r="S90" s="197"/>
    </row>
    <row r="91" customFormat="false" ht="12" hidden="false" customHeight="false" outlineLevel="0" collapsed="false">
      <c r="B91" s="197"/>
      <c r="C91" s="197"/>
      <c r="D91" s="197"/>
      <c r="E91" s="197"/>
      <c r="F91" s="197"/>
      <c r="G91" s="197"/>
      <c r="H91" s="197"/>
      <c r="I91" s="197"/>
      <c r="J91" s="197"/>
      <c r="K91" s="197"/>
      <c r="L91" s="197"/>
      <c r="M91" s="197"/>
      <c r="N91" s="197"/>
      <c r="O91" s="197"/>
      <c r="P91" s="197"/>
      <c r="Q91" s="197"/>
      <c r="R91" s="197"/>
      <c r="S91" s="197"/>
    </row>
    <row r="92" customFormat="false" ht="12" hidden="false" customHeight="false" outlineLevel="0" collapsed="false">
      <c r="B92" s="197"/>
      <c r="C92" s="197"/>
      <c r="D92" s="197"/>
      <c r="E92" s="197"/>
      <c r="F92" s="197"/>
      <c r="G92" s="197"/>
      <c r="H92" s="197"/>
      <c r="I92" s="197"/>
      <c r="J92" s="197"/>
      <c r="K92" s="197"/>
      <c r="L92" s="197"/>
      <c r="M92" s="197"/>
      <c r="N92" s="197"/>
      <c r="O92" s="197"/>
      <c r="P92" s="197"/>
      <c r="Q92" s="197"/>
      <c r="R92" s="197"/>
      <c r="S92" s="197"/>
    </row>
    <row r="93" customFormat="false" ht="12" hidden="false" customHeight="false" outlineLevel="0" collapsed="false">
      <c r="B93" s="197"/>
      <c r="C93" s="197"/>
      <c r="D93" s="197"/>
      <c r="E93" s="197"/>
      <c r="F93" s="197"/>
      <c r="G93" s="197"/>
      <c r="H93" s="197"/>
      <c r="I93" s="197"/>
      <c r="J93" s="197"/>
      <c r="K93" s="197"/>
      <c r="L93" s="197"/>
      <c r="M93" s="197"/>
      <c r="N93" s="197"/>
      <c r="O93" s="197"/>
      <c r="P93" s="197"/>
      <c r="Q93" s="197"/>
      <c r="R93" s="197"/>
      <c r="S93" s="197"/>
    </row>
    <row r="94" customFormat="false" ht="12" hidden="false" customHeight="false" outlineLevel="0" collapsed="false">
      <c r="B94" s="197"/>
      <c r="C94" s="197"/>
      <c r="D94" s="197"/>
      <c r="E94" s="197"/>
      <c r="F94" s="197"/>
      <c r="G94" s="197"/>
      <c r="H94" s="197"/>
      <c r="I94" s="197"/>
      <c r="J94" s="197"/>
      <c r="K94" s="197"/>
      <c r="L94" s="197"/>
      <c r="M94" s="197"/>
      <c r="N94" s="197"/>
      <c r="O94" s="197"/>
      <c r="P94" s="197"/>
      <c r="Q94" s="197"/>
      <c r="R94" s="197"/>
      <c r="S94" s="197"/>
    </row>
    <row r="95" customFormat="false" ht="12" hidden="false" customHeight="false" outlineLevel="0" collapsed="false">
      <c r="B95" s="197"/>
      <c r="C95" s="197"/>
      <c r="D95" s="197"/>
      <c r="E95" s="197"/>
      <c r="F95" s="197"/>
      <c r="G95" s="197"/>
      <c r="H95" s="197"/>
      <c r="I95" s="197"/>
      <c r="J95" s="197"/>
      <c r="K95" s="197"/>
      <c r="L95" s="197"/>
      <c r="M95" s="197"/>
      <c r="N95" s="197"/>
      <c r="O95" s="197"/>
      <c r="P95" s="197"/>
      <c r="Q95" s="197"/>
      <c r="R95" s="197"/>
      <c r="S95" s="197"/>
    </row>
    <row r="96" customFormat="false" ht="12" hidden="false" customHeight="false" outlineLevel="0" collapsed="false">
      <c r="B96" s="197"/>
      <c r="C96" s="197"/>
      <c r="D96" s="197"/>
      <c r="E96" s="197"/>
      <c r="F96" s="197"/>
      <c r="G96" s="197"/>
      <c r="H96" s="197"/>
      <c r="I96" s="197"/>
      <c r="J96" s="197"/>
      <c r="K96" s="197"/>
      <c r="L96" s="197"/>
      <c r="M96" s="197"/>
      <c r="N96" s="197"/>
      <c r="O96" s="197"/>
      <c r="P96" s="197"/>
      <c r="Q96" s="197"/>
      <c r="R96" s="197"/>
      <c r="S96" s="197"/>
    </row>
    <row r="97" customFormat="false" ht="12" hidden="false" customHeight="false" outlineLevel="0" collapsed="false">
      <c r="B97" s="197"/>
      <c r="C97" s="197"/>
      <c r="D97" s="197"/>
      <c r="E97" s="197"/>
      <c r="F97" s="197"/>
      <c r="G97" s="197"/>
      <c r="H97" s="197"/>
      <c r="I97" s="197"/>
      <c r="J97" s="197"/>
      <c r="K97" s="197"/>
      <c r="L97" s="197"/>
      <c r="M97" s="197"/>
      <c r="N97" s="197"/>
      <c r="O97" s="197"/>
      <c r="P97" s="197"/>
      <c r="Q97" s="197"/>
      <c r="R97" s="197"/>
      <c r="S97" s="197"/>
    </row>
    <row r="98" customFormat="false" ht="12" hidden="false" customHeight="false" outlineLevel="0" collapsed="false">
      <c r="B98" s="197"/>
      <c r="C98" s="197"/>
      <c r="D98" s="197"/>
      <c r="E98" s="197"/>
      <c r="F98" s="197"/>
      <c r="G98" s="197"/>
      <c r="H98" s="197"/>
      <c r="I98" s="197"/>
      <c r="J98" s="197"/>
      <c r="K98" s="197"/>
      <c r="L98" s="197"/>
      <c r="M98" s="197"/>
      <c r="N98" s="197"/>
      <c r="O98" s="197"/>
      <c r="P98" s="197"/>
      <c r="Q98" s="197"/>
      <c r="R98" s="197"/>
      <c r="S98" s="197"/>
    </row>
    <row r="99" customFormat="false" ht="12" hidden="false" customHeight="false" outlineLevel="0" collapsed="false">
      <c r="B99" s="197"/>
      <c r="C99" s="197"/>
      <c r="D99" s="197"/>
      <c r="E99" s="197"/>
      <c r="F99" s="197"/>
      <c r="G99" s="197"/>
      <c r="H99" s="197"/>
      <c r="I99" s="197"/>
      <c r="J99" s="197"/>
      <c r="K99" s="197"/>
      <c r="L99" s="197"/>
      <c r="M99" s="197"/>
      <c r="N99" s="197"/>
      <c r="O99" s="197"/>
      <c r="P99" s="197"/>
      <c r="Q99" s="197"/>
      <c r="R99" s="197"/>
      <c r="S99" s="197"/>
    </row>
    <row r="100" customFormat="false" ht="12" hidden="false" customHeight="false" outlineLevel="0" collapsed="false">
      <c r="B100" s="197"/>
      <c r="C100" s="197"/>
      <c r="D100" s="197"/>
      <c r="E100" s="197"/>
      <c r="F100" s="197"/>
      <c r="G100" s="197"/>
      <c r="H100" s="197"/>
      <c r="I100" s="197"/>
      <c r="J100" s="197"/>
      <c r="K100" s="197"/>
      <c r="L100" s="197"/>
      <c r="M100" s="197"/>
      <c r="N100" s="197"/>
      <c r="O100" s="197"/>
      <c r="P100" s="197"/>
      <c r="Q100" s="197"/>
      <c r="R100" s="197"/>
      <c r="S100" s="197"/>
    </row>
    <row r="101" customFormat="false" ht="12" hidden="false" customHeight="false" outlineLevel="0" collapsed="false">
      <c r="B101" s="197"/>
      <c r="C101" s="197"/>
      <c r="D101" s="197"/>
      <c r="E101" s="197"/>
      <c r="F101" s="197"/>
      <c r="G101" s="197"/>
      <c r="H101" s="197"/>
      <c r="I101" s="197"/>
      <c r="J101" s="197"/>
      <c r="K101" s="197"/>
      <c r="L101" s="197"/>
      <c r="M101" s="197"/>
      <c r="N101" s="197"/>
      <c r="O101" s="197"/>
      <c r="P101" s="197"/>
      <c r="Q101" s="197"/>
      <c r="R101" s="197"/>
      <c r="S101" s="197"/>
    </row>
    <row r="102" customFormat="false" ht="12" hidden="false" customHeight="false" outlineLevel="0" collapsed="false">
      <c r="B102" s="197"/>
      <c r="C102" s="197"/>
      <c r="D102" s="197"/>
      <c r="E102" s="197"/>
      <c r="F102" s="197"/>
      <c r="G102" s="197"/>
      <c r="H102" s="197"/>
      <c r="I102" s="197"/>
      <c r="J102" s="197"/>
      <c r="K102" s="197"/>
      <c r="L102" s="197"/>
      <c r="M102" s="197"/>
      <c r="N102" s="197"/>
      <c r="O102" s="197"/>
      <c r="P102" s="197"/>
      <c r="Q102" s="197"/>
      <c r="R102" s="197"/>
      <c r="S102" s="197"/>
    </row>
    <row r="103" customFormat="false" ht="12" hidden="false" customHeight="false" outlineLevel="0" collapsed="false">
      <c r="B103" s="197"/>
      <c r="C103" s="197"/>
      <c r="D103" s="197"/>
      <c r="E103" s="197"/>
      <c r="F103" s="197"/>
      <c r="G103" s="197"/>
      <c r="H103" s="197"/>
      <c r="I103" s="197"/>
      <c r="J103" s="197"/>
      <c r="K103" s="197"/>
      <c r="L103" s="197"/>
      <c r="M103" s="197"/>
      <c r="N103" s="197"/>
      <c r="O103" s="197"/>
      <c r="P103" s="197"/>
      <c r="Q103" s="197"/>
      <c r="R103" s="197"/>
      <c r="S103" s="197"/>
    </row>
    <row r="104" customFormat="false" ht="12" hidden="false" customHeight="false" outlineLevel="0" collapsed="false">
      <c r="B104" s="197"/>
      <c r="C104" s="197"/>
      <c r="D104" s="197"/>
      <c r="E104" s="197"/>
      <c r="F104" s="197"/>
      <c r="G104" s="197"/>
      <c r="H104" s="197"/>
      <c r="I104" s="197"/>
      <c r="J104" s="197"/>
      <c r="K104" s="197"/>
      <c r="L104" s="197"/>
      <c r="M104" s="197"/>
      <c r="N104" s="197"/>
      <c r="O104" s="197"/>
      <c r="P104" s="197"/>
      <c r="Q104" s="197"/>
      <c r="R104" s="197"/>
      <c r="S104" s="197"/>
    </row>
    <row r="105" customFormat="false" ht="12" hidden="false" customHeight="false" outlineLevel="0" collapsed="false">
      <c r="B105" s="197"/>
      <c r="C105" s="197"/>
      <c r="D105" s="197"/>
      <c r="E105" s="197"/>
      <c r="F105" s="197"/>
      <c r="G105" s="197"/>
      <c r="H105" s="197"/>
      <c r="I105" s="197"/>
      <c r="J105" s="197"/>
      <c r="K105" s="197"/>
      <c r="L105" s="197"/>
      <c r="M105" s="197"/>
      <c r="N105" s="197"/>
      <c r="O105" s="197"/>
      <c r="P105" s="197"/>
      <c r="Q105" s="197"/>
      <c r="R105" s="197"/>
      <c r="S105" s="197"/>
    </row>
    <row r="106" customFormat="false" ht="12" hidden="false" customHeight="false" outlineLevel="0" collapsed="false">
      <c r="B106" s="197"/>
      <c r="C106" s="197"/>
      <c r="D106" s="197"/>
      <c r="E106" s="197"/>
      <c r="F106" s="197"/>
      <c r="G106" s="197"/>
      <c r="H106" s="197"/>
      <c r="I106" s="197"/>
      <c r="J106" s="197"/>
      <c r="K106" s="197"/>
      <c r="L106" s="197"/>
      <c r="M106" s="197"/>
      <c r="N106" s="197"/>
      <c r="O106" s="197"/>
      <c r="P106" s="197"/>
      <c r="Q106" s="197"/>
      <c r="R106" s="197"/>
      <c r="S106" s="197"/>
    </row>
    <row r="107" customFormat="false" ht="12" hidden="false" customHeight="false" outlineLevel="0" collapsed="false">
      <c r="B107" s="197"/>
      <c r="C107" s="197"/>
      <c r="D107" s="197"/>
      <c r="E107" s="197"/>
      <c r="F107" s="197"/>
      <c r="G107" s="197"/>
      <c r="H107" s="197"/>
      <c r="I107" s="197"/>
      <c r="J107" s="197"/>
      <c r="K107" s="197"/>
      <c r="L107" s="197"/>
      <c r="M107" s="197"/>
      <c r="N107" s="197"/>
      <c r="O107" s="197"/>
      <c r="P107" s="197"/>
      <c r="Q107" s="197"/>
      <c r="R107" s="197"/>
      <c r="S107" s="197"/>
    </row>
    <row r="108" customFormat="false" ht="12" hidden="false" customHeight="false" outlineLevel="0" collapsed="false">
      <c r="B108" s="197"/>
      <c r="C108" s="197"/>
      <c r="D108" s="197"/>
      <c r="E108" s="197"/>
      <c r="F108" s="197"/>
      <c r="G108" s="197"/>
      <c r="H108" s="197"/>
      <c r="I108" s="197"/>
      <c r="J108" s="197"/>
      <c r="K108" s="197"/>
      <c r="L108" s="197"/>
      <c r="M108" s="197"/>
      <c r="N108" s="197"/>
      <c r="O108" s="197"/>
      <c r="P108" s="197"/>
      <c r="Q108" s="197"/>
      <c r="R108" s="197"/>
      <c r="S108" s="197"/>
    </row>
    <row r="109" customFormat="false" ht="12" hidden="false" customHeight="false" outlineLevel="0" collapsed="false">
      <c r="B109" s="197"/>
      <c r="C109" s="197"/>
      <c r="D109" s="197"/>
      <c r="E109" s="197"/>
      <c r="F109" s="197"/>
      <c r="G109" s="197"/>
      <c r="H109" s="197"/>
      <c r="I109" s="197"/>
      <c r="J109" s="197"/>
      <c r="K109" s="197"/>
      <c r="L109" s="197"/>
      <c r="M109" s="197"/>
      <c r="N109" s="197"/>
      <c r="O109" s="197"/>
      <c r="P109" s="197"/>
      <c r="Q109" s="197"/>
      <c r="R109" s="197"/>
      <c r="S109" s="197"/>
    </row>
    <row r="110" customFormat="false" ht="12" hidden="false" customHeight="false" outlineLevel="0" collapsed="false">
      <c r="B110" s="197"/>
      <c r="C110" s="197"/>
      <c r="D110" s="197"/>
      <c r="E110" s="197"/>
      <c r="F110" s="197"/>
      <c r="G110" s="197"/>
      <c r="H110" s="197"/>
      <c r="I110" s="197"/>
      <c r="J110" s="197"/>
      <c r="K110" s="197"/>
      <c r="L110" s="197"/>
      <c r="M110" s="197"/>
      <c r="N110" s="197"/>
      <c r="O110" s="197"/>
      <c r="P110" s="197"/>
      <c r="Q110" s="197"/>
      <c r="R110" s="197"/>
      <c r="S110" s="197"/>
    </row>
    <row r="111" customFormat="false" ht="12" hidden="false" customHeight="false" outlineLevel="0" collapsed="false">
      <c r="B111" s="197"/>
      <c r="C111" s="197"/>
      <c r="D111" s="197"/>
      <c r="E111" s="197"/>
      <c r="F111" s="197"/>
      <c r="G111" s="197"/>
      <c r="H111" s="197"/>
      <c r="I111" s="197"/>
      <c r="J111" s="197"/>
      <c r="K111" s="197"/>
      <c r="L111" s="197"/>
      <c r="M111" s="197"/>
      <c r="N111" s="197"/>
      <c r="O111" s="197"/>
      <c r="P111" s="197"/>
      <c r="Q111" s="197"/>
      <c r="R111" s="197"/>
      <c r="S111" s="197"/>
    </row>
    <row r="112" customFormat="false" ht="12" hidden="false" customHeight="false" outlineLevel="0" collapsed="false">
      <c r="B112" s="197"/>
      <c r="C112" s="197"/>
      <c r="D112" s="197"/>
      <c r="E112" s="197"/>
      <c r="F112" s="197"/>
      <c r="G112" s="197"/>
      <c r="H112" s="197"/>
      <c r="I112" s="197"/>
      <c r="J112" s="197"/>
      <c r="K112" s="197"/>
      <c r="L112" s="197"/>
      <c r="M112" s="197"/>
      <c r="N112" s="197"/>
      <c r="O112" s="197"/>
      <c r="P112" s="197"/>
      <c r="Q112" s="197"/>
      <c r="R112" s="197"/>
      <c r="S112" s="197"/>
    </row>
    <row r="113" customFormat="false" ht="12" hidden="false" customHeight="false" outlineLevel="0" collapsed="false">
      <c r="B113" s="197"/>
      <c r="C113" s="197"/>
      <c r="D113" s="197"/>
      <c r="E113" s="197"/>
      <c r="F113" s="197"/>
      <c r="G113" s="197"/>
      <c r="H113" s="197"/>
      <c r="I113" s="197"/>
      <c r="J113" s="197"/>
      <c r="K113" s="197"/>
      <c r="L113" s="197"/>
      <c r="M113" s="197"/>
      <c r="N113" s="197"/>
      <c r="O113" s="197"/>
      <c r="P113" s="197"/>
      <c r="Q113" s="197"/>
      <c r="R113" s="197"/>
      <c r="S113" s="197"/>
    </row>
    <row r="114" customFormat="false" ht="12" hidden="false" customHeight="false" outlineLevel="0" collapsed="false">
      <c r="B114" s="197"/>
      <c r="C114" s="197"/>
      <c r="D114" s="197"/>
      <c r="E114" s="197"/>
      <c r="F114" s="197"/>
      <c r="G114" s="197"/>
      <c r="H114" s="197"/>
      <c r="I114" s="197"/>
      <c r="J114" s="197"/>
      <c r="K114" s="197"/>
      <c r="L114" s="197"/>
      <c r="M114" s="197"/>
      <c r="N114" s="197"/>
      <c r="O114" s="197"/>
      <c r="P114" s="197"/>
      <c r="Q114" s="197"/>
      <c r="R114" s="197"/>
      <c r="S114" s="197"/>
    </row>
    <row r="115" customFormat="false" ht="12" hidden="false" customHeight="false" outlineLevel="0" collapsed="false">
      <c r="B115" s="197"/>
      <c r="C115" s="197"/>
      <c r="D115" s="197"/>
      <c r="E115" s="197"/>
      <c r="F115" s="197"/>
      <c r="G115" s="197"/>
      <c r="H115" s="197"/>
      <c r="I115" s="197"/>
      <c r="J115" s="197"/>
      <c r="K115" s="197"/>
      <c r="L115" s="197"/>
      <c r="M115" s="197"/>
      <c r="N115" s="197"/>
      <c r="O115" s="197"/>
      <c r="P115" s="197"/>
      <c r="Q115" s="197"/>
      <c r="R115" s="197"/>
      <c r="S115" s="197"/>
    </row>
    <row r="116" customFormat="false" ht="12" hidden="false" customHeight="false" outlineLevel="0" collapsed="false">
      <c r="B116" s="197"/>
      <c r="C116" s="197"/>
      <c r="D116" s="197"/>
      <c r="E116" s="197"/>
      <c r="F116" s="197"/>
      <c r="G116" s="197"/>
      <c r="H116" s="197"/>
      <c r="I116" s="197"/>
      <c r="J116" s="197"/>
      <c r="K116" s="197"/>
      <c r="L116" s="197"/>
      <c r="M116" s="197"/>
      <c r="N116" s="197"/>
      <c r="O116" s="197"/>
      <c r="P116" s="197"/>
      <c r="Q116" s="197"/>
      <c r="R116" s="197"/>
      <c r="S116" s="197"/>
    </row>
    <row r="117" customFormat="false" ht="12" hidden="false" customHeight="false" outlineLevel="0" collapsed="false">
      <c r="B117" s="197"/>
      <c r="C117" s="197"/>
      <c r="D117" s="197"/>
      <c r="E117" s="197"/>
      <c r="F117" s="197"/>
      <c r="G117" s="197"/>
      <c r="H117" s="197"/>
      <c r="I117" s="197"/>
      <c r="J117" s="197"/>
      <c r="K117" s="197"/>
      <c r="L117" s="197"/>
      <c r="M117" s="197"/>
      <c r="N117" s="197"/>
      <c r="O117" s="197"/>
      <c r="P117" s="197"/>
      <c r="Q117" s="197"/>
      <c r="R117" s="197"/>
      <c r="S117" s="197"/>
    </row>
    <row r="118" customFormat="false" ht="12" hidden="false" customHeight="false" outlineLevel="0" collapsed="false">
      <c r="B118" s="197"/>
      <c r="C118" s="197"/>
      <c r="D118" s="197"/>
      <c r="E118" s="197"/>
      <c r="F118" s="197"/>
      <c r="G118" s="197"/>
      <c r="H118" s="197"/>
      <c r="I118" s="197"/>
      <c r="J118" s="197"/>
      <c r="K118" s="197"/>
      <c r="L118" s="197"/>
      <c r="M118" s="197"/>
      <c r="N118" s="197"/>
      <c r="O118" s="197"/>
      <c r="P118" s="197"/>
      <c r="Q118" s="197"/>
      <c r="R118" s="197"/>
      <c r="S118" s="197"/>
    </row>
    <row r="119" customFormat="false" ht="12" hidden="false" customHeight="false" outlineLevel="0" collapsed="false">
      <c r="B119" s="197"/>
      <c r="C119" s="197"/>
      <c r="D119" s="197"/>
      <c r="E119" s="197"/>
      <c r="F119" s="197"/>
      <c r="G119" s="197"/>
      <c r="H119" s="197"/>
      <c r="I119" s="197"/>
      <c r="J119" s="197"/>
      <c r="K119" s="197"/>
      <c r="L119" s="197"/>
      <c r="M119" s="197"/>
      <c r="N119" s="197"/>
      <c r="O119" s="197"/>
      <c r="P119" s="197"/>
      <c r="Q119" s="197"/>
      <c r="R119" s="197"/>
      <c r="S119" s="197"/>
    </row>
    <row r="120" customFormat="false" ht="12" hidden="false" customHeight="false" outlineLevel="0" collapsed="false">
      <c r="B120" s="197"/>
      <c r="C120" s="197"/>
      <c r="D120" s="197"/>
      <c r="E120" s="197"/>
      <c r="F120" s="197"/>
      <c r="G120" s="197"/>
      <c r="H120" s="197"/>
      <c r="I120" s="197"/>
      <c r="J120" s="197"/>
      <c r="K120" s="197"/>
      <c r="L120" s="197"/>
      <c r="M120" s="197"/>
      <c r="N120" s="197"/>
      <c r="O120" s="197"/>
      <c r="P120" s="197"/>
      <c r="Q120" s="197"/>
      <c r="R120" s="197"/>
      <c r="S120" s="197"/>
    </row>
    <row r="121" customFormat="false" ht="12" hidden="false" customHeight="false" outlineLevel="0" collapsed="false">
      <c r="B121" s="197"/>
      <c r="C121" s="197"/>
      <c r="D121" s="197"/>
      <c r="E121" s="197"/>
      <c r="F121" s="197"/>
      <c r="G121" s="197"/>
      <c r="H121" s="197"/>
      <c r="I121" s="197"/>
      <c r="J121" s="197"/>
      <c r="K121" s="197"/>
      <c r="L121" s="197"/>
      <c r="M121" s="197"/>
      <c r="N121" s="197"/>
      <c r="O121" s="197"/>
      <c r="P121" s="197"/>
      <c r="Q121" s="197"/>
      <c r="R121" s="197"/>
      <c r="S121" s="197"/>
    </row>
    <row r="122" customFormat="false" ht="12" hidden="false" customHeight="false" outlineLevel="0" collapsed="false">
      <c r="B122" s="197"/>
      <c r="C122" s="197"/>
      <c r="D122" s="197"/>
      <c r="E122" s="197"/>
      <c r="F122" s="197"/>
      <c r="G122" s="197"/>
      <c r="H122" s="197"/>
      <c r="I122" s="197"/>
      <c r="J122" s="197"/>
      <c r="K122" s="197"/>
      <c r="L122" s="197"/>
      <c r="M122" s="197"/>
      <c r="N122" s="197"/>
      <c r="O122" s="197"/>
      <c r="P122" s="197"/>
      <c r="Q122" s="197"/>
      <c r="R122" s="197"/>
      <c r="S122" s="197"/>
    </row>
    <row r="123" customFormat="false" ht="12" hidden="false" customHeight="false" outlineLevel="0" collapsed="false">
      <c r="B123" s="197"/>
      <c r="C123" s="197"/>
      <c r="D123" s="197"/>
      <c r="E123" s="197"/>
      <c r="F123" s="197"/>
      <c r="G123" s="197"/>
      <c r="H123" s="197"/>
      <c r="I123" s="197"/>
      <c r="J123" s="197"/>
      <c r="K123" s="197"/>
      <c r="L123" s="197"/>
      <c r="M123" s="197"/>
      <c r="N123" s="197"/>
      <c r="O123" s="197"/>
      <c r="P123" s="197"/>
      <c r="Q123" s="197"/>
      <c r="R123" s="197"/>
      <c r="S123" s="197"/>
    </row>
    <row r="124" customFormat="false" ht="12" hidden="false" customHeight="false" outlineLevel="0" collapsed="false">
      <c r="B124" s="197"/>
      <c r="C124" s="197"/>
      <c r="D124" s="197"/>
      <c r="E124" s="197"/>
      <c r="F124" s="197"/>
      <c r="G124" s="197"/>
      <c r="H124" s="197"/>
      <c r="I124" s="197"/>
      <c r="J124" s="197"/>
      <c r="K124" s="197"/>
      <c r="L124" s="197"/>
      <c r="M124" s="197"/>
      <c r="N124" s="197"/>
      <c r="O124" s="197"/>
      <c r="P124" s="197"/>
      <c r="Q124" s="197"/>
      <c r="R124" s="197"/>
      <c r="S124" s="197"/>
    </row>
    <row r="125" customFormat="false" ht="12" hidden="false" customHeight="false" outlineLevel="0" collapsed="false">
      <c r="B125" s="197"/>
      <c r="C125" s="197"/>
      <c r="D125" s="197"/>
      <c r="E125" s="197"/>
      <c r="F125" s="197"/>
      <c r="G125" s="197"/>
      <c r="H125" s="197"/>
      <c r="I125" s="197"/>
      <c r="J125" s="197"/>
      <c r="K125" s="197"/>
      <c r="L125" s="197"/>
      <c r="M125" s="197"/>
      <c r="N125" s="197"/>
      <c r="O125" s="197"/>
      <c r="P125" s="197"/>
      <c r="Q125" s="197"/>
      <c r="R125" s="197"/>
      <c r="S125" s="197"/>
    </row>
    <row r="126" customFormat="false" ht="12" hidden="false" customHeight="false" outlineLevel="0" collapsed="false">
      <c r="B126" s="197"/>
      <c r="C126" s="197"/>
      <c r="D126" s="197"/>
      <c r="E126" s="197"/>
      <c r="F126" s="197"/>
      <c r="G126" s="197"/>
      <c r="H126" s="197"/>
      <c r="I126" s="197"/>
      <c r="J126" s="197"/>
      <c r="K126" s="197"/>
      <c r="L126" s="197"/>
      <c r="M126" s="197"/>
      <c r="N126" s="197"/>
      <c r="O126" s="197"/>
      <c r="P126" s="197"/>
      <c r="Q126" s="197"/>
      <c r="R126" s="197"/>
      <c r="S126" s="197"/>
    </row>
    <row r="127" customFormat="false" ht="12" hidden="false" customHeight="false" outlineLevel="0" collapsed="false">
      <c r="B127" s="197"/>
      <c r="C127" s="197"/>
      <c r="D127" s="197"/>
      <c r="E127" s="197"/>
      <c r="F127" s="197"/>
      <c r="G127" s="197"/>
      <c r="H127" s="197"/>
      <c r="I127" s="197"/>
      <c r="J127" s="197"/>
      <c r="K127" s="197"/>
      <c r="L127" s="197"/>
      <c r="M127" s="197"/>
      <c r="N127" s="197"/>
      <c r="O127" s="197"/>
      <c r="P127" s="197"/>
      <c r="Q127" s="197"/>
      <c r="R127" s="197"/>
      <c r="S127" s="197"/>
    </row>
    <row r="128" customFormat="false" ht="12" hidden="false" customHeight="false" outlineLevel="0" collapsed="false">
      <c r="B128" s="197"/>
      <c r="C128" s="197"/>
      <c r="D128" s="197"/>
      <c r="E128" s="197"/>
      <c r="F128" s="197"/>
      <c r="G128" s="197"/>
      <c r="H128" s="197"/>
      <c r="I128" s="197"/>
      <c r="J128" s="197"/>
      <c r="K128" s="197"/>
      <c r="L128" s="197"/>
      <c r="M128" s="197"/>
      <c r="N128" s="197"/>
      <c r="O128" s="197"/>
      <c r="P128" s="197"/>
      <c r="Q128" s="197"/>
      <c r="R128" s="197"/>
      <c r="S128" s="197"/>
    </row>
    <row r="129" customFormat="false" ht="12" hidden="false" customHeight="false" outlineLevel="0" collapsed="false">
      <c r="B129" s="197"/>
      <c r="C129" s="197"/>
      <c r="D129" s="197"/>
      <c r="E129" s="197"/>
      <c r="F129" s="197"/>
      <c r="G129" s="197"/>
      <c r="H129" s="197"/>
      <c r="I129" s="197"/>
      <c r="J129" s="197"/>
      <c r="K129" s="197"/>
      <c r="L129" s="197"/>
      <c r="M129" s="197"/>
      <c r="N129" s="197"/>
      <c r="O129" s="197"/>
      <c r="P129" s="197"/>
      <c r="Q129" s="197"/>
      <c r="R129" s="197"/>
      <c r="S129" s="197"/>
    </row>
    <row r="130" customFormat="false" ht="12" hidden="false" customHeight="false" outlineLevel="0" collapsed="false">
      <c r="B130" s="197"/>
      <c r="C130" s="197"/>
      <c r="D130" s="197"/>
      <c r="E130" s="197"/>
      <c r="F130" s="197"/>
      <c r="G130" s="197"/>
      <c r="H130" s="197"/>
      <c r="I130" s="197"/>
      <c r="J130" s="197"/>
      <c r="K130" s="197"/>
      <c r="L130" s="197"/>
      <c r="M130" s="197"/>
      <c r="N130" s="197"/>
      <c r="O130" s="197"/>
      <c r="P130" s="197"/>
      <c r="Q130" s="197"/>
      <c r="R130" s="197"/>
      <c r="S130" s="197"/>
    </row>
    <row r="131" customFormat="false" ht="12" hidden="false" customHeight="false" outlineLevel="0" collapsed="false">
      <c r="B131" s="197"/>
      <c r="C131" s="197"/>
      <c r="D131" s="197"/>
      <c r="E131" s="197"/>
      <c r="F131" s="197"/>
      <c r="G131" s="197"/>
      <c r="H131" s="197"/>
      <c r="I131" s="197"/>
      <c r="J131" s="197"/>
      <c r="K131" s="197"/>
      <c r="L131" s="197"/>
      <c r="M131" s="197"/>
      <c r="N131" s="197"/>
      <c r="O131" s="197"/>
      <c r="P131" s="197"/>
      <c r="Q131" s="197"/>
      <c r="R131" s="197"/>
      <c r="S131" s="197"/>
    </row>
    <row r="132" customFormat="false" ht="12" hidden="false" customHeight="false" outlineLevel="0" collapsed="false">
      <c r="B132" s="197"/>
      <c r="C132" s="197"/>
      <c r="D132" s="197"/>
      <c r="E132" s="197"/>
      <c r="F132" s="197"/>
      <c r="G132" s="197"/>
      <c r="H132" s="197"/>
      <c r="I132" s="197"/>
      <c r="J132" s="197"/>
      <c r="K132" s="197"/>
      <c r="L132" s="197"/>
      <c r="M132" s="197"/>
      <c r="N132" s="197"/>
      <c r="O132" s="197"/>
      <c r="P132" s="197"/>
      <c r="Q132" s="197"/>
      <c r="R132" s="197"/>
      <c r="S132" s="197"/>
    </row>
    <row r="133" customFormat="false" ht="12" hidden="false" customHeight="false" outlineLevel="0" collapsed="false">
      <c r="B133" s="197"/>
      <c r="C133" s="197"/>
      <c r="D133" s="197"/>
      <c r="E133" s="197"/>
      <c r="F133" s="197"/>
      <c r="G133" s="197"/>
      <c r="H133" s="197"/>
      <c r="I133" s="197"/>
      <c r="J133" s="197"/>
      <c r="K133" s="197"/>
      <c r="L133" s="197"/>
      <c r="M133" s="197"/>
      <c r="N133" s="197"/>
      <c r="O133" s="197"/>
      <c r="P133" s="197"/>
      <c r="Q133" s="197"/>
      <c r="R133" s="197"/>
      <c r="S133" s="197"/>
    </row>
    <row r="134" customFormat="false" ht="12" hidden="false" customHeight="false" outlineLevel="0" collapsed="false">
      <c r="B134" s="197"/>
      <c r="C134" s="197"/>
      <c r="D134" s="197"/>
      <c r="E134" s="197"/>
      <c r="F134" s="197"/>
      <c r="G134" s="197"/>
      <c r="H134" s="197"/>
      <c r="I134" s="197"/>
      <c r="J134" s="197"/>
      <c r="K134" s="197"/>
      <c r="L134" s="197"/>
      <c r="M134" s="197"/>
      <c r="N134" s="197"/>
      <c r="O134" s="197"/>
      <c r="P134" s="197"/>
      <c r="Q134" s="197"/>
      <c r="R134" s="197"/>
      <c r="S134" s="197"/>
    </row>
    <row r="135" customFormat="false" ht="12" hidden="false" customHeight="false" outlineLevel="0" collapsed="false">
      <c r="B135" s="197"/>
      <c r="C135" s="197"/>
      <c r="D135" s="197"/>
      <c r="E135" s="197"/>
      <c r="F135" s="197"/>
      <c r="G135" s="197"/>
      <c r="H135" s="197"/>
      <c r="I135" s="197"/>
      <c r="J135" s="197"/>
      <c r="K135" s="197"/>
      <c r="L135" s="197"/>
      <c r="M135" s="197"/>
      <c r="N135" s="197"/>
      <c r="O135" s="197"/>
      <c r="P135" s="197"/>
      <c r="Q135" s="197"/>
      <c r="R135" s="197"/>
      <c r="S135" s="197"/>
    </row>
    <row r="136" customFormat="false" ht="12" hidden="false" customHeight="false" outlineLevel="0" collapsed="false">
      <c r="B136" s="197"/>
      <c r="C136" s="197"/>
      <c r="D136" s="197"/>
      <c r="E136" s="197"/>
      <c r="F136" s="197"/>
      <c r="G136" s="197"/>
      <c r="H136" s="197"/>
      <c r="I136" s="197"/>
      <c r="J136" s="197"/>
      <c r="K136" s="197"/>
      <c r="L136" s="197"/>
      <c r="M136" s="197"/>
      <c r="N136" s="197"/>
      <c r="O136" s="197"/>
      <c r="P136" s="197"/>
      <c r="Q136" s="197"/>
      <c r="R136" s="197"/>
      <c r="S136" s="197"/>
    </row>
    <row r="137" customFormat="false" ht="12" hidden="false" customHeight="false" outlineLevel="0" collapsed="false">
      <c r="B137" s="197"/>
      <c r="C137" s="197"/>
      <c r="D137" s="197"/>
      <c r="E137" s="197"/>
      <c r="F137" s="197"/>
      <c r="G137" s="197"/>
      <c r="H137" s="197"/>
      <c r="I137" s="197"/>
      <c r="J137" s="197"/>
      <c r="K137" s="197"/>
      <c r="L137" s="197"/>
      <c r="M137" s="197"/>
      <c r="N137" s="197"/>
      <c r="O137" s="197"/>
      <c r="P137" s="197"/>
      <c r="Q137" s="197"/>
      <c r="R137" s="197"/>
      <c r="S137" s="197"/>
    </row>
    <row r="138" customFormat="false" ht="12" hidden="false" customHeight="false" outlineLevel="0" collapsed="false">
      <c r="B138" s="197"/>
      <c r="C138" s="197"/>
      <c r="D138" s="197"/>
      <c r="E138" s="197"/>
      <c r="F138" s="197"/>
      <c r="G138" s="197"/>
      <c r="H138" s="197"/>
      <c r="I138" s="197"/>
      <c r="J138" s="197"/>
      <c r="K138" s="197"/>
      <c r="L138" s="197"/>
      <c r="M138" s="197"/>
      <c r="N138" s="197"/>
      <c r="O138" s="197"/>
      <c r="P138" s="197"/>
      <c r="Q138" s="197"/>
      <c r="R138" s="197"/>
      <c r="S138" s="197"/>
    </row>
    <row r="139" customFormat="false" ht="12" hidden="false" customHeight="false" outlineLevel="0" collapsed="false">
      <c r="B139" s="197"/>
      <c r="C139" s="197"/>
      <c r="D139" s="197"/>
      <c r="E139" s="197"/>
      <c r="F139" s="197"/>
      <c r="G139" s="197"/>
      <c r="H139" s="197"/>
      <c r="I139" s="197"/>
      <c r="J139" s="197"/>
      <c r="K139" s="197"/>
      <c r="L139" s="197"/>
      <c r="M139" s="197"/>
      <c r="N139" s="197"/>
      <c r="O139" s="197"/>
      <c r="P139" s="197"/>
      <c r="Q139" s="197"/>
      <c r="R139" s="197"/>
      <c r="S139" s="197"/>
    </row>
    <row r="140" customFormat="false" ht="12" hidden="false" customHeight="false" outlineLevel="0" collapsed="false">
      <c r="B140" s="197"/>
      <c r="C140" s="197"/>
      <c r="D140" s="197"/>
      <c r="E140" s="197"/>
      <c r="F140" s="197"/>
      <c r="G140" s="197"/>
      <c r="H140" s="197"/>
      <c r="I140" s="197"/>
      <c r="J140" s="197"/>
      <c r="K140" s="197"/>
      <c r="L140" s="197"/>
      <c r="M140" s="197"/>
      <c r="N140" s="197"/>
      <c r="O140" s="197"/>
      <c r="P140" s="197"/>
      <c r="Q140" s="197"/>
      <c r="R140" s="197"/>
      <c r="S140" s="197"/>
    </row>
    <row r="141" customFormat="false" ht="12" hidden="false" customHeight="false" outlineLevel="0" collapsed="false">
      <c r="B141" s="197"/>
      <c r="C141" s="197"/>
      <c r="D141" s="197"/>
      <c r="E141" s="197"/>
      <c r="F141" s="197"/>
      <c r="G141" s="197"/>
      <c r="H141" s="197"/>
      <c r="I141" s="197"/>
      <c r="J141" s="197"/>
      <c r="K141" s="197"/>
      <c r="L141" s="197"/>
      <c r="M141" s="197"/>
      <c r="N141" s="197"/>
      <c r="O141" s="197"/>
      <c r="P141" s="197"/>
      <c r="Q141" s="197"/>
      <c r="R141" s="197"/>
      <c r="S141" s="197"/>
    </row>
    <row r="142" customFormat="false" ht="12" hidden="false" customHeight="false" outlineLevel="0" collapsed="false">
      <c r="B142" s="197"/>
      <c r="C142" s="197"/>
      <c r="D142" s="197"/>
      <c r="E142" s="197"/>
      <c r="F142" s="197"/>
      <c r="G142" s="197"/>
      <c r="H142" s="197"/>
      <c r="I142" s="197"/>
      <c r="J142" s="197"/>
      <c r="K142" s="197"/>
      <c r="L142" s="197"/>
      <c r="M142" s="197"/>
      <c r="N142" s="197"/>
      <c r="O142" s="197"/>
      <c r="P142" s="197"/>
      <c r="Q142" s="197"/>
      <c r="R142" s="197"/>
      <c r="S142" s="197"/>
    </row>
    <row r="143" customFormat="false" ht="12" hidden="false" customHeight="false" outlineLevel="0" collapsed="false">
      <c r="B143" s="197"/>
      <c r="C143" s="197"/>
      <c r="D143" s="197"/>
      <c r="E143" s="197"/>
      <c r="F143" s="197"/>
      <c r="G143" s="197"/>
      <c r="H143" s="197"/>
      <c r="I143" s="197"/>
      <c r="J143" s="197"/>
      <c r="K143" s="197"/>
      <c r="L143" s="197"/>
      <c r="M143" s="197"/>
      <c r="N143" s="197"/>
      <c r="O143" s="197"/>
      <c r="P143" s="197"/>
      <c r="Q143" s="197"/>
      <c r="R143" s="197"/>
      <c r="S143" s="197"/>
    </row>
    <row r="144" customFormat="false" ht="12" hidden="false" customHeight="false" outlineLevel="0" collapsed="false">
      <c r="B144" s="197"/>
      <c r="C144" s="197"/>
      <c r="D144" s="197"/>
      <c r="E144" s="197"/>
      <c r="F144" s="197"/>
      <c r="G144" s="197"/>
      <c r="H144" s="197"/>
      <c r="I144" s="197"/>
      <c r="J144" s="197"/>
      <c r="K144" s="197"/>
      <c r="L144" s="197"/>
      <c r="M144" s="197"/>
      <c r="N144" s="197"/>
      <c r="O144" s="197"/>
      <c r="P144" s="197"/>
      <c r="Q144" s="197"/>
      <c r="R144" s="197"/>
      <c r="S144" s="197"/>
    </row>
    <row r="145" customFormat="false" ht="12" hidden="false" customHeight="false" outlineLevel="0" collapsed="false">
      <c r="B145" s="197"/>
      <c r="C145" s="197"/>
      <c r="D145" s="197"/>
      <c r="E145" s="197"/>
      <c r="F145" s="197"/>
      <c r="G145" s="197"/>
      <c r="H145" s="197"/>
      <c r="I145" s="197"/>
      <c r="J145" s="197"/>
      <c r="K145" s="197"/>
      <c r="L145" s="197"/>
      <c r="M145" s="197"/>
      <c r="N145" s="197"/>
      <c r="O145" s="197"/>
      <c r="P145" s="197"/>
      <c r="Q145" s="197"/>
      <c r="R145" s="197"/>
      <c r="S145" s="197"/>
    </row>
    <row r="146" customFormat="false" ht="12" hidden="false" customHeight="false" outlineLevel="0" collapsed="false">
      <c r="B146" s="197"/>
      <c r="C146" s="197"/>
      <c r="D146" s="197"/>
      <c r="E146" s="197"/>
      <c r="F146" s="197"/>
      <c r="G146" s="197"/>
      <c r="H146" s="197"/>
      <c r="I146" s="197"/>
      <c r="J146" s="197"/>
      <c r="K146" s="197"/>
      <c r="L146" s="197"/>
      <c r="M146" s="197"/>
      <c r="N146" s="197"/>
      <c r="O146" s="197"/>
      <c r="P146" s="197"/>
      <c r="Q146" s="197"/>
      <c r="R146" s="197"/>
      <c r="S146" s="197"/>
    </row>
    <row r="147" customFormat="false" ht="12" hidden="false" customHeight="false" outlineLevel="0" collapsed="false">
      <c r="B147" s="197"/>
      <c r="C147" s="197"/>
      <c r="D147" s="197"/>
      <c r="E147" s="197"/>
      <c r="F147" s="197"/>
      <c r="G147" s="197"/>
      <c r="H147" s="197"/>
      <c r="I147" s="197"/>
      <c r="J147" s="197"/>
      <c r="K147" s="197"/>
      <c r="L147" s="197"/>
      <c r="M147" s="197"/>
      <c r="N147" s="197"/>
      <c r="O147" s="197"/>
      <c r="P147" s="197"/>
      <c r="Q147" s="197"/>
      <c r="R147" s="197"/>
      <c r="S147" s="197"/>
    </row>
    <row r="148" customFormat="false" ht="12" hidden="false" customHeight="false" outlineLevel="0" collapsed="false">
      <c r="B148" s="197"/>
      <c r="C148" s="197"/>
      <c r="D148" s="197"/>
      <c r="E148" s="197"/>
      <c r="F148" s="197"/>
      <c r="G148" s="197"/>
      <c r="H148" s="197"/>
      <c r="I148" s="197"/>
      <c r="J148" s="197"/>
      <c r="K148" s="197"/>
      <c r="L148" s="197"/>
      <c r="M148" s="197"/>
      <c r="N148" s="197"/>
      <c r="O148" s="197"/>
      <c r="P148" s="197"/>
      <c r="Q148" s="197"/>
      <c r="R148" s="197"/>
      <c r="S148" s="197"/>
    </row>
    <row r="149" customFormat="false" ht="12" hidden="false" customHeight="false" outlineLevel="0" collapsed="false">
      <c r="B149" s="197"/>
      <c r="C149" s="197"/>
      <c r="D149" s="197"/>
      <c r="E149" s="197"/>
      <c r="F149" s="197"/>
      <c r="G149" s="197"/>
      <c r="H149" s="197"/>
      <c r="I149" s="197"/>
      <c r="J149" s="197"/>
      <c r="K149" s="197"/>
      <c r="L149" s="197"/>
      <c r="M149" s="197"/>
      <c r="N149" s="197"/>
      <c r="O149" s="197"/>
      <c r="P149" s="197"/>
      <c r="Q149" s="197"/>
      <c r="R149" s="197"/>
      <c r="S149" s="197"/>
    </row>
    <row r="150" customFormat="false" ht="12" hidden="false" customHeight="false" outlineLevel="0" collapsed="false">
      <c r="B150" s="197"/>
      <c r="C150" s="197"/>
      <c r="D150" s="197"/>
      <c r="E150" s="197"/>
      <c r="F150" s="197"/>
      <c r="G150" s="197"/>
      <c r="H150" s="197"/>
      <c r="I150" s="197"/>
      <c r="J150" s="197"/>
      <c r="K150" s="197"/>
      <c r="L150" s="197"/>
      <c r="M150" s="197"/>
      <c r="N150" s="197"/>
      <c r="O150" s="197"/>
      <c r="P150" s="197"/>
      <c r="Q150" s="197"/>
      <c r="R150" s="197"/>
      <c r="S150" s="197"/>
    </row>
    <row r="151" customFormat="false" ht="12" hidden="false" customHeight="false" outlineLevel="0" collapsed="false">
      <c r="B151" s="197"/>
      <c r="C151" s="197"/>
      <c r="D151" s="197"/>
      <c r="E151" s="197"/>
      <c r="F151" s="197"/>
      <c r="G151" s="197"/>
      <c r="H151" s="197"/>
      <c r="I151" s="197"/>
      <c r="J151" s="197"/>
      <c r="K151" s="197"/>
      <c r="L151" s="197"/>
      <c r="M151" s="197"/>
      <c r="N151" s="197"/>
      <c r="O151" s="197"/>
      <c r="P151" s="197"/>
      <c r="Q151" s="197"/>
      <c r="R151" s="197"/>
      <c r="S151" s="197"/>
    </row>
    <row r="152" customFormat="false" ht="12" hidden="false" customHeight="false" outlineLevel="0" collapsed="false">
      <c r="B152" s="197"/>
      <c r="C152" s="197"/>
      <c r="D152" s="197"/>
      <c r="E152" s="197"/>
      <c r="F152" s="197"/>
      <c r="G152" s="197"/>
      <c r="H152" s="197"/>
      <c r="I152" s="197"/>
      <c r="J152" s="197"/>
      <c r="K152" s="197"/>
      <c r="L152" s="197"/>
      <c r="M152" s="197"/>
      <c r="N152" s="197"/>
      <c r="O152" s="197"/>
      <c r="P152" s="197"/>
      <c r="Q152" s="197"/>
      <c r="R152" s="197"/>
      <c r="S152" s="197"/>
    </row>
    <row r="153" customFormat="false" ht="12" hidden="false" customHeight="false" outlineLevel="0" collapsed="false">
      <c r="B153" s="197"/>
      <c r="C153" s="197"/>
      <c r="D153" s="197"/>
      <c r="E153" s="197"/>
      <c r="F153" s="197"/>
      <c r="G153" s="197"/>
      <c r="H153" s="197"/>
      <c r="I153" s="197"/>
      <c r="J153" s="197"/>
      <c r="K153" s="197"/>
      <c r="L153" s="197"/>
      <c r="M153" s="197"/>
      <c r="N153" s="197"/>
      <c r="O153" s="197"/>
      <c r="P153" s="197"/>
      <c r="Q153" s="197"/>
      <c r="R153" s="197"/>
      <c r="S153" s="197"/>
    </row>
    <row r="154" customFormat="false" ht="12" hidden="false" customHeight="false" outlineLevel="0" collapsed="false">
      <c r="B154" s="197"/>
      <c r="C154" s="197"/>
      <c r="D154" s="197"/>
      <c r="E154" s="197"/>
      <c r="F154" s="197"/>
      <c r="G154" s="197"/>
      <c r="H154" s="197"/>
      <c r="I154" s="197"/>
      <c r="J154" s="197"/>
      <c r="K154" s="197"/>
      <c r="L154" s="197"/>
      <c r="M154" s="197"/>
      <c r="N154" s="197"/>
      <c r="O154" s="197"/>
      <c r="P154" s="197"/>
      <c r="Q154" s="197"/>
      <c r="R154" s="197"/>
      <c r="S154" s="197"/>
    </row>
    <row r="155" customFormat="false" ht="12" hidden="false" customHeight="false" outlineLevel="0" collapsed="false">
      <c r="B155" s="197"/>
      <c r="C155" s="197"/>
      <c r="D155" s="197"/>
      <c r="E155" s="197"/>
      <c r="F155" s="197"/>
      <c r="G155" s="197"/>
      <c r="H155" s="197"/>
      <c r="I155" s="197"/>
      <c r="J155" s="197"/>
      <c r="K155" s="197"/>
      <c r="L155" s="197"/>
      <c r="M155" s="197"/>
      <c r="N155" s="197"/>
      <c r="O155" s="197"/>
      <c r="P155" s="197"/>
      <c r="Q155" s="197"/>
      <c r="R155" s="197"/>
      <c r="S155" s="197"/>
    </row>
    <row r="156" customFormat="false" ht="12" hidden="false" customHeight="false" outlineLevel="0" collapsed="false">
      <c r="B156" s="197"/>
      <c r="C156" s="197"/>
      <c r="D156" s="197"/>
      <c r="E156" s="197"/>
      <c r="F156" s="197"/>
      <c r="G156" s="197"/>
      <c r="H156" s="197"/>
      <c r="I156" s="197"/>
      <c r="J156" s="197"/>
      <c r="K156" s="197"/>
      <c r="L156" s="197"/>
      <c r="M156" s="197"/>
      <c r="N156" s="197"/>
      <c r="O156" s="197"/>
      <c r="P156" s="197"/>
      <c r="Q156" s="197"/>
      <c r="R156" s="197"/>
      <c r="S156" s="197"/>
    </row>
    <row r="157" customFormat="false" ht="12" hidden="false" customHeight="false" outlineLevel="0" collapsed="false">
      <c r="B157" s="197"/>
      <c r="C157" s="197"/>
      <c r="D157" s="197"/>
      <c r="E157" s="197"/>
      <c r="F157" s="197"/>
      <c r="G157" s="197"/>
      <c r="H157" s="197"/>
      <c r="I157" s="197"/>
      <c r="J157" s="197"/>
      <c r="K157" s="197"/>
      <c r="L157" s="197"/>
      <c r="M157" s="197"/>
      <c r="N157" s="197"/>
      <c r="O157" s="197"/>
      <c r="P157" s="197"/>
      <c r="Q157" s="197"/>
      <c r="R157" s="197"/>
      <c r="S157" s="197"/>
    </row>
    <row r="158" customFormat="false" ht="12" hidden="false" customHeight="false" outlineLevel="0" collapsed="false">
      <c r="B158" s="197"/>
      <c r="C158" s="197"/>
      <c r="D158" s="197"/>
      <c r="E158" s="197"/>
      <c r="F158" s="197"/>
      <c r="G158" s="197"/>
      <c r="H158" s="197"/>
      <c r="I158" s="197"/>
      <c r="J158" s="197"/>
      <c r="K158" s="197"/>
      <c r="L158" s="197"/>
      <c r="M158" s="197"/>
      <c r="N158" s="197"/>
      <c r="O158" s="197"/>
      <c r="P158" s="197"/>
      <c r="Q158" s="197"/>
      <c r="R158" s="197"/>
      <c r="S158" s="197"/>
    </row>
    <row r="159" customFormat="false" ht="12" hidden="false" customHeight="false" outlineLevel="0" collapsed="false">
      <c r="B159" s="197"/>
      <c r="C159" s="197"/>
      <c r="D159" s="197"/>
      <c r="E159" s="197"/>
      <c r="F159" s="197"/>
      <c r="G159" s="197"/>
      <c r="H159" s="197"/>
      <c r="I159" s="197"/>
      <c r="J159" s="197"/>
      <c r="K159" s="197"/>
      <c r="L159" s="197"/>
      <c r="M159" s="197"/>
      <c r="N159" s="197"/>
      <c r="O159" s="197"/>
      <c r="P159" s="197"/>
      <c r="Q159" s="197"/>
      <c r="R159" s="197"/>
      <c r="S159" s="197"/>
    </row>
    <row r="160" customFormat="false" ht="12" hidden="false" customHeight="false" outlineLevel="0" collapsed="false">
      <c r="B160" s="197"/>
      <c r="C160" s="197"/>
      <c r="D160" s="197"/>
      <c r="E160" s="197"/>
      <c r="F160" s="197"/>
      <c r="G160" s="197"/>
      <c r="H160" s="197"/>
      <c r="I160" s="197"/>
      <c r="J160" s="197"/>
      <c r="K160" s="197"/>
      <c r="L160" s="197"/>
      <c r="M160" s="197"/>
      <c r="N160" s="197"/>
      <c r="O160" s="197"/>
      <c r="P160" s="197"/>
      <c r="Q160" s="197"/>
      <c r="R160" s="197"/>
      <c r="S160" s="197"/>
    </row>
    <row r="161" customFormat="false" ht="12" hidden="false" customHeight="false" outlineLevel="0" collapsed="false">
      <c r="B161" s="197"/>
      <c r="C161" s="197"/>
      <c r="D161" s="197"/>
      <c r="E161" s="197"/>
      <c r="F161" s="197"/>
      <c r="G161" s="197"/>
      <c r="H161" s="197"/>
      <c r="I161" s="197"/>
      <c r="J161" s="197"/>
      <c r="K161" s="197"/>
      <c r="L161" s="197"/>
      <c r="M161" s="197"/>
      <c r="N161" s="197"/>
      <c r="O161" s="197"/>
      <c r="P161" s="197"/>
      <c r="Q161" s="197"/>
      <c r="R161" s="197"/>
      <c r="S161" s="197"/>
    </row>
    <row r="162" customFormat="false" ht="12" hidden="false" customHeight="false" outlineLevel="0" collapsed="false">
      <c r="B162" s="197"/>
      <c r="C162" s="197"/>
      <c r="D162" s="197"/>
      <c r="E162" s="197"/>
      <c r="F162" s="197"/>
      <c r="G162" s="197"/>
      <c r="H162" s="197"/>
      <c r="I162" s="197"/>
      <c r="J162" s="197"/>
      <c r="K162" s="197"/>
      <c r="L162" s="197"/>
      <c r="M162" s="197"/>
      <c r="N162" s="197"/>
      <c r="O162" s="197"/>
      <c r="P162" s="197"/>
      <c r="Q162" s="197"/>
      <c r="R162" s="197"/>
      <c r="S162" s="197"/>
    </row>
    <row r="163" customFormat="false" ht="12" hidden="false" customHeight="false" outlineLevel="0" collapsed="false">
      <c r="B163" s="197"/>
      <c r="C163" s="197"/>
      <c r="D163" s="197"/>
      <c r="E163" s="197"/>
      <c r="F163" s="197"/>
      <c r="G163" s="197"/>
      <c r="H163" s="197"/>
      <c r="I163" s="197"/>
      <c r="J163" s="197"/>
      <c r="K163" s="197"/>
      <c r="L163" s="197"/>
      <c r="M163" s="197"/>
      <c r="N163" s="197"/>
      <c r="O163" s="197"/>
      <c r="P163" s="197"/>
      <c r="Q163" s="197"/>
      <c r="R163" s="197"/>
      <c r="S163" s="197"/>
    </row>
    <row r="164" customFormat="false" ht="12" hidden="false" customHeight="false" outlineLevel="0" collapsed="false">
      <c r="B164" s="197"/>
      <c r="C164" s="197"/>
      <c r="D164" s="197"/>
      <c r="E164" s="197"/>
      <c r="F164" s="197"/>
      <c r="G164" s="197"/>
      <c r="H164" s="197"/>
      <c r="I164" s="197"/>
      <c r="J164" s="197"/>
      <c r="K164" s="197"/>
      <c r="L164" s="197"/>
      <c r="M164" s="197"/>
      <c r="N164" s="197"/>
      <c r="O164" s="197"/>
      <c r="P164" s="197"/>
      <c r="Q164" s="197"/>
      <c r="R164" s="197"/>
      <c r="S164" s="197"/>
    </row>
    <row r="165" customFormat="false" ht="12" hidden="false" customHeight="false" outlineLevel="0" collapsed="false">
      <c r="B165" s="197"/>
      <c r="C165" s="197"/>
      <c r="D165" s="197"/>
      <c r="E165" s="197"/>
      <c r="F165" s="197"/>
      <c r="G165" s="197"/>
      <c r="H165" s="197"/>
      <c r="I165" s="197"/>
      <c r="J165" s="197"/>
      <c r="K165" s="197"/>
      <c r="L165" s="197"/>
      <c r="M165" s="197"/>
      <c r="N165" s="197"/>
      <c r="O165" s="197"/>
      <c r="P165" s="197"/>
      <c r="Q165" s="197"/>
      <c r="R165" s="197"/>
      <c r="S165" s="197"/>
    </row>
    <row r="166" customFormat="false" ht="12" hidden="false" customHeight="false" outlineLevel="0" collapsed="false">
      <c r="B166" s="197"/>
      <c r="C166" s="197"/>
      <c r="D166" s="197"/>
      <c r="E166" s="197"/>
      <c r="F166" s="197"/>
      <c r="G166" s="197"/>
      <c r="H166" s="197"/>
      <c r="I166" s="197"/>
      <c r="J166" s="197"/>
      <c r="K166" s="197"/>
      <c r="L166" s="197"/>
      <c r="M166" s="197"/>
      <c r="N166" s="197"/>
      <c r="O166" s="197"/>
      <c r="P166" s="197"/>
      <c r="Q166" s="197"/>
      <c r="R166" s="197"/>
      <c r="S166" s="197"/>
    </row>
    <row r="167" customFormat="false" ht="12" hidden="false" customHeight="false" outlineLevel="0" collapsed="false">
      <c r="B167" s="197"/>
      <c r="C167" s="197"/>
      <c r="D167" s="197"/>
      <c r="E167" s="197"/>
      <c r="F167" s="197"/>
      <c r="G167" s="197"/>
      <c r="H167" s="197"/>
      <c r="I167" s="197"/>
      <c r="J167" s="197"/>
      <c r="K167" s="197"/>
      <c r="L167" s="197"/>
      <c r="M167" s="197"/>
      <c r="N167" s="197"/>
      <c r="O167" s="197"/>
      <c r="P167" s="197"/>
      <c r="Q167" s="197"/>
      <c r="R167" s="197"/>
      <c r="S167" s="197"/>
    </row>
    <row r="168" customFormat="false" ht="12" hidden="false" customHeight="false" outlineLevel="0" collapsed="false">
      <c r="B168" s="197"/>
      <c r="C168" s="197"/>
      <c r="D168" s="197"/>
      <c r="E168" s="197"/>
      <c r="F168" s="197"/>
      <c r="G168" s="197"/>
      <c r="H168" s="197"/>
      <c r="I168" s="197"/>
      <c r="J168" s="197"/>
      <c r="K168" s="197"/>
      <c r="L168" s="197"/>
      <c r="M168" s="197"/>
      <c r="N168" s="197"/>
      <c r="O168" s="197"/>
      <c r="P168" s="197"/>
      <c r="Q168" s="197"/>
      <c r="R168" s="197"/>
      <c r="S168" s="197"/>
    </row>
    <row r="169" customFormat="false" ht="12" hidden="false" customHeight="false" outlineLevel="0" collapsed="false">
      <c r="B169" s="197"/>
      <c r="C169" s="197"/>
      <c r="D169" s="197"/>
      <c r="E169" s="197"/>
      <c r="F169" s="197"/>
      <c r="G169" s="197"/>
      <c r="H169" s="197"/>
      <c r="I169" s="197"/>
      <c r="J169" s="197"/>
      <c r="K169" s="197"/>
      <c r="L169" s="197"/>
      <c r="M169" s="197"/>
      <c r="N169" s="197"/>
      <c r="O169" s="197"/>
      <c r="P169" s="197"/>
      <c r="Q169" s="197"/>
      <c r="R169" s="197"/>
      <c r="S169" s="197"/>
    </row>
    <row r="170" customFormat="false" ht="12" hidden="false" customHeight="false" outlineLevel="0" collapsed="false">
      <c r="B170" s="197"/>
      <c r="C170" s="197"/>
      <c r="D170" s="197"/>
      <c r="E170" s="197"/>
      <c r="F170" s="197"/>
      <c r="G170" s="197"/>
      <c r="H170" s="197"/>
      <c r="I170" s="197"/>
      <c r="J170" s="197"/>
      <c r="K170" s="197"/>
      <c r="L170" s="197"/>
      <c r="M170" s="197"/>
      <c r="N170" s="197"/>
      <c r="O170" s="197"/>
      <c r="P170" s="197"/>
      <c r="Q170" s="197"/>
      <c r="R170" s="197"/>
      <c r="S170" s="197"/>
    </row>
    <row r="171" customFormat="false" ht="12" hidden="false" customHeight="false" outlineLevel="0" collapsed="false">
      <c r="B171" s="197"/>
      <c r="C171" s="197"/>
      <c r="D171" s="197"/>
      <c r="E171" s="197"/>
      <c r="F171" s="197"/>
      <c r="G171" s="197"/>
      <c r="H171" s="197"/>
      <c r="I171" s="197"/>
      <c r="J171" s="197"/>
      <c r="K171" s="197"/>
      <c r="L171" s="197"/>
      <c r="M171" s="197"/>
      <c r="N171" s="197"/>
      <c r="O171" s="197"/>
      <c r="P171" s="197"/>
      <c r="Q171" s="197"/>
      <c r="R171" s="197"/>
      <c r="S171" s="197"/>
    </row>
    <row r="172" customFormat="false" ht="12" hidden="false" customHeight="false" outlineLevel="0" collapsed="false">
      <c r="B172" s="197"/>
      <c r="C172" s="197"/>
      <c r="D172" s="197"/>
      <c r="E172" s="197"/>
      <c r="F172" s="197"/>
      <c r="G172" s="197"/>
      <c r="H172" s="197"/>
      <c r="I172" s="197"/>
      <c r="J172" s="197"/>
      <c r="K172" s="197"/>
      <c r="L172" s="197"/>
      <c r="M172" s="197"/>
      <c r="N172" s="197"/>
      <c r="O172" s="197"/>
      <c r="P172" s="197"/>
      <c r="Q172" s="197"/>
      <c r="R172" s="197"/>
      <c r="S172" s="197"/>
    </row>
    <row r="173" customFormat="false" ht="12" hidden="false" customHeight="false" outlineLevel="0" collapsed="false">
      <c r="B173" s="197"/>
      <c r="C173" s="197"/>
      <c r="D173" s="197"/>
      <c r="E173" s="197"/>
      <c r="F173" s="197"/>
      <c r="G173" s="197"/>
      <c r="H173" s="197"/>
      <c r="I173" s="197"/>
      <c r="J173" s="197"/>
      <c r="K173" s="197"/>
      <c r="L173" s="197"/>
      <c r="M173" s="197"/>
      <c r="N173" s="197"/>
      <c r="O173" s="197"/>
      <c r="P173" s="197"/>
      <c r="Q173" s="197"/>
      <c r="R173" s="197"/>
      <c r="S173" s="197"/>
    </row>
    <row r="174" customFormat="false" ht="12" hidden="false" customHeight="false" outlineLevel="0" collapsed="false">
      <c r="B174" s="197"/>
      <c r="C174" s="197"/>
      <c r="D174" s="197"/>
      <c r="E174" s="197"/>
      <c r="F174" s="197"/>
      <c r="G174" s="197"/>
      <c r="H174" s="197"/>
      <c r="I174" s="197"/>
      <c r="J174" s="197"/>
      <c r="K174" s="197"/>
      <c r="L174" s="197"/>
      <c r="M174" s="197"/>
      <c r="N174" s="197"/>
      <c r="O174" s="197"/>
      <c r="P174" s="197"/>
      <c r="Q174" s="197"/>
      <c r="R174" s="197"/>
      <c r="S174" s="197"/>
    </row>
    <row r="175" customFormat="false" ht="12" hidden="false" customHeight="false" outlineLevel="0" collapsed="false">
      <c r="B175" s="197"/>
      <c r="C175" s="197"/>
      <c r="D175" s="197"/>
      <c r="E175" s="197"/>
      <c r="F175" s="197"/>
      <c r="G175" s="197"/>
      <c r="H175" s="197"/>
      <c r="I175" s="197"/>
      <c r="J175" s="197"/>
      <c r="K175" s="197"/>
      <c r="L175" s="197"/>
      <c r="M175" s="197"/>
      <c r="N175" s="197"/>
      <c r="O175" s="197"/>
      <c r="P175" s="197"/>
      <c r="Q175" s="197"/>
      <c r="R175" s="197"/>
      <c r="S175" s="197"/>
    </row>
    <row r="176" customFormat="false" ht="12" hidden="false" customHeight="false" outlineLevel="0" collapsed="false">
      <c r="B176" s="197"/>
      <c r="C176" s="197"/>
      <c r="D176" s="197"/>
      <c r="E176" s="197"/>
      <c r="F176" s="197"/>
      <c r="G176" s="197"/>
      <c r="H176" s="197"/>
      <c r="I176" s="197"/>
      <c r="J176" s="197"/>
      <c r="K176" s="197"/>
      <c r="L176" s="197"/>
      <c r="M176" s="197"/>
      <c r="N176" s="197"/>
      <c r="O176" s="197"/>
      <c r="P176" s="197"/>
      <c r="Q176" s="197"/>
      <c r="R176" s="197"/>
      <c r="S176" s="197"/>
    </row>
    <row r="177" customFormat="false" ht="12" hidden="false" customHeight="false" outlineLevel="0" collapsed="false">
      <c r="B177" s="197"/>
      <c r="C177" s="197"/>
      <c r="D177" s="197"/>
      <c r="E177" s="197"/>
      <c r="F177" s="197"/>
      <c r="G177" s="197"/>
      <c r="H177" s="197"/>
      <c r="I177" s="197"/>
      <c r="J177" s="197"/>
      <c r="K177" s="197"/>
      <c r="L177" s="197"/>
      <c r="M177" s="197"/>
      <c r="N177" s="197"/>
      <c r="O177" s="197"/>
      <c r="P177" s="197"/>
      <c r="Q177" s="197"/>
      <c r="R177" s="197"/>
      <c r="S177" s="197"/>
    </row>
    <row r="178" customFormat="false" ht="12" hidden="false" customHeight="false" outlineLevel="0" collapsed="false">
      <c r="B178" s="197"/>
      <c r="C178" s="197"/>
      <c r="D178" s="197"/>
      <c r="E178" s="197"/>
      <c r="F178" s="197"/>
      <c r="G178" s="197"/>
      <c r="H178" s="197"/>
      <c r="I178" s="197"/>
      <c r="J178" s="197"/>
      <c r="K178" s="197"/>
      <c r="L178" s="197"/>
      <c r="M178" s="197"/>
      <c r="N178" s="197"/>
      <c r="O178" s="197"/>
      <c r="P178" s="197"/>
      <c r="Q178" s="197"/>
      <c r="R178" s="197"/>
      <c r="S178" s="197"/>
    </row>
    <row r="179" customFormat="false" ht="12" hidden="false" customHeight="false" outlineLevel="0" collapsed="false">
      <c r="B179" s="197"/>
      <c r="C179" s="197"/>
      <c r="D179" s="197"/>
      <c r="E179" s="197"/>
      <c r="F179" s="197"/>
      <c r="G179" s="197"/>
      <c r="H179" s="197"/>
      <c r="I179" s="197"/>
      <c r="J179" s="197"/>
      <c r="K179" s="197"/>
      <c r="L179" s="197"/>
      <c r="M179" s="197"/>
      <c r="N179" s="197"/>
      <c r="O179" s="197"/>
      <c r="P179" s="197"/>
      <c r="Q179" s="197"/>
      <c r="R179" s="197"/>
      <c r="S179" s="197"/>
    </row>
    <row r="180" customFormat="false" ht="12" hidden="false" customHeight="false" outlineLevel="0" collapsed="false">
      <c r="B180" s="197"/>
      <c r="C180" s="197"/>
      <c r="D180" s="197"/>
      <c r="E180" s="197"/>
      <c r="F180" s="197"/>
      <c r="G180" s="197"/>
      <c r="H180" s="197"/>
      <c r="I180" s="197"/>
      <c r="J180" s="197"/>
      <c r="K180" s="197"/>
      <c r="L180" s="197"/>
      <c r="M180" s="197"/>
      <c r="N180" s="197"/>
      <c r="O180" s="197"/>
      <c r="P180" s="197"/>
      <c r="Q180" s="197"/>
      <c r="R180" s="197"/>
      <c r="S180" s="197"/>
    </row>
    <row r="181" customFormat="false" ht="12" hidden="false" customHeight="false" outlineLevel="0" collapsed="false">
      <c r="B181" s="197"/>
      <c r="C181" s="197"/>
      <c r="D181" s="197"/>
      <c r="E181" s="197"/>
      <c r="F181" s="197"/>
      <c r="G181" s="197"/>
      <c r="H181" s="197"/>
      <c r="I181" s="197"/>
      <c r="J181" s="197"/>
      <c r="K181" s="197"/>
      <c r="L181" s="197"/>
      <c r="M181" s="197"/>
      <c r="N181" s="197"/>
      <c r="O181" s="197"/>
      <c r="P181" s="197"/>
      <c r="Q181" s="197"/>
      <c r="R181" s="197"/>
      <c r="S181" s="197"/>
    </row>
    <row r="182" customFormat="false" ht="12" hidden="false" customHeight="false" outlineLevel="0" collapsed="false">
      <c r="B182" s="197"/>
      <c r="C182" s="197"/>
      <c r="D182" s="197"/>
      <c r="E182" s="197"/>
      <c r="F182" s="197"/>
      <c r="G182" s="197"/>
      <c r="H182" s="197"/>
      <c r="I182" s="197"/>
      <c r="J182" s="197"/>
      <c r="K182" s="197"/>
      <c r="L182" s="197"/>
      <c r="M182" s="197"/>
      <c r="N182" s="197"/>
      <c r="O182" s="197"/>
      <c r="P182" s="197"/>
      <c r="Q182" s="197"/>
      <c r="R182" s="197"/>
      <c r="S182" s="197"/>
    </row>
    <row r="183" customFormat="false" ht="12" hidden="false" customHeight="false" outlineLevel="0" collapsed="false">
      <c r="B183" s="197"/>
      <c r="C183" s="197"/>
      <c r="D183" s="197"/>
      <c r="E183" s="197"/>
      <c r="F183" s="197"/>
      <c r="G183" s="197"/>
      <c r="H183" s="197"/>
      <c r="I183" s="197"/>
      <c r="J183" s="197"/>
      <c r="K183" s="197"/>
      <c r="L183" s="197"/>
      <c r="M183" s="197"/>
      <c r="N183" s="197"/>
      <c r="O183" s="197"/>
      <c r="P183" s="197"/>
      <c r="Q183" s="197"/>
      <c r="R183" s="197"/>
      <c r="S183" s="197"/>
    </row>
    <row r="184" customFormat="false" ht="12" hidden="false" customHeight="false" outlineLevel="0" collapsed="false">
      <c r="B184" s="197"/>
      <c r="C184" s="197"/>
      <c r="D184" s="197"/>
      <c r="E184" s="197"/>
      <c r="F184" s="197"/>
      <c r="G184" s="197"/>
      <c r="H184" s="197"/>
      <c r="I184" s="197"/>
      <c r="J184" s="197"/>
      <c r="K184" s="197"/>
      <c r="L184" s="197"/>
      <c r="M184" s="197"/>
      <c r="N184" s="197"/>
      <c r="O184" s="197"/>
      <c r="P184" s="197"/>
      <c r="Q184" s="197"/>
      <c r="R184" s="197"/>
      <c r="S184" s="197"/>
    </row>
    <row r="185" customFormat="false" ht="12" hidden="false" customHeight="false" outlineLevel="0" collapsed="false">
      <c r="B185" s="197"/>
      <c r="C185" s="197"/>
      <c r="D185" s="197"/>
      <c r="E185" s="197"/>
      <c r="F185" s="197"/>
      <c r="G185" s="197"/>
      <c r="H185" s="197"/>
      <c r="I185" s="197"/>
      <c r="J185" s="197"/>
      <c r="K185" s="197"/>
      <c r="L185" s="197"/>
      <c r="M185" s="197"/>
      <c r="N185" s="197"/>
      <c r="O185" s="197"/>
      <c r="P185" s="197"/>
      <c r="Q185" s="197"/>
      <c r="R185" s="197"/>
      <c r="S185" s="197"/>
    </row>
    <row r="186" customFormat="false" ht="12" hidden="false" customHeight="false" outlineLevel="0" collapsed="false">
      <c r="B186" s="197"/>
      <c r="C186" s="197"/>
      <c r="D186" s="197"/>
      <c r="E186" s="197"/>
      <c r="F186" s="197"/>
      <c r="G186" s="197"/>
      <c r="H186" s="197"/>
      <c r="I186" s="197"/>
      <c r="J186" s="197"/>
      <c r="K186" s="197"/>
      <c r="L186" s="197"/>
      <c r="M186" s="197"/>
      <c r="N186" s="197"/>
      <c r="O186" s="197"/>
      <c r="P186" s="197"/>
      <c r="Q186" s="197"/>
      <c r="R186" s="197"/>
      <c r="S186" s="197"/>
    </row>
    <row r="187" customFormat="false" ht="12" hidden="false" customHeight="false" outlineLevel="0" collapsed="false">
      <c r="B187" s="197"/>
      <c r="C187" s="197"/>
      <c r="D187" s="197"/>
      <c r="E187" s="197"/>
      <c r="F187" s="197"/>
      <c r="G187" s="197"/>
      <c r="H187" s="197"/>
      <c r="I187" s="197"/>
      <c r="J187" s="197"/>
      <c r="K187" s="197"/>
      <c r="L187" s="197"/>
      <c r="M187" s="197"/>
      <c r="N187" s="197"/>
      <c r="O187" s="197"/>
      <c r="P187" s="197"/>
      <c r="Q187" s="197"/>
      <c r="R187" s="197"/>
      <c r="S187" s="197"/>
    </row>
    <row r="188" customFormat="false" ht="12" hidden="false" customHeight="false" outlineLevel="0" collapsed="false">
      <c r="B188" s="197"/>
      <c r="C188" s="197"/>
      <c r="D188" s="197"/>
      <c r="E188" s="197"/>
      <c r="F188" s="197"/>
      <c r="G188" s="197"/>
      <c r="H188" s="197"/>
      <c r="I188" s="197"/>
      <c r="J188" s="197"/>
      <c r="K188" s="197"/>
      <c r="L188" s="197"/>
      <c r="M188" s="197"/>
      <c r="N188" s="197"/>
      <c r="O188" s="197"/>
      <c r="P188" s="197"/>
      <c r="Q188" s="197"/>
      <c r="R188" s="197"/>
      <c r="S188" s="197"/>
    </row>
    <row r="189" customFormat="false" ht="12" hidden="false" customHeight="false" outlineLevel="0" collapsed="false">
      <c r="B189" s="197"/>
      <c r="C189" s="197"/>
      <c r="D189" s="197"/>
      <c r="E189" s="197"/>
      <c r="F189" s="197"/>
      <c r="G189" s="197"/>
      <c r="H189" s="197"/>
      <c r="I189" s="197"/>
      <c r="J189" s="197"/>
      <c r="K189" s="197"/>
      <c r="L189" s="197"/>
      <c r="M189" s="197"/>
      <c r="N189" s="197"/>
      <c r="O189" s="197"/>
      <c r="P189" s="197"/>
      <c r="Q189" s="197"/>
      <c r="R189" s="197"/>
      <c r="S189" s="197"/>
    </row>
    <row r="190" customFormat="false" ht="12" hidden="false" customHeight="false" outlineLevel="0" collapsed="false">
      <c r="B190" s="197"/>
      <c r="C190" s="197"/>
      <c r="D190" s="197"/>
      <c r="E190" s="197"/>
      <c r="F190" s="197"/>
      <c r="G190" s="197"/>
      <c r="H190" s="197"/>
      <c r="I190" s="197"/>
      <c r="J190" s="197"/>
      <c r="K190" s="197"/>
      <c r="L190" s="197"/>
      <c r="M190" s="197"/>
      <c r="N190" s="197"/>
      <c r="O190" s="197"/>
      <c r="P190" s="197"/>
      <c r="Q190" s="197"/>
      <c r="R190" s="197"/>
      <c r="S190" s="197"/>
    </row>
    <row r="191" customFormat="false" ht="12" hidden="false" customHeight="false" outlineLevel="0" collapsed="false">
      <c r="B191" s="197"/>
      <c r="C191" s="197"/>
      <c r="D191" s="197"/>
      <c r="E191" s="197"/>
      <c r="F191" s="197"/>
      <c r="G191" s="197"/>
      <c r="H191" s="197"/>
      <c r="I191" s="197"/>
      <c r="J191" s="197"/>
      <c r="K191" s="197"/>
      <c r="L191" s="197"/>
      <c r="M191" s="197"/>
      <c r="N191" s="197"/>
      <c r="O191" s="197"/>
      <c r="P191" s="197"/>
      <c r="Q191" s="197"/>
      <c r="R191" s="197"/>
      <c r="S191" s="197"/>
    </row>
    <row r="192" customFormat="false" ht="12" hidden="false" customHeight="false" outlineLevel="0" collapsed="false">
      <c r="B192" s="197"/>
      <c r="C192" s="197"/>
      <c r="D192" s="197"/>
      <c r="E192" s="197"/>
      <c r="F192" s="197"/>
      <c r="G192" s="197"/>
      <c r="H192" s="197"/>
      <c r="I192" s="197"/>
      <c r="J192" s="197"/>
      <c r="K192" s="197"/>
      <c r="L192" s="197"/>
      <c r="M192" s="197"/>
      <c r="N192" s="197"/>
      <c r="O192" s="197"/>
      <c r="P192" s="197"/>
      <c r="Q192" s="197"/>
      <c r="R192" s="197"/>
      <c r="S192" s="197"/>
    </row>
    <row r="193" customFormat="false" ht="12" hidden="false" customHeight="false" outlineLevel="0" collapsed="false">
      <c r="B193" s="197"/>
      <c r="C193" s="197"/>
      <c r="D193" s="197"/>
      <c r="E193" s="197"/>
      <c r="F193" s="197"/>
      <c r="G193" s="197"/>
      <c r="H193" s="197"/>
      <c r="I193" s="197"/>
      <c r="J193" s="197"/>
      <c r="K193" s="197"/>
      <c r="L193" s="197"/>
      <c r="M193" s="197"/>
      <c r="N193" s="197"/>
      <c r="O193" s="197"/>
      <c r="P193" s="197"/>
      <c r="Q193" s="197"/>
      <c r="R193" s="197"/>
      <c r="S193" s="197"/>
    </row>
    <row r="194" customFormat="false" ht="12" hidden="false" customHeight="false" outlineLevel="0" collapsed="false">
      <c r="B194" s="197"/>
      <c r="C194" s="197"/>
      <c r="D194" s="197"/>
      <c r="E194" s="197"/>
      <c r="F194" s="197"/>
      <c r="G194" s="197"/>
      <c r="H194" s="197"/>
      <c r="I194" s="197"/>
      <c r="J194" s="197"/>
      <c r="K194" s="197"/>
      <c r="L194" s="197"/>
      <c r="M194" s="197"/>
      <c r="N194" s="197"/>
      <c r="O194" s="197"/>
      <c r="P194" s="197"/>
      <c r="Q194" s="197"/>
      <c r="R194" s="197"/>
      <c r="S194" s="197"/>
    </row>
    <row r="195" customFormat="false" ht="12" hidden="false" customHeight="false" outlineLevel="0" collapsed="false">
      <c r="B195" s="197"/>
      <c r="C195" s="197"/>
      <c r="D195" s="197"/>
      <c r="E195" s="197"/>
      <c r="F195" s="197"/>
      <c r="G195" s="197"/>
      <c r="H195" s="197"/>
      <c r="I195" s="197"/>
      <c r="J195" s="197"/>
      <c r="K195" s="197"/>
      <c r="L195" s="197"/>
      <c r="M195" s="197"/>
      <c r="N195" s="197"/>
      <c r="O195" s="197"/>
      <c r="P195" s="197"/>
      <c r="Q195" s="197"/>
      <c r="R195" s="197"/>
      <c r="S195" s="197"/>
    </row>
    <row r="196" customFormat="false" ht="12" hidden="false" customHeight="false" outlineLevel="0" collapsed="false">
      <c r="B196" s="197"/>
      <c r="C196" s="197"/>
      <c r="D196" s="197"/>
      <c r="E196" s="197"/>
      <c r="F196" s="197"/>
      <c r="G196" s="197"/>
      <c r="H196" s="197"/>
      <c r="I196" s="197"/>
      <c r="J196" s="197"/>
      <c r="K196" s="197"/>
      <c r="L196" s="197"/>
      <c r="M196" s="197"/>
      <c r="N196" s="197"/>
      <c r="O196" s="197"/>
      <c r="P196" s="197"/>
      <c r="Q196" s="197"/>
      <c r="R196" s="197"/>
      <c r="S196" s="197"/>
    </row>
    <row r="197" customFormat="false" ht="12" hidden="false" customHeight="false" outlineLevel="0" collapsed="false">
      <c r="B197" s="197"/>
      <c r="C197" s="197"/>
      <c r="D197" s="197"/>
      <c r="E197" s="197"/>
      <c r="F197" s="197"/>
      <c r="G197" s="197"/>
      <c r="H197" s="197"/>
      <c r="I197" s="197"/>
      <c r="J197" s="197"/>
      <c r="K197" s="197"/>
      <c r="L197" s="197"/>
      <c r="M197" s="197"/>
      <c r="N197" s="197"/>
      <c r="O197" s="197"/>
      <c r="P197" s="197"/>
      <c r="Q197" s="197"/>
      <c r="R197" s="197"/>
      <c r="S197" s="197"/>
    </row>
    <row r="198" customFormat="false" ht="12" hidden="false" customHeight="false" outlineLevel="0" collapsed="false">
      <c r="B198" s="197"/>
      <c r="C198" s="197"/>
      <c r="D198" s="197"/>
      <c r="E198" s="197"/>
      <c r="F198" s="197"/>
      <c r="G198" s="197"/>
      <c r="H198" s="197"/>
      <c r="I198" s="197"/>
      <c r="J198" s="197"/>
      <c r="K198" s="197"/>
      <c r="L198" s="197"/>
      <c r="M198" s="197"/>
      <c r="N198" s="197"/>
      <c r="O198" s="197"/>
      <c r="P198" s="197"/>
      <c r="Q198" s="197"/>
      <c r="R198" s="197"/>
      <c r="S198" s="197"/>
    </row>
    <row r="199" customFormat="false" ht="12" hidden="false" customHeight="false" outlineLevel="0" collapsed="false">
      <c r="B199" s="197"/>
      <c r="C199" s="197"/>
      <c r="D199" s="197"/>
      <c r="E199" s="197"/>
      <c r="F199" s="197"/>
      <c r="G199" s="197"/>
      <c r="H199" s="197"/>
      <c r="I199" s="197"/>
      <c r="J199" s="197"/>
      <c r="K199" s="197"/>
      <c r="L199" s="197"/>
      <c r="M199" s="197"/>
      <c r="N199" s="197"/>
      <c r="O199" s="197"/>
      <c r="P199" s="197"/>
      <c r="Q199" s="197"/>
      <c r="R199" s="197"/>
      <c r="S199" s="197"/>
    </row>
    <row r="200" customFormat="false" ht="12" hidden="false" customHeight="false" outlineLevel="0" collapsed="false">
      <c r="B200" s="197"/>
      <c r="C200" s="197"/>
      <c r="D200" s="197"/>
      <c r="E200" s="197"/>
      <c r="F200" s="197"/>
      <c r="G200" s="197"/>
      <c r="H200" s="197"/>
      <c r="I200" s="197"/>
      <c r="J200" s="197"/>
      <c r="K200" s="197"/>
      <c r="L200" s="197"/>
      <c r="M200" s="197"/>
      <c r="N200" s="197"/>
      <c r="O200" s="197"/>
      <c r="P200" s="197"/>
      <c r="Q200" s="197"/>
      <c r="R200" s="197"/>
      <c r="S200" s="197"/>
    </row>
    <row r="201" customFormat="false" ht="12" hidden="false" customHeight="false" outlineLevel="0" collapsed="false">
      <c r="B201" s="197"/>
      <c r="C201" s="197"/>
      <c r="D201" s="197"/>
      <c r="E201" s="197"/>
      <c r="F201" s="197"/>
      <c r="G201" s="197"/>
      <c r="H201" s="197"/>
      <c r="I201" s="197"/>
      <c r="J201" s="197"/>
      <c r="K201" s="197"/>
      <c r="L201" s="197"/>
      <c r="M201" s="197"/>
      <c r="N201" s="197"/>
      <c r="O201" s="197"/>
      <c r="P201" s="197"/>
      <c r="Q201" s="197"/>
      <c r="R201" s="197"/>
      <c r="S201" s="197"/>
    </row>
    <row r="202" customFormat="false" ht="12" hidden="false" customHeight="false" outlineLevel="0" collapsed="false">
      <c r="B202" s="197"/>
      <c r="C202" s="197"/>
      <c r="D202" s="197"/>
      <c r="E202" s="197"/>
      <c r="F202" s="197"/>
      <c r="G202" s="197"/>
      <c r="H202" s="197"/>
      <c r="I202" s="197"/>
      <c r="J202" s="197"/>
      <c r="K202" s="197"/>
      <c r="L202" s="197"/>
      <c r="M202" s="197"/>
      <c r="N202" s="197"/>
      <c r="O202" s="197"/>
      <c r="P202" s="197"/>
      <c r="Q202" s="197"/>
      <c r="R202" s="197"/>
      <c r="S202" s="197"/>
    </row>
    <row r="203" customFormat="false" ht="12" hidden="false" customHeight="false" outlineLevel="0" collapsed="false">
      <c r="B203" s="197"/>
      <c r="C203" s="197"/>
      <c r="D203" s="197"/>
      <c r="E203" s="197"/>
      <c r="F203" s="197"/>
      <c r="G203" s="197"/>
      <c r="H203" s="197"/>
      <c r="I203" s="197"/>
      <c r="J203" s="197"/>
      <c r="K203" s="197"/>
      <c r="L203" s="197"/>
      <c r="M203" s="197"/>
      <c r="N203" s="197"/>
      <c r="O203" s="197"/>
      <c r="P203" s="197"/>
      <c r="Q203" s="197"/>
      <c r="R203" s="197"/>
      <c r="S203" s="197"/>
    </row>
    <row r="204" customFormat="false" ht="12" hidden="false" customHeight="false" outlineLevel="0" collapsed="false">
      <c r="B204" s="197"/>
      <c r="C204" s="197"/>
      <c r="D204" s="197"/>
      <c r="E204" s="197"/>
      <c r="F204" s="197"/>
      <c r="G204" s="197"/>
      <c r="H204" s="197"/>
      <c r="I204" s="197"/>
      <c r="J204" s="197"/>
      <c r="K204" s="197"/>
      <c r="L204" s="197"/>
      <c r="M204" s="197"/>
      <c r="N204" s="197"/>
      <c r="O204" s="197"/>
      <c r="P204" s="197"/>
      <c r="Q204" s="197"/>
      <c r="R204" s="197"/>
      <c r="S204" s="197"/>
    </row>
    <row r="205" customFormat="false" ht="12" hidden="false" customHeight="false" outlineLevel="0" collapsed="false">
      <c r="B205" s="197"/>
      <c r="C205" s="197"/>
      <c r="D205" s="197"/>
      <c r="E205" s="197"/>
      <c r="F205" s="197"/>
      <c r="G205" s="197"/>
      <c r="H205" s="197"/>
      <c r="I205" s="197"/>
      <c r="J205" s="197"/>
      <c r="K205" s="197"/>
      <c r="L205" s="197"/>
      <c r="M205" s="197"/>
      <c r="N205" s="197"/>
      <c r="O205" s="197"/>
      <c r="P205" s="197"/>
      <c r="Q205" s="197"/>
      <c r="R205" s="197"/>
      <c r="S205" s="197"/>
    </row>
    <row r="206" customFormat="false" ht="12" hidden="false" customHeight="false" outlineLevel="0" collapsed="false">
      <c r="B206" s="197"/>
      <c r="C206" s="197"/>
      <c r="D206" s="197"/>
      <c r="E206" s="197"/>
      <c r="F206" s="197"/>
      <c r="G206" s="197"/>
      <c r="H206" s="197"/>
      <c r="I206" s="197"/>
      <c r="J206" s="197"/>
      <c r="K206" s="197"/>
      <c r="L206" s="197"/>
      <c r="M206" s="197"/>
      <c r="N206" s="197"/>
      <c r="O206" s="197"/>
      <c r="P206" s="197"/>
      <c r="Q206" s="197"/>
      <c r="R206" s="197"/>
      <c r="S206" s="197"/>
    </row>
    <row r="207" customFormat="false" ht="12" hidden="false" customHeight="false" outlineLevel="0" collapsed="false">
      <c r="B207" s="197"/>
      <c r="C207" s="197"/>
      <c r="D207" s="197"/>
      <c r="E207" s="197"/>
      <c r="F207" s="197"/>
      <c r="G207" s="197"/>
      <c r="H207" s="197"/>
      <c r="I207" s="197"/>
      <c r="J207" s="197"/>
      <c r="K207" s="197"/>
      <c r="L207" s="197"/>
      <c r="M207" s="197"/>
      <c r="N207" s="197"/>
      <c r="O207" s="197"/>
      <c r="P207" s="197"/>
      <c r="Q207" s="197"/>
      <c r="R207" s="197"/>
      <c r="S207" s="197"/>
    </row>
    <row r="208" customFormat="false" ht="12" hidden="false" customHeight="false" outlineLevel="0" collapsed="false">
      <c r="B208" s="197"/>
      <c r="C208" s="197"/>
      <c r="D208" s="197"/>
      <c r="E208" s="197"/>
      <c r="F208" s="197"/>
      <c r="G208" s="197"/>
      <c r="H208" s="197"/>
      <c r="I208" s="197"/>
      <c r="J208" s="197"/>
      <c r="K208" s="197"/>
      <c r="L208" s="197"/>
      <c r="M208" s="197"/>
      <c r="N208" s="197"/>
      <c r="O208" s="197"/>
      <c r="P208" s="197"/>
      <c r="Q208" s="197"/>
      <c r="R208" s="197"/>
      <c r="S208" s="197"/>
    </row>
    <row r="209" customFormat="false" ht="12" hidden="false" customHeight="false" outlineLevel="0" collapsed="false">
      <c r="B209" s="197"/>
      <c r="C209" s="197"/>
      <c r="D209" s="197"/>
      <c r="E209" s="197"/>
      <c r="F209" s="197"/>
      <c r="G209" s="197"/>
      <c r="H209" s="197"/>
      <c r="I209" s="197"/>
      <c r="J209" s="197"/>
      <c r="K209" s="197"/>
      <c r="L209" s="197"/>
      <c r="M209" s="197"/>
      <c r="N209" s="197"/>
      <c r="O209" s="197"/>
      <c r="P209" s="197"/>
      <c r="Q209" s="197"/>
      <c r="R209" s="197"/>
      <c r="S209" s="197"/>
    </row>
    <row r="210" customFormat="false" ht="12" hidden="false" customHeight="false" outlineLevel="0" collapsed="false">
      <c r="B210" s="197"/>
      <c r="C210" s="197"/>
      <c r="D210" s="197"/>
      <c r="E210" s="197"/>
      <c r="F210" s="197"/>
      <c r="G210" s="197"/>
      <c r="H210" s="197"/>
      <c r="I210" s="197"/>
      <c r="J210" s="197"/>
      <c r="K210" s="197"/>
      <c r="L210" s="197"/>
      <c r="M210" s="197"/>
      <c r="N210" s="197"/>
      <c r="O210" s="197"/>
      <c r="P210" s="197"/>
      <c r="Q210" s="197"/>
      <c r="R210" s="197"/>
      <c r="S210" s="197"/>
    </row>
    <row r="211" customFormat="false" ht="12" hidden="false" customHeight="false" outlineLevel="0" collapsed="false">
      <c r="B211" s="197"/>
      <c r="C211" s="197"/>
      <c r="D211" s="197"/>
      <c r="E211" s="197"/>
      <c r="F211" s="197"/>
      <c r="G211" s="197"/>
      <c r="H211" s="197"/>
      <c r="I211" s="197"/>
      <c r="J211" s="197"/>
      <c r="K211" s="197"/>
      <c r="L211" s="197"/>
      <c r="M211" s="197"/>
      <c r="N211" s="197"/>
      <c r="O211" s="197"/>
      <c r="P211" s="197"/>
      <c r="Q211" s="197"/>
      <c r="R211" s="197"/>
      <c r="S211" s="197"/>
    </row>
    <row r="212" customFormat="false" ht="12" hidden="false" customHeight="false" outlineLevel="0" collapsed="false">
      <c r="B212" s="197"/>
      <c r="C212" s="197"/>
      <c r="D212" s="197"/>
      <c r="E212" s="197"/>
      <c r="F212" s="197"/>
      <c r="G212" s="197"/>
      <c r="H212" s="197"/>
      <c r="I212" s="197"/>
      <c r="J212" s="197"/>
      <c r="K212" s="197"/>
      <c r="L212" s="197"/>
      <c r="M212" s="197"/>
      <c r="N212" s="197"/>
      <c r="O212" s="197"/>
      <c r="P212" s="197"/>
      <c r="Q212" s="197"/>
      <c r="R212" s="197"/>
      <c r="S212" s="197"/>
    </row>
    <row r="213" customFormat="false" ht="12" hidden="false" customHeight="false" outlineLevel="0" collapsed="false">
      <c r="B213" s="197"/>
      <c r="C213" s="197"/>
      <c r="D213" s="197"/>
      <c r="E213" s="197"/>
      <c r="F213" s="197"/>
      <c r="G213" s="197"/>
      <c r="H213" s="197"/>
      <c r="I213" s="197"/>
      <c r="J213" s="197"/>
      <c r="K213" s="197"/>
      <c r="L213" s="197"/>
      <c r="M213" s="197"/>
      <c r="N213" s="197"/>
      <c r="O213" s="197"/>
      <c r="P213" s="197"/>
      <c r="Q213" s="197"/>
      <c r="R213" s="197"/>
      <c r="S213" s="197"/>
    </row>
    <row r="214" customFormat="false" ht="12" hidden="false" customHeight="false" outlineLevel="0" collapsed="false">
      <c r="B214" s="197"/>
      <c r="C214" s="197"/>
      <c r="D214" s="197"/>
      <c r="E214" s="197"/>
      <c r="F214" s="197"/>
      <c r="G214" s="197"/>
      <c r="H214" s="197"/>
      <c r="I214" s="197"/>
      <c r="J214" s="197"/>
      <c r="K214" s="197"/>
      <c r="L214" s="197"/>
      <c r="M214" s="197"/>
      <c r="N214" s="197"/>
      <c r="O214" s="197"/>
      <c r="P214" s="197"/>
      <c r="Q214" s="197"/>
      <c r="R214" s="197"/>
      <c r="S214" s="197"/>
    </row>
    <row r="215" customFormat="false" ht="12" hidden="false" customHeight="false" outlineLevel="0" collapsed="false">
      <c r="B215" s="197"/>
      <c r="C215" s="197"/>
      <c r="D215" s="197"/>
      <c r="E215" s="197"/>
      <c r="F215" s="197"/>
      <c r="G215" s="197"/>
      <c r="H215" s="197"/>
      <c r="I215" s="197"/>
      <c r="J215" s="197"/>
      <c r="K215" s="197"/>
      <c r="L215" s="197"/>
      <c r="M215" s="197"/>
      <c r="N215" s="197"/>
      <c r="O215" s="197"/>
      <c r="P215" s="197"/>
      <c r="Q215" s="197"/>
      <c r="R215" s="197"/>
      <c r="S215" s="197"/>
    </row>
    <row r="216" customFormat="false" ht="12" hidden="false" customHeight="false" outlineLevel="0" collapsed="false">
      <c r="B216" s="197"/>
      <c r="C216" s="197"/>
      <c r="D216" s="197"/>
      <c r="E216" s="197"/>
      <c r="F216" s="197"/>
      <c r="G216" s="197"/>
      <c r="H216" s="197"/>
      <c r="I216" s="197"/>
      <c r="J216" s="197"/>
      <c r="K216" s="197"/>
      <c r="L216" s="197"/>
      <c r="M216" s="197"/>
      <c r="N216" s="197"/>
      <c r="O216" s="197"/>
      <c r="P216" s="197"/>
      <c r="Q216" s="197"/>
      <c r="R216" s="197"/>
      <c r="S216" s="197"/>
    </row>
    <row r="217" customFormat="false" ht="12" hidden="false" customHeight="false" outlineLevel="0" collapsed="false">
      <c r="B217" s="197"/>
      <c r="C217" s="197"/>
      <c r="D217" s="197"/>
      <c r="E217" s="197"/>
      <c r="F217" s="197"/>
      <c r="G217" s="197"/>
      <c r="H217" s="197"/>
      <c r="I217" s="197"/>
      <c r="J217" s="197"/>
      <c r="K217" s="197"/>
      <c r="L217" s="197"/>
      <c r="M217" s="197"/>
      <c r="N217" s="197"/>
      <c r="O217" s="197"/>
      <c r="P217" s="197"/>
      <c r="Q217" s="197"/>
      <c r="R217" s="197"/>
      <c r="S217" s="197"/>
    </row>
    <row r="218" customFormat="false" ht="12" hidden="false" customHeight="false" outlineLevel="0" collapsed="false">
      <c r="B218" s="197"/>
      <c r="C218" s="197"/>
      <c r="D218" s="197"/>
      <c r="E218" s="197"/>
      <c r="F218" s="197"/>
      <c r="G218" s="197"/>
      <c r="H218" s="197"/>
      <c r="I218" s="197"/>
      <c r="J218" s="197"/>
      <c r="K218" s="197"/>
      <c r="L218" s="197"/>
      <c r="M218" s="197"/>
      <c r="N218" s="197"/>
      <c r="O218" s="197"/>
      <c r="P218" s="197"/>
      <c r="Q218" s="197"/>
      <c r="R218" s="197"/>
      <c r="S218" s="197"/>
    </row>
    <row r="219" customFormat="false" ht="12" hidden="false" customHeight="false" outlineLevel="0" collapsed="false">
      <c r="B219" s="197"/>
      <c r="C219" s="197"/>
      <c r="D219" s="197"/>
      <c r="E219" s="197"/>
      <c r="F219" s="197"/>
      <c r="G219" s="197"/>
      <c r="H219" s="197"/>
      <c r="I219" s="197"/>
      <c r="J219" s="197"/>
      <c r="K219" s="197"/>
      <c r="L219" s="197"/>
      <c r="M219" s="197"/>
      <c r="N219" s="197"/>
      <c r="O219" s="197"/>
      <c r="P219" s="197"/>
      <c r="Q219" s="197"/>
      <c r="R219" s="197"/>
      <c r="S219" s="197"/>
    </row>
    <row r="220" customFormat="false" ht="12" hidden="false" customHeight="false" outlineLevel="0" collapsed="false">
      <c r="B220" s="197"/>
      <c r="C220" s="197"/>
      <c r="D220" s="197"/>
      <c r="E220" s="197"/>
      <c r="F220" s="197"/>
      <c r="G220" s="197"/>
      <c r="H220" s="197"/>
      <c r="I220" s="197"/>
      <c r="J220" s="197"/>
      <c r="K220" s="197"/>
      <c r="L220" s="197"/>
      <c r="M220" s="197"/>
      <c r="N220" s="197"/>
      <c r="O220" s="197"/>
      <c r="P220" s="197"/>
      <c r="Q220" s="197"/>
      <c r="R220" s="197"/>
      <c r="S220" s="197"/>
    </row>
    <row r="221" customFormat="false" ht="12" hidden="false" customHeight="false" outlineLevel="0" collapsed="false">
      <c r="B221" s="197"/>
      <c r="C221" s="197"/>
      <c r="D221" s="197"/>
      <c r="E221" s="197"/>
      <c r="F221" s="197"/>
      <c r="G221" s="197"/>
      <c r="H221" s="197"/>
      <c r="I221" s="197"/>
      <c r="J221" s="197"/>
      <c r="K221" s="197"/>
      <c r="L221" s="197"/>
      <c r="M221" s="197"/>
      <c r="N221" s="197"/>
      <c r="O221" s="197"/>
      <c r="P221" s="197"/>
      <c r="Q221" s="197"/>
      <c r="R221" s="197"/>
      <c r="S221" s="197"/>
    </row>
    <row r="222" customFormat="false" ht="12" hidden="false" customHeight="false" outlineLevel="0" collapsed="false">
      <c r="B222" s="197"/>
      <c r="C222" s="197"/>
      <c r="D222" s="197"/>
      <c r="E222" s="197"/>
      <c r="F222" s="197"/>
      <c r="G222" s="197"/>
      <c r="H222" s="197"/>
      <c r="I222" s="197"/>
      <c r="J222" s="197"/>
      <c r="K222" s="197"/>
      <c r="L222" s="197"/>
      <c r="M222" s="197"/>
      <c r="N222" s="197"/>
      <c r="O222" s="197"/>
      <c r="P222" s="197"/>
      <c r="Q222" s="197"/>
      <c r="R222" s="197"/>
      <c r="S222" s="197"/>
    </row>
    <row r="223" customFormat="false" ht="12" hidden="false" customHeight="false" outlineLevel="0" collapsed="false">
      <c r="B223" s="197"/>
      <c r="C223" s="197"/>
      <c r="D223" s="197"/>
      <c r="E223" s="197"/>
      <c r="F223" s="197"/>
      <c r="G223" s="197"/>
      <c r="H223" s="197"/>
      <c r="I223" s="197"/>
      <c r="J223" s="197"/>
      <c r="K223" s="197"/>
      <c r="L223" s="197"/>
      <c r="M223" s="197"/>
      <c r="N223" s="197"/>
      <c r="O223" s="197"/>
      <c r="P223" s="197"/>
      <c r="Q223" s="197"/>
      <c r="R223" s="197"/>
      <c r="S223" s="197"/>
    </row>
    <row r="224" customFormat="false" ht="12" hidden="false" customHeight="false" outlineLevel="0" collapsed="false">
      <c r="B224" s="197"/>
      <c r="C224" s="197"/>
      <c r="D224" s="197"/>
      <c r="E224" s="197"/>
      <c r="F224" s="197"/>
      <c r="G224" s="197"/>
      <c r="H224" s="197"/>
      <c r="I224" s="197"/>
      <c r="J224" s="197"/>
      <c r="K224" s="197"/>
      <c r="L224" s="197"/>
      <c r="M224" s="197"/>
      <c r="N224" s="197"/>
      <c r="O224" s="197"/>
      <c r="P224" s="197"/>
      <c r="Q224" s="197"/>
      <c r="R224" s="197"/>
      <c r="S224" s="197"/>
    </row>
    <row r="225" customFormat="false" ht="12" hidden="false" customHeight="false" outlineLevel="0" collapsed="false">
      <c r="B225" s="197"/>
      <c r="C225" s="197"/>
      <c r="D225" s="197"/>
      <c r="E225" s="197"/>
      <c r="F225" s="197"/>
      <c r="G225" s="197"/>
      <c r="H225" s="197"/>
      <c r="I225" s="197"/>
      <c r="J225" s="197"/>
      <c r="K225" s="197"/>
      <c r="L225" s="197"/>
      <c r="M225" s="197"/>
      <c r="N225" s="197"/>
      <c r="O225" s="197"/>
      <c r="P225" s="197"/>
      <c r="Q225" s="197"/>
      <c r="R225" s="197"/>
      <c r="S225" s="197"/>
    </row>
    <row r="226" customFormat="false" ht="12" hidden="false" customHeight="false" outlineLevel="0" collapsed="false">
      <c r="B226" s="197"/>
      <c r="C226" s="197"/>
      <c r="D226" s="197"/>
      <c r="E226" s="197"/>
      <c r="F226" s="197"/>
      <c r="G226" s="197"/>
      <c r="H226" s="197"/>
      <c r="I226" s="197"/>
      <c r="J226" s="197"/>
      <c r="K226" s="197"/>
      <c r="L226" s="197"/>
      <c r="M226" s="197"/>
      <c r="N226" s="197"/>
      <c r="O226" s="197"/>
      <c r="P226" s="197"/>
      <c r="Q226" s="197"/>
      <c r="R226" s="197"/>
      <c r="S226" s="197"/>
    </row>
    <row r="227" customFormat="false" ht="12" hidden="false" customHeight="false" outlineLevel="0" collapsed="false">
      <c r="B227" s="197"/>
      <c r="C227" s="197"/>
      <c r="D227" s="197"/>
      <c r="E227" s="197"/>
      <c r="F227" s="197"/>
      <c r="G227" s="197"/>
      <c r="H227" s="197"/>
      <c r="I227" s="197"/>
      <c r="J227" s="197"/>
      <c r="K227" s="197"/>
      <c r="L227" s="197"/>
      <c r="M227" s="197"/>
      <c r="N227" s="197"/>
      <c r="O227" s="197"/>
      <c r="P227" s="197"/>
      <c r="Q227" s="197"/>
      <c r="R227" s="197"/>
      <c r="S227" s="197"/>
    </row>
    <row r="228" customFormat="false" ht="12" hidden="false" customHeight="false" outlineLevel="0" collapsed="false">
      <c r="B228" s="197"/>
      <c r="C228" s="197"/>
      <c r="D228" s="197"/>
      <c r="E228" s="197"/>
      <c r="F228" s="197"/>
      <c r="G228" s="197"/>
      <c r="H228" s="197"/>
      <c r="I228" s="197"/>
      <c r="J228" s="197"/>
      <c r="K228" s="197"/>
      <c r="L228" s="197"/>
      <c r="M228" s="197"/>
      <c r="N228" s="197"/>
      <c r="O228" s="197"/>
      <c r="P228" s="197"/>
      <c r="Q228" s="197"/>
      <c r="R228" s="197"/>
      <c r="S228" s="197"/>
    </row>
    <row r="229" customFormat="false" ht="12" hidden="false" customHeight="false" outlineLevel="0" collapsed="false">
      <c r="B229" s="197"/>
      <c r="C229" s="197"/>
      <c r="D229" s="197"/>
      <c r="E229" s="197"/>
      <c r="F229" s="197"/>
      <c r="G229" s="197"/>
      <c r="H229" s="197"/>
      <c r="I229" s="197"/>
      <c r="J229" s="197"/>
      <c r="K229" s="197"/>
      <c r="L229" s="197"/>
      <c r="M229" s="197"/>
      <c r="N229" s="197"/>
      <c r="O229" s="197"/>
      <c r="P229" s="197"/>
      <c r="Q229" s="197"/>
      <c r="R229" s="197"/>
      <c r="S229" s="197"/>
    </row>
    <row r="230" customFormat="false" ht="12" hidden="false" customHeight="false" outlineLevel="0" collapsed="false">
      <c r="B230" s="197"/>
      <c r="C230" s="197"/>
      <c r="D230" s="197"/>
      <c r="E230" s="197"/>
      <c r="F230" s="197"/>
      <c r="G230" s="197"/>
      <c r="H230" s="197"/>
      <c r="I230" s="197"/>
      <c r="J230" s="197"/>
      <c r="K230" s="197"/>
      <c r="L230" s="197"/>
      <c r="M230" s="197"/>
      <c r="N230" s="197"/>
      <c r="O230" s="197"/>
      <c r="P230" s="197"/>
      <c r="Q230" s="197"/>
      <c r="R230" s="197"/>
      <c r="S230" s="197"/>
    </row>
    <row r="231" customFormat="false" ht="12" hidden="false" customHeight="false" outlineLevel="0" collapsed="false">
      <c r="B231" s="197"/>
      <c r="C231" s="197"/>
      <c r="D231" s="197"/>
      <c r="E231" s="197"/>
      <c r="F231" s="197"/>
      <c r="G231" s="197"/>
      <c r="H231" s="197"/>
      <c r="I231" s="197"/>
      <c r="J231" s="197"/>
      <c r="K231" s="197"/>
      <c r="L231" s="197"/>
      <c r="M231" s="197"/>
      <c r="N231" s="197"/>
      <c r="O231" s="197"/>
      <c r="P231" s="197"/>
      <c r="Q231" s="197"/>
      <c r="R231" s="197"/>
      <c r="S231" s="197"/>
    </row>
    <row r="232" customFormat="false" ht="12" hidden="false" customHeight="false" outlineLevel="0" collapsed="false">
      <c r="B232" s="197"/>
      <c r="C232" s="197"/>
      <c r="D232" s="197"/>
      <c r="E232" s="197"/>
      <c r="F232" s="197"/>
      <c r="G232" s="197"/>
      <c r="H232" s="197"/>
      <c r="I232" s="197"/>
      <c r="J232" s="197"/>
      <c r="K232" s="197"/>
      <c r="L232" s="197"/>
      <c r="M232" s="197"/>
      <c r="N232" s="197"/>
      <c r="O232" s="197"/>
      <c r="P232" s="197"/>
      <c r="Q232" s="197"/>
      <c r="R232" s="197"/>
      <c r="S232" s="197"/>
    </row>
    <row r="233" customFormat="false" ht="12" hidden="false" customHeight="false" outlineLevel="0" collapsed="false">
      <c r="B233" s="197"/>
      <c r="C233" s="197"/>
      <c r="D233" s="197"/>
      <c r="E233" s="197"/>
      <c r="F233" s="197"/>
      <c r="G233" s="197"/>
      <c r="H233" s="197"/>
      <c r="I233" s="197"/>
      <c r="J233" s="197"/>
      <c r="K233" s="197"/>
      <c r="L233" s="197"/>
      <c r="M233" s="197"/>
      <c r="N233" s="197"/>
      <c r="O233" s="197"/>
      <c r="P233" s="197"/>
      <c r="Q233" s="197"/>
      <c r="R233" s="197"/>
      <c r="S233" s="197"/>
    </row>
    <row r="234" customFormat="false" ht="12" hidden="false" customHeight="false" outlineLevel="0" collapsed="false">
      <c r="B234" s="197"/>
      <c r="C234" s="197"/>
      <c r="D234" s="197"/>
      <c r="E234" s="197"/>
      <c r="F234" s="197"/>
      <c r="G234" s="197"/>
      <c r="H234" s="197"/>
      <c r="I234" s="197"/>
      <c r="J234" s="197"/>
      <c r="K234" s="197"/>
      <c r="L234" s="197"/>
      <c r="M234" s="197"/>
      <c r="N234" s="197"/>
      <c r="O234" s="197"/>
      <c r="P234" s="197"/>
      <c r="Q234" s="197"/>
      <c r="R234" s="197"/>
      <c r="S234" s="197"/>
    </row>
    <row r="235" customFormat="false" ht="12" hidden="false" customHeight="false" outlineLevel="0" collapsed="false">
      <c r="B235" s="197"/>
      <c r="C235" s="197"/>
      <c r="D235" s="197"/>
      <c r="E235" s="197"/>
      <c r="F235" s="197"/>
      <c r="G235" s="197"/>
      <c r="H235" s="197"/>
      <c r="I235" s="197"/>
      <c r="J235" s="197"/>
      <c r="K235" s="197"/>
      <c r="L235" s="197"/>
      <c r="M235" s="197"/>
      <c r="N235" s="197"/>
      <c r="O235" s="197"/>
      <c r="P235" s="197"/>
      <c r="Q235" s="197"/>
      <c r="R235" s="197"/>
      <c r="S235" s="197"/>
    </row>
    <row r="236" customFormat="false" ht="12" hidden="false" customHeight="false" outlineLevel="0" collapsed="false">
      <c r="B236" s="197"/>
      <c r="C236" s="197"/>
      <c r="D236" s="197"/>
      <c r="E236" s="197"/>
      <c r="F236" s="197"/>
      <c r="G236" s="197"/>
      <c r="H236" s="197"/>
      <c r="I236" s="197"/>
      <c r="J236" s="197"/>
      <c r="K236" s="197"/>
      <c r="L236" s="197"/>
      <c r="M236" s="197"/>
      <c r="N236" s="197"/>
      <c r="O236" s="197"/>
      <c r="P236" s="197"/>
      <c r="Q236" s="197"/>
      <c r="R236" s="197"/>
      <c r="S236" s="197"/>
    </row>
    <row r="237" customFormat="false" ht="12" hidden="false" customHeight="false" outlineLevel="0" collapsed="false">
      <c r="B237" s="197"/>
      <c r="C237" s="197"/>
      <c r="D237" s="197"/>
      <c r="E237" s="197"/>
      <c r="F237" s="197"/>
      <c r="G237" s="197"/>
      <c r="H237" s="197"/>
      <c r="I237" s="197"/>
      <c r="J237" s="197"/>
      <c r="K237" s="197"/>
      <c r="L237" s="197"/>
      <c r="M237" s="197"/>
      <c r="N237" s="197"/>
      <c r="O237" s="197"/>
      <c r="P237" s="197"/>
      <c r="Q237" s="197"/>
      <c r="R237" s="197"/>
      <c r="S237" s="197"/>
    </row>
    <row r="238" customFormat="false" ht="12" hidden="false" customHeight="false" outlineLevel="0" collapsed="false">
      <c r="B238" s="197"/>
      <c r="C238" s="197"/>
      <c r="D238" s="197"/>
      <c r="E238" s="197"/>
      <c r="F238" s="197"/>
      <c r="G238" s="197"/>
      <c r="H238" s="197"/>
      <c r="I238" s="197"/>
      <c r="J238" s="197"/>
      <c r="K238" s="197"/>
      <c r="L238" s="197"/>
      <c r="M238" s="197"/>
      <c r="N238" s="197"/>
      <c r="O238" s="197"/>
      <c r="P238" s="197"/>
      <c r="Q238" s="197"/>
      <c r="R238" s="197"/>
      <c r="S238" s="197"/>
    </row>
    <row r="239" customFormat="false" ht="12" hidden="false" customHeight="false" outlineLevel="0" collapsed="false">
      <c r="B239" s="197"/>
      <c r="C239" s="197"/>
      <c r="D239" s="197"/>
      <c r="E239" s="197"/>
      <c r="F239" s="197"/>
      <c r="G239" s="197"/>
      <c r="H239" s="197"/>
      <c r="I239" s="197"/>
      <c r="J239" s="197"/>
      <c r="K239" s="197"/>
      <c r="L239" s="197"/>
      <c r="M239" s="197"/>
      <c r="N239" s="197"/>
      <c r="O239" s="197"/>
      <c r="P239" s="197"/>
      <c r="Q239" s="197"/>
      <c r="R239" s="197"/>
      <c r="S239" s="197"/>
    </row>
    <row r="240" customFormat="false" ht="12" hidden="false" customHeight="false" outlineLevel="0" collapsed="false">
      <c r="B240" s="197"/>
      <c r="C240" s="197"/>
      <c r="D240" s="197"/>
      <c r="E240" s="197"/>
      <c r="F240" s="197"/>
      <c r="G240" s="197"/>
      <c r="H240" s="197"/>
      <c r="I240" s="197"/>
      <c r="J240" s="197"/>
      <c r="K240" s="197"/>
      <c r="L240" s="197"/>
      <c r="M240" s="197"/>
      <c r="N240" s="197"/>
      <c r="O240" s="197"/>
      <c r="P240" s="197"/>
      <c r="Q240" s="197"/>
      <c r="R240" s="197"/>
      <c r="S240" s="197"/>
    </row>
    <row r="241" customFormat="false" ht="12" hidden="false" customHeight="false" outlineLevel="0" collapsed="false">
      <c r="B241" s="197"/>
      <c r="C241" s="197"/>
      <c r="D241" s="197"/>
      <c r="E241" s="197"/>
      <c r="F241" s="197"/>
      <c r="G241" s="197"/>
      <c r="H241" s="197"/>
      <c r="I241" s="197"/>
      <c r="J241" s="197"/>
      <c r="K241" s="197"/>
      <c r="L241" s="197"/>
      <c r="M241" s="197"/>
      <c r="N241" s="197"/>
      <c r="O241" s="197"/>
      <c r="P241" s="197"/>
      <c r="Q241" s="197"/>
      <c r="R241" s="197"/>
      <c r="S241" s="197"/>
    </row>
    <row r="242" customFormat="false" ht="12" hidden="false" customHeight="false" outlineLevel="0" collapsed="false">
      <c r="B242" s="197"/>
      <c r="C242" s="197"/>
      <c r="D242" s="197"/>
      <c r="E242" s="197"/>
      <c r="F242" s="197"/>
      <c r="G242" s="197"/>
      <c r="H242" s="197"/>
      <c r="I242" s="197"/>
      <c r="J242" s="197"/>
      <c r="K242" s="197"/>
      <c r="L242" s="197"/>
      <c r="M242" s="197"/>
      <c r="N242" s="197"/>
      <c r="O242" s="197"/>
      <c r="P242" s="197"/>
      <c r="Q242" s="197"/>
      <c r="R242" s="197"/>
      <c r="S242" s="197"/>
    </row>
    <row r="243" customFormat="false" ht="12" hidden="false" customHeight="false" outlineLevel="0" collapsed="false">
      <c r="B243" s="197"/>
      <c r="C243" s="197"/>
      <c r="D243" s="197"/>
      <c r="E243" s="197"/>
      <c r="F243" s="197"/>
      <c r="G243" s="197"/>
      <c r="H243" s="197"/>
      <c r="I243" s="197"/>
      <c r="J243" s="197"/>
      <c r="K243" s="197"/>
      <c r="L243" s="197"/>
      <c r="M243" s="197"/>
      <c r="N243" s="197"/>
      <c r="O243" s="197"/>
      <c r="P243" s="197"/>
      <c r="Q243" s="197"/>
      <c r="R243" s="197"/>
      <c r="S243" s="197"/>
    </row>
    <row r="244" customFormat="false" ht="12" hidden="false" customHeight="false" outlineLevel="0" collapsed="false">
      <c r="B244" s="197"/>
      <c r="C244" s="197"/>
      <c r="D244" s="197"/>
      <c r="E244" s="197"/>
      <c r="F244" s="197"/>
      <c r="G244" s="197"/>
      <c r="H244" s="197"/>
      <c r="I244" s="197"/>
      <c r="J244" s="197"/>
      <c r="K244" s="197"/>
      <c r="L244" s="197"/>
      <c r="M244" s="197"/>
      <c r="N244" s="197"/>
      <c r="O244" s="197"/>
      <c r="P244" s="197"/>
      <c r="Q244" s="197"/>
      <c r="R244" s="197"/>
      <c r="S244" s="197"/>
    </row>
    <row r="245" customFormat="false" ht="12" hidden="false" customHeight="false" outlineLevel="0" collapsed="false">
      <c r="B245" s="197"/>
      <c r="C245" s="197"/>
      <c r="D245" s="197"/>
      <c r="E245" s="197"/>
      <c r="F245" s="197"/>
      <c r="G245" s="197"/>
      <c r="H245" s="197"/>
      <c r="I245" s="197"/>
      <c r="J245" s="197"/>
      <c r="K245" s="197"/>
      <c r="L245" s="197"/>
      <c r="M245" s="197"/>
      <c r="N245" s="197"/>
      <c r="O245" s="197"/>
      <c r="P245" s="197"/>
      <c r="Q245" s="197"/>
      <c r="R245" s="197"/>
      <c r="S245" s="197"/>
    </row>
    <row r="246" customFormat="false" ht="12" hidden="false" customHeight="false" outlineLevel="0" collapsed="false">
      <c r="B246" s="197"/>
      <c r="C246" s="197"/>
      <c r="D246" s="197"/>
      <c r="E246" s="197"/>
      <c r="F246" s="197"/>
      <c r="G246" s="197"/>
      <c r="H246" s="197"/>
      <c r="I246" s="197"/>
      <c r="J246" s="197"/>
      <c r="K246" s="197"/>
      <c r="L246" s="197"/>
      <c r="M246" s="197"/>
      <c r="N246" s="197"/>
      <c r="O246" s="197"/>
      <c r="P246" s="197"/>
      <c r="Q246" s="197"/>
      <c r="R246" s="197"/>
      <c r="S246" s="197"/>
    </row>
    <row r="247" customFormat="false" ht="12" hidden="false" customHeight="false" outlineLevel="0" collapsed="false">
      <c r="B247" s="197"/>
      <c r="C247" s="197"/>
      <c r="D247" s="197"/>
      <c r="E247" s="197"/>
      <c r="F247" s="197"/>
      <c r="G247" s="197"/>
      <c r="H247" s="197"/>
      <c r="I247" s="197"/>
      <c r="J247" s="197"/>
      <c r="K247" s="197"/>
      <c r="L247" s="197"/>
      <c r="M247" s="197"/>
      <c r="N247" s="197"/>
      <c r="O247" s="197"/>
      <c r="P247" s="197"/>
      <c r="Q247" s="197"/>
      <c r="R247" s="197"/>
      <c r="S247" s="197"/>
    </row>
    <row r="248" customFormat="false" ht="12" hidden="false" customHeight="false" outlineLevel="0" collapsed="false">
      <c r="B248" s="197"/>
      <c r="C248" s="197"/>
      <c r="D248" s="197"/>
      <c r="E248" s="197"/>
      <c r="F248" s="197"/>
      <c r="G248" s="197"/>
      <c r="H248" s="197"/>
      <c r="I248" s="197"/>
      <c r="J248" s="197"/>
      <c r="K248" s="197"/>
      <c r="L248" s="197"/>
      <c r="M248" s="197"/>
      <c r="N248" s="197"/>
      <c r="O248" s="197"/>
      <c r="P248" s="197"/>
      <c r="Q248" s="197"/>
      <c r="R248" s="197"/>
      <c r="S248" s="197"/>
    </row>
    <row r="249" customFormat="false" ht="12" hidden="false" customHeight="false" outlineLevel="0" collapsed="false">
      <c r="B249" s="197"/>
      <c r="C249" s="197"/>
      <c r="D249" s="197"/>
      <c r="E249" s="197"/>
      <c r="F249" s="197"/>
      <c r="G249" s="197"/>
      <c r="H249" s="197"/>
      <c r="I249" s="197"/>
      <c r="J249" s="197"/>
      <c r="K249" s="197"/>
      <c r="L249" s="197"/>
      <c r="M249" s="197"/>
      <c r="N249" s="197"/>
      <c r="O249" s="197"/>
      <c r="P249" s="197"/>
      <c r="Q249" s="197"/>
      <c r="R249" s="197"/>
      <c r="S249" s="197"/>
    </row>
    <row r="250" customFormat="false" ht="12" hidden="false" customHeight="false" outlineLevel="0" collapsed="false">
      <c r="B250" s="197"/>
      <c r="C250" s="197"/>
      <c r="D250" s="197"/>
      <c r="E250" s="197"/>
      <c r="F250" s="197"/>
      <c r="G250" s="197"/>
      <c r="H250" s="197"/>
      <c r="I250" s="197"/>
      <c r="J250" s="197"/>
      <c r="K250" s="197"/>
      <c r="L250" s="197"/>
      <c r="M250" s="197"/>
      <c r="N250" s="197"/>
      <c r="O250" s="197"/>
      <c r="P250" s="197"/>
      <c r="Q250" s="197"/>
      <c r="R250" s="197"/>
      <c r="S250" s="197"/>
    </row>
    <row r="251" customFormat="false" ht="12" hidden="false" customHeight="false" outlineLevel="0" collapsed="false">
      <c r="B251" s="197"/>
      <c r="C251" s="197"/>
      <c r="D251" s="197"/>
      <c r="E251" s="197"/>
      <c r="F251" s="197"/>
      <c r="G251" s="197"/>
      <c r="H251" s="197"/>
      <c r="I251" s="197"/>
      <c r="J251" s="197"/>
      <c r="K251" s="197"/>
      <c r="L251" s="197"/>
      <c r="M251" s="197"/>
      <c r="N251" s="197"/>
      <c r="O251" s="197"/>
      <c r="P251" s="197"/>
      <c r="Q251" s="197"/>
      <c r="R251" s="197"/>
      <c r="S251" s="197"/>
    </row>
    <row r="252" customFormat="false" ht="12" hidden="false" customHeight="false" outlineLevel="0" collapsed="false">
      <c r="B252" s="197"/>
      <c r="C252" s="197"/>
      <c r="D252" s="197"/>
      <c r="E252" s="197"/>
      <c r="F252" s="197"/>
      <c r="G252" s="197"/>
      <c r="H252" s="197"/>
      <c r="I252" s="197"/>
      <c r="J252" s="197"/>
      <c r="K252" s="197"/>
      <c r="L252" s="197"/>
      <c r="M252" s="197"/>
      <c r="N252" s="197"/>
      <c r="O252" s="197"/>
      <c r="P252" s="197"/>
      <c r="Q252" s="197"/>
      <c r="R252" s="197"/>
      <c r="S252" s="197"/>
    </row>
    <row r="253" customFormat="false" ht="12" hidden="false" customHeight="false" outlineLevel="0" collapsed="false">
      <c r="B253" s="197"/>
      <c r="C253" s="197"/>
      <c r="D253" s="197"/>
      <c r="E253" s="197"/>
      <c r="F253" s="197"/>
      <c r="G253" s="197"/>
      <c r="H253" s="197"/>
      <c r="I253" s="197"/>
      <c r="J253" s="197"/>
      <c r="K253" s="197"/>
      <c r="L253" s="197"/>
      <c r="M253" s="197"/>
      <c r="N253" s="197"/>
      <c r="O253" s="197"/>
      <c r="P253" s="197"/>
      <c r="Q253" s="197"/>
      <c r="R253" s="197"/>
      <c r="S253" s="197"/>
    </row>
    <row r="254" customFormat="false" ht="12" hidden="false" customHeight="false" outlineLevel="0" collapsed="false">
      <c r="B254" s="197"/>
      <c r="C254" s="197"/>
      <c r="D254" s="197"/>
      <c r="E254" s="197"/>
      <c r="F254" s="197"/>
      <c r="G254" s="197"/>
      <c r="H254" s="197"/>
      <c r="I254" s="197"/>
      <c r="J254" s="197"/>
      <c r="K254" s="197"/>
      <c r="L254" s="197"/>
      <c r="M254" s="197"/>
      <c r="N254" s="197"/>
      <c r="O254" s="197"/>
      <c r="P254" s="197"/>
      <c r="Q254" s="197"/>
      <c r="R254" s="197"/>
      <c r="S254" s="197"/>
    </row>
    <row r="255" customFormat="false" ht="12" hidden="false" customHeight="false" outlineLevel="0" collapsed="false">
      <c r="B255" s="197"/>
      <c r="C255" s="197"/>
      <c r="D255" s="197"/>
      <c r="E255" s="197"/>
      <c r="F255" s="197"/>
      <c r="G255" s="197"/>
      <c r="H255" s="197"/>
      <c r="I255" s="197"/>
      <c r="J255" s="197"/>
      <c r="K255" s="197"/>
      <c r="L255" s="197"/>
      <c r="M255" s="197"/>
      <c r="N255" s="197"/>
      <c r="O255" s="197"/>
      <c r="P255" s="197"/>
      <c r="Q255" s="197"/>
      <c r="R255" s="197"/>
      <c r="S255" s="197"/>
    </row>
    <row r="256" customFormat="false" ht="12" hidden="false" customHeight="false" outlineLevel="0" collapsed="false">
      <c r="B256" s="197"/>
      <c r="C256" s="197"/>
      <c r="D256" s="197"/>
      <c r="E256" s="197"/>
      <c r="F256" s="197"/>
      <c r="G256" s="197"/>
      <c r="H256" s="197"/>
      <c r="I256" s="197"/>
      <c r="J256" s="197"/>
      <c r="K256" s="197"/>
      <c r="L256" s="197"/>
      <c r="M256" s="197"/>
      <c r="N256" s="197"/>
      <c r="O256" s="197"/>
      <c r="P256" s="197"/>
      <c r="Q256" s="197"/>
      <c r="R256" s="197"/>
      <c r="S256" s="197"/>
    </row>
    <row r="257" customFormat="false" ht="12" hidden="false" customHeight="false" outlineLevel="0" collapsed="false">
      <c r="B257" s="197"/>
      <c r="C257" s="197"/>
      <c r="D257" s="197"/>
      <c r="E257" s="197"/>
      <c r="F257" s="197"/>
      <c r="G257" s="197"/>
      <c r="H257" s="197"/>
      <c r="I257" s="197"/>
      <c r="J257" s="197"/>
      <c r="K257" s="197"/>
      <c r="L257" s="197"/>
      <c r="M257" s="197"/>
      <c r="N257" s="197"/>
      <c r="O257" s="197"/>
      <c r="P257" s="197"/>
      <c r="Q257" s="197"/>
      <c r="R257" s="197"/>
      <c r="S257" s="197"/>
    </row>
    <row r="258" customFormat="false" ht="12" hidden="false" customHeight="false" outlineLevel="0" collapsed="false">
      <c r="B258" s="197"/>
      <c r="C258" s="197"/>
      <c r="D258" s="197"/>
      <c r="E258" s="197"/>
      <c r="F258" s="197"/>
      <c r="G258" s="197"/>
      <c r="H258" s="197"/>
      <c r="I258" s="197"/>
      <c r="J258" s="197"/>
      <c r="K258" s="197"/>
      <c r="L258" s="197"/>
      <c r="M258" s="197"/>
      <c r="N258" s="197"/>
      <c r="O258" s="197"/>
      <c r="P258" s="197"/>
      <c r="Q258" s="197"/>
      <c r="R258" s="197"/>
      <c r="S258" s="197"/>
    </row>
    <row r="259" customFormat="false" ht="12" hidden="false" customHeight="false" outlineLevel="0" collapsed="false">
      <c r="B259" s="197"/>
      <c r="C259" s="197"/>
      <c r="D259" s="197"/>
      <c r="E259" s="197"/>
      <c r="F259" s="197"/>
      <c r="G259" s="197"/>
      <c r="H259" s="197"/>
      <c r="I259" s="197"/>
      <c r="J259" s="197"/>
      <c r="K259" s="197"/>
      <c r="L259" s="197"/>
      <c r="M259" s="197"/>
      <c r="N259" s="197"/>
      <c r="O259" s="197"/>
      <c r="P259" s="197"/>
      <c r="Q259" s="197"/>
      <c r="R259" s="197"/>
      <c r="S259" s="197"/>
    </row>
    <row r="260" customFormat="false" ht="12" hidden="false" customHeight="false" outlineLevel="0" collapsed="false">
      <c r="B260" s="197"/>
      <c r="C260" s="197"/>
      <c r="D260" s="197"/>
      <c r="E260" s="197"/>
      <c r="F260" s="197"/>
      <c r="G260" s="197"/>
      <c r="H260" s="197"/>
      <c r="I260" s="197"/>
      <c r="J260" s="197"/>
      <c r="K260" s="197"/>
      <c r="L260" s="197"/>
      <c r="M260" s="197"/>
      <c r="N260" s="197"/>
      <c r="O260" s="197"/>
      <c r="P260" s="197"/>
      <c r="Q260" s="197"/>
      <c r="R260" s="197"/>
      <c r="S260" s="197"/>
    </row>
    <row r="261" customFormat="false" ht="12" hidden="false" customHeight="false" outlineLevel="0" collapsed="false">
      <c r="B261" s="197"/>
      <c r="C261" s="197"/>
      <c r="D261" s="197"/>
      <c r="E261" s="197"/>
      <c r="F261" s="197"/>
      <c r="G261" s="197"/>
      <c r="H261" s="197"/>
      <c r="I261" s="197"/>
      <c r="J261" s="197"/>
      <c r="K261" s="197"/>
      <c r="L261" s="197"/>
      <c r="M261" s="197"/>
      <c r="N261" s="197"/>
      <c r="O261" s="197"/>
      <c r="P261" s="197"/>
      <c r="Q261" s="197"/>
      <c r="R261" s="197"/>
      <c r="S261" s="197"/>
    </row>
    <row r="262" customFormat="false" ht="12" hidden="false" customHeight="false" outlineLevel="0" collapsed="false">
      <c r="B262" s="197"/>
      <c r="C262" s="197"/>
      <c r="D262" s="197"/>
      <c r="E262" s="197"/>
      <c r="F262" s="197"/>
      <c r="G262" s="197"/>
      <c r="H262" s="197"/>
      <c r="I262" s="197"/>
      <c r="J262" s="197"/>
      <c r="K262" s="197"/>
      <c r="L262" s="197"/>
      <c r="M262" s="197"/>
      <c r="N262" s="197"/>
      <c r="O262" s="197"/>
      <c r="P262" s="197"/>
      <c r="Q262" s="197"/>
      <c r="R262" s="197"/>
      <c r="S262" s="197"/>
    </row>
    <row r="263" customFormat="false" ht="12" hidden="false" customHeight="false" outlineLevel="0" collapsed="false">
      <c r="B263" s="197"/>
      <c r="C263" s="197"/>
      <c r="D263" s="197"/>
      <c r="E263" s="197"/>
      <c r="F263" s="197"/>
      <c r="G263" s="197"/>
      <c r="H263" s="197"/>
      <c r="I263" s="197"/>
      <c r="J263" s="197"/>
      <c r="K263" s="197"/>
      <c r="L263" s="197"/>
      <c r="M263" s="197"/>
      <c r="N263" s="197"/>
      <c r="O263" s="197"/>
      <c r="P263" s="197"/>
      <c r="Q263" s="197"/>
      <c r="R263" s="197"/>
      <c r="S263" s="197"/>
    </row>
    <row r="264" customFormat="false" ht="12" hidden="false" customHeight="false" outlineLevel="0" collapsed="false">
      <c r="B264" s="197"/>
      <c r="C264" s="197"/>
      <c r="D264" s="197"/>
      <c r="E264" s="197"/>
      <c r="F264" s="197"/>
      <c r="G264" s="197"/>
      <c r="H264" s="197"/>
      <c r="I264" s="197"/>
      <c r="J264" s="197"/>
      <c r="K264" s="197"/>
      <c r="L264" s="197"/>
      <c r="M264" s="197"/>
      <c r="N264" s="197"/>
      <c r="O264" s="197"/>
      <c r="P264" s="197"/>
      <c r="Q264" s="197"/>
      <c r="R264" s="197"/>
      <c r="S264" s="197"/>
    </row>
    <row r="265" customFormat="false" ht="12" hidden="false" customHeight="false" outlineLevel="0" collapsed="false">
      <c r="B265" s="197"/>
      <c r="C265" s="197"/>
      <c r="D265" s="197"/>
      <c r="E265" s="197"/>
      <c r="F265" s="197"/>
      <c r="G265" s="197"/>
      <c r="H265" s="197"/>
      <c r="I265" s="197"/>
      <c r="J265" s="197"/>
      <c r="K265" s="197"/>
      <c r="L265" s="197"/>
      <c r="M265" s="197"/>
      <c r="N265" s="197"/>
      <c r="O265" s="197"/>
      <c r="P265" s="197"/>
      <c r="Q265" s="197"/>
      <c r="R265" s="197"/>
      <c r="S265" s="197"/>
    </row>
    <row r="266" customFormat="false" ht="12" hidden="false" customHeight="false" outlineLevel="0" collapsed="false">
      <c r="B266" s="197"/>
      <c r="C266" s="197"/>
      <c r="D266" s="197"/>
      <c r="E266" s="197"/>
      <c r="F266" s="197"/>
      <c r="G266" s="197"/>
      <c r="H266" s="197"/>
      <c r="I266" s="197"/>
      <c r="J266" s="197"/>
      <c r="K266" s="197"/>
      <c r="L266" s="197"/>
      <c r="M266" s="197"/>
      <c r="N266" s="197"/>
      <c r="O266" s="197"/>
      <c r="P266" s="197"/>
      <c r="Q266" s="197"/>
      <c r="R266" s="197"/>
      <c r="S266" s="197"/>
    </row>
    <row r="267" customFormat="false" ht="12" hidden="false" customHeight="false" outlineLevel="0" collapsed="false">
      <c r="B267" s="197"/>
      <c r="C267" s="197"/>
      <c r="D267" s="197"/>
      <c r="E267" s="197"/>
      <c r="F267" s="197"/>
      <c r="G267" s="197"/>
      <c r="H267" s="197"/>
      <c r="I267" s="197"/>
      <c r="J267" s="197"/>
      <c r="K267" s="197"/>
      <c r="L267" s="197"/>
      <c r="M267" s="197"/>
      <c r="N267" s="197"/>
      <c r="O267" s="197"/>
      <c r="P267" s="197"/>
      <c r="Q267" s="197"/>
      <c r="R267" s="197"/>
      <c r="S267" s="197"/>
    </row>
    <row r="268" customFormat="false" ht="12" hidden="false" customHeight="false" outlineLevel="0" collapsed="false">
      <c r="B268" s="197"/>
      <c r="C268" s="197"/>
      <c r="D268" s="197"/>
      <c r="E268" s="197"/>
      <c r="F268" s="197"/>
      <c r="G268" s="197"/>
      <c r="H268" s="197"/>
      <c r="I268" s="197"/>
      <c r="J268" s="197"/>
      <c r="K268" s="197"/>
      <c r="L268" s="197"/>
      <c r="M268" s="197"/>
      <c r="N268" s="197"/>
      <c r="O268" s="197"/>
      <c r="P268" s="197"/>
      <c r="Q268" s="197"/>
      <c r="R268" s="197"/>
      <c r="S268" s="197"/>
    </row>
    <row r="269" customFormat="false" ht="12" hidden="false" customHeight="false" outlineLevel="0" collapsed="false">
      <c r="B269" s="197"/>
      <c r="C269" s="197"/>
      <c r="D269" s="197"/>
      <c r="E269" s="197"/>
      <c r="F269" s="197"/>
      <c r="G269" s="197"/>
      <c r="H269" s="197"/>
      <c r="I269" s="197"/>
      <c r="J269" s="197"/>
      <c r="K269" s="197"/>
      <c r="L269" s="197"/>
      <c r="M269" s="197"/>
      <c r="N269" s="197"/>
      <c r="O269" s="197"/>
      <c r="P269" s="197"/>
      <c r="Q269" s="197"/>
      <c r="R269" s="197"/>
      <c r="S269" s="197"/>
    </row>
    <row r="270" customFormat="false" ht="12" hidden="false" customHeight="false" outlineLevel="0" collapsed="false">
      <c r="B270" s="197"/>
      <c r="C270" s="197"/>
      <c r="D270" s="197"/>
      <c r="E270" s="197"/>
      <c r="F270" s="197"/>
      <c r="G270" s="197"/>
      <c r="H270" s="197"/>
      <c r="I270" s="197"/>
      <c r="J270" s="197"/>
      <c r="K270" s="197"/>
      <c r="L270" s="197"/>
      <c r="M270" s="197"/>
      <c r="N270" s="197"/>
      <c r="O270" s="197"/>
      <c r="P270" s="197"/>
      <c r="Q270" s="197"/>
      <c r="R270" s="197"/>
      <c r="S270" s="197"/>
    </row>
    <row r="271" customFormat="false" ht="12" hidden="false" customHeight="false" outlineLevel="0" collapsed="false">
      <c r="B271" s="197"/>
      <c r="C271" s="197"/>
      <c r="D271" s="197"/>
      <c r="E271" s="197"/>
      <c r="F271" s="197"/>
      <c r="G271" s="197"/>
      <c r="H271" s="197"/>
      <c r="I271" s="197"/>
      <c r="J271" s="197"/>
      <c r="K271" s="197"/>
      <c r="L271" s="197"/>
      <c r="M271" s="197"/>
      <c r="N271" s="197"/>
      <c r="O271" s="197"/>
      <c r="P271" s="197"/>
      <c r="Q271" s="197"/>
      <c r="R271" s="197"/>
      <c r="S271" s="197"/>
    </row>
    <row r="272" customFormat="false" ht="12" hidden="false" customHeight="false" outlineLevel="0" collapsed="false">
      <c r="B272" s="197"/>
      <c r="C272" s="197"/>
      <c r="D272" s="197"/>
      <c r="E272" s="197"/>
      <c r="F272" s="197"/>
      <c r="G272" s="197"/>
      <c r="H272" s="197"/>
      <c r="I272" s="197"/>
      <c r="J272" s="197"/>
      <c r="K272" s="197"/>
      <c r="L272" s="197"/>
      <c r="M272" s="197"/>
      <c r="N272" s="197"/>
      <c r="O272" s="197"/>
      <c r="P272" s="197"/>
      <c r="Q272" s="197"/>
      <c r="R272" s="197"/>
      <c r="S272" s="197"/>
    </row>
    <row r="273" customFormat="false" ht="12" hidden="false" customHeight="false" outlineLevel="0" collapsed="false">
      <c r="B273" s="197"/>
      <c r="C273" s="197"/>
      <c r="D273" s="197"/>
      <c r="E273" s="197"/>
      <c r="F273" s="197"/>
      <c r="G273" s="197"/>
      <c r="H273" s="197"/>
      <c r="I273" s="197"/>
      <c r="J273" s="197"/>
      <c r="K273" s="197"/>
      <c r="L273" s="197"/>
      <c r="M273" s="197"/>
      <c r="N273" s="197"/>
      <c r="O273" s="197"/>
      <c r="P273" s="197"/>
      <c r="Q273" s="197"/>
      <c r="R273" s="197"/>
      <c r="S273" s="197"/>
    </row>
    <row r="274" customFormat="false" ht="12" hidden="false" customHeight="false" outlineLevel="0" collapsed="false">
      <c r="B274" s="197"/>
      <c r="C274" s="197"/>
      <c r="D274" s="197"/>
      <c r="E274" s="197"/>
      <c r="F274" s="197"/>
      <c r="G274" s="197"/>
      <c r="H274" s="197"/>
      <c r="I274" s="197"/>
      <c r="J274" s="197"/>
      <c r="K274" s="197"/>
      <c r="L274" s="197"/>
      <c r="M274" s="197"/>
      <c r="N274" s="197"/>
      <c r="O274" s="197"/>
      <c r="P274" s="197"/>
      <c r="Q274" s="197"/>
      <c r="R274" s="197"/>
      <c r="S274" s="197"/>
    </row>
    <row r="275" customFormat="false" ht="12" hidden="false" customHeight="false" outlineLevel="0" collapsed="false">
      <c r="B275" s="197"/>
      <c r="C275" s="197"/>
      <c r="D275" s="197"/>
      <c r="E275" s="197"/>
      <c r="F275" s="197"/>
      <c r="G275" s="197"/>
      <c r="H275" s="197"/>
      <c r="I275" s="197"/>
      <c r="J275" s="197"/>
      <c r="K275" s="197"/>
      <c r="L275" s="197"/>
      <c r="M275" s="197"/>
      <c r="N275" s="197"/>
      <c r="O275" s="197"/>
      <c r="P275" s="197"/>
      <c r="Q275" s="197"/>
      <c r="R275" s="197"/>
      <c r="S275" s="197"/>
    </row>
    <row r="276" customFormat="false" ht="12" hidden="false" customHeight="false" outlineLevel="0" collapsed="false">
      <c r="B276" s="197"/>
      <c r="C276" s="197"/>
      <c r="D276" s="197"/>
      <c r="E276" s="197"/>
      <c r="F276" s="197"/>
      <c r="G276" s="197"/>
      <c r="H276" s="197"/>
      <c r="I276" s="197"/>
      <c r="J276" s="197"/>
      <c r="K276" s="197"/>
      <c r="L276" s="197"/>
      <c r="M276" s="197"/>
      <c r="N276" s="197"/>
      <c r="O276" s="197"/>
      <c r="P276" s="197"/>
      <c r="Q276" s="197"/>
      <c r="R276" s="197"/>
      <c r="S276" s="197"/>
    </row>
    <row r="277" customFormat="false" ht="12" hidden="false" customHeight="false" outlineLevel="0" collapsed="false">
      <c r="Q277" s="197"/>
      <c r="R277" s="197"/>
      <c r="S277" s="197"/>
    </row>
    <row r="278" customFormat="false" ht="12" hidden="false" customHeight="false" outlineLevel="0" collapsed="false">
      <c r="Q278" s="197"/>
      <c r="R278" s="197"/>
      <c r="S278" s="197"/>
    </row>
    <row r="279" customFormat="false" ht="12" hidden="false" customHeight="false" outlineLevel="0" collapsed="false">
      <c r="Q279" s="197"/>
      <c r="R279" s="197"/>
      <c r="S279" s="197"/>
    </row>
    <row r="280" customFormat="false" ht="12" hidden="false" customHeight="false" outlineLevel="0" collapsed="false">
      <c r="Q280" s="197"/>
      <c r="R280" s="197"/>
      <c r="S280" s="197"/>
    </row>
    <row r="281" customFormat="false" ht="12" hidden="false" customHeight="false" outlineLevel="0" collapsed="false">
      <c r="Q281" s="197"/>
      <c r="R281" s="197"/>
      <c r="S281" s="197"/>
    </row>
    <row r="282" customFormat="false" ht="12" hidden="false" customHeight="false" outlineLevel="0" collapsed="false">
      <c r="Q282" s="197"/>
      <c r="R282" s="197"/>
      <c r="S282" s="197"/>
    </row>
    <row r="283" customFormat="false" ht="12" hidden="false" customHeight="false" outlineLevel="0" collapsed="false">
      <c r="Q283" s="197"/>
      <c r="R283" s="197"/>
      <c r="S283" s="197"/>
    </row>
    <row r="284" customFormat="false" ht="12" hidden="false" customHeight="false" outlineLevel="0" collapsed="false">
      <c r="Q284" s="197"/>
      <c r="R284" s="197"/>
      <c r="S284" s="197"/>
    </row>
    <row r="285" customFormat="false" ht="12" hidden="false" customHeight="false" outlineLevel="0" collapsed="false">
      <c r="Q285" s="197"/>
      <c r="R285" s="197"/>
      <c r="S285" s="197"/>
    </row>
    <row r="286" customFormat="false" ht="12" hidden="false" customHeight="false" outlineLevel="0" collapsed="false">
      <c r="Q286" s="197"/>
      <c r="R286" s="197"/>
      <c r="S286" s="197"/>
    </row>
    <row r="287" customFormat="false" ht="12" hidden="false" customHeight="false" outlineLevel="0" collapsed="false">
      <c r="Q287" s="197"/>
      <c r="R287" s="197"/>
      <c r="S287" s="197"/>
    </row>
    <row r="288" customFormat="false" ht="12" hidden="false" customHeight="false" outlineLevel="0" collapsed="false">
      <c r="Q288" s="197"/>
      <c r="R288" s="197"/>
      <c r="S288" s="197"/>
    </row>
  </sheetData>
  <mergeCells count="12">
    <mergeCell ref="A3:P3"/>
    <mergeCell ref="A6:A7"/>
    <mergeCell ref="E6:E7"/>
    <mergeCell ref="F6:F7"/>
    <mergeCell ref="G6:G7"/>
    <mergeCell ref="H6:H7"/>
    <mergeCell ref="I6:I7"/>
    <mergeCell ref="J6:J7"/>
    <mergeCell ref="K6:K7"/>
    <mergeCell ref="L6:L7"/>
    <mergeCell ref="O6:O7"/>
    <mergeCell ref="P6:P7"/>
  </mergeCells>
  <hyperlinks>
    <hyperlink ref="B1" location="Index!A1" display="Back to index"/>
  </hyperlinks>
  <printOptions headings="false" gridLines="false" gridLinesSet="true" horizontalCentered="true" verticalCentered="true"/>
  <pageMargins left="0.75" right="0" top="0.984027777777778" bottom="0.984027777777778" header="0.511811023622047" footer="0.511811023622047"/>
  <pageSetup paperSize="9" scale="100" fitToWidth="1" fitToHeight="2" pageOrder="downThenOver" orientation="landscape"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C0C0"/>
    <pageSetUpPr fitToPage="true"/>
  </sheetPr>
  <dimension ref="A1:W2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3" activeCellId="0" sqref="A3"/>
    </sheetView>
  </sheetViews>
  <sheetFormatPr defaultColWidth="11.0546875" defaultRowHeight="12" zeroHeight="false" outlineLevelRow="0" outlineLevelCol="0"/>
  <cols>
    <col collapsed="false" customWidth="true" hidden="false" outlineLevel="0" max="7" min="1" style="0" width="9.66"/>
    <col collapsed="false" customWidth="true" hidden="false" outlineLevel="0" max="8" min="8" style="983" width="9.66"/>
    <col collapsed="false" customWidth="true" hidden="false" outlineLevel="0" max="19" min="9" style="0" width="9.66"/>
  </cols>
  <sheetData>
    <row r="1" customFormat="false" ht="12" hidden="false" customHeight="false" outlineLevel="0" collapsed="false">
      <c r="B1" s="21" t="s">
        <v>9</v>
      </c>
      <c r="C1" s="198"/>
      <c r="D1" s="198"/>
      <c r="E1" s="198"/>
      <c r="F1" s="198"/>
      <c r="G1" s="198"/>
      <c r="I1" s="198"/>
      <c r="J1" s="198"/>
      <c r="K1" s="198"/>
      <c r="L1" s="198"/>
      <c r="M1" s="198"/>
      <c r="N1" s="198"/>
      <c r="O1" s="198"/>
      <c r="P1" s="198"/>
      <c r="Q1" s="198"/>
    </row>
    <row r="2" customFormat="false" ht="13" hidden="false" customHeight="false" outlineLevel="0" collapsed="false"/>
    <row r="3" customFormat="false" ht="19.75" hidden="false" customHeight="true" outlineLevel="0" collapsed="false">
      <c r="A3" s="27" t="s">
        <v>473</v>
      </c>
      <c r="B3" s="27"/>
      <c r="C3" s="27"/>
      <c r="D3" s="27"/>
      <c r="E3" s="27"/>
      <c r="F3" s="27"/>
      <c r="G3" s="27"/>
      <c r="H3" s="27"/>
      <c r="I3" s="27"/>
      <c r="J3" s="27"/>
      <c r="K3" s="27"/>
      <c r="L3" s="27"/>
      <c r="M3" s="27"/>
      <c r="N3" s="27"/>
      <c r="O3" s="27"/>
      <c r="P3" s="27"/>
      <c r="Q3" s="27"/>
      <c r="R3" s="27"/>
    </row>
    <row r="4" customFormat="false" ht="12" hidden="false" customHeight="false" outlineLevel="0" collapsed="false">
      <c r="A4" s="28"/>
      <c r="B4" s="29"/>
      <c r="C4" s="29"/>
      <c r="D4" s="29"/>
      <c r="E4" s="29"/>
      <c r="F4" s="29"/>
      <c r="G4" s="29"/>
      <c r="H4" s="985"/>
      <c r="I4" s="29"/>
      <c r="J4" s="29"/>
      <c r="K4" s="29"/>
      <c r="L4" s="29"/>
      <c r="M4" s="29"/>
      <c r="N4" s="29"/>
      <c r="O4" s="29"/>
      <c r="P4" s="29"/>
      <c r="Q4" s="29"/>
      <c r="R4" s="199"/>
    </row>
    <row r="5" customFormat="false" ht="12" hidden="false" customHeight="false" outlineLevel="0" collapsed="false">
      <c r="A5" s="28"/>
      <c r="B5" s="553" t="s">
        <v>11</v>
      </c>
      <c r="C5" s="553" t="s">
        <v>12</v>
      </c>
      <c r="D5" s="553" t="s">
        <v>13</v>
      </c>
      <c r="E5" s="553" t="s">
        <v>14</v>
      </c>
      <c r="F5" s="553" t="s">
        <v>15</v>
      </c>
      <c r="G5" s="553" t="s">
        <v>16</v>
      </c>
      <c r="H5" s="553" t="s">
        <v>17</v>
      </c>
      <c r="I5" s="553" t="s">
        <v>18</v>
      </c>
      <c r="J5" s="553" t="s">
        <v>19</v>
      </c>
      <c r="K5" s="553" t="s">
        <v>20</v>
      </c>
      <c r="L5" s="553" t="s">
        <v>21</v>
      </c>
      <c r="M5" s="32" t="s">
        <v>22</v>
      </c>
      <c r="N5" s="32" t="s">
        <v>23</v>
      </c>
      <c r="O5" s="32" t="s">
        <v>24</v>
      </c>
      <c r="P5" s="32" t="s">
        <v>25</v>
      </c>
      <c r="Q5" s="32" t="s">
        <v>26</v>
      </c>
      <c r="R5" s="555" t="s">
        <v>27</v>
      </c>
    </row>
    <row r="6" customFormat="false" ht="12" hidden="false" customHeight="false" outlineLevel="0" collapsed="false">
      <c r="A6" s="28"/>
      <c r="B6" s="1511" t="s">
        <v>474</v>
      </c>
      <c r="C6" s="1511"/>
      <c r="D6" s="1511"/>
      <c r="E6" s="1511"/>
      <c r="F6" s="1511"/>
      <c r="G6" s="1511"/>
      <c r="H6" s="1511"/>
      <c r="I6" s="1511"/>
      <c r="J6" s="1511"/>
      <c r="K6" s="1511"/>
      <c r="L6" s="1512" t="s">
        <v>475</v>
      </c>
      <c r="M6" s="1512"/>
      <c r="N6" s="1512"/>
      <c r="O6" s="1512"/>
      <c r="P6" s="1512"/>
      <c r="Q6" s="1512"/>
      <c r="R6" s="1512"/>
    </row>
    <row r="7" customFormat="false" ht="49.75" hidden="false" customHeight="true" outlineLevel="0" collapsed="false">
      <c r="A7" s="1513"/>
      <c r="B7" s="1354" t="s">
        <v>476</v>
      </c>
      <c r="C7" s="1514" t="s">
        <v>477</v>
      </c>
      <c r="D7" s="1515" t="s">
        <v>478</v>
      </c>
      <c r="E7" s="1514" t="s">
        <v>479</v>
      </c>
      <c r="F7" s="1516" t="s">
        <v>480</v>
      </c>
      <c r="G7" s="1517" t="s">
        <v>481</v>
      </c>
      <c r="H7" s="499" t="s">
        <v>482</v>
      </c>
      <c r="I7" s="1518" t="s">
        <v>483</v>
      </c>
      <c r="J7" s="1519" t="s">
        <v>484</v>
      </c>
      <c r="K7" s="1354" t="s">
        <v>476</v>
      </c>
      <c r="L7" s="1520" t="s">
        <v>477</v>
      </c>
      <c r="M7" s="1515" t="s">
        <v>478</v>
      </c>
      <c r="N7" s="1520" t="s">
        <v>479</v>
      </c>
      <c r="O7" s="1521" t="s">
        <v>480</v>
      </c>
      <c r="P7" s="202" t="s">
        <v>481</v>
      </c>
      <c r="Q7" s="1348" t="s">
        <v>482</v>
      </c>
      <c r="R7" s="1522" t="s">
        <v>485</v>
      </c>
      <c r="U7" s="1523"/>
      <c r="V7" s="1523"/>
    </row>
    <row r="8" customFormat="false" ht="49.75" hidden="false" customHeight="true" outlineLevel="0" collapsed="false">
      <c r="A8" s="1513"/>
      <c r="B8" s="1514"/>
      <c r="C8" s="802" t="s">
        <v>486</v>
      </c>
      <c r="D8" s="802" t="s">
        <v>487</v>
      </c>
      <c r="E8" s="802" t="s">
        <v>488</v>
      </c>
      <c r="F8" s="53" t="s">
        <v>489</v>
      </c>
      <c r="G8" s="499" t="s">
        <v>490</v>
      </c>
      <c r="H8" s="499" t="s">
        <v>470</v>
      </c>
      <c r="I8" s="52" t="s">
        <v>491</v>
      </c>
      <c r="J8" s="1519"/>
      <c r="K8" s="802"/>
      <c r="L8" s="802" t="s">
        <v>486</v>
      </c>
      <c r="M8" s="802" t="s">
        <v>487</v>
      </c>
      <c r="N8" s="802" t="s">
        <v>488</v>
      </c>
      <c r="O8" s="53" t="s">
        <v>489</v>
      </c>
      <c r="P8" s="499" t="s">
        <v>490</v>
      </c>
      <c r="Q8" s="496" t="s">
        <v>470</v>
      </c>
      <c r="R8" s="1524" t="s">
        <v>491</v>
      </c>
    </row>
    <row r="9" customFormat="false" ht="12" hidden="false" customHeight="false" outlineLevel="0" collapsed="false">
      <c r="A9" s="416" t="n">
        <v>1950</v>
      </c>
      <c r="B9" s="1525" t="n">
        <f aca="false">DataDE1!W11/TableDE8!$B8</f>
        <v>0.798379431178782</v>
      </c>
      <c r="C9" s="1526"/>
      <c r="D9" s="1526"/>
      <c r="E9" s="1526"/>
      <c r="F9" s="1527"/>
      <c r="G9" s="1528" t="n">
        <f aca="false">DataDE1!BM11/TableDE8!$B8</f>
        <v>0.0619403488550264</v>
      </c>
      <c r="H9" s="1529" t="n">
        <f aca="false">DataDE1!E11/TableDE8!$B8</f>
        <v>0.0152054732270404</v>
      </c>
      <c r="I9" s="1530" t="n">
        <f aca="false">DataDE1!J11/TableDE8!$B8</f>
        <v>0.124474746739151</v>
      </c>
      <c r="J9" s="1531" t="n">
        <f aca="false">DataDE1!I11/TableDE8!B8</f>
        <v>0.124474746739151</v>
      </c>
      <c r="K9" s="1532" t="n">
        <f aca="false">B9/(1-$I9)</f>
        <v>0.911886239951685</v>
      </c>
      <c r="L9" s="1533"/>
      <c r="M9" s="1533"/>
      <c r="N9" s="1533"/>
      <c r="O9" s="1527"/>
      <c r="P9" s="1528" t="n">
        <f aca="false">G9/(1-$I9)</f>
        <v>0.0707465017420489</v>
      </c>
      <c r="Q9" s="1534" t="n">
        <f aca="false">H9/(1-$I9)</f>
        <v>0.0173672583062663</v>
      </c>
      <c r="R9" s="1535" t="n">
        <f aca="false">I9/(1-$I9)</f>
        <v>0.142171509360297</v>
      </c>
      <c r="T9" s="502"/>
      <c r="W9" s="502"/>
    </row>
    <row r="10" customFormat="false" ht="12" hidden="false" customHeight="false" outlineLevel="0" collapsed="false">
      <c r="A10" s="416" t="n">
        <f aca="false">A9+1</f>
        <v>1951</v>
      </c>
      <c r="B10" s="1536" t="n">
        <f aca="false">DataDE1!W12/TableDE8!$B9</f>
        <v>0.795669571454558</v>
      </c>
      <c r="C10" s="935"/>
      <c r="D10" s="935"/>
      <c r="E10" s="935"/>
      <c r="F10" s="1157"/>
      <c r="G10" s="519" t="n">
        <f aca="false">DataDE1!BM12/TableDE8!$B9</f>
        <v>0.0594557423005014</v>
      </c>
      <c r="H10" s="518" t="n">
        <f aca="false">DataDE1!E12/TableDE8!$B9</f>
        <v>0.0124447913572438</v>
      </c>
      <c r="I10" s="1155" t="n">
        <f aca="false">DataDE1!J12/TableDE8!$B9</f>
        <v>0.132429894887697</v>
      </c>
      <c r="J10" s="1537" t="n">
        <f aca="false">DataDE1!I12/TableDE8!B9</f>
        <v>0.132429894887697</v>
      </c>
      <c r="K10" s="1054" t="n">
        <f aca="false">B10/(1-$I10)</f>
        <v>0.91712423787535</v>
      </c>
      <c r="L10" s="1050"/>
      <c r="M10" s="1050"/>
      <c r="N10" s="1050"/>
      <c r="O10" s="1157"/>
      <c r="P10" s="519" t="n">
        <f aca="false">G10/(1-$I10)</f>
        <v>0.0685313405223951</v>
      </c>
      <c r="Q10" s="539" t="n">
        <f aca="false">H10/(1-$I10)</f>
        <v>0.0143444216022553</v>
      </c>
      <c r="R10" s="1092" t="n">
        <f aca="false">I10/(1-$I10)</f>
        <v>0.15264460371252</v>
      </c>
      <c r="T10" s="502"/>
      <c r="W10" s="502"/>
    </row>
    <row r="11" customFormat="false" ht="12" hidden="false" customHeight="false" outlineLevel="0" collapsed="false">
      <c r="A11" s="416" t="n">
        <f aca="false">A10+1</f>
        <v>1952</v>
      </c>
      <c r="B11" s="1536" t="n">
        <f aca="false">DataDE1!W13/TableDE8!$B10</f>
        <v>0.789652022174945</v>
      </c>
      <c r="C11" s="935"/>
      <c r="D11" s="935"/>
      <c r="E11" s="935"/>
      <c r="F11" s="1157"/>
      <c r="G11" s="519" t="n">
        <f aca="false">DataDE1!BM13/TableDE8!$B10</f>
        <v>0.0613224066018091</v>
      </c>
      <c r="H11" s="518" t="n">
        <f aca="false">DataDE1!E13/TableDE8!$B10</f>
        <v>0.0115664276983102</v>
      </c>
      <c r="I11" s="1155" t="n">
        <f aca="false">DataDE1!J13/TableDE8!$B10</f>
        <v>0.137459143524936</v>
      </c>
      <c r="J11" s="1537" t="n">
        <f aca="false">DataDE1!I13/TableDE8!B10</f>
        <v>0.137459143524936</v>
      </c>
      <c r="K11" s="1054" t="n">
        <f aca="false">B11/(1-$I11)</f>
        <v>0.915495209585789</v>
      </c>
      <c r="L11" s="1050"/>
      <c r="M11" s="1050"/>
      <c r="N11" s="1050"/>
      <c r="O11" s="1157"/>
      <c r="P11" s="519" t="n">
        <f aca="false">G11/(1-$I11)</f>
        <v>0.0710950746755518</v>
      </c>
      <c r="Q11" s="539" t="n">
        <f aca="false">H11/(1-$I11)</f>
        <v>0.0134097157386591</v>
      </c>
      <c r="R11" s="1092" t="n">
        <f aca="false">I11/(1-$I11)</f>
        <v>0.159365370918995</v>
      </c>
      <c r="T11" s="502"/>
      <c r="W11" s="502"/>
    </row>
    <row r="12" customFormat="false" ht="12" hidden="false" customHeight="false" outlineLevel="0" collapsed="false">
      <c r="A12" s="416" t="n">
        <f aca="false">A11+1</f>
        <v>1953</v>
      </c>
      <c r="B12" s="1536" t="n">
        <f aca="false">DataDE1!W14/TableDE8!$B11</f>
        <v>0.784437459118403</v>
      </c>
      <c r="C12" s="935"/>
      <c r="D12" s="935"/>
      <c r="E12" s="935"/>
      <c r="F12" s="1157"/>
      <c r="G12" s="519" t="n">
        <f aca="false">DataDE1!BM14/TableDE8!$B11</f>
        <v>0.0641358828533999</v>
      </c>
      <c r="H12" s="518" t="n">
        <f aca="false">DataDE1!E14/TableDE8!$B11</f>
        <v>0.00985450254813389</v>
      </c>
      <c r="I12" s="1155" t="n">
        <f aca="false">DataDE1!J14/TableDE8!$B11</f>
        <v>0.141572155480063</v>
      </c>
      <c r="J12" s="1537" t="n">
        <f aca="false">DataDE1!I14/TableDE8!B11</f>
        <v>0.141572155480063</v>
      </c>
      <c r="K12" s="1054" t="n">
        <f aca="false">B12/(1-$I12)</f>
        <v>0.913807099951526</v>
      </c>
      <c r="L12" s="1050"/>
      <c r="M12" s="1050"/>
      <c r="N12" s="1050"/>
      <c r="O12" s="1157"/>
      <c r="P12" s="519" t="n">
        <f aca="false">G12/(1-$I12)</f>
        <v>0.0747131902382161</v>
      </c>
      <c r="Q12" s="539" t="n">
        <f aca="false">H12/(1-$I12)</f>
        <v>0.0114797098102577</v>
      </c>
      <c r="R12" s="1092" t="n">
        <f aca="false">I12/(1-$I12)</f>
        <v>0.164920274177773</v>
      </c>
      <c r="T12" s="502"/>
      <c r="W12" s="502"/>
    </row>
    <row r="13" customFormat="false" ht="12" hidden="false" customHeight="false" outlineLevel="0" collapsed="false">
      <c r="A13" s="416" t="n">
        <f aca="false">A12+1</f>
        <v>1954</v>
      </c>
      <c r="B13" s="1536" t="n">
        <f aca="false">DataDE1!W15/TableDE8!$B12</f>
        <v>0.78634843355025</v>
      </c>
      <c r="C13" s="935"/>
      <c r="D13" s="935"/>
      <c r="E13" s="935"/>
      <c r="F13" s="1157"/>
      <c r="G13" s="519" t="n">
        <f aca="false">DataDE1!BM15/TableDE8!$B12</f>
        <v>0.0652285774565717</v>
      </c>
      <c r="H13" s="518" t="n">
        <f aca="false">DataDE1!E15/TableDE8!$B12</f>
        <v>0.0063266377327785</v>
      </c>
      <c r="I13" s="1155" t="n">
        <f aca="false">DataDE1!J15/TableDE8!$B12</f>
        <v>0.1420963512604</v>
      </c>
      <c r="J13" s="1537" t="n">
        <f aca="false">DataDE1!I15/TableDE8!B12</f>
        <v>0.1420963512604</v>
      </c>
      <c r="K13" s="1054" t="n">
        <f aca="false">B13/(1-$I13)</f>
        <v>0.916592946895055</v>
      </c>
      <c r="L13" s="1050"/>
      <c r="M13" s="1050"/>
      <c r="N13" s="1050"/>
      <c r="O13" s="1157"/>
      <c r="P13" s="519" t="n">
        <f aca="false">G13/(1-$I13)</f>
        <v>0.0760325213121579</v>
      </c>
      <c r="Q13" s="539" t="n">
        <f aca="false">H13/(1-$I13)</f>
        <v>0.00737453179278741</v>
      </c>
      <c r="R13" s="1092" t="n">
        <f aca="false">I13/(1-$I13)</f>
        <v>0.165632063075105</v>
      </c>
      <c r="T13" s="502"/>
      <c r="W13" s="502"/>
    </row>
    <row r="14" customFormat="false" ht="12" hidden="false" customHeight="false" outlineLevel="0" collapsed="false">
      <c r="A14" s="416" t="n">
        <f aca="false">A13+1</f>
        <v>1955</v>
      </c>
      <c r="B14" s="1536" t="n">
        <f aca="false">DataDE1!W16/TableDE8!$B13</f>
        <v>0.791751227430898</v>
      </c>
      <c r="C14" s="935"/>
      <c r="D14" s="935"/>
      <c r="E14" s="935"/>
      <c r="F14" s="1157"/>
      <c r="G14" s="519" t="n">
        <f aca="false">DataDE1!BM16/TableDE8!$B13</f>
        <v>0.0627765001736776</v>
      </c>
      <c r="H14" s="518" t="n">
        <f aca="false">DataDE1!E16/TableDE8!$B13</f>
        <v>0.00533671897511044</v>
      </c>
      <c r="I14" s="1155" t="n">
        <f aca="false">DataDE1!J16/TableDE8!$B13</f>
        <v>0.140135553420314</v>
      </c>
      <c r="J14" s="1537" t="n">
        <f aca="false">DataDE1!I16/TableDE8!B13</f>
        <v>0.140135553420314</v>
      </c>
      <c r="K14" s="1054" t="n">
        <f aca="false">B14/(1-$I14)</f>
        <v>0.920786096669394</v>
      </c>
      <c r="L14" s="1050"/>
      <c r="M14" s="1050"/>
      <c r="N14" s="1050"/>
      <c r="O14" s="1157"/>
      <c r="P14" s="519" t="n">
        <f aca="false">G14/(1-$I14)</f>
        <v>0.0730074378855713</v>
      </c>
      <c r="Q14" s="539" t="n">
        <f aca="false">H14/(1-$I14)</f>
        <v>0.00620646544503439</v>
      </c>
      <c r="R14" s="1092" t="n">
        <f aca="false">I14/(1-$I14)</f>
        <v>0.162974005935163</v>
      </c>
      <c r="T14" s="502"/>
      <c r="W14" s="502"/>
    </row>
    <row r="15" customFormat="false" ht="12" hidden="false" customHeight="false" outlineLevel="0" collapsed="false">
      <c r="A15" s="416" t="n">
        <f aca="false">A14+1</f>
        <v>1956</v>
      </c>
      <c r="B15" s="1536" t="n">
        <f aca="false">DataDE1!W17/TableDE8!$B14</f>
        <v>0.794125150912129</v>
      </c>
      <c r="C15" s="935"/>
      <c r="D15" s="935"/>
      <c r="E15" s="935"/>
      <c r="F15" s="1157"/>
      <c r="G15" s="519" t="n">
        <f aca="false">DataDE1!BO17/TableDE8!$B14</f>
        <v>0.0654971922662982</v>
      </c>
      <c r="H15" s="518" t="n">
        <f aca="false">DataDE1!E17/TableDE8!$B14</f>
        <v>0.00482882870130185</v>
      </c>
      <c r="I15" s="1155" t="n">
        <f aca="false">DataDE1!J17/TableDE8!$B14</f>
        <v>0.135548828120271</v>
      </c>
      <c r="J15" s="1537" t="n">
        <f aca="false">DataDE1!I17/TableDE8!B14</f>
        <v>0.135548828120271</v>
      </c>
      <c r="K15" s="1054" t="n">
        <f aca="false">B15/(1-$I15)</f>
        <v>0.918646624291482</v>
      </c>
      <c r="L15" s="1050"/>
      <c r="M15" s="1050"/>
      <c r="N15" s="1050"/>
      <c r="O15" s="1157"/>
      <c r="P15" s="519" t="n">
        <f aca="false">G15/(1-$I15)</f>
        <v>0.0757673705547488</v>
      </c>
      <c r="Q15" s="539" t="n">
        <f aca="false">H15/(1-$I15)</f>
        <v>0.00558600515376904</v>
      </c>
      <c r="R15" s="1092" t="n">
        <f aca="false">I15/(1-$I15)</f>
        <v>0.156803336648296</v>
      </c>
      <c r="T15" s="502"/>
      <c r="W15" s="502"/>
    </row>
    <row r="16" customFormat="false" ht="12" hidden="false" customHeight="false" outlineLevel="0" collapsed="false">
      <c r="A16" s="416" t="n">
        <f aca="false">A15+1</f>
        <v>1957</v>
      </c>
      <c r="B16" s="1536" t="n">
        <f aca="false">DataDE1!W18/TableDE8!$B15</f>
        <v>0.797767711224134</v>
      </c>
      <c r="C16" s="935"/>
      <c r="D16" s="935"/>
      <c r="E16" s="935"/>
      <c r="F16" s="1157"/>
      <c r="G16" s="519" t="n">
        <f aca="false">DataDE1!BM18/TableDE8!$B15</f>
        <v>0.0684283512775545</v>
      </c>
      <c r="H16" s="518" t="n">
        <f aca="false">DataDE1!E18/TableDE8!$B15</f>
        <v>0.00452607999236802</v>
      </c>
      <c r="I16" s="1155" t="n">
        <f aca="false">DataDE1!J18/TableDE8!$B15</f>
        <v>0.129277857505944</v>
      </c>
      <c r="J16" s="1537" t="n">
        <f aca="false">DataDE1!I18/TableDE8!B15</f>
        <v>0.129277857505944</v>
      </c>
      <c r="K16" s="1054" t="n">
        <f aca="false">B16/(1-$I16)</f>
        <v>0.916213878446969</v>
      </c>
      <c r="L16" s="1050"/>
      <c r="M16" s="1050"/>
      <c r="N16" s="1050"/>
      <c r="O16" s="1157"/>
      <c r="P16" s="519" t="n">
        <f aca="false">G16/(1-$I16)</f>
        <v>0.0785880454142943</v>
      </c>
      <c r="Q16" s="539" t="n">
        <f aca="false">H16/(1-$I16)</f>
        <v>0.00519807613873666</v>
      </c>
      <c r="R16" s="1092" t="n">
        <f aca="false">I16/(1-$I16)</f>
        <v>0.148471999501065</v>
      </c>
      <c r="T16" s="502"/>
      <c r="W16" s="502"/>
    </row>
    <row r="17" customFormat="false" ht="12" hidden="false" customHeight="false" outlineLevel="0" collapsed="false">
      <c r="A17" s="416" t="n">
        <f aca="false">A16+1</f>
        <v>1958</v>
      </c>
      <c r="B17" s="1536" t="n">
        <f aca="false">DataDE1!W19/TableDE8!$B16</f>
        <v>0.79506727668947</v>
      </c>
      <c r="C17" s="935"/>
      <c r="D17" s="935"/>
      <c r="E17" s="935"/>
      <c r="F17" s="1157"/>
      <c r="G17" s="519" t="n">
        <f aca="false">DataDE1!BM19/TableDE8!$B16</f>
        <v>0.0733790877111769</v>
      </c>
      <c r="H17" s="518" t="n">
        <f aca="false">DataDE1!E19/TableDE8!$B16</f>
        <v>0.00297591953460357</v>
      </c>
      <c r="I17" s="1155" t="n">
        <f aca="false">DataDE1!J19/TableDE8!$B16</f>
        <v>0.12857771606475</v>
      </c>
      <c r="J17" s="1537" t="n">
        <f aca="false">DataDE1!I19/TableDE8!B16</f>
        <v>0.12857771606475</v>
      </c>
      <c r="K17" s="1054" t="n">
        <f aca="false">B17/(1-$I17)</f>
        <v>0.912378867681729</v>
      </c>
      <c r="L17" s="1050"/>
      <c r="M17" s="1050"/>
      <c r="N17" s="1050"/>
      <c r="O17" s="1157"/>
      <c r="P17" s="519" t="n">
        <f aca="false">G17/(1-$I17)</f>
        <v>0.0842061180485364</v>
      </c>
      <c r="Q17" s="539" t="n">
        <f aca="false">H17/(1-$I17)</f>
        <v>0.00341501426973457</v>
      </c>
      <c r="R17" s="1092" t="n">
        <f aca="false">I17/(1-$I17)</f>
        <v>0.14754926335382</v>
      </c>
      <c r="T17" s="502"/>
      <c r="W17" s="502"/>
    </row>
    <row r="18" customFormat="false" ht="12" hidden="false" customHeight="false" outlineLevel="0" collapsed="false">
      <c r="A18" s="416" t="n">
        <f aca="false">A17+1</f>
        <v>1959</v>
      </c>
      <c r="B18" s="1536" t="n">
        <f aca="false">DataDE1!W20/TableDE8!$B17</f>
        <v>0.796318802354719</v>
      </c>
      <c r="C18" s="935"/>
      <c r="D18" s="935"/>
      <c r="E18" s="935"/>
      <c r="F18" s="1157"/>
      <c r="G18" s="519" t="n">
        <f aca="false">DataDE1!BM20/TableDE8!$B17</f>
        <v>0.0705458413218386</v>
      </c>
      <c r="H18" s="518" t="n">
        <f aca="false">DataDE1!E20/TableDE8!$B17</f>
        <v>0.000996874078762978</v>
      </c>
      <c r="I18" s="1155" t="n">
        <f aca="false">DataDE1!J20/TableDE8!$B17</f>
        <v>0.132138482244679</v>
      </c>
      <c r="J18" s="1537" t="n">
        <f aca="false">DataDE1!I20/TableDE8!B17</f>
        <v>0.132138482244679</v>
      </c>
      <c r="K18" s="1054" t="n">
        <f aca="false">B18/(1-$I18)</f>
        <v>0.917564364893557</v>
      </c>
      <c r="L18" s="1050"/>
      <c r="M18" s="1050"/>
      <c r="N18" s="1050"/>
      <c r="O18" s="1157"/>
      <c r="P18" s="519" t="n">
        <f aca="false">G18/(1-$I18)</f>
        <v>0.0812869794069241</v>
      </c>
      <c r="Q18" s="539" t="n">
        <f aca="false">H18/(1-$I18)</f>
        <v>0.00114865569951914</v>
      </c>
      <c r="R18" s="1092" t="n">
        <f aca="false">I18/(1-$I18)</f>
        <v>0.15225756591495</v>
      </c>
      <c r="T18" s="502"/>
      <c r="W18" s="502"/>
    </row>
    <row r="19" customFormat="false" ht="12" hidden="false" customHeight="false" outlineLevel="0" collapsed="false">
      <c r="A19" s="864" t="n">
        <f aca="false">A18+1</f>
        <v>1960</v>
      </c>
      <c r="B19" s="1538" t="n">
        <f aca="false">DataDE1!W21/TableDE8!$B18</f>
        <v>0.79893071828745</v>
      </c>
      <c r="C19" s="1048"/>
      <c r="D19" s="1048"/>
      <c r="E19" s="1048"/>
      <c r="F19" s="1153"/>
      <c r="G19" s="526" t="n">
        <f aca="false">DataDE1!BM21/TableDE8!$B18</f>
        <v>0.0708609117368398</v>
      </c>
      <c r="H19" s="525" t="n">
        <f aca="false">DataDE1!E21/TableDE8!$B18</f>
        <v>0.00173820092006972</v>
      </c>
      <c r="I19" s="1151" t="n">
        <f aca="false">DataDE1!J21/TableDE8!$B18</f>
        <v>0.12847016905564</v>
      </c>
      <c r="J19" s="1539" t="n">
        <f aca="false">DataDE1!I21/TableDE8!B18</f>
        <v>0.12847016905564</v>
      </c>
      <c r="K19" s="1327" t="n">
        <f aca="false">B19/(1-$I19)</f>
        <v>0.916699222356803</v>
      </c>
      <c r="L19" s="1047"/>
      <c r="M19" s="1047"/>
      <c r="N19" s="1047"/>
      <c r="O19" s="1153"/>
      <c r="P19" s="526" t="n">
        <f aca="false">G19/(1-$I19)</f>
        <v>0.0813063526007565</v>
      </c>
      <c r="Q19" s="543" t="n">
        <f aca="false">H19/(1-$I19)</f>
        <v>0.00199442504244091</v>
      </c>
      <c r="R19" s="1540" t="n">
        <f aca="false">I19/(1-$I19)</f>
        <v>0.147407655474552</v>
      </c>
      <c r="T19" s="502"/>
      <c r="W19" s="502"/>
    </row>
    <row r="20" customFormat="false" ht="12" hidden="false" customHeight="false" outlineLevel="0" collapsed="false">
      <c r="A20" s="416" t="n">
        <f aca="false">A19+1</f>
        <v>1961</v>
      </c>
      <c r="B20" s="1536" t="n">
        <f aca="false">DataDE1!W22/TableDE8!$B19</f>
        <v>0.794612668945533</v>
      </c>
      <c r="C20" s="935"/>
      <c r="D20" s="935"/>
      <c r="E20" s="935"/>
      <c r="F20" s="1157"/>
      <c r="G20" s="519" t="n">
        <f aca="false">DataDE1!BM22/TableDE8!$B19</f>
        <v>0.0746180435042476</v>
      </c>
      <c r="H20" s="518" t="n">
        <f aca="false">DataDE1!E22/TableDE8!$B19</f>
        <v>-2.87034010076736E-005</v>
      </c>
      <c r="I20" s="1155" t="n">
        <f aca="false">DataDE1!J22/TableDE8!$B19</f>
        <v>0.130797990951227</v>
      </c>
      <c r="J20" s="1537" t="n">
        <f aca="false">DataDE1!I22/TableDE8!B19</f>
        <v>0.130797990951227</v>
      </c>
      <c r="K20" s="1054" t="n">
        <f aca="false">B20/(1-$I20)</f>
        <v>0.914186415439987</v>
      </c>
      <c r="L20" s="1050"/>
      <c r="M20" s="1050"/>
      <c r="N20" s="1050"/>
      <c r="O20" s="1157"/>
      <c r="P20" s="519" t="n">
        <f aca="false">G20/(1-$I20)</f>
        <v>0.0858466072644116</v>
      </c>
      <c r="Q20" s="539" t="n">
        <f aca="false">H20/(1-$I20)</f>
        <v>-3.30227043988148E-005</v>
      </c>
      <c r="R20" s="1092" t="n">
        <f aca="false">I20/(1-$I20)</f>
        <v>0.150480543751121</v>
      </c>
      <c r="T20" s="502"/>
      <c r="W20" s="502"/>
    </row>
    <row r="21" customFormat="false" ht="12" hidden="false" customHeight="false" outlineLevel="0" collapsed="false">
      <c r="A21" s="416" t="n">
        <f aca="false">A20+1</f>
        <v>1962</v>
      </c>
      <c r="B21" s="1536" t="n">
        <f aca="false">DataDE1!W23/TableDE8!$B20</f>
        <v>0.79363757313592</v>
      </c>
      <c r="C21" s="935"/>
      <c r="D21" s="935"/>
      <c r="E21" s="935"/>
      <c r="F21" s="1157"/>
      <c r="G21" s="519" t="n">
        <f aca="false">DataDE1!BM23/TableDE8!$B20</f>
        <v>0.0752854834721484</v>
      </c>
      <c r="H21" s="518" t="n">
        <f aca="false">DataDE1!E23/TableDE8!$B20</f>
        <v>0.00011626679362873</v>
      </c>
      <c r="I21" s="1155" t="n">
        <f aca="false">DataDE1!J23/TableDE8!$B20</f>
        <v>0.130960676598303</v>
      </c>
      <c r="J21" s="1537" t="n">
        <f aca="false">DataDE1!I23/TableDE8!B20</f>
        <v>0.130960676598303</v>
      </c>
      <c r="K21" s="1054" t="n">
        <f aca="false">B21/(1-$I21)</f>
        <v>0.913235513934363</v>
      </c>
      <c r="L21" s="1050"/>
      <c r="M21" s="1050"/>
      <c r="N21" s="1050"/>
      <c r="O21" s="1157"/>
      <c r="P21" s="519" t="n">
        <f aca="false">G21/(1-$I21)</f>
        <v>0.0866306983410797</v>
      </c>
      <c r="Q21" s="539" t="n">
        <f aca="false">H21/(1-$I21)</f>
        <v>0.000133787724557302</v>
      </c>
      <c r="R21" s="1092" t="n">
        <f aca="false">I21/(1-$I21)</f>
        <v>0.150695915675808</v>
      </c>
      <c r="T21" s="502"/>
      <c r="W21" s="502"/>
    </row>
    <row r="22" customFormat="false" ht="12" hidden="false" customHeight="false" outlineLevel="0" collapsed="false">
      <c r="A22" s="416" t="n">
        <f aca="false">A21+1</f>
        <v>1963</v>
      </c>
      <c r="B22" s="1536" t="n">
        <f aca="false">DataDE1!W24/TableDE8!$B21</f>
        <v>0.790735913784752</v>
      </c>
      <c r="C22" s="935"/>
      <c r="D22" s="935"/>
      <c r="E22" s="935"/>
      <c r="F22" s="1157"/>
      <c r="G22" s="519" t="n">
        <f aca="false">DataDE1!BM24/TableDE8!$B21</f>
        <v>0.0792123264776897</v>
      </c>
      <c r="H22" s="518" t="n">
        <f aca="false">DataDE1!E24/TableDE8!$B21</f>
        <v>0.000142072832382792</v>
      </c>
      <c r="I22" s="1155" t="n">
        <f aca="false">DataDE1!J24/TableDE8!$B21</f>
        <v>0.129909686905176</v>
      </c>
      <c r="J22" s="1537" t="n">
        <f aca="false">DataDE1!I24/TableDE8!B21</f>
        <v>0.129909686905176</v>
      </c>
      <c r="K22" s="1054" t="n">
        <f aca="false">B22/(1-$I22)</f>
        <v>0.908797514331798</v>
      </c>
      <c r="L22" s="1050"/>
      <c r="M22" s="1050"/>
      <c r="N22" s="1050"/>
      <c r="O22" s="1157"/>
      <c r="P22" s="519" t="n">
        <f aca="false">G22/(1-$I22)</f>
        <v>0.0910392005123461</v>
      </c>
      <c r="Q22" s="539" t="n">
        <f aca="false">H22/(1-$I22)</f>
        <v>0.000163285155856354</v>
      </c>
      <c r="R22" s="1092" t="n">
        <f aca="false">I22/(1-$I22)</f>
        <v>0.149305980023039</v>
      </c>
      <c r="T22" s="502"/>
      <c r="W22" s="502"/>
    </row>
    <row r="23" customFormat="false" ht="12" hidden="false" customHeight="false" outlineLevel="0" collapsed="false">
      <c r="A23" s="416" t="n">
        <f aca="false">A22+1</f>
        <v>1964</v>
      </c>
      <c r="B23" s="1536" t="n">
        <f aca="false">DataDE1!W25/TableDE8!$B22</f>
        <v>0.793456381961257</v>
      </c>
      <c r="C23" s="935"/>
      <c r="D23" s="935"/>
      <c r="E23" s="935"/>
      <c r="F23" s="1157"/>
      <c r="G23" s="519" t="n">
        <f aca="false">DataDE1!BM25/TableDE8!$B22</f>
        <v>0.078856222285645</v>
      </c>
      <c r="H23" s="518" t="n">
        <f aca="false">DataDE1!E25/TableDE8!$B22</f>
        <v>-0.000545800783251758</v>
      </c>
      <c r="I23" s="1155" t="n">
        <f aca="false">DataDE1!J25/TableDE8!$B22</f>
        <v>0.12823319653635</v>
      </c>
      <c r="J23" s="1537" t="n">
        <f aca="false">DataDE1!I25/TableDE8!B22</f>
        <v>0.12823319653635</v>
      </c>
      <c r="K23" s="1054" t="n">
        <f aca="false">B23/(1-$I23)</f>
        <v>0.910170447886688</v>
      </c>
      <c r="L23" s="1050"/>
      <c r="M23" s="1050"/>
      <c r="N23" s="1050"/>
      <c r="O23" s="1157"/>
      <c r="P23" s="519" t="n">
        <f aca="false">G23/(1-$I23)</f>
        <v>0.0904556378751042</v>
      </c>
      <c r="Q23" s="539" t="n">
        <f aca="false">H23/(1-$I23)</f>
        <v>-0.000626085761792277</v>
      </c>
      <c r="R23" s="1092" t="n">
        <f aca="false">I23/(1-$I23)</f>
        <v>0.147095755455314</v>
      </c>
      <c r="T23" s="502"/>
      <c r="W23" s="502"/>
    </row>
    <row r="24" customFormat="false" ht="12" hidden="false" customHeight="false" outlineLevel="0" collapsed="false">
      <c r="A24" s="416" t="n">
        <f aca="false">A23+1</f>
        <v>1965</v>
      </c>
      <c r="B24" s="1536" t="n">
        <f aca="false">DataDE1!W26/TableDE8!$B23</f>
        <v>0.794647623006908</v>
      </c>
      <c r="C24" s="935"/>
      <c r="D24" s="935"/>
      <c r="E24" s="935"/>
      <c r="F24" s="1157"/>
      <c r="G24" s="519" t="n">
        <f aca="false">DataDE1!BM26/TableDE8!$B23</f>
        <v>0.0823090860179438</v>
      </c>
      <c r="H24" s="518" t="n">
        <f aca="false">DataDE1!E26/TableDE8!$B23</f>
        <v>-0.00128085382978885</v>
      </c>
      <c r="I24" s="1155" t="n">
        <f aca="false">DataDE1!J26/TableDE8!$B23</f>
        <v>0.124324144804937</v>
      </c>
      <c r="J24" s="1537" t="n">
        <f aca="false">DataDE1!I26/TableDE8!B23</f>
        <v>0.124324144804937</v>
      </c>
      <c r="K24" s="1054" t="n">
        <f aca="false">B24/(1-$I24)</f>
        <v>0.907467778507944</v>
      </c>
      <c r="L24" s="1050"/>
      <c r="M24" s="1050"/>
      <c r="N24" s="1050"/>
      <c r="O24" s="1157"/>
      <c r="P24" s="519" t="n">
        <f aca="false">G24/(1-$I24)</f>
        <v>0.0939949246397903</v>
      </c>
      <c r="Q24" s="539" t="n">
        <f aca="false">H24/(1-$I24)</f>
        <v>-0.00146270314773443</v>
      </c>
      <c r="R24" s="1092" t="n">
        <f aca="false">I24/(1-$I24)</f>
        <v>0.141975074529425</v>
      </c>
      <c r="T24" s="502"/>
      <c r="W24" s="502"/>
    </row>
    <row r="25" customFormat="false" ht="12" hidden="false" customHeight="false" outlineLevel="0" collapsed="false">
      <c r="A25" s="416" t="n">
        <f aca="false">A24+1</f>
        <v>1966</v>
      </c>
      <c r="B25" s="1536" t="n">
        <f aca="false">DataDE1!W27/TableDE8!$B24</f>
        <v>0.789675449288592</v>
      </c>
      <c r="C25" s="935"/>
      <c r="D25" s="935"/>
      <c r="E25" s="935"/>
      <c r="F25" s="1157"/>
      <c r="G25" s="519" t="n">
        <f aca="false">DataDE1!BM27/TableDE8!$B24</f>
        <v>0.0867788509267058</v>
      </c>
      <c r="H25" s="518" t="n">
        <f aca="false">DataDE1!E27/TableDE8!$B24</f>
        <v>-0.000910984059580878</v>
      </c>
      <c r="I25" s="1155" t="n">
        <f aca="false">DataDE1!J27/TableDE8!$B24</f>
        <v>0.124456683844283</v>
      </c>
      <c r="J25" s="1537" t="n">
        <f aca="false">DataDE1!I27/TableDE8!B24</f>
        <v>0.124456683844283</v>
      </c>
      <c r="K25" s="1054" t="n">
        <f aca="false">B25/(1-$I25)</f>
        <v>0.901926192248091</v>
      </c>
      <c r="L25" s="1050"/>
      <c r="M25" s="1050"/>
      <c r="N25" s="1050"/>
      <c r="O25" s="1157"/>
      <c r="P25" s="519" t="n">
        <f aca="false">G25/(1-$I25)</f>
        <v>0.0991142863242097</v>
      </c>
      <c r="Q25" s="539" t="n">
        <f aca="false">H25/(1-$I25)</f>
        <v>-0.00104047857230042</v>
      </c>
      <c r="R25" s="1092" t="n">
        <f aca="false">I25/(1-$I25)</f>
        <v>0.14214794579295</v>
      </c>
      <c r="T25" s="502"/>
      <c r="W25" s="502"/>
    </row>
    <row r="26" customFormat="false" ht="12" hidden="false" customHeight="false" outlineLevel="0" collapsed="false">
      <c r="A26" s="416" t="n">
        <f aca="false">A25+1</f>
        <v>1967</v>
      </c>
      <c r="B26" s="1536" t="n">
        <f aca="false">DataDE1!W28/TableDE8!$B25</f>
        <v>0.780201862663143</v>
      </c>
      <c r="C26" s="935"/>
      <c r="D26" s="935"/>
      <c r="E26" s="935"/>
      <c r="F26" s="1157"/>
      <c r="G26" s="519" t="n">
        <f aca="false">DataDE1!BM28/TableDE8!$B25</f>
        <v>0.0913710688939272</v>
      </c>
      <c r="H26" s="518" t="n">
        <f aca="false">DataDE1!E28/TableDE8!$B25</f>
        <v>-0.000465928016510101</v>
      </c>
      <c r="I26" s="1155" t="n">
        <f aca="false">DataDE1!J28/TableDE8!$B25</f>
        <v>0.12889299645944</v>
      </c>
      <c r="J26" s="1537" t="n">
        <f aca="false">DataDE1!I28/TableDE8!B25</f>
        <v>0.12889299645944</v>
      </c>
      <c r="K26" s="1054" t="n">
        <f aca="false">B26/(1-$I26)</f>
        <v>0.895644116614906</v>
      </c>
      <c r="L26" s="1050"/>
      <c r="M26" s="1050"/>
      <c r="N26" s="1050"/>
      <c r="O26" s="1157"/>
      <c r="P26" s="519" t="n">
        <f aca="false">G26/(1-$I26)</f>
        <v>0.104890752252657</v>
      </c>
      <c r="Q26" s="539" t="n">
        <f aca="false">H26/(1-$I26)</f>
        <v>-0.000534868867563187</v>
      </c>
      <c r="R26" s="1092" t="n">
        <f aca="false">I26/(1-$I26)</f>
        <v>0.147964596697722</v>
      </c>
      <c r="T26" s="502"/>
      <c r="W26" s="502"/>
    </row>
    <row r="27" customFormat="false" ht="12" hidden="false" customHeight="false" outlineLevel="0" collapsed="false">
      <c r="A27" s="416" t="n">
        <f aca="false">A26+1</f>
        <v>1968</v>
      </c>
      <c r="B27" s="1536" t="n">
        <f aca="false">DataDE1!W29/TableDE8!$B26</f>
        <v>0.79080128758248</v>
      </c>
      <c r="C27" s="935"/>
      <c r="D27" s="935"/>
      <c r="E27" s="935"/>
      <c r="F27" s="1157"/>
      <c r="G27" s="519" t="n">
        <f aca="false">DataDE1!BM29/TableDE8!$B26</f>
        <v>0.0897932383490401</v>
      </c>
      <c r="H27" s="518" t="n">
        <f aca="false">DataDE1!E29/TableDE8!$B26</f>
        <v>0.00142134115745587</v>
      </c>
      <c r="I27" s="1155" t="n">
        <f aca="false">DataDE1!J29/TableDE8!$B26</f>
        <v>0.117984132911024</v>
      </c>
      <c r="J27" s="1537" t="n">
        <f aca="false">DataDE1!I29/TableDE8!B26</f>
        <v>0.117984132911024</v>
      </c>
      <c r="K27" s="1054" t="n">
        <f aca="false">B27/(1-$I27)</f>
        <v>0.896583969846776</v>
      </c>
      <c r="L27" s="1050"/>
      <c r="M27" s="1050"/>
      <c r="N27" s="1050"/>
      <c r="O27" s="1157"/>
      <c r="P27" s="519" t="n">
        <f aca="false">G27/(1-$I27)</f>
        <v>0.101804561232436</v>
      </c>
      <c r="Q27" s="539" t="n">
        <f aca="false">H27/(1-$I27)</f>
        <v>0.00161146892078812</v>
      </c>
      <c r="R27" s="1092" t="n">
        <f aca="false">I27/(1-$I27)</f>
        <v>0.133766451731103</v>
      </c>
      <c r="T27" s="502"/>
      <c r="W27" s="502"/>
    </row>
    <row r="28" customFormat="false" ht="12" hidden="false" customHeight="false" outlineLevel="0" collapsed="false">
      <c r="A28" s="436" t="n">
        <f aca="false">A27+1</f>
        <v>1969</v>
      </c>
      <c r="B28" s="1541" t="n">
        <f aca="false">DataDE1!W30/TableDE8!$B27</f>
        <v>0.777314093285186</v>
      </c>
      <c r="C28" s="1063"/>
      <c r="D28" s="1063"/>
      <c r="E28" s="1063"/>
      <c r="F28" s="1160"/>
      <c r="G28" s="534" t="n">
        <f aca="false">DataDE1!BM30/TableDE8!$B27</f>
        <v>0.0906888510356409</v>
      </c>
      <c r="H28" s="533" t="n">
        <f aca="false">DataDE1!E30/TableDE8!$B27</f>
        <v>0.00192389303141242</v>
      </c>
      <c r="I28" s="1158" t="n">
        <f aca="false">DataDE1!J30/TableDE8!$B27</f>
        <v>0.130073162647761</v>
      </c>
      <c r="J28" s="1542" t="n">
        <f aca="false">DataDE1!I30/TableDE8!B27</f>
        <v>0.130073162647761</v>
      </c>
      <c r="K28" s="1069" t="n">
        <f aca="false">B28/(1-$I28)</f>
        <v>0.893539617252257</v>
      </c>
      <c r="L28" s="1062"/>
      <c r="M28" s="1062"/>
      <c r="N28" s="1062"/>
      <c r="O28" s="1160"/>
      <c r="P28" s="534" t="n">
        <f aca="false">G28/(1-$I28)</f>
        <v>0.104248825466365</v>
      </c>
      <c r="Q28" s="1543" t="n">
        <f aca="false">H28/(1-$I28)</f>
        <v>0.00221155728137793</v>
      </c>
      <c r="R28" s="1544" t="n">
        <f aca="false">I28/(1-$I28)</f>
        <v>0.149521956402287</v>
      </c>
      <c r="T28" s="502"/>
      <c r="W28" s="502"/>
    </row>
    <row r="29" customFormat="false" ht="12" hidden="false" customHeight="false" outlineLevel="0" collapsed="false">
      <c r="A29" s="416" t="n">
        <f aca="false">A28+1</f>
        <v>1970</v>
      </c>
      <c r="B29" s="1536" t="n">
        <f aca="false">DataDE1!W31/TableDE8!$B28</f>
        <v>0.788272296960638</v>
      </c>
      <c r="C29" s="935"/>
      <c r="D29" s="935"/>
      <c r="E29" s="935"/>
      <c r="F29" s="1157"/>
      <c r="G29" s="519" t="n">
        <f aca="false">DataDE1!BM31/TableDE8!$B28</f>
        <v>0.0943572496263079</v>
      </c>
      <c r="H29" s="518" t="n">
        <f aca="false">DataDE1!E31/TableDE8!$B28</f>
        <v>0.00323866467364225</v>
      </c>
      <c r="I29" s="1155" t="n">
        <f aca="false">DataDE1!J31/TableDE8!$B28</f>
        <v>0.114131788739412</v>
      </c>
      <c r="J29" s="1537" t="n">
        <f aca="false">DataDE1!I31/TableDE8!B28</f>
        <v>0.11624937717987</v>
      </c>
      <c r="K29" s="1054" t="n">
        <f aca="false">B29/(1-$I29)</f>
        <v>0.88983021056702</v>
      </c>
      <c r="L29" s="1050"/>
      <c r="M29" s="1050"/>
      <c r="N29" s="1050"/>
      <c r="O29" s="1157"/>
      <c r="P29" s="519" t="n">
        <f aca="false">G29/(1-$I29)</f>
        <v>0.106513867894681</v>
      </c>
      <c r="Q29" s="539" t="n">
        <f aca="false">H29/(1-$I29)</f>
        <v>0.00365592153829929</v>
      </c>
      <c r="R29" s="1092" t="n">
        <f aca="false">I29/(1-$I29)</f>
        <v>0.128836081133336</v>
      </c>
      <c r="T29" s="502"/>
      <c r="W29" s="502"/>
    </row>
    <row r="30" customFormat="false" ht="12" hidden="false" customHeight="false" outlineLevel="0" collapsed="false">
      <c r="A30" s="416" t="n">
        <v>1971</v>
      </c>
      <c r="B30" s="1536" t="n">
        <f aca="false">DataDE1!W32/TableDE8!$B29</f>
        <v>0.778473514977153</v>
      </c>
      <c r="C30" s="935"/>
      <c r="D30" s="935"/>
      <c r="E30" s="935"/>
      <c r="F30" s="1157"/>
      <c r="G30" s="519" t="n">
        <f aca="false">DataDE1!BM32/TableDE8!$B29</f>
        <v>0.102075929373272</v>
      </c>
      <c r="H30" s="518" t="n">
        <f aca="false">DataDE1!E32/TableDE8!$B29</f>
        <v>0.0016923337282112</v>
      </c>
      <c r="I30" s="1155" t="n">
        <f aca="false">DataDE1!J32/TableDE8!$B29</f>
        <v>0.117758221921363</v>
      </c>
      <c r="J30" s="1537" t="n">
        <f aca="false">DataDE1!I32/TableDE8!B29</f>
        <v>0.116432560500931</v>
      </c>
      <c r="K30" s="1054" t="n">
        <f aca="false">B30/(1-$I30)</f>
        <v>0.882381150292529</v>
      </c>
      <c r="L30" s="1050"/>
      <c r="M30" s="1050"/>
      <c r="N30" s="1050"/>
      <c r="O30" s="1157"/>
      <c r="P30" s="519" t="n">
        <f aca="false">G30/(1-$I30)</f>
        <v>0.115700629815531</v>
      </c>
      <c r="Q30" s="539" t="n">
        <f aca="false">H30/(1-$I30)</f>
        <v>0.00191821989194028</v>
      </c>
      <c r="R30" s="1092" t="n">
        <f aca="false">I30/(1-$I30)</f>
        <v>0.133476134147511</v>
      </c>
      <c r="T30" s="502"/>
      <c r="W30" s="502"/>
    </row>
    <row r="31" customFormat="false" ht="12" hidden="false" customHeight="false" outlineLevel="0" collapsed="false">
      <c r="A31" s="416" t="n">
        <v>1972</v>
      </c>
      <c r="B31" s="1536" t="n">
        <f aca="false">DataDE1!W33/TableDE8!$B30</f>
        <v>0.777475093399751</v>
      </c>
      <c r="C31" s="935"/>
      <c r="D31" s="935"/>
      <c r="E31" s="935"/>
      <c r="F31" s="1157"/>
      <c r="G31" s="519" t="n">
        <f aca="false">DataDE1!BM33/TableDE8!$B30</f>
        <v>0.105386052303861</v>
      </c>
      <c r="H31" s="518" t="n">
        <f aca="false">DataDE1!E33/TableDE8!$B30</f>
        <v>0.000648609381486094</v>
      </c>
      <c r="I31" s="1155" t="n">
        <f aca="false">DataDE1!J33/TableDE8!$B30</f>
        <v>0.116490244914902</v>
      </c>
      <c r="J31" s="1537" t="n">
        <f aca="false">DataDE1!I33/TableDE8!B30</f>
        <v>0.114466583644666</v>
      </c>
      <c r="K31" s="1054" t="n">
        <f aca="false">B31/(1-$I31)</f>
        <v>0.879984730134492</v>
      </c>
      <c r="L31" s="1050"/>
      <c r="M31" s="1050"/>
      <c r="N31" s="1050"/>
      <c r="O31" s="1157"/>
      <c r="P31" s="519" t="n">
        <f aca="false">G31/(1-$I31)</f>
        <v>0.119281141716098</v>
      </c>
      <c r="Q31" s="539" t="n">
        <f aca="false">H31/(1-$I31)</f>
        <v>0.000734128149409761</v>
      </c>
      <c r="R31" s="1092" t="n">
        <f aca="false">I31/(1-$I31)</f>
        <v>0.131849415633993</v>
      </c>
      <c r="T31" s="502"/>
      <c r="W31" s="502"/>
    </row>
    <row r="32" customFormat="false" ht="12" hidden="false" customHeight="false" outlineLevel="0" collapsed="false">
      <c r="A32" s="416" t="n">
        <v>1973</v>
      </c>
      <c r="B32" s="1536" t="n">
        <f aca="false">DataDE1!W34/TableDE8!$B31</f>
        <v>0.775946361223635</v>
      </c>
      <c r="C32" s="935"/>
      <c r="D32" s="935"/>
      <c r="E32" s="935"/>
      <c r="F32" s="1157"/>
      <c r="G32" s="519" t="n">
        <f aca="false">DataDE1!BM34/TableDE8!$B31</f>
        <v>0.110350607626764</v>
      </c>
      <c r="H32" s="518" t="n">
        <f aca="false">DataDE1!E34/TableDE8!$B31</f>
        <v>0.000488895097080597</v>
      </c>
      <c r="I32" s="1155" t="n">
        <f aca="false">DataDE1!J34/TableDE8!$B31</f>
        <v>0.113214136052521</v>
      </c>
      <c r="J32" s="1537" t="n">
        <f aca="false">DataDE1!I34/TableDE8!B31</f>
        <v>0.110676537691484</v>
      </c>
      <c r="K32" s="1054" t="n">
        <f aca="false">B32/(1-$I32)</f>
        <v>0.875009844845239</v>
      </c>
      <c r="L32" s="1050"/>
      <c r="M32" s="1050"/>
      <c r="N32" s="1050"/>
      <c r="O32" s="1157"/>
      <c r="P32" s="519" t="n">
        <f aca="false">G32/(1-$I32)</f>
        <v>0.124438843821375</v>
      </c>
      <c r="Q32" s="539" t="n">
        <f aca="false">H32/(1-$I32)</f>
        <v>0.000551311333385838</v>
      </c>
      <c r="R32" s="1092" t="n">
        <f aca="false">I32/(1-$I32)</f>
        <v>0.127667953059778</v>
      </c>
      <c r="T32" s="502"/>
      <c r="W32" s="502"/>
    </row>
    <row r="33" customFormat="false" ht="12" hidden="false" customHeight="false" outlineLevel="0" collapsed="false">
      <c r="A33" s="416" t="n">
        <v>1974</v>
      </c>
      <c r="B33" s="1536" t="n">
        <f aca="false">DataDE1!W35/TableDE8!$B32</f>
        <v>0.772130544801782</v>
      </c>
      <c r="C33" s="935"/>
      <c r="D33" s="935"/>
      <c r="E33" s="935"/>
      <c r="F33" s="1157"/>
      <c r="G33" s="519" t="n">
        <f aca="false">DataDE1!BM35/TableDE8!$B32</f>
        <v>0.119038864978264</v>
      </c>
      <c r="H33" s="518" t="n">
        <f aca="false">DataDE1!E35/TableDE8!$B32</f>
        <v>0.000497437117460042</v>
      </c>
      <c r="I33" s="1155" t="n">
        <f aca="false">DataDE1!J35/TableDE8!$B32</f>
        <v>0.108333153102494</v>
      </c>
      <c r="J33" s="1537" t="n">
        <f aca="false">DataDE1!I35/TableDE8!B32</f>
        <v>0.106343404632654</v>
      </c>
      <c r="K33" s="1054" t="n">
        <f aca="false">B33/(1-$I33)</f>
        <v>0.865940622877656</v>
      </c>
      <c r="L33" s="1050"/>
      <c r="M33" s="1050"/>
      <c r="N33" s="1050"/>
      <c r="O33" s="1157"/>
      <c r="P33" s="519" t="n">
        <f aca="false">G33/(1-$I33)</f>
        <v>0.133501503832347</v>
      </c>
      <c r="Q33" s="539" t="n">
        <f aca="false">H33/(1-$I33)</f>
        <v>0.000557873289997089</v>
      </c>
      <c r="R33" s="1092" t="n">
        <f aca="false">I33/(1-$I33)</f>
        <v>0.121495100417192</v>
      </c>
      <c r="T33" s="502"/>
      <c r="W33" s="502"/>
    </row>
    <row r="34" customFormat="false" ht="12" hidden="false" customHeight="false" outlineLevel="0" collapsed="false">
      <c r="A34" s="416" t="n">
        <v>1975</v>
      </c>
      <c r="B34" s="1536" t="n">
        <f aca="false">DataDE1!W36/TableDE8!$B33</f>
        <v>0.765483516711216</v>
      </c>
      <c r="C34" s="935"/>
      <c r="D34" s="935"/>
      <c r="E34" s="935"/>
      <c r="F34" s="1157"/>
      <c r="G34" s="519" t="n">
        <f aca="false">DataDE1!BM36/TableDE8!$B33</f>
        <v>0.124054619672199</v>
      </c>
      <c r="H34" s="518" t="n">
        <f aca="false">DataDE1!E36/TableDE8!$B33</f>
        <v>0.00209278713661134</v>
      </c>
      <c r="I34" s="1155" t="n">
        <f aca="false">DataDE1!J36/TableDE8!$B33</f>
        <v>0.108369076479973</v>
      </c>
      <c r="J34" s="1537" t="n">
        <f aca="false">DataDE1!I36/TableDE8!B33</f>
        <v>0.104888004807194</v>
      </c>
      <c r="K34" s="1054" t="n">
        <f aca="false">B34/(1-$I34)</f>
        <v>0.858520601426878</v>
      </c>
      <c r="L34" s="1050"/>
      <c r="M34" s="1050"/>
      <c r="N34" s="1050"/>
      <c r="O34" s="1157"/>
      <c r="P34" s="519" t="n">
        <f aca="false">G34/(1-$I34)</f>
        <v>0.139132253491669</v>
      </c>
      <c r="Q34" s="539" t="n">
        <f aca="false">H34/(1-$I34)</f>
        <v>0.00234714508145291</v>
      </c>
      <c r="R34" s="1092" t="n">
        <f aca="false">I34/(1-$I34)</f>
        <v>0.121540284910878</v>
      </c>
      <c r="T34" s="502"/>
      <c r="W34" s="502"/>
    </row>
    <row r="35" customFormat="false" ht="12" hidden="false" customHeight="false" outlineLevel="0" collapsed="false">
      <c r="A35" s="416" t="n">
        <v>1976</v>
      </c>
      <c r="B35" s="1536" t="n">
        <f aca="false">DataDE1!W37/TableDE8!$B34</f>
        <v>0.766457710115656</v>
      </c>
      <c r="C35" s="935"/>
      <c r="D35" s="935"/>
      <c r="E35" s="935"/>
      <c r="F35" s="1157"/>
      <c r="G35" s="519" t="n">
        <f aca="false">DataDE1!BM37/TableDE8!$B34</f>
        <v>0.120591429605777</v>
      </c>
      <c r="H35" s="518" t="n">
        <f aca="false">DataDE1!E37/TableDE8!$B34</f>
        <v>0.00302955242650001</v>
      </c>
      <c r="I35" s="1155" t="n">
        <f aca="false">DataDE1!J37/TableDE8!$B34</f>
        <v>0.109921307852066</v>
      </c>
      <c r="J35" s="1537" t="n">
        <f aca="false">DataDE1!I37/TableDE8!B34</f>
        <v>0.106682163748261</v>
      </c>
      <c r="K35" s="1054" t="n">
        <f aca="false">B35/(1-$I35)</f>
        <v>0.861112300381042</v>
      </c>
      <c r="L35" s="1050"/>
      <c r="M35" s="1050"/>
      <c r="N35" s="1050"/>
      <c r="O35" s="1157"/>
      <c r="P35" s="519" t="n">
        <f aca="false">G35/(1-$I35)</f>
        <v>0.135484009076508</v>
      </c>
      <c r="Q35" s="539" t="n">
        <f aca="false">H35/(1-$I35)</f>
        <v>0.0034036905424498</v>
      </c>
      <c r="R35" s="1092" t="n">
        <f aca="false">I35/(1-$I35)</f>
        <v>0.123496168172282</v>
      </c>
      <c r="T35" s="502"/>
      <c r="W35" s="502"/>
    </row>
    <row r="36" customFormat="false" ht="12" hidden="false" customHeight="false" outlineLevel="0" collapsed="false">
      <c r="A36" s="416" t="n">
        <v>1977</v>
      </c>
      <c r="B36" s="1536" t="n">
        <f aca="false">DataDE1!W38/TableDE8!$B35</f>
        <v>0.769719987817768</v>
      </c>
      <c r="C36" s="935"/>
      <c r="D36" s="935"/>
      <c r="E36" s="935"/>
      <c r="F36" s="1157"/>
      <c r="G36" s="519" t="n">
        <f aca="false">DataDE1!BM38/TableDE8!$B35</f>
        <v>0.119959153693187</v>
      </c>
      <c r="H36" s="518" t="n">
        <f aca="false">DataDE1!E38/TableDE8!$B35</f>
        <v>0.00121822318565363</v>
      </c>
      <c r="I36" s="1155" t="n">
        <f aca="false">DataDE1!J38/TableDE8!$B35</f>
        <v>0.109102635303391</v>
      </c>
      <c r="J36" s="1537" t="n">
        <f aca="false">DataDE1!I38/TableDE8!B35</f>
        <v>0.106809509306867</v>
      </c>
      <c r="K36" s="1054" t="n">
        <f aca="false">B36/(1-$I36)</f>
        <v>0.863982786703935</v>
      </c>
      <c r="L36" s="1050"/>
      <c r="M36" s="1050"/>
      <c r="N36" s="1050"/>
      <c r="O36" s="1157"/>
      <c r="P36" s="519" t="n">
        <f aca="false">G36/(1-$I36)</f>
        <v>0.134649801926441</v>
      </c>
      <c r="Q36" s="539" t="n">
        <f aca="false">H36/(1-$I36)</f>
        <v>0.00136741136962336</v>
      </c>
      <c r="R36" s="1092" t="n">
        <f aca="false">I36/(1-$I36)</f>
        <v>0.12246375354421</v>
      </c>
      <c r="T36" s="502"/>
      <c r="W36" s="502"/>
    </row>
    <row r="37" customFormat="false" ht="12" hidden="false" customHeight="false" outlineLevel="0" collapsed="false">
      <c r="A37" s="416" t="n">
        <v>1978</v>
      </c>
      <c r="B37" s="1536" t="n">
        <f aca="false">DataDE1!W39/TableDE8!$B36</f>
        <v>0.771450596594718</v>
      </c>
      <c r="C37" s="935"/>
      <c r="D37" s="935"/>
      <c r="E37" s="935"/>
      <c r="F37" s="1157"/>
      <c r="G37" s="519" t="n">
        <f aca="false">DataDE1!BM39/TableDE8!$B36</f>
        <v>0.113487062608929</v>
      </c>
      <c r="H37" s="518" t="n">
        <f aca="false">DataDE1!E39/TableDE8!$B36</f>
        <v>0.00529561603432095</v>
      </c>
      <c r="I37" s="1155" t="n">
        <f aca="false">DataDE1!J39/TableDE8!$B36</f>
        <v>0.109766724762032</v>
      </c>
      <c r="J37" s="1537" t="n">
        <f aca="false">DataDE1!I39/TableDE8!B36</f>
        <v>0.107604906823971</v>
      </c>
      <c r="K37" s="1054" t="n">
        <f aca="false">B37/(1-$I37)</f>
        <v>0.866571288731599</v>
      </c>
      <c r="L37" s="1050"/>
      <c r="M37" s="1050"/>
      <c r="N37" s="1050"/>
      <c r="O37" s="1157"/>
      <c r="P37" s="519" t="n">
        <f aca="false">G37/(1-$I37)</f>
        <v>0.127480140054968</v>
      </c>
      <c r="Q37" s="539" t="n">
        <f aca="false">H37/(1-$I37)</f>
        <v>0.00594857121343323</v>
      </c>
      <c r="R37" s="1092" t="n">
        <f aca="false">I37/(1-$I37)</f>
        <v>0.123301080531606</v>
      </c>
      <c r="T37" s="502"/>
      <c r="W37" s="502"/>
    </row>
    <row r="38" customFormat="false" ht="12.75" hidden="false" customHeight="true" outlineLevel="0" collapsed="false">
      <c r="A38" s="416" t="n">
        <v>1979</v>
      </c>
      <c r="B38" s="1536" t="n">
        <f aca="false">DataDE1!W40/TableDE8!$B37</f>
        <v>0.775247279154135</v>
      </c>
      <c r="C38" s="935"/>
      <c r="D38" s="935"/>
      <c r="E38" s="935"/>
      <c r="F38" s="1157"/>
      <c r="G38" s="519" t="n">
        <f aca="false">DataDE1!BM40/TableDE8!$B37</f>
        <v>0.11070974543425</v>
      </c>
      <c r="H38" s="518" t="n">
        <f aca="false">DataDE1!E40/TableDE8!$B37</f>
        <v>0.00192242101020124</v>
      </c>
      <c r="I38" s="1155" t="n">
        <f aca="false">DataDE1!J40/TableDE8!$B37</f>
        <v>0.112120554401414</v>
      </c>
      <c r="J38" s="1537" t="n">
        <f aca="false">DataDE1!I40/TableDE8!B37</f>
        <v>0.109035378747946</v>
      </c>
      <c r="K38" s="1054" t="n">
        <f aca="false">B38/(1-$I38)</f>
        <v>0.873144752924742</v>
      </c>
      <c r="L38" s="1050"/>
      <c r="M38" s="1050"/>
      <c r="N38" s="1050"/>
      <c r="O38" s="1157"/>
      <c r="P38" s="519" t="n">
        <f aca="false">G38/(1-$I38)</f>
        <v>0.124690064606251</v>
      </c>
      <c r="Q38" s="539" t="n">
        <f aca="false">H38/(1-$I38)</f>
        <v>0.00216518246900646</v>
      </c>
      <c r="R38" s="1092" t="n">
        <f aca="false">I38/(1-$I38)</f>
        <v>0.126279029160119</v>
      </c>
      <c r="T38" s="502"/>
      <c r="W38" s="502"/>
    </row>
    <row r="39" customFormat="false" ht="12" hidden="false" customHeight="false" outlineLevel="0" collapsed="false">
      <c r="A39" s="864" t="n">
        <v>1980</v>
      </c>
      <c r="B39" s="1538" t="n">
        <f aca="false">DataDE1!W41/TableDE8!$B38</f>
        <v>0.773288619960633</v>
      </c>
      <c r="C39" s="1545"/>
      <c r="D39" s="1545"/>
      <c r="E39" s="1545"/>
      <c r="F39" s="1153" t="n">
        <f aca="false">DataDE1!AV41/TableDE8!$B38</f>
        <v>0.541634468178173</v>
      </c>
      <c r="G39" s="526" t="n">
        <f aca="false">DataDE1!BM41/TableDE8!$B38</f>
        <v>0.111788291900561</v>
      </c>
      <c r="H39" s="525" t="n">
        <f aca="false">DataDE1!E41/TableDE8!$B38</f>
        <v>0.00212874535248232</v>
      </c>
      <c r="I39" s="1151" t="n">
        <f aca="false">DataDE1!J41/TableDE8!$B38</f>
        <v>0.112794342786324</v>
      </c>
      <c r="J39" s="1539" t="n">
        <f aca="false">DataDE1!I41/TableDE8!B38</f>
        <v>0.109484581176642</v>
      </c>
      <c r="K39" s="1327" t="n">
        <f aca="false">B39/(1-$I39)</f>
        <v>0.871600190635836</v>
      </c>
      <c r="L39" s="1545"/>
      <c r="M39" s="1545"/>
      <c r="N39" s="1545"/>
      <c r="O39" s="1153" t="n">
        <f aca="false">F39/(1-$I39)</f>
        <v>0.61049483146806</v>
      </c>
      <c r="P39" s="526" t="n">
        <f aca="false">G39/(1-$I39)</f>
        <v>0.126000427287219</v>
      </c>
      <c r="Q39" s="543" t="n">
        <f aca="false">H39/(1-$I39)</f>
        <v>0.00239938207694457</v>
      </c>
      <c r="R39" s="1540" t="n">
        <f aca="false">I39/(1-$I39)</f>
        <v>0.127134381830433</v>
      </c>
      <c r="T39" s="502"/>
      <c r="U39" s="580"/>
      <c r="W39" s="502"/>
    </row>
    <row r="40" customFormat="false" ht="12" hidden="false" customHeight="false" outlineLevel="0" collapsed="false">
      <c r="A40" s="416" t="n">
        <v>1981</v>
      </c>
      <c r="B40" s="1536" t="n">
        <f aca="false">DataDE1!W42/TableDE8!$B39</f>
        <v>0.775228714149408</v>
      </c>
      <c r="C40" s="1546"/>
      <c r="D40" s="1546"/>
      <c r="E40" s="1546"/>
      <c r="F40" s="1157" t="n">
        <f aca="false">DataDE1!AV42/TableDE8!$B39</f>
        <v>0.544676432620531</v>
      </c>
      <c r="G40" s="519" t="n">
        <f aca="false">DataDE1!BM42/TableDE8!$B39</f>
        <v>0.112743447269462</v>
      </c>
      <c r="H40" s="518" t="n">
        <f aca="false">DataDE1!E42/TableDE8!$B39</f>
        <v>0.000154346971993045</v>
      </c>
      <c r="I40" s="1155" t="n">
        <f aca="false">DataDE1!J42/TableDE8!$B39</f>
        <v>0.111873491609137</v>
      </c>
      <c r="J40" s="1537" t="n">
        <f aca="false">DataDE1!I42/TableDE8!B39</f>
        <v>0.106892293876635</v>
      </c>
      <c r="K40" s="1054" t="n">
        <f aca="false">B40/(1-$I40)</f>
        <v>0.87288095426179</v>
      </c>
      <c r="L40" s="1546"/>
      <c r="M40" s="1546"/>
      <c r="N40" s="1546"/>
      <c r="O40" s="1157" t="n">
        <f aca="false">F40/(1-$I40)</f>
        <v>0.613286989493641</v>
      </c>
      <c r="P40" s="519" t="n">
        <f aca="false">G40/(1-$I40)</f>
        <v>0.126945256339363</v>
      </c>
      <c r="Q40" s="539" t="n">
        <f aca="false">H40/(1-$I40)</f>
        <v>0.000173789398846675</v>
      </c>
      <c r="R40" s="1092" t="n">
        <f aca="false">I40/(1-$I40)</f>
        <v>0.125965716091318</v>
      </c>
      <c r="T40" s="502"/>
      <c r="W40" s="502"/>
    </row>
    <row r="41" customFormat="false" ht="12" hidden="false" customHeight="false" outlineLevel="0" collapsed="false">
      <c r="A41" s="416" t="n">
        <v>1982</v>
      </c>
      <c r="B41" s="1536" t="n">
        <f aca="false">DataDE1!W43/TableDE8!$B40</f>
        <v>0.777504027290818</v>
      </c>
      <c r="C41" s="1546"/>
      <c r="D41" s="1546"/>
      <c r="E41" s="1546"/>
      <c r="F41" s="1157" t="n">
        <f aca="false">DataDE1!AV43/TableDE8!$B40</f>
        <v>0.550500196288124</v>
      </c>
      <c r="G41" s="519" t="n">
        <f aca="false">DataDE1!BM43/TableDE8!$B40</f>
        <v>0.112317418202001</v>
      </c>
      <c r="H41" s="518" t="n">
        <f aca="false">DataDE1!E43/TableDE8!$B40</f>
        <v>-0.000879912279514292</v>
      </c>
      <c r="I41" s="1155" t="n">
        <f aca="false">DataDE1!J43/TableDE8!$B40</f>
        <v>0.111058466786696</v>
      </c>
      <c r="J41" s="1537" t="n">
        <f aca="false">DataDE1!I43/TableDE8!B40</f>
        <v>0.105765455997618</v>
      </c>
      <c r="K41" s="1054" t="n">
        <f aca="false">B41/(1-$I41)</f>
        <v>0.874640230252638</v>
      </c>
      <c r="L41" s="1546"/>
      <c r="M41" s="1546"/>
      <c r="N41" s="1546"/>
      <c r="O41" s="1157" t="n">
        <f aca="false">F41/(1-$I41)</f>
        <v>0.619276044284039</v>
      </c>
      <c r="P41" s="519" t="n">
        <f aca="false">G41/(1-$I41)</f>
        <v>0.126349612438516</v>
      </c>
      <c r="Q41" s="539" t="n">
        <f aca="false">H41/(1-$I41)</f>
        <v>-0.000989842691153856</v>
      </c>
      <c r="R41" s="1092" t="n">
        <f aca="false">I41/(1-$I41)</f>
        <v>0.124933375972711</v>
      </c>
      <c r="S41" s="115"/>
      <c r="T41" s="502"/>
      <c r="W41" s="502"/>
    </row>
    <row r="42" customFormat="false" ht="12" hidden="false" customHeight="false" outlineLevel="0" collapsed="false">
      <c r="A42" s="416" t="n">
        <v>1983</v>
      </c>
      <c r="B42" s="1536" t="n">
        <f aca="false">DataDE1!W44/TableDE8!$B41</f>
        <v>0.775874329303769</v>
      </c>
      <c r="C42" s="1546"/>
      <c r="D42" s="1546"/>
      <c r="E42" s="1546"/>
      <c r="F42" s="1157" t="n">
        <f aca="false">DataDE1!AV44/TableDE8!$B41</f>
        <v>0.550714331889586</v>
      </c>
      <c r="G42" s="519" t="n">
        <f aca="false">DataDE1!BM44/TableDE8!$B41</f>
        <v>0.11009115004202</v>
      </c>
      <c r="H42" s="518" t="n">
        <f aca="false">DataDE1!E44/TableDE8!$B41</f>
        <v>0.00275389488654729</v>
      </c>
      <c r="I42" s="1155" t="n">
        <f aca="false">DataDE1!J44/TableDE8!$B41</f>
        <v>0.111280625767664</v>
      </c>
      <c r="J42" s="1537" t="n">
        <f aca="false">DataDE1!I44/TableDE8!B41</f>
        <v>0.10694938263624</v>
      </c>
      <c r="K42" s="1054" t="n">
        <f aca="false">B42/(1-$I42)</f>
        <v>0.873025109837353</v>
      </c>
      <c r="L42" s="1546"/>
      <c r="M42" s="1546"/>
      <c r="N42" s="1546"/>
      <c r="O42" s="1157" t="n">
        <f aca="false">F42/(1-$I42)</f>
        <v>0.619671797259158</v>
      </c>
      <c r="P42" s="519" t="n">
        <f aca="false">G42/(1-$I42)</f>
        <v>0.123876167476505</v>
      </c>
      <c r="Q42" s="539" t="n">
        <f aca="false">H42/(1-$I42)</f>
        <v>0.00309872268614158</v>
      </c>
      <c r="R42" s="1092" t="n">
        <f aca="false">I42/(1-$I42)</f>
        <v>0.125214582909017</v>
      </c>
      <c r="S42" s="115"/>
      <c r="T42" s="502"/>
      <c r="W42" s="502"/>
    </row>
    <row r="43" customFormat="false" ht="12" hidden="false" customHeight="false" outlineLevel="0" collapsed="false">
      <c r="A43" s="416" t="n">
        <v>1984</v>
      </c>
      <c r="B43" s="1536" t="n">
        <f aca="false">DataDE1!W45/TableDE8!$B42</f>
        <v>0.775319138479685</v>
      </c>
      <c r="C43" s="1546"/>
      <c r="D43" s="1546"/>
      <c r="E43" s="1546"/>
      <c r="F43" s="1157" t="n">
        <f aca="false">DataDE1!AV45/TableDE8!$B42</f>
        <v>0.550195967613127</v>
      </c>
      <c r="G43" s="519" t="n">
        <f aca="false">DataDE1!BM45/TableDE8!$B42</f>
        <v>0.106805420746766</v>
      </c>
      <c r="H43" s="518" t="n">
        <f aca="false">DataDE1!E45/TableDE8!$B42</f>
        <v>0.00728581784226757</v>
      </c>
      <c r="I43" s="1155" t="n">
        <f aca="false">DataDE1!J45/TableDE8!$B42</f>
        <v>0.110589622931282</v>
      </c>
      <c r="J43" s="1537" t="n">
        <f aca="false">DataDE1!I45/TableDE8!B42</f>
        <v>0.106117383985944</v>
      </c>
      <c r="K43" s="1054" t="n">
        <f aca="false">B43/(1-$I43)</f>
        <v>0.871722613620666</v>
      </c>
      <c r="L43" s="1546"/>
      <c r="M43" s="1546"/>
      <c r="N43" s="1546"/>
      <c r="O43" s="1157" t="n">
        <f aca="false">F43/(1-$I43)</f>
        <v>0.618607542478243</v>
      </c>
      <c r="P43" s="519" t="n">
        <f aca="false">G43/(1-$I43)</f>
        <v>0.120085647188838</v>
      </c>
      <c r="Q43" s="539" t="n">
        <f aca="false">H43/(1-$I43)</f>
        <v>0.00819173919049593</v>
      </c>
      <c r="R43" s="1092" t="n">
        <f aca="false">I43/(1-$I43)</f>
        <v>0.124340378505318</v>
      </c>
      <c r="S43" s="115"/>
      <c r="T43" s="502"/>
      <c r="W43" s="502"/>
    </row>
    <row r="44" customFormat="false" ht="12" hidden="false" customHeight="false" outlineLevel="0" collapsed="false">
      <c r="A44" s="416" t="n">
        <v>1985</v>
      </c>
      <c r="B44" s="1536" t="n">
        <f aca="false">DataDE1!W46/TableDE8!$B43</f>
        <v>0.780141260532841</v>
      </c>
      <c r="C44" s="1546"/>
      <c r="D44" s="1546"/>
      <c r="E44" s="1546"/>
      <c r="F44" s="1157" t="n">
        <f aca="false">DataDE1!AV46/TableDE8!$B43</f>
        <v>0.558895770410502</v>
      </c>
      <c r="G44" s="519" t="n">
        <f aca="false">DataDE1!BM46/TableDE8!$B43</f>
        <v>0.105440058290536</v>
      </c>
      <c r="H44" s="518" t="n">
        <f aca="false">DataDE1!E46/TableDE8!$B43</f>
        <v>0.00736858187117322</v>
      </c>
      <c r="I44" s="1155" t="n">
        <f aca="false">DataDE1!J46/TableDE8!$B43</f>
        <v>0.107050099305449</v>
      </c>
      <c r="J44" s="1537" t="n">
        <f aca="false">DataDE1!I46/TableDE8!B43</f>
        <v>0.102866343091514</v>
      </c>
      <c r="K44" s="1054" t="n">
        <f aca="false">B44/(1-$I44)</f>
        <v>0.873667447553368</v>
      </c>
      <c r="L44" s="1546"/>
      <c r="M44" s="1546"/>
      <c r="N44" s="1546"/>
      <c r="O44" s="1157" t="n">
        <f aca="false">F44/(1-$I44)</f>
        <v>0.625898239056619</v>
      </c>
      <c r="P44" s="519" t="n">
        <f aca="false">G44/(1-$I44)</f>
        <v>0.118080598036377</v>
      </c>
      <c r="Q44" s="539" t="n">
        <f aca="false">H44/(1-$I44)</f>
        <v>0.00825195441025506</v>
      </c>
      <c r="R44" s="1092" t="n">
        <f aca="false">I44/(1-$I44)</f>
        <v>0.119883656655524</v>
      </c>
      <c r="S44" s="115"/>
      <c r="T44" s="502"/>
      <c r="W44" s="502"/>
    </row>
    <row r="45" customFormat="false" ht="12" hidden="false" customHeight="false" outlineLevel="0" collapsed="false">
      <c r="A45" s="416" t="n">
        <v>1986</v>
      </c>
      <c r="B45" s="1536" t="n">
        <f aca="false">DataDE1!W47/TableDE8!$B44</f>
        <v>0.787048303731902</v>
      </c>
      <c r="C45" s="1546"/>
      <c r="D45" s="1546"/>
      <c r="E45" s="1546"/>
      <c r="F45" s="1157" t="n">
        <f aca="false">DataDE1!AV47/TableDE8!$B44</f>
        <v>0.566639502561984</v>
      </c>
      <c r="G45" s="519" t="n">
        <f aca="false">DataDE1!BM47/TableDE8!$B44</f>
        <v>0.104812511861039</v>
      </c>
      <c r="H45" s="518" t="n">
        <f aca="false">DataDE1!E47/TableDE8!$B44</f>
        <v>0.0045323122606861</v>
      </c>
      <c r="I45" s="1155" t="n">
        <f aca="false">DataDE1!J47/TableDE8!$B44</f>
        <v>0.103606872146374</v>
      </c>
      <c r="J45" s="1537" t="n">
        <f aca="false">DataDE1!I47/TableDE8!B44</f>
        <v>0.0994317864678106</v>
      </c>
      <c r="K45" s="1054" t="n">
        <f aca="false">B45/(1-$I45)</f>
        <v>0.878016887095569</v>
      </c>
      <c r="L45" s="1546"/>
      <c r="M45" s="1546"/>
      <c r="N45" s="1546"/>
      <c r="O45" s="1157" t="n">
        <f aca="false">F45/(1-$I45)</f>
        <v>0.632132805300257</v>
      </c>
      <c r="P45" s="519" t="n">
        <f aca="false">G45/(1-$I45)</f>
        <v>0.116926947121971</v>
      </c>
      <c r="Q45" s="539" t="n">
        <f aca="false">H45/(1-$I45)</f>
        <v>0.00505616578246034</v>
      </c>
      <c r="R45" s="1092" t="n">
        <f aca="false">I45/(1-$I45)</f>
        <v>0.115581957209395</v>
      </c>
      <c r="S45" s="115"/>
      <c r="T45" s="502"/>
      <c r="W45" s="502"/>
    </row>
    <row r="46" customFormat="false" ht="12" hidden="false" customHeight="false" outlineLevel="0" collapsed="false">
      <c r="A46" s="416" t="n">
        <v>1987</v>
      </c>
      <c r="B46" s="1536" t="n">
        <f aca="false">DataDE1!W48/TableDE8!$B45</f>
        <v>0.788191415110801</v>
      </c>
      <c r="C46" s="1546"/>
      <c r="D46" s="1546"/>
      <c r="E46" s="1546"/>
      <c r="F46" s="1157" t="n">
        <f aca="false">DataDE1!AV48/TableDE8!$B45</f>
        <v>0.565749869132787</v>
      </c>
      <c r="G46" s="519" t="n">
        <f aca="false">DataDE1!BM48/TableDE8!$B45</f>
        <v>0.105915198045716</v>
      </c>
      <c r="H46" s="518" t="n">
        <f aca="false">DataDE1!E48/TableDE8!$B45</f>
        <v>0.00285726749258419</v>
      </c>
      <c r="I46" s="1155" t="n">
        <f aca="false">DataDE1!J48/TableDE8!$B45</f>
        <v>0.103036119350899</v>
      </c>
      <c r="J46" s="1537" t="n">
        <f aca="false">DataDE1!I48/TableDE8!B45</f>
        <v>0.0988810853254231</v>
      </c>
      <c r="K46" s="1054" t="n">
        <f aca="false">B46/(1-$I46)</f>
        <v>0.878732613558992</v>
      </c>
      <c r="L46" s="1546"/>
      <c r="M46" s="1546"/>
      <c r="N46" s="1546"/>
      <c r="O46" s="1157" t="n">
        <f aca="false">F46/(1-$I46)</f>
        <v>0.630738741367571</v>
      </c>
      <c r="P46" s="519" t="n">
        <f aca="false">G46/(1-$I46)</f>
        <v>0.118081898647991</v>
      </c>
      <c r="Q46" s="539" t="n">
        <f aca="false">H46/(1-$I46)</f>
        <v>0.00318548779301624</v>
      </c>
      <c r="R46" s="1092" t="n">
        <f aca="false">I46/(1-$I46)</f>
        <v>0.114872094154265</v>
      </c>
      <c r="S46" s="115"/>
      <c r="T46" s="502"/>
      <c r="W46" s="502"/>
    </row>
    <row r="47" customFormat="false" ht="12" hidden="false" customHeight="false" outlineLevel="0" collapsed="false">
      <c r="A47" s="416" t="n">
        <v>1988</v>
      </c>
      <c r="B47" s="1536" t="n">
        <f aca="false">DataDE1!W49/TableDE8!$B46</f>
        <v>0.787760550364514</v>
      </c>
      <c r="C47" s="1546"/>
      <c r="D47" s="1546"/>
      <c r="E47" s="1546"/>
      <c r="F47" s="1157" t="n">
        <f aca="false">DataDE1!AV49/TableDE8!$B46</f>
        <v>0.565263374063046</v>
      </c>
      <c r="G47" s="519" t="n">
        <f aca="false">DataDE1!BM49/TableDE8!$B46</f>
        <v>0.102104938905432</v>
      </c>
      <c r="H47" s="518" t="n">
        <f aca="false">DataDE1!E49/TableDE8!$B46</f>
        <v>0.008594311530958</v>
      </c>
      <c r="I47" s="1155" t="n">
        <f aca="false">DataDE1!J49/TableDE8!$B46</f>
        <v>0.101540199199096</v>
      </c>
      <c r="J47" s="1537" t="n">
        <f aca="false">DataDE1!I49/TableDE8!B46</f>
        <v>0.0975356812814457</v>
      </c>
      <c r="K47" s="1054" t="n">
        <f aca="false">B47/(1-$I47)</f>
        <v>0.876789979543091</v>
      </c>
      <c r="L47" s="1546"/>
      <c r="M47" s="1546"/>
      <c r="N47" s="1546"/>
      <c r="O47" s="1157" t="n">
        <f aca="false">F47/(1-$I47)</f>
        <v>0.629147095461766</v>
      </c>
      <c r="P47" s="519" t="n">
        <f aca="false">G47/(1-$I47)</f>
        <v>0.113644415492394</v>
      </c>
      <c r="Q47" s="539" t="n">
        <f aca="false">H47/(1-$I47)</f>
        <v>0.00956560496451469</v>
      </c>
      <c r="R47" s="1092" t="n">
        <f aca="false">I47/(1-$I47)</f>
        <v>0.113015851247414</v>
      </c>
      <c r="S47" s="115"/>
      <c r="T47" s="502"/>
      <c r="W47" s="502"/>
    </row>
    <row r="48" customFormat="false" ht="12" hidden="false" customHeight="false" outlineLevel="0" collapsed="false">
      <c r="A48" s="436" t="n">
        <v>1989</v>
      </c>
      <c r="B48" s="1541" t="n">
        <f aca="false">DataDE1!W50/TableDE8!$B47</f>
        <v>0.786698610445616</v>
      </c>
      <c r="C48" s="1547"/>
      <c r="D48" s="1547"/>
      <c r="E48" s="1547"/>
      <c r="F48" s="1160" t="n">
        <f aca="false">DataDE1!AV50/TableDE8!$B47</f>
        <v>0.563497843794921</v>
      </c>
      <c r="G48" s="534" t="n">
        <f aca="false">DataDE1!BM50/TableDE8!$B47</f>
        <v>0.0977671298514614</v>
      </c>
      <c r="H48" s="533" t="n">
        <f aca="false">DataDE1!E50/TableDE8!$B47</f>
        <v>0.0100143747005271</v>
      </c>
      <c r="I48" s="1158" t="n">
        <f aca="false">DataDE1!J50/TableDE8!$B47</f>
        <v>0.105519885002396</v>
      </c>
      <c r="J48" s="1542" t="n">
        <f aca="false">DataDE1!I50/TableDE8!B47</f>
        <v>0.0997891710589363</v>
      </c>
      <c r="K48" s="1069" t="n">
        <f aca="false">B48/(1-$I48)</f>
        <v>0.879503744415518</v>
      </c>
      <c r="L48" s="1547"/>
      <c r="M48" s="1547"/>
      <c r="N48" s="1547"/>
      <c r="O48" s="1160" t="n">
        <f aca="false">F48/(1-$I48)</f>
        <v>0.629972465957424</v>
      </c>
      <c r="P48" s="534" t="n">
        <f aca="false">G48/(1-$I48)</f>
        <v>0.109300506754947</v>
      </c>
      <c r="Q48" s="1543" t="n">
        <f aca="false">H48/(1-$I48)</f>
        <v>0.0111957488295354</v>
      </c>
      <c r="R48" s="1544" t="n">
        <f aca="false">I48/(1-$I48)</f>
        <v>0.117967837666999</v>
      </c>
      <c r="S48" s="115"/>
      <c r="T48" s="502"/>
      <c r="W48" s="502"/>
    </row>
    <row r="49" customFormat="false" ht="12" hidden="false" customHeight="false" outlineLevel="0" collapsed="false">
      <c r="A49" s="416" t="n">
        <v>1990</v>
      </c>
      <c r="B49" s="1536" t="n">
        <f aca="false">DataDE1!W51/TableDE8!$B48</f>
        <v>0.786977562692477</v>
      </c>
      <c r="C49" s="935" t="n">
        <f aca="false">DataDE1!AI51/TableDE8!$B48</f>
        <v>0.0246282446106467</v>
      </c>
      <c r="D49" s="1072" t="n">
        <f aca="false">(DataDE1!AI51+DataDE1!AJ51)/TableDE8!$B48</f>
        <v>0.0316498020237572</v>
      </c>
      <c r="E49" s="935" t="n">
        <f aca="false">DataDE1!AO51/TableDE8!$B48</f>
        <v>0.195195776506819</v>
      </c>
      <c r="F49" s="1157" t="n">
        <f aca="false">DataDE1!AV51/TableDE8!$B48</f>
        <v>0.567153541575011</v>
      </c>
      <c r="G49" s="519" t="n">
        <f aca="false">DataDE1!BM51/TableDE8!$B48</f>
        <v>0.0945974483062033</v>
      </c>
      <c r="H49" s="518" t="n">
        <f aca="false">DataDE1!E51/TableDE8!$B48</f>
        <v>0.0099076110866696</v>
      </c>
      <c r="I49" s="1155" t="n">
        <f aca="false">DataDE1!J51/TableDE8!$B48</f>
        <v>0.10851737791465</v>
      </c>
      <c r="J49" s="1537" t="n">
        <f aca="false">DataDE1!I51/TableDE8!B48</f>
        <v>0.103264408271008</v>
      </c>
      <c r="K49" s="1054" t="n">
        <f aca="false">B49/(1-$I49)</f>
        <v>0.88277386815638</v>
      </c>
      <c r="L49" s="1050" t="n">
        <f aca="false">C49/(1-$I49)</f>
        <v>0.0276261634276577</v>
      </c>
      <c r="M49" s="1071" t="n">
        <f aca="false">D49/(1-$I49)</f>
        <v>0.0355024329579439</v>
      </c>
      <c r="N49" s="1050" t="n">
        <f aca="false">E49/(1-$I49)</f>
        <v>0.218956344937177</v>
      </c>
      <c r="O49" s="1157" t="n">
        <f aca="false">F49/(1-$I49)</f>
        <v>0.636191359791545</v>
      </c>
      <c r="P49" s="519" t="n">
        <f aca="false">G49/(1-$I49)</f>
        <v>0.106112498396123</v>
      </c>
      <c r="Q49" s="539" t="n">
        <f aca="false">H49/(1-$I49)</f>
        <v>0.0111136334474965</v>
      </c>
      <c r="R49" s="1092" t="n">
        <f aca="false">I49/(1-$I49)</f>
        <v>0.121726857289497</v>
      </c>
      <c r="S49" s="115"/>
      <c r="T49" s="502"/>
      <c r="W49" s="502"/>
    </row>
    <row r="50" customFormat="false" ht="12" hidden="false" customHeight="false" outlineLevel="0" collapsed="false">
      <c r="A50" s="416" t="n">
        <v>1991</v>
      </c>
      <c r="B50" s="1536" t="n">
        <f aca="false">DataDE1!W52/TableDE8!$B49</f>
        <v>0.803204641619757</v>
      </c>
      <c r="C50" s="935" t="n">
        <f aca="false">(DataDE1!AI52)/TableDE8!$B49</f>
        <v>0.0186611752857798</v>
      </c>
      <c r="D50" s="1072" t="n">
        <f aca="false">(DataDE1!AI52+DataDE1!AJ52)/TableDE8!$B49</f>
        <v>0.0258009725155385</v>
      </c>
      <c r="E50" s="935" t="n">
        <f aca="false">DataDE1!AO52/TableDE8!$B49</f>
        <v>0.194969073404631</v>
      </c>
      <c r="F50" s="1157" t="n">
        <f aca="false">DataDE1!AV52/TableDE8!$B49</f>
        <v>0.589574392929346</v>
      </c>
      <c r="G50" s="519" t="n">
        <f aca="false">DataDE1!BM52/TableDE8!$B49</f>
        <v>0.1015354321832</v>
      </c>
      <c r="H50" s="518" t="n">
        <f aca="false">DataDE1!E52/TableDE8!$B49</f>
        <v>0.00529096552605274</v>
      </c>
      <c r="I50" s="1155" t="n">
        <f aca="false">DataDE1!J52/TableDE8!$B49</f>
        <v>0.0899689606709906</v>
      </c>
      <c r="J50" s="1537" t="n">
        <f aca="false">DataDE1!I52/TableDE8!B49</f>
        <v>0.0835281120121452</v>
      </c>
      <c r="K50" s="1054" t="n">
        <f aca="false">B50/(1-$I50)</f>
        <v>0.882612358158664</v>
      </c>
      <c r="L50" s="1050" t="n">
        <f aca="false">C50/(1-$I50)</f>
        <v>0.0205060865830897</v>
      </c>
      <c r="M50" s="1071" t="n">
        <f aca="false">D50/(1-$I50)</f>
        <v>0.0283517499958707</v>
      </c>
      <c r="N50" s="1050" t="n">
        <f aca="false">E50/(1-$I50)</f>
        <v>0.214244421320384</v>
      </c>
      <c r="O50" s="1157" t="n">
        <f aca="false">F50/(1-$I50)</f>
        <v>0.647861850255191</v>
      </c>
      <c r="P50" s="519" t="n">
        <f aca="false">G50/(1-$I50)</f>
        <v>0.111573592322812</v>
      </c>
      <c r="Q50" s="539" t="n">
        <f aca="false">H50/(1-$I50)</f>
        <v>0.00581404951852402</v>
      </c>
      <c r="R50" s="1092" t="n">
        <f aca="false">I50/(1-$I50)</f>
        <v>0.0988636175941067</v>
      </c>
      <c r="S50" s="115"/>
      <c r="T50" s="502"/>
      <c r="W50" s="502"/>
    </row>
    <row r="51" customFormat="false" ht="12" hidden="false" customHeight="false" outlineLevel="0" collapsed="false">
      <c r="A51" s="416" t="n">
        <v>1992</v>
      </c>
      <c r="B51" s="1536" t="n">
        <f aca="false">DataDE1!W53/TableDE8!$B50</f>
        <v>0.798301918593219</v>
      </c>
      <c r="C51" s="935" t="n">
        <f aca="false">(DataDE1!AI53)/TableDE8!$B50</f>
        <v>0.0199654484676536</v>
      </c>
      <c r="D51" s="1072" t="n">
        <f aca="false">(DataDE1!AI53+DataDE1!AJ53)/TableDE8!$B50</f>
        <v>0.0263771454254333</v>
      </c>
      <c r="E51" s="935" t="n">
        <f aca="false">DataDE1!AO53/TableDE8!$B50</f>
        <v>0.197800500014045</v>
      </c>
      <c r="F51" s="1157" t="n">
        <f aca="false">DataDE1!AV53/TableDE8!$B50</f>
        <v>0.58053597011152</v>
      </c>
      <c r="G51" s="519" t="n">
        <f aca="false">DataDE1!BM53/TableDE8!$B50</f>
        <v>0.104202365234979</v>
      </c>
      <c r="H51" s="518" t="n">
        <f aca="false">DataDE1!E53/TableDE8!$B50</f>
        <v>0.00359560661816344</v>
      </c>
      <c r="I51" s="1155" t="n">
        <f aca="false">DataDE1!J53/TableDE8!$B50</f>
        <v>0.0939001095536392</v>
      </c>
      <c r="J51" s="1537" t="n">
        <f aca="false">DataDE1!I53/TableDE8!B50</f>
        <v>0.0866667603022557</v>
      </c>
      <c r="K51" s="1054" t="n">
        <f aca="false">B51/(1-$I51)</f>
        <v>0.881030807982949</v>
      </c>
      <c r="L51" s="1050" t="n">
        <f aca="false">C51/(1-$I51)</f>
        <v>0.022034489440031</v>
      </c>
      <c r="M51" s="1071" t="n">
        <f aca="false">D51/(1-$I51)</f>
        <v>0.0291106374733579</v>
      </c>
      <c r="N51" s="1050" t="n">
        <f aca="false">E51/(1-$I51)</f>
        <v>0.218298779306336</v>
      </c>
      <c r="O51" s="1157" t="n">
        <f aca="false">F51/(1-$I51)</f>
        <v>0.640697539236582</v>
      </c>
      <c r="P51" s="519" t="n">
        <f aca="false">G51/(1-$I51)</f>
        <v>0.115000968804495</v>
      </c>
      <c r="Q51" s="539" t="n">
        <f aca="false">H51/(1-$I51)</f>
        <v>0.00396822321255571</v>
      </c>
      <c r="R51" s="1092" t="n">
        <f aca="false">I51/(1-$I51)</f>
        <v>0.103631079248208</v>
      </c>
      <c r="S51" s="115"/>
      <c r="T51" s="502"/>
      <c r="W51" s="502"/>
    </row>
    <row r="52" customFormat="false" ht="12" hidden="false" customHeight="false" outlineLevel="0" collapsed="false">
      <c r="A52" s="416" t="n">
        <v>1993</v>
      </c>
      <c r="B52" s="1536" t="n">
        <f aca="false">DataDE1!W54/TableDE8!$B51</f>
        <v>0.793583027403099</v>
      </c>
      <c r="C52" s="935" t="n">
        <f aca="false">(DataDE1!AI54)/TableDE8!$B51</f>
        <v>0.0221232245734164</v>
      </c>
      <c r="D52" s="1072" t="n">
        <f aca="false">(DataDE1!AI54+DataDE1!AJ54)/TableDE8!$B51</f>
        <v>0.0294036766626793</v>
      </c>
      <c r="E52" s="935" t="n">
        <f aca="false">DataDE1!AO54/TableDE8!$B51</f>
        <v>0.200291493077039</v>
      </c>
      <c r="F52" s="1157" t="n">
        <f aca="false">DataDE1!AV54/TableDE8!$B51</f>
        <v>0.571168309752643</v>
      </c>
      <c r="G52" s="519" t="n">
        <f aca="false">DataDE1!BM54/TableDE8!$B51</f>
        <v>0.106298725405272</v>
      </c>
      <c r="H52" s="518" t="n">
        <f aca="false">DataDE1!E54/TableDE8!$B51</f>
        <v>0.00131996865074454</v>
      </c>
      <c r="I52" s="1155" t="n">
        <f aca="false">DataDE1!J54/TableDE8!$B51</f>
        <v>0.0987982785408847</v>
      </c>
      <c r="J52" s="1537" t="n">
        <f aca="false">DataDE1!I54/TableDE8!B51</f>
        <v>0.093545903284797</v>
      </c>
      <c r="K52" s="1054" t="n">
        <f aca="false">B52/(1-$I52)</f>
        <v>0.880583124184702</v>
      </c>
      <c r="L52" s="1050" t="n">
        <f aca="false">C52/(1-$I52)</f>
        <v>0.0245485822392762</v>
      </c>
      <c r="M52" s="1071" t="n">
        <f aca="false">D52/(1-$I52)</f>
        <v>0.0326271865249796</v>
      </c>
      <c r="N52" s="1050" t="n">
        <f aca="false">E52/(1-$I52)</f>
        <v>0.22224934585428</v>
      </c>
      <c r="O52" s="1157" t="n">
        <f aca="false">F52/(1-$I52)</f>
        <v>0.633785196091146</v>
      </c>
      <c r="P52" s="519" t="n">
        <f aca="false">G52/(1-$I52)</f>
        <v>0.117952199684179</v>
      </c>
      <c r="Q52" s="539" t="n">
        <f aca="false">H52/(1-$I52)</f>
        <v>0.00146467613111903</v>
      </c>
      <c r="R52" s="1092" t="n">
        <f aca="false">I52/(1-$I52)</f>
        <v>0.109629482709956</v>
      </c>
      <c r="S52" s="115"/>
      <c r="T52" s="502"/>
      <c r="W52" s="502"/>
    </row>
    <row r="53" customFormat="false" ht="12" hidden="false" customHeight="false" outlineLevel="0" collapsed="false">
      <c r="A53" s="416" t="n">
        <v>1994</v>
      </c>
      <c r="B53" s="1536" t="n">
        <f aca="false">DataDE1!W55/TableDE8!$B52</f>
        <v>0.800668195476831</v>
      </c>
      <c r="C53" s="935" t="n">
        <f aca="false">(DataDE1!AI55)/TableDE8!$B52</f>
        <v>0.0242962201486636</v>
      </c>
      <c r="D53" s="1072" t="n">
        <f aca="false">(DataDE1!AI55+DataDE1!AJ55)/TableDE8!$B52</f>
        <v>0.0316239654172597</v>
      </c>
      <c r="E53" s="935" t="n">
        <f aca="false">DataDE1!AO55/TableDE8!$B52</f>
        <v>0.201308714217935</v>
      </c>
      <c r="F53" s="1157" t="n">
        <f aca="false">DataDE1!AV55/TableDE8!$B52</f>
        <v>0.575063261110232</v>
      </c>
      <c r="G53" s="519" t="n">
        <f aca="false">DataDE1!BM55/TableDE8!$B52</f>
        <v>0.103800938373135</v>
      </c>
      <c r="H53" s="518" t="n">
        <f aca="false">DataDE1!E55/TableDE8!$B52</f>
        <v>-0.00696531182455585</v>
      </c>
      <c r="I53" s="1155" t="n">
        <f aca="false">DataDE1!J55/TableDE8!$B52</f>
        <v>0.10249617797459</v>
      </c>
      <c r="J53" s="1537" t="n">
        <f aca="false">DataDE1!I55/TableDE8!B52</f>
        <v>0.0961041699615162</v>
      </c>
      <c r="K53" s="1054" t="n">
        <f aca="false">B53/(1-$I53)</f>
        <v>0.892105610948766</v>
      </c>
      <c r="L53" s="1050" t="n">
        <f aca="false">C53/(1-$I53)</f>
        <v>0.0270708820981219</v>
      </c>
      <c r="M53" s="1071" t="n">
        <f aca="false">D53/(1-$I53)</f>
        <v>0.0352354660127168</v>
      </c>
      <c r="N53" s="1050" t="n">
        <f aca="false">E53/(1-$I53)</f>
        <v>0.224298447847986</v>
      </c>
      <c r="O53" s="1157" t="n">
        <f aca="false">F53/(1-$I53)</f>
        <v>0.640736281002658</v>
      </c>
      <c r="P53" s="519" t="n">
        <f aca="false">G53/(1-$I53)</f>
        <v>0.115655149121132</v>
      </c>
      <c r="Q53" s="539" t="n">
        <f aca="false">H53/(1-$I53)</f>
        <v>-0.00776076006989824</v>
      </c>
      <c r="R53" s="1092" t="n">
        <f aca="false">I53/(1-$I53)</f>
        <v>0.114201383280224</v>
      </c>
      <c r="S53" s="115"/>
      <c r="T53" s="502"/>
      <c r="W53" s="502"/>
    </row>
    <row r="54" customFormat="false" ht="12" hidden="false" customHeight="false" outlineLevel="0" collapsed="false">
      <c r="A54" s="416" t="n">
        <v>1995</v>
      </c>
      <c r="B54" s="1536" t="n">
        <f aca="false">DataDE1!W56/TableDE8!$B53</f>
        <v>0.807738136959417</v>
      </c>
      <c r="C54" s="935" t="n">
        <f aca="false">(DataDE1!AI56)/TableDE8!$B53</f>
        <v>0.0254879346489356</v>
      </c>
      <c r="D54" s="1072" t="n">
        <f aca="false">(DataDE1!AI56+DataDE1!AJ56)/TableDE8!$B53</f>
        <v>0.0339116970504088</v>
      </c>
      <c r="E54" s="935" t="n">
        <f aca="false">DataDE1!AO56/TableDE8!$B53</f>
        <v>0.20095324875587</v>
      </c>
      <c r="F54" s="1157" t="n">
        <f aca="false">DataDE1!AV56/TableDE8!$B53</f>
        <v>0.581296953554611</v>
      </c>
      <c r="G54" s="519" t="n">
        <f aca="false">DataDE1!BM56/TableDE8!$B53</f>
        <v>0.103608454347923</v>
      </c>
      <c r="H54" s="518" t="n">
        <f aca="false">DataDE1!E56/TableDE8!$B53</f>
        <v>-0.0101441979902764</v>
      </c>
      <c r="I54" s="1155" t="n">
        <f aca="false">DataDE1!J56/TableDE8!$B53</f>
        <v>0.0987976066829365</v>
      </c>
      <c r="J54" s="1537" t="n">
        <f aca="false">DataDE1!I56/TableDE8!B53</f>
        <v>0.092056047968293</v>
      </c>
      <c r="K54" s="1054" t="n">
        <f aca="false">B54/(1-$I54)</f>
        <v>0.896289382883648</v>
      </c>
      <c r="L54" s="1050" t="n">
        <f aca="false">C54/(1-$I54)</f>
        <v>0.0282821426551276</v>
      </c>
      <c r="M54" s="1071" t="n">
        <f aca="false">D54/(1-$I54)</f>
        <v>0.0376293908026472</v>
      </c>
      <c r="N54" s="1050" t="n">
        <f aca="false">E54/(1-$I54)</f>
        <v>0.222983483228689</v>
      </c>
      <c r="O54" s="1157" t="n">
        <f aca="false">F54/(1-$I54)</f>
        <v>0.64502375699983</v>
      </c>
      <c r="P54" s="519" t="n">
        <f aca="false">G54/(1-$I54)</f>
        <v>0.114966909893094</v>
      </c>
      <c r="Q54" s="539" t="n">
        <f aca="false">H54/(1-$I54)</f>
        <v>-0.0112562927767408</v>
      </c>
      <c r="R54" s="1092" t="n">
        <f aca="false">I54/(1-$I54)</f>
        <v>0.109628655466938</v>
      </c>
      <c r="S54" s="115"/>
      <c r="T54" s="502"/>
      <c r="W54" s="502"/>
    </row>
    <row r="55" customFormat="false" ht="12" hidden="false" customHeight="false" outlineLevel="0" collapsed="false">
      <c r="A55" s="416" t="n">
        <v>1996</v>
      </c>
      <c r="B55" s="1536" t="n">
        <f aca="false">DataDE1!W57/TableDE8!$B54</f>
        <v>0.80548758297883</v>
      </c>
      <c r="C55" s="935" t="n">
        <f aca="false">(DataDE1!AI57)/TableDE8!$B54</f>
        <v>0.0250850180075042</v>
      </c>
      <c r="D55" s="1072" t="n">
        <f aca="false">(DataDE1!AI57+DataDE1!AJ57)/TableDE8!$B54</f>
        <v>0.0363475511049204</v>
      </c>
      <c r="E55" s="935" t="n">
        <f aca="false">DataDE1!AO57/TableDE8!$B54</f>
        <v>0.199142918094091</v>
      </c>
      <c r="F55" s="1157" t="n">
        <f aca="false">DataDE1!AV57/TableDE8!$B54</f>
        <v>0.581259646877235</v>
      </c>
      <c r="G55" s="519" t="n">
        <f aca="false">DataDE1!BM57/TableDE8!$B54</f>
        <v>0.103960396039604</v>
      </c>
      <c r="H55" s="518" t="n">
        <f aca="false">DataDE1!E57/TableDE8!$B54</f>
        <v>-0.00754181882066534</v>
      </c>
      <c r="I55" s="1155" t="n">
        <f aca="false">DataDE1!J57/TableDE8!$B54</f>
        <v>0.0980938398022311</v>
      </c>
      <c r="J55" s="1537" t="n">
        <f aca="false">DataDE1!I57/TableDE8!B54</f>
        <v>0.0928108019927468</v>
      </c>
      <c r="K55" s="1054" t="n">
        <f aca="false">B55/(1-$I55)</f>
        <v>0.893094668299198</v>
      </c>
      <c r="L55" s="1050" t="n">
        <f aca="false">C55/(1-$I55)</f>
        <v>0.0278133348174532</v>
      </c>
      <c r="M55" s="1071" t="n">
        <f aca="false">D55/(1-$I55)</f>
        <v>0.0403008125556545</v>
      </c>
      <c r="N55" s="1050" t="n">
        <f aca="false">E55/(1-$I55)</f>
        <v>0.220802259572573</v>
      </c>
      <c r="O55" s="1157" t="n">
        <f aca="false">F55/(1-$I55)</f>
        <v>0.644479073909172</v>
      </c>
      <c r="P55" s="519" t="n">
        <f aca="false">G55/(1-$I55)</f>
        <v>0.115267419857524</v>
      </c>
      <c r="Q55" s="539" t="n">
        <f aca="false">H55/(1-$I55)</f>
        <v>-0.00836208815672306</v>
      </c>
      <c r="R55" s="1092" t="n">
        <f aca="false">I55/(1-$I55)</f>
        <v>0.108762800534283</v>
      </c>
      <c r="S55" s="115"/>
      <c r="T55" s="502"/>
      <c r="W55" s="502"/>
    </row>
    <row r="56" customFormat="false" ht="12" hidden="false" customHeight="false" outlineLevel="0" collapsed="false">
      <c r="A56" s="416" t="n">
        <v>1997</v>
      </c>
      <c r="B56" s="1536" t="n">
        <f aca="false">DataDE1!W58/TableDE8!$B55</f>
        <v>0.807420887052002</v>
      </c>
      <c r="C56" s="935" t="n">
        <f aca="false">(DataDE1!AI58)/TableDE8!$B55</f>
        <v>0.0256985997162421</v>
      </c>
      <c r="D56" s="1072" t="n">
        <f aca="false">(DataDE1!AI58+DataDE1!AJ58)/TableDE8!$B55</f>
        <v>0.0383134908395534</v>
      </c>
      <c r="E56" s="935" t="n">
        <f aca="false">DataDE1!AO58/TableDE8!$B55</f>
        <v>0.195490716180371</v>
      </c>
      <c r="F56" s="1157" t="n">
        <f aca="false">DataDE1!AV58/TableDE8!$B55</f>
        <v>0.586231571155388</v>
      </c>
      <c r="G56" s="519" t="n">
        <f aca="false">DataDE1!BM58/TableDE8!$B55</f>
        <v>0.102257726235272</v>
      </c>
      <c r="H56" s="518" t="n">
        <f aca="false">DataDE1!E58/TableDE8!$B55</f>
        <v>-0.00966010733452594</v>
      </c>
      <c r="I56" s="1155" t="n">
        <f aca="false">DataDE1!J58/TableDE8!$B55</f>
        <v>0.0999814940472519</v>
      </c>
      <c r="J56" s="1537" t="n">
        <f aca="false">DataDE1!I58/TableDE8!B55</f>
        <v>0.0949910554561717</v>
      </c>
      <c r="K56" s="1054" t="n">
        <f aca="false">B56/(1-$I56)</f>
        <v>0.897115872297844</v>
      </c>
      <c r="L56" s="1050" t="n">
        <f aca="false">C56/(1-$I56)</f>
        <v>0.0285534125645982</v>
      </c>
      <c r="M56" s="1071" t="n">
        <f aca="false">D56/(1-$I56)</f>
        <v>0.042569670052501</v>
      </c>
      <c r="N56" s="1050" t="n">
        <f aca="false">E56/(1-$I56)</f>
        <v>0.217207440610821</v>
      </c>
      <c r="O56" s="1157" t="n">
        <f aca="false">F56/(1-$I56)</f>
        <v>0.651355019122425</v>
      </c>
      <c r="P56" s="519" t="n">
        <f aca="false">G56/(1-$I56)</f>
        <v>0.113617359597538</v>
      </c>
      <c r="Q56" s="539" t="n">
        <f aca="false">H56/(1-$I56)</f>
        <v>-0.0107332318953818</v>
      </c>
      <c r="R56" s="1092" t="n">
        <f aca="false">I56/(1-$I56)</f>
        <v>0.111088264725638</v>
      </c>
      <c r="S56" s="115"/>
      <c r="T56" s="502"/>
      <c r="W56" s="502"/>
    </row>
    <row r="57" customFormat="false" ht="12" hidden="false" customHeight="false" outlineLevel="0" collapsed="false">
      <c r="A57" s="416" t="n">
        <v>1998</v>
      </c>
      <c r="B57" s="1536" t="n">
        <f aca="false">DataDE1!W59/TableDE8!$B56</f>
        <v>0.811501751842455</v>
      </c>
      <c r="C57" s="935" t="n">
        <f aca="false">(DataDE1!AI59)/TableDE8!$B56</f>
        <v>0.0248459586806814</v>
      </c>
      <c r="D57" s="1072" t="n">
        <f aca="false">(DataDE1!AI59+DataDE1!AJ59)/TableDE8!$B56</f>
        <v>0.0375860819137369</v>
      </c>
      <c r="E57" s="935" t="n">
        <f aca="false">DataDE1!AO59/TableDE8!$B56</f>
        <v>0.189772864564456</v>
      </c>
      <c r="F57" s="1157" t="n">
        <f aca="false">DataDE1!AV59/TableDE8!$B56</f>
        <v>0.596882928597318</v>
      </c>
      <c r="G57" s="519" t="n">
        <f aca="false">DataDE1!BM59/TableDE8!$B56</f>
        <v>0.100501389392292</v>
      </c>
      <c r="H57" s="518" t="n">
        <f aca="false">DataDE1!E59/TableDE8!$B56</f>
        <v>-0.0132777576416576</v>
      </c>
      <c r="I57" s="1155" t="n">
        <f aca="false">DataDE1!J59/TableDE8!$B56</f>
        <v>0.101274616406911</v>
      </c>
      <c r="J57" s="1537" t="n">
        <f aca="false">DataDE1!I59/TableDE8!B56</f>
        <v>0.0974688896943337</v>
      </c>
      <c r="K57" s="1054" t="n">
        <f aca="false">B57/(1-$I57)</f>
        <v>0.902947403797681</v>
      </c>
      <c r="L57" s="1050" t="n">
        <f aca="false">C57/(1-$I57)</f>
        <v>0.0276457738195261</v>
      </c>
      <c r="M57" s="1071" t="n">
        <f aca="false">D57/(1-$I57)</f>
        <v>0.0418215425978827</v>
      </c>
      <c r="N57" s="1050" t="n">
        <f aca="false">E57/(1-$I57)</f>
        <v>0.211157788606957</v>
      </c>
      <c r="O57" s="1157" t="n">
        <f aca="false">F57/(1-$I57)</f>
        <v>0.664143841371198</v>
      </c>
      <c r="P57" s="519" t="n">
        <f aca="false">G57/(1-$I57)</f>
        <v>0.111826583767434</v>
      </c>
      <c r="Q57" s="539" t="n">
        <f aca="false">H57/(1-$I57)</f>
        <v>-0.0147739875651151</v>
      </c>
      <c r="R57" s="1092" t="n">
        <f aca="false">I57/(1-$I57)</f>
        <v>0.112686943370862</v>
      </c>
      <c r="S57" s="115"/>
      <c r="T57" s="502"/>
      <c r="W57" s="502"/>
    </row>
    <row r="58" customFormat="false" ht="12" hidden="false" customHeight="false" outlineLevel="0" collapsed="false">
      <c r="A58" s="446" t="n">
        <f aca="false">A57+1</f>
        <v>1999</v>
      </c>
      <c r="B58" s="855" t="n">
        <f aca="false">DataDE1!W60/TableDE8!$B57</f>
        <v>0.80611948526143</v>
      </c>
      <c r="C58" s="935" t="n">
        <f aca="false">(DataDE1!AI60)/TableDE8!$B57</f>
        <v>0.0232236955194509</v>
      </c>
      <c r="D58" s="1072" t="n">
        <f aca="false">(DataDE1!AI60+DataDE1!AJ60)/TableDE8!$B57</f>
        <v>0.038409787382859</v>
      </c>
      <c r="E58" s="935" t="n">
        <f aca="false">DataDE1!AO60/TableDE8!$B57</f>
        <v>0.185967387245343</v>
      </c>
      <c r="F58" s="1157" t="n">
        <f aca="false">DataDE1!AV60/TableDE8!$B57</f>
        <v>0.596928402496636</v>
      </c>
      <c r="G58" s="519" t="n">
        <f aca="false">DataDE1!BM60/TableDE8!$B57</f>
        <v>0.100138109266361</v>
      </c>
      <c r="H58" s="518" t="n">
        <f aca="false">DataDE1!E60/TableDE8!$B57</f>
        <v>-0.0142495569241347</v>
      </c>
      <c r="I58" s="1155" t="n">
        <f aca="false">DataDE1!J60/TableDE8!$B57</f>
        <v>0.107991962396344</v>
      </c>
      <c r="J58" s="1537" t="n">
        <f aca="false">DataDE1!I60/TableDE8!B57</f>
        <v>0.104974897307166</v>
      </c>
      <c r="K58" s="1054" t="n">
        <f aca="false">B58/(1-$I58)</f>
        <v>0.903713252883951</v>
      </c>
      <c r="L58" s="1050" t="n">
        <f aca="false">C58/(1-$I58)</f>
        <v>0.0260352984955611</v>
      </c>
      <c r="M58" s="1071" t="n">
        <f aca="false">D58/(1-$I58)</f>
        <v>0.0430599117537611</v>
      </c>
      <c r="N58" s="1050" t="n">
        <f aca="false">E58/(1-$I58)</f>
        <v>0.208481739407793</v>
      </c>
      <c r="O58" s="1157" t="n">
        <f aca="false">F58/(1-$I58)</f>
        <v>0.669196214980596</v>
      </c>
      <c r="P58" s="519" t="n">
        <f aca="false">G58/(1-$I58)</f>
        <v>0.112261442772846</v>
      </c>
      <c r="Q58" s="539" t="n">
        <f aca="false">H58/(1-$I58)</f>
        <v>-0.0159746956567966</v>
      </c>
      <c r="R58" s="1092" t="n">
        <f aca="false">I58/(1-$I58)</f>
        <v>0.121066131518792</v>
      </c>
      <c r="S58" s="115"/>
      <c r="T58" s="502"/>
      <c r="W58" s="502"/>
    </row>
    <row r="59" customFormat="false" ht="12" hidden="false" customHeight="false" outlineLevel="0" collapsed="false">
      <c r="A59" s="542" t="n">
        <f aca="false">A58+1</f>
        <v>2000</v>
      </c>
      <c r="B59" s="1323" t="n">
        <f aca="false">DataDE1!W61/TableDE8!$B58</f>
        <v>0.805280279264495</v>
      </c>
      <c r="C59" s="1048" t="n">
        <f aca="false">(DataDE1!AI61)/TableDE8!$B58</f>
        <v>0.0240471316822555</v>
      </c>
      <c r="D59" s="1488" t="n">
        <f aca="false">(DataDE1!AI61+DataDE1!AJ61)/TableDE8!$B58</f>
        <v>0.0366476663206787</v>
      </c>
      <c r="E59" s="1048" t="n">
        <f aca="false">DataDE1!AO61/TableDE8!$B58</f>
        <v>0.184461853374543</v>
      </c>
      <c r="F59" s="1153" t="n">
        <f aca="false">DataDE1!AV61/TableDE8!$B58</f>
        <v>0.596771294207697</v>
      </c>
      <c r="G59" s="526" t="n">
        <f aca="false">DataDE1!BM61/TableDE8!$B58</f>
        <v>0.0984674085113045</v>
      </c>
      <c r="H59" s="525" t="n">
        <f aca="false">DataDE1!E61/TableDE8!$B58</f>
        <v>-0.0125425478246247</v>
      </c>
      <c r="I59" s="1151" t="n">
        <f aca="false">DataDE1!J61/TableDE8!$B58</f>
        <v>0.108794860048825</v>
      </c>
      <c r="J59" s="1539" t="n">
        <f aca="false">DataDE1!I61/TableDE8!B58</f>
        <v>0.104851756710524</v>
      </c>
      <c r="K59" s="1327" t="n">
        <f aca="false">B59/(1-$I59)</f>
        <v>0.903585766245258</v>
      </c>
      <c r="L59" s="1047" t="n">
        <f aca="false">C59/(1-$I59)</f>
        <v>0.0269827120651177</v>
      </c>
      <c r="M59" s="1548" t="n">
        <f aca="false">D59/(1-$I59)</f>
        <v>0.041121471003507</v>
      </c>
      <c r="N59" s="1047" t="n">
        <f aca="false">E59/(1-$I59)</f>
        <v>0.206980239571608</v>
      </c>
      <c r="O59" s="1153" t="n">
        <f aca="false">F59/(1-$I59)</f>
        <v>0.669622814608533</v>
      </c>
      <c r="P59" s="526" t="n">
        <f aca="false">G59/(1-$I59)</f>
        <v>0.110487927074455</v>
      </c>
      <c r="Q59" s="543" t="n">
        <f aca="false">H59/(1-$I59)</f>
        <v>-0.0140736933197129</v>
      </c>
      <c r="R59" s="1540" t="n">
        <f aca="false">I59/(1-$I59)</f>
        <v>0.122076113760728</v>
      </c>
      <c r="S59" s="115"/>
      <c r="T59" s="502"/>
      <c r="W59" s="502"/>
    </row>
    <row r="60" customFormat="false" ht="12" hidden="false" customHeight="false" outlineLevel="0" collapsed="false">
      <c r="A60" s="446" t="n">
        <f aca="false">A59+1</f>
        <v>2001</v>
      </c>
      <c r="B60" s="855" t="n">
        <f aca="false">DataDE1!W62/TableDE8!$B59</f>
        <v>0.807171792608686</v>
      </c>
      <c r="C60" s="935" t="n">
        <f aca="false">(DataDE1!AI62)/TableDE8!$B59</f>
        <v>0.0251884038291805</v>
      </c>
      <c r="D60" s="1072" t="n">
        <f aca="false">(DataDE1!AI62+DataDE1!AJ62)/TableDE8!$B59</f>
        <v>0.0382012809197275</v>
      </c>
      <c r="E60" s="935" t="n">
        <f aca="false">DataDE1!AO62/TableDE8!$B59</f>
        <v>0.179605992712789</v>
      </c>
      <c r="F60" s="1157" t="n">
        <f aca="false">DataDE1!AV62/TableDE8!$B59</f>
        <v>0.602377396066716</v>
      </c>
      <c r="G60" s="519" t="n">
        <f aca="false">DataDE1!BM62/TableDE8!$B59</f>
        <v>0.0971835607757938</v>
      </c>
      <c r="H60" s="518" t="n">
        <f aca="false">DataDE1!E62/TableDE8!$B59</f>
        <v>-0.0134428678117998</v>
      </c>
      <c r="I60" s="1155" t="n">
        <f aca="false">DataDE1!J62/TableDE8!$B59</f>
        <v>0.10908751442732</v>
      </c>
      <c r="J60" s="1537" t="n">
        <f aca="false">DataDE1!I62/TableDE8!B59</f>
        <v>0.106558490053636</v>
      </c>
      <c r="K60" s="1054" t="n">
        <f aca="false">B60/(1-$I60)</f>
        <v>0.90600570278217</v>
      </c>
      <c r="L60" s="1050" t="n">
        <f aca="false">C60/(1-$I60)</f>
        <v>0.0282725904475223</v>
      </c>
      <c r="M60" s="1071" t="n">
        <f aca="false">D60/(1-$I60)</f>
        <v>0.042878825404688</v>
      </c>
      <c r="N60" s="1050" t="n">
        <f aca="false">E60/(1-$I60)</f>
        <v>0.201597795093575</v>
      </c>
      <c r="O60" s="1157" t="n">
        <f aca="false">F60/(1-$I60)</f>
        <v>0.676135317241073</v>
      </c>
      <c r="P60" s="519" t="n">
        <f aca="false">G60/(1-$I60)</f>
        <v>0.109083172982276</v>
      </c>
      <c r="Q60" s="539" t="n">
        <f aca="false">H60/(1-$I60)</f>
        <v>-0.0150888757644459</v>
      </c>
      <c r="R60" s="1092" t="n">
        <f aca="false">I60/(1-$I60)</f>
        <v>0.122444702699613</v>
      </c>
      <c r="S60" s="115"/>
      <c r="T60" s="502"/>
      <c r="W60" s="502"/>
    </row>
    <row r="61" customFormat="false" ht="12" hidden="false" customHeight="false" outlineLevel="0" collapsed="false">
      <c r="A61" s="446" t="n">
        <f aca="false">A60+1</f>
        <v>2002</v>
      </c>
      <c r="B61" s="855" t="n">
        <f aca="false">DataDE1!W63/TableDE8!$B60</f>
        <v>0.808555395796152</v>
      </c>
      <c r="C61" s="935" t="n">
        <f aca="false">(DataDE1!AI63)/TableDE8!$B60</f>
        <v>0.0278335692426472</v>
      </c>
      <c r="D61" s="1072" t="n">
        <f aca="false">(DataDE1!AI63+DataDE1!AJ63)/TableDE8!$B60</f>
        <v>0.0414734168433655</v>
      </c>
      <c r="E61" s="935" t="n">
        <f aca="false">DataDE1!AO63/TableDE8!$B60</f>
        <v>0.176747360706273</v>
      </c>
      <c r="F61" s="1157" t="n">
        <f aca="false">DataDE1!AV63/TableDE8!$B60</f>
        <v>0.603974465847232</v>
      </c>
      <c r="G61" s="519" t="n">
        <f aca="false">DataDE1!BM63/TableDE8!$B60</f>
        <v>0.0979350009231234</v>
      </c>
      <c r="H61" s="518" t="n">
        <f aca="false">DataDE1!E63/TableDE8!$B60</f>
        <v>-0.0160399684459637</v>
      </c>
      <c r="I61" s="1155" t="n">
        <f aca="false">DataDE1!J63/TableDE8!$B60</f>
        <v>0.109549571726688</v>
      </c>
      <c r="J61" s="1537" t="n">
        <f aca="false">DataDE1!I63/TableDE8!B60</f>
        <v>0.108419444895128</v>
      </c>
      <c r="K61" s="1054" t="n">
        <f aca="false">B61/(1-$I61)</f>
        <v>0.908029655692385</v>
      </c>
      <c r="L61" s="1050" t="n">
        <f aca="false">C61/(1-$I61)</f>
        <v>0.0312578537320935</v>
      </c>
      <c r="M61" s="1071" t="n">
        <f aca="false">D61/(1-$I61)</f>
        <v>0.046575772807238</v>
      </c>
      <c r="N61" s="1050" t="n">
        <f aca="false">E61/(1-$I61)</f>
        <v>0.19849208343805</v>
      </c>
      <c r="O61" s="1157" t="n">
        <f aca="false">F61/(1-$I61)</f>
        <v>0.678279718522242</v>
      </c>
      <c r="P61" s="519" t="n">
        <f aca="false">G61/(1-$I61)</f>
        <v>0.109983664237246</v>
      </c>
      <c r="Q61" s="539" t="n">
        <f aca="false">H61/(1-$I61)</f>
        <v>-0.0180133199296306</v>
      </c>
      <c r="R61" s="1092" t="n">
        <f aca="false">I61/(1-$I61)</f>
        <v>0.123027142498115</v>
      </c>
      <c r="S61" s="115"/>
      <c r="T61" s="502"/>
      <c r="W61" s="502"/>
    </row>
    <row r="62" customFormat="false" ht="12" hidden="false" customHeight="false" outlineLevel="0" collapsed="false">
      <c r="A62" s="446" t="n">
        <f aca="false">A61+1</f>
        <v>2003</v>
      </c>
      <c r="B62" s="855" t="n">
        <f aca="false">DataDE1!W64/TableDE8!$B61</f>
        <v>0.800684515594811</v>
      </c>
      <c r="C62" s="935" t="n">
        <f aca="false">(DataDE1!AI64)/TableDE8!$B61</f>
        <v>0.0276124758487441</v>
      </c>
      <c r="D62" s="1072" t="n">
        <f aca="false">(DataDE1!AI64+DataDE1!AJ64)/TableDE8!$B61</f>
        <v>0.0433784156776152</v>
      </c>
      <c r="E62" s="935" t="n">
        <f aca="false">DataDE1!AO64/TableDE8!$B61</f>
        <v>0.172221915539608</v>
      </c>
      <c r="F62" s="1157" t="n">
        <f aca="false">DataDE1!AV64/TableDE8!$B61</f>
        <v>0.600850124206459</v>
      </c>
      <c r="G62" s="519" t="n">
        <f aca="false">DataDE1!BM64/TableDE8!$B61</f>
        <v>0.0975379519735026</v>
      </c>
      <c r="H62" s="518" t="n">
        <f aca="false">DataDE1!E64/TableDE8!$B61</f>
        <v>-0.0100193210046922</v>
      </c>
      <c r="I62" s="1155" t="n">
        <f aca="false">DataDE1!J64/TableDE8!$B61</f>
        <v>0.111796853436379</v>
      </c>
      <c r="J62" s="1537" t="n">
        <f aca="false">DataDE1!I64/TableDE8!B61</f>
        <v>0.110869445211151</v>
      </c>
      <c r="K62" s="1054" t="n">
        <f aca="false">B62/(1-$I62)</f>
        <v>0.901465524742383</v>
      </c>
      <c r="L62" s="1050" t="n">
        <f aca="false">C62/(1-$I62)</f>
        <v>0.0310880184961901</v>
      </c>
      <c r="M62" s="1071" t="n">
        <f aca="false">D62/(1-$I62)</f>
        <v>0.0488383945108081</v>
      </c>
      <c r="N62" s="1050" t="n">
        <f aca="false">E62/(1-$I62)</f>
        <v>0.193899240512623</v>
      </c>
      <c r="O62" s="1157" t="n">
        <f aca="false">F62/(1-$I62)</f>
        <v>0.67647826573357</v>
      </c>
      <c r="P62" s="519" t="n">
        <f aca="false">G62/(1-$I62)</f>
        <v>0.109814913796318</v>
      </c>
      <c r="Q62" s="539" t="n">
        <f aca="false">H62/(1-$I62)</f>
        <v>-0.0112804385387015</v>
      </c>
      <c r="R62" s="1092" t="n">
        <f aca="false">I62/(1-$I62)</f>
        <v>0.125868562691892</v>
      </c>
      <c r="S62" s="115"/>
      <c r="T62" s="502"/>
      <c r="W62" s="502"/>
    </row>
    <row r="63" customFormat="false" ht="12" hidden="false" customHeight="false" outlineLevel="0" collapsed="false">
      <c r="A63" s="446" t="n">
        <f aca="false">A62+1</f>
        <v>2004</v>
      </c>
      <c r="B63" s="855" t="n">
        <f aca="false">DataDE1!W65/TableDE8!$B62</f>
        <v>0.789355988115755</v>
      </c>
      <c r="C63" s="935" t="n">
        <f aca="false">(DataDE1!AI65)/TableDE8!$B62</f>
        <v>0.026332483955212</v>
      </c>
      <c r="D63" s="1072" t="n">
        <f aca="false">(DataDE1!AI65+DataDE1!AJ65)/TableDE8!$B62</f>
        <v>0.0415525645227799</v>
      </c>
      <c r="E63" s="935" t="n">
        <f aca="false">DataDE1!AO65/TableDE8!$B62</f>
        <v>0.166601465441589</v>
      </c>
      <c r="F63" s="1157" t="n">
        <f aca="false">DataDE1!AV65/TableDE8!$B62</f>
        <v>0.596422038718955</v>
      </c>
      <c r="G63" s="519" t="n">
        <f aca="false">DataDE1!BM65/TableDE8!$B62</f>
        <v>0.0935937153067806</v>
      </c>
      <c r="H63" s="518" t="n">
        <f aca="false">DataDE1!E65/TableDE8!$B62</f>
        <v>0.00994406792205457</v>
      </c>
      <c r="I63" s="1155" t="n">
        <f aca="false">DataDE1!J65/TableDE8!$B62</f>
        <v>0.10710622865541</v>
      </c>
      <c r="J63" s="1537" t="n">
        <f aca="false">DataDE1!I65/TableDE8!B62</f>
        <v>0.107127374998678</v>
      </c>
      <c r="K63" s="1054" t="n">
        <f aca="false">B63/(1-$I63)</f>
        <v>0.884042439815747</v>
      </c>
      <c r="L63" s="1050" t="n">
        <f aca="false">C63/(1-$I63)</f>
        <v>0.0294911721867636</v>
      </c>
      <c r="M63" s="1071" t="n">
        <f aca="false">D63/(1-$I63)</f>
        <v>0.0465369631375149</v>
      </c>
      <c r="N63" s="1050" t="n">
        <f aca="false">E63/(1-$I63)</f>
        <v>0.186585986808606</v>
      </c>
      <c r="O63" s="1157" t="n">
        <f aca="false">F63/(1-$I63)</f>
        <v>0.667965280820377</v>
      </c>
      <c r="P63" s="519" t="n">
        <f aca="false">G63/(1-$I63)</f>
        <v>0.104820660990657</v>
      </c>
      <c r="Q63" s="539" t="n">
        <f aca="false">H63/(1-$I63)</f>
        <v>0.0111368991935961</v>
      </c>
      <c r="R63" s="1092" t="n">
        <f aca="false">I63/(1-$I63)</f>
        <v>0.119954055110185</v>
      </c>
      <c r="S63" s="115"/>
      <c r="T63" s="502"/>
      <c r="W63" s="502"/>
    </row>
    <row r="64" customFormat="false" ht="12" hidden="false" customHeight="false" outlineLevel="0" collapsed="false">
      <c r="A64" s="446" t="n">
        <f aca="false">A63+1</f>
        <v>2005</v>
      </c>
      <c r="B64" s="855" t="n">
        <f aca="false">DataDE1!W66/TableDE8!$B63</f>
        <v>0.787773921098234</v>
      </c>
      <c r="C64" s="935" t="n">
        <f aca="false">(DataDE1!AI66)/TableDE8!$B63</f>
        <v>0.0268417957671352</v>
      </c>
      <c r="D64" s="1072" t="n">
        <f aca="false">(DataDE1!AI66+DataDE1!AJ66)/TableDE8!$B63</f>
        <v>0.0413919432981375</v>
      </c>
      <c r="E64" s="935" t="n">
        <f aca="false">DataDE1!AO66/TableDE8!$B63</f>
        <v>0.165775929809589</v>
      </c>
      <c r="F64" s="1157" t="n">
        <f aca="false">DataDE1!AV66/TableDE8!$B63</f>
        <v>0.59515619552151</v>
      </c>
      <c r="G64" s="519" t="n">
        <f aca="false">DataDE1!BM66/TableDE8!$B63</f>
        <v>0.0919792051539578</v>
      </c>
      <c r="H64" s="518" t="n">
        <f aca="false">DataDE1!E66/TableDE8!$B63</f>
        <v>0.0131086629580096</v>
      </c>
      <c r="I64" s="1155" t="n">
        <f aca="false">DataDE1!J66/TableDE8!$B63</f>
        <v>0.107138210789798</v>
      </c>
      <c r="J64" s="1537" t="n">
        <f aca="false">DataDE1!I66/TableDE8!B63</f>
        <v>0.106831179779666</v>
      </c>
      <c r="K64" s="1054" t="n">
        <f aca="false">B64/(1-$I64)</f>
        <v>0.882302200203992</v>
      </c>
      <c r="L64" s="1050" t="n">
        <f aca="false">C64/(1-$I64)</f>
        <v>0.0300626548156783</v>
      </c>
      <c r="M64" s="1071" t="n">
        <f aca="false">D64/(1-$I64)</f>
        <v>0.0463587352469765</v>
      </c>
      <c r="N64" s="1050" t="n">
        <f aca="false">E64/(1-$I64)</f>
        <v>0.185668075185779</v>
      </c>
      <c r="O64" s="1157" t="n">
        <f aca="false">F64/(1-$I64)</f>
        <v>0.666571470202535</v>
      </c>
      <c r="P64" s="519" t="n">
        <f aca="false">G64/(1-$I64)</f>
        <v>0.103016173684977</v>
      </c>
      <c r="Q64" s="539" t="n">
        <f aca="false">H64/(1-$I64)</f>
        <v>0.0146816261110302</v>
      </c>
      <c r="R64" s="1092" t="n">
        <f aca="false">I64/(1-$I64)</f>
        <v>0.119994171645053</v>
      </c>
      <c r="S64" s="115"/>
      <c r="T64" s="502"/>
      <c r="W64" s="502"/>
    </row>
    <row r="65" customFormat="false" ht="12" hidden="false" customHeight="false" outlineLevel="0" collapsed="false">
      <c r="A65" s="446" t="n">
        <f aca="false">A64+1</f>
        <v>2006</v>
      </c>
      <c r="B65" s="855" t="n">
        <f aca="false">DataDE1!W67/TableDE8!$B64</f>
        <v>0.783725064191191</v>
      </c>
      <c r="C65" s="935" t="n">
        <f aca="false">(DataDE1!AI67)/TableDE8!$B64</f>
        <v>0.0264714596089275</v>
      </c>
      <c r="D65" s="1072" t="n">
        <f aca="false">(DataDE1!AI67+DataDE1!AJ67)/TableDE8!$B64</f>
        <v>0.0380456251234446</v>
      </c>
      <c r="E65" s="935" t="n">
        <f aca="false">DataDE1!AO67/TableDE8!$B64</f>
        <v>0.162798735927316</v>
      </c>
      <c r="F65" s="1157" t="n">
        <f aca="false">DataDE1!AV67/TableDE8!$B64</f>
        <v>0.594454868654948</v>
      </c>
      <c r="G65" s="519" t="n">
        <f aca="false">DataDE1!BM67/TableDE8!$B64</f>
        <v>0.0874975311080387</v>
      </c>
      <c r="H65" s="518" t="n">
        <f aca="false">DataDE1!E67/TableDE8!$B64</f>
        <v>0.0232717756270986</v>
      </c>
      <c r="I65" s="1155" t="n">
        <f aca="false">DataDE1!J67/TableDE8!$B64</f>
        <v>0.105505629073672</v>
      </c>
      <c r="J65" s="1537" t="n">
        <f aca="false">DataDE1!I67/TableDE8!B64</f>
        <v>0.10554019356113</v>
      </c>
      <c r="K65" s="1054" t="n">
        <f aca="false">B65/(1-$I65)</f>
        <v>0.876165451303594</v>
      </c>
      <c r="L65" s="1050" t="n">
        <f aca="false">C65/(1-$I65)</f>
        <v>0.0295937688031664</v>
      </c>
      <c r="M65" s="1071" t="n">
        <f aca="false">D65/(1-$I65)</f>
        <v>0.0425331073733253</v>
      </c>
      <c r="N65" s="1050" t="n">
        <f aca="false">E65/(1-$I65)</f>
        <v>0.182000850110128</v>
      </c>
      <c r="O65" s="1157" t="n">
        <f aca="false">F65/(1-$I65)</f>
        <v>0.6645708323903</v>
      </c>
      <c r="P65" s="519" t="n">
        <f aca="false">G65/(1-$I65)</f>
        <v>0.0978178666651946</v>
      </c>
      <c r="Q65" s="539" t="n">
        <f aca="false">H65/(1-$I65)</f>
        <v>0.0260166820312112</v>
      </c>
      <c r="R65" s="1092" t="n">
        <f aca="false">I65/(1-$I65)</f>
        <v>0.117950020148714</v>
      </c>
      <c r="S65" s="115"/>
      <c r="T65" s="502"/>
      <c r="W65" s="502"/>
    </row>
    <row r="66" customFormat="false" ht="12" hidden="false" customHeight="false" outlineLevel="0" collapsed="false">
      <c r="A66" s="446" t="n">
        <f aca="false">A65+1</f>
        <v>2007</v>
      </c>
      <c r="B66" s="855" t="n">
        <f aca="false">DataDE1!W68/TableDE8!$B65</f>
        <v>0.782927289896129</v>
      </c>
      <c r="C66" s="935" t="n">
        <f aca="false">(DataDE1!AI68)/TableDE8!$B65</f>
        <v>0.0268932955618508</v>
      </c>
      <c r="D66" s="1072" t="n">
        <f aca="false">(DataDE1!AI68+DataDE1!AJ68)/TableDE8!$B65</f>
        <v>0.0353116147308782</v>
      </c>
      <c r="E66" s="935" t="n">
        <f aca="false">DataDE1!AO68/TableDE8!$B65</f>
        <v>0.1590462700661</v>
      </c>
      <c r="F66" s="1157" t="n">
        <f aca="false">DataDE1!AV68/TableDE8!$B65</f>
        <v>0.596987724268178</v>
      </c>
      <c r="G66" s="519" t="n">
        <f aca="false">DataDE1!BM68/TableDE8!$B65</f>
        <v>0.0841501416430595</v>
      </c>
      <c r="H66" s="518" t="n">
        <f aca="false">DataDE1!E68/TableDE8!$B65</f>
        <v>0.0197497639282342</v>
      </c>
      <c r="I66" s="1155" t="n">
        <f aca="false">DataDE1!J68/TableDE8!$B65</f>
        <v>0.113172804532578</v>
      </c>
      <c r="J66" s="1537" t="n">
        <f aca="false">DataDE1!I68/TableDE8!B65</f>
        <v>0.112200188857413</v>
      </c>
      <c r="K66" s="1054" t="n">
        <f aca="false">B66/(1-$I66)</f>
        <v>0.882840866741202</v>
      </c>
      <c r="L66" s="1050" t="n">
        <f aca="false">C66/(1-$I66)</f>
        <v>0.0303252941489645</v>
      </c>
      <c r="M66" s="1071" t="n">
        <f aca="false">D66/(1-$I66)</f>
        <v>0.0398179204599904</v>
      </c>
      <c r="N66" s="1050" t="n">
        <f aca="false">E66/(1-$I66)</f>
        <v>0.179343022946281</v>
      </c>
      <c r="O66" s="1157" t="n">
        <f aca="false">F66/(1-$I66)</f>
        <v>0.673172549645957</v>
      </c>
      <c r="P66" s="519" t="n">
        <f aca="false">G66/(1-$I66)</f>
        <v>0.094888995368152</v>
      </c>
      <c r="Q66" s="539" t="n">
        <f aca="false">H66/(1-$I66)</f>
        <v>0.0222701378906458</v>
      </c>
      <c r="R66" s="1092" t="n">
        <f aca="false">I66/(1-$I66)</f>
        <v>0.127615396901453</v>
      </c>
      <c r="S66" s="115"/>
      <c r="T66" s="502"/>
      <c r="W66" s="502"/>
    </row>
    <row r="67" customFormat="false" ht="12" hidden="false" customHeight="false" outlineLevel="0" collapsed="false">
      <c r="A67" s="446" t="n">
        <f aca="false">A66+1</f>
        <v>2008</v>
      </c>
      <c r="B67" s="855" t="n">
        <f aca="false">DataDE1!W69/TableDE8!$B66</f>
        <v>0.785819454896443</v>
      </c>
      <c r="C67" s="935" t="n">
        <f aca="false">(DataDE1!AI69)/TableDE8!$B66</f>
        <v>0.0279235864093372</v>
      </c>
      <c r="D67" s="1072" t="n">
        <f aca="false">(DataDE1!AI69+DataDE1!AJ69)/TableDE8!$B66</f>
        <v>0.0350610682384396</v>
      </c>
      <c r="E67" s="935" t="n">
        <f aca="false">DataDE1!AO69/TableDE8!$B66</f>
        <v>0.163507696047041</v>
      </c>
      <c r="F67" s="1157" t="n">
        <f aca="false">DataDE1!AV69/TableDE8!$B66</f>
        <v>0.594388172440065</v>
      </c>
      <c r="G67" s="519" t="n">
        <f aca="false">DataDE1!BM69/TableDE8!$B66</f>
        <v>0.0852244310347245</v>
      </c>
      <c r="H67" s="518" t="n">
        <f aca="false">DataDE1!E69/TableDE8!$B66</f>
        <v>0.0148171692195512</v>
      </c>
      <c r="I67" s="1155" t="n">
        <f aca="false">DataDE1!J69/TableDE8!$B66</f>
        <v>0.114138944849281</v>
      </c>
      <c r="J67" s="1537" t="n">
        <f aca="false">DataDE1!I69/TableDE8!B66</f>
        <v>0.113077904655957</v>
      </c>
      <c r="K67" s="1054" t="n">
        <f aca="false">B67/(1-$I67)</f>
        <v>0.887068519749686</v>
      </c>
      <c r="L67" s="1050" t="n">
        <f aca="false">C67/(1-$I67)</f>
        <v>0.0315214064857906</v>
      </c>
      <c r="M67" s="1071" t="n">
        <f aca="false">D67/(1-$I67)</f>
        <v>0.039578518588871</v>
      </c>
      <c r="N67" s="1050" t="n">
        <f aca="false">E67/(1-$I67)</f>
        <v>0.184574877850593</v>
      </c>
      <c r="O67" s="1157" t="n">
        <f aca="false">F67/(1-$I67)</f>
        <v>0.670972235413303</v>
      </c>
      <c r="P67" s="519" t="n">
        <f aca="false">G67/(1-$I67)</f>
        <v>0.096205189898798</v>
      </c>
      <c r="Q67" s="539" t="n">
        <f aca="false">H67/(1-$I67)</f>
        <v>0.0167262903515159</v>
      </c>
      <c r="R67" s="1092" t="n">
        <f aca="false">I67/(1-$I67)</f>
        <v>0.128845200029548</v>
      </c>
      <c r="S67" s="115"/>
      <c r="T67" s="502"/>
      <c r="W67" s="502"/>
    </row>
    <row r="68" customFormat="false" ht="12" hidden="false" customHeight="false" outlineLevel="0" collapsed="false">
      <c r="A68" s="446" t="n">
        <f aca="false">A67+1</f>
        <v>2009</v>
      </c>
      <c r="B68" s="855" t="n">
        <f aca="false">DataDE1!W70/TableDE8!$B67</f>
        <v>0.765828523516106</v>
      </c>
      <c r="C68" s="935" t="n">
        <f aca="false">(DataDE1!AI70)/TableDE8!$B67</f>
        <v>0.026470244130723</v>
      </c>
      <c r="D68" s="1072" t="n">
        <f aca="false">(DataDE1!AI70+DataDE1!AJ70)/TableDE8!$B67</f>
        <v>0.0393738787926059</v>
      </c>
      <c r="E68" s="935" t="n">
        <f aca="false">DataDE1!AO70/TableDE8!$B67</f>
        <v>0.163359917323142</v>
      </c>
      <c r="F68" s="1157" t="n">
        <f aca="false">DataDE1!AV70/TableDE8!$B67</f>
        <v>0.575998362062242</v>
      </c>
      <c r="G68" s="519" t="n">
        <f aca="false">DataDE1!BM70/TableDE8!$B67</f>
        <v>0.0924801107557913</v>
      </c>
      <c r="H68" s="518" t="n">
        <f aca="false">DataDE1!E70/TableDE8!$B67</f>
        <v>0.0245446923016925</v>
      </c>
      <c r="I68" s="1155" t="n">
        <f aca="false">DataDE1!J70/TableDE8!$B67</f>
        <v>0.11714667342641</v>
      </c>
      <c r="J68" s="1537" t="n">
        <f aca="false">DataDE1!I70/TableDE8!B67</f>
        <v>0.117517159347945</v>
      </c>
      <c r="K68" s="1054" t="n">
        <f aca="false">B68/(1-$I68)</f>
        <v>0.867447061097154</v>
      </c>
      <c r="L68" s="1050" t="n">
        <f aca="false">C68/(1-$I68)</f>
        <v>0.0299826067750752</v>
      </c>
      <c r="M68" s="1071" t="n">
        <f aca="false">D68/(1-$I68)</f>
        <v>0.0445984373705861</v>
      </c>
      <c r="N68" s="1050" t="n">
        <f aca="false">E68/(1-$I68)</f>
        <v>0.185036304905994</v>
      </c>
      <c r="O68" s="1157" t="n">
        <f aca="false">F68/(1-$I68)</f>
        <v>0.652428149416085</v>
      </c>
      <c r="P68" s="519" t="n">
        <f aca="false">G68/(1-$I68)</f>
        <v>0.10475138731675</v>
      </c>
      <c r="Q68" s="539" t="n">
        <f aca="false">H68/(1-$I68)</f>
        <v>0.0278015515860965</v>
      </c>
      <c r="R68" s="1092" t="n">
        <f aca="false">I68/(1-$I68)</f>
        <v>0.132690980370503</v>
      </c>
      <c r="S68" s="115"/>
      <c r="T68" s="502"/>
      <c r="W68" s="502"/>
    </row>
    <row r="69" customFormat="false" ht="12" hidden="false" customHeight="false" outlineLevel="0" collapsed="false">
      <c r="A69" s="542" t="n">
        <f aca="false">A68+1</f>
        <v>2010</v>
      </c>
      <c r="B69" s="1323" t="n">
        <f aca="false">DataDE1!W71/TableDE8!$B68</f>
        <v>0.774246759177283</v>
      </c>
      <c r="C69" s="1048" t="n">
        <f aca="false">(DataDE1!AI71)/TableDE8!$B68</f>
        <v>0.0247896144562594</v>
      </c>
      <c r="D69" s="1488" t="n">
        <f aca="false">(DataDE1!AI71+DataDE1!AJ71)/TableDE8!$B68</f>
        <v>0.0375385590337642</v>
      </c>
      <c r="E69" s="1048" t="n">
        <f aca="false">DataDE1!AO71/TableDE8!$B68</f>
        <v>0.162325377668844</v>
      </c>
      <c r="F69" s="1153" t="n">
        <f aca="false">DataDE1!AV71/TableDE8!$B68</f>
        <v>0.587131767052179</v>
      </c>
      <c r="G69" s="526" t="n">
        <f aca="false">DataDE1!BM71/TableDE8!$B68</f>
        <v>0.0906498420361034</v>
      </c>
      <c r="H69" s="525" t="n">
        <f aca="false">DataDE1!E71/TableDE8!$B68</f>
        <v>0.0214113305312992</v>
      </c>
      <c r="I69" s="1151" t="n">
        <f aca="false">DataDE1!J71/TableDE8!$B68</f>
        <v>0.113692068255314</v>
      </c>
      <c r="J69" s="1539" t="n">
        <f aca="false">DataDE1!I71/TableDE8!B68</f>
        <v>0.11364547123566</v>
      </c>
      <c r="K69" s="1327" t="n">
        <f aca="false">B69/(1-$I69)</f>
        <v>0.873564064414033</v>
      </c>
      <c r="L69" s="1047" t="n">
        <f aca="false">C69/(1-$I69)</f>
        <v>0.0279695279353546</v>
      </c>
      <c r="M69" s="1548" t="n">
        <f aca="false">D69/(1-$I69)</f>
        <v>0.0423538565878228</v>
      </c>
      <c r="N69" s="1047" t="n">
        <f aca="false">E69/(1-$I69)</f>
        <v>0.183147833675943</v>
      </c>
      <c r="O69" s="1153" t="n">
        <f aca="false">F69/(1-$I69)</f>
        <v>0.662446702802736</v>
      </c>
      <c r="P69" s="526" t="n">
        <f aca="false">G69/(1-$I69)</f>
        <v>0.102278044446314</v>
      </c>
      <c r="Q69" s="543" t="n">
        <f aca="false">H69/(1-$I69)</f>
        <v>0.0241578911396531</v>
      </c>
      <c r="R69" s="1540" t="n">
        <f aca="false">I69/(1-$I69)</f>
        <v>0.12827603610803</v>
      </c>
      <c r="S69" s="115"/>
      <c r="T69" s="502"/>
      <c r="W69" s="502"/>
    </row>
    <row r="70" customFormat="false" ht="13" hidden="false" customHeight="false" outlineLevel="0" collapsed="false">
      <c r="A70" s="449" t="n">
        <f aca="false">A69+1</f>
        <v>2011</v>
      </c>
      <c r="B70" s="1339" t="n">
        <f aca="false">DataDE1!W72/TableDE8!$B69</f>
        <v>0.773652802081931</v>
      </c>
      <c r="C70" s="1087" t="n">
        <f aca="false">(DataDE1!AI72)/TableDE8!$B69</f>
        <v>0.0238031139229147</v>
      </c>
      <c r="D70" s="1505" t="n">
        <f aca="false">(DataDE1!AI72+DataDE1!AJ72)/TableDE8!$B69</f>
        <v>0.0347915825369049</v>
      </c>
      <c r="E70" s="1087" t="n">
        <f aca="false">DataDE1!AO72/TableDE8!$B69</f>
        <v>0.161233005788128</v>
      </c>
      <c r="F70" s="1237" t="n">
        <f aca="false">DataDE1!AV72/TableDE8!$B69</f>
        <v>0.588616682370889</v>
      </c>
      <c r="G70" s="548" t="n">
        <f aca="false">DataDE1!BM72/TableDE8!$B69</f>
        <v>0.0896576479562076</v>
      </c>
      <c r="H70" s="605" t="n">
        <f aca="false">DataDE1!E72/TableDE8!$B69</f>
        <v>0.0186745636469691</v>
      </c>
      <c r="I70" s="1234" t="n">
        <f aca="false">DataDE1!J72/TableDE8!$B69</f>
        <v>0.118014986314892</v>
      </c>
      <c r="J70" s="1549" t="n">
        <f aca="false">DataDE1!I72/TableDE8!B69</f>
        <v>0.117718849553551</v>
      </c>
      <c r="K70" s="1342" t="n">
        <f aca="false">B70/(1-$I70)</f>
        <v>0.877172276260632</v>
      </c>
      <c r="L70" s="1235" t="n">
        <f aca="false">C70/(1-$I70)</f>
        <v>0.0269881160717919</v>
      </c>
      <c r="M70" s="1550" t="n">
        <f aca="false">D70/(1-$I70)</f>
        <v>0.0394469089577144</v>
      </c>
      <c r="N70" s="1235" t="n">
        <f aca="false">E70/(1-$I70)</f>
        <v>0.182806967563388</v>
      </c>
      <c r="O70" s="1237" t="n">
        <f aca="false">F70/(1-$I70)</f>
        <v>0.667377192625453</v>
      </c>
      <c r="P70" s="548" t="n">
        <f aca="false">G70/(1-$I70)</f>
        <v>0.101654389320744</v>
      </c>
      <c r="Q70" s="547" t="n">
        <f aca="false">H70/(1-$I70)</f>
        <v>0.0211733344186236</v>
      </c>
      <c r="R70" s="1551" t="n">
        <f aca="false">I70/(1-$I70)</f>
        <v>0.133806112897318</v>
      </c>
      <c r="S70" s="115"/>
      <c r="T70" s="502"/>
      <c r="W70" s="502"/>
    </row>
    <row r="71" customFormat="false" ht="13" hidden="false" customHeight="false" outlineLevel="0" collapsed="false">
      <c r="C71" s="115"/>
      <c r="D71" s="115"/>
      <c r="E71" s="115"/>
      <c r="F71" s="115"/>
      <c r="G71" s="115"/>
      <c r="H71" s="1284"/>
      <c r="I71" s="115"/>
      <c r="J71" s="115"/>
      <c r="K71" s="115"/>
      <c r="L71" s="115"/>
      <c r="M71" s="115"/>
      <c r="N71" s="115"/>
      <c r="O71" s="115"/>
      <c r="P71" s="115"/>
      <c r="Q71" s="115"/>
      <c r="R71" s="115"/>
      <c r="S71" s="115"/>
    </row>
    <row r="72" customFormat="false" ht="12" hidden="false" customHeight="false" outlineLevel="0" collapsed="false">
      <c r="C72" s="197"/>
      <c r="D72" s="197"/>
      <c r="E72" s="197"/>
      <c r="F72" s="197"/>
      <c r="G72" s="197"/>
      <c r="H72" s="1552"/>
      <c r="I72" s="197"/>
      <c r="J72" s="197"/>
      <c r="K72" s="197"/>
      <c r="L72" s="197"/>
      <c r="M72" s="197"/>
      <c r="N72" s="197"/>
      <c r="O72" s="197"/>
      <c r="P72" s="197"/>
      <c r="Q72" s="197"/>
      <c r="R72" s="115"/>
      <c r="S72" s="115"/>
    </row>
    <row r="73" customFormat="false" ht="12" hidden="false" customHeight="false" outlineLevel="0" collapsed="false">
      <c r="C73" s="197"/>
      <c r="D73" s="197"/>
      <c r="E73" s="197"/>
      <c r="F73" s="197"/>
      <c r="G73" s="197"/>
      <c r="H73" s="1552"/>
      <c r="I73" s="197"/>
      <c r="J73" s="197"/>
      <c r="K73" s="197"/>
      <c r="L73" s="197"/>
      <c r="M73" s="197"/>
      <c r="N73" s="197"/>
      <c r="O73" s="197"/>
      <c r="P73" s="197"/>
      <c r="Q73" s="197"/>
      <c r="R73" s="115"/>
      <c r="S73" s="115"/>
    </row>
    <row r="74" customFormat="false" ht="12" hidden="false" customHeight="false" outlineLevel="0" collapsed="false">
      <c r="C74" s="197"/>
      <c r="D74" s="197"/>
      <c r="E74" s="197"/>
      <c r="F74" s="197"/>
      <c r="G74" s="197"/>
      <c r="H74" s="1552"/>
      <c r="I74" s="197"/>
      <c r="J74" s="197"/>
      <c r="K74" s="197"/>
      <c r="L74" s="197"/>
      <c r="M74" s="197"/>
      <c r="N74" s="197"/>
      <c r="O74" s="197"/>
      <c r="P74" s="197"/>
      <c r="Q74" s="197"/>
      <c r="R74" s="115"/>
      <c r="S74" s="115"/>
    </row>
    <row r="75" customFormat="false" ht="12" hidden="false" customHeight="false" outlineLevel="0" collapsed="false">
      <c r="C75" s="197"/>
      <c r="D75" s="197"/>
      <c r="E75" s="197"/>
      <c r="F75" s="197"/>
      <c r="G75" s="197"/>
      <c r="H75" s="1552"/>
      <c r="I75" s="197"/>
      <c r="J75" s="197"/>
      <c r="K75" s="197"/>
      <c r="L75" s="197"/>
      <c r="M75" s="197"/>
      <c r="N75" s="197"/>
      <c r="O75" s="197"/>
      <c r="P75" s="197"/>
      <c r="Q75" s="197"/>
      <c r="R75" s="115"/>
      <c r="S75" s="115"/>
    </row>
    <row r="76" customFormat="false" ht="12" hidden="false" customHeight="false" outlineLevel="0" collapsed="false">
      <c r="C76" s="197"/>
      <c r="D76" s="197"/>
      <c r="E76" s="197"/>
      <c r="F76" s="197"/>
      <c r="G76" s="197"/>
      <c r="H76" s="1552"/>
      <c r="I76" s="197"/>
      <c r="J76" s="197"/>
      <c r="K76" s="197"/>
      <c r="L76" s="197"/>
      <c r="M76" s="197"/>
      <c r="N76" s="197"/>
      <c r="O76" s="197"/>
      <c r="P76" s="197"/>
      <c r="Q76" s="197"/>
      <c r="R76" s="115"/>
      <c r="S76" s="115"/>
    </row>
    <row r="77" customFormat="false" ht="12" hidden="false" customHeight="false" outlineLevel="0" collapsed="false">
      <c r="C77" s="197"/>
      <c r="D77" s="197"/>
      <c r="E77" s="197"/>
      <c r="F77" s="197"/>
      <c r="G77" s="197"/>
      <c r="H77" s="1552"/>
      <c r="I77" s="197"/>
      <c r="J77" s="197"/>
      <c r="K77" s="197"/>
      <c r="L77" s="197"/>
      <c r="M77" s="197"/>
      <c r="N77" s="197"/>
      <c r="O77" s="197"/>
      <c r="P77" s="197"/>
      <c r="Q77" s="197"/>
      <c r="R77" s="115"/>
      <c r="S77" s="115"/>
    </row>
    <row r="78" customFormat="false" ht="12" hidden="false" customHeight="false" outlineLevel="0" collapsed="false">
      <c r="C78" s="197"/>
      <c r="D78" s="197"/>
      <c r="E78" s="197"/>
      <c r="F78" s="197"/>
      <c r="G78" s="197"/>
      <c r="H78" s="1552"/>
      <c r="I78" s="197"/>
      <c r="J78" s="197"/>
      <c r="K78" s="197"/>
      <c r="L78" s="197"/>
      <c r="M78" s="197"/>
      <c r="N78" s="197"/>
      <c r="O78" s="197"/>
      <c r="P78" s="197"/>
      <c r="Q78" s="197"/>
      <c r="R78" s="115"/>
      <c r="S78" s="115"/>
    </row>
    <row r="79" customFormat="false" ht="12" hidden="false" customHeight="false" outlineLevel="0" collapsed="false">
      <c r="C79" s="197"/>
      <c r="D79" s="197"/>
      <c r="E79" s="197"/>
      <c r="F79" s="197"/>
      <c r="G79" s="197"/>
      <c r="H79" s="1552"/>
      <c r="I79" s="197"/>
      <c r="J79" s="197"/>
      <c r="K79" s="197"/>
      <c r="L79" s="197"/>
      <c r="M79" s="197"/>
      <c r="N79" s="197"/>
      <c r="O79" s="197"/>
      <c r="P79" s="197"/>
      <c r="Q79" s="197"/>
      <c r="R79" s="115"/>
      <c r="S79" s="115"/>
    </row>
    <row r="80" customFormat="false" ht="12" hidden="false" customHeight="false" outlineLevel="0" collapsed="false">
      <c r="C80" s="197"/>
      <c r="D80" s="197"/>
      <c r="E80" s="197"/>
      <c r="F80" s="197"/>
      <c r="G80" s="197"/>
      <c r="H80" s="1552"/>
      <c r="I80" s="197"/>
      <c r="J80" s="197"/>
      <c r="K80" s="197"/>
      <c r="L80" s="197"/>
      <c r="M80" s="197"/>
      <c r="N80" s="197"/>
      <c r="O80" s="197"/>
      <c r="P80" s="197"/>
      <c r="Q80" s="197"/>
      <c r="R80" s="115"/>
      <c r="S80" s="115"/>
    </row>
    <row r="81" customFormat="false" ht="12" hidden="false" customHeight="false" outlineLevel="0" collapsed="false">
      <c r="C81" s="197"/>
      <c r="D81" s="197"/>
      <c r="E81" s="197"/>
      <c r="F81" s="197"/>
      <c r="G81" s="197"/>
      <c r="H81" s="1552"/>
      <c r="I81" s="197"/>
      <c r="J81" s="197"/>
      <c r="K81" s="197"/>
      <c r="L81" s="197"/>
      <c r="M81" s="197"/>
      <c r="N81" s="197"/>
      <c r="O81" s="197"/>
      <c r="P81" s="197"/>
      <c r="Q81" s="197"/>
      <c r="R81" s="115"/>
      <c r="S81" s="115"/>
    </row>
    <row r="82" customFormat="false" ht="12" hidden="false" customHeight="false" outlineLevel="0" collapsed="false">
      <c r="C82" s="197"/>
      <c r="D82" s="197"/>
      <c r="E82" s="197"/>
      <c r="F82" s="197"/>
      <c r="G82" s="197"/>
      <c r="H82" s="1552"/>
      <c r="I82" s="197"/>
      <c r="J82" s="197"/>
      <c r="K82" s="197"/>
      <c r="L82" s="197"/>
      <c r="M82" s="197"/>
      <c r="N82" s="197"/>
      <c r="O82" s="197"/>
      <c r="P82" s="197"/>
      <c r="Q82" s="197"/>
      <c r="R82" s="115"/>
      <c r="S82" s="115"/>
    </row>
    <row r="83" customFormat="false" ht="12" hidden="false" customHeight="false" outlineLevel="0" collapsed="false">
      <c r="C83" s="197"/>
      <c r="D83" s="197"/>
      <c r="E83" s="197"/>
      <c r="F83" s="197"/>
      <c r="G83" s="197"/>
      <c r="H83" s="1552"/>
      <c r="I83" s="197"/>
      <c r="J83" s="197"/>
      <c r="K83" s="197"/>
      <c r="L83" s="197"/>
      <c r="M83" s="197"/>
      <c r="N83" s="197"/>
      <c r="O83" s="197"/>
      <c r="P83" s="197"/>
      <c r="Q83" s="197"/>
      <c r="R83" s="115"/>
      <c r="S83" s="115"/>
    </row>
    <row r="84" customFormat="false" ht="12" hidden="false" customHeight="false" outlineLevel="0" collapsed="false">
      <c r="C84" s="197"/>
      <c r="D84" s="197"/>
      <c r="E84" s="197"/>
      <c r="F84" s="197"/>
      <c r="G84" s="197"/>
      <c r="H84" s="1552"/>
      <c r="I84" s="197"/>
      <c r="J84" s="197"/>
      <c r="K84" s="197"/>
      <c r="L84" s="197"/>
      <c r="M84" s="197"/>
      <c r="N84" s="197"/>
      <c r="O84" s="197"/>
      <c r="P84" s="197"/>
      <c r="Q84" s="197"/>
      <c r="R84" s="197"/>
      <c r="S84" s="197"/>
    </row>
    <row r="85" customFormat="false" ht="12" hidden="false" customHeight="false" outlineLevel="0" collapsed="false">
      <c r="C85" s="197"/>
      <c r="D85" s="197"/>
      <c r="E85" s="197"/>
      <c r="F85" s="197"/>
      <c r="G85" s="197"/>
      <c r="H85" s="1552"/>
      <c r="I85" s="197"/>
      <c r="J85" s="197"/>
      <c r="K85" s="197"/>
      <c r="L85" s="197"/>
      <c r="M85" s="197"/>
      <c r="N85" s="197"/>
      <c r="O85" s="197"/>
      <c r="P85" s="197"/>
      <c r="Q85" s="197"/>
      <c r="R85" s="197"/>
      <c r="S85" s="197"/>
    </row>
    <row r="86" customFormat="false" ht="12" hidden="false" customHeight="false" outlineLevel="0" collapsed="false">
      <c r="C86" s="197"/>
      <c r="D86" s="197"/>
      <c r="E86" s="197"/>
      <c r="F86" s="197"/>
      <c r="G86" s="197"/>
      <c r="H86" s="1552"/>
      <c r="I86" s="197"/>
      <c r="J86" s="197"/>
      <c r="K86" s="197"/>
      <c r="L86" s="197"/>
      <c r="M86" s="197"/>
      <c r="N86" s="197"/>
      <c r="O86" s="197"/>
      <c r="P86" s="197"/>
      <c r="Q86" s="197"/>
      <c r="R86" s="197"/>
      <c r="S86" s="197"/>
    </row>
    <row r="87" customFormat="false" ht="12" hidden="false" customHeight="false" outlineLevel="0" collapsed="false">
      <c r="C87" s="197"/>
      <c r="D87" s="197"/>
      <c r="E87" s="197"/>
      <c r="F87" s="197"/>
      <c r="G87" s="197"/>
      <c r="H87" s="1552"/>
      <c r="I87" s="197"/>
      <c r="J87" s="197"/>
      <c r="K87" s="197"/>
      <c r="L87" s="197"/>
      <c r="M87" s="197"/>
      <c r="N87" s="197"/>
      <c r="O87" s="197"/>
      <c r="P87" s="197"/>
      <c r="Q87" s="197"/>
      <c r="R87" s="197"/>
      <c r="S87" s="197"/>
    </row>
    <row r="88" customFormat="false" ht="12" hidden="false" customHeight="false" outlineLevel="0" collapsed="false">
      <c r="C88" s="197"/>
      <c r="D88" s="197"/>
      <c r="E88" s="197"/>
      <c r="F88" s="197"/>
      <c r="G88" s="197"/>
      <c r="H88" s="1552"/>
      <c r="I88" s="197"/>
      <c r="J88" s="197"/>
      <c r="K88" s="197"/>
      <c r="L88" s="197"/>
      <c r="M88" s="197"/>
      <c r="N88" s="197"/>
      <c r="O88" s="197"/>
      <c r="P88" s="197"/>
      <c r="Q88" s="197"/>
      <c r="R88" s="197"/>
      <c r="S88" s="197"/>
    </row>
    <row r="89" customFormat="false" ht="12" hidden="false" customHeight="false" outlineLevel="0" collapsed="false">
      <c r="C89" s="197"/>
      <c r="D89" s="197"/>
      <c r="E89" s="197"/>
      <c r="F89" s="197"/>
      <c r="G89" s="197"/>
      <c r="H89" s="1552"/>
      <c r="I89" s="197"/>
      <c r="J89" s="197"/>
      <c r="K89" s="197"/>
      <c r="L89" s="197"/>
      <c r="M89" s="197"/>
      <c r="N89" s="197"/>
      <c r="O89" s="197"/>
      <c r="P89" s="197"/>
      <c r="Q89" s="197"/>
      <c r="R89" s="197"/>
      <c r="S89" s="197"/>
    </row>
    <row r="90" customFormat="false" ht="12" hidden="false" customHeight="false" outlineLevel="0" collapsed="false">
      <c r="C90" s="197"/>
      <c r="D90" s="197"/>
      <c r="E90" s="197"/>
      <c r="F90" s="197"/>
      <c r="G90" s="197"/>
      <c r="H90" s="1552"/>
      <c r="I90" s="197"/>
      <c r="J90" s="197"/>
      <c r="K90" s="197"/>
      <c r="L90" s="197"/>
      <c r="M90" s="197"/>
      <c r="N90" s="197"/>
      <c r="O90" s="197"/>
      <c r="P90" s="197"/>
      <c r="Q90" s="197"/>
      <c r="R90" s="197"/>
      <c r="S90" s="197"/>
    </row>
    <row r="91" customFormat="false" ht="12" hidden="false" customHeight="false" outlineLevel="0" collapsed="false">
      <c r="C91" s="197"/>
      <c r="D91" s="197"/>
      <c r="E91" s="197"/>
      <c r="F91" s="197"/>
      <c r="G91" s="197"/>
      <c r="H91" s="1552"/>
      <c r="I91" s="197"/>
      <c r="J91" s="197"/>
      <c r="K91" s="197"/>
      <c r="L91" s="197"/>
      <c r="M91" s="197"/>
      <c r="N91" s="197"/>
      <c r="O91" s="197"/>
      <c r="P91" s="197"/>
      <c r="Q91" s="197"/>
      <c r="R91" s="197"/>
      <c r="S91" s="197"/>
    </row>
    <row r="92" customFormat="false" ht="12" hidden="false" customHeight="false" outlineLevel="0" collapsed="false">
      <c r="C92" s="197"/>
      <c r="D92" s="197"/>
      <c r="E92" s="197"/>
      <c r="F92" s="197"/>
      <c r="G92" s="197"/>
      <c r="H92" s="1552"/>
      <c r="I92" s="197"/>
      <c r="J92" s="197"/>
      <c r="K92" s="197"/>
      <c r="L92" s="197"/>
      <c r="M92" s="197"/>
      <c r="N92" s="197"/>
      <c r="O92" s="197"/>
      <c r="P92" s="197"/>
      <c r="Q92" s="197"/>
      <c r="R92" s="197"/>
      <c r="S92" s="197"/>
    </row>
    <row r="93" customFormat="false" ht="12" hidden="false" customHeight="false" outlineLevel="0" collapsed="false">
      <c r="C93" s="197"/>
      <c r="D93" s="197"/>
      <c r="E93" s="197"/>
      <c r="F93" s="197"/>
      <c r="G93" s="197"/>
      <c r="H93" s="1552"/>
      <c r="I93" s="197"/>
      <c r="J93" s="197"/>
      <c r="K93" s="197"/>
      <c r="L93" s="197"/>
      <c r="M93" s="197"/>
      <c r="N93" s="197"/>
      <c r="O93" s="197"/>
      <c r="P93" s="197"/>
      <c r="Q93" s="197"/>
      <c r="R93" s="197"/>
      <c r="S93" s="197"/>
    </row>
    <row r="94" customFormat="false" ht="12" hidden="false" customHeight="false" outlineLevel="0" collapsed="false">
      <c r="C94" s="197"/>
      <c r="D94" s="197"/>
      <c r="E94" s="197"/>
      <c r="F94" s="197"/>
      <c r="G94" s="197"/>
      <c r="H94" s="1552"/>
      <c r="I94" s="197"/>
      <c r="J94" s="197"/>
      <c r="K94" s="197"/>
      <c r="L94" s="197"/>
      <c r="M94" s="197"/>
      <c r="N94" s="197"/>
      <c r="O94" s="197"/>
      <c r="P94" s="197"/>
      <c r="Q94" s="197"/>
      <c r="R94" s="197"/>
      <c r="S94" s="197"/>
    </row>
    <row r="95" customFormat="false" ht="12" hidden="false" customHeight="false" outlineLevel="0" collapsed="false">
      <c r="C95" s="197"/>
      <c r="D95" s="197"/>
      <c r="E95" s="197"/>
      <c r="F95" s="197"/>
      <c r="G95" s="197"/>
      <c r="H95" s="1552"/>
      <c r="I95" s="197"/>
      <c r="J95" s="197"/>
      <c r="K95" s="197"/>
      <c r="L95" s="197"/>
      <c r="M95" s="197"/>
      <c r="N95" s="197"/>
      <c r="O95" s="197"/>
      <c r="P95" s="197"/>
      <c r="Q95" s="197"/>
      <c r="R95" s="197"/>
      <c r="S95" s="197"/>
    </row>
    <row r="96" customFormat="false" ht="12" hidden="false" customHeight="false" outlineLevel="0" collapsed="false">
      <c r="C96" s="197"/>
      <c r="D96" s="197"/>
      <c r="E96" s="197"/>
      <c r="F96" s="197"/>
      <c r="G96" s="197"/>
      <c r="H96" s="1552"/>
      <c r="I96" s="197"/>
      <c r="J96" s="197"/>
      <c r="K96" s="197"/>
      <c r="L96" s="197"/>
      <c r="M96" s="197"/>
      <c r="N96" s="197"/>
      <c r="O96" s="197"/>
      <c r="P96" s="197"/>
      <c r="Q96" s="197"/>
      <c r="R96" s="197"/>
      <c r="S96" s="197"/>
    </row>
    <row r="97" customFormat="false" ht="12" hidden="false" customHeight="false" outlineLevel="0" collapsed="false">
      <c r="C97" s="197"/>
      <c r="D97" s="197"/>
      <c r="E97" s="197"/>
      <c r="F97" s="197"/>
      <c r="G97" s="197"/>
      <c r="H97" s="1552"/>
      <c r="I97" s="197"/>
      <c r="J97" s="197"/>
      <c r="K97" s="197"/>
      <c r="L97" s="197"/>
      <c r="M97" s="197"/>
      <c r="N97" s="197"/>
      <c r="O97" s="197"/>
      <c r="P97" s="197"/>
      <c r="Q97" s="197"/>
      <c r="R97" s="197"/>
      <c r="S97" s="197"/>
    </row>
    <row r="98" customFormat="false" ht="12" hidden="false" customHeight="false" outlineLevel="0" collapsed="false">
      <c r="C98" s="197"/>
      <c r="D98" s="197"/>
      <c r="E98" s="197"/>
      <c r="F98" s="197"/>
      <c r="G98" s="197"/>
      <c r="H98" s="1552"/>
      <c r="I98" s="197"/>
      <c r="J98" s="197"/>
      <c r="K98" s="197"/>
      <c r="L98" s="197"/>
      <c r="M98" s="197"/>
      <c r="N98" s="197"/>
      <c r="O98" s="197"/>
      <c r="P98" s="197"/>
      <c r="Q98" s="197"/>
      <c r="R98" s="197"/>
      <c r="S98" s="197"/>
    </row>
    <row r="99" customFormat="false" ht="12" hidden="false" customHeight="false" outlineLevel="0" collapsed="false">
      <c r="C99" s="197"/>
      <c r="D99" s="197"/>
      <c r="E99" s="197"/>
      <c r="F99" s="197"/>
      <c r="G99" s="197"/>
      <c r="H99" s="1552"/>
      <c r="I99" s="197"/>
      <c r="J99" s="197"/>
      <c r="K99" s="197"/>
      <c r="L99" s="197"/>
      <c r="M99" s="197"/>
      <c r="N99" s="197"/>
      <c r="O99" s="197"/>
      <c r="P99" s="197"/>
      <c r="Q99" s="197"/>
      <c r="R99" s="197"/>
      <c r="S99" s="197"/>
    </row>
    <row r="100" customFormat="false" ht="12" hidden="false" customHeight="false" outlineLevel="0" collapsed="false">
      <c r="C100" s="197"/>
      <c r="D100" s="197"/>
      <c r="E100" s="197"/>
      <c r="F100" s="197"/>
      <c r="G100" s="197"/>
      <c r="H100" s="1552"/>
      <c r="I100" s="197"/>
      <c r="J100" s="197"/>
      <c r="K100" s="197"/>
      <c r="L100" s="197"/>
      <c r="M100" s="197"/>
      <c r="N100" s="197"/>
      <c r="O100" s="197"/>
      <c r="P100" s="197"/>
      <c r="Q100" s="197"/>
      <c r="R100" s="197"/>
      <c r="S100" s="197"/>
    </row>
    <row r="101" customFormat="false" ht="12" hidden="false" customHeight="false" outlineLevel="0" collapsed="false">
      <c r="C101" s="197"/>
      <c r="D101" s="197"/>
      <c r="E101" s="197"/>
      <c r="F101" s="197"/>
      <c r="G101" s="197"/>
      <c r="H101" s="1552"/>
      <c r="I101" s="197"/>
      <c r="J101" s="197"/>
      <c r="K101" s="197"/>
      <c r="L101" s="197"/>
      <c r="M101" s="197"/>
      <c r="N101" s="197"/>
      <c r="O101" s="197"/>
      <c r="P101" s="197"/>
      <c r="Q101" s="197"/>
      <c r="R101" s="197"/>
      <c r="S101" s="197"/>
    </row>
    <row r="102" customFormat="false" ht="12" hidden="false" customHeight="false" outlineLevel="0" collapsed="false">
      <c r="C102" s="197"/>
      <c r="D102" s="197"/>
      <c r="E102" s="197"/>
      <c r="F102" s="197"/>
      <c r="G102" s="197"/>
      <c r="H102" s="1552"/>
      <c r="I102" s="197"/>
      <c r="J102" s="197"/>
      <c r="K102" s="197"/>
      <c r="L102" s="197"/>
      <c r="M102" s="197"/>
      <c r="N102" s="197"/>
      <c r="O102" s="197"/>
      <c r="P102" s="197"/>
      <c r="Q102" s="197"/>
      <c r="R102" s="197"/>
      <c r="S102" s="197"/>
    </row>
    <row r="103" customFormat="false" ht="12" hidden="false" customHeight="false" outlineLevel="0" collapsed="false">
      <c r="C103" s="197"/>
      <c r="D103" s="197"/>
      <c r="E103" s="197"/>
      <c r="F103" s="197"/>
      <c r="G103" s="197"/>
      <c r="H103" s="1552"/>
      <c r="I103" s="197"/>
      <c r="J103" s="197"/>
      <c r="K103" s="197"/>
      <c r="L103" s="197"/>
      <c r="M103" s="197"/>
      <c r="N103" s="197"/>
      <c r="O103" s="197"/>
      <c r="P103" s="197"/>
      <c r="Q103" s="197"/>
      <c r="R103" s="197"/>
      <c r="S103" s="197"/>
    </row>
    <row r="104" customFormat="false" ht="12" hidden="false" customHeight="false" outlineLevel="0" collapsed="false">
      <c r="C104" s="197"/>
      <c r="D104" s="197"/>
      <c r="E104" s="197"/>
      <c r="F104" s="197"/>
      <c r="G104" s="197"/>
      <c r="H104" s="1552"/>
      <c r="I104" s="197"/>
      <c r="J104" s="197"/>
      <c r="K104" s="197"/>
      <c r="L104" s="197"/>
      <c r="M104" s="197"/>
      <c r="N104" s="197"/>
      <c r="O104" s="197"/>
      <c r="P104" s="197"/>
      <c r="Q104" s="197"/>
      <c r="R104" s="197"/>
      <c r="S104" s="197"/>
    </row>
    <row r="105" customFormat="false" ht="12" hidden="false" customHeight="false" outlineLevel="0" collapsed="false">
      <c r="C105" s="197"/>
      <c r="D105" s="197"/>
      <c r="E105" s="197"/>
      <c r="F105" s="197"/>
      <c r="G105" s="197"/>
      <c r="H105" s="1552"/>
      <c r="I105" s="197"/>
      <c r="J105" s="197"/>
      <c r="K105" s="197"/>
      <c r="L105" s="197"/>
      <c r="M105" s="197"/>
      <c r="N105" s="197"/>
      <c r="O105" s="197"/>
      <c r="P105" s="197"/>
      <c r="Q105" s="197"/>
      <c r="R105" s="197"/>
      <c r="S105" s="197"/>
    </row>
    <row r="106" customFormat="false" ht="12" hidden="false" customHeight="false" outlineLevel="0" collapsed="false">
      <c r="C106" s="197"/>
      <c r="D106" s="197"/>
      <c r="E106" s="197"/>
      <c r="F106" s="197"/>
      <c r="G106" s="197"/>
      <c r="H106" s="1552"/>
      <c r="I106" s="197"/>
      <c r="J106" s="197"/>
      <c r="K106" s="197"/>
      <c r="L106" s="197"/>
      <c r="M106" s="197"/>
      <c r="N106" s="197"/>
      <c r="O106" s="197"/>
      <c r="P106" s="197"/>
      <c r="Q106" s="197"/>
      <c r="R106" s="197"/>
      <c r="S106" s="197"/>
    </row>
    <row r="107" customFormat="false" ht="12" hidden="false" customHeight="false" outlineLevel="0" collapsed="false">
      <c r="C107" s="197"/>
      <c r="D107" s="197"/>
      <c r="E107" s="197"/>
      <c r="F107" s="197"/>
      <c r="G107" s="197"/>
      <c r="H107" s="1552"/>
      <c r="I107" s="197"/>
      <c r="J107" s="197"/>
      <c r="K107" s="197"/>
      <c r="L107" s="197"/>
      <c r="M107" s="197"/>
      <c r="N107" s="197"/>
      <c r="O107" s="197"/>
      <c r="P107" s="197"/>
      <c r="Q107" s="197"/>
      <c r="R107" s="197"/>
      <c r="S107" s="197"/>
    </row>
    <row r="108" customFormat="false" ht="12" hidden="false" customHeight="false" outlineLevel="0" collapsed="false">
      <c r="C108" s="197"/>
      <c r="D108" s="197"/>
      <c r="E108" s="197"/>
      <c r="F108" s="197"/>
      <c r="G108" s="197"/>
      <c r="H108" s="1552"/>
      <c r="I108" s="197"/>
      <c r="J108" s="197"/>
      <c r="K108" s="197"/>
      <c r="L108" s="197"/>
      <c r="M108" s="197"/>
      <c r="N108" s="197"/>
      <c r="O108" s="197"/>
      <c r="P108" s="197"/>
      <c r="Q108" s="197"/>
      <c r="R108" s="197"/>
      <c r="S108" s="197"/>
    </row>
    <row r="109" customFormat="false" ht="12" hidden="false" customHeight="false" outlineLevel="0" collapsed="false">
      <c r="C109" s="197"/>
      <c r="D109" s="197"/>
      <c r="E109" s="197"/>
      <c r="F109" s="197"/>
      <c r="G109" s="197"/>
      <c r="H109" s="1552"/>
      <c r="I109" s="197"/>
      <c r="J109" s="197"/>
      <c r="K109" s="197"/>
      <c r="L109" s="197"/>
      <c r="M109" s="197"/>
      <c r="N109" s="197"/>
      <c r="O109" s="197"/>
      <c r="P109" s="197"/>
      <c r="Q109" s="197"/>
      <c r="R109" s="197"/>
      <c r="S109" s="197"/>
    </row>
    <row r="110" customFormat="false" ht="12" hidden="false" customHeight="false" outlineLevel="0" collapsed="false">
      <c r="C110" s="197"/>
      <c r="D110" s="197"/>
      <c r="E110" s="197"/>
      <c r="F110" s="197"/>
      <c r="G110" s="197"/>
      <c r="H110" s="1552"/>
      <c r="I110" s="197"/>
      <c r="J110" s="197"/>
      <c r="K110" s="197"/>
      <c r="L110" s="197"/>
      <c r="M110" s="197"/>
      <c r="N110" s="197"/>
      <c r="O110" s="197"/>
      <c r="P110" s="197"/>
      <c r="Q110" s="197"/>
      <c r="R110" s="197"/>
      <c r="S110" s="197"/>
    </row>
    <row r="111" customFormat="false" ht="12" hidden="false" customHeight="false" outlineLevel="0" collapsed="false">
      <c r="C111" s="197"/>
      <c r="D111" s="197"/>
      <c r="E111" s="197"/>
      <c r="F111" s="197"/>
      <c r="G111" s="197"/>
      <c r="H111" s="1552"/>
      <c r="I111" s="197"/>
      <c r="J111" s="197"/>
      <c r="K111" s="197"/>
      <c r="L111" s="197"/>
      <c r="M111" s="197"/>
      <c r="N111" s="197"/>
      <c r="O111" s="197"/>
      <c r="P111" s="197"/>
      <c r="Q111" s="197"/>
      <c r="R111" s="197"/>
      <c r="S111" s="197"/>
    </row>
    <row r="112" customFormat="false" ht="12" hidden="false" customHeight="false" outlineLevel="0" collapsed="false">
      <c r="C112" s="197"/>
      <c r="D112" s="197"/>
      <c r="E112" s="197"/>
      <c r="F112" s="197"/>
      <c r="G112" s="197"/>
      <c r="H112" s="1552"/>
      <c r="I112" s="197"/>
      <c r="J112" s="197"/>
      <c r="K112" s="197"/>
      <c r="L112" s="197"/>
      <c r="M112" s="197"/>
      <c r="N112" s="197"/>
      <c r="O112" s="197"/>
      <c r="P112" s="197"/>
      <c r="Q112" s="197"/>
      <c r="R112" s="197"/>
      <c r="S112" s="197"/>
    </row>
    <row r="113" customFormat="false" ht="12" hidden="false" customHeight="false" outlineLevel="0" collapsed="false">
      <c r="C113" s="197"/>
      <c r="D113" s="197"/>
      <c r="E113" s="197"/>
      <c r="F113" s="197"/>
      <c r="G113" s="197"/>
      <c r="H113" s="1552"/>
      <c r="I113" s="197"/>
      <c r="J113" s="197"/>
      <c r="K113" s="197"/>
      <c r="L113" s="197"/>
      <c r="M113" s="197"/>
      <c r="N113" s="197"/>
      <c r="O113" s="197"/>
      <c r="P113" s="197"/>
      <c r="Q113" s="197"/>
      <c r="R113" s="197"/>
      <c r="S113" s="197"/>
    </row>
    <row r="114" customFormat="false" ht="12" hidden="false" customHeight="false" outlineLevel="0" collapsed="false">
      <c r="C114" s="197"/>
      <c r="D114" s="197"/>
      <c r="E114" s="197"/>
      <c r="F114" s="197"/>
      <c r="G114" s="197"/>
      <c r="H114" s="1552"/>
      <c r="I114" s="197"/>
      <c r="J114" s="197"/>
      <c r="K114" s="197"/>
      <c r="L114" s="197"/>
      <c r="M114" s="197"/>
      <c r="N114" s="197"/>
      <c r="O114" s="197"/>
      <c r="P114" s="197"/>
      <c r="Q114" s="197"/>
      <c r="R114" s="197"/>
      <c r="S114" s="197"/>
    </row>
    <row r="115" customFormat="false" ht="12" hidden="false" customHeight="false" outlineLevel="0" collapsed="false">
      <c r="C115" s="197"/>
      <c r="D115" s="197"/>
      <c r="E115" s="197"/>
      <c r="F115" s="197"/>
      <c r="G115" s="197"/>
      <c r="H115" s="1552"/>
      <c r="I115" s="197"/>
      <c r="J115" s="197"/>
      <c r="K115" s="197"/>
      <c r="L115" s="197"/>
      <c r="M115" s="197"/>
      <c r="N115" s="197"/>
      <c r="O115" s="197"/>
      <c r="P115" s="197"/>
      <c r="Q115" s="197"/>
      <c r="R115" s="197"/>
      <c r="S115" s="197"/>
    </row>
    <row r="116" customFormat="false" ht="12" hidden="false" customHeight="false" outlineLevel="0" collapsed="false">
      <c r="C116" s="197"/>
      <c r="D116" s="197"/>
      <c r="E116" s="197"/>
      <c r="F116" s="197"/>
      <c r="G116" s="197"/>
      <c r="H116" s="1552"/>
      <c r="I116" s="197"/>
      <c r="J116" s="197"/>
      <c r="K116" s="197"/>
      <c r="L116" s="197"/>
      <c r="M116" s="197"/>
      <c r="N116" s="197"/>
      <c r="O116" s="197"/>
      <c r="P116" s="197"/>
      <c r="Q116" s="197"/>
      <c r="R116" s="197"/>
      <c r="S116" s="197"/>
    </row>
    <row r="117" customFormat="false" ht="12" hidden="false" customHeight="false" outlineLevel="0" collapsed="false">
      <c r="C117" s="197"/>
      <c r="D117" s="197"/>
      <c r="E117" s="197"/>
      <c r="F117" s="197"/>
      <c r="G117" s="197"/>
      <c r="H117" s="1552"/>
      <c r="I117" s="197"/>
      <c r="J117" s="197"/>
      <c r="K117" s="197"/>
      <c r="L117" s="197"/>
      <c r="M117" s="197"/>
      <c r="N117" s="197"/>
      <c r="O117" s="197"/>
      <c r="P117" s="197"/>
      <c r="Q117" s="197"/>
      <c r="R117" s="197"/>
      <c r="S117" s="197"/>
    </row>
    <row r="118" customFormat="false" ht="12" hidden="false" customHeight="false" outlineLevel="0" collapsed="false">
      <c r="C118" s="197"/>
      <c r="D118" s="197"/>
      <c r="E118" s="197"/>
      <c r="F118" s="197"/>
      <c r="G118" s="197"/>
      <c r="H118" s="1552"/>
      <c r="I118" s="197"/>
      <c r="J118" s="197"/>
      <c r="K118" s="197"/>
      <c r="L118" s="197"/>
      <c r="M118" s="197"/>
      <c r="N118" s="197"/>
      <c r="O118" s="197"/>
      <c r="P118" s="197"/>
      <c r="Q118" s="197"/>
      <c r="R118" s="197"/>
      <c r="S118" s="197"/>
    </row>
    <row r="119" customFormat="false" ht="12" hidden="false" customHeight="false" outlineLevel="0" collapsed="false">
      <c r="C119" s="197"/>
      <c r="D119" s="197"/>
      <c r="E119" s="197"/>
      <c r="F119" s="197"/>
      <c r="G119" s="197"/>
      <c r="H119" s="1552"/>
      <c r="I119" s="197"/>
      <c r="J119" s="197"/>
      <c r="K119" s="197"/>
      <c r="L119" s="197"/>
      <c r="M119" s="197"/>
      <c r="N119" s="197"/>
      <c r="O119" s="197"/>
      <c r="P119" s="197"/>
      <c r="Q119" s="197"/>
      <c r="R119" s="197"/>
      <c r="S119" s="197"/>
    </row>
    <row r="120" customFormat="false" ht="12" hidden="false" customHeight="false" outlineLevel="0" collapsed="false">
      <c r="C120" s="197"/>
      <c r="D120" s="197"/>
      <c r="E120" s="197"/>
      <c r="F120" s="197"/>
      <c r="G120" s="197"/>
      <c r="H120" s="1552"/>
      <c r="I120" s="197"/>
      <c r="J120" s="197"/>
      <c r="K120" s="197"/>
      <c r="L120" s="197"/>
      <c r="M120" s="197"/>
      <c r="N120" s="197"/>
      <c r="O120" s="197"/>
      <c r="P120" s="197"/>
      <c r="Q120" s="197"/>
      <c r="R120" s="197"/>
      <c r="S120" s="197"/>
    </row>
    <row r="121" customFormat="false" ht="12" hidden="false" customHeight="false" outlineLevel="0" collapsed="false">
      <c r="C121" s="197"/>
      <c r="D121" s="197"/>
      <c r="E121" s="197"/>
      <c r="F121" s="197"/>
      <c r="G121" s="197"/>
      <c r="H121" s="1552"/>
      <c r="I121" s="197"/>
      <c r="J121" s="197"/>
      <c r="K121" s="197"/>
      <c r="L121" s="197"/>
      <c r="M121" s="197"/>
      <c r="N121" s="197"/>
      <c r="O121" s="197"/>
      <c r="P121" s="197"/>
      <c r="Q121" s="197"/>
      <c r="R121" s="197"/>
      <c r="S121" s="197"/>
    </row>
    <row r="122" customFormat="false" ht="12" hidden="false" customHeight="false" outlineLevel="0" collapsed="false">
      <c r="C122" s="197"/>
      <c r="D122" s="197"/>
      <c r="E122" s="197"/>
      <c r="F122" s="197"/>
      <c r="G122" s="197"/>
      <c r="H122" s="1552"/>
      <c r="I122" s="197"/>
      <c r="J122" s="197"/>
      <c r="K122" s="197"/>
      <c r="L122" s="197"/>
      <c r="M122" s="197"/>
      <c r="N122" s="197"/>
      <c r="O122" s="197"/>
      <c r="P122" s="197"/>
      <c r="Q122" s="197"/>
      <c r="R122" s="197"/>
      <c r="S122" s="197"/>
    </row>
    <row r="123" customFormat="false" ht="12" hidden="false" customHeight="false" outlineLevel="0" collapsed="false">
      <c r="C123" s="197"/>
      <c r="D123" s="197"/>
      <c r="E123" s="197"/>
      <c r="F123" s="197"/>
      <c r="G123" s="197"/>
      <c r="H123" s="1552"/>
      <c r="I123" s="197"/>
      <c r="J123" s="197"/>
      <c r="K123" s="197"/>
      <c r="L123" s="197"/>
      <c r="M123" s="197"/>
      <c r="N123" s="197"/>
      <c r="O123" s="197"/>
      <c r="P123" s="197"/>
      <c r="Q123" s="197"/>
      <c r="R123" s="197"/>
      <c r="S123" s="197"/>
    </row>
    <row r="124" customFormat="false" ht="12" hidden="false" customHeight="false" outlineLevel="0" collapsed="false">
      <c r="C124" s="197"/>
      <c r="D124" s="197"/>
      <c r="E124" s="197"/>
      <c r="F124" s="197"/>
      <c r="G124" s="197"/>
      <c r="H124" s="1552"/>
      <c r="I124" s="197"/>
      <c r="J124" s="197"/>
      <c r="K124" s="197"/>
      <c r="L124" s="197"/>
      <c r="M124" s="197"/>
      <c r="N124" s="197"/>
      <c r="O124" s="197"/>
      <c r="P124" s="197"/>
      <c r="Q124" s="197"/>
      <c r="R124" s="197"/>
      <c r="S124" s="197"/>
    </row>
    <row r="125" customFormat="false" ht="12" hidden="false" customHeight="false" outlineLevel="0" collapsed="false">
      <c r="C125" s="197"/>
      <c r="D125" s="197"/>
      <c r="E125" s="197"/>
      <c r="F125" s="197"/>
      <c r="G125" s="197"/>
      <c r="H125" s="1552"/>
      <c r="I125" s="197"/>
      <c r="J125" s="197"/>
      <c r="K125" s="197"/>
      <c r="L125" s="197"/>
      <c r="M125" s="197"/>
      <c r="N125" s="197"/>
      <c r="O125" s="197"/>
      <c r="P125" s="197"/>
      <c r="Q125" s="197"/>
      <c r="R125" s="197"/>
      <c r="S125" s="197"/>
    </row>
    <row r="126" customFormat="false" ht="12" hidden="false" customHeight="false" outlineLevel="0" collapsed="false">
      <c r="C126" s="197"/>
      <c r="D126" s="197"/>
      <c r="E126" s="197"/>
      <c r="F126" s="197"/>
      <c r="G126" s="197"/>
      <c r="H126" s="1552"/>
      <c r="I126" s="197"/>
      <c r="J126" s="197"/>
      <c r="K126" s="197"/>
      <c r="L126" s="197"/>
      <c r="M126" s="197"/>
      <c r="N126" s="197"/>
      <c r="O126" s="197"/>
      <c r="P126" s="197"/>
      <c r="Q126" s="197"/>
      <c r="R126" s="197"/>
      <c r="S126" s="197"/>
    </row>
    <row r="127" customFormat="false" ht="12" hidden="false" customHeight="false" outlineLevel="0" collapsed="false">
      <c r="C127" s="197"/>
      <c r="D127" s="197"/>
      <c r="E127" s="197"/>
      <c r="F127" s="197"/>
      <c r="G127" s="197"/>
      <c r="H127" s="1552"/>
      <c r="I127" s="197"/>
      <c r="J127" s="197"/>
      <c r="K127" s="197"/>
      <c r="L127" s="197"/>
      <c r="M127" s="197"/>
      <c r="N127" s="197"/>
      <c r="O127" s="197"/>
      <c r="P127" s="197"/>
      <c r="Q127" s="197"/>
      <c r="R127" s="197"/>
      <c r="S127" s="197"/>
    </row>
    <row r="128" customFormat="false" ht="12" hidden="false" customHeight="false" outlineLevel="0" collapsed="false">
      <c r="C128" s="197"/>
      <c r="D128" s="197"/>
      <c r="E128" s="197"/>
      <c r="F128" s="197"/>
      <c r="G128" s="197"/>
      <c r="H128" s="1552"/>
      <c r="I128" s="197"/>
      <c r="J128" s="197"/>
      <c r="K128" s="197"/>
      <c r="L128" s="197"/>
      <c r="M128" s="197"/>
      <c r="N128" s="197"/>
      <c r="O128" s="197"/>
      <c r="P128" s="197"/>
      <c r="Q128" s="197"/>
      <c r="R128" s="197"/>
      <c r="S128" s="197"/>
    </row>
    <row r="129" customFormat="false" ht="12" hidden="false" customHeight="false" outlineLevel="0" collapsed="false">
      <c r="C129" s="197"/>
      <c r="D129" s="197"/>
      <c r="E129" s="197"/>
      <c r="F129" s="197"/>
      <c r="G129" s="197"/>
      <c r="H129" s="1552"/>
      <c r="I129" s="197"/>
      <c r="J129" s="197"/>
      <c r="K129" s="197"/>
      <c r="L129" s="197"/>
      <c r="M129" s="197"/>
      <c r="N129" s="197"/>
      <c r="O129" s="197"/>
      <c r="P129" s="197"/>
      <c r="Q129" s="197"/>
      <c r="R129" s="197"/>
      <c r="S129" s="197"/>
    </row>
    <row r="130" customFormat="false" ht="12" hidden="false" customHeight="false" outlineLevel="0" collapsed="false">
      <c r="C130" s="197"/>
      <c r="D130" s="197"/>
      <c r="E130" s="197"/>
      <c r="F130" s="197"/>
      <c r="G130" s="197"/>
      <c r="H130" s="1552"/>
      <c r="I130" s="197"/>
      <c r="J130" s="197"/>
      <c r="K130" s="197"/>
      <c r="L130" s="197"/>
      <c r="M130" s="197"/>
      <c r="N130" s="197"/>
      <c r="O130" s="197"/>
      <c r="P130" s="197"/>
      <c r="Q130" s="197"/>
      <c r="R130" s="197"/>
      <c r="S130" s="197"/>
    </row>
    <row r="131" customFormat="false" ht="12" hidden="false" customHeight="false" outlineLevel="0" collapsed="false">
      <c r="C131" s="197"/>
      <c r="D131" s="197"/>
      <c r="E131" s="197"/>
      <c r="F131" s="197"/>
      <c r="G131" s="197"/>
      <c r="H131" s="1552"/>
      <c r="I131" s="197"/>
      <c r="J131" s="197"/>
      <c r="K131" s="197"/>
      <c r="L131" s="197"/>
      <c r="M131" s="197"/>
      <c r="N131" s="197"/>
      <c r="O131" s="197"/>
      <c r="P131" s="197"/>
      <c r="Q131" s="197"/>
      <c r="R131" s="197"/>
      <c r="S131" s="197"/>
    </row>
    <row r="132" customFormat="false" ht="12" hidden="false" customHeight="false" outlineLevel="0" collapsed="false">
      <c r="C132" s="197"/>
      <c r="D132" s="197"/>
      <c r="E132" s="197"/>
      <c r="F132" s="197"/>
      <c r="G132" s="197"/>
      <c r="H132" s="1552"/>
      <c r="I132" s="197"/>
      <c r="J132" s="197"/>
      <c r="K132" s="197"/>
      <c r="L132" s="197"/>
      <c r="M132" s="197"/>
      <c r="N132" s="197"/>
      <c r="O132" s="197"/>
      <c r="P132" s="197"/>
      <c r="Q132" s="197"/>
      <c r="R132" s="197"/>
      <c r="S132" s="197"/>
    </row>
    <row r="133" customFormat="false" ht="12" hidden="false" customHeight="false" outlineLevel="0" collapsed="false">
      <c r="C133" s="197"/>
      <c r="D133" s="197"/>
      <c r="E133" s="197"/>
      <c r="F133" s="197"/>
      <c r="G133" s="197"/>
      <c r="H133" s="1552"/>
      <c r="I133" s="197"/>
      <c r="J133" s="197"/>
      <c r="K133" s="197"/>
      <c r="L133" s="197"/>
      <c r="M133" s="197"/>
      <c r="N133" s="197"/>
      <c r="O133" s="197"/>
      <c r="P133" s="197"/>
      <c r="Q133" s="197"/>
      <c r="R133" s="197"/>
      <c r="S133" s="197"/>
    </row>
    <row r="134" customFormat="false" ht="12" hidden="false" customHeight="false" outlineLevel="0" collapsed="false">
      <c r="C134" s="197"/>
      <c r="D134" s="197"/>
      <c r="E134" s="197"/>
      <c r="F134" s="197"/>
      <c r="G134" s="197"/>
      <c r="H134" s="1552"/>
      <c r="I134" s="197"/>
      <c r="J134" s="197"/>
      <c r="K134" s="197"/>
      <c r="L134" s="197"/>
      <c r="M134" s="197"/>
      <c r="N134" s="197"/>
      <c r="O134" s="197"/>
      <c r="P134" s="197"/>
      <c r="Q134" s="197"/>
      <c r="R134" s="197"/>
      <c r="S134" s="197"/>
    </row>
    <row r="135" customFormat="false" ht="12" hidden="false" customHeight="false" outlineLevel="0" collapsed="false">
      <c r="C135" s="197"/>
      <c r="D135" s="197"/>
      <c r="E135" s="197"/>
      <c r="F135" s="197"/>
      <c r="G135" s="197"/>
      <c r="H135" s="1552"/>
      <c r="I135" s="197"/>
      <c r="J135" s="197"/>
      <c r="K135" s="197"/>
      <c r="L135" s="197"/>
      <c r="M135" s="197"/>
      <c r="N135" s="197"/>
      <c r="O135" s="197"/>
      <c r="P135" s="197"/>
      <c r="Q135" s="197"/>
      <c r="R135" s="197"/>
      <c r="S135" s="197"/>
    </row>
    <row r="136" customFormat="false" ht="12" hidden="false" customHeight="false" outlineLevel="0" collapsed="false">
      <c r="C136" s="197"/>
      <c r="D136" s="197"/>
      <c r="E136" s="197"/>
      <c r="F136" s="197"/>
      <c r="G136" s="197"/>
      <c r="H136" s="1552"/>
      <c r="I136" s="197"/>
      <c r="J136" s="197"/>
      <c r="K136" s="197"/>
      <c r="L136" s="197"/>
      <c r="M136" s="197"/>
      <c r="N136" s="197"/>
      <c r="O136" s="197"/>
      <c r="P136" s="197"/>
      <c r="Q136" s="197"/>
      <c r="R136" s="197"/>
      <c r="S136" s="197"/>
    </row>
    <row r="137" customFormat="false" ht="12" hidden="false" customHeight="false" outlineLevel="0" collapsed="false">
      <c r="C137" s="197"/>
      <c r="D137" s="197"/>
      <c r="E137" s="197"/>
      <c r="F137" s="197"/>
      <c r="G137" s="197"/>
      <c r="H137" s="1552"/>
      <c r="I137" s="197"/>
      <c r="J137" s="197"/>
      <c r="K137" s="197"/>
      <c r="L137" s="197"/>
      <c r="M137" s="197"/>
      <c r="N137" s="197"/>
      <c r="O137" s="197"/>
      <c r="P137" s="197"/>
      <c r="Q137" s="197"/>
      <c r="R137" s="197"/>
      <c r="S137" s="197"/>
    </row>
    <row r="138" customFormat="false" ht="12" hidden="false" customHeight="false" outlineLevel="0" collapsed="false">
      <c r="C138" s="197"/>
      <c r="D138" s="197"/>
      <c r="E138" s="197"/>
      <c r="F138" s="197"/>
      <c r="G138" s="197"/>
      <c r="H138" s="1552"/>
      <c r="I138" s="197"/>
      <c r="J138" s="197"/>
      <c r="K138" s="197"/>
      <c r="L138" s="197"/>
      <c r="M138" s="197"/>
      <c r="N138" s="197"/>
      <c r="O138" s="197"/>
      <c r="P138" s="197"/>
      <c r="Q138" s="197"/>
      <c r="R138" s="197"/>
      <c r="S138" s="197"/>
    </row>
    <row r="139" customFormat="false" ht="12" hidden="false" customHeight="false" outlineLevel="0" collapsed="false">
      <c r="C139" s="197"/>
      <c r="D139" s="197"/>
      <c r="E139" s="197"/>
      <c r="F139" s="197"/>
      <c r="G139" s="197"/>
      <c r="H139" s="1552"/>
      <c r="I139" s="197"/>
      <c r="J139" s="197"/>
      <c r="K139" s="197"/>
      <c r="L139" s="197"/>
      <c r="M139" s="197"/>
      <c r="N139" s="197"/>
      <c r="O139" s="197"/>
      <c r="P139" s="197"/>
      <c r="Q139" s="197"/>
      <c r="R139" s="197"/>
      <c r="S139" s="197"/>
    </row>
    <row r="140" customFormat="false" ht="12" hidden="false" customHeight="false" outlineLevel="0" collapsed="false">
      <c r="C140" s="197"/>
      <c r="D140" s="197"/>
      <c r="E140" s="197"/>
      <c r="F140" s="197"/>
      <c r="G140" s="197"/>
      <c r="H140" s="1552"/>
      <c r="I140" s="197"/>
      <c r="J140" s="197"/>
      <c r="K140" s="197"/>
      <c r="L140" s="197"/>
      <c r="M140" s="197"/>
      <c r="N140" s="197"/>
      <c r="O140" s="197"/>
      <c r="P140" s="197"/>
      <c r="Q140" s="197"/>
      <c r="R140" s="197"/>
      <c r="S140" s="197"/>
    </row>
    <row r="141" customFormat="false" ht="12" hidden="false" customHeight="false" outlineLevel="0" collapsed="false">
      <c r="C141" s="197"/>
      <c r="D141" s="197"/>
      <c r="E141" s="197"/>
      <c r="F141" s="197"/>
      <c r="G141" s="197"/>
      <c r="H141" s="1552"/>
      <c r="I141" s="197"/>
      <c r="J141" s="197"/>
      <c r="K141" s="197"/>
      <c r="L141" s="197"/>
      <c r="M141" s="197"/>
      <c r="N141" s="197"/>
      <c r="O141" s="197"/>
      <c r="P141" s="197"/>
      <c r="Q141" s="197"/>
      <c r="R141" s="197"/>
      <c r="S141" s="197"/>
    </row>
    <row r="142" customFormat="false" ht="12" hidden="false" customHeight="false" outlineLevel="0" collapsed="false">
      <c r="C142" s="197"/>
      <c r="D142" s="197"/>
      <c r="E142" s="197"/>
      <c r="F142" s="197"/>
      <c r="G142" s="197"/>
      <c r="H142" s="1552"/>
      <c r="I142" s="197"/>
      <c r="J142" s="197"/>
      <c r="K142" s="197"/>
      <c r="L142" s="197"/>
      <c r="M142" s="197"/>
      <c r="N142" s="197"/>
      <c r="O142" s="197"/>
      <c r="P142" s="197"/>
      <c r="Q142" s="197"/>
      <c r="R142" s="197"/>
      <c r="S142" s="197"/>
    </row>
    <row r="143" customFormat="false" ht="12" hidden="false" customHeight="false" outlineLevel="0" collapsed="false">
      <c r="C143" s="197"/>
      <c r="D143" s="197"/>
      <c r="E143" s="197"/>
      <c r="F143" s="197"/>
      <c r="G143" s="197"/>
      <c r="H143" s="1552"/>
      <c r="I143" s="197"/>
      <c r="J143" s="197"/>
      <c r="K143" s="197"/>
      <c r="L143" s="197"/>
      <c r="M143" s="197"/>
      <c r="N143" s="197"/>
      <c r="O143" s="197"/>
      <c r="P143" s="197"/>
      <c r="Q143" s="197"/>
      <c r="R143" s="197"/>
      <c r="S143" s="197"/>
    </row>
    <row r="144" customFormat="false" ht="12" hidden="false" customHeight="false" outlineLevel="0" collapsed="false">
      <c r="C144" s="197"/>
      <c r="D144" s="197"/>
      <c r="E144" s="197"/>
      <c r="F144" s="197"/>
      <c r="G144" s="197"/>
      <c r="H144" s="1552"/>
      <c r="I144" s="197"/>
      <c r="J144" s="197"/>
      <c r="K144" s="197"/>
      <c r="L144" s="197"/>
      <c r="M144" s="197"/>
      <c r="N144" s="197"/>
      <c r="O144" s="197"/>
      <c r="P144" s="197"/>
      <c r="Q144" s="197"/>
      <c r="R144" s="197"/>
      <c r="S144" s="197"/>
    </row>
    <row r="145" customFormat="false" ht="12" hidden="false" customHeight="false" outlineLevel="0" collapsed="false">
      <c r="C145" s="197"/>
      <c r="D145" s="197"/>
      <c r="E145" s="197"/>
      <c r="F145" s="197"/>
      <c r="G145" s="197"/>
      <c r="H145" s="1552"/>
      <c r="I145" s="197"/>
      <c r="J145" s="197"/>
      <c r="K145" s="197"/>
      <c r="L145" s="197"/>
      <c r="M145" s="197"/>
      <c r="N145" s="197"/>
      <c r="O145" s="197"/>
      <c r="P145" s="197"/>
      <c r="Q145" s="197"/>
      <c r="R145" s="197"/>
      <c r="S145" s="197"/>
    </row>
    <row r="146" customFormat="false" ht="12" hidden="false" customHeight="false" outlineLevel="0" collapsed="false">
      <c r="C146" s="197"/>
      <c r="D146" s="197"/>
      <c r="E146" s="197"/>
      <c r="F146" s="197"/>
      <c r="G146" s="197"/>
      <c r="H146" s="1552"/>
      <c r="I146" s="197"/>
      <c r="J146" s="197"/>
      <c r="K146" s="197"/>
      <c r="L146" s="197"/>
      <c r="M146" s="197"/>
      <c r="N146" s="197"/>
      <c r="O146" s="197"/>
      <c r="P146" s="197"/>
      <c r="Q146" s="197"/>
      <c r="R146" s="197"/>
      <c r="S146" s="197"/>
    </row>
    <row r="147" customFormat="false" ht="12" hidden="false" customHeight="false" outlineLevel="0" collapsed="false">
      <c r="C147" s="197"/>
      <c r="D147" s="197"/>
      <c r="E147" s="197"/>
      <c r="F147" s="197"/>
      <c r="G147" s="197"/>
      <c r="H147" s="1552"/>
      <c r="I147" s="197"/>
      <c r="J147" s="197"/>
      <c r="K147" s="197"/>
      <c r="L147" s="197"/>
      <c r="M147" s="197"/>
      <c r="N147" s="197"/>
      <c r="O147" s="197"/>
      <c r="P147" s="197"/>
      <c r="Q147" s="197"/>
      <c r="R147" s="197"/>
      <c r="S147" s="197"/>
    </row>
    <row r="148" customFormat="false" ht="12" hidden="false" customHeight="false" outlineLevel="0" collapsed="false">
      <c r="C148" s="197"/>
      <c r="D148" s="197"/>
      <c r="E148" s="197"/>
      <c r="F148" s="197"/>
      <c r="G148" s="197"/>
      <c r="H148" s="1552"/>
      <c r="I148" s="197"/>
      <c r="J148" s="197"/>
      <c r="K148" s="197"/>
      <c r="L148" s="197"/>
      <c r="M148" s="197"/>
      <c r="N148" s="197"/>
      <c r="O148" s="197"/>
      <c r="P148" s="197"/>
      <c r="Q148" s="197"/>
      <c r="R148" s="197"/>
      <c r="S148" s="197"/>
    </row>
    <row r="149" customFormat="false" ht="12" hidden="false" customHeight="false" outlineLevel="0" collapsed="false">
      <c r="C149" s="197"/>
      <c r="D149" s="197"/>
      <c r="E149" s="197"/>
      <c r="F149" s="197"/>
      <c r="G149" s="197"/>
      <c r="H149" s="1552"/>
      <c r="I149" s="197"/>
      <c r="J149" s="197"/>
      <c r="K149" s="197"/>
      <c r="L149" s="197"/>
      <c r="M149" s="197"/>
      <c r="N149" s="197"/>
      <c r="O149" s="197"/>
      <c r="P149" s="197"/>
      <c r="Q149" s="197"/>
      <c r="R149" s="197"/>
      <c r="S149" s="197"/>
    </row>
    <row r="150" customFormat="false" ht="12" hidden="false" customHeight="false" outlineLevel="0" collapsed="false">
      <c r="C150" s="197"/>
      <c r="D150" s="197"/>
      <c r="E150" s="197"/>
      <c r="F150" s="197"/>
      <c r="G150" s="197"/>
      <c r="H150" s="1552"/>
      <c r="I150" s="197"/>
      <c r="J150" s="197"/>
      <c r="K150" s="197"/>
      <c r="L150" s="197"/>
      <c r="M150" s="197"/>
      <c r="N150" s="197"/>
      <c r="O150" s="197"/>
      <c r="P150" s="197"/>
      <c r="Q150" s="197"/>
      <c r="R150" s="197"/>
      <c r="S150" s="197"/>
    </row>
    <row r="151" customFormat="false" ht="12" hidden="false" customHeight="false" outlineLevel="0" collapsed="false">
      <c r="C151" s="197"/>
      <c r="D151" s="197"/>
      <c r="E151" s="197"/>
      <c r="F151" s="197"/>
      <c r="G151" s="197"/>
      <c r="H151" s="1552"/>
      <c r="I151" s="197"/>
      <c r="J151" s="197"/>
      <c r="K151" s="197"/>
      <c r="L151" s="197"/>
      <c r="M151" s="197"/>
      <c r="N151" s="197"/>
      <c r="O151" s="197"/>
      <c r="P151" s="197"/>
      <c r="Q151" s="197"/>
      <c r="R151" s="197"/>
      <c r="S151" s="197"/>
    </row>
    <row r="152" customFormat="false" ht="12" hidden="false" customHeight="false" outlineLevel="0" collapsed="false">
      <c r="C152" s="197"/>
      <c r="D152" s="197"/>
      <c r="E152" s="197"/>
      <c r="F152" s="197"/>
      <c r="G152" s="197"/>
      <c r="H152" s="1552"/>
      <c r="I152" s="197"/>
      <c r="J152" s="197"/>
      <c r="K152" s="197"/>
      <c r="L152" s="197"/>
      <c r="M152" s="197"/>
      <c r="N152" s="197"/>
      <c r="O152" s="197"/>
      <c r="P152" s="197"/>
      <c r="Q152" s="197"/>
      <c r="R152" s="197"/>
      <c r="S152" s="197"/>
    </row>
    <row r="153" customFormat="false" ht="12" hidden="false" customHeight="false" outlineLevel="0" collapsed="false">
      <c r="C153" s="197"/>
      <c r="D153" s="197"/>
      <c r="E153" s="197"/>
      <c r="F153" s="197"/>
      <c r="G153" s="197"/>
      <c r="H153" s="1552"/>
      <c r="I153" s="197"/>
      <c r="J153" s="197"/>
      <c r="K153" s="197"/>
      <c r="L153" s="197"/>
      <c r="M153" s="197"/>
      <c r="N153" s="197"/>
      <c r="O153" s="197"/>
      <c r="P153" s="197"/>
      <c r="Q153" s="197"/>
      <c r="R153" s="197"/>
      <c r="S153" s="197"/>
    </row>
    <row r="154" customFormat="false" ht="12" hidden="false" customHeight="false" outlineLevel="0" collapsed="false">
      <c r="C154" s="197"/>
      <c r="D154" s="197"/>
      <c r="E154" s="197"/>
      <c r="F154" s="197"/>
      <c r="G154" s="197"/>
      <c r="H154" s="1552"/>
      <c r="I154" s="197"/>
      <c r="J154" s="197"/>
      <c r="K154" s="197"/>
      <c r="L154" s="197"/>
      <c r="M154" s="197"/>
      <c r="N154" s="197"/>
      <c r="O154" s="197"/>
      <c r="P154" s="197"/>
      <c r="Q154" s="197"/>
      <c r="R154" s="197"/>
      <c r="S154" s="197"/>
    </row>
    <row r="155" customFormat="false" ht="12" hidden="false" customHeight="false" outlineLevel="0" collapsed="false">
      <c r="C155" s="197"/>
      <c r="D155" s="197"/>
      <c r="E155" s="197"/>
      <c r="F155" s="197"/>
      <c r="G155" s="197"/>
      <c r="H155" s="1552"/>
      <c r="I155" s="197"/>
      <c r="J155" s="197"/>
      <c r="K155" s="197"/>
      <c r="L155" s="197"/>
      <c r="M155" s="197"/>
      <c r="N155" s="197"/>
      <c r="O155" s="197"/>
      <c r="P155" s="197"/>
      <c r="Q155" s="197"/>
      <c r="R155" s="197"/>
      <c r="S155" s="197"/>
    </row>
    <row r="156" customFormat="false" ht="12" hidden="false" customHeight="false" outlineLevel="0" collapsed="false">
      <c r="C156" s="197"/>
      <c r="D156" s="197"/>
      <c r="E156" s="197"/>
      <c r="F156" s="197"/>
      <c r="G156" s="197"/>
      <c r="H156" s="1552"/>
      <c r="I156" s="197"/>
      <c r="J156" s="197"/>
      <c r="K156" s="197"/>
      <c r="L156" s="197"/>
      <c r="M156" s="197"/>
      <c r="N156" s="197"/>
      <c r="O156" s="197"/>
      <c r="P156" s="197"/>
      <c r="Q156" s="197"/>
      <c r="R156" s="197"/>
      <c r="S156" s="197"/>
    </row>
    <row r="157" customFormat="false" ht="12" hidden="false" customHeight="false" outlineLevel="0" collapsed="false">
      <c r="C157" s="197"/>
      <c r="D157" s="197"/>
      <c r="E157" s="197"/>
      <c r="F157" s="197"/>
      <c r="G157" s="197"/>
      <c r="H157" s="1552"/>
      <c r="I157" s="197"/>
      <c r="J157" s="197"/>
      <c r="K157" s="197"/>
      <c r="L157" s="197"/>
      <c r="M157" s="197"/>
      <c r="N157" s="197"/>
      <c r="O157" s="197"/>
      <c r="P157" s="197"/>
      <c r="Q157" s="197"/>
      <c r="R157" s="197"/>
      <c r="S157" s="197"/>
    </row>
    <row r="158" customFormat="false" ht="12" hidden="false" customHeight="false" outlineLevel="0" collapsed="false">
      <c r="C158" s="197"/>
      <c r="D158" s="197"/>
      <c r="E158" s="197"/>
      <c r="F158" s="197"/>
      <c r="G158" s="197"/>
      <c r="H158" s="1552"/>
      <c r="I158" s="197"/>
      <c r="J158" s="197"/>
      <c r="K158" s="197"/>
      <c r="L158" s="197"/>
      <c r="M158" s="197"/>
      <c r="N158" s="197"/>
      <c r="O158" s="197"/>
      <c r="P158" s="197"/>
      <c r="Q158" s="197"/>
      <c r="R158" s="197"/>
      <c r="S158" s="197"/>
    </row>
    <row r="159" customFormat="false" ht="12" hidden="false" customHeight="false" outlineLevel="0" collapsed="false">
      <c r="C159" s="197"/>
      <c r="D159" s="197"/>
      <c r="E159" s="197"/>
      <c r="F159" s="197"/>
      <c r="G159" s="197"/>
      <c r="H159" s="1552"/>
      <c r="I159" s="197"/>
      <c r="J159" s="197"/>
      <c r="K159" s="197"/>
      <c r="L159" s="197"/>
      <c r="M159" s="197"/>
      <c r="N159" s="197"/>
      <c r="O159" s="197"/>
      <c r="P159" s="197"/>
      <c r="Q159" s="197"/>
      <c r="R159" s="197"/>
      <c r="S159" s="197"/>
    </row>
    <row r="160" customFormat="false" ht="12" hidden="false" customHeight="false" outlineLevel="0" collapsed="false">
      <c r="C160" s="197"/>
      <c r="D160" s="197"/>
      <c r="E160" s="197"/>
      <c r="F160" s="197"/>
      <c r="G160" s="197"/>
      <c r="H160" s="1552"/>
      <c r="I160" s="197"/>
      <c r="J160" s="197"/>
      <c r="K160" s="197"/>
      <c r="L160" s="197"/>
      <c r="M160" s="197"/>
      <c r="N160" s="197"/>
      <c r="O160" s="197"/>
      <c r="P160" s="197"/>
      <c r="Q160" s="197"/>
      <c r="R160" s="197"/>
      <c r="S160" s="197"/>
    </row>
    <row r="161" customFormat="false" ht="12" hidden="false" customHeight="false" outlineLevel="0" collapsed="false">
      <c r="C161" s="197"/>
      <c r="D161" s="197"/>
      <c r="E161" s="197"/>
      <c r="F161" s="197"/>
      <c r="G161" s="197"/>
      <c r="H161" s="1552"/>
      <c r="I161" s="197"/>
      <c r="J161" s="197"/>
      <c r="K161" s="197"/>
      <c r="L161" s="197"/>
      <c r="M161" s="197"/>
      <c r="N161" s="197"/>
      <c r="O161" s="197"/>
      <c r="P161" s="197"/>
      <c r="Q161" s="197"/>
      <c r="R161" s="197"/>
      <c r="S161" s="197"/>
    </row>
    <row r="162" customFormat="false" ht="12" hidden="false" customHeight="false" outlineLevel="0" collapsed="false">
      <c r="C162" s="197"/>
      <c r="D162" s="197"/>
      <c r="E162" s="197"/>
      <c r="F162" s="197"/>
      <c r="G162" s="197"/>
      <c r="H162" s="1552"/>
      <c r="I162" s="197"/>
      <c r="J162" s="197"/>
      <c r="K162" s="197"/>
      <c r="L162" s="197"/>
      <c r="M162" s="197"/>
      <c r="N162" s="197"/>
      <c r="O162" s="197"/>
      <c r="P162" s="197"/>
      <c r="Q162" s="197"/>
      <c r="R162" s="197"/>
      <c r="S162" s="197"/>
    </row>
    <row r="163" customFormat="false" ht="12" hidden="false" customHeight="false" outlineLevel="0" collapsed="false">
      <c r="C163" s="197"/>
      <c r="D163" s="197"/>
      <c r="E163" s="197"/>
      <c r="F163" s="197"/>
      <c r="G163" s="197"/>
      <c r="H163" s="1552"/>
      <c r="I163" s="197"/>
      <c r="J163" s="197"/>
      <c r="K163" s="197"/>
      <c r="L163" s="197"/>
      <c r="M163" s="197"/>
      <c r="N163" s="197"/>
      <c r="O163" s="197"/>
      <c r="P163" s="197"/>
      <c r="Q163" s="197"/>
      <c r="R163" s="197"/>
      <c r="S163" s="197"/>
    </row>
    <row r="164" customFormat="false" ht="12" hidden="false" customHeight="false" outlineLevel="0" collapsed="false">
      <c r="C164" s="197"/>
      <c r="D164" s="197"/>
      <c r="E164" s="197"/>
      <c r="F164" s="197"/>
      <c r="G164" s="197"/>
      <c r="H164" s="1552"/>
      <c r="I164" s="197"/>
      <c r="J164" s="197"/>
      <c r="K164" s="197"/>
      <c r="L164" s="197"/>
      <c r="M164" s="197"/>
      <c r="N164" s="197"/>
      <c r="O164" s="197"/>
      <c r="P164" s="197"/>
      <c r="Q164" s="197"/>
      <c r="R164" s="197"/>
      <c r="S164" s="197"/>
    </row>
    <row r="165" customFormat="false" ht="12" hidden="false" customHeight="false" outlineLevel="0" collapsed="false">
      <c r="C165" s="197"/>
      <c r="D165" s="197"/>
      <c r="E165" s="197"/>
      <c r="F165" s="197"/>
      <c r="G165" s="197"/>
      <c r="H165" s="1552"/>
      <c r="I165" s="197"/>
      <c r="J165" s="197"/>
      <c r="K165" s="197"/>
      <c r="L165" s="197"/>
      <c r="M165" s="197"/>
      <c r="N165" s="197"/>
      <c r="O165" s="197"/>
      <c r="P165" s="197"/>
      <c r="Q165" s="197"/>
      <c r="R165" s="197"/>
      <c r="S165" s="197"/>
    </row>
    <row r="166" customFormat="false" ht="12" hidden="false" customHeight="false" outlineLevel="0" collapsed="false">
      <c r="C166" s="197"/>
      <c r="D166" s="197"/>
      <c r="E166" s="197"/>
      <c r="F166" s="197"/>
      <c r="G166" s="197"/>
      <c r="H166" s="1552"/>
      <c r="I166" s="197"/>
      <c r="J166" s="197"/>
      <c r="K166" s="197"/>
      <c r="L166" s="197"/>
      <c r="M166" s="197"/>
      <c r="N166" s="197"/>
      <c r="O166" s="197"/>
      <c r="P166" s="197"/>
      <c r="Q166" s="197"/>
      <c r="R166" s="197"/>
      <c r="S166" s="197"/>
    </row>
    <row r="167" customFormat="false" ht="12" hidden="false" customHeight="false" outlineLevel="0" collapsed="false">
      <c r="C167" s="197"/>
      <c r="D167" s="197"/>
      <c r="E167" s="197"/>
      <c r="F167" s="197"/>
      <c r="G167" s="197"/>
      <c r="H167" s="1552"/>
      <c r="I167" s="197"/>
      <c r="J167" s="197"/>
      <c r="K167" s="197"/>
      <c r="L167" s="197"/>
      <c r="M167" s="197"/>
      <c r="N167" s="197"/>
      <c r="O167" s="197"/>
      <c r="P167" s="197"/>
      <c r="Q167" s="197"/>
      <c r="R167" s="197"/>
      <c r="S167" s="197"/>
    </row>
    <row r="168" customFormat="false" ht="12" hidden="false" customHeight="false" outlineLevel="0" collapsed="false">
      <c r="C168" s="197"/>
      <c r="D168" s="197"/>
      <c r="E168" s="197"/>
      <c r="F168" s="197"/>
      <c r="G168" s="197"/>
      <c r="H168" s="1552"/>
      <c r="I168" s="197"/>
      <c r="J168" s="197"/>
      <c r="K168" s="197"/>
      <c r="L168" s="197"/>
      <c r="M168" s="197"/>
      <c r="N168" s="197"/>
      <c r="O168" s="197"/>
      <c r="P168" s="197"/>
      <c r="Q168" s="197"/>
      <c r="R168" s="197"/>
      <c r="S168" s="197"/>
    </row>
    <row r="169" customFormat="false" ht="12" hidden="false" customHeight="false" outlineLevel="0" collapsed="false">
      <c r="C169" s="197"/>
      <c r="D169" s="197"/>
      <c r="E169" s="197"/>
      <c r="F169" s="197"/>
      <c r="G169" s="197"/>
      <c r="H169" s="1552"/>
      <c r="I169" s="197"/>
      <c r="J169" s="197"/>
      <c r="K169" s="197"/>
      <c r="L169" s="197"/>
      <c r="M169" s="197"/>
      <c r="N169" s="197"/>
      <c r="O169" s="197"/>
      <c r="P169" s="197"/>
      <c r="Q169" s="197"/>
      <c r="R169" s="197"/>
      <c r="S169" s="197"/>
    </row>
    <row r="170" customFormat="false" ht="12" hidden="false" customHeight="false" outlineLevel="0" collapsed="false">
      <c r="C170" s="197"/>
      <c r="D170" s="197"/>
      <c r="E170" s="197"/>
      <c r="F170" s="197"/>
      <c r="G170" s="197"/>
      <c r="H170" s="1552"/>
      <c r="I170" s="197"/>
      <c r="J170" s="197"/>
      <c r="K170" s="197"/>
      <c r="L170" s="197"/>
      <c r="M170" s="197"/>
      <c r="N170" s="197"/>
      <c r="O170" s="197"/>
      <c r="P170" s="197"/>
      <c r="Q170" s="197"/>
      <c r="R170" s="197"/>
      <c r="S170" s="197"/>
    </row>
    <row r="171" customFormat="false" ht="12" hidden="false" customHeight="false" outlineLevel="0" collapsed="false">
      <c r="C171" s="197"/>
      <c r="D171" s="197"/>
      <c r="E171" s="197"/>
      <c r="F171" s="197"/>
      <c r="G171" s="197"/>
      <c r="H171" s="1552"/>
      <c r="I171" s="197"/>
      <c r="J171" s="197"/>
      <c r="K171" s="197"/>
      <c r="L171" s="197"/>
      <c r="M171" s="197"/>
      <c r="N171" s="197"/>
      <c r="O171" s="197"/>
      <c r="P171" s="197"/>
      <c r="Q171" s="197"/>
      <c r="R171" s="197"/>
      <c r="S171" s="197"/>
    </row>
    <row r="172" customFormat="false" ht="12" hidden="false" customHeight="false" outlineLevel="0" collapsed="false">
      <c r="C172" s="197"/>
      <c r="D172" s="197"/>
      <c r="E172" s="197"/>
      <c r="F172" s="197"/>
      <c r="G172" s="197"/>
      <c r="H172" s="1552"/>
      <c r="I172" s="197"/>
      <c r="J172" s="197"/>
      <c r="K172" s="197"/>
      <c r="L172" s="197"/>
      <c r="M172" s="197"/>
      <c r="N172" s="197"/>
      <c r="O172" s="197"/>
      <c r="P172" s="197"/>
      <c r="Q172" s="197"/>
      <c r="R172" s="197"/>
      <c r="S172" s="197"/>
    </row>
    <row r="173" customFormat="false" ht="12" hidden="false" customHeight="false" outlineLevel="0" collapsed="false">
      <c r="C173" s="197"/>
      <c r="D173" s="197"/>
      <c r="E173" s="197"/>
      <c r="F173" s="197"/>
      <c r="G173" s="197"/>
      <c r="H173" s="1552"/>
      <c r="I173" s="197"/>
      <c r="J173" s="197"/>
      <c r="K173" s="197"/>
      <c r="L173" s="197"/>
      <c r="M173" s="197"/>
      <c r="N173" s="197"/>
      <c r="O173" s="197"/>
      <c r="P173" s="197"/>
      <c r="Q173" s="197"/>
      <c r="R173" s="197"/>
      <c r="S173" s="197"/>
    </row>
    <row r="174" customFormat="false" ht="12" hidden="false" customHeight="false" outlineLevel="0" collapsed="false">
      <c r="C174" s="197"/>
      <c r="D174" s="197"/>
      <c r="E174" s="197"/>
      <c r="F174" s="197"/>
      <c r="G174" s="197"/>
      <c r="H174" s="1552"/>
      <c r="I174" s="197"/>
      <c r="J174" s="197"/>
      <c r="K174" s="197"/>
      <c r="L174" s="197"/>
      <c r="M174" s="197"/>
      <c r="N174" s="197"/>
      <c r="O174" s="197"/>
      <c r="P174" s="197"/>
      <c r="Q174" s="197"/>
      <c r="R174" s="197"/>
      <c r="S174" s="197"/>
    </row>
    <row r="175" customFormat="false" ht="12" hidden="false" customHeight="false" outlineLevel="0" collapsed="false">
      <c r="C175" s="197"/>
      <c r="D175" s="197"/>
      <c r="E175" s="197"/>
      <c r="F175" s="197"/>
      <c r="G175" s="197"/>
      <c r="H175" s="1552"/>
      <c r="I175" s="197"/>
      <c r="J175" s="197"/>
      <c r="K175" s="197"/>
      <c r="L175" s="197"/>
      <c r="M175" s="197"/>
      <c r="N175" s="197"/>
      <c r="O175" s="197"/>
      <c r="P175" s="197"/>
      <c r="Q175" s="197"/>
      <c r="R175" s="197"/>
      <c r="S175" s="197"/>
    </row>
    <row r="176" customFormat="false" ht="12" hidden="false" customHeight="false" outlineLevel="0" collapsed="false">
      <c r="C176" s="197"/>
      <c r="D176" s="197"/>
      <c r="E176" s="197"/>
      <c r="F176" s="197"/>
      <c r="G176" s="197"/>
      <c r="H176" s="1552"/>
      <c r="I176" s="197"/>
      <c r="J176" s="197"/>
      <c r="K176" s="197"/>
      <c r="L176" s="197"/>
      <c r="M176" s="197"/>
      <c r="N176" s="197"/>
      <c r="O176" s="197"/>
      <c r="P176" s="197"/>
      <c r="Q176" s="197"/>
      <c r="R176" s="197"/>
      <c r="S176" s="197"/>
    </row>
    <row r="177" customFormat="false" ht="12" hidden="false" customHeight="false" outlineLevel="0" collapsed="false">
      <c r="C177" s="197"/>
      <c r="D177" s="197"/>
      <c r="E177" s="197"/>
      <c r="F177" s="197"/>
      <c r="G177" s="197"/>
      <c r="H177" s="1552"/>
      <c r="I177" s="197"/>
      <c r="J177" s="197"/>
      <c r="K177" s="197"/>
      <c r="L177" s="197"/>
      <c r="M177" s="197"/>
      <c r="N177" s="197"/>
      <c r="O177" s="197"/>
      <c r="P177" s="197"/>
      <c r="Q177" s="197"/>
      <c r="R177" s="197"/>
      <c r="S177" s="197"/>
    </row>
    <row r="178" customFormat="false" ht="12" hidden="false" customHeight="false" outlineLevel="0" collapsed="false">
      <c r="C178" s="197"/>
      <c r="D178" s="197"/>
      <c r="E178" s="197"/>
      <c r="F178" s="197"/>
      <c r="G178" s="197"/>
      <c r="H178" s="1552"/>
      <c r="I178" s="197"/>
      <c r="J178" s="197"/>
      <c r="K178" s="197"/>
      <c r="L178" s="197"/>
      <c r="M178" s="197"/>
      <c r="N178" s="197"/>
      <c r="O178" s="197"/>
      <c r="P178" s="197"/>
      <c r="Q178" s="197"/>
      <c r="R178" s="197"/>
      <c r="S178" s="197"/>
    </row>
    <row r="179" customFormat="false" ht="12" hidden="false" customHeight="false" outlineLevel="0" collapsed="false">
      <c r="C179" s="197"/>
      <c r="D179" s="197"/>
      <c r="E179" s="197"/>
      <c r="F179" s="197"/>
      <c r="G179" s="197"/>
      <c r="H179" s="1552"/>
      <c r="I179" s="197"/>
      <c r="J179" s="197"/>
      <c r="K179" s="197"/>
      <c r="L179" s="197"/>
      <c r="M179" s="197"/>
      <c r="N179" s="197"/>
      <c r="O179" s="197"/>
      <c r="P179" s="197"/>
      <c r="Q179" s="197"/>
      <c r="R179" s="197"/>
      <c r="S179" s="197"/>
    </row>
    <row r="180" customFormat="false" ht="12" hidden="false" customHeight="false" outlineLevel="0" collapsed="false">
      <c r="C180" s="197"/>
      <c r="D180" s="197"/>
      <c r="E180" s="197"/>
      <c r="F180" s="197"/>
      <c r="G180" s="197"/>
      <c r="H180" s="1552"/>
      <c r="I180" s="197"/>
      <c r="J180" s="197"/>
      <c r="K180" s="197"/>
      <c r="L180" s="197"/>
      <c r="M180" s="197"/>
      <c r="N180" s="197"/>
      <c r="O180" s="197"/>
      <c r="P180" s="197"/>
      <c r="Q180" s="197"/>
      <c r="R180" s="197"/>
      <c r="S180" s="197"/>
    </row>
    <row r="181" customFormat="false" ht="12" hidden="false" customHeight="false" outlineLevel="0" collapsed="false">
      <c r="C181" s="197"/>
      <c r="D181" s="197"/>
      <c r="E181" s="197"/>
      <c r="F181" s="197"/>
      <c r="G181" s="197"/>
      <c r="H181" s="1552"/>
      <c r="I181" s="197"/>
      <c r="J181" s="197"/>
      <c r="K181" s="197"/>
      <c r="L181" s="197"/>
      <c r="M181" s="197"/>
      <c r="N181" s="197"/>
      <c r="O181" s="197"/>
      <c r="P181" s="197"/>
      <c r="Q181" s="197"/>
      <c r="R181" s="197"/>
      <c r="S181" s="197"/>
    </row>
    <row r="182" customFormat="false" ht="12" hidden="false" customHeight="false" outlineLevel="0" collapsed="false">
      <c r="C182" s="197"/>
      <c r="D182" s="197"/>
      <c r="E182" s="197"/>
      <c r="F182" s="197"/>
      <c r="G182" s="197"/>
      <c r="H182" s="1552"/>
      <c r="I182" s="197"/>
      <c r="J182" s="197"/>
      <c r="K182" s="197"/>
      <c r="L182" s="197"/>
      <c r="M182" s="197"/>
      <c r="N182" s="197"/>
      <c r="O182" s="197"/>
      <c r="P182" s="197"/>
      <c r="Q182" s="197"/>
      <c r="R182" s="197"/>
      <c r="S182" s="197"/>
    </row>
    <row r="183" customFormat="false" ht="12" hidden="false" customHeight="false" outlineLevel="0" collapsed="false">
      <c r="C183" s="197"/>
      <c r="D183" s="197"/>
      <c r="E183" s="197"/>
      <c r="F183" s="197"/>
      <c r="G183" s="197"/>
      <c r="H183" s="1552"/>
      <c r="I183" s="197"/>
      <c r="J183" s="197"/>
      <c r="K183" s="197"/>
      <c r="L183" s="197"/>
      <c r="M183" s="197"/>
      <c r="N183" s="197"/>
      <c r="O183" s="197"/>
      <c r="P183" s="197"/>
      <c r="Q183" s="197"/>
      <c r="R183" s="197"/>
      <c r="S183" s="197"/>
    </row>
    <row r="184" customFormat="false" ht="12" hidden="false" customHeight="false" outlineLevel="0" collapsed="false">
      <c r="C184" s="197"/>
      <c r="D184" s="197"/>
      <c r="E184" s="197"/>
      <c r="F184" s="197"/>
      <c r="G184" s="197"/>
      <c r="H184" s="1552"/>
      <c r="I184" s="197"/>
      <c r="J184" s="197"/>
      <c r="K184" s="197"/>
      <c r="L184" s="197"/>
      <c r="M184" s="197"/>
      <c r="N184" s="197"/>
      <c r="O184" s="197"/>
      <c r="P184" s="197"/>
      <c r="Q184" s="197"/>
      <c r="R184" s="197"/>
      <c r="S184" s="197"/>
    </row>
    <row r="185" customFormat="false" ht="12" hidden="false" customHeight="false" outlineLevel="0" collapsed="false">
      <c r="C185" s="197"/>
      <c r="D185" s="197"/>
      <c r="E185" s="197"/>
      <c r="F185" s="197"/>
      <c r="G185" s="197"/>
      <c r="H185" s="1552"/>
      <c r="I185" s="197"/>
      <c r="J185" s="197"/>
      <c r="K185" s="197"/>
      <c r="L185" s="197"/>
      <c r="M185" s="197"/>
      <c r="N185" s="197"/>
      <c r="O185" s="197"/>
      <c r="P185" s="197"/>
      <c r="Q185" s="197"/>
      <c r="R185" s="197"/>
      <c r="S185" s="197"/>
    </row>
    <row r="186" customFormat="false" ht="12" hidden="false" customHeight="false" outlineLevel="0" collapsed="false">
      <c r="C186" s="197"/>
      <c r="D186" s="197"/>
      <c r="E186" s="197"/>
      <c r="F186" s="197"/>
      <c r="G186" s="197"/>
      <c r="H186" s="1552"/>
      <c r="I186" s="197"/>
      <c r="J186" s="197"/>
      <c r="K186" s="197"/>
      <c r="L186" s="197"/>
      <c r="M186" s="197"/>
      <c r="N186" s="197"/>
      <c r="O186" s="197"/>
      <c r="P186" s="197"/>
      <c r="Q186" s="197"/>
      <c r="R186" s="197"/>
      <c r="S186" s="197"/>
    </row>
    <row r="187" customFormat="false" ht="12" hidden="false" customHeight="false" outlineLevel="0" collapsed="false">
      <c r="C187" s="197"/>
      <c r="D187" s="197"/>
      <c r="E187" s="197"/>
      <c r="F187" s="197"/>
      <c r="G187" s="197"/>
      <c r="H187" s="1552"/>
      <c r="I187" s="197"/>
      <c r="J187" s="197"/>
      <c r="K187" s="197"/>
      <c r="L187" s="197"/>
      <c r="M187" s="197"/>
      <c r="N187" s="197"/>
      <c r="O187" s="197"/>
      <c r="P187" s="197"/>
      <c r="Q187" s="197"/>
      <c r="R187" s="197"/>
      <c r="S187" s="197"/>
    </row>
    <row r="188" customFormat="false" ht="12" hidden="false" customHeight="false" outlineLevel="0" collapsed="false">
      <c r="C188" s="197"/>
      <c r="D188" s="197"/>
      <c r="E188" s="197"/>
      <c r="F188" s="197"/>
      <c r="G188" s="197"/>
      <c r="H188" s="1552"/>
      <c r="I188" s="197"/>
      <c r="J188" s="197"/>
      <c r="K188" s="197"/>
      <c r="L188" s="197"/>
      <c r="M188" s="197"/>
      <c r="N188" s="197"/>
      <c r="O188" s="197"/>
      <c r="P188" s="197"/>
      <c r="Q188" s="197"/>
      <c r="R188" s="197"/>
      <c r="S188" s="197"/>
    </row>
    <row r="189" customFormat="false" ht="12" hidden="false" customHeight="false" outlineLevel="0" collapsed="false">
      <c r="C189" s="197"/>
      <c r="D189" s="197"/>
      <c r="E189" s="197"/>
      <c r="F189" s="197"/>
      <c r="G189" s="197"/>
      <c r="H189" s="1552"/>
      <c r="I189" s="197"/>
      <c r="J189" s="197"/>
      <c r="K189" s="197"/>
      <c r="L189" s="197"/>
      <c r="M189" s="197"/>
      <c r="N189" s="197"/>
      <c r="O189" s="197"/>
      <c r="P189" s="197"/>
      <c r="Q189" s="197"/>
      <c r="R189" s="197"/>
      <c r="S189" s="197"/>
    </row>
    <row r="190" customFormat="false" ht="12" hidden="false" customHeight="false" outlineLevel="0" collapsed="false">
      <c r="C190" s="197"/>
      <c r="D190" s="197"/>
      <c r="E190" s="197"/>
      <c r="F190" s="197"/>
      <c r="G190" s="197"/>
      <c r="H190" s="1552"/>
      <c r="I190" s="197"/>
      <c r="J190" s="197"/>
      <c r="K190" s="197"/>
      <c r="L190" s="197"/>
      <c r="M190" s="197"/>
      <c r="N190" s="197"/>
      <c r="O190" s="197"/>
      <c r="P190" s="197"/>
      <c r="Q190" s="197"/>
      <c r="R190" s="197"/>
      <c r="S190" s="197"/>
    </row>
    <row r="191" customFormat="false" ht="12" hidden="false" customHeight="false" outlineLevel="0" collapsed="false">
      <c r="C191" s="197"/>
      <c r="D191" s="197"/>
      <c r="E191" s="197"/>
      <c r="F191" s="197"/>
      <c r="G191" s="197"/>
      <c r="H191" s="1552"/>
      <c r="I191" s="197"/>
      <c r="J191" s="197"/>
      <c r="K191" s="197"/>
      <c r="L191" s="197"/>
      <c r="M191" s="197"/>
      <c r="N191" s="197"/>
      <c r="O191" s="197"/>
      <c r="P191" s="197"/>
      <c r="Q191" s="197"/>
      <c r="R191" s="197"/>
      <c r="S191" s="197"/>
    </row>
    <row r="192" customFormat="false" ht="12" hidden="false" customHeight="false" outlineLevel="0" collapsed="false">
      <c r="C192" s="197"/>
      <c r="D192" s="197"/>
      <c r="E192" s="197"/>
      <c r="F192" s="197"/>
      <c r="G192" s="197"/>
      <c r="H192" s="1552"/>
      <c r="I192" s="197"/>
      <c r="J192" s="197"/>
      <c r="K192" s="197"/>
      <c r="L192" s="197"/>
      <c r="M192" s="197"/>
      <c r="N192" s="197"/>
      <c r="O192" s="197"/>
      <c r="P192" s="197"/>
      <c r="Q192" s="197"/>
      <c r="R192" s="197"/>
      <c r="S192" s="197"/>
    </row>
    <row r="193" customFormat="false" ht="12" hidden="false" customHeight="false" outlineLevel="0" collapsed="false">
      <c r="C193" s="197"/>
      <c r="D193" s="197"/>
      <c r="E193" s="197"/>
      <c r="F193" s="197"/>
      <c r="G193" s="197"/>
      <c r="H193" s="1552"/>
      <c r="I193" s="197"/>
      <c r="J193" s="197"/>
      <c r="K193" s="197"/>
      <c r="L193" s="197"/>
      <c r="M193" s="197"/>
      <c r="N193" s="197"/>
      <c r="O193" s="197"/>
      <c r="P193" s="197"/>
      <c r="Q193" s="197"/>
      <c r="R193" s="197"/>
      <c r="S193" s="197"/>
    </row>
    <row r="194" customFormat="false" ht="12" hidden="false" customHeight="false" outlineLevel="0" collapsed="false">
      <c r="C194" s="197"/>
      <c r="D194" s="197"/>
      <c r="E194" s="197"/>
      <c r="F194" s="197"/>
      <c r="G194" s="197"/>
      <c r="H194" s="1552"/>
      <c r="I194" s="197"/>
      <c r="J194" s="197"/>
      <c r="K194" s="197"/>
      <c r="L194" s="197"/>
      <c r="M194" s="197"/>
      <c r="N194" s="197"/>
      <c r="O194" s="197"/>
      <c r="P194" s="197"/>
      <c r="Q194" s="197"/>
      <c r="R194" s="197"/>
      <c r="S194" s="197"/>
    </row>
    <row r="195" customFormat="false" ht="12" hidden="false" customHeight="false" outlineLevel="0" collapsed="false">
      <c r="C195" s="197"/>
      <c r="D195" s="197"/>
      <c r="E195" s="197"/>
      <c r="F195" s="197"/>
      <c r="G195" s="197"/>
      <c r="H195" s="1552"/>
      <c r="I195" s="197"/>
      <c r="J195" s="197"/>
      <c r="K195" s="197"/>
      <c r="L195" s="197"/>
      <c r="M195" s="197"/>
      <c r="N195" s="197"/>
      <c r="O195" s="197"/>
      <c r="P195" s="197"/>
      <c r="Q195" s="197"/>
      <c r="R195" s="197"/>
      <c r="S195" s="197"/>
    </row>
    <row r="196" customFormat="false" ht="12" hidden="false" customHeight="false" outlineLevel="0" collapsed="false">
      <c r="C196" s="197"/>
      <c r="D196" s="197"/>
      <c r="E196" s="197"/>
      <c r="F196" s="197"/>
      <c r="G196" s="197"/>
      <c r="H196" s="1552"/>
      <c r="I196" s="197"/>
      <c r="J196" s="197"/>
      <c r="K196" s="197"/>
      <c r="L196" s="197"/>
      <c r="M196" s="197"/>
      <c r="N196" s="197"/>
      <c r="O196" s="197"/>
      <c r="P196" s="197"/>
      <c r="Q196" s="197"/>
      <c r="R196" s="197"/>
      <c r="S196" s="197"/>
    </row>
    <row r="197" customFormat="false" ht="12" hidden="false" customHeight="false" outlineLevel="0" collapsed="false">
      <c r="C197" s="197"/>
      <c r="D197" s="197"/>
      <c r="E197" s="197"/>
      <c r="F197" s="197"/>
      <c r="G197" s="197"/>
      <c r="H197" s="1552"/>
      <c r="I197" s="197"/>
      <c r="J197" s="197"/>
      <c r="K197" s="197"/>
      <c r="L197" s="197"/>
      <c r="M197" s="197"/>
      <c r="N197" s="197"/>
      <c r="O197" s="197"/>
      <c r="P197" s="197"/>
      <c r="Q197" s="197"/>
      <c r="R197" s="197"/>
      <c r="S197" s="197"/>
    </row>
    <row r="198" customFormat="false" ht="12" hidden="false" customHeight="false" outlineLevel="0" collapsed="false">
      <c r="C198" s="197"/>
      <c r="D198" s="197"/>
      <c r="E198" s="197"/>
      <c r="F198" s="197"/>
      <c r="G198" s="197"/>
      <c r="H198" s="1552"/>
      <c r="I198" s="197"/>
      <c r="J198" s="197"/>
      <c r="K198" s="197"/>
      <c r="L198" s="197"/>
      <c r="M198" s="197"/>
      <c r="N198" s="197"/>
      <c r="O198" s="197"/>
      <c r="P198" s="197"/>
      <c r="Q198" s="197"/>
      <c r="R198" s="197"/>
      <c r="S198" s="197"/>
    </row>
    <row r="199" customFormat="false" ht="12" hidden="false" customHeight="false" outlineLevel="0" collapsed="false">
      <c r="C199" s="197"/>
      <c r="D199" s="197"/>
      <c r="E199" s="197"/>
      <c r="F199" s="197"/>
      <c r="G199" s="197"/>
      <c r="H199" s="1552"/>
      <c r="I199" s="197"/>
      <c r="J199" s="197"/>
      <c r="K199" s="197"/>
      <c r="L199" s="197"/>
      <c r="M199" s="197"/>
      <c r="N199" s="197"/>
      <c r="O199" s="197"/>
      <c r="P199" s="197"/>
      <c r="Q199" s="197"/>
      <c r="R199" s="197"/>
      <c r="S199" s="197"/>
    </row>
    <row r="200" customFormat="false" ht="12" hidden="false" customHeight="false" outlineLevel="0" collapsed="false">
      <c r="C200" s="197"/>
      <c r="D200" s="197"/>
      <c r="E200" s="197"/>
      <c r="F200" s="197"/>
      <c r="G200" s="197"/>
      <c r="H200" s="1552"/>
      <c r="I200" s="197"/>
      <c r="J200" s="197"/>
      <c r="K200" s="197"/>
      <c r="L200" s="197"/>
      <c r="M200" s="197"/>
      <c r="N200" s="197"/>
      <c r="O200" s="197"/>
      <c r="P200" s="197"/>
      <c r="Q200" s="197"/>
      <c r="R200" s="197"/>
      <c r="S200" s="197"/>
    </row>
    <row r="201" customFormat="false" ht="12" hidden="false" customHeight="false" outlineLevel="0" collapsed="false">
      <c r="C201" s="197"/>
      <c r="D201" s="197"/>
      <c r="E201" s="197"/>
      <c r="F201" s="197"/>
      <c r="G201" s="197"/>
      <c r="H201" s="1552"/>
      <c r="I201" s="197"/>
      <c r="J201" s="197"/>
      <c r="K201" s="197"/>
      <c r="L201" s="197"/>
      <c r="M201" s="197"/>
      <c r="N201" s="197"/>
      <c r="O201" s="197"/>
      <c r="P201" s="197"/>
      <c r="Q201" s="197"/>
      <c r="R201" s="197"/>
      <c r="S201" s="197"/>
    </row>
    <row r="202" customFormat="false" ht="12" hidden="false" customHeight="false" outlineLevel="0" collapsed="false">
      <c r="C202" s="197"/>
      <c r="D202" s="197"/>
      <c r="E202" s="197"/>
      <c r="F202" s="197"/>
      <c r="G202" s="197"/>
      <c r="H202" s="1552"/>
      <c r="I202" s="197"/>
      <c r="J202" s="197"/>
      <c r="K202" s="197"/>
      <c r="L202" s="197"/>
      <c r="M202" s="197"/>
      <c r="N202" s="197"/>
      <c r="O202" s="197"/>
      <c r="P202" s="197"/>
      <c r="Q202" s="197"/>
      <c r="R202" s="197"/>
      <c r="S202" s="197"/>
    </row>
    <row r="203" customFormat="false" ht="12" hidden="false" customHeight="false" outlineLevel="0" collapsed="false">
      <c r="C203" s="197"/>
      <c r="D203" s="197"/>
      <c r="E203" s="197"/>
      <c r="F203" s="197"/>
      <c r="G203" s="197"/>
      <c r="H203" s="1552"/>
      <c r="I203" s="197"/>
      <c r="J203" s="197"/>
      <c r="K203" s="197"/>
      <c r="L203" s="197"/>
      <c r="M203" s="197"/>
      <c r="N203" s="197"/>
      <c r="O203" s="197"/>
      <c r="P203" s="197"/>
      <c r="Q203" s="197"/>
      <c r="R203" s="197"/>
      <c r="S203" s="197"/>
    </row>
    <row r="204" customFormat="false" ht="12" hidden="false" customHeight="false" outlineLevel="0" collapsed="false">
      <c r="C204" s="197"/>
      <c r="D204" s="197"/>
      <c r="E204" s="197"/>
      <c r="F204" s="197"/>
      <c r="G204" s="197"/>
      <c r="H204" s="1552"/>
      <c r="I204" s="197"/>
      <c r="J204" s="197"/>
      <c r="K204" s="197"/>
      <c r="L204" s="197"/>
      <c r="M204" s="197"/>
      <c r="N204" s="197"/>
      <c r="O204" s="197"/>
      <c r="P204" s="197"/>
      <c r="Q204" s="197"/>
      <c r="R204" s="197"/>
      <c r="S204" s="197"/>
    </row>
    <row r="205" customFormat="false" ht="12" hidden="false" customHeight="false" outlineLevel="0" collapsed="false">
      <c r="C205" s="197"/>
      <c r="D205" s="197"/>
      <c r="E205" s="197"/>
      <c r="F205" s="197"/>
      <c r="G205" s="197"/>
      <c r="H205" s="1552"/>
      <c r="I205" s="197"/>
      <c r="J205" s="197"/>
      <c r="K205" s="197"/>
      <c r="L205" s="197"/>
      <c r="M205" s="197"/>
      <c r="N205" s="197"/>
      <c r="O205" s="197"/>
      <c r="P205" s="197"/>
      <c r="Q205" s="197"/>
      <c r="R205" s="197"/>
      <c r="S205" s="197"/>
    </row>
    <row r="206" customFormat="false" ht="12" hidden="false" customHeight="false" outlineLevel="0" collapsed="false">
      <c r="C206" s="197"/>
      <c r="D206" s="197"/>
      <c r="E206" s="197"/>
      <c r="F206" s="197"/>
      <c r="G206" s="197"/>
      <c r="H206" s="1552"/>
      <c r="I206" s="197"/>
      <c r="J206" s="197"/>
      <c r="K206" s="197"/>
      <c r="L206" s="197"/>
      <c r="M206" s="197"/>
      <c r="N206" s="197"/>
      <c r="O206" s="197"/>
      <c r="P206" s="197"/>
      <c r="Q206" s="197"/>
      <c r="R206" s="197"/>
      <c r="S206" s="197"/>
    </row>
    <row r="207" customFormat="false" ht="12" hidden="false" customHeight="false" outlineLevel="0" collapsed="false">
      <c r="C207" s="197"/>
      <c r="D207" s="197"/>
      <c r="E207" s="197"/>
      <c r="F207" s="197"/>
      <c r="G207" s="197"/>
      <c r="H207" s="1552"/>
      <c r="I207" s="197"/>
      <c r="J207" s="197"/>
      <c r="K207" s="197"/>
      <c r="L207" s="197"/>
      <c r="M207" s="197"/>
      <c r="N207" s="197"/>
      <c r="O207" s="197"/>
      <c r="P207" s="197"/>
      <c r="Q207" s="197"/>
      <c r="R207" s="197"/>
      <c r="S207" s="197"/>
    </row>
    <row r="208" customFormat="false" ht="12" hidden="false" customHeight="false" outlineLevel="0" collapsed="false">
      <c r="C208" s="197"/>
      <c r="D208" s="197"/>
      <c r="E208" s="197"/>
      <c r="F208" s="197"/>
      <c r="G208" s="197"/>
      <c r="H208" s="1552"/>
      <c r="I208" s="197"/>
      <c r="J208" s="197"/>
      <c r="K208" s="197"/>
      <c r="L208" s="197"/>
      <c r="M208" s="197"/>
      <c r="N208" s="197"/>
      <c r="O208" s="197"/>
      <c r="P208" s="197"/>
      <c r="Q208" s="197"/>
      <c r="R208" s="197"/>
      <c r="S208" s="197"/>
    </row>
    <row r="209" customFormat="false" ht="12" hidden="false" customHeight="false" outlineLevel="0" collapsed="false">
      <c r="C209" s="197"/>
      <c r="D209" s="197"/>
      <c r="E209" s="197"/>
      <c r="F209" s="197"/>
      <c r="G209" s="197"/>
      <c r="H209" s="1552"/>
      <c r="I209" s="197"/>
      <c r="J209" s="197"/>
      <c r="K209" s="197"/>
      <c r="L209" s="197"/>
      <c r="M209" s="197"/>
      <c r="N209" s="197"/>
      <c r="O209" s="197"/>
      <c r="P209" s="197"/>
      <c r="Q209" s="197"/>
      <c r="R209" s="197"/>
      <c r="S209" s="197"/>
    </row>
    <row r="210" customFormat="false" ht="12" hidden="false" customHeight="false" outlineLevel="0" collapsed="false">
      <c r="C210" s="197"/>
      <c r="D210" s="197"/>
      <c r="E210" s="197"/>
      <c r="F210" s="197"/>
      <c r="G210" s="197"/>
      <c r="H210" s="1552"/>
      <c r="I210" s="197"/>
      <c r="J210" s="197"/>
      <c r="K210" s="197"/>
      <c r="L210" s="197"/>
      <c r="M210" s="197"/>
      <c r="N210" s="197"/>
      <c r="O210" s="197"/>
      <c r="P210" s="197"/>
      <c r="Q210" s="197"/>
      <c r="R210" s="197"/>
      <c r="S210" s="197"/>
    </row>
    <row r="211" customFormat="false" ht="12" hidden="false" customHeight="false" outlineLevel="0" collapsed="false">
      <c r="C211" s="197"/>
      <c r="D211" s="197"/>
      <c r="E211" s="197"/>
      <c r="F211" s="197"/>
      <c r="G211" s="197"/>
      <c r="H211" s="1552"/>
      <c r="I211" s="197"/>
      <c r="J211" s="197"/>
      <c r="K211" s="197"/>
      <c r="L211" s="197"/>
      <c r="M211" s="197"/>
      <c r="N211" s="197"/>
      <c r="O211" s="197"/>
      <c r="P211" s="197"/>
      <c r="Q211" s="197"/>
      <c r="R211" s="197"/>
      <c r="S211" s="197"/>
    </row>
    <row r="212" customFormat="false" ht="12" hidden="false" customHeight="false" outlineLevel="0" collapsed="false">
      <c r="C212" s="197"/>
      <c r="D212" s="197"/>
      <c r="E212" s="197"/>
      <c r="F212" s="197"/>
      <c r="G212" s="197"/>
      <c r="H212" s="1552"/>
      <c r="I212" s="197"/>
      <c r="J212" s="197"/>
      <c r="K212" s="197"/>
      <c r="L212" s="197"/>
      <c r="M212" s="197"/>
      <c r="N212" s="197"/>
      <c r="O212" s="197"/>
      <c r="P212" s="197"/>
      <c r="Q212" s="197"/>
      <c r="R212" s="197"/>
      <c r="S212" s="197"/>
    </row>
    <row r="213" customFormat="false" ht="12" hidden="false" customHeight="false" outlineLevel="0" collapsed="false">
      <c r="C213" s="197"/>
      <c r="D213" s="197"/>
      <c r="E213" s="197"/>
      <c r="F213" s="197"/>
      <c r="G213" s="197"/>
      <c r="H213" s="1552"/>
      <c r="I213" s="197"/>
      <c r="J213" s="197"/>
      <c r="K213" s="197"/>
      <c r="L213" s="197"/>
      <c r="M213" s="197"/>
      <c r="N213" s="197"/>
      <c r="O213" s="197"/>
      <c r="P213" s="197"/>
      <c r="Q213" s="197"/>
      <c r="R213" s="197"/>
      <c r="S213" s="197"/>
    </row>
    <row r="214" customFormat="false" ht="12" hidden="false" customHeight="false" outlineLevel="0" collapsed="false">
      <c r="C214" s="197"/>
      <c r="D214" s="197"/>
      <c r="E214" s="197"/>
      <c r="F214" s="197"/>
      <c r="G214" s="197"/>
      <c r="H214" s="1552"/>
      <c r="I214" s="197"/>
      <c r="J214" s="197"/>
      <c r="K214" s="197"/>
      <c r="L214" s="197"/>
      <c r="M214" s="197"/>
      <c r="N214" s="197"/>
      <c r="O214" s="197"/>
      <c r="P214" s="197"/>
      <c r="Q214" s="197"/>
      <c r="R214" s="197"/>
      <c r="S214" s="197"/>
    </row>
    <row r="215" customFormat="false" ht="12" hidden="false" customHeight="false" outlineLevel="0" collapsed="false">
      <c r="C215" s="197"/>
      <c r="D215" s="197"/>
      <c r="E215" s="197"/>
      <c r="F215" s="197"/>
      <c r="G215" s="197"/>
      <c r="H215" s="1552"/>
      <c r="I215" s="197"/>
      <c r="J215" s="197"/>
      <c r="K215" s="197"/>
      <c r="L215" s="197"/>
      <c r="M215" s="197"/>
      <c r="N215" s="197"/>
      <c r="O215" s="197"/>
      <c r="P215" s="197"/>
      <c r="Q215" s="197"/>
      <c r="R215" s="197"/>
      <c r="S215" s="197"/>
    </row>
    <row r="216" customFormat="false" ht="12" hidden="false" customHeight="false" outlineLevel="0" collapsed="false">
      <c r="C216" s="197"/>
      <c r="D216" s="197"/>
      <c r="E216" s="197"/>
      <c r="F216" s="197"/>
      <c r="G216" s="197"/>
      <c r="H216" s="1552"/>
      <c r="I216" s="197"/>
      <c r="J216" s="197"/>
      <c r="K216" s="197"/>
      <c r="L216" s="197"/>
      <c r="M216" s="197"/>
      <c r="N216" s="197"/>
      <c r="O216" s="197"/>
      <c r="P216" s="197"/>
      <c r="Q216" s="197"/>
      <c r="R216" s="197"/>
      <c r="S216" s="197"/>
    </row>
    <row r="217" customFormat="false" ht="12" hidden="false" customHeight="false" outlineLevel="0" collapsed="false">
      <c r="C217" s="197"/>
      <c r="D217" s="197"/>
      <c r="E217" s="197"/>
      <c r="F217" s="197"/>
      <c r="G217" s="197"/>
      <c r="H217" s="1552"/>
      <c r="I217" s="197"/>
      <c r="J217" s="197"/>
      <c r="K217" s="197"/>
      <c r="L217" s="197"/>
      <c r="M217" s="197"/>
      <c r="N217" s="197"/>
      <c r="O217" s="197"/>
      <c r="P217" s="197"/>
      <c r="Q217" s="197"/>
      <c r="R217" s="197"/>
      <c r="S217" s="197"/>
    </row>
    <row r="218" customFormat="false" ht="12" hidden="false" customHeight="false" outlineLevel="0" collapsed="false">
      <c r="C218" s="197"/>
      <c r="D218" s="197"/>
      <c r="E218" s="197"/>
      <c r="F218" s="197"/>
      <c r="G218" s="197"/>
      <c r="H218" s="1552"/>
      <c r="I218" s="197"/>
      <c r="J218" s="197"/>
      <c r="K218" s="197"/>
      <c r="L218" s="197"/>
      <c r="M218" s="197"/>
      <c r="N218" s="197"/>
      <c r="O218" s="197"/>
      <c r="P218" s="197"/>
      <c r="Q218" s="197"/>
      <c r="R218" s="197"/>
      <c r="S218" s="197"/>
    </row>
    <row r="219" customFormat="false" ht="12" hidden="false" customHeight="false" outlineLevel="0" collapsed="false">
      <c r="C219" s="197"/>
      <c r="D219" s="197"/>
      <c r="E219" s="197"/>
      <c r="F219" s="197"/>
      <c r="G219" s="197"/>
      <c r="H219" s="1552"/>
      <c r="I219" s="197"/>
      <c r="J219" s="197"/>
      <c r="K219" s="197"/>
      <c r="L219" s="197"/>
      <c r="M219" s="197"/>
      <c r="N219" s="197"/>
      <c r="O219" s="197"/>
      <c r="P219" s="197"/>
      <c r="Q219" s="197"/>
      <c r="R219" s="197"/>
      <c r="S219" s="197"/>
    </row>
    <row r="220" customFormat="false" ht="12" hidden="false" customHeight="false" outlineLevel="0" collapsed="false">
      <c r="C220" s="197"/>
      <c r="D220" s="197"/>
      <c r="E220" s="197"/>
      <c r="F220" s="197"/>
      <c r="G220" s="197"/>
      <c r="H220" s="1552"/>
      <c r="I220" s="197"/>
      <c r="J220" s="197"/>
      <c r="K220" s="197"/>
      <c r="L220" s="197"/>
      <c r="M220" s="197"/>
      <c r="N220" s="197"/>
      <c r="O220" s="197"/>
      <c r="P220" s="197"/>
      <c r="Q220" s="197"/>
      <c r="R220" s="197"/>
      <c r="S220" s="197"/>
    </row>
    <row r="221" customFormat="false" ht="12" hidden="false" customHeight="false" outlineLevel="0" collapsed="false">
      <c r="C221" s="197"/>
      <c r="D221" s="197"/>
      <c r="E221" s="197"/>
      <c r="F221" s="197"/>
      <c r="G221" s="197"/>
      <c r="H221" s="1552"/>
      <c r="I221" s="197"/>
      <c r="J221" s="197"/>
      <c r="K221" s="197"/>
      <c r="L221" s="197"/>
      <c r="M221" s="197"/>
      <c r="N221" s="197"/>
      <c r="O221" s="197"/>
      <c r="P221" s="197"/>
      <c r="Q221" s="197"/>
      <c r="R221" s="197"/>
      <c r="S221" s="197"/>
    </row>
    <row r="222" customFormat="false" ht="12" hidden="false" customHeight="false" outlineLevel="0" collapsed="false">
      <c r="C222" s="197"/>
      <c r="D222" s="197"/>
      <c r="E222" s="197"/>
      <c r="F222" s="197"/>
      <c r="G222" s="197"/>
      <c r="H222" s="1552"/>
      <c r="I222" s="197"/>
      <c r="J222" s="197"/>
      <c r="K222" s="197"/>
      <c r="L222" s="197"/>
      <c r="M222" s="197"/>
      <c r="N222" s="197"/>
      <c r="O222" s="197"/>
      <c r="P222" s="197"/>
      <c r="Q222" s="197"/>
      <c r="R222" s="197"/>
      <c r="S222" s="197"/>
    </row>
    <row r="223" customFormat="false" ht="12" hidden="false" customHeight="false" outlineLevel="0" collapsed="false">
      <c r="C223" s="197"/>
      <c r="D223" s="197"/>
      <c r="E223" s="197"/>
      <c r="F223" s="197"/>
      <c r="G223" s="197"/>
      <c r="H223" s="1552"/>
      <c r="I223" s="197"/>
      <c r="J223" s="197"/>
      <c r="K223" s="197"/>
      <c r="L223" s="197"/>
      <c r="M223" s="197"/>
      <c r="N223" s="197"/>
      <c r="O223" s="197"/>
      <c r="P223" s="197"/>
      <c r="Q223" s="197"/>
      <c r="R223" s="197"/>
      <c r="S223" s="197"/>
    </row>
    <row r="224" customFormat="false" ht="12" hidden="false" customHeight="false" outlineLevel="0" collapsed="false">
      <c r="C224" s="197"/>
      <c r="D224" s="197"/>
      <c r="E224" s="197"/>
      <c r="F224" s="197"/>
      <c r="G224" s="197"/>
      <c r="H224" s="1552"/>
      <c r="I224" s="197"/>
      <c r="J224" s="197"/>
      <c r="K224" s="197"/>
      <c r="L224" s="197"/>
      <c r="M224" s="197"/>
      <c r="N224" s="197"/>
      <c r="O224" s="197"/>
      <c r="P224" s="197"/>
      <c r="Q224" s="197"/>
      <c r="R224" s="197"/>
      <c r="S224" s="197"/>
    </row>
    <row r="225" customFormat="false" ht="12" hidden="false" customHeight="false" outlineLevel="0" collapsed="false">
      <c r="C225" s="197"/>
      <c r="D225" s="197"/>
      <c r="E225" s="197"/>
      <c r="F225" s="197"/>
      <c r="G225" s="197"/>
      <c r="H225" s="1552"/>
      <c r="I225" s="197"/>
      <c r="J225" s="197"/>
      <c r="K225" s="197"/>
      <c r="L225" s="197"/>
      <c r="M225" s="197"/>
      <c r="N225" s="197"/>
      <c r="O225" s="197"/>
      <c r="P225" s="197"/>
      <c r="Q225" s="197"/>
      <c r="R225" s="197"/>
      <c r="S225" s="197"/>
    </row>
    <row r="226" customFormat="false" ht="12" hidden="false" customHeight="false" outlineLevel="0" collapsed="false">
      <c r="C226" s="197"/>
      <c r="D226" s="197"/>
      <c r="E226" s="197"/>
      <c r="F226" s="197"/>
      <c r="G226" s="197"/>
      <c r="H226" s="1552"/>
      <c r="I226" s="197"/>
      <c r="J226" s="197"/>
      <c r="K226" s="197"/>
      <c r="L226" s="197"/>
      <c r="M226" s="197"/>
      <c r="N226" s="197"/>
      <c r="O226" s="197"/>
      <c r="P226" s="197"/>
      <c r="Q226" s="197"/>
      <c r="R226" s="197"/>
      <c r="S226" s="197"/>
    </row>
    <row r="227" customFormat="false" ht="12" hidden="false" customHeight="false" outlineLevel="0" collapsed="false">
      <c r="C227" s="197"/>
      <c r="D227" s="197"/>
      <c r="E227" s="197"/>
      <c r="F227" s="197"/>
      <c r="G227" s="197"/>
      <c r="H227" s="1552"/>
      <c r="I227" s="197"/>
      <c r="J227" s="197"/>
      <c r="K227" s="197"/>
      <c r="L227" s="197"/>
      <c r="M227" s="197"/>
      <c r="N227" s="197"/>
      <c r="O227" s="197"/>
      <c r="P227" s="197"/>
      <c r="Q227" s="197"/>
      <c r="R227" s="197"/>
      <c r="S227" s="197"/>
    </row>
    <row r="228" customFormat="false" ht="12" hidden="false" customHeight="false" outlineLevel="0" collapsed="false">
      <c r="C228" s="197"/>
      <c r="D228" s="197"/>
      <c r="E228" s="197"/>
      <c r="F228" s="197"/>
      <c r="G228" s="197"/>
      <c r="H228" s="1552"/>
      <c r="I228" s="197"/>
      <c r="J228" s="197"/>
      <c r="K228" s="197"/>
      <c r="L228" s="197"/>
      <c r="M228" s="197"/>
      <c r="N228" s="197"/>
      <c r="O228" s="197"/>
      <c r="P228" s="197"/>
      <c r="Q228" s="197"/>
      <c r="R228" s="197"/>
      <c r="S228" s="197"/>
    </row>
    <row r="229" customFormat="false" ht="12" hidden="false" customHeight="false" outlineLevel="0" collapsed="false">
      <c r="C229" s="197"/>
      <c r="D229" s="197"/>
      <c r="E229" s="197"/>
      <c r="F229" s="197"/>
      <c r="G229" s="197"/>
      <c r="H229" s="1552"/>
      <c r="I229" s="197"/>
      <c r="J229" s="197"/>
      <c r="K229" s="197"/>
      <c r="L229" s="197"/>
      <c r="M229" s="197"/>
      <c r="N229" s="197"/>
      <c r="O229" s="197"/>
      <c r="P229" s="197"/>
      <c r="Q229" s="197"/>
      <c r="R229" s="197"/>
      <c r="S229" s="197"/>
    </row>
    <row r="230" customFormat="false" ht="12" hidden="false" customHeight="false" outlineLevel="0" collapsed="false">
      <c r="C230" s="197"/>
      <c r="D230" s="197"/>
      <c r="E230" s="197"/>
      <c r="F230" s="197"/>
      <c r="G230" s="197"/>
      <c r="H230" s="1552"/>
      <c r="I230" s="197"/>
      <c r="J230" s="197"/>
      <c r="K230" s="197"/>
      <c r="L230" s="197"/>
      <c r="M230" s="197"/>
      <c r="N230" s="197"/>
      <c r="O230" s="197"/>
      <c r="P230" s="197"/>
      <c r="Q230" s="197"/>
      <c r="R230" s="197"/>
      <c r="S230" s="197"/>
    </row>
    <row r="231" customFormat="false" ht="12" hidden="false" customHeight="false" outlineLevel="0" collapsed="false">
      <c r="C231" s="197"/>
      <c r="D231" s="197"/>
      <c r="E231" s="197"/>
      <c r="F231" s="197"/>
      <c r="G231" s="197"/>
      <c r="H231" s="1552"/>
      <c r="I231" s="197"/>
      <c r="J231" s="197"/>
      <c r="K231" s="197"/>
      <c r="L231" s="197"/>
      <c r="M231" s="197"/>
      <c r="N231" s="197"/>
      <c r="O231" s="197"/>
      <c r="P231" s="197"/>
      <c r="Q231" s="197"/>
      <c r="R231" s="197"/>
      <c r="S231" s="197"/>
    </row>
    <row r="232" customFormat="false" ht="12" hidden="false" customHeight="false" outlineLevel="0" collapsed="false">
      <c r="C232" s="197"/>
      <c r="D232" s="197"/>
      <c r="E232" s="197"/>
      <c r="F232" s="197"/>
      <c r="G232" s="197"/>
      <c r="H232" s="1552"/>
      <c r="I232" s="197"/>
      <c r="J232" s="197"/>
      <c r="K232" s="197"/>
      <c r="L232" s="197"/>
      <c r="M232" s="197"/>
      <c r="N232" s="197"/>
      <c r="O232" s="197"/>
      <c r="P232" s="197"/>
      <c r="Q232" s="197"/>
      <c r="R232" s="197"/>
      <c r="S232" s="197"/>
    </row>
    <row r="233" customFormat="false" ht="12" hidden="false" customHeight="false" outlineLevel="0" collapsed="false">
      <c r="C233" s="197"/>
      <c r="D233" s="197"/>
      <c r="E233" s="197"/>
      <c r="F233" s="197"/>
      <c r="G233" s="197"/>
      <c r="H233" s="1552"/>
      <c r="I233" s="197"/>
      <c r="J233" s="197"/>
      <c r="K233" s="197"/>
      <c r="L233" s="197"/>
      <c r="M233" s="197"/>
      <c r="N233" s="197"/>
      <c r="O233" s="197"/>
      <c r="P233" s="197"/>
      <c r="Q233" s="197"/>
      <c r="R233" s="197"/>
      <c r="S233" s="197"/>
    </row>
    <row r="234" customFormat="false" ht="12" hidden="false" customHeight="false" outlineLevel="0" collapsed="false">
      <c r="C234" s="197"/>
      <c r="D234" s="197"/>
      <c r="E234" s="197"/>
      <c r="F234" s="197"/>
      <c r="G234" s="197"/>
      <c r="H234" s="1552"/>
      <c r="I234" s="197"/>
      <c r="J234" s="197"/>
      <c r="K234" s="197"/>
      <c r="L234" s="197"/>
      <c r="M234" s="197"/>
      <c r="N234" s="197"/>
      <c r="O234" s="197"/>
      <c r="P234" s="197"/>
      <c r="Q234" s="197"/>
      <c r="R234" s="197"/>
      <c r="S234" s="197"/>
    </row>
    <row r="235" customFormat="false" ht="12" hidden="false" customHeight="false" outlineLevel="0" collapsed="false">
      <c r="C235" s="197"/>
      <c r="D235" s="197"/>
      <c r="E235" s="197"/>
      <c r="F235" s="197"/>
      <c r="G235" s="197"/>
      <c r="H235" s="1552"/>
      <c r="I235" s="197"/>
      <c r="J235" s="197"/>
      <c r="K235" s="197"/>
      <c r="L235" s="197"/>
      <c r="M235" s="197"/>
      <c r="N235" s="197"/>
      <c r="O235" s="197"/>
      <c r="P235" s="197"/>
      <c r="Q235" s="197"/>
      <c r="R235" s="197"/>
      <c r="S235" s="197"/>
    </row>
    <row r="236" customFormat="false" ht="12" hidden="false" customHeight="false" outlineLevel="0" collapsed="false">
      <c r="C236" s="197"/>
      <c r="D236" s="197"/>
      <c r="E236" s="197"/>
      <c r="F236" s="197"/>
      <c r="G236" s="197"/>
      <c r="H236" s="1552"/>
      <c r="I236" s="197"/>
      <c r="J236" s="197"/>
      <c r="K236" s="197"/>
      <c r="L236" s="197"/>
      <c r="M236" s="197"/>
      <c r="N236" s="197"/>
      <c r="O236" s="197"/>
      <c r="P236" s="197"/>
      <c r="Q236" s="197"/>
      <c r="R236" s="197"/>
      <c r="S236" s="197"/>
    </row>
    <row r="237" customFormat="false" ht="12" hidden="false" customHeight="false" outlineLevel="0" collapsed="false">
      <c r="C237" s="197"/>
      <c r="D237" s="197"/>
      <c r="E237" s="197"/>
      <c r="F237" s="197"/>
      <c r="G237" s="197"/>
      <c r="H237" s="1552"/>
      <c r="I237" s="197"/>
      <c r="J237" s="197"/>
      <c r="K237" s="197"/>
      <c r="L237" s="197"/>
      <c r="M237" s="197"/>
      <c r="N237" s="197"/>
      <c r="O237" s="197"/>
      <c r="P237" s="197"/>
      <c r="Q237" s="197"/>
      <c r="R237" s="197"/>
      <c r="S237" s="197"/>
    </row>
    <row r="238" customFormat="false" ht="12" hidden="false" customHeight="false" outlineLevel="0" collapsed="false">
      <c r="C238" s="197"/>
      <c r="D238" s="197"/>
      <c r="E238" s="197"/>
      <c r="F238" s="197"/>
      <c r="G238" s="197"/>
      <c r="H238" s="1552"/>
      <c r="I238" s="197"/>
      <c r="J238" s="197"/>
      <c r="K238" s="197"/>
      <c r="L238" s="197"/>
      <c r="M238" s="197"/>
      <c r="N238" s="197"/>
      <c r="O238" s="197"/>
      <c r="P238" s="197"/>
      <c r="Q238" s="197"/>
      <c r="R238" s="197"/>
      <c r="S238" s="197"/>
    </row>
    <row r="239" customFormat="false" ht="12" hidden="false" customHeight="false" outlineLevel="0" collapsed="false">
      <c r="C239" s="197"/>
      <c r="D239" s="197"/>
      <c r="E239" s="197"/>
      <c r="F239" s="197"/>
      <c r="G239" s="197"/>
      <c r="H239" s="1552"/>
      <c r="I239" s="197"/>
      <c r="J239" s="197"/>
      <c r="K239" s="197"/>
      <c r="L239" s="197"/>
      <c r="M239" s="197"/>
      <c r="N239" s="197"/>
      <c r="O239" s="197"/>
      <c r="P239" s="197"/>
      <c r="Q239" s="197"/>
      <c r="R239" s="197"/>
      <c r="S239" s="197"/>
    </row>
    <row r="240" customFormat="false" ht="12" hidden="false" customHeight="false" outlineLevel="0" collapsed="false">
      <c r="C240" s="197"/>
      <c r="D240" s="197"/>
      <c r="E240" s="197"/>
      <c r="F240" s="197"/>
      <c r="G240" s="197"/>
      <c r="H240" s="1552"/>
      <c r="I240" s="197"/>
      <c r="J240" s="197"/>
      <c r="K240" s="197"/>
      <c r="L240" s="197"/>
      <c r="M240" s="197"/>
      <c r="N240" s="197"/>
      <c r="O240" s="197"/>
      <c r="P240" s="197"/>
      <c r="Q240" s="197"/>
      <c r="R240" s="197"/>
      <c r="S240" s="197"/>
    </row>
    <row r="241" customFormat="false" ht="12" hidden="false" customHeight="false" outlineLevel="0" collapsed="false">
      <c r="C241" s="197"/>
      <c r="D241" s="197"/>
      <c r="E241" s="197"/>
      <c r="F241" s="197"/>
      <c r="G241" s="197"/>
      <c r="H241" s="1552"/>
      <c r="I241" s="197"/>
      <c r="J241" s="197"/>
      <c r="K241" s="197"/>
      <c r="L241" s="197"/>
      <c r="M241" s="197"/>
      <c r="N241" s="197"/>
      <c r="O241" s="197"/>
      <c r="P241" s="197"/>
      <c r="Q241" s="197"/>
      <c r="R241" s="197"/>
      <c r="S241" s="197"/>
    </row>
    <row r="242" customFormat="false" ht="12" hidden="false" customHeight="false" outlineLevel="0" collapsed="false">
      <c r="C242" s="197"/>
      <c r="D242" s="197"/>
      <c r="E242" s="197"/>
      <c r="F242" s="197"/>
      <c r="G242" s="197"/>
      <c r="H242" s="1552"/>
      <c r="I242" s="197"/>
      <c r="J242" s="197"/>
      <c r="K242" s="197"/>
      <c r="L242" s="197"/>
      <c r="M242" s="197"/>
      <c r="N242" s="197"/>
      <c r="O242" s="197"/>
      <c r="P242" s="197"/>
      <c r="Q242" s="197"/>
      <c r="R242" s="197"/>
      <c r="S242" s="197"/>
    </row>
    <row r="243" customFormat="false" ht="12" hidden="false" customHeight="false" outlineLevel="0" collapsed="false">
      <c r="C243" s="197"/>
      <c r="D243" s="197"/>
      <c r="E243" s="197"/>
      <c r="F243" s="197"/>
      <c r="G243" s="197"/>
      <c r="H243" s="1552"/>
      <c r="I243" s="197"/>
      <c r="J243" s="197"/>
      <c r="K243" s="197"/>
      <c r="L243" s="197"/>
      <c r="M243" s="197"/>
      <c r="N243" s="197"/>
      <c r="O243" s="197"/>
      <c r="P243" s="197"/>
      <c r="Q243" s="197"/>
      <c r="R243" s="197"/>
      <c r="S243" s="197"/>
    </row>
    <row r="244" customFormat="false" ht="12" hidden="false" customHeight="false" outlineLevel="0" collapsed="false">
      <c r="C244" s="197"/>
      <c r="D244" s="197"/>
      <c r="E244" s="197"/>
      <c r="F244" s="197"/>
      <c r="G244" s="197"/>
      <c r="H244" s="1552"/>
      <c r="I244" s="197"/>
      <c r="J244" s="197"/>
      <c r="K244" s="197"/>
      <c r="L244" s="197"/>
      <c r="M244" s="197"/>
      <c r="N244" s="197"/>
      <c r="O244" s="197"/>
      <c r="P244" s="197"/>
      <c r="Q244" s="197"/>
      <c r="R244" s="197"/>
      <c r="S244" s="197"/>
    </row>
    <row r="245" customFormat="false" ht="12" hidden="false" customHeight="false" outlineLevel="0" collapsed="false">
      <c r="C245" s="197"/>
      <c r="D245" s="197"/>
      <c r="E245" s="197"/>
      <c r="F245" s="197"/>
      <c r="G245" s="197"/>
      <c r="H245" s="1552"/>
      <c r="I245" s="197"/>
      <c r="J245" s="197"/>
      <c r="K245" s="197"/>
      <c r="L245" s="197"/>
      <c r="M245" s="197"/>
      <c r="N245" s="197"/>
      <c r="O245" s="197"/>
      <c r="P245" s="197"/>
      <c r="Q245" s="197"/>
      <c r="R245" s="197"/>
      <c r="S245" s="197"/>
    </row>
    <row r="246" customFormat="false" ht="12" hidden="false" customHeight="false" outlineLevel="0" collapsed="false">
      <c r="C246" s="197"/>
      <c r="D246" s="197"/>
      <c r="E246" s="197"/>
      <c r="F246" s="197"/>
      <c r="G246" s="197"/>
      <c r="H246" s="1552"/>
      <c r="I246" s="197"/>
      <c r="J246" s="197"/>
      <c r="K246" s="197"/>
      <c r="L246" s="197"/>
      <c r="M246" s="197"/>
      <c r="N246" s="197"/>
      <c r="O246" s="197"/>
      <c r="P246" s="197"/>
      <c r="Q246" s="197"/>
      <c r="R246" s="197"/>
      <c r="S246" s="197"/>
    </row>
    <row r="247" customFormat="false" ht="12" hidden="false" customHeight="false" outlineLevel="0" collapsed="false">
      <c r="C247" s="197"/>
      <c r="D247" s="197"/>
      <c r="E247" s="197"/>
      <c r="F247" s="197"/>
      <c r="G247" s="197"/>
      <c r="H247" s="1552"/>
      <c r="I247" s="197"/>
      <c r="J247" s="197"/>
      <c r="K247" s="197"/>
      <c r="L247" s="197"/>
      <c r="M247" s="197"/>
      <c r="N247" s="197"/>
      <c r="O247" s="197"/>
      <c r="P247" s="197"/>
      <c r="Q247" s="197"/>
      <c r="R247" s="197"/>
      <c r="S247" s="197"/>
    </row>
    <row r="248" customFormat="false" ht="12" hidden="false" customHeight="false" outlineLevel="0" collapsed="false">
      <c r="C248" s="197"/>
      <c r="D248" s="197"/>
      <c r="E248" s="197"/>
      <c r="F248" s="197"/>
      <c r="G248" s="197"/>
      <c r="H248" s="1552"/>
      <c r="I248" s="197"/>
      <c r="J248" s="197"/>
      <c r="K248" s="197"/>
      <c r="L248" s="197"/>
      <c r="M248" s="197"/>
      <c r="N248" s="197"/>
      <c r="O248" s="197"/>
      <c r="P248" s="197"/>
      <c r="Q248" s="197"/>
      <c r="R248" s="197"/>
      <c r="S248" s="197"/>
    </row>
    <row r="249" customFormat="false" ht="12" hidden="false" customHeight="false" outlineLevel="0" collapsed="false">
      <c r="C249" s="197"/>
      <c r="D249" s="197"/>
      <c r="E249" s="197"/>
      <c r="F249" s="197"/>
      <c r="G249" s="197"/>
      <c r="H249" s="1552"/>
      <c r="I249" s="197"/>
      <c r="J249" s="197"/>
      <c r="K249" s="197"/>
      <c r="L249" s="197"/>
      <c r="M249" s="197"/>
      <c r="N249" s="197"/>
      <c r="O249" s="197"/>
      <c r="P249" s="197"/>
      <c r="Q249" s="197"/>
      <c r="R249" s="197"/>
      <c r="S249" s="197"/>
    </row>
    <row r="250" customFormat="false" ht="12" hidden="false" customHeight="false" outlineLevel="0" collapsed="false">
      <c r="C250" s="197"/>
      <c r="D250" s="197"/>
      <c r="E250" s="197"/>
      <c r="F250" s="197"/>
      <c r="G250" s="197"/>
      <c r="H250" s="1552"/>
      <c r="I250" s="197"/>
      <c r="J250" s="197"/>
      <c r="K250" s="197"/>
      <c r="L250" s="197"/>
      <c r="M250" s="197"/>
      <c r="N250" s="197"/>
      <c r="O250" s="197"/>
      <c r="P250" s="197"/>
      <c r="Q250" s="197"/>
      <c r="R250" s="197"/>
      <c r="S250" s="197"/>
    </row>
    <row r="251" customFormat="false" ht="12" hidden="false" customHeight="false" outlineLevel="0" collapsed="false">
      <c r="C251" s="197"/>
      <c r="D251" s="197"/>
      <c r="E251" s="197"/>
      <c r="F251" s="197"/>
      <c r="G251" s="197"/>
      <c r="H251" s="1552"/>
      <c r="I251" s="197"/>
      <c r="J251" s="197"/>
      <c r="K251" s="197"/>
      <c r="L251" s="197"/>
      <c r="M251" s="197"/>
      <c r="N251" s="197"/>
      <c r="O251" s="197"/>
      <c r="P251" s="197"/>
      <c r="Q251" s="197"/>
      <c r="R251" s="197"/>
      <c r="S251" s="197"/>
    </row>
    <row r="252" customFormat="false" ht="12" hidden="false" customHeight="false" outlineLevel="0" collapsed="false">
      <c r="C252" s="197"/>
      <c r="D252" s="197"/>
      <c r="E252" s="197"/>
      <c r="F252" s="197"/>
      <c r="G252" s="197"/>
      <c r="H252" s="1552"/>
      <c r="I252" s="197"/>
      <c r="J252" s="197"/>
      <c r="K252" s="197"/>
      <c r="L252" s="197"/>
      <c r="M252" s="197"/>
      <c r="N252" s="197"/>
      <c r="O252" s="197"/>
      <c r="P252" s="197"/>
      <c r="Q252" s="197"/>
      <c r="R252" s="197"/>
      <c r="S252" s="197"/>
    </row>
    <row r="253" customFormat="false" ht="12" hidden="false" customHeight="false" outlineLevel="0" collapsed="false">
      <c r="C253" s="197"/>
      <c r="D253" s="197"/>
      <c r="E253" s="197"/>
      <c r="F253" s="197"/>
      <c r="G253" s="197"/>
      <c r="H253" s="1552"/>
      <c r="I253" s="197"/>
      <c r="J253" s="197"/>
      <c r="K253" s="197"/>
      <c r="L253" s="197"/>
      <c r="M253" s="197"/>
      <c r="N253" s="197"/>
      <c r="O253" s="197"/>
      <c r="P253" s="197"/>
      <c r="Q253" s="197"/>
      <c r="R253" s="197"/>
      <c r="S253" s="197"/>
    </row>
    <row r="254" customFormat="false" ht="12" hidden="false" customHeight="false" outlineLevel="0" collapsed="false">
      <c r="C254" s="197"/>
      <c r="D254" s="197"/>
      <c r="E254" s="197"/>
      <c r="F254" s="197"/>
      <c r="G254" s="197"/>
      <c r="H254" s="1552"/>
      <c r="I254" s="197"/>
      <c r="J254" s="197"/>
      <c r="K254" s="197"/>
      <c r="L254" s="197"/>
      <c r="M254" s="197"/>
      <c r="N254" s="197"/>
      <c r="O254" s="197"/>
      <c r="P254" s="197"/>
      <c r="Q254" s="197"/>
      <c r="R254" s="197"/>
      <c r="S254" s="197"/>
    </row>
    <row r="255" customFormat="false" ht="12" hidden="false" customHeight="false" outlineLevel="0" collapsed="false">
      <c r="C255" s="197"/>
      <c r="D255" s="197"/>
      <c r="E255" s="197"/>
      <c r="F255" s="197"/>
      <c r="G255" s="197"/>
      <c r="H255" s="1552"/>
      <c r="I255" s="197"/>
      <c r="J255" s="197"/>
      <c r="K255" s="197"/>
      <c r="L255" s="197"/>
      <c r="M255" s="197"/>
      <c r="N255" s="197"/>
      <c r="O255" s="197"/>
      <c r="P255" s="197"/>
      <c r="Q255" s="197"/>
      <c r="R255" s="197"/>
      <c r="S255" s="197"/>
    </row>
    <row r="256" customFormat="false" ht="12" hidden="false" customHeight="false" outlineLevel="0" collapsed="false">
      <c r="C256" s="197"/>
      <c r="D256" s="197"/>
      <c r="E256" s="197"/>
      <c r="F256" s="197"/>
      <c r="G256" s="197"/>
      <c r="H256" s="1552"/>
      <c r="I256" s="197"/>
      <c r="J256" s="197"/>
      <c r="K256" s="197"/>
      <c r="L256" s="197"/>
      <c r="M256" s="197"/>
      <c r="N256" s="197"/>
      <c r="O256" s="197"/>
      <c r="P256" s="197"/>
      <c r="Q256" s="197"/>
      <c r="R256" s="197"/>
      <c r="S256" s="197"/>
    </row>
    <row r="257" customFormat="false" ht="12" hidden="false" customHeight="false" outlineLevel="0" collapsed="false">
      <c r="C257" s="197"/>
      <c r="D257" s="197"/>
      <c r="E257" s="197"/>
      <c r="F257" s="197"/>
      <c r="G257" s="197"/>
      <c r="H257" s="1552"/>
      <c r="I257" s="197"/>
      <c r="J257" s="197"/>
      <c r="K257" s="197"/>
      <c r="L257" s="197"/>
      <c r="M257" s="197"/>
      <c r="N257" s="197"/>
      <c r="O257" s="197"/>
      <c r="P257" s="197"/>
      <c r="Q257" s="197"/>
      <c r="R257" s="197"/>
      <c r="S257" s="197"/>
    </row>
    <row r="258" customFormat="false" ht="12" hidden="false" customHeight="false" outlineLevel="0" collapsed="false">
      <c r="C258" s="197"/>
      <c r="D258" s="197"/>
      <c r="E258" s="197"/>
      <c r="F258" s="197"/>
      <c r="G258" s="197"/>
      <c r="H258" s="1552"/>
      <c r="I258" s="197"/>
      <c r="J258" s="197"/>
      <c r="K258" s="197"/>
      <c r="L258" s="197"/>
      <c r="M258" s="197"/>
      <c r="N258" s="197"/>
      <c r="O258" s="197"/>
      <c r="P258" s="197"/>
      <c r="Q258" s="197"/>
      <c r="R258" s="197"/>
      <c r="S258" s="197"/>
    </row>
    <row r="259" customFormat="false" ht="12" hidden="false" customHeight="false" outlineLevel="0" collapsed="false">
      <c r="C259" s="197"/>
      <c r="D259" s="197"/>
      <c r="E259" s="197"/>
      <c r="F259" s="197"/>
      <c r="G259" s="197"/>
      <c r="H259" s="1552"/>
      <c r="I259" s="197"/>
      <c r="J259" s="197"/>
      <c r="K259" s="197"/>
      <c r="L259" s="197"/>
      <c r="M259" s="197"/>
      <c r="N259" s="197"/>
      <c r="O259" s="197"/>
      <c r="P259" s="197"/>
      <c r="Q259" s="197"/>
      <c r="R259" s="197"/>
      <c r="S259" s="197"/>
    </row>
    <row r="260" customFormat="false" ht="12" hidden="false" customHeight="false" outlineLevel="0" collapsed="false">
      <c r="C260" s="197"/>
      <c r="D260" s="197"/>
      <c r="E260" s="197"/>
      <c r="F260" s="197"/>
      <c r="G260" s="197"/>
      <c r="H260" s="1552"/>
      <c r="I260" s="197"/>
      <c r="J260" s="197"/>
      <c r="K260" s="197"/>
      <c r="L260" s="197"/>
      <c r="M260" s="197"/>
      <c r="N260" s="197"/>
      <c r="O260" s="197"/>
      <c r="P260" s="197"/>
      <c r="Q260" s="197"/>
      <c r="R260" s="197"/>
      <c r="S260" s="197"/>
    </row>
    <row r="261" customFormat="false" ht="12" hidden="false" customHeight="false" outlineLevel="0" collapsed="false">
      <c r="C261" s="197"/>
      <c r="D261" s="197"/>
      <c r="E261" s="197"/>
      <c r="F261" s="197"/>
      <c r="G261" s="197"/>
      <c r="H261" s="1552"/>
      <c r="I261" s="197"/>
      <c r="J261" s="197"/>
      <c r="K261" s="197"/>
      <c r="L261" s="197"/>
      <c r="M261" s="197"/>
      <c r="N261" s="197"/>
      <c r="O261" s="197"/>
      <c r="P261" s="197"/>
      <c r="Q261" s="197"/>
      <c r="R261" s="197"/>
      <c r="S261" s="197"/>
    </row>
    <row r="262" customFormat="false" ht="12" hidden="false" customHeight="false" outlineLevel="0" collapsed="false">
      <c r="C262" s="197"/>
      <c r="D262" s="197"/>
      <c r="E262" s="197"/>
      <c r="F262" s="197"/>
      <c r="G262" s="197"/>
      <c r="H262" s="1552"/>
      <c r="I262" s="197"/>
      <c r="J262" s="197"/>
      <c r="K262" s="197"/>
      <c r="L262" s="197"/>
      <c r="M262" s="197"/>
      <c r="N262" s="197"/>
      <c r="O262" s="197"/>
      <c r="P262" s="197"/>
      <c r="Q262" s="197"/>
      <c r="R262" s="197"/>
      <c r="S262" s="197"/>
    </row>
    <row r="263" customFormat="false" ht="12" hidden="false" customHeight="false" outlineLevel="0" collapsed="false">
      <c r="C263" s="197"/>
      <c r="D263" s="197"/>
      <c r="E263" s="197"/>
      <c r="F263" s="197"/>
      <c r="G263" s="197"/>
      <c r="H263" s="1552"/>
      <c r="I263" s="197"/>
      <c r="J263" s="197"/>
      <c r="K263" s="197"/>
      <c r="L263" s="197"/>
      <c r="M263" s="197"/>
      <c r="N263" s="197"/>
      <c r="O263" s="197"/>
      <c r="P263" s="197"/>
      <c r="Q263" s="197"/>
      <c r="R263" s="197"/>
      <c r="S263" s="197"/>
    </row>
    <row r="264" customFormat="false" ht="12" hidden="false" customHeight="false" outlineLevel="0" collapsed="false">
      <c r="C264" s="197"/>
      <c r="D264" s="197"/>
      <c r="E264" s="197"/>
      <c r="F264" s="197"/>
      <c r="G264" s="197"/>
      <c r="H264" s="1552"/>
      <c r="I264" s="197"/>
      <c r="J264" s="197"/>
      <c r="K264" s="197"/>
      <c r="L264" s="197"/>
      <c r="M264" s="197"/>
      <c r="N264" s="197"/>
      <c r="O264" s="197"/>
      <c r="P264" s="197"/>
      <c r="Q264" s="197"/>
      <c r="R264" s="197"/>
      <c r="S264" s="197"/>
    </row>
    <row r="265" customFormat="false" ht="12" hidden="false" customHeight="false" outlineLevel="0" collapsed="false">
      <c r="C265" s="197"/>
      <c r="D265" s="197"/>
      <c r="E265" s="197"/>
      <c r="F265" s="197"/>
      <c r="G265" s="197"/>
      <c r="H265" s="1552"/>
      <c r="I265" s="197"/>
      <c r="J265" s="197"/>
      <c r="K265" s="197"/>
      <c r="L265" s="197"/>
      <c r="M265" s="197"/>
      <c r="N265" s="197"/>
      <c r="O265" s="197"/>
      <c r="P265" s="197"/>
      <c r="Q265" s="197"/>
      <c r="R265" s="197"/>
      <c r="S265" s="197"/>
    </row>
    <row r="266" customFormat="false" ht="12" hidden="false" customHeight="false" outlineLevel="0" collapsed="false">
      <c r="C266" s="197"/>
      <c r="D266" s="197"/>
      <c r="E266" s="197"/>
      <c r="F266" s="197"/>
      <c r="G266" s="197"/>
      <c r="H266" s="1552"/>
      <c r="I266" s="197"/>
      <c r="J266" s="197"/>
      <c r="K266" s="197"/>
      <c r="L266" s="197"/>
      <c r="M266" s="197"/>
      <c r="N266" s="197"/>
      <c r="O266" s="197"/>
      <c r="P266" s="197"/>
      <c r="Q266" s="197"/>
      <c r="R266" s="197"/>
      <c r="S266" s="197"/>
    </row>
    <row r="267" customFormat="false" ht="12" hidden="false" customHeight="false" outlineLevel="0" collapsed="false">
      <c r="C267" s="197"/>
      <c r="D267" s="197"/>
      <c r="E267" s="197"/>
      <c r="F267" s="197"/>
      <c r="G267" s="197"/>
      <c r="H267" s="1552"/>
      <c r="I267" s="197"/>
      <c r="J267" s="197"/>
      <c r="K267" s="197"/>
      <c r="L267" s="197"/>
      <c r="M267" s="197"/>
      <c r="N267" s="197"/>
      <c r="O267" s="197"/>
      <c r="P267" s="197"/>
      <c r="Q267" s="197"/>
      <c r="R267" s="197"/>
      <c r="S267" s="197"/>
    </row>
    <row r="268" customFormat="false" ht="12" hidden="false" customHeight="false" outlineLevel="0" collapsed="false">
      <c r="C268" s="197"/>
      <c r="D268" s="197"/>
      <c r="E268" s="197"/>
      <c r="F268" s="197"/>
      <c r="G268" s="197"/>
      <c r="H268" s="1552"/>
      <c r="I268" s="197"/>
      <c r="J268" s="197"/>
      <c r="K268" s="197"/>
      <c r="L268" s="197"/>
      <c r="M268" s="197"/>
      <c r="N268" s="197"/>
      <c r="O268" s="197"/>
      <c r="P268" s="197"/>
      <c r="Q268" s="197"/>
      <c r="R268" s="197"/>
      <c r="S268" s="197"/>
    </row>
    <row r="269" customFormat="false" ht="12" hidden="false" customHeight="false" outlineLevel="0" collapsed="false">
      <c r="C269" s="197"/>
      <c r="D269" s="197"/>
      <c r="E269" s="197"/>
      <c r="F269" s="197"/>
      <c r="G269" s="197"/>
      <c r="H269" s="1552"/>
      <c r="I269" s="197"/>
      <c r="J269" s="197"/>
      <c r="K269" s="197"/>
      <c r="L269" s="197"/>
      <c r="M269" s="197"/>
      <c r="N269" s="197"/>
      <c r="O269" s="197"/>
      <c r="P269" s="197"/>
      <c r="Q269" s="197"/>
      <c r="R269" s="197"/>
      <c r="S269" s="197"/>
    </row>
    <row r="270" customFormat="false" ht="12" hidden="false" customHeight="false" outlineLevel="0" collapsed="false">
      <c r="C270" s="197"/>
      <c r="D270" s="197"/>
      <c r="E270" s="197"/>
      <c r="F270" s="197"/>
      <c r="G270" s="197"/>
      <c r="H270" s="1552"/>
      <c r="I270" s="197"/>
      <c r="J270" s="197"/>
      <c r="K270" s="197"/>
      <c r="L270" s="197"/>
      <c r="M270" s="197"/>
      <c r="N270" s="197"/>
      <c r="O270" s="197"/>
      <c r="P270" s="197"/>
      <c r="Q270" s="197"/>
      <c r="R270" s="197"/>
      <c r="S270" s="197"/>
    </row>
    <row r="271" customFormat="false" ht="12" hidden="false" customHeight="false" outlineLevel="0" collapsed="false">
      <c r="C271" s="197"/>
      <c r="D271" s="197"/>
      <c r="E271" s="197"/>
      <c r="F271" s="197"/>
      <c r="G271" s="197"/>
      <c r="H271" s="1552"/>
      <c r="I271" s="197"/>
      <c r="J271" s="197"/>
      <c r="K271" s="197"/>
      <c r="L271" s="197"/>
      <c r="M271" s="197"/>
      <c r="N271" s="197"/>
      <c r="O271" s="197"/>
      <c r="P271" s="197"/>
      <c r="Q271" s="197"/>
      <c r="R271" s="197"/>
      <c r="S271" s="197"/>
    </row>
    <row r="272" customFormat="false" ht="12" hidden="false" customHeight="false" outlineLevel="0" collapsed="false">
      <c r="C272" s="197"/>
      <c r="D272" s="197"/>
      <c r="E272" s="197"/>
      <c r="F272" s="197"/>
      <c r="G272" s="197"/>
      <c r="H272" s="1552"/>
      <c r="I272" s="197"/>
      <c r="J272" s="197"/>
      <c r="K272" s="197"/>
      <c r="L272" s="197"/>
      <c r="M272" s="197"/>
      <c r="N272" s="197"/>
      <c r="O272" s="197"/>
      <c r="P272" s="197"/>
      <c r="Q272" s="197"/>
      <c r="R272" s="197"/>
      <c r="S272" s="197"/>
    </row>
    <row r="273" customFormat="false" ht="12" hidden="false" customHeight="false" outlineLevel="0" collapsed="false">
      <c r="C273" s="197"/>
      <c r="D273" s="197"/>
      <c r="E273" s="197"/>
      <c r="F273" s="197"/>
      <c r="G273" s="197"/>
      <c r="H273" s="1552"/>
      <c r="I273" s="197"/>
      <c r="J273" s="197"/>
      <c r="K273" s="197"/>
      <c r="L273" s="197"/>
      <c r="M273" s="197"/>
      <c r="N273" s="197"/>
      <c r="O273" s="197"/>
      <c r="P273" s="197"/>
      <c r="Q273" s="197"/>
      <c r="R273" s="197"/>
      <c r="S273" s="197"/>
    </row>
    <row r="274" customFormat="false" ht="12" hidden="false" customHeight="false" outlineLevel="0" collapsed="false">
      <c r="C274" s="197"/>
      <c r="D274" s="197"/>
      <c r="E274" s="197"/>
      <c r="F274" s="197"/>
      <c r="G274" s="197"/>
      <c r="H274" s="1552"/>
      <c r="I274" s="197"/>
      <c r="J274" s="197"/>
      <c r="K274" s="197"/>
      <c r="L274" s="197"/>
      <c r="M274" s="197"/>
      <c r="N274" s="197"/>
      <c r="O274" s="197"/>
      <c r="P274" s="197"/>
      <c r="Q274" s="197"/>
      <c r="R274" s="197"/>
      <c r="S274" s="197"/>
    </row>
    <row r="275" customFormat="false" ht="12" hidden="false" customHeight="false" outlineLevel="0" collapsed="false">
      <c r="C275" s="197"/>
      <c r="D275" s="197"/>
      <c r="E275" s="197"/>
      <c r="F275" s="197"/>
      <c r="G275" s="197"/>
      <c r="H275" s="1552"/>
      <c r="I275" s="197"/>
      <c r="J275" s="197"/>
      <c r="K275" s="197"/>
      <c r="L275" s="197"/>
      <c r="M275" s="197"/>
      <c r="N275" s="197"/>
      <c r="O275" s="197"/>
      <c r="P275" s="197"/>
      <c r="Q275" s="197"/>
      <c r="R275" s="197"/>
      <c r="S275" s="197"/>
    </row>
    <row r="276" customFormat="false" ht="12" hidden="false" customHeight="false" outlineLevel="0" collapsed="false">
      <c r="C276" s="197"/>
      <c r="D276" s="197"/>
      <c r="E276" s="197"/>
      <c r="F276" s="197"/>
      <c r="G276" s="197"/>
      <c r="H276" s="1552"/>
      <c r="I276" s="197"/>
      <c r="J276" s="197"/>
      <c r="K276" s="197"/>
      <c r="L276" s="197"/>
      <c r="M276" s="197"/>
      <c r="N276" s="197"/>
      <c r="O276" s="197"/>
      <c r="P276" s="197"/>
      <c r="Q276" s="197"/>
      <c r="R276" s="197"/>
      <c r="S276" s="197"/>
    </row>
    <row r="277" customFormat="false" ht="12" hidden="false" customHeight="false" outlineLevel="0" collapsed="false">
      <c r="C277" s="197"/>
      <c r="D277" s="197"/>
      <c r="E277" s="197"/>
      <c r="F277" s="197"/>
      <c r="G277" s="197"/>
      <c r="H277" s="1552"/>
      <c r="I277" s="197"/>
      <c r="J277" s="197"/>
      <c r="K277" s="197"/>
      <c r="L277" s="197"/>
      <c r="M277" s="197"/>
      <c r="N277" s="197"/>
      <c r="O277" s="197"/>
      <c r="P277" s="197"/>
      <c r="Q277" s="197"/>
      <c r="R277" s="197"/>
      <c r="S277" s="197"/>
    </row>
    <row r="278" customFormat="false" ht="12" hidden="false" customHeight="false" outlineLevel="0" collapsed="false">
      <c r="R278" s="197"/>
      <c r="S278" s="197"/>
    </row>
    <row r="279" customFormat="false" ht="12" hidden="false" customHeight="false" outlineLevel="0" collapsed="false">
      <c r="R279" s="197"/>
      <c r="S279" s="197"/>
    </row>
    <row r="280" customFormat="false" ht="12" hidden="false" customHeight="false" outlineLevel="0" collapsed="false">
      <c r="R280" s="197"/>
      <c r="S280" s="197"/>
    </row>
    <row r="281" customFormat="false" ht="12" hidden="false" customHeight="false" outlineLevel="0" collapsed="false">
      <c r="R281" s="197"/>
      <c r="S281" s="197"/>
    </row>
    <row r="282" customFormat="false" ht="12" hidden="false" customHeight="false" outlineLevel="0" collapsed="false">
      <c r="R282" s="197"/>
      <c r="S282" s="197"/>
    </row>
    <row r="283" customFormat="false" ht="12" hidden="false" customHeight="false" outlineLevel="0" collapsed="false">
      <c r="R283" s="197"/>
      <c r="S283" s="197"/>
    </row>
    <row r="284" customFormat="false" ht="12" hidden="false" customHeight="false" outlineLevel="0" collapsed="false">
      <c r="R284" s="197"/>
      <c r="S284" s="197"/>
    </row>
    <row r="285" customFormat="false" ht="12" hidden="false" customHeight="false" outlineLevel="0" collapsed="false">
      <c r="R285" s="197"/>
      <c r="S285" s="197"/>
    </row>
    <row r="286" customFormat="false" ht="12" hidden="false" customHeight="false" outlineLevel="0" collapsed="false">
      <c r="R286" s="197"/>
      <c r="S286" s="197"/>
    </row>
    <row r="287" customFormat="false" ht="12" hidden="false" customHeight="false" outlineLevel="0" collapsed="false">
      <c r="R287" s="197"/>
      <c r="S287" s="197"/>
    </row>
    <row r="288" customFormat="false" ht="12" hidden="false" customHeight="false" outlineLevel="0" collapsed="false">
      <c r="R288" s="197"/>
      <c r="S288" s="197"/>
    </row>
    <row r="289" customFormat="false" ht="12" hidden="false" customHeight="false" outlineLevel="0" collapsed="false">
      <c r="R289" s="197"/>
      <c r="S289" s="197"/>
    </row>
  </sheetData>
  <mergeCells count="6">
    <mergeCell ref="A3:R3"/>
    <mergeCell ref="B6:J6"/>
    <mergeCell ref="L6:R6"/>
    <mergeCell ref="A7:A8"/>
    <mergeCell ref="J7:J8"/>
    <mergeCell ref="U7:V7"/>
  </mergeCells>
  <hyperlinks>
    <hyperlink ref="B1" location="Index!A1" display="Back to index"/>
  </hyperlinks>
  <printOptions headings="false" gridLines="false" gridLinesSet="true" horizontalCentered="true" verticalCentered="true"/>
  <pageMargins left="0.75" right="0" top="0.984027777777778" bottom="0.984027777777778" header="0.511811023622047" footer="0.511811023622047"/>
  <pageSetup paperSize="9" scale="100" fitToWidth="1" fitToHeight="2"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C0C0"/>
    <pageSetUpPr fitToPage="true"/>
  </sheetPr>
  <dimension ref="A1:Q2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3" activeCellId="0" sqref="A3"/>
    </sheetView>
  </sheetViews>
  <sheetFormatPr defaultColWidth="11.0546875" defaultRowHeight="12" zeroHeight="false" outlineLevelRow="0" outlineLevelCol="0"/>
  <cols>
    <col collapsed="false" customWidth="true" hidden="false" outlineLevel="0" max="1" min="1" style="0" width="8.66"/>
    <col collapsed="false" customWidth="true" hidden="false" outlineLevel="0" max="2" min="2" style="0" width="10.32"/>
    <col collapsed="false" customWidth="true" hidden="false" outlineLevel="0" max="9" min="3" style="0" width="8.66"/>
    <col collapsed="false" customWidth="true" hidden="false" outlineLevel="0" max="10" min="10" style="0" width="9.66"/>
    <col collapsed="false" customWidth="true" hidden="false" outlineLevel="0" max="15" min="11" style="0" width="8.66"/>
    <col collapsed="false" customWidth="true" hidden="false" outlineLevel="0" max="17" min="16" style="0" width="9.66"/>
  </cols>
  <sheetData>
    <row r="1" customFormat="false" ht="12" hidden="false" customHeight="false" outlineLevel="0" collapsed="false">
      <c r="B1" s="21" t="s">
        <v>9</v>
      </c>
      <c r="C1" s="198"/>
      <c r="D1" s="198"/>
      <c r="E1" s="198"/>
      <c r="F1" s="1553"/>
      <c r="G1" s="198"/>
      <c r="H1" s="198"/>
      <c r="I1" s="1553"/>
      <c r="J1" s="198"/>
      <c r="K1" s="198"/>
      <c r="L1" s="198"/>
      <c r="M1" s="198"/>
      <c r="N1" s="198"/>
    </row>
    <row r="2" customFormat="false" ht="13" hidden="false" customHeight="false" outlineLevel="0" collapsed="false">
      <c r="F2" s="1553"/>
      <c r="I2" s="1553"/>
    </row>
    <row r="3" customFormat="false" ht="19.75" hidden="false" customHeight="true" outlineLevel="0" collapsed="false">
      <c r="A3" s="27" t="s">
        <v>492</v>
      </c>
      <c r="B3" s="27"/>
      <c r="C3" s="27"/>
      <c r="D3" s="27"/>
      <c r="E3" s="27"/>
      <c r="F3" s="27"/>
      <c r="G3" s="27"/>
      <c r="H3" s="27"/>
      <c r="I3" s="27"/>
      <c r="J3" s="27"/>
      <c r="K3" s="27"/>
      <c r="L3" s="27"/>
      <c r="M3" s="27"/>
      <c r="N3" s="27"/>
      <c r="O3" s="27"/>
    </row>
    <row r="4" customFormat="false" ht="12" hidden="false" customHeight="false" outlineLevel="0" collapsed="false">
      <c r="A4" s="28"/>
      <c r="B4" s="29"/>
      <c r="C4" s="29"/>
      <c r="D4" s="29"/>
      <c r="E4" s="29"/>
      <c r="F4" s="29"/>
      <c r="G4" s="29"/>
      <c r="H4" s="29"/>
      <c r="I4" s="29"/>
      <c r="J4" s="29"/>
      <c r="K4" s="29"/>
      <c r="L4" s="29"/>
      <c r="M4" s="29"/>
      <c r="N4" s="29"/>
      <c r="O4" s="199"/>
    </row>
    <row r="5" customFormat="false" ht="12" hidden="false" customHeight="false" outlineLevel="0" collapsed="false">
      <c r="A5" s="28"/>
      <c r="B5" s="553" t="s">
        <v>11</v>
      </c>
      <c r="C5" s="553" t="s">
        <v>12</v>
      </c>
      <c r="D5" s="553" t="s">
        <v>13</v>
      </c>
      <c r="E5" s="553" t="s">
        <v>14</v>
      </c>
      <c r="F5" s="553" t="s">
        <v>15</v>
      </c>
      <c r="G5" s="553" t="s">
        <v>16</v>
      </c>
      <c r="H5" s="553" t="s">
        <v>17</v>
      </c>
      <c r="I5" s="553" t="s">
        <v>18</v>
      </c>
      <c r="J5" s="553" t="s">
        <v>19</v>
      </c>
      <c r="K5" s="553" t="s">
        <v>20</v>
      </c>
      <c r="L5" s="553" t="s">
        <v>21</v>
      </c>
      <c r="M5" s="553" t="s">
        <v>22</v>
      </c>
      <c r="N5" s="553" t="s">
        <v>23</v>
      </c>
      <c r="O5" s="555" t="s">
        <v>24</v>
      </c>
    </row>
    <row r="6" customFormat="false" ht="15.75" hidden="false" customHeight="true" outlineLevel="0" collapsed="false">
      <c r="A6" s="28"/>
      <c r="B6" s="1554" t="s">
        <v>493</v>
      </c>
      <c r="C6" s="1554"/>
      <c r="D6" s="1554"/>
      <c r="E6" s="1554"/>
      <c r="F6" s="1554"/>
      <c r="G6" s="1554"/>
      <c r="H6" s="1555"/>
      <c r="I6" s="1555"/>
      <c r="J6" s="1556" t="s">
        <v>474</v>
      </c>
      <c r="K6" s="1556"/>
      <c r="L6" s="1556"/>
      <c r="M6" s="1556"/>
      <c r="N6" s="1556"/>
      <c r="O6" s="1556"/>
    </row>
    <row r="7" customFormat="false" ht="69.75" hidden="false" customHeight="true" outlineLevel="0" collapsed="false">
      <c r="A7" s="35"/>
      <c r="B7" s="202" t="s">
        <v>494</v>
      </c>
      <c r="C7" s="202" t="s">
        <v>495</v>
      </c>
      <c r="D7" s="36" t="s">
        <v>496</v>
      </c>
      <c r="E7" s="36" t="s">
        <v>497</v>
      </c>
      <c r="F7" s="36" t="s">
        <v>498</v>
      </c>
      <c r="G7" s="1557" t="s">
        <v>499</v>
      </c>
      <c r="H7" s="1558" t="s">
        <v>500</v>
      </c>
      <c r="I7" s="1559" t="s">
        <v>501</v>
      </c>
      <c r="J7" s="1560" t="s">
        <v>502</v>
      </c>
      <c r="K7" s="1561" t="s">
        <v>503</v>
      </c>
      <c r="L7" s="36" t="s">
        <v>496</v>
      </c>
      <c r="M7" s="36" t="s">
        <v>504</v>
      </c>
      <c r="N7" s="36" t="s">
        <v>498</v>
      </c>
      <c r="O7" s="1562" t="s">
        <v>499</v>
      </c>
    </row>
    <row r="8" customFormat="false" ht="30" hidden="false" customHeight="true" outlineLevel="0" collapsed="false">
      <c r="A8" s="35"/>
      <c r="B8" s="1517" t="s">
        <v>505</v>
      </c>
      <c r="C8" s="1517" t="s">
        <v>506</v>
      </c>
      <c r="D8" s="36"/>
      <c r="E8" s="36"/>
      <c r="F8" s="36"/>
      <c r="G8" s="1557"/>
      <c r="H8" s="1558"/>
      <c r="I8" s="1559"/>
      <c r="J8" s="1563" t="s">
        <v>505</v>
      </c>
      <c r="K8" s="1517" t="s">
        <v>506</v>
      </c>
      <c r="L8" s="36"/>
      <c r="M8" s="36"/>
      <c r="N8" s="36"/>
      <c r="O8" s="1562"/>
    </row>
    <row r="9" customFormat="false" ht="12" hidden="false" customHeight="false" outlineLevel="0" collapsed="false">
      <c r="A9" s="1564" t="n">
        <v>1980</v>
      </c>
      <c r="B9" s="1528" t="n">
        <f aca="false">DataDE1!AZ41/DataDE1!AV41</f>
        <v>0.797862603639496</v>
      </c>
      <c r="C9" s="1528" t="n">
        <f aca="false">DataDE1!BR41/DataDE1!AV41</f>
        <v>0.202137396360504</v>
      </c>
      <c r="D9" s="1529" t="n">
        <f aca="false">DataDE1!BS41/DataDE1!$AV41</f>
        <v>0.0358565737051793</v>
      </c>
      <c r="E9" s="1529" t="n">
        <f aca="false">DataDE1!BT41/DataDE1!$AV41</f>
        <v>0.167034564444923</v>
      </c>
      <c r="F9" s="1529" t="n">
        <f aca="false">DataDE1!BU41/DataDE1!$AV41</f>
        <v>0.014536448799397</v>
      </c>
      <c r="G9" s="1565" t="n">
        <f aca="false">DataDE1!BW41/DataDE1!$AV41</f>
        <v>-0.0152901905889954</v>
      </c>
      <c r="H9" s="1566" t="n">
        <f aca="false">1-I9</f>
        <v>0.688430539102966</v>
      </c>
      <c r="I9" s="1567" t="n">
        <f aca="false">DataDE1!AY41/DataDE1!AW41</f>
        <v>0.311569460897034</v>
      </c>
      <c r="J9" s="1568" t="n">
        <f aca="false">B9*TableDE9!$F39</f>
        <v>0.432149887001531</v>
      </c>
      <c r="K9" s="1528" t="n">
        <f aca="false">C9*TableDE9!$F39</f>
        <v>0.109484581176642</v>
      </c>
      <c r="L9" s="1529" t="n">
        <f aca="false">D9*TableDE9!$F39</f>
        <v>0.0194211562294962</v>
      </c>
      <c r="M9" s="1529" t="n">
        <f aca="false">E9*TableDE9!$F39</f>
        <v>0.0904716774804986</v>
      </c>
      <c r="N9" s="1529" t="n">
        <f aca="false">F9*TableDE9!$F39</f>
        <v>0.00787344171466063</v>
      </c>
      <c r="O9" s="1569" t="n">
        <f aca="false">G9*TableDE9!$F39</f>
        <v>-0.00828169424801341</v>
      </c>
      <c r="P9" s="580"/>
    </row>
    <row r="10" customFormat="false" ht="12" hidden="false" customHeight="false" outlineLevel="0" collapsed="false">
      <c r="A10" s="416" t="n">
        <v>1981</v>
      </c>
      <c r="B10" s="519" t="n">
        <f aca="false">DataDE1!AZ42/DataDE1!AV42</f>
        <v>0.80570869184399</v>
      </c>
      <c r="C10" s="519" t="n">
        <f aca="false">DataDE1!BR42/DataDE1!AV42</f>
        <v>0.19429130815601</v>
      </c>
      <c r="D10" s="518" t="n">
        <f aca="false">DataDE1!BS42/DataDE1!$AV42</f>
        <v>0.0332320057705188</v>
      </c>
      <c r="E10" s="518" t="n">
        <f aca="false">DataDE1!BT42/DataDE1!$AV42</f>
        <v>0.173398938636715</v>
      </c>
      <c r="F10" s="518" t="n">
        <f aca="false">DataDE1!BU42/DataDE1!$AV42</f>
        <v>-0.00151991344221753</v>
      </c>
      <c r="G10" s="597" t="n">
        <f aca="false">DataDE1!BW42/DataDE1!$AV42</f>
        <v>-0.0108197228090061</v>
      </c>
      <c r="H10" s="1570" t="n">
        <f aca="false">1-I10</f>
        <v>0.691258702619074</v>
      </c>
      <c r="I10" s="1571" t="n">
        <f aca="false">DataDE1!AY42/DataDE1!AW42</f>
        <v>0.308741297380926</v>
      </c>
      <c r="J10" s="1572" t="n">
        <f aca="false">B10*TableDE9!$F40</f>
        <v>0.438850536004939</v>
      </c>
      <c r="K10" s="519" t="n">
        <f aca="false">C10*TableDE9!$F40</f>
        <v>0.105825896615592</v>
      </c>
      <c r="L10" s="518" t="n">
        <f aca="false">D10*TableDE9!$F40</f>
        <v>0.0181006903519111</v>
      </c>
      <c r="M10" s="518" t="n">
        <f aca="false">E10*TableDE9!$F40</f>
        <v>0.0944463153168322</v>
      </c>
      <c r="N10" s="518" t="n">
        <f aca="false">F10*TableDE9!$F40</f>
        <v>-0.000827861031599034</v>
      </c>
      <c r="O10" s="1573" t="n">
        <f aca="false">G10*TableDE9!$F40</f>
        <v>-0.00589324802155245</v>
      </c>
      <c r="P10" s="580"/>
    </row>
    <row r="11" customFormat="false" ht="12" hidden="false" customHeight="false" outlineLevel="0" collapsed="false">
      <c r="A11" s="416" t="n">
        <v>1982</v>
      </c>
      <c r="B11" s="519" t="n">
        <f aca="false">DataDE1!AZ43/DataDE1!AV43</f>
        <v>0.798455712388728</v>
      </c>
      <c r="C11" s="519" t="n">
        <f aca="false">DataDE1!BR43/DataDE1!AV43</f>
        <v>0.201544287611272</v>
      </c>
      <c r="D11" s="518" t="n">
        <f aca="false">DataDE1!BS43/DataDE1!$AV43</f>
        <v>0.0337628485712881</v>
      </c>
      <c r="E11" s="518" t="n">
        <f aca="false">DataDE1!BT43/DataDE1!$AV43</f>
        <v>0.171445433531697</v>
      </c>
      <c r="F11" s="518" t="n">
        <f aca="false">DataDE1!BU43/DataDE1!$AV43</f>
        <v>0.00656568140461327</v>
      </c>
      <c r="G11" s="597" t="n">
        <f aca="false">DataDE1!BW43/DataDE1!$AV43</f>
        <v>-0.0102296758963262</v>
      </c>
      <c r="H11" s="1570" t="n">
        <f aca="false">1-I11</f>
        <v>0.682673506717406</v>
      </c>
      <c r="I11" s="1571" t="n">
        <f aca="false">DataDE1!AY43/DataDE1!AW43</f>
        <v>0.317326493282594</v>
      </c>
      <c r="J11" s="1572" t="n">
        <f aca="false">B11*TableDE9!$F41</f>
        <v>0.439550026397368</v>
      </c>
      <c r="K11" s="519" t="n">
        <f aca="false">C11*TableDE9!$F41</f>
        <v>0.110950169890756</v>
      </c>
      <c r="L11" s="518" t="n">
        <f aca="false">D11*TableDE9!$F41</f>
        <v>0.0185864547657403</v>
      </c>
      <c r="M11" s="518" t="n">
        <f aca="false">E11*TableDE9!$F41</f>
        <v>0.0943807448119018</v>
      </c>
      <c r="N11" s="518" t="n">
        <f aca="false">F11*TableDE9!$F41</f>
        <v>0.00361440890200489</v>
      </c>
      <c r="O11" s="1573" t="n">
        <f aca="false">G11*TableDE9!$F41</f>
        <v>-0.00563143858889144</v>
      </c>
      <c r="P11" s="580"/>
      <c r="Q11" s="115"/>
    </row>
    <row r="12" customFormat="false" ht="12" hidden="false" customHeight="false" outlineLevel="0" collapsed="false">
      <c r="A12" s="416" t="n">
        <v>1983</v>
      </c>
      <c r="B12" s="519" t="n">
        <f aca="false">DataDE1!AZ44/DataDE1!AV44</f>
        <v>0.779457682826623</v>
      </c>
      <c r="C12" s="519" t="n">
        <f aca="false">DataDE1!BR44/DataDE1!AV44</f>
        <v>0.220542317173377</v>
      </c>
      <c r="D12" s="518" t="n">
        <f aca="false">DataDE1!BS44/DataDE1!$AV44</f>
        <v>0.0354971240755957</v>
      </c>
      <c r="E12" s="518" t="n">
        <f aca="false">DataDE1!BT44/DataDE1!$AV44</f>
        <v>0.161662166921</v>
      </c>
      <c r="F12" s="518" t="n">
        <f aca="false">DataDE1!BU44/DataDE1!$AV44</f>
        <v>0.0343232773799742</v>
      </c>
      <c r="G12" s="597" t="n">
        <f aca="false">DataDE1!BW44/DataDE1!$AV44</f>
        <v>-0.0109402512031929</v>
      </c>
      <c r="H12" s="1570" t="n">
        <f aca="false">1-I12</f>
        <v>0.666245259165613</v>
      </c>
      <c r="I12" s="1571" t="n">
        <f aca="false">DataDE1!AY44/DataDE1!AW44</f>
        <v>0.333754740834387</v>
      </c>
      <c r="J12" s="1572" t="n">
        <f aca="false">B12*TableDE9!$F42</f>
        <v>0.429258517034068</v>
      </c>
      <c r="K12" s="519" t="n">
        <f aca="false">C12*TableDE9!$F42</f>
        <v>0.121455814855517</v>
      </c>
      <c r="L12" s="518" t="n">
        <f aca="false">D12*TableDE9!$F42</f>
        <v>0.0195487749692934</v>
      </c>
      <c r="M12" s="518" t="n">
        <f aca="false">E12*TableDE9!$F42</f>
        <v>0.0890296722477212</v>
      </c>
      <c r="N12" s="518" t="n">
        <f aca="false">F12*TableDE9!$F42</f>
        <v>0.0189023207705734</v>
      </c>
      <c r="O12" s="1573" t="n">
        <f aca="false">G12*TableDE9!$F42</f>
        <v>-0.00602495313207059</v>
      </c>
      <c r="P12" s="580"/>
      <c r="Q12" s="115"/>
    </row>
    <row r="13" customFormat="false" ht="12" hidden="false" customHeight="false" outlineLevel="0" collapsed="false">
      <c r="A13" s="416" t="n">
        <v>1984</v>
      </c>
      <c r="B13" s="519" t="n">
        <f aca="false">DataDE1!AZ45/DataDE1!AV45</f>
        <v>0.774279270226212</v>
      </c>
      <c r="C13" s="519" t="n">
        <f aca="false">DataDE1!BR45/DataDE1!AV45</f>
        <v>0.225720729773788</v>
      </c>
      <c r="D13" s="518" t="n">
        <f aca="false">DataDE1!BS45/DataDE1!$AV45</f>
        <v>0.038900426520176</v>
      </c>
      <c r="E13" s="518" t="n">
        <f aca="false">DataDE1!BT45/DataDE1!$AV45</f>
        <v>0.174426654161363</v>
      </c>
      <c r="F13" s="518" t="n">
        <f aca="false">DataDE1!BU45/DataDE1!$AV45</f>
        <v>0.0241173712065385</v>
      </c>
      <c r="G13" s="597" t="n">
        <f aca="false">DataDE1!BW45/DataDE1!$AV45</f>
        <v>-0.0117237221142895</v>
      </c>
      <c r="H13" s="1570" t="n">
        <f aca="false">1-I13</f>
        <v>0.661332468671918</v>
      </c>
      <c r="I13" s="1571" t="n">
        <f aca="false">DataDE1!AY45/DataDE1!AW45</f>
        <v>0.338667531328082</v>
      </c>
      <c r="J13" s="1572" t="n">
        <f aca="false">B13*TableDE9!$F43</f>
        <v>0.426005332284896</v>
      </c>
      <c r="K13" s="519" t="n">
        <f aca="false">C13*TableDE9!$F43</f>
        <v>0.12419063532823</v>
      </c>
      <c r="L13" s="518" t="n">
        <f aca="false">D13*TableDE9!$F43</f>
        <v>0.0214028578098316</v>
      </c>
      <c r="M13" s="518" t="n">
        <f aca="false">E13*TableDE9!$F43</f>
        <v>0.0959688417638314</v>
      </c>
      <c r="N13" s="518" t="n">
        <f aca="false">F13*TableDE9!$F43</f>
        <v>0.0132692803872664</v>
      </c>
      <c r="O13" s="1573" t="n">
        <f aca="false">G13*TableDE9!$F43</f>
        <v>-0.00645034463269895</v>
      </c>
      <c r="P13" s="580"/>
      <c r="Q13" s="115"/>
    </row>
    <row r="14" customFormat="false" ht="12" hidden="false" customHeight="false" outlineLevel="0" collapsed="false">
      <c r="A14" s="416" t="n">
        <v>1985</v>
      </c>
      <c r="B14" s="519" t="n">
        <f aca="false">DataDE1!AZ46/DataDE1!AV46</f>
        <v>0.762432449481675</v>
      </c>
      <c r="C14" s="519" t="n">
        <f aca="false">DataDE1!BR46/DataDE1!AV46</f>
        <v>0.237567550518325</v>
      </c>
      <c r="D14" s="518" t="n">
        <f aca="false">DataDE1!BS46/DataDE1!$AV46</f>
        <v>0.0416552768257039</v>
      </c>
      <c r="E14" s="518" t="n">
        <f aca="false">DataDE1!BT46/DataDE1!$AV46</f>
        <v>0.179468847908825</v>
      </c>
      <c r="F14" s="518" t="n">
        <f aca="false">DataDE1!BU46/DataDE1!$AV46</f>
        <v>0.0251277414471055</v>
      </c>
      <c r="G14" s="597" t="n">
        <f aca="false">DataDE1!BW46/DataDE1!$AV46</f>
        <v>-0.00868431566330929</v>
      </c>
      <c r="H14" s="1570" t="n">
        <f aca="false">1-I14</f>
        <v>0.652621537464677</v>
      </c>
      <c r="I14" s="1571" t="n">
        <f aca="false">DataDE1!AY46/DataDE1!AW46</f>
        <v>0.347378462535323</v>
      </c>
      <c r="J14" s="1572" t="n">
        <f aca="false">B14*TableDE9!$F44</f>
        <v>0.426120271239027</v>
      </c>
      <c r="K14" s="519" t="n">
        <f aca="false">C14*TableDE9!$F44</f>
        <v>0.132775499171475</v>
      </c>
      <c r="L14" s="518" t="n">
        <f aca="false">D14*TableDE9!$F44</f>
        <v>0.0232809580331645</v>
      </c>
      <c r="M14" s="518" t="n">
        <f aca="false">E14*TableDE9!$F44</f>
        <v>0.100304380016688</v>
      </c>
      <c r="N14" s="518" t="n">
        <f aca="false">F14*TableDE9!$F44</f>
        <v>0.0140437884147559</v>
      </c>
      <c r="O14" s="1573" t="n">
        <f aca="false">G14*TableDE9!$F44</f>
        <v>-0.00485362729313323</v>
      </c>
      <c r="P14" s="580"/>
      <c r="Q14" s="115"/>
    </row>
    <row r="15" customFormat="false" ht="12" hidden="false" customHeight="false" outlineLevel="0" collapsed="false">
      <c r="A15" s="416" t="n">
        <v>1986</v>
      </c>
      <c r="B15" s="519" t="n">
        <f aca="false">DataDE1!AZ47/DataDE1!AV47</f>
        <v>0.754743001241159</v>
      </c>
      <c r="C15" s="519" t="n">
        <f aca="false">DataDE1!BR47/DataDE1!AV47</f>
        <v>0.245256998758841</v>
      </c>
      <c r="D15" s="518" t="n">
        <f aca="false">DataDE1!BS47/DataDE1!$AV47</f>
        <v>0.039027561614689</v>
      </c>
      <c r="E15" s="518" t="n">
        <f aca="false">DataDE1!BT47/DataDE1!$AV47</f>
        <v>0.164286136448709</v>
      </c>
      <c r="F15" s="518" t="n">
        <f aca="false">DataDE1!BU47/DataDE1!$AV47</f>
        <v>0.0492720502767982</v>
      </c>
      <c r="G15" s="597" t="n">
        <f aca="false">DataDE1!BW47/DataDE1!$AV47</f>
        <v>-0.00732874958135504</v>
      </c>
      <c r="H15" s="1570" t="n">
        <f aca="false">1-I15</f>
        <v>0.648289166412834</v>
      </c>
      <c r="I15" s="1571" t="n">
        <f aca="false">DataDE1!AY47/DataDE1!AW47</f>
        <v>0.351710833587166</v>
      </c>
      <c r="J15" s="1572" t="n">
        <f aca="false">B15*TableDE9!$F45</f>
        <v>0.42766719878543</v>
      </c>
      <c r="K15" s="519" t="n">
        <f aca="false">C15*TableDE9!$F45</f>
        <v>0.138972303776555</v>
      </c>
      <c r="L15" s="518" t="n">
        <f aca="false">D15*TableDE9!$F45</f>
        <v>0.0221145580995546</v>
      </c>
      <c r="M15" s="518" t="n">
        <f aca="false">E15*TableDE9!$F45</f>
        <v>0.0930910146351265</v>
      </c>
      <c r="N15" s="518" t="n">
        <f aca="false">F15*TableDE9!$F45</f>
        <v>0.027919490059054</v>
      </c>
      <c r="O15" s="1573" t="n">
        <f aca="false">G15*TableDE9!$F45</f>
        <v>-0.00415275901718037</v>
      </c>
      <c r="P15" s="580"/>
      <c r="Q15" s="115"/>
    </row>
    <row r="16" customFormat="false" ht="12" hidden="false" customHeight="false" outlineLevel="0" collapsed="false">
      <c r="A16" s="416" t="n">
        <v>1987</v>
      </c>
      <c r="B16" s="519" t="n">
        <f aca="false">DataDE1!AZ48/DataDE1!AV48</f>
        <v>0.77697245407406</v>
      </c>
      <c r="C16" s="519" t="n">
        <f aca="false">DataDE1!BR48/DataDE1!AV48</f>
        <v>0.22302754592594</v>
      </c>
      <c r="D16" s="518" t="n">
        <f aca="false">DataDE1!BS48/DataDE1!$AV48</f>
        <v>0.0339842319332267</v>
      </c>
      <c r="E16" s="518" t="n">
        <f aca="false">DataDE1!BT48/DataDE1!$AV48</f>
        <v>0.153921776509821</v>
      </c>
      <c r="F16" s="518" t="n">
        <f aca="false">DataDE1!BU48/DataDE1!$AV48</f>
        <v>0.043892283670991</v>
      </c>
      <c r="G16" s="597" t="n">
        <f aca="false">DataDE1!BW48/DataDE1!$AV48</f>
        <v>-0.00877074618809878</v>
      </c>
      <c r="H16" s="1570" t="n">
        <f aca="false">1-I16</f>
        <v>0.665912207371673</v>
      </c>
      <c r="I16" s="1571" t="n">
        <f aca="false">DataDE1!AY48/DataDE1!AW48</f>
        <v>0.334087792628327</v>
      </c>
      <c r="J16" s="1572" t="n">
        <f aca="false">B16*TableDE9!$F46</f>
        <v>0.439572064212179</v>
      </c>
      <c r="K16" s="519" t="n">
        <f aca="false">C16*TableDE9!$F46</f>
        <v>0.126177804920607</v>
      </c>
      <c r="L16" s="518" t="n">
        <f aca="false">D16*TableDE9!$F46</f>
        <v>0.0192265747688013</v>
      </c>
      <c r="M16" s="518" t="n">
        <f aca="false">E16*TableDE9!$F46</f>
        <v>0.0870812249171175</v>
      </c>
      <c r="N16" s="518" t="n">
        <f aca="false">F16*TableDE9!$F46</f>
        <v>0.0248320537428023</v>
      </c>
      <c r="O16" s="1573" t="n">
        <f aca="false">G16*TableDE9!$F46</f>
        <v>-0.00496204850811377</v>
      </c>
      <c r="P16" s="580"/>
      <c r="Q16" s="115"/>
    </row>
    <row r="17" customFormat="false" ht="12" hidden="false" customHeight="false" outlineLevel="0" collapsed="false">
      <c r="A17" s="416" t="n">
        <v>1988</v>
      </c>
      <c r="B17" s="519" t="n">
        <f aca="false">DataDE1!AZ49/DataDE1!AV49</f>
        <v>0.766253110751848</v>
      </c>
      <c r="C17" s="519" t="n">
        <f aca="false">DataDE1!BR49/DataDE1!AV49</f>
        <v>0.233746889248152</v>
      </c>
      <c r="D17" s="518" t="n">
        <f aca="false">DataDE1!BS49/DataDE1!$AV49</f>
        <v>0.0348949156236944</v>
      </c>
      <c r="E17" s="518" t="n">
        <f aca="false">DataDE1!BT49/DataDE1!$AV49</f>
        <v>0.135038418920637</v>
      </c>
      <c r="F17" s="518" t="n">
        <f aca="false">DataDE1!BU49/DataDE1!$AV49</f>
        <v>0.0709342246280721</v>
      </c>
      <c r="G17" s="597" t="n">
        <f aca="false">DataDE1!BW49/DataDE1!$AV49</f>
        <v>-0.00712066992425205</v>
      </c>
      <c r="H17" s="1570" t="n">
        <f aca="false">1-I17</f>
        <v>0.657906639424802</v>
      </c>
      <c r="I17" s="1571" t="n">
        <f aca="false">DataDE1!AY49/DataDE1!AW49</f>
        <v>0.342093360575198</v>
      </c>
      <c r="J17" s="1572" t="n">
        <f aca="false">B17*TableDE9!$F47</f>
        <v>0.433134818769894</v>
      </c>
      <c r="K17" s="519" t="n">
        <f aca="false">C17*TableDE9!$F47</f>
        <v>0.132128555293151</v>
      </c>
      <c r="L17" s="518" t="n">
        <f aca="false">D17*TableDE9!$F47</f>
        <v>0.0197248177430948</v>
      </c>
      <c r="M17" s="518" t="n">
        <f aca="false">E17*TableDE9!$F47</f>
        <v>0.0763322723072184</v>
      </c>
      <c r="N17" s="518" t="n">
        <f aca="false">F17*TableDE9!$F47</f>
        <v>0.04009651914981</v>
      </c>
      <c r="O17" s="1573" t="n">
        <f aca="false">G17*TableDE9!$F47</f>
        <v>-0.00402505390697197</v>
      </c>
      <c r="P17" s="580"/>
      <c r="Q17" s="115"/>
    </row>
    <row r="18" customFormat="false" ht="12" hidden="false" customHeight="false" outlineLevel="0" collapsed="false">
      <c r="A18" s="436" t="n">
        <v>1989</v>
      </c>
      <c r="B18" s="534" t="n">
        <f aca="false">DataDE1!AZ50/DataDE1!AV50</f>
        <v>0.755786466216561</v>
      </c>
      <c r="C18" s="534" t="n">
        <f aca="false">DataDE1!BR50/DataDE1!AV50</f>
        <v>0.244213533783439</v>
      </c>
      <c r="D18" s="533" t="n">
        <f aca="false">DataDE1!BS50/DataDE1!$AV50</f>
        <v>0.037499362255744</v>
      </c>
      <c r="E18" s="533" t="n">
        <f aca="false">DataDE1!BT50/DataDE1!$AV50</f>
        <v>0.15543953334127</v>
      </c>
      <c r="F18" s="533" t="n">
        <f aca="false">DataDE1!BU50/DataDE1!$AV50</f>
        <v>0.0568527746126767</v>
      </c>
      <c r="G18" s="1574" t="n">
        <f aca="false">DataDE1!BW50/DataDE1!$AV50</f>
        <v>-0.00557813642625125</v>
      </c>
      <c r="H18" s="1575" t="n">
        <f aca="false">1-I18</f>
        <v>0.648887396332204</v>
      </c>
      <c r="I18" s="1576" t="n">
        <f aca="false">DataDE1!AY50/DataDE1!AW50</f>
        <v>0.351112603667796</v>
      </c>
      <c r="J18" s="1577" t="n">
        <f aca="false">B18*TableDE9!$F48</f>
        <v>0.425884044082415</v>
      </c>
      <c r="K18" s="534" t="n">
        <f aca="false">C18*TableDE9!$F48</f>
        <v>0.137613799712506</v>
      </c>
      <c r="L18" s="533" t="n">
        <f aca="false">D18*TableDE9!$F48</f>
        <v>0.0211308097747964</v>
      </c>
      <c r="M18" s="533" t="n">
        <f aca="false">E18*TableDE9!$F48</f>
        <v>0.0875898418782942</v>
      </c>
      <c r="N18" s="533" t="n">
        <f aca="false">F18*TableDE9!$F48</f>
        <v>0.032036415908002</v>
      </c>
      <c r="O18" s="1578" t="n">
        <f aca="false">G18*TableDE9!$F48</f>
        <v>-0.00314326784858649</v>
      </c>
      <c r="P18" s="580"/>
      <c r="Q18" s="115"/>
    </row>
    <row r="19" customFormat="false" ht="12" hidden="false" customHeight="false" outlineLevel="0" collapsed="false">
      <c r="A19" s="416" t="n">
        <v>1990</v>
      </c>
      <c r="B19" s="519" t="n">
        <f aca="false">DataDE1!AZ51/DataDE1!AV51</f>
        <v>0.752842980591712</v>
      </c>
      <c r="C19" s="519" t="n">
        <f aca="false">DataDE1!BR51/DataDE1!AV51</f>
        <v>0.247157019408288</v>
      </c>
      <c r="D19" s="518" t="n">
        <f aca="false">DataDE1!BS51/DataDE1!$AV51</f>
        <v>0.031043951781808</v>
      </c>
      <c r="E19" s="518" t="n">
        <f aca="false">DataDE1!BT51/DataDE1!$AV51</f>
        <v>0.144949346075678</v>
      </c>
      <c r="F19" s="518" t="n">
        <f aca="false">DataDE1!BU51/DataDE1!$AV51</f>
        <v>0.0786415750034907</v>
      </c>
      <c r="G19" s="597" t="n">
        <f aca="false">DataDE1!BW51/DataDE1!$AV51</f>
        <v>-0.00747785345268938</v>
      </c>
      <c r="H19" s="1570" t="n">
        <f aca="false">1-I19</f>
        <v>0.64773015470454</v>
      </c>
      <c r="I19" s="1571" t="n">
        <f aca="false">DataDE1!AY51/DataDE1!AW51</f>
        <v>0.35226984529546</v>
      </c>
      <c r="J19" s="1572" t="n">
        <f aca="false">B19*TableDE9!$F49</f>
        <v>0.426977562692477</v>
      </c>
      <c r="K19" s="519" t="n">
        <f aca="false">C19*TableDE9!$F49</f>
        <v>0.140175978882534</v>
      </c>
      <c r="L19" s="518" t="n">
        <f aca="false">D19*TableDE9!$F49</f>
        <v>0.0176066871975363</v>
      </c>
      <c r="M19" s="518" t="n">
        <f aca="false">E19*TableDE9!$F49</f>
        <v>0.0822085349758029</v>
      </c>
      <c r="N19" s="518" t="n">
        <f aca="false">F19*TableDE9!$F49</f>
        <v>0.0446018477782666</v>
      </c>
      <c r="O19" s="1573" t="n">
        <f aca="false">G19*TableDE9!$F49</f>
        <v>-0.00424109106907171</v>
      </c>
      <c r="P19" s="580"/>
      <c r="Q19" s="115"/>
    </row>
    <row r="20" customFormat="false" ht="12" hidden="false" customHeight="false" outlineLevel="0" collapsed="false">
      <c r="A20" s="416" t="n">
        <v>1991</v>
      </c>
      <c r="B20" s="519" t="n">
        <f aca="false">DataDE1!AZ52/DataDE1!AV52</f>
        <v>0.766033117901258</v>
      </c>
      <c r="C20" s="519" t="n">
        <f aca="false">DataDE1!BR52/DataDE1!AV52</f>
        <v>0.233966882098742</v>
      </c>
      <c r="D20" s="518" t="n">
        <f aca="false">DataDE1!BS52/DataDE1!$AV52</f>
        <v>0.0536158170484531</v>
      </c>
      <c r="E20" s="518" t="n">
        <f aca="false">DataDE1!BT52/DataDE1!$AV52</f>
        <v>0.162797812535852</v>
      </c>
      <c r="F20" s="518" t="n">
        <f aca="false">DataDE1!BU52/DataDE1!$AV52</f>
        <v>0.0274707764477928</v>
      </c>
      <c r="G20" s="597" t="n">
        <f aca="false">DataDE1!BW52/DataDE1!$AV52</f>
        <v>-0.00991752393335628</v>
      </c>
      <c r="H20" s="1570" t="n">
        <f aca="false">1-I20</f>
        <v>0.662678370569683</v>
      </c>
      <c r="I20" s="1571" t="n">
        <f aca="false">DataDE1!AY52/DataDE1!AW52</f>
        <v>0.337321629430317</v>
      </c>
      <c r="J20" s="1572" t="n">
        <f aca="false">B20*TableDE9!$F50</f>
        <v>0.451633510450409</v>
      </c>
      <c r="K20" s="519" t="n">
        <f aca="false">C20*TableDE9!$F50</f>
        <v>0.137940882478938</v>
      </c>
      <c r="L20" s="518" t="n">
        <f aca="false">D20*TableDE9!$F50</f>
        <v>0.0316105127877526</v>
      </c>
      <c r="M20" s="518" t="n">
        <f aca="false">E20*TableDE9!$F50</f>
        <v>0.0959814214960506</v>
      </c>
      <c r="N20" s="518" t="n">
        <f aca="false">F20*TableDE9!$F50</f>
        <v>0.0161960663475052</v>
      </c>
      <c r="O20" s="1573" t="n">
        <f aca="false">G20*TableDE9!$F50</f>
        <v>-0.00584711815237079</v>
      </c>
      <c r="P20" s="580"/>
      <c r="Q20" s="115"/>
    </row>
    <row r="21" customFormat="false" ht="12" hidden="false" customHeight="false" outlineLevel="0" collapsed="false">
      <c r="A21" s="416" t="n">
        <v>1992</v>
      </c>
      <c r="B21" s="519" t="n">
        <f aca="false">DataDE1!AZ53/DataDE1!AV53</f>
        <v>0.782195824159872</v>
      </c>
      <c r="C21" s="519" t="n">
        <f aca="false">DataDE1!BR53/DataDE1!AV53</f>
        <v>0.217804175840128</v>
      </c>
      <c r="D21" s="518" t="n">
        <f aca="false">DataDE1!BS53/DataDE1!$AV53</f>
        <v>0.0534923668739264</v>
      </c>
      <c r="E21" s="518" t="n">
        <f aca="false">DataDE1!BT53/DataDE1!$AV53</f>
        <v>0.152577843369705</v>
      </c>
      <c r="F21" s="518" t="n">
        <f aca="false">DataDE1!BU53/DataDE1!$AV53</f>
        <v>0.01941547915709</v>
      </c>
      <c r="G21" s="597" t="n">
        <f aca="false">DataDE1!BW53/DataDE1!$AV53</f>
        <v>-0.00768151356059323</v>
      </c>
      <c r="H21" s="1570" t="n">
        <f aca="false">1-I21</f>
        <v>0.673720513461699</v>
      </c>
      <c r="I21" s="1571" t="n">
        <f aca="false">DataDE1!AY53/DataDE1!AW53</f>
        <v>0.326279486538301</v>
      </c>
      <c r="J21" s="1572" t="n">
        <f aca="false">B21*TableDE9!$F51</f>
        <v>0.454092811595831</v>
      </c>
      <c r="K21" s="519" t="n">
        <f aca="false">C21*TableDE9!$F51</f>
        <v>0.126443158515689</v>
      </c>
      <c r="L21" s="518" t="n">
        <f aca="false">D21*TableDE9!$F51</f>
        <v>0.0310542430967162</v>
      </c>
      <c r="M21" s="518" t="n">
        <f aca="false">E21*TableDE9!$F51</f>
        <v>0.088576926318155</v>
      </c>
      <c r="N21" s="518" t="n">
        <f aca="false">F21*TableDE9!$F51</f>
        <v>0.0112713840276412</v>
      </c>
      <c r="O21" s="1573" t="n">
        <f aca="false">G21*TableDE9!$F51</f>
        <v>-0.00445939492682379</v>
      </c>
      <c r="P21" s="580"/>
      <c r="Q21" s="115"/>
    </row>
    <row r="22" customFormat="false" ht="12" hidden="false" customHeight="false" outlineLevel="0" collapsed="false">
      <c r="A22" s="416" t="n">
        <v>1993</v>
      </c>
      <c r="B22" s="519" t="n">
        <f aca="false">DataDE1!AZ54/DataDE1!AV54</f>
        <v>0.788555746801314</v>
      </c>
      <c r="C22" s="519" t="n">
        <f aca="false">DataDE1!BR54/DataDE1!AV54</f>
        <v>0.211444253198686</v>
      </c>
      <c r="D22" s="518" t="n">
        <f aca="false">DataDE1!BS54/DataDE1!$AV54</f>
        <v>0.0520817033978888</v>
      </c>
      <c r="E22" s="518" t="n">
        <f aca="false">DataDE1!BT54/DataDE1!$AV54</f>
        <v>0.156810823172567</v>
      </c>
      <c r="F22" s="518" t="n">
        <f aca="false">DataDE1!BU54/DataDE1!$AV54</f>
        <v>0.00670430062228428</v>
      </c>
      <c r="G22" s="597" t="n">
        <f aca="false">DataDE1!BW54/DataDE1!$AV54</f>
        <v>-0.00415257399405399</v>
      </c>
      <c r="H22" s="1570" t="n">
        <f aca="false">1-I22</f>
        <v>0.673707375262227</v>
      </c>
      <c r="I22" s="1571" t="n">
        <f aca="false">DataDE1!AY54/DataDE1!AW54</f>
        <v>0.326292624737773</v>
      </c>
      <c r="J22" s="1572" t="n">
        <f aca="false">B22*TableDE9!$F52</f>
        <v>0.45039805304624</v>
      </c>
      <c r="K22" s="519" t="n">
        <f aca="false">C22*TableDE9!$F52</f>
        <v>0.120770256706403</v>
      </c>
      <c r="L22" s="518" t="n">
        <f aca="false">D22*TableDE9!$F52</f>
        <v>0.0297474184988107</v>
      </c>
      <c r="M22" s="518" t="n">
        <f aca="false">E22*TableDE9!$F52</f>
        <v>0.0895653728223955</v>
      </c>
      <c r="N22" s="518" t="n">
        <f aca="false">F22*TableDE9!$F52</f>
        <v>0.00382928405450371</v>
      </c>
      <c r="O22" s="1573" t="n">
        <f aca="false">G22*TableDE9!$F52</f>
        <v>-0.0023718186693066</v>
      </c>
      <c r="P22" s="580"/>
      <c r="Q22" s="115"/>
    </row>
    <row r="23" customFormat="false" ht="12" hidden="false" customHeight="false" outlineLevel="0" collapsed="false">
      <c r="A23" s="416" t="n">
        <v>1994</v>
      </c>
      <c r="B23" s="519" t="n">
        <f aca="false">DataDE1!AZ55/DataDE1!AV55</f>
        <v>0.767334731341744</v>
      </c>
      <c r="C23" s="519" t="n">
        <f aca="false">DataDE1!BR55/DataDE1!AV55</f>
        <v>0.232665268658256</v>
      </c>
      <c r="D23" s="518" t="n">
        <f aca="false">DataDE1!BS55/DataDE1!$AV55</f>
        <v>0.0470739225595013</v>
      </c>
      <c r="E23" s="518" t="n">
        <f aca="false">DataDE1!BT55/DataDE1!$AV55</f>
        <v>0.179552408126783</v>
      </c>
      <c r="F23" s="518" t="n">
        <f aca="false">DataDE1!BU55/DataDE1!$AV55</f>
        <v>0.0140946749630444</v>
      </c>
      <c r="G23" s="597" t="n">
        <f aca="false">DataDE1!BW55/DataDE1!$AV55</f>
        <v>-0.00805573699107338</v>
      </c>
      <c r="H23" s="1570" t="n">
        <f aca="false">1-I23</f>
        <v>0.656796202208839</v>
      </c>
      <c r="I23" s="1571" t="n">
        <f aca="false">DataDE1!AY55/DataDE1!AW55</f>
        <v>0.343203797791161</v>
      </c>
      <c r="J23" s="1572" t="n">
        <f aca="false">B23*TableDE9!$F53</f>
        <v>0.441266012968528</v>
      </c>
      <c r="K23" s="519" t="n">
        <f aca="false">C23*TableDE9!$F53</f>
        <v>0.133797248141705</v>
      </c>
      <c r="L23" s="518" t="n">
        <f aca="false">D23*TableDE9!$F53</f>
        <v>0.0270704834203174</v>
      </c>
      <c r="M23" s="518" t="n">
        <f aca="false">E23*TableDE9!$F53</f>
        <v>0.103253993357583</v>
      </c>
      <c r="N23" s="518" t="n">
        <f aca="false">F23*TableDE9!$F53</f>
        <v>0.00810532974853708</v>
      </c>
      <c r="O23" s="1573" t="n">
        <f aca="false">G23*TableDE9!$F53</f>
        <v>-0.00463255838473299</v>
      </c>
      <c r="P23" s="580"/>
      <c r="Q23" s="115"/>
    </row>
    <row r="24" customFormat="false" ht="12" hidden="false" customHeight="false" outlineLevel="0" collapsed="false">
      <c r="A24" s="416" t="n">
        <v>1995</v>
      </c>
      <c r="B24" s="519" t="n">
        <f aca="false">DataDE1!AZ56/DataDE1!AV56</f>
        <v>0.761046619969965</v>
      </c>
      <c r="C24" s="519" t="n">
        <f aca="false">DataDE1!BR56/DataDE1!AV56</f>
        <v>0.238953380030035</v>
      </c>
      <c r="D24" s="518" t="n">
        <f aca="false">DataDE1!BS56/DataDE1!$AV56</f>
        <v>0.0430135815054754</v>
      </c>
      <c r="E24" s="518" t="n">
        <f aca="false">DataDE1!BT56/DataDE1!$AV56</f>
        <v>0.165630789130411</v>
      </c>
      <c r="F24" s="518" t="n">
        <f aca="false">DataDE1!BU56/DataDE1!$AV56</f>
        <v>0.0405252830850516</v>
      </c>
      <c r="G24" s="597" t="n">
        <f aca="false">DataDE1!BW56/DataDE1!$AV56</f>
        <v>-0.0102162736909029</v>
      </c>
      <c r="H24" s="1570" t="n">
        <f aca="false">1-I24</f>
        <v>0.652745785658547</v>
      </c>
      <c r="I24" s="1571" t="n">
        <f aca="false">DataDE1!AY56/DataDE1!AW56</f>
        <v>0.347254214341453</v>
      </c>
      <c r="J24" s="1572" t="n">
        <f aca="false">B24*TableDE9!$F54</f>
        <v>0.442394081701575</v>
      </c>
      <c r="K24" s="519" t="n">
        <f aca="false">C24*TableDE9!$F54</f>
        <v>0.138902871853037</v>
      </c>
      <c r="L24" s="518" t="n">
        <f aca="false">D24*TableDE9!$F54</f>
        <v>0.0250036638906058</v>
      </c>
      <c r="M24" s="518" t="n">
        <f aca="false">E24*TableDE9!$F54</f>
        <v>0.0962806731363541</v>
      </c>
      <c r="N24" s="518" t="n">
        <f aca="false">F24*TableDE9!$F54</f>
        <v>0.0235572235992787</v>
      </c>
      <c r="O24" s="1573" t="n">
        <f aca="false">G24*TableDE9!$F54</f>
        <v>-0.00593868877320199</v>
      </c>
      <c r="P24" s="580"/>
      <c r="Q24" s="115"/>
    </row>
    <row r="25" customFormat="false" ht="12" hidden="false" customHeight="false" outlineLevel="0" collapsed="false">
      <c r="A25" s="416" t="n">
        <v>1996</v>
      </c>
      <c r="B25" s="519" t="n">
        <f aca="false">DataDE1!AZ57/DataDE1!AV57</f>
        <v>0.755796632124352</v>
      </c>
      <c r="C25" s="519" t="n">
        <f aca="false">DataDE1!BR57/DataDE1!AV57</f>
        <v>0.244203367875648</v>
      </c>
      <c r="D25" s="518" t="n">
        <f aca="false">DataDE1!BS57/DataDE1!$AV57</f>
        <v>0.050626079447323</v>
      </c>
      <c r="E25" s="518" t="n">
        <f aca="false">DataDE1!BT57/DataDE1!$AV57</f>
        <v>0.160902417962003</v>
      </c>
      <c r="F25" s="518" t="n">
        <f aca="false">DataDE1!BU57/DataDE1!$AV57</f>
        <v>0.0414615716753023</v>
      </c>
      <c r="G25" s="597" t="n">
        <f aca="false">DataDE1!BW57/DataDE1!$AV57</f>
        <v>-0.00878670120898101</v>
      </c>
      <c r="H25" s="1570" t="n">
        <f aca="false">1-I25</f>
        <v>0.647436312358408</v>
      </c>
      <c r="I25" s="1571" t="n">
        <f aca="false">DataDE1!AY57/DataDE1!AW57</f>
        <v>0.352563687641592</v>
      </c>
      <c r="J25" s="1572" t="n">
        <f aca="false">B25*TableDE9!$F55</f>
        <v>0.439314083499605</v>
      </c>
      <c r="K25" s="519" t="n">
        <f aca="false">C25*TableDE9!$F55</f>
        <v>0.14194556337763</v>
      </c>
      <c r="L25" s="518" t="n">
        <f aca="false">D25*TableDE9!$F55</f>
        <v>0.0294268970623298</v>
      </c>
      <c r="M25" s="518" t="n">
        <f aca="false">E25*TableDE9!$F55</f>
        <v>0.0935260826462874</v>
      </c>
      <c r="N25" s="518" t="n">
        <f aca="false">F25*TableDE9!$F55</f>
        <v>0.0240999385109614</v>
      </c>
      <c r="O25" s="1573" t="n">
        <f aca="false">G25*TableDE9!$F55</f>
        <v>-0.00510735484194807</v>
      </c>
      <c r="P25" s="580"/>
      <c r="Q25" s="115"/>
    </row>
    <row r="26" customFormat="false" ht="12" hidden="false" customHeight="false" outlineLevel="0" collapsed="false">
      <c r="A26" s="416" t="n">
        <v>1997</v>
      </c>
      <c r="B26" s="519" t="n">
        <f aca="false">DataDE1!AZ58/DataDE1!AV58</f>
        <v>0.739009196708546</v>
      </c>
      <c r="C26" s="519" t="n">
        <f aca="false">DataDE1!BR58/DataDE1!AV58</f>
        <v>0.260990803291454</v>
      </c>
      <c r="D26" s="518" t="n">
        <f aca="false">DataDE1!BS58/DataDE1!$AV58</f>
        <v>0.050760780352295</v>
      </c>
      <c r="E26" s="518" t="n">
        <f aca="false">DataDE1!BT58/DataDE1!$AV58</f>
        <v>0.177241829240061</v>
      </c>
      <c r="F26" s="518" t="n">
        <f aca="false">DataDE1!BU58/DataDE1!$AV58</f>
        <v>0.041679819853947</v>
      </c>
      <c r="G26" s="597" t="n">
        <f aca="false">DataDE1!BW58/DataDE1!$AV58</f>
        <v>-0.00869162615484984</v>
      </c>
      <c r="H26" s="1570" t="n">
        <f aca="false">1-I26</f>
        <v>0.63305960933486</v>
      </c>
      <c r="I26" s="1571" t="n">
        <f aca="false">DataDE1!AY58/DataDE1!AW58</f>
        <v>0.36694039066514</v>
      </c>
      <c r="J26" s="1572" t="n">
        <f aca="false">B26*TableDE9!$F56</f>
        <v>0.433230522484733</v>
      </c>
      <c r="K26" s="519" t="n">
        <f aca="false">C26*TableDE9!$F56</f>
        <v>0.153001048670656</v>
      </c>
      <c r="L26" s="518" t="n">
        <f aca="false">D26*TableDE9!$F56</f>
        <v>0.0297575720189994</v>
      </c>
      <c r="M26" s="518" t="n">
        <f aca="false">E26*TableDE9!$F56</f>
        <v>0.103904756029856</v>
      </c>
      <c r="N26" s="518" t="n">
        <f aca="false">F26*TableDE9!$F56</f>
        <v>0.0244340262784529</v>
      </c>
      <c r="O26" s="1573" t="n">
        <f aca="false">G26*TableDE9!$F56</f>
        <v>-0.00509530565665289</v>
      </c>
      <c r="P26" s="580"/>
      <c r="Q26" s="115"/>
    </row>
    <row r="27" customFormat="false" ht="12" hidden="false" customHeight="false" outlineLevel="0" collapsed="false">
      <c r="A27" s="416" t="n">
        <v>1998</v>
      </c>
      <c r="B27" s="519" t="n">
        <f aca="false">DataDE1!AZ59/DataDE1!AV59</f>
        <v>0.728615091895393</v>
      </c>
      <c r="C27" s="519" t="n">
        <f aca="false">DataDE1!BR59/DataDE1!AV59</f>
        <v>0.271384908104607</v>
      </c>
      <c r="D27" s="518" t="n">
        <f aca="false">DataDE1!BS59/DataDE1!$AV59</f>
        <v>0.0518277872237066</v>
      </c>
      <c r="E27" s="518" t="n">
        <f aca="false">DataDE1!BT59/DataDE1!$AV59</f>
        <v>0.192393328475427</v>
      </c>
      <c r="F27" s="518" t="n">
        <f aca="false">DataDE1!BU59/DataDE1!$AV59</f>
        <v>0.0365051412841066</v>
      </c>
      <c r="G27" s="597" t="n">
        <f aca="false">DataDE1!BW59/DataDE1!$AV59</f>
        <v>-0.00934134887863331</v>
      </c>
      <c r="H27" s="1570" t="n">
        <f aca="false">1-I27</f>
        <v>0.625194306704993</v>
      </c>
      <c r="I27" s="1571" t="n">
        <f aca="false">DataDE1!AY59/DataDE1!AW59</f>
        <v>0.374805693295008</v>
      </c>
      <c r="J27" s="1572" t="n">
        <f aca="false">B27*TableDE9!$F57</f>
        <v>0.434897909870726</v>
      </c>
      <c r="K27" s="519" t="n">
        <f aca="false">C27*TableDE9!$F57</f>
        <v>0.161985018726592</v>
      </c>
      <c r="L27" s="518" t="n">
        <f aca="false">D27*TableDE9!$F57</f>
        <v>0.0309351214208046</v>
      </c>
      <c r="M27" s="518" t="n">
        <f aca="false">E27*TableDE9!$F57</f>
        <v>0.114836293342999</v>
      </c>
      <c r="N27" s="518" t="n">
        <f aca="false">F27*TableDE9!$F57</f>
        <v>0.0217892956385164</v>
      </c>
      <c r="O27" s="1573" t="n">
        <f aca="false">G27*TableDE9!$F57</f>
        <v>-0.00557569167572792</v>
      </c>
      <c r="P27" s="580"/>
      <c r="Q27" s="115"/>
    </row>
    <row r="28" customFormat="false" ht="12" hidden="false" customHeight="false" outlineLevel="0" collapsed="false">
      <c r="A28" s="446" t="n">
        <f aca="false">A27+1</f>
        <v>1999</v>
      </c>
      <c r="B28" s="519" t="n">
        <f aca="false">DataDE1!AZ60/DataDE1!AV60</f>
        <v>0.734961174110778</v>
      </c>
      <c r="C28" s="519" t="n">
        <f aca="false">DataDE1!BR60/DataDE1!AV60</f>
        <v>0.265038825889222</v>
      </c>
      <c r="D28" s="518" t="n">
        <f aca="false">DataDE1!BS60/DataDE1!$AV60</f>
        <v>0.0555379024089925</v>
      </c>
      <c r="E28" s="518" t="n">
        <f aca="false">DataDE1!BT60/DataDE1!$AV60</f>
        <v>0.20329473914166</v>
      </c>
      <c r="F28" s="518" t="n">
        <f aca="false">DataDE1!BU60/DataDE1!$AV60</f>
        <v>0.0153218278950609</v>
      </c>
      <c r="G28" s="597" t="n">
        <f aca="false">DataDE1!BW60/DataDE1!$AV60</f>
        <v>-0.00911564355649118</v>
      </c>
      <c r="H28" s="1570" t="n">
        <f aca="false">1-I28</f>
        <v>0.629630889896472</v>
      </c>
      <c r="I28" s="1571" t="n">
        <f aca="false">DataDE1!AY60/DataDE1!AW60</f>
        <v>0.370369110103528</v>
      </c>
      <c r="J28" s="1572" t="n">
        <f aca="false">B28*TableDE9!$F58</f>
        <v>0.438719199558999</v>
      </c>
      <c r="K28" s="519" t="n">
        <f aca="false">C28*TableDE9!$F58</f>
        <v>0.158209202937637</v>
      </c>
      <c r="L28" s="518" t="n">
        <f aca="false">D28*TableDE9!$F58</f>
        <v>0.033152151363014</v>
      </c>
      <c r="M28" s="518" t="n">
        <f aca="false">E28*TableDE9!$F58</f>
        <v>0.121352403871801</v>
      </c>
      <c r="N28" s="518" t="n">
        <f aca="false">F28*TableDE9!$F58</f>
        <v>0.00914603424872709</v>
      </c>
      <c r="O28" s="1573" t="n">
        <f aca="false">G28*TableDE9!$F58</f>
        <v>-0.00544138654590503</v>
      </c>
      <c r="P28" s="580"/>
      <c r="Q28" s="115"/>
    </row>
    <row r="29" customFormat="false" ht="12" hidden="false" customHeight="false" outlineLevel="0" collapsed="false">
      <c r="A29" s="542" t="n">
        <f aca="false">A28+1</f>
        <v>2000</v>
      </c>
      <c r="B29" s="526" t="n">
        <f aca="false">DataDE1!AZ61/DataDE1!AV61</f>
        <v>0.752261575086236</v>
      </c>
      <c r="C29" s="526" t="n">
        <f aca="false">DataDE1!BR61/DataDE1!AV61</f>
        <v>0.247738424913764</v>
      </c>
      <c r="D29" s="525" t="n">
        <f aca="false">DataDE1!BS61/DataDE1!$AV61</f>
        <v>0.0585531749502016</v>
      </c>
      <c r="E29" s="525" t="n">
        <f aca="false">DataDE1!BT61/DataDE1!$AV61</f>
        <v>0.193324588252441</v>
      </c>
      <c r="F29" s="525" t="n">
        <f aca="false">DataDE1!BU61/DataDE1!$AV61</f>
        <v>0.0168294223388233</v>
      </c>
      <c r="G29" s="1579" t="n">
        <f aca="false">DataDE1!BW61/DataDE1!$AV61</f>
        <v>-0.0209687606277025</v>
      </c>
      <c r="H29" s="1580" t="n">
        <f aca="false">1-I29</f>
        <v>0.641868755959043</v>
      </c>
      <c r="I29" s="1581" t="n">
        <f aca="false">DataDE1!AY61/DataDE1!AW61</f>
        <v>0.358131244040957</v>
      </c>
      <c r="J29" s="1582" t="n">
        <f aca="false">B29*TableDE9!$F59</f>
        <v>0.448928113746934</v>
      </c>
      <c r="K29" s="526" t="n">
        <f aca="false">C29*TableDE9!$F59</f>
        <v>0.147843180460763</v>
      </c>
      <c r="L29" s="525" t="n">
        <f aca="false">D29*TableDE9!$F59</f>
        <v>0.0349428539950015</v>
      </c>
      <c r="M29" s="525" t="n">
        <f aca="false">E29*TableDE9!$F59</f>
        <v>0.11537056473358</v>
      </c>
      <c r="N29" s="525" t="n">
        <f aca="false">F29*TableDE9!$F59</f>
        <v>0.0100433161499075</v>
      </c>
      <c r="O29" s="1583" t="n">
        <f aca="false">G29*TableDE9!$F59</f>
        <v>-0.0125135544177254</v>
      </c>
      <c r="P29" s="580"/>
      <c r="Q29" s="115"/>
    </row>
    <row r="30" customFormat="false" ht="12" hidden="false" customHeight="false" outlineLevel="0" collapsed="false">
      <c r="A30" s="446" t="n">
        <f aca="false">A29+1</f>
        <v>2001</v>
      </c>
      <c r="B30" s="519" t="n">
        <f aca="false">DataDE1!AZ62/DataDE1!AV62</f>
        <v>0.741633714978069</v>
      </c>
      <c r="C30" s="519" t="n">
        <f aca="false">DataDE1!BR62/DataDE1!AV62</f>
        <v>0.258366285021931</v>
      </c>
      <c r="D30" s="518" t="n">
        <f aca="false">DataDE1!BS62/DataDE1!$AV62</f>
        <v>0.0334087856559186</v>
      </c>
      <c r="E30" s="518" t="n">
        <f aca="false">DataDE1!BT62/DataDE1!$AV62</f>
        <v>0.20918765086551</v>
      </c>
      <c r="F30" s="518" t="n">
        <f aca="false">DataDE1!BU62/DataDE1!$AV62</f>
        <v>0.0334181780612197</v>
      </c>
      <c r="G30" s="597" t="n">
        <f aca="false">DataDE1!BW62/DataDE1!$AV62</f>
        <v>-0.0176483295607172</v>
      </c>
      <c r="H30" s="1570" t="n">
        <f aca="false">1-I30</f>
        <v>0.632502663430498</v>
      </c>
      <c r="I30" s="1571" t="n">
        <f aca="false">DataDE1!AY62/DataDE1!AW62</f>
        <v>0.367497336569502</v>
      </c>
      <c r="J30" s="1572" t="n">
        <f aca="false">B30*TableDE9!$F60</f>
        <v>0.446743386063774</v>
      </c>
      <c r="K30" s="519" t="n">
        <f aca="false">C30*TableDE9!$F60</f>
        <v>0.155634010002942</v>
      </c>
      <c r="L30" s="518" t="n">
        <f aca="false">D30*TableDE9!$F60</f>
        <v>0.0201246973091633</v>
      </c>
      <c r="M30" s="518" t="n">
        <f aca="false">E30*TableDE9!$F60</f>
        <v>0.126009912417679</v>
      </c>
      <c r="N30" s="518" t="n">
        <f aca="false">F30*TableDE9!$F60</f>
        <v>0.0201303550818114</v>
      </c>
      <c r="O30" s="1573" t="n">
        <f aca="false">G30*TableDE9!$F60</f>
        <v>-0.0106309548057121</v>
      </c>
      <c r="P30" s="580"/>
      <c r="Q30" s="115"/>
    </row>
    <row r="31" customFormat="false" ht="12" hidden="false" customHeight="false" outlineLevel="0" collapsed="false">
      <c r="A31" s="446" t="n">
        <f aca="false">A30+1</f>
        <v>2002</v>
      </c>
      <c r="B31" s="519" t="n">
        <f aca="false">DataDE1!AZ63/DataDE1!AV63</f>
        <v>0.733916909823538</v>
      </c>
      <c r="C31" s="519" t="n">
        <f aca="false">DataDE1!BR63/DataDE1!AV63</f>
        <v>0.266083090176463</v>
      </c>
      <c r="D31" s="518" t="n">
        <f aca="false">DataDE1!BS63/DataDE1!$AV63</f>
        <v>0.0322263906257237</v>
      </c>
      <c r="E31" s="518" t="n">
        <f aca="false">DataDE1!BT63/DataDE1!$AV63</f>
        <v>0.207642073086008</v>
      </c>
      <c r="F31" s="518" t="n">
        <f aca="false">DataDE1!BU63/DataDE1!$AV63</f>
        <v>0.0416655087768052</v>
      </c>
      <c r="G31" s="597" t="n">
        <f aca="false">DataDE1!BW63/DataDE1!$AV63</f>
        <v>-0.0154508823120745</v>
      </c>
      <c r="H31" s="1570" t="n">
        <f aca="false">1-I31</f>
        <v>0.625246610584132</v>
      </c>
      <c r="I31" s="1571" t="n">
        <f aca="false">DataDE1!AY63/DataDE1!AW63</f>
        <v>0.374753389415868</v>
      </c>
      <c r="J31" s="1572" t="n">
        <f aca="false">B31*TableDE9!$F61</f>
        <v>0.443267073586922</v>
      </c>
      <c r="K31" s="519" t="n">
        <f aca="false">C31*TableDE9!$F61</f>
        <v>0.16070739226031</v>
      </c>
      <c r="L31" s="518" t="n">
        <f aca="false">D31*TableDE9!$F61</f>
        <v>0.0194639170643557</v>
      </c>
      <c r="M31" s="518" t="n">
        <f aca="false">E31*TableDE9!$F61</f>
        <v>0.125410510179534</v>
      </c>
      <c r="N31" s="518" t="n">
        <f aca="false">F31*TableDE9!$F61</f>
        <v>0.0251649034077241</v>
      </c>
      <c r="O31" s="1573" t="n">
        <f aca="false">G31*TableDE9!$F61</f>
        <v>-0.00933193839130362</v>
      </c>
      <c r="P31" s="580"/>
      <c r="Q31" s="115"/>
    </row>
    <row r="32" customFormat="false" ht="12" hidden="false" customHeight="false" outlineLevel="0" collapsed="false">
      <c r="A32" s="446" t="n">
        <f aca="false">A31+1</f>
        <v>2003</v>
      </c>
      <c r="B32" s="519" t="n">
        <f aca="false">DataDE1!AZ64/DataDE1!AV64</f>
        <v>0.728822902502664</v>
      </c>
      <c r="C32" s="519" t="n">
        <f aca="false">DataDE1!BR64/DataDE1!AV64</f>
        <v>0.271177097497336</v>
      </c>
      <c r="D32" s="518" t="n">
        <f aca="false">DataDE1!BS64/DataDE1!$AV64</f>
        <v>0.0359229723273676</v>
      </c>
      <c r="E32" s="518" t="n">
        <f aca="false">DataDE1!BT64/DataDE1!$AV64</f>
        <v>0.212946969975378</v>
      </c>
      <c r="F32" s="518" t="n">
        <f aca="false">DataDE1!BU64/DataDE1!$AV64</f>
        <v>0.0374572783065671</v>
      </c>
      <c r="G32" s="597" t="n">
        <f aca="false">DataDE1!BW64/DataDE1!$AV64</f>
        <v>-0.0151501231119768</v>
      </c>
      <c r="H32" s="1570" t="n">
        <f aca="false">1-I32</f>
        <v>0.621337322691564</v>
      </c>
      <c r="I32" s="1571" t="n">
        <f aca="false">DataDE1!AY64/DataDE1!AW64</f>
        <v>0.378662677308436</v>
      </c>
      <c r="J32" s="1572" t="n">
        <f aca="false">B32*TableDE9!$F62</f>
        <v>0.437913331493238</v>
      </c>
      <c r="K32" s="519" t="n">
        <f aca="false">C32*TableDE9!$F62</f>
        <v>0.162936792713221</v>
      </c>
      <c r="L32" s="518" t="n">
        <f aca="false">D32*TableDE9!$F62</f>
        <v>0.021584322384764</v>
      </c>
      <c r="M32" s="518" t="n">
        <f aca="false">E32*TableDE9!$F62</f>
        <v>0.127949213359095</v>
      </c>
      <c r="N32" s="518" t="n">
        <f aca="false">F32*TableDE9!$F62</f>
        <v>0.0225062103229368</v>
      </c>
      <c r="O32" s="1573" t="n">
        <f aca="false">G32*TableDE9!$F62</f>
        <v>-0.00910295335357439</v>
      </c>
      <c r="P32" s="580"/>
      <c r="Q32" s="115"/>
    </row>
    <row r="33" customFormat="false" ht="12" hidden="false" customHeight="false" outlineLevel="0" collapsed="false">
      <c r="A33" s="446" t="n">
        <f aca="false">A32+1</f>
        <v>2004</v>
      </c>
      <c r="B33" s="519" t="n">
        <f aca="false">DataDE1!AZ65/DataDE1!AV65</f>
        <v>0.707741672428158</v>
      </c>
      <c r="C33" s="519" t="n">
        <f aca="false">DataDE1!BR65/DataDE1!AV65</f>
        <v>0.292258327571841</v>
      </c>
      <c r="D33" s="518" t="n">
        <f aca="false">DataDE1!BS65/DataDE1!$AV65</f>
        <v>0.0422538956549487</v>
      </c>
      <c r="E33" s="518" t="n">
        <f aca="false">DataDE1!BT65/DataDE1!$AV65</f>
        <v>0.17905830629864</v>
      </c>
      <c r="F33" s="518" t="n">
        <f aca="false">DataDE1!BU65/DataDE1!$AV65</f>
        <v>0.0845964296477513</v>
      </c>
      <c r="G33" s="597" t="n">
        <f aca="false">DataDE1!BW65/DataDE1!$AV65</f>
        <v>-0.0136503040294988</v>
      </c>
      <c r="H33" s="1570" t="n">
        <f aca="false">1-I33</f>
        <v>0.605205712033472</v>
      </c>
      <c r="I33" s="1571" t="n">
        <f aca="false">DataDE1!AY65/DataDE1!AW65</f>
        <v>0.394794287966528</v>
      </c>
      <c r="J33" s="1572" t="n">
        <f aca="false">B33*TableDE9!$F63</f>
        <v>0.422112731155965</v>
      </c>
      <c r="K33" s="519" t="n">
        <f aca="false">C33*TableDE9!$F63</f>
        <v>0.17430930756299</v>
      </c>
      <c r="L33" s="518" t="n">
        <f aca="false">D33*TableDE9!$F63</f>
        <v>0.0252011545903425</v>
      </c>
      <c r="M33" s="518" t="n">
        <f aca="false">E33*TableDE9!$F63</f>
        <v>0.106794320092198</v>
      </c>
      <c r="N33" s="518" t="n">
        <f aca="false">F33*TableDE9!$F63</f>
        <v>0.0504551750388564</v>
      </c>
      <c r="O33" s="1573" t="n">
        <f aca="false">G33*TableDE9!$F63</f>
        <v>-0.00814134215840726</v>
      </c>
      <c r="P33" s="580"/>
      <c r="Q33" s="115"/>
    </row>
    <row r="34" customFormat="false" ht="12" hidden="false" customHeight="false" outlineLevel="0" collapsed="false">
      <c r="A34" s="446" t="n">
        <f aca="false">A33+1</f>
        <v>2005</v>
      </c>
      <c r="B34" s="519" t="n">
        <f aca="false">DataDE1!AZ66/DataDE1!AV66</f>
        <v>0.694501036138047</v>
      </c>
      <c r="C34" s="519" t="n">
        <f aca="false">DataDE1!BR66/DataDE1!AV66</f>
        <v>0.305498963861953</v>
      </c>
      <c r="D34" s="518" t="n">
        <f aca="false">DataDE1!BS66/DataDE1!$AV66</f>
        <v>0.0482306959175287</v>
      </c>
      <c r="E34" s="518" t="n">
        <f aca="false">DataDE1!BT66/DataDE1!$AV66</f>
        <v>0.195099985135572</v>
      </c>
      <c r="F34" s="518" t="n">
        <f aca="false">DataDE1!BU66/DataDE1!$AV66</f>
        <v>0.0740510811685188</v>
      </c>
      <c r="G34" s="597" t="n">
        <f aca="false">DataDE1!BW66/DataDE1!$AV66</f>
        <v>-0.0118827983596667</v>
      </c>
      <c r="H34" s="1570" t="n">
        <f aca="false">1-I34</f>
        <v>0.594071846882222</v>
      </c>
      <c r="I34" s="1571" t="n">
        <f aca="false">DataDE1!AY66/DataDE1!AW66</f>
        <v>0.405928153117778</v>
      </c>
      <c r="J34" s="1572" t="n">
        <f aca="false">B34*TableDE9!$F64</f>
        <v>0.413336594453667</v>
      </c>
      <c r="K34" s="519" t="n">
        <f aca="false">C34*TableDE9!$F64</f>
        <v>0.181819601067843</v>
      </c>
      <c r="L34" s="518" t="n">
        <f aca="false">D34*TableDE9!$F64</f>
        <v>0.0287047974896312</v>
      </c>
      <c r="M34" s="518" t="n">
        <f aca="false">E34*TableDE9!$F64</f>
        <v>0.11611496489959</v>
      </c>
      <c r="N34" s="518" t="n">
        <f aca="false">F34*TableDE9!$F64</f>
        <v>0.0440719597425102</v>
      </c>
      <c r="O34" s="1573" t="n">
        <f aca="false">G34*TableDE9!$F64</f>
        <v>-0.00707212106388846</v>
      </c>
      <c r="P34" s="580"/>
      <c r="Q34" s="115"/>
    </row>
    <row r="35" customFormat="false" ht="12" hidden="false" customHeight="false" outlineLevel="0" collapsed="false">
      <c r="A35" s="446" t="n">
        <f aca="false">A34+1</f>
        <v>2006</v>
      </c>
      <c r="B35" s="519" t="n">
        <f aca="false">DataDE1!AZ67/DataDE1!AV67</f>
        <v>0.673749262806403</v>
      </c>
      <c r="C35" s="519" t="n">
        <f aca="false">DataDE1!BR67/DataDE1!AV67</f>
        <v>0.326250737193597</v>
      </c>
      <c r="D35" s="518" t="n">
        <f aca="false">DataDE1!BS67/DataDE1!$AV67</f>
        <v>0.0565915490617914</v>
      </c>
      <c r="E35" s="518" t="n">
        <f aca="false">DataDE1!BT67/DataDE1!$AV67</f>
        <v>0.192434524748939</v>
      </c>
      <c r="F35" s="518" t="n">
        <f aca="false">DataDE1!BU67/DataDE1!$AV67</f>
        <v>0.0962297219845668</v>
      </c>
      <c r="G35" s="597" t="n">
        <f aca="false">DataDE1!BW67/DataDE1!$AV67</f>
        <v>-0.0190050586016995</v>
      </c>
      <c r="H35" s="1570" t="n">
        <f aca="false">1-I35</f>
        <v>0.578800896259402</v>
      </c>
      <c r="I35" s="1571" t="n">
        <f aca="false">DataDE1!AY67/DataDE1!AW67</f>
        <v>0.421199103740599</v>
      </c>
      <c r="J35" s="1572" t="n">
        <f aca="false">B35*TableDE9!$F65</f>
        <v>0.400513529527948</v>
      </c>
      <c r="K35" s="519" t="n">
        <f aca="false">C35*TableDE9!$F65</f>
        <v>0.193941339127</v>
      </c>
      <c r="L35" s="518" t="n">
        <f aca="false">D35*TableDE9!$F65</f>
        <v>0.0336411218645072</v>
      </c>
      <c r="M35" s="518" t="n">
        <f aca="false">E35*TableDE9!$F65</f>
        <v>0.114393640134308</v>
      </c>
      <c r="N35" s="518" t="n">
        <f aca="false">F35*TableDE9!$F65</f>
        <v>0.0572042267430378</v>
      </c>
      <c r="O35" s="1573" t="n">
        <f aca="false">G35*TableDE9!$F65</f>
        <v>-0.0112976496148529</v>
      </c>
      <c r="P35" s="580"/>
      <c r="Q35" s="115"/>
    </row>
    <row r="36" customFormat="false" ht="12" hidden="false" customHeight="false" outlineLevel="0" collapsed="false">
      <c r="A36" s="446" t="n">
        <f aca="false">A35+1</f>
        <v>2007</v>
      </c>
      <c r="B36" s="519" t="n">
        <f aca="false">DataDE1!AZ68/DataDE1!AV68</f>
        <v>0.66068236820044</v>
      </c>
      <c r="C36" s="519" t="n">
        <f aca="false">DataDE1!BR68/DataDE1!AV68</f>
        <v>0.33931763179956</v>
      </c>
      <c r="D36" s="518" t="n">
        <f aca="false">DataDE1!BS68/DataDE1!$AV68</f>
        <v>0.0564053083627276</v>
      </c>
      <c r="E36" s="518" t="n">
        <f aca="false">DataDE1!BT68/DataDE1!$AV68</f>
        <v>0.196429983707945</v>
      </c>
      <c r="F36" s="518" t="n">
        <f aca="false">DataDE1!BU68/DataDE1!$AV68</f>
        <v>0.105083753815979</v>
      </c>
      <c r="G36" s="597" t="n">
        <f aca="false">DataDE1!BW68/DataDE1!$AV68</f>
        <v>-0.0186014140870913</v>
      </c>
      <c r="H36" s="1570" t="n">
        <f aca="false">1-I36</f>
        <v>0.5682818484228</v>
      </c>
      <c r="I36" s="1571" t="n">
        <f aca="false">DataDE1!AY68/DataDE1!AW68</f>
        <v>0.4317181515772</v>
      </c>
      <c r="J36" s="1572" t="n">
        <f aca="false">B36*TableDE9!$F66</f>
        <v>0.394419263456091</v>
      </c>
      <c r="K36" s="519" t="n">
        <f aca="false">C36*TableDE9!$F66</f>
        <v>0.202568460812087</v>
      </c>
      <c r="L36" s="518" t="n">
        <f aca="false">D36*TableDE9!$F66</f>
        <v>0.0336732766761095</v>
      </c>
      <c r="M36" s="518" t="n">
        <f aca="false">E36*TableDE9!$F66</f>
        <v>0.117266288951841</v>
      </c>
      <c r="N36" s="518" t="n">
        <f aca="false">F36*TableDE9!$F66</f>
        <v>0.0627337110481586</v>
      </c>
      <c r="O36" s="1573" t="n">
        <f aca="false">G36*TableDE9!$F66</f>
        <v>-0.0111048158640227</v>
      </c>
      <c r="P36" s="580"/>
      <c r="Q36" s="115"/>
    </row>
    <row r="37" customFormat="false" ht="12" hidden="false" customHeight="false" outlineLevel="0" collapsed="false">
      <c r="A37" s="446" t="n">
        <f aca="false">A36+1</f>
        <v>2008</v>
      </c>
      <c r="B37" s="519" t="n">
        <f aca="false">DataDE1!AZ69/DataDE1!AV69</f>
        <v>0.681796734924979</v>
      </c>
      <c r="C37" s="519" t="n">
        <f aca="false">DataDE1!BR69/DataDE1!AV69</f>
        <v>0.318203265075021</v>
      </c>
      <c r="D37" s="518" t="n">
        <f aca="false">DataDE1!BS69/DataDE1!$AV69</f>
        <v>0.0520823503507282</v>
      </c>
      <c r="E37" s="518" t="n">
        <f aca="false">DataDE1!BT69/DataDE1!$AV69</f>
        <v>0.216177534522349</v>
      </c>
      <c r="F37" s="518" t="n">
        <f aca="false">DataDE1!BU69/DataDE1!$AV69</f>
        <v>0.0749190022333366</v>
      </c>
      <c r="G37" s="597" t="n">
        <f aca="false">DataDE1!BW69/DataDE1!$AV69</f>
        <v>-0.0249756220313925</v>
      </c>
      <c r="H37" s="1570" t="n">
        <f aca="false">1-I37</f>
        <v>0.583037443511943</v>
      </c>
      <c r="I37" s="1571" t="n">
        <f aca="false">DataDE1!AY69/DataDE1!AW69</f>
        <v>0.416962556488057</v>
      </c>
      <c r="J37" s="1572" t="n">
        <f aca="false">B37*TableDE9!$F67</f>
        <v>0.405251915247662</v>
      </c>
      <c r="K37" s="519" t="n">
        <f aca="false">C37*TableDE9!$F67</f>
        <v>0.189136257192404</v>
      </c>
      <c r="L37" s="518" t="n">
        <f aca="false">D37*TableDE9!$F67</f>
        <v>0.0309571330413525</v>
      </c>
      <c r="M37" s="518" t="n">
        <f aca="false">E37*TableDE9!$F67</f>
        <v>0.128493369667338</v>
      </c>
      <c r="N37" s="518" t="n">
        <f aca="false">F37*TableDE9!$F67</f>
        <v>0.0445309688185061</v>
      </c>
      <c r="O37" s="1573" t="n">
        <f aca="false">G37*TableDE9!$F67</f>
        <v>-0.0148452143347932</v>
      </c>
      <c r="P37" s="580"/>
      <c r="Q37" s="115"/>
    </row>
    <row r="38" customFormat="false" ht="12" hidden="false" customHeight="false" outlineLevel="0" collapsed="false">
      <c r="A38" s="446" t="n">
        <f aca="false">A37+1</f>
        <v>2009</v>
      </c>
      <c r="B38" s="519" t="n">
        <f aca="false">DataDE1!AZ70/DataDE1!AV70</f>
        <v>0.723488887760456</v>
      </c>
      <c r="C38" s="519" t="n">
        <f aca="false">DataDE1!BR70/DataDE1!AV70</f>
        <v>0.276511112239544</v>
      </c>
      <c r="D38" s="518" t="n">
        <f aca="false">DataDE1!BS70/DataDE1!$AV70</f>
        <v>0.039938049052963</v>
      </c>
      <c r="E38" s="518" t="n">
        <f aca="false">DataDE1!BT70/DataDE1!$AV70</f>
        <v>0.207899592071633</v>
      </c>
      <c r="F38" s="518" t="n">
        <f aca="false">DataDE1!BU70/DataDE1!$AV70</f>
        <v>0.0575751836476889</v>
      </c>
      <c r="G38" s="597" t="n">
        <f aca="false">DataDE1!BW70/DataDE1!$AV70</f>
        <v>-0.0289017125327411</v>
      </c>
      <c r="H38" s="1570" t="n">
        <f aca="false">1-I38</f>
        <v>0.610348348219704</v>
      </c>
      <c r="I38" s="1571" t="n">
        <f aca="false">DataDE1!AY70/DataDE1!AW70</f>
        <v>0.389651651780296</v>
      </c>
      <c r="J38" s="1572" t="n">
        <f aca="false">B38*TableDE9!$F68</f>
        <v>0.416728414320256</v>
      </c>
      <c r="K38" s="519" t="n">
        <f aca="false">C38*TableDE9!$F68</f>
        <v>0.159269947741986</v>
      </c>
      <c r="L38" s="518" t="n">
        <f aca="false">D38*TableDE9!$F68</f>
        <v>0.0230042508384681</v>
      </c>
      <c r="M38" s="518" t="n">
        <f aca="false">E38*TableDE9!$F68</f>
        <v>0.119749824506669</v>
      </c>
      <c r="N38" s="518" t="n">
        <f aca="false">F38*TableDE9!$F68</f>
        <v>0.0331632114765015</v>
      </c>
      <c r="O38" s="1573" t="n">
        <f aca="false">G38*TableDE9!$F68</f>
        <v>-0.0166473390796526</v>
      </c>
      <c r="P38" s="580"/>
      <c r="Q38" s="115"/>
    </row>
    <row r="39" customFormat="false" ht="12" hidden="false" customHeight="false" outlineLevel="0" collapsed="false">
      <c r="A39" s="542" t="n">
        <f aca="false">A38+1</f>
        <v>2010</v>
      </c>
      <c r="B39" s="526" t="n">
        <f aca="false">DataDE1!AZ71/DataDE1!AV71</f>
        <v>0.694520721893303</v>
      </c>
      <c r="C39" s="526" t="n">
        <f aca="false">DataDE1!BR71/DataDE1!AV71</f>
        <v>0.305479278106697</v>
      </c>
      <c r="D39" s="525" t="n">
        <f aca="false">DataDE1!BS71/DataDE1!$AV71</f>
        <v>0.0434755003888827</v>
      </c>
      <c r="E39" s="525" t="n">
        <f aca="false">DataDE1!BT71/DataDE1!$AV71</f>
        <v>0.203060268884621</v>
      </c>
      <c r="F39" s="525" t="n">
        <f aca="false">DataDE1!BU71/DataDE1!$AV71</f>
        <v>0.0843086265655764</v>
      </c>
      <c r="G39" s="1579" t="n">
        <f aca="false">DataDE1!BW71/DataDE1!$AV71</f>
        <v>-0.0253651177323833</v>
      </c>
      <c r="H39" s="1580" t="n">
        <f aca="false">1-I39</f>
        <v>0.590452735982727</v>
      </c>
      <c r="I39" s="1581" t="n">
        <f aca="false">DataDE1!AY71/DataDE1!AW71</f>
        <v>0.409547264017273</v>
      </c>
      <c r="J39" s="1582" t="n">
        <f aca="false">B39*TableDE9!$F69</f>
        <v>0.40777517869957</v>
      </c>
      <c r="K39" s="526" t="n">
        <f aca="false">C39*TableDE9!$F69</f>
        <v>0.179356588352609</v>
      </c>
      <c r="L39" s="525" t="n">
        <f aca="false">D39*TableDE9!$F69</f>
        <v>0.0255258473668024</v>
      </c>
      <c r="M39" s="525" t="n">
        <f aca="false">E39*TableDE9!$F69</f>
        <v>0.119223134488318</v>
      </c>
      <c r="N39" s="525" t="n">
        <f aca="false">F39*TableDE9!$F69</f>
        <v>0.0495002728931892</v>
      </c>
      <c r="O39" s="1583" t="n">
        <f aca="false">G39*TableDE9!$F69</f>
        <v>-0.0148926663957008</v>
      </c>
      <c r="P39" s="580"/>
      <c r="Q39" s="115"/>
    </row>
    <row r="40" customFormat="false" ht="13" hidden="false" customHeight="false" outlineLevel="0" collapsed="false">
      <c r="A40" s="449" t="n">
        <f aca="false">A39+1</f>
        <v>2011</v>
      </c>
      <c r="B40" s="548" t="n">
        <f aca="false">DataDE1!AZ72/DataDE1!AV72</f>
        <v>0.699134809620002</v>
      </c>
      <c r="C40" s="548" t="n">
        <f aca="false">DataDE1!BR72/DataDE1!AV72</f>
        <v>0.300865190379998</v>
      </c>
      <c r="D40" s="605" t="n">
        <f aca="false">DataDE1!BS72/DataDE1!$AV72</f>
        <v>0.0505393147082365</v>
      </c>
      <c r="E40" s="605" t="n">
        <f aca="false">DataDE1!BT72/DataDE1!$AV72</f>
        <v>0.221138087433777</v>
      </c>
      <c r="F40" s="605" t="n">
        <f aca="false">DataDE1!BU72/DataDE1!$AV72</f>
        <v>0.0561802035293669</v>
      </c>
      <c r="G40" s="606" t="n">
        <f aca="false">DataDE1!BW72/DataDE1!$AV72</f>
        <v>-0.0269924152913824</v>
      </c>
      <c r="H40" s="1584" t="n">
        <f aca="false">1-I40</f>
        <v>0.596561749956095</v>
      </c>
      <c r="I40" s="1585" t="n">
        <f aca="false">DataDE1!AY72/DataDE1!AW72</f>
        <v>0.403438250043905</v>
      </c>
      <c r="J40" s="1586" t="n">
        <f aca="false">B40*TableDE9!$F70</f>
        <v>0.411522412168529</v>
      </c>
      <c r="K40" s="548" t="n">
        <f aca="false">C40*TableDE9!$F70</f>
        <v>0.17709427020236</v>
      </c>
      <c r="L40" s="605" t="n">
        <f aca="false">D40*TableDE9!$F70</f>
        <v>0.0297482837528604</v>
      </c>
      <c r="M40" s="605" t="n">
        <f aca="false">E40*TableDE9!$F70</f>
        <v>0.130165567371113</v>
      </c>
      <c r="N40" s="605" t="n">
        <f aca="false">F40*TableDE9!$F70</f>
        <v>0.0330686050163773</v>
      </c>
      <c r="O40" s="1587" t="n">
        <f aca="false">G40*TableDE9!$F70</f>
        <v>-0.0158881859379908</v>
      </c>
      <c r="P40" s="115"/>
      <c r="Q40" s="115"/>
    </row>
    <row r="41" customFormat="false" ht="13" hidden="false" customHeight="false" outlineLevel="0" collapsed="false">
      <c r="B41" s="197"/>
      <c r="C41" s="197"/>
      <c r="D41" s="197"/>
      <c r="E41" s="197"/>
      <c r="F41" s="1510"/>
      <c r="G41" s="197"/>
      <c r="H41" s="197"/>
      <c r="I41" s="1588"/>
      <c r="J41" s="197"/>
      <c r="K41" s="197"/>
      <c r="L41" s="197"/>
      <c r="M41" s="197"/>
      <c r="N41" s="1510"/>
      <c r="O41" s="115"/>
      <c r="P41" s="115"/>
      <c r="Q41" s="115"/>
    </row>
    <row r="42" customFormat="false" ht="12" hidden="false" customHeight="false" outlineLevel="0" collapsed="false">
      <c r="B42" s="197"/>
      <c r="C42" s="197"/>
      <c r="D42" s="197"/>
      <c r="E42" s="197"/>
      <c r="F42" s="1510"/>
      <c r="G42" s="197"/>
      <c r="H42" s="197"/>
      <c r="I42" s="1588"/>
      <c r="J42" s="197"/>
      <c r="K42" s="197"/>
      <c r="L42" s="197"/>
      <c r="M42" s="197"/>
      <c r="N42" s="1510"/>
      <c r="O42" s="115"/>
      <c r="P42" s="115"/>
      <c r="Q42" s="115"/>
    </row>
    <row r="43" customFormat="false" ht="12" hidden="false" customHeight="false" outlineLevel="0" collapsed="false">
      <c r="B43" s="197"/>
      <c r="C43" s="197"/>
      <c r="D43" s="197"/>
      <c r="E43" s="197"/>
      <c r="F43" s="197"/>
      <c r="G43" s="197"/>
      <c r="H43" s="197"/>
      <c r="I43" s="1588"/>
      <c r="J43" s="197"/>
      <c r="K43" s="197"/>
      <c r="L43" s="197"/>
      <c r="M43" s="197"/>
      <c r="N43" s="197"/>
      <c r="O43" s="115"/>
      <c r="P43" s="115"/>
      <c r="Q43" s="115"/>
    </row>
    <row r="44" customFormat="false" ht="12" hidden="false" customHeight="false" outlineLevel="0" collapsed="false">
      <c r="B44" s="197"/>
      <c r="C44" s="197"/>
      <c r="D44" s="197"/>
      <c r="E44" s="197"/>
      <c r="F44" s="197"/>
      <c r="G44" s="197"/>
      <c r="H44" s="197"/>
      <c r="I44" s="1588"/>
      <c r="J44" s="197"/>
      <c r="K44" s="197"/>
      <c r="L44" s="197"/>
      <c r="M44" s="197"/>
      <c r="N44" s="197"/>
      <c r="O44" s="115"/>
      <c r="P44" s="115"/>
      <c r="Q44" s="115"/>
    </row>
    <row r="45" customFormat="false" ht="12" hidden="false" customHeight="false" outlineLevel="0" collapsed="false">
      <c r="B45" s="197"/>
      <c r="C45" s="197"/>
      <c r="D45" s="197"/>
      <c r="E45" s="197"/>
      <c r="F45" s="197"/>
      <c r="G45" s="197"/>
      <c r="H45" s="197"/>
      <c r="I45" s="1588"/>
      <c r="J45" s="197"/>
      <c r="K45" s="197"/>
      <c r="L45" s="197"/>
      <c r="M45" s="197"/>
      <c r="N45" s="197"/>
      <c r="O45" s="115"/>
      <c r="P45" s="115"/>
      <c r="Q45" s="115"/>
    </row>
    <row r="46" customFormat="false" ht="12" hidden="false" customHeight="false" outlineLevel="0" collapsed="false">
      <c r="B46" s="197"/>
      <c r="C46" s="197"/>
      <c r="D46" s="197"/>
      <c r="E46" s="197"/>
      <c r="F46" s="197"/>
      <c r="G46" s="197"/>
      <c r="H46" s="197"/>
      <c r="I46" s="1588"/>
      <c r="J46" s="197"/>
      <c r="K46" s="197"/>
      <c r="L46" s="197"/>
      <c r="M46" s="197"/>
      <c r="N46" s="197"/>
      <c r="O46" s="115"/>
      <c r="P46" s="115"/>
      <c r="Q46" s="115"/>
    </row>
    <row r="47" customFormat="false" ht="12" hidden="false" customHeight="false" outlineLevel="0" collapsed="false">
      <c r="B47" s="197"/>
      <c r="C47" s="197"/>
      <c r="D47" s="197"/>
      <c r="E47" s="197"/>
      <c r="F47" s="197"/>
      <c r="G47" s="197"/>
      <c r="H47" s="197"/>
      <c r="I47" s="1588"/>
      <c r="J47" s="197"/>
      <c r="K47" s="197"/>
      <c r="L47" s="197"/>
      <c r="M47" s="197"/>
      <c r="N47" s="197"/>
      <c r="O47" s="115"/>
      <c r="P47" s="115"/>
      <c r="Q47" s="115"/>
    </row>
    <row r="48" customFormat="false" ht="12" hidden="false" customHeight="false" outlineLevel="0" collapsed="false">
      <c r="B48" s="197"/>
      <c r="C48" s="197"/>
      <c r="D48" s="197"/>
      <c r="E48" s="197"/>
      <c r="F48" s="197"/>
      <c r="G48" s="197"/>
      <c r="H48" s="197"/>
      <c r="I48" s="1588"/>
      <c r="J48" s="197"/>
      <c r="K48" s="197"/>
      <c r="L48" s="197"/>
      <c r="M48" s="197"/>
      <c r="N48" s="197"/>
      <c r="O48" s="115"/>
      <c r="P48" s="115"/>
      <c r="Q48" s="115"/>
    </row>
    <row r="49" customFormat="false" ht="12" hidden="false" customHeight="false" outlineLevel="0" collapsed="false">
      <c r="B49" s="197"/>
      <c r="C49" s="197"/>
      <c r="D49" s="197"/>
      <c r="E49" s="197"/>
      <c r="F49" s="197"/>
      <c r="G49" s="197"/>
      <c r="H49" s="197"/>
      <c r="I49" s="1588"/>
      <c r="J49" s="197"/>
      <c r="K49" s="197"/>
      <c r="L49" s="197"/>
      <c r="M49" s="197"/>
      <c r="N49" s="197"/>
      <c r="O49" s="115"/>
      <c r="P49" s="115"/>
      <c r="Q49" s="115"/>
    </row>
    <row r="50" customFormat="false" ht="12" hidden="false" customHeight="false" outlineLevel="0" collapsed="false">
      <c r="B50" s="197"/>
      <c r="C50" s="197"/>
      <c r="D50" s="197"/>
      <c r="E50" s="197"/>
      <c r="F50" s="197"/>
      <c r="G50" s="197"/>
      <c r="H50" s="197"/>
      <c r="I50" s="1588"/>
      <c r="J50" s="197"/>
      <c r="K50" s="197"/>
      <c r="L50" s="197"/>
      <c r="M50" s="197"/>
      <c r="N50" s="197"/>
      <c r="O50" s="115"/>
      <c r="P50" s="115"/>
      <c r="Q50" s="115"/>
    </row>
    <row r="51" customFormat="false" ht="12" hidden="false" customHeight="false" outlineLevel="0" collapsed="false">
      <c r="B51" s="197"/>
      <c r="C51" s="197"/>
      <c r="D51" s="197"/>
      <c r="E51" s="197"/>
      <c r="F51" s="197"/>
      <c r="G51" s="197"/>
      <c r="H51" s="197"/>
      <c r="I51" s="1588"/>
      <c r="J51" s="197"/>
      <c r="K51" s="197"/>
      <c r="L51" s="197"/>
      <c r="M51" s="197"/>
      <c r="N51" s="197"/>
      <c r="O51" s="115"/>
      <c r="P51" s="115"/>
      <c r="Q51" s="115"/>
    </row>
    <row r="52" customFormat="false" ht="12" hidden="false" customHeight="false" outlineLevel="0" collapsed="false">
      <c r="B52" s="197"/>
      <c r="C52" s="197"/>
      <c r="D52" s="197"/>
      <c r="E52" s="197"/>
      <c r="F52" s="197"/>
      <c r="G52" s="197"/>
      <c r="H52" s="197"/>
      <c r="I52" s="1588"/>
      <c r="J52" s="197"/>
      <c r="K52" s="197"/>
      <c r="L52" s="197"/>
      <c r="M52" s="197"/>
      <c r="N52" s="197"/>
      <c r="O52" s="115"/>
      <c r="P52" s="115"/>
      <c r="Q52" s="115"/>
    </row>
    <row r="53" customFormat="false" ht="12" hidden="false" customHeight="false" outlineLevel="0" collapsed="false">
      <c r="B53" s="197"/>
      <c r="C53" s="197"/>
      <c r="D53" s="197"/>
      <c r="E53" s="197"/>
      <c r="F53" s="197"/>
      <c r="G53" s="197"/>
      <c r="H53" s="197"/>
      <c r="I53" s="1588"/>
      <c r="J53" s="197"/>
      <c r="K53" s="197"/>
      <c r="L53" s="197"/>
      <c r="M53" s="197"/>
      <c r="N53" s="197"/>
      <c r="O53" s="197"/>
      <c r="P53" s="197"/>
      <c r="Q53" s="197"/>
    </row>
    <row r="54" customFormat="false" ht="12" hidden="false" customHeight="false" outlineLevel="0" collapsed="false">
      <c r="B54" s="197"/>
      <c r="C54" s="197"/>
      <c r="D54" s="197"/>
      <c r="E54" s="197"/>
      <c r="F54" s="197"/>
      <c r="G54" s="197"/>
      <c r="H54" s="197"/>
      <c r="I54" s="1588"/>
      <c r="J54" s="197"/>
      <c r="K54" s="197"/>
      <c r="L54" s="197"/>
      <c r="M54" s="197"/>
      <c r="N54" s="197"/>
      <c r="O54" s="197"/>
      <c r="P54" s="197"/>
      <c r="Q54" s="197"/>
    </row>
    <row r="55" customFormat="false" ht="12" hidden="false" customHeight="false" outlineLevel="0" collapsed="false">
      <c r="B55" s="197"/>
      <c r="C55" s="197"/>
      <c r="D55" s="197"/>
      <c r="E55" s="197"/>
      <c r="F55" s="197"/>
      <c r="G55" s="197"/>
      <c r="H55" s="197"/>
      <c r="I55" s="1588"/>
      <c r="J55" s="197"/>
      <c r="K55" s="197"/>
      <c r="L55" s="197"/>
      <c r="M55" s="197"/>
      <c r="N55" s="197"/>
      <c r="O55" s="197"/>
      <c r="P55" s="197"/>
      <c r="Q55" s="197"/>
    </row>
    <row r="56" customFormat="false" ht="12" hidden="false" customHeight="false" outlineLevel="0" collapsed="false">
      <c r="B56" s="197"/>
      <c r="C56" s="197"/>
      <c r="D56" s="197"/>
      <c r="E56" s="197"/>
      <c r="F56" s="197"/>
      <c r="G56" s="197"/>
      <c r="H56" s="197"/>
      <c r="I56" s="1588"/>
      <c r="J56" s="197"/>
      <c r="K56" s="197"/>
      <c r="L56" s="197"/>
      <c r="M56" s="197"/>
      <c r="N56" s="197"/>
      <c r="O56" s="197"/>
      <c r="P56" s="197"/>
      <c r="Q56" s="197"/>
    </row>
    <row r="57" customFormat="false" ht="12" hidden="false" customHeight="false" outlineLevel="0" collapsed="false">
      <c r="B57" s="197"/>
      <c r="C57" s="197"/>
      <c r="D57" s="197"/>
      <c r="E57" s="197"/>
      <c r="F57" s="197"/>
      <c r="G57" s="197"/>
      <c r="H57" s="197"/>
      <c r="I57" s="1588"/>
      <c r="J57" s="197"/>
      <c r="K57" s="197"/>
      <c r="L57" s="197"/>
      <c r="M57" s="197"/>
      <c r="N57" s="197"/>
      <c r="O57" s="197"/>
      <c r="P57" s="197"/>
      <c r="Q57" s="197"/>
    </row>
    <row r="58" customFormat="false" ht="12" hidden="false" customHeight="false" outlineLevel="0" collapsed="false">
      <c r="B58" s="197"/>
      <c r="C58" s="197"/>
      <c r="D58" s="197"/>
      <c r="E58" s="197"/>
      <c r="F58" s="197"/>
      <c r="G58" s="197"/>
      <c r="H58" s="197"/>
      <c r="I58" s="1588"/>
      <c r="J58" s="197"/>
      <c r="K58" s="197"/>
      <c r="L58" s="197"/>
      <c r="M58" s="197"/>
      <c r="N58" s="197"/>
      <c r="O58" s="197"/>
      <c r="P58" s="197"/>
      <c r="Q58" s="197"/>
    </row>
    <row r="59" customFormat="false" ht="12" hidden="false" customHeight="false" outlineLevel="0" collapsed="false">
      <c r="B59" s="197"/>
      <c r="C59" s="197"/>
      <c r="D59" s="197"/>
      <c r="E59" s="197"/>
      <c r="F59" s="197"/>
      <c r="G59" s="197"/>
      <c r="H59" s="197"/>
      <c r="I59" s="1588"/>
      <c r="J59" s="197"/>
      <c r="K59" s="197"/>
      <c r="L59" s="197"/>
      <c r="M59" s="197"/>
      <c r="N59" s="197"/>
      <c r="O59" s="197"/>
      <c r="P59" s="197"/>
      <c r="Q59" s="197"/>
    </row>
    <row r="60" customFormat="false" ht="12" hidden="false" customHeight="false" outlineLevel="0" collapsed="false">
      <c r="B60" s="197"/>
      <c r="C60" s="197"/>
      <c r="D60" s="197"/>
      <c r="E60" s="197"/>
      <c r="F60" s="197"/>
      <c r="G60" s="197"/>
      <c r="H60" s="197"/>
      <c r="I60" s="1588"/>
      <c r="J60" s="197"/>
      <c r="K60" s="197"/>
      <c r="L60" s="197"/>
      <c r="M60" s="197"/>
      <c r="N60" s="197"/>
      <c r="O60" s="197"/>
      <c r="P60" s="197"/>
      <c r="Q60" s="197"/>
    </row>
    <row r="61" customFormat="false" ht="12" hidden="false" customHeight="false" outlineLevel="0" collapsed="false">
      <c r="B61" s="197"/>
      <c r="C61" s="197"/>
      <c r="D61" s="197"/>
      <c r="E61" s="197"/>
      <c r="F61" s="197"/>
      <c r="G61" s="197"/>
      <c r="H61" s="197"/>
      <c r="I61" s="1588"/>
      <c r="J61" s="197"/>
      <c r="K61" s="197"/>
      <c r="L61" s="197"/>
      <c r="M61" s="197"/>
      <c r="N61" s="197"/>
      <c r="O61" s="197"/>
      <c r="P61" s="197"/>
      <c r="Q61" s="197"/>
    </row>
    <row r="62" customFormat="false" ht="12" hidden="false" customHeight="false" outlineLevel="0" collapsed="false">
      <c r="B62" s="197"/>
      <c r="C62" s="197"/>
      <c r="D62" s="197"/>
      <c r="E62" s="197"/>
      <c r="F62" s="197"/>
      <c r="G62" s="197"/>
      <c r="H62" s="197"/>
      <c r="I62" s="1588"/>
      <c r="J62" s="197"/>
      <c r="K62" s="197"/>
      <c r="L62" s="197"/>
      <c r="M62" s="197"/>
      <c r="N62" s="197"/>
      <c r="O62" s="197"/>
      <c r="P62" s="197"/>
      <c r="Q62" s="197"/>
    </row>
    <row r="63" customFormat="false" ht="12" hidden="false" customHeight="false" outlineLevel="0" collapsed="false">
      <c r="B63" s="197"/>
      <c r="C63" s="197"/>
      <c r="D63" s="197"/>
      <c r="E63" s="197"/>
      <c r="F63" s="197"/>
      <c r="G63" s="197"/>
      <c r="H63" s="197"/>
      <c r="I63" s="1588"/>
      <c r="J63" s="197"/>
      <c r="K63" s="197"/>
      <c r="L63" s="197"/>
      <c r="M63" s="197"/>
      <c r="N63" s="197"/>
      <c r="O63" s="197"/>
      <c r="P63" s="197"/>
      <c r="Q63" s="197"/>
    </row>
    <row r="64" customFormat="false" ht="12" hidden="false" customHeight="false" outlineLevel="0" collapsed="false">
      <c r="B64" s="197"/>
      <c r="C64" s="197"/>
      <c r="D64" s="197"/>
      <c r="E64" s="197"/>
      <c r="F64" s="197"/>
      <c r="G64" s="197"/>
      <c r="H64" s="197"/>
      <c r="I64" s="1588"/>
      <c r="J64" s="197"/>
      <c r="K64" s="197"/>
      <c r="L64" s="197"/>
      <c r="M64" s="197"/>
      <c r="N64" s="197"/>
      <c r="O64" s="197"/>
      <c r="P64" s="197"/>
      <c r="Q64" s="197"/>
    </row>
    <row r="65" customFormat="false" ht="12" hidden="false" customHeight="false" outlineLevel="0" collapsed="false">
      <c r="B65" s="197"/>
      <c r="C65" s="197"/>
      <c r="D65" s="197"/>
      <c r="E65" s="197"/>
      <c r="F65" s="197"/>
      <c r="G65" s="197"/>
      <c r="H65" s="197"/>
      <c r="I65" s="1588"/>
      <c r="J65" s="197"/>
      <c r="K65" s="197"/>
      <c r="L65" s="197"/>
      <c r="M65" s="197"/>
      <c r="N65" s="197"/>
      <c r="O65" s="197"/>
      <c r="P65" s="197"/>
      <c r="Q65" s="197"/>
    </row>
    <row r="66" customFormat="false" ht="12" hidden="false" customHeight="false" outlineLevel="0" collapsed="false">
      <c r="B66" s="197"/>
      <c r="C66" s="197"/>
      <c r="D66" s="197"/>
      <c r="E66" s="197"/>
      <c r="F66" s="197"/>
      <c r="G66" s="197"/>
      <c r="H66" s="197"/>
      <c r="I66" s="1588"/>
      <c r="J66" s="197"/>
      <c r="K66" s="197"/>
      <c r="L66" s="197"/>
      <c r="M66" s="197"/>
      <c r="N66" s="197"/>
      <c r="O66" s="197"/>
      <c r="P66" s="197"/>
      <c r="Q66" s="197"/>
    </row>
    <row r="67" customFormat="false" ht="12" hidden="false" customHeight="false" outlineLevel="0" collapsed="false">
      <c r="B67" s="197"/>
      <c r="C67" s="197"/>
      <c r="D67" s="197"/>
      <c r="E67" s="197"/>
      <c r="F67" s="197"/>
      <c r="G67" s="197"/>
      <c r="H67" s="197"/>
      <c r="I67" s="1588"/>
      <c r="J67" s="197"/>
      <c r="K67" s="197"/>
      <c r="L67" s="197"/>
      <c r="M67" s="197"/>
      <c r="N67" s="197"/>
      <c r="O67" s="197"/>
      <c r="P67" s="197"/>
      <c r="Q67" s="197"/>
    </row>
    <row r="68" customFormat="false" ht="12" hidden="false" customHeight="false" outlineLevel="0" collapsed="false">
      <c r="B68" s="197"/>
      <c r="C68" s="197"/>
      <c r="D68" s="197"/>
      <c r="E68" s="197"/>
      <c r="F68" s="197"/>
      <c r="G68" s="197"/>
      <c r="H68" s="197"/>
      <c r="I68" s="1588"/>
      <c r="J68" s="197"/>
      <c r="K68" s="197"/>
      <c r="L68" s="197"/>
      <c r="M68" s="197"/>
      <c r="N68" s="197"/>
      <c r="O68" s="197"/>
      <c r="P68" s="197"/>
      <c r="Q68" s="197"/>
    </row>
    <row r="69" customFormat="false" ht="12" hidden="false" customHeight="false" outlineLevel="0" collapsed="false">
      <c r="B69" s="197"/>
      <c r="C69" s="197"/>
      <c r="D69" s="197"/>
      <c r="E69" s="197"/>
      <c r="F69" s="197"/>
      <c r="G69" s="197"/>
      <c r="H69" s="197"/>
      <c r="I69" s="1588"/>
      <c r="J69" s="197"/>
      <c r="K69" s="197"/>
      <c r="L69" s="197"/>
      <c r="M69" s="197"/>
      <c r="N69" s="197"/>
      <c r="O69" s="197"/>
      <c r="P69" s="197"/>
      <c r="Q69" s="197"/>
    </row>
    <row r="70" customFormat="false" ht="12" hidden="false" customHeight="false" outlineLevel="0" collapsed="false">
      <c r="B70" s="197"/>
      <c r="C70" s="197"/>
      <c r="D70" s="197"/>
      <c r="E70" s="197"/>
      <c r="F70" s="197"/>
      <c r="G70" s="197"/>
      <c r="H70" s="197"/>
      <c r="I70" s="1588"/>
      <c r="J70" s="197"/>
      <c r="K70" s="197"/>
      <c r="L70" s="197"/>
      <c r="M70" s="197"/>
      <c r="N70" s="197"/>
      <c r="O70" s="197"/>
      <c r="P70" s="197"/>
      <c r="Q70" s="197"/>
    </row>
    <row r="71" customFormat="false" ht="12" hidden="false" customHeight="false" outlineLevel="0" collapsed="false">
      <c r="B71" s="197"/>
      <c r="C71" s="197"/>
      <c r="D71" s="197"/>
      <c r="E71" s="197"/>
      <c r="F71" s="197"/>
      <c r="G71" s="197"/>
      <c r="H71" s="197"/>
      <c r="I71" s="1588"/>
      <c r="J71" s="197"/>
      <c r="K71" s="197"/>
      <c r="L71" s="197"/>
      <c r="M71" s="197"/>
      <c r="N71" s="197"/>
      <c r="O71" s="197"/>
      <c r="P71" s="197"/>
      <c r="Q71" s="197"/>
    </row>
    <row r="72" customFormat="false" ht="12" hidden="false" customHeight="false" outlineLevel="0" collapsed="false">
      <c r="B72" s="197"/>
      <c r="C72" s="197"/>
      <c r="D72" s="197"/>
      <c r="E72" s="197"/>
      <c r="F72" s="197"/>
      <c r="G72" s="197"/>
      <c r="H72" s="197"/>
      <c r="I72" s="1588"/>
      <c r="J72" s="197"/>
      <c r="K72" s="197"/>
      <c r="L72" s="197"/>
      <c r="M72" s="197"/>
      <c r="N72" s="197"/>
      <c r="O72" s="197"/>
      <c r="P72" s="197"/>
      <c r="Q72" s="197"/>
    </row>
    <row r="73" customFormat="false" ht="12" hidden="false" customHeight="false" outlineLevel="0" collapsed="false">
      <c r="B73" s="197"/>
      <c r="C73" s="197"/>
      <c r="D73" s="197"/>
      <c r="E73" s="197"/>
      <c r="F73" s="197"/>
      <c r="G73" s="197"/>
      <c r="H73" s="197"/>
      <c r="I73" s="1588"/>
      <c r="J73" s="197"/>
      <c r="K73" s="197"/>
      <c r="L73" s="197"/>
      <c r="M73" s="197"/>
      <c r="N73" s="197"/>
      <c r="O73" s="197"/>
      <c r="P73" s="197"/>
      <c r="Q73" s="197"/>
    </row>
    <row r="74" customFormat="false" ht="12" hidden="false" customHeight="false" outlineLevel="0" collapsed="false">
      <c r="B74" s="197"/>
      <c r="C74" s="197"/>
      <c r="D74" s="197"/>
      <c r="E74" s="197"/>
      <c r="F74" s="197"/>
      <c r="G74" s="197"/>
      <c r="H74" s="197"/>
      <c r="I74" s="1588"/>
      <c r="J74" s="197"/>
      <c r="K74" s="197"/>
      <c r="L74" s="197"/>
      <c r="M74" s="197"/>
      <c r="N74" s="197"/>
      <c r="O74" s="197"/>
      <c r="P74" s="197"/>
      <c r="Q74" s="197"/>
    </row>
    <row r="75" customFormat="false" ht="12" hidden="false" customHeight="false" outlineLevel="0" collapsed="false">
      <c r="B75" s="197"/>
      <c r="C75" s="197"/>
      <c r="D75" s="197"/>
      <c r="E75" s="197"/>
      <c r="F75" s="197"/>
      <c r="G75" s="197"/>
      <c r="H75" s="197"/>
      <c r="I75" s="1588"/>
      <c r="J75" s="197"/>
      <c r="K75" s="197"/>
      <c r="L75" s="197"/>
      <c r="M75" s="197"/>
      <c r="N75" s="197"/>
      <c r="O75" s="197"/>
      <c r="P75" s="197"/>
      <c r="Q75" s="197"/>
    </row>
    <row r="76" customFormat="false" ht="12" hidden="false" customHeight="false" outlineLevel="0" collapsed="false">
      <c r="B76" s="197"/>
      <c r="C76" s="197"/>
      <c r="D76" s="197"/>
      <c r="E76" s="197"/>
      <c r="F76" s="197"/>
      <c r="G76" s="197"/>
      <c r="H76" s="197"/>
      <c r="I76" s="1588"/>
      <c r="J76" s="197"/>
      <c r="K76" s="197"/>
      <c r="L76" s="197"/>
      <c r="M76" s="197"/>
      <c r="N76" s="197"/>
      <c r="O76" s="197"/>
      <c r="P76" s="197"/>
      <c r="Q76" s="197"/>
    </row>
    <row r="77" customFormat="false" ht="12" hidden="false" customHeight="false" outlineLevel="0" collapsed="false">
      <c r="B77" s="197"/>
      <c r="C77" s="197"/>
      <c r="D77" s="197"/>
      <c r="E77" s="197"/>
      <c r="F77" s="197"/>
      <c r="G77" s="197"/>
      <c r="H77" s="197"/>
      <c r="I77" s="1588"/>
      <c r="J77" s="197"/>
      <c r="K77" s="197"/>
      <c r="L77" s="197"/>
      <c r="M77" s="197"/>
      <c r="N77" s="197"/>
      <c r="O77" s="197"/>
      <c r="P77" s="197"/>
      <c r="Q77" s="197"/>
    </row>
    <row r="78" customFormat="false" ht="12" hidden="false" customHeight="false" outlineLevel="0" collapsed="false">
      <c r="B78" s="197"/>
      <c r="C78" s="197"/>
      <c r="D78" s="197"/>
      <c r="E78" s="197"/>
      <c r="F78" s="197"/>
      <c r="G78" s="197"/>
      <c r="H78" s="197"/>
      <c r="I78" s="197"/>
      <c r="J78" s="197"/>
      <c r="K78" s="197"/>
      <c r="L78" s="197"/>
      <c r="M78" s="197"/>
      <c r="N78" s="197"/>
      <c r="O78" s="197"/>
      <c r="P78" s="197"/>
      <c r="Q78" s="197"/>
    </row>
    <row r="79" customFormat="false" ht="12" hidden="false" customHeight="false" outlineLevel="0" collapsed="false">
      <c r="B79" s="197"/>
      <c r="C79" s="197"/>
      <c r="D79" s="197"/>
      <c r="E79" s="197"/>
      <c r="F79" s="197"/>
      <c r="G79" s="197"/>
      <c r="H79" s="197"/>
      <c r="I79" s="197"/>
      <c r="J79" s="197"/>
      <c r="K79" s="197"/>
      <c r="L79" s="197"/>
      <c r="M79" s="197"/>
      <c r="N79" s="197"/>
      <c r="O79" s="197"/>
      <c r="P79" s="197"/>
      <c r="Q79" s="197"/>
    </row>
    <row r="80" customFormat="false" ht="12" hidden="false" customHeight="false" outlineLevel="0" collapsed="false">
      <c r="B80" s="197"/>
      <c r="C80" s="197"/>
      <c r="D80" s="197"/>
      <c r="E80" s="197"/>
      <c r="F80" s="197"/>
      <c r="G80" s="197"/>
      <c r="H80" s="197"/>
      <c r="I80" s="197"/>
      <c r="J80" s="197"/>
      <c r="K80" s="197"/>
      <c r="L80" s="197"/>
      <c r="M80" s="197"/>
      <c r="N80" s="197"/>
      <c r="O80" s="197"/>
      <c r="P80" s="197"/>
      <c r="Q80" s="197"/>
    </row>
    <row r="81" customFormat="false" ht="12" hidden="false" customHeight="false" outlineLevel="0" collapsed="false">
      <c r="B81" s="197"/>
      <c r="C81" s="197"/>
      <c r="D81" s="197"/>
      <c r="E81" s="197"/>
      <c r="F81" s="197"/>
      <c r="G81" s="197"/>
      <c r="H81" s="197"/>
      <c r="I81" s="197"/>
      <c r="J81" s="197"/>
      <c r="K81" s="197"/>
      <c r="L81" s="197"/>
      <c r="M81" s="197"/>
      <c r="N81" s="197"/>
      <c r="O81" s="197"/>
      <c r="P81" s="197"/>
      <c r="Q81" s="197"/>
    </row>
    <row r="82" customFormat="false" ht="12" hidden="false" customHeight="false" outlineLevel="0" collapsed="false">
      <c r="B82" s="197"/>
      <c r="C82" s="197"/>
      <c r="D82" s="197"/>
      <c r="E82" s="197"/>
      <c r="F82" s="197"/>
      <c r="G82" s="197"/>
      <c r="H82" s="197"/>
      <c r="I82" s="197"/>
      <c r="J82" s="197"/>
      <c r="K82" s="197"/>
      <c r="L82" s="197"/>
      <c r="M82" s="197"/>
      <c r="N82" s="197"/>
      <c r="O82" s="197"/>
      <c r="P82" s="197"/>
      <c r="Q82" s="197"/>
    </row>
    <row r="83" customFormat="false" ht="12" hidden="false" customHeight="false" outlineLevel="0" collapsed="false">
      <c r="B83" s="197"/>
      <c r="C83" s="197"/>
      <c r="D83" s="197"/>
      <c r="E83" s="197"/>
      <c r="F83" s="197"/>
      <c r="G83" s="197"/>
      <c r="H83" s="197"/>
      <c r="I83" s="197"/>
      <c r="J83" s="197"/>
      <c r="K83" s="197"/>
      <c r="L83" s="197"/>
      <c r="M83" s="197"/>
      <c r="N83" s="197"/>
      <c r="O83" s="197"/>
      <c r="P83" s="197"/>
      <c r="Q83" s="197"/>
    </row>
    <row r="84" customFormat="false" ht="12" hidden="false" customHeight="false" outlineLevel="0" collapsed="false">
      <c r="B84" s="197"/>
      <c r="C84" s="197"/>
      <c r="D84" s="197"/>
      <c r="E84" s="197"/>
      <c r="F84" s="197"/>
      <c r="G84" s="197"/>
      <c r="H84" s="197"/>
      <c r="I84" s="197"/>
      <c r="J84" s="197"/>
      <c r="K84" s="197"/>
      <c r="L84" s="197"/>
      <c r="M84" s="197"/>
      <c r="N84" s="197"/>
      <c r="O84" s="197"/>
      <c r="P84" s="197"/>
      <c r="Q84" s="197"/>
    </row>
    <row r="85" customFormat="false" ht="12" hidden="false" customHeight="false" outlineLevel="0" collapsed="false">
      <c r="B85" s="197"/>
      <c r="C85" s="197"/>
      <c r="D85" s="197"/>
      <c r="E85" s="197"/>
      <c r="F85" s="197"/>
      <c r="G85" s="197"/>
      <c r="H85" s="197"/>
      <c r="I85" s="197"/>
      <c r="J85" s="197"/>
      <c r="K85" s="197"/>
      <c r="L85" s="197"/>
      <c r="M85" s="197"/>
      <c r="N85" s="197"/>
      <c r="O85" s="197"/>
      <c r="P85" s="197"/>
      <c r="Q85" s="197"/>
    </row>
    <row r="86" customFormat="false" ht="12" hidden="false" customHeight="false" outlineLevel="0" collapsed="false">
      <c r="B86" s="197"/>
      <c r="C86" s="197"/>
      <c r="D86" s="197"/>
      <c r="E86" s="197"/>
      <c r="F86" s="197"/>
      <c r="G86" s="197"/>
      <c r="H86" s="197"/>
      <c r="I86" s="197"/>
      <c r="J86" s="197"/>
      <c r="K86" s="197"/>
      <c r="L86" s="197"/>
      <c r="M86" s="197"/>
      <c r="N86" s="197"/>
      <c r="O86" s="197"/>
      <c r="P86" s="197"/>
      <c r="Q86" s="197"/>
    </row>
    <row r="87" customFormat="false" ht="12" hidden="false" customHeight="false" outlineLevel="0" collapsed="false">
      <c r="B87" s="197"/>
      <c r="C87" s="197"/>
      <c r="D87" s="197"/>
      <c r="E87" s="197"/>
      <c r="F87" s="197"/>
      <c r="G87" s="197"/>
      <c r="H87" s="197"/>
      <c r="I87" s="197"/>
      <c r="J87" s="197"/>
      <c r="K87" s="197"/>
      <c r="L87" s="197"/>
      <c r="M87" s="197"/>
      <c r="N87" s="197"/>
      <c r="O87" s="197"/>
      <c r="P87" s="197"/>
      <c r="Q87" s="197"/>
    </row>
    <row r="88" customFormat="false" ht="12" hidden="false" customHeight="false" outlineLevel="0" collapsed="false">
      <c r="B88" s="197"/>
      <c r="C88" s="197"/>
      <c r="D88" s="197"/>
      <c r="E88" s="197"/>
      <c r="F88" s="197"/>
      <c r="G88" s="197"/>
      <c r="H88" s="197"/>
      <c r="I88" s="197"/>
      <c r="J88" s="197"/>
      <c r="K88" s="197"/>
      <c r="L88" s="197"/>
      <c r="M88" s="197"/>
      <c r="N88" s="197"/>
      <c r="O88" s="197"/>
      <c r="P88" s="197"/>
      <c r="Q88" s="197"/>
    </row>
    <row r="89" customFormat="false" ht="12" hidden="false" customHeight="false" outlineLevel="0" collapsed="false">
      <c r="B89" s="197"/>
      <c r="C89" s="197"/>
      <c r="D89" s="197"/>
      <c r="E89" s="197"/>
      <c r="F89" s="197"/>
      <c r="G89" s="197"/>
      <c r="H89" s="197"/>
      <c r="I89" s="197"/>
      <c r="J89" s="197"/>
      <c r="K89" s="197"/>
      <c r="L89" s="197"/>
      <c r="M89" s="197"/>
      <c r="N89" s="197"/>
      <c r="O89" s="197"/>
      <c r="P89" s="197"/>
      <c r="Q89" s="197"/>
    </row>
    <row r="90" customFormat="false" ht="12" hidden="false" customHeight="false" outlineLevel="0" collapsed="false">
      <c r="B90" s="197"/>
      <c r="C90" s="197"/>
      <c r="D90" s="197"/>
      <c r="E90" s="197"/>
      <c r="F90" s="197"/>
      <c r="G90" s="197"/>
      <c r="H90" s="197"/>
      <c r="I90" s="197"/>
      <c r="J90" s="197"/>
      <c r="K90" s="197"/>
      <c r="L90" s="197"/>
      <c r="M90" s="197"/>
      <c r="N90" s="197"/>
      <c r="O90" s="197"/>
      <c r="P90" s="197"/>
      <c r="Q90" s="197"/>
    </row>
    <row r="91" customFormat="false" ht="12" hidden="false" customHeight="false" outlineLevel="0" collapsed="false">
      <c r="B91" s="197"/>
      <c r="C91" s="197"/>
      <c r="D91" s="197"/>
      <c r="E91" s="197"/>
      <c r="F91" s="197"/>
      <c r="G91" s="197"/>
      <c r="H91" s="197"/>
      <c r="I91" s="197"/>
      <c r="J91" s="197"/>
      <c r="K91" s="197"/>
      <c r="L91" s="197"/>
      <c r="M91" s="197"/>
      <c r="N91" s="197"/>
      <c r="O91" s="197"/>
      <c r="P91" s="197"/>
      <c r="Q91" s="197"/>
    </row>
    <row r="92" customFormat="false" ht="12" hidden="false" customHeight="false" outlineLevel="0" collapsed="false">
      <c r="B92" s="197"/>
      <c r="C92" s="197"/>
      <c r="D92" s="197"/>
      <c r="E92" s="197"/>
      <c r="F92" s="197"/>
      <c r="G92" s="197"/>
      <c r="H92" s="197"/>
      <c r="I92" s="197"/>
      <c r="J92" s="197"/>
      <c r="K92" s="197"/>
      <c r="L92" s="197"/>
      <c r="M92" s="197"/>
      <c r="N92" s="197"/>
      <c r="O92" s="197"/>
      <c r="P92" s="197"/>
      <c r="Q92" s="197"/>
    </row>
    <row r="93" customFormat="false" ht="12" hidden="false" customHeight="false" outlineLevel="0" collapsed="false">
      <c r="B93" s="197"/>
      <c r="C93" s="197"/>
      <c r="D93" s="197"/>
      <c r="E93" s="197"/>
      <c r="F93" s="197"/>
      <c r="G93" s="197"/>
      <c r="H93" s="197"/>
      <c r="I93" s="197"/>
      <c r="J93" s="197"/>
      <c r="K93" s="197"/>
      <c r="L93" s="197"/>
      <c r="M93" s="197"/>
      <c r="N93" s="197"/>
      <c r="O93" s="197"/>
      <c r="P93" s="197"/>
      <c r="Q93" s="197"/>
    </row>
    <row r="94" customFormat="false" ht="12" hidden="false" customHeight="false" outlineLevel="0" collapsed="false">
      <c r="B94" s="197"/>
      <c r="C94" s="197"/>
      <c r="D94" s="197"/>
      <c r="E94" s="197"/>
      <c r="F94" s="197"/>
      <c r="G94" s="197"/>
      <c r="H94" s="197"/>
      <c r="I94" s="197"/>
      <c r="J94" s="197"/>
      <c r="K94" s="197"/>
      <c r="L94" s="197"/>
      <c r="M94" s="197"/>
      <c r="N94" s="197"/>
      <c r="O94" s="197"/>
      <c r="P94" s="197"/>
      <c r="Q94" s="197"/>
    </row>
    <row r="95" customFormat="false" ht="12" hidden="false" customHeight="false" outlineLevel="0" collapsed="false">
      <c r="B95" s="197"/>
      <c r="C95" s="197"/>
      <c r="D95" s="197"/>
      <c r="E95" s="197"/>
      <c r="F95" s="197"/>
      <c r="G95" s="197"/>
      <c r="H95" s="197"/>
      <c r="I95" s="197"/>
      <c r="J95" s="197"/>
      <c r="K95" s="197"/>
      <c r="L95" s="197"/>
      <c r="M95" s="197"/>
      <c r="N95" s="197"/>
      <c r="O95" s="197"/>
      <c r="P95" s="197"/>
      <c r="Q95" s="197"/>
    </row>
    <row r="96" customFormat="false" ht="12" hidden="false" customHeight="false" outlineLevel="0" collapsed="false">
      <c r="B96" s="197"/>
      <c r="C96" s="197"/>
      <c r="D96" s="197"/>
      <c r="E96" s="197"/>
      <c r="F96" s="197"/>
      <c r="G96" s="197"/>
      <c r="H96" s="197"/>
      <c r="I96" s="197"/>
      <c r="J96" s="197"/>
      <c r="K96" s="197"/>
      <c r="L96" s="197"/>
      <c r="M96" s="197"/>
      <c r="N96" s="197"/>
      <c r="O96" s="197"/>
      <c r="P96" s="197"/>
      <c r="Q96" s="197"/>
    </row>
    <row r="97" customFormat="false" ht="12" hidden="false" customHeight="false" outlineLevel="0" collapsed="false">
      <c r="B97" s="197"/>
      <c r="C97" s="197"/>
      <c r="D97" s="197"/>
      <c r="E97" s="197"/>
      <c r="F97" s="197"/>
      <c r="G97" s="197"/>
      <c r="H97" s="197"/>
      <c r="I97" s="197"/>
      <c r="J97" s="197"/>
      <c r="K97" s="197"/>
      <c r="L97" s="197"/>
      <c r="M97" s="197"/>
      <c r="N97" s="197"/>
      <c r="O97" s="197"/>
      <c r="P97" s="197"/>
      <c r="Q97" s="197"/>
    </row>
    <row r="98" customFormat="false" ht="12" hidden="false" customHeight="false" outlineLevel="0" collapsed="false">
      <c r="B98" s="197"/>
      <c r="C98" s="197"/>
      <c r="D98" s="197"/>
      <c r="E98" s="197"/>
      <c r="F98" s="197"/>
      <c r="G98" s="197"/>
      <c r="H98" s="197"/>
      <c r="I98" s="197"/>
      <c r="J98" s="197"/>
      <c r="K98" s="197"/>
      <c r="L98" s="197"/>
      <c r="M98" s="197"/>
      <c r="N98" s="197"/>
      <c r="O98" s="197"/>
      <c r="P98" s="197"/>
      <c r="Q98" s="197"/>
    </row>
    <row r="99" customFormat="false" ht="12" hidden="false" customHeight="false" outlineLevel="0" collapsed="false">
      <c r="B99" s="197"/>
      <c r="C99" s="197"/>
      <c r="D99" s="197"/>
      <c r="E99" s="197"/>
      <c r="F99" s="197"/>
      <c r="G99" s="197"/>
      <c r="H99" s="197"/>
      <c r="I99" s="197"/>
      <c r="J99" s="197"/>
      <c r="K99" s="197"/>
      <c r="L99" s="197"/>
      <c r="M99" s="197"/>
      <c r="N99" s="197"/>
      <c r="O99" s="197"/>
      <c r="P99" s="197"/>
      <c r="Q99" s="197"/>
    </row>
    <row r="100" customFormat="false" ht="12" hidden="false" customHeight="false" outlineLevel="0" collapsed="false">
      <c r="B100" s="197"/>
      <c r="C100" s="197"/>
      <c r="D100" s="197"/>
      <c r="E100" s="197"/>
      <c r="F100" s="197"/>
      <c r="G100" s="197"/>
      <c r="H100" s="197"/>
      <c r="I100" s="197"/>
      <c r="J100" s="197"/>
      <c r="K100" s="197"/>
      <c r="L100" s="197"/>
      <c r="M100" s="197"/>
      <c r="N100" s="197"/>
      <c r="O100" s="197"/>
      <c r="P100" s="197"/>
      <c r="Q100" s="197"/>
    </row>
    <row r="101" customFormat="false" ht="12" hidden="false" customHeight="false" outlineLevel="0" collapsed="false">
      <c r="B101" s="197"/>
      <c r="C101" s="197"/>
      <c r="D101" s="197"/>
      <c r="E101" s="197"/>
      <c r="F101" s="197"/>
      <c r="G101" s="197"/>
      <c r="H101" s="197"/>
      <c r="I101" s="197"/>
      <c r="J101" s="197"/>
      <c r="K101" s="197"/>
      <c r="L101" s="197"/>
      <c r="M101" s="197"/>
      <c r="N101" s="197"/>
      <c r="O101" s="197"/>
      <c r="P101" s="197"/>
      <c r="Q101" s="197"/>
    </row>
    <row r="102" customFormat="false" ht="12" hidden="false" customHeight="false" outlineLevel="0" collapsed="false">
      <c r="B102" s="197"/>
      <c r="C102" s="197"/>
      <c r="D102" s="197"/>
      <c r="E102" s="197"/>
      <c r="F102" s="197"/>
      <c r="G102" s="197"/>
      <c r="H102" s="197"/>
      <c r="I102" s="197"/>
      <c r="J102" s="197"/>
      <c r="K102" s="197"/>
      <c r="L102" s="197"/>
      <c r="M102" s="197"/>
      <c r="N102" s="197"/>
      <c r="O102" s="197"/>
      <c r="P102" s="197"/>
      <c r="Q102" s="197"/>
    </row>
    <row r="103" customFormat="false" ht="12" hidden="false" customHeight="false" outlineLevel="0" collapsed="false">
      <c r="B103" s="197"/>
      <c r="C103" s="197"/>
      <c r="D103" s="197"/>
      <c r="E103" s="197"/>
      <c r="F103" s="197"/>
      <c r="G103" s="197"/>
      <c r="H103" s="197"/>
      <c r="I103" s="197"/>
      <c r="J103" s="197"/>
      <c r="K103" s="197"/>
      <c r="L103" s="197"/>
      <c r="M103" s="197"/>
      <c r="N103" s="197"/>
      <c r="O103" s="197"/>
      <c r="P103" s="197"/>
      <c r="Q103" s="197"/>
    </row>
    <row r="104" customFormat="false" ht="12" hidden="false" customHeight="false" outlineLevel="0" collapsed="false">
      <c r="B104" s="197"/>
      <c r="C104" s="197"/>
      <c r="D104" s="197"/>
      <c r="E104" s="197"/>
      <c r="F104" s="197"/>
      <c r="G104" s="197"/>
      <c r="H104" s="197"/>
      <c r="I104" s="197"/>
      <c r="J104" s="197"/>
      <c r="K104" s="197"/>
      <c r="L104" s="197"/>
      <c r="M104" s="197"/>
      <c r="N104" s="197"/>
      <c r="O104" s="197"/>
      <c r="P104" s="197"/>
      <c r="Q104" s="197"/>
    </row>
    <row r="105" customFormat="false" ht="12" hidden="false" customHeight="false" outlineLevel="0" collapsed="false">
      <c r="B105" s="197"/>
      <c r="C105" s="197"/>
      <c r="D105" s="197"/>
      <c r="E105" s="197"/>
      <c r="F105" s="197"/>
      <c r="G105" s="197"/>
      <c r="H105" s="197"/>
      <c r="I105" s="197"/>
      <c r="J105" s="197"/>
      <c r="K105" s="197"/>
      <c r="L105" s="197"/>
      <c r="M105" s="197"/>
      <c r="N105" s="197"/>
      <c r="O105" s="197"/>
      <c r="P105" s="197"/>
      <c r="Q105" s="197"/>
    </row>
    <row r="106" customFormat="false" ht="12" hidden="false" customHeight="false" outlineLevel="0" collapsed="false">
      <c r="B106" s="197"/>
      <c r="C106" s="197"/>
      <c r="D106" s="197"/>
      <c r="E106" s="197"/>
      <c r="F106" s="197"/>
      <c r="G106" s="197"/>
      <c r="H106" s="197"/>
      <c r="I106" s="197"/>
      <c r="J106" s="197"/>
      <c r="K106" s="197"/>
      <c r="L106" s="197"/>
      <c r="M106" s="197"/>
      <c r="N106" s="197"/>
      <c r="O106" s="197"/>
      <c r="P106" s="197"/>
      <c r="Q106" s="197"/>
    </row>
    <row r="107" customFormat="false" ht="12" hidden="false" customHeight="false" outlineLevel="0" collapsed="false">
      <c r="B107" s="197"/>
      <c r="C107" s="197"/>
      <c r="D107" s="197"/>
      <c r="E107" s="197"/>
      <c r="F107" s="197"/>
      <c r="G107" s="197"/>
      <c r="H107" s="197"/>
      <c r="I107" s="197"/>
      <c r="J107" s="197"/>
      <c r="K107" s="197"/>
      <c r="L107" s="197"/>
      <c r="M107" s="197"/>
      <c r="N107" s="197"/>
      <c r="O107" s="197"/>
      <c r="P107" s="197"/>
      <c r="Q107" s="197"/>
    </row>
    <row r="108" customFormat="false" ht="12" hidden="false" customHeight="false" outlineLevel="0" collapsed="false">
      <c r="B108" s="197"/>
      <c r="C108" s="197"/>
      <c r="D108" s="197"/>
      <c r="E108" s="197"/>
      <c r="F108" s="197"/>
      <c r="G108" s="197"/>
      <c r="H108" s="197"/>
      <c r="I108" s="197"/>
      <c r="J108" s="197"/>
      <c r="K108" s="197"/>
      <c r="L108" s="197"/>
      <c r="M108" s="197"/>
      <c r="N108" s="197"/>
      <c r="O108" s="197"/>
      <c r="P108" s="197"/>
      <c r="Q108" s="197"/>
    </row>
    <row r="109" customFormat="false" ht="12" hidden="false" customHeight="false" outlineLevel="0" collapsed="false">
      <c r="B109" s="197"/>
      <c r="C109" s="197"/>
      <c r="D109" s="197"/>
      <c r="E109" s="197"/>
      <c r="F109" s="197"/>
      <c r="G109" s="197"/>
      <c r="H109" s="197"/>
      <c r="I109" s="197"/>
      <c r="J109" s="197"/>
      <c r="K109" s="197"/>
      <c r="L109" s="197"/>
      <c r="M109" s="197"/>
      <c r="N109" s="197"/>
      <c r="O109" s="197"/>
      <c r="P109" s="197"/>
      <c r="Q109" s="197"/>
    </row>
    <row r="110" customFormat="false" ht="12" hidden="false" customHeight="false" outlineLevel="0" collapsed="false">
      <c r="B110" s="197"/>
      <c r="C110" s="197"/>
      <c r="D110" s="197"/>
      <c r="E110" s="197"/>
      <c r="F110" s="197"/>
      <c r="G110" s="197"/>
      <c r="H110" s="197"/>
      <c r="I110" s="197"/>
      <c r="J110" s="197"/>
      <c r="K110" s="197"/>
      <c r="L110" s="197"/>
      <c r="M110" s="197"/>
      <c r="N110" s="197"/>
      <c r="O110" s="197"/>
      <c r="P110" s="197"/>
      <c r="Q110" s="197"/>
    </row>
    <row r="111" customFormat="false" ht="12" hidden="false" customHeight="false" outlineLevel="0" collapsed="false">
      <c r="B111" s="197"/>
      <c r="C111" s="197"/>
      <c r="D111" s="197"/>
      <c r="E111" s="197"/>
      <c r="F111" s="197"/>
      <c r="G111" s="197"/>
      <c r="H111" s="197"/>
      <c r="I111" s="197"/>
      <c r="J111" s="197"/>
      <c r="K111" s="197"/>
      <c r="L111" s="197"/>
      <c r="M111" s="197"/>
      <c r="N111" s="197"/>
      <c r="O111" s="197"/>
      <c r="P111" s="197"/>
      <c r="Q111" s="197"/>
    </row>
    <row r="112" customFormat="false" ht="12" hidden="false" customHeight="false" outlineLevel="0" collapsed="false">
      <c r="B112" s="197"/>
      <c r="C112" s="197"/>
      <c r="D112" s="197"/>
      <c r="E112" s="197"/>
      <c r="F112" s="197"/>
      <c r="G112" s="197"/>
      <c r="H112" s="197"/>
      <c r="I112" s="197"/>
      <c r="J112" s="197"/>
      <c r="K112" s="197"/>
      <c r="L112" s="197"/>
      <c r="M112" s="197"/>
      <c r="N112" s="197"/>
      <c r="O112" s="197"/>
      <c r="P112" s="197"/>
      <c r="Q112" s="197"/>
    </row>
    <row r="113" customFormat="false" ht="12" hidden="false" customHeight="false" outlineLevel="0" collapsed="false">
      <c r="B113" s="197"/>
      <c r="C113" s="197"/>
      <c r="D113" s="197"/>
      <c r="E113" s="197"/>
      <c r="F113" s="197"/>
      <c r="G113" s="197"/>
      <c r="H113" s="197"/>
      <c r="I113" s="197"/>
      <c r="J113" s="197"/>
      <c r="K113" s="197"/>
      <c r="L113" s="197"/>
      <c r="M113" s="197"/>
      <c r="N113" s="197"/>
      <c r="O113" s="197"/>
      <c r="P113" s="197"/>
      <c r="Q113" s="197"/>
    </row>
    <row r="114" customFormat="false" ht="12" hidden="false" customHeight="false" outlineLevel="0" collapsed="false">
      <c r="B114" s="197"/>
      <c r="C114" s="197"/>
      <c r="D114" s="197"/>
      <c r="E114" s="197"/>
      <c r="F114" s="197"/>
      <c r="G114" s="197"/>
      <c r="H114" s="197"/>
      <c r="I114" s="197"/>
      <c r="J114" s="197"/>
      <c r="K114" s="197"/>
      <c r="L114" s="197"/>
      <c r="M114" s="197"/>
      <c r="N114" s="197"/>
      <c r="O114" s="197"/>
      <c r="P114" s="197"/>
      <c r="Q114" s="197"/>
    </row>
    <row r="115" customFormat="false" ht="12" hidden="false" customHeight="false" outlineLevel="0" collapsed="false">
      <c r="B115" s="197"/>
      <c r="C115" s="197"/>
      <c r="D115" s="197"/>
      <c r="E115" s="197"/>
      <c r="F115" s="197"/>
      <c r="G115" s="197"/>
      <c r="H115" s="197"/>
      <c r="I115" s="197"/>
      <c r="J115" s="197"/>
      <c r="K115" s="197"/>
      <c r="L115" s="197"/>
      <c r="M115" s="197"/>
      <c r="N115" s="197"/>
      <c r="O115" s="197"/>
      <c r="P115" s="197"/>
      <c r="Q115" s="197"/>
    </row>
    <row r="116" customFormat="false" ht="12" hidden="false" customHeight="false" outlineLevel="0" collapsed="false">
      <c r="B116" s="197"/>
      <c r="C116" s="197"/>
      <c r="D116" s="197"/>
      <c r="E116" s="197"/>
      <c r="F116" s="197"/>
      <c r="G116" s="197"/>
      <c r="H116" s="197"/>
      <c r="I116" s="197"/>
      <c r="J116" s="197"/>
      <c r="K116" s="197"/>
      <c r="L116" s="197"/>
      <c r="M116" s="197"/>
      <c r="N116" s="197"/>
      <c r="O116" s="197"/>
      <c r="P116" s="197"/>
      <c r="Q116" s="197"/>
    </row>
    <row r="117" customFormat="false" ht="12" hidden="false" customHeight="false" outlineLevel="0" collapsed="false">
      <c r="B117" s="197"/>
      <c r="C117" s="197"/>
      <c r="D117" s="197"/>
      <c r="E117" s="197"/>
      <c r="F117" s="197"/>
      <c r="G117" s="197"/>
      <c r="H117" s="197"/>
      <c r="I117" s="197"/>
      <c r="J117" s="197"/>
      <c r="K117" s="197"/>
      <c r="L117" s="197"/>
      <c r="M117" s="197"/>
      <c r="N117" s="197"/>
      <c r="O117" s="197"/>
      <c r="P117" s="197"/>
      <c r="Q117" s="197"/>
    </row>
    <row r="118" customFormat="false" ht="12" hidden="false" customHeight="false" outlineLevel="0" collapsed="false">
      <c r="B118" s="197"/>
      <c r="C118" s="197"/>
      <c r="D118" s="197"/>
      <c r="E118" s="197"/>
      <c r="F118" s="197"/>
      <c r="G118" s="197"/>
      <c r="H118" s="197"/>
      <c r="I118" s="197"/>
      <c r="J118" s="197"/>
      <c r="K118" s="197"/>
      <c r="L118" s="197"/>
      <c r="M118" s="197"/>
      <c r="N118" s="197"/>
      <c r="O118" s="197"/>
      <c r="P118" s="197"/>
      <c r="Q118" s="197"/>
    </row>
    <row r="119" customFormat="false" ht="12" hidden="false" customHeight="false" outlineLevel="0" collapsed="false">
      <c r="B119" s="197"/>
      <c r="C119" s="197"/>
      <c r="D119" s="197"/>
      <c r="E119" s="197"/>
      <c r="F119" s="197"/>
      <c r="G119" s="197"/>
      <c r="H119" s="197"/>
      <c r="I119" s="197"/>
      <c r="J119" s="197"/>
      <c r="K119" s="197"/>
      <c r="L119" s="197"/>
      <c r="M119" s="197"/>
      <c r="N119" s="197"/>
      <c r="O119" s="197"/>
      <c r="P119" s="197"/>
      <c r="Q119" s="197"/>
    </row>
    <row r="120" customFormat="false" ht="12" hidden="false" customHeight="false" outlineLevel="0" collapsed="false">
      <c r="B120" s="197"/>
      <c r="C120" s="197"/>
      <c r="D120" s="197"/>
      <c r="E120" s="197"/>
      <c r="F120" s="197"/>
      <c r="G120" s="197"/>
      <c r="H120" s="197"/>
      <c r="I120" s="197"/>
      <c r="J120" s="197"/>
      <c r="K120" s="197"/>
      <c r="L120" s="197"/>
      <c r="M120" s="197"/>
      <c r="N120" s="197"/>
      <c r="O120" s="197"/>
      <c r="P120" s="197"/>
      <c r="Q120" s="197"/>
    </row>
    <row r="121" customFormat="false" ht="12" hidden="false" customHeight="false" outlineLevel="0" collapsed="false">
      <c r="B121" s="197"/>
      <c r="C121" s="197"/>
      <c r="D121" s="197"/>
      <c r="E121" s="197"/>
      <c r="F121" s="197"/>
      <c r="G121" s="197"/>
      <c r="H121" s="197"/>
      <c r="I121" s="197"/>
      <c r="J121" s="197"/>
      <c r="K121" s="197"/>
      <c r="L121" s="197"/>
      <c r="M121" s="197"/>
      <c r="N121" s="197"/>
      <c r="O121" s="197"/>
      <c r="P121" s="197"/>
      <c r="Q121" s="197"/>
    </row>
    <row r="122" customFormat="false" ht="12" hidden="false" customHeight="false" outlineLevel="0" collapsed="false">
      <c r="B122" s="197"/>
      <c r="C122" s="197"/>
      <c r="D122" s="197"/>
      <c r="E122" s="197"/>
      <c r="F122" s="197"/>
      <c r="G122" s="197"/>
      <c r="H122" s="197"/>
      <c r="I122" s="197"/>
      <c r="J122" s="197"/>
      <c r="K122" s="197"/>
      <c r="L122" s="197"/>
      <c r="M122" s="197"/>
      <c r="N122" s="197"/>
      <c r="O122" s="197"/>
      <c r="P122" s="197"/>
      <c r="Q122" s="197"/>
    </row>
    <row r="123" customFormat="false" ht="12" hidden="false" customHeight="false" outlineLevel="0" collapsed="false">
      <c r="B123" s="197"/>
      <c r="C123" s="197"/>
      <c r="D123" s="197"/>
      <c r="E123" s="197"/>
      <c r="F123" s="197"/>
      <c r="G123" s="197"/>
      <c r="H123" s="197"/>
      <c r="I123" s="197"/>
      <c r="J123" s="197"/>
      <c r="K123" s="197"/>
      <c r="L123" s="197"/>
      <c r="M123" s="197"/>
      <c r="N123" s="197"/>
      <c r="O123" s="197"/>
      <c r="P123" s="197"/>
      <c r="Q123" s="197"/>
    </row>
    <row r="124" customFormat="false" ht="12" hidden="false" customHeight="false" outlineLevel="0" collapsed="false">
      <c r="B124" s="197"/>
      <c r="C124" s="197"/>
      <c r="D124" s="197"/>
      <c r="E124" s="197"/>
      <c r="F124" s="197"/>
      <c r="G124" s="197"/>
      <c r="H124" s="197"/>
      <c r="I124" s="197"/>
      <c r="J124" s="197"/>
      <c r="K124" s="197"/>
      <c r="L124" s="197"/>
      <c r="M124" s="197"/>
      <c r="N124" s="197"/>
      <c r="O124" s="197"/>
      <c r="P124" s="197"/>
      <c r="Q124" s="197"/>
    </row>
    <row r="125" customFormat="false" ht="12" hidden="false" customHeight="false" outlineLevel="0" collapsed="false">
      <c r="B125" s="197"/>
      <c r="C125" s="197"/>
      <c r="D125" s="197"/>
      <c r="E125" s="197"/>
      <c r="F125" s="197"/>
      <c r="G125" s="197"/>
      <c r="H125" s="197"/>
      <c r="I125" s="197"/>
      <c r="J125" s="197"/>
      <c r="K125" s="197"/>
      <c r="L125" s="197"/>
      <c r="M125" s="197"/>
      <c r="N125" s="197"/>
      <c r="O125" s="197"/>
      <c r="P125" s="197"/>
      <c r="Q125" s="197"/>
    </row>
    <row r="126" customFormat="false" ht="12" hidden="false" customHeight="false" outlineLevel="0" collapsed="false">
      <c r="B126" s="197"/>
      <c r="C126" s="197"/>
      <c r="D126" s="197"/>
      <c r="E126" s="197"/>
      <c r="F126" s="197"/>
      <c r="G126" s="197"/>
      <c r="H126" s="197"/>
      <c r="I126" s="197"/>
      <c r="J126" s="197"/>
      <c r="K126" s="197"/>
      <c r="L126" s="197"/>
      <c r="M126" s="197"/>
      <c r="N126" s="197"/>
      <c r="O126" s="197"/>
      <c r="P126" s="197"/>
      <c r="Q126" s="197"/>
    </row>
    <row r="127" customFormat="false" ht="12" hidden="false" customHeight="false" outlineLevel="0" collapsed="false">
      <c r="B127" s="197"/>
      <c r="C127" s="197"/>
      <c r="D127" s="197"/>
      <c r="E127" s="197"/>
      <c r="F127" s="197"/>
      <c r="G127" s="197"/>
      <c r="H127" s="197"/>
      <c r="I127" s="197"/>
      <c r="J127" s="197"/>
      <c r="K127" s="197"/>
      <c r="L127" s="197"/>
      <c r="M127" s="197"/>
      <c r="N127" s="197"/>
      <c r="O127" s="197"/>
      <c r="P127" s="197"/>
      <c r="Q127" s="197"/>
    </row>
    <row r="128" customFormat="false" ht="12" hidden="false" customHeight="false" outlineLevel="0" collapsed="false">
      <c r="B128" s="197"/>
      <c r="C128" s="197"/>
      <c r="D128" s="197"/>
      <c r="E128" s="197"/>
      <c r="F128" s="197"/>
      <c r="G128" s="197"/>
      <c r="H128" s="197"/>
      <c r="I128" s="197"/>
      <c r="J128" s="197"/>
      <c r="K128" s="197"/>
      <c r="L128" s="197"/>
      <c r="M128" s="197"/>
      <c r="N128" s="197"/>
      <c r="O128" s="197"/>
      <c r="P128" s="197"/>
      <c r="Q128" s="197"/>
    </row>
    <row r="129" customFormat="false" ht="12" hidden="false" customHeight="false" outlineLevel="0" collapsed="false">
      <c r="B129" s="197"/>
      <c r="C129" s="197"/>
      <c r="D129" s="197"/>
      <c r="E129" s="197"/>
      <c r="F129" s="197"/>
      <c r="G129" s="197"/>
      <c r="H129" s="197"/>
      <c r="I129" s="197"/>
      <c r="J129" s="197"/>
      <c r="K129" s="197"/>
      <c r="L129" s="197"/>
      <c r="M129" s="197"/>
      <c r="N129" s="197"/>
      <c r="O129" s="197"/>
      <c r="P129" s="197"/>
      <c r="Q129" s="197"/>
    </row>
    <row r="130" customFormat="false" ht="12" hidden="false" customHeight="false" outlineLevel="0" collapsed="false">
      <c r="B130" s="197"/>
      <c r="C130" s="197"/>
      <c r="D130" s="197"/>
      <c r="E130" s="197"/>
      <c r="F130" s="197"/>
      <c r="G130" s="197"/>
      <c r="H130" s="197"/>
      <c r="I130" s="197"/>
      <c r="J130" s="197"/>
      <c r="K130" s="197"/>
      <c r="L130" s="197"/>
      <c r="M130" s="197"/>
      <c r="N130" s="197"/>
      <c r="O130" s="197"/>
      <c r="P130" s="197"/>
      <c r="Q130" s="197"/>
    </row>
    <row r="131" customFormat="false" ht="12" hidden="false" customHeight="false" outlineLevel="0" collapsed="false">
      <c r="B131" s="197"/>
      <c r="C131" s="197"/>
      <c r="D131" s="197"/>
      <c r="E131" s="197"/>
      <c r="F131" s="197"/>
      <c r="G131" s="197"/>
      <c r="H131" s="197"/>
      <c r="I131" s="197"/>
      <c r="J131" s="197"/>
      <c r="K131" s="197"/>
      <c r="L131" s="197"/>
      <c r="M131" s="197"/>
      <c r="N131" s="197"/>
      <c r="O131" s="197"/>
      <c r="P131" s="197"/>
      <c r="Q131" s="197"/>
    </row>
    <row r="132" customFormat="false" ht="12" hidden="false" customHeight="false" outlineLevel="0" collapsed="false">
      <c r="B132" s="197"/>
      <c r="C132" s="197"/>
      <c r="D132" s="197"/>
      <c r="E132" s="197"/>
      <c r="F132" s="197"/>
      <c r="G132" s="197"/>
      <c r="H132" s="197"/>
      <c r="I132" s="197"/>
      <c r="J132" s="197"/>
      <c r="K132" s="197"/>
      <c r="L132" s="197"/>
      <c r="M132" s="197"/>
      <c r="N132" s="197"/>
      <c r="O132" s="197"/>
      <c r="P132" s="197"/>
      <c r="Q132" s="197"/>
    </row>
    <row r="133" customFormat="false" ht="12" hidden="false" customHeight="false" outlineLevel="0" collapsed="false">
      <c r="B133" s="197"/>
      <c r="C133" s="197"/>
      <c r="D133" s="197"/>
      <c r="E133" s="197"/>
      <c r="F133" s="197"/>
      <c r="G133" s="197"/>
      <c r="H133" s="197"/>
      <c r="I133" s="197"/>
      <c r="J133" s="197"/>
      <c r="K133" s="197"/>
      <c r="L133" s="197"/>
      <c r="M133" s="197"/>
      <c r="N133" s="197"/>
      <c r="O133" s="197"/>
      <c r="P133" s="197"/>
      <c r="Q133" s="197"/>
    </row>
    <row r="134" customFormat="false" ht="12" hidden="false" customHeight="false" outlineLevel="0" collapsed="false">
      <c r="B134" s="197"/>
      <c r="C134" s="197"/>
      <c r="D134" s="197"/>
      <c r="E134" s="197"/>
      <c r="F134" s="197"/>
      <c r="G134" s="197"/>
      <c r="H134" s="197"/>
      <c r="I134" s="197"/>
      <c r="J134" s="197"/>
      <c r="K134" s="197"/>
      <c r="L134" s="197"/>
      <c r="M134" s="197"/>
      <c r="N134" s="197"/>
      <c r="O134" s="197"/>
      <c r="P134" s="197"/>
      <c r="Q134" s="197"/>
    </row>
    <row r="135" customFormat="false" ht="12" hidden="false" customHeight="false" outlineLevel="0" collapsed="false">
      <c r="B135" s="197"/>
      <c r="C135" s="197"/>
      <c r="D135" s="197"/>
      <c r="E135" s="197"/>
      <c r="F135" s="197"/>
      <c r="G135" s="197"/>
      <c r="H135" s="197"/>
      <c r="I135" s="197"/>
      <c r="J135" s="197"/>
      <c r="K135" s="197"/>
      <c r="L135" s="197"/>
      <c r="M135" s="197"/>
      <c r="N135" s="197"/>
      <c r="O135" s="197"/>
      <c r="P135" s="197"/>
      <c r="Q135" s="197"/>
    </row>
    <row r="136" customFormat="false" ht="12" hidden="false" customHeight="false" outlineLevel="0" collapsed="false">
      <c r="B136" s="197"/>
      <c r="C136" s="197"/>
      <c r="D136" s="197"/>
      <c r="E136" s="197"/>
      <c r="F136" s="197"/>
      <c r="G136" s="197"/>
      <c r="H136" s="197"/>
      <c r="I136" s="197"/>
      <c r="J136" s="197"/>
      <c r="K136" s="197"/>
      <c r="L136" s="197"/>
      <c r="M136" s="197"/>
      <c r="N136" s="197"/>
      <c r="O136" s="197"/>
      <c r="P136" s="197"/>
      <c r="Q136" s="197"/>
    </row>
    <row r="137" customFormat="false" ht="12" hidden="false" customHeight="false" outlineLevel="0" collapsed="false">
      <c r="B137" s="197"/>
      <c r="C137" s="197"/>
      <c r="D137" s="197"/>
      <c r="E137" s="197"/>
      <c r="F137" s="197"/>
      <c r="G137" s="197"/>
      <c r="H137" s="197"/>
      <c r="I137" s="197"/>
      <c r="J137" s="197"/>
      <c r="K137" s="197"/>
      <c r="L137" s="197"/>
      <c r="M137" s="197"/>
      <c r="N137" s="197"/>
      <c r="O137" s="197"/>
      <c r="P137" s="197"/>
      <c r="Q137" s="197"/>
    </row>
    <row r="138" customFormat="false" ht="12" hidden="false" customHeight="false" outlineLevel="0" collapsed="false">
      <c r="B138" s="197"/>
      <c r="C138" s="197"/>
      <c r="D138" s="197"/>
      <c r="E138" s="197"/>
      <c r="F138" s="197"/>
      <c r="G138" s="197"/>
      <c r="H138" s="197"/>
      <c r="I138" s="197"/>
      <c r="J138" s="197"/>
      <c r="K138" s="197"/>
      <c r="L138" s="197"/>
      <c r="M138" s="197"/>
      <c r="N138" s="197"/>
      <c r="O138" s="197"/>
      <c r="P138" s="197"/>
      <c r="Q138" s="197"/>
    </row>
    <row r="139" customFormat="false" ht="12" hidden="false" customHeight="false" outlineLevel="0" collapsed="false">
      <c r="B139" s="197"/>
      <c r="C139" s="197"/>
      <c r="D139" s="197"/>
      <c r="E139" s="197"/>
      <c r="F139" s="197"/>
      <c r="G139" s="197"/>
      <c r="H139" s="197"/>
      <c r="I139" s="197"/>
      <c r="J139" s="197"/>
      <c r="K139" s="197"/>
      <c r="L139" s="197"/>
      <c r="M139" s="197"/>
      <c r="N139" s="197"/>
      <c r="O139" s="197"/>
      <c r="P139" s="197"/>
      <c r="Q139" s="197"/>
    </row>
    <row r="140" customFormat="false" ht="12" hidden="false" customHeight="false" outlineLevel="0" collapsed="false">
      <c r="B140" s="197"/>
      <c r="C140" s="197"/>
      <c r="D140" s="197"/>
      <c r="E140" s="197"/>
      <c r="F140" s="197"/>
      <c r="G140" s="197"/>
      <c r="H140" s="197"/>
      <c r="I140" s="197"/>
      <c r="J140" s="197"/>
      <c r="K140" s="197"/>
      <c r="L140" s="197"/>
      <c r="M140" s="197"/>
      <c r="N140" s="197"/>
      <c r="O140" s="197"/>
      <c r="P140" s="197"/>
      <c r="Q140" s="197"/>
    </row>
    <row r="141" customFormat="false" ht="12" hidden="false" customHeight="false" outlineLevel="0" collapsed="false">
      <c r="B141" s="197"/>
      <c r="C141" s="197"/>
      <c r="D141" s="197"/>
      <c r="E141" s="197"/>
      <c r="F141" s="197"/>
      <c r="G141" s="197"/>
      <c r="H141" s="197"/>
      <c r="I141" s="197"/>
      <c r="J141" s="197"/>
      <c r="K141" s="197"/>
      <c r="L141" s="197"/>
      <c r="M141" s="197"/>
      <c r="N141" s="197"/>
      <c r="O141" s="197"/>
      <c r="P141" s="197"/>
      <c r="Q141" s="197"/>
    </row>
    <row r="142" customFormat="false" ht="12" hidden="false" customHeight="false" outlineLevel="0" collapsed="false">
      <c r="B142" s="197"/>
      <c r="C142" s="197"/>
      <c r="D142" s="197"/>
      <c r="E142" s="197"/>
      <c r="F142" s="197"/>
      <c r="G142" s="197"/>
      <c r="H142" s="197"/>
      <c r="I142" s="197"/>
      <c r="J142" s="197"/>
      <c r="K142" s="197"/>
      <c r="L142" s="197"/>
      <c r="M142" s="197"/>
      <c r="N142" s="197"/>
      <c r="O142" s="197"/>
      <c r="P142" s="197"/>
      <c r="Q142" s="197"/>
    </row>
    <row r="143" customFormat="false" ht="12" hidden="false" customHeight="false" outlineLevel="0" collapsed="false">
      <c r="B143" s="197"/>
      <c r="C143" s="197"/>
      <c r="D143" s="197"/>
      <c r="E143" s="197"/>
      <c r="F143" s="197"/>
      <c r="G143" s="197"/>
      <c r="H143" s="197"/>
      <c r="I143" s="197"/>
      <c r="J143" s="197"/>
      <c r="K143" s="197"/>
      <c r="L143" s="197"/>
      <c r="M143" s="197"/>
      <c r="N143" s="197"/>
      <c r="O143" s="197"/>
      <c r="P143" s="197"/>
      <c r="Q143" s="197"/>
    </row>
    <row r="144" customFormat="false" ht="12" hidden="false" customHeight="false" outlineLevel="0" collapsed="false">
      <c r="B144" s="197"/>
      <c r="C144" s="197"/>
      <c r="D144" s="197"/>
      <c r="E144" s="197"/>
      <c r="F144" s="197"/>
      <c r="G144" s="197"/>
      <c r="H144" s="197"/>
      <c r="I144" s="197"/>
      <c r="J144" s="197"/>
      <c r="K144" s="197"/>
      <c r="L144" s="197"/>
      <c r="M144" s="197"/>
      <c r="N144" s="197"/>
      <c r="O144" s="197"/>
      <c r="P144" s="197"/>
      <c r="Q144" s="197"/>
    </row>
    <row r="145" customFormat="false" ht="12" hidden="false" customHeight="false" outlineLevel="0" collapsed="false">
      <c r="B145" s="197"/>
      <c r="C145" s="197"/>
      <c r="D145" s="197"/>
      <c r="E145" s="197"/>
      <c r="F145" s="197"/>
      <c r="G145" s="197"/>
      <c r="H145" s="197"/>
      <c r="I145" s="197"/>
      <c r="J145" s="197"/>
      <c r="K145" s="197"/>
      <c r="L145" s="197"/>
      <c r="M145" s="197"/>
      <c r="N145" s="197"/>
      <c r="O145" s="197"/>
      <c r="P145" s="197"/>
      <c r="Q145" s="197"/>
    </row>
    <row r="146" customFormat="false" ht="12" hidden="false" customHeight="false" outlineLevel="0" collapsed="false">
      <c r="B146" s="197"/>
      <c r="C146" s="197"/>
      <c r="D146" s="197"/>
      <c r="E146" s="197"/>
      <c r="F146" s="197"/>
      <c r="G146" s="197"/>
      <c r="H146" s="197"/>
      <c r="I146" s="197"/>
      <c r="J146" s="197"/>
      <c r="K146" s="197"/>
      <c r="L146" s="197"/>
      <c r="M146" s="197"/>
      <c r="N146" s="197"/>
      <c r="O146" s="197"/>
      <c r="P146" s="197"/>
      <c r="Q146" s="197"/>
    </row>
    <row r="147" customFormat="false" ht="12" hidden="false" customHeight="false" outlineLevel="0" collapsed="false">
      <c r="B147" s="197"/>
      <c r="C147" s="197"/>
      <c r="D147" s="197"/>
      <c r="E147" s="197"/>
      <c r="F147" s="197"/>
      <c r="G147" s="197"/>
      <c r="H147" s="197"/>
      <c r="I147" s="197"/>
      <c r="J147" s="197"/>
      <c r="K147" s="197"/>
      <c r="L147" s="197"/>
      <c r="M147" s="197"/>
      <c r="N147" s="197"/>
      <c r="O147" s="197"/>
      <c r="P147" s="197"/>
      <c r="Q147" s="197"/>
    </row>
    <row r="148" customFormat="false" ht="12" hidden="false" customHeight="false" outlineLevel="0" collapsed="false">
      <c r="B148" s="197"/>
      <c r="C148" s="197"/>
      <c r="D148" s="197"/>
      <c r="E148" s="197"/>
      <c r="F148" s="197"/>
      <c r="G148" s="197"/>
      <c r="H148" s="197"/>
      <c r="I148" s="197"/>
      <c r="J148" s="197"/>
      <c r="K148" s="197"/>
      <c r="L148" s="197"/>
      <c r="M148" s="197"/>
      <c r="N148" s="197"/>
      <c r="O148" s="197"/>
      <c r="P148" s="197"/>
      <c r="Q148" s="197"/>
    </row>
    <row r="149" customFormat="false" ht="12" hidden="false" customHeight="false" outlineLevel="0" collapsed="false">
      <c r="B149" s="197"/>
      <c r="C149" s="197"/>
      <c r="D149" s="197"/>
      <c r="E149" s="197"/>
      <c r="F149" s="197"/>
      <c r="G149" s="197"/>
      <c r="H149" s="197"/>
      <c r="I149" s="197"/>
      <c r="J149" s="197"/>
      <c r="K149" s="197"/>
      <c r="L149" s="197"/>
      <c r="M149" s="197"/>
      <c r="N149" s="197"/>
      <c r="O149" s="197"/>
      <c r="P149" s="197"/>
      <c r="Q149" s="197"/>
    </row>
    <row r="150" customFormat="false" ht="12" hidden="false" customHeight="false" outlineLevel="0" collapsed="false">
      <c r="B150" s="197"/>
      <c r="C150" s="197"/>
      <c r="D150" s="197"/>
      <c r="E150" s="197"/>
      <c r="F150" s="197"/>
      <c r="G150" s="197"/>
      <c r="H150" s="197"/>
      <c r="I150" s="197"/>
      <c r="J150" s="197"/>
      <c r="K150" s="197"/>
      <c r="L150" s="197"/>
      <c r="M150" s="197"/>
      <c r="N150" s="197"/>
      <c r="O150" s="197"/>
      <c r="P150" s="197"/>
      <c r="Q150" s="197"/>
    </row>
    <row r="151" customFormat="false" ht="12" hidden="false" customHeight="false" outlineLevel="0" collapsed="false">
      <c r="B151" s="197"/>
      <c r="C151" s="197"/>
      <c r="D151" s="197"/>
      <c r="E151" s="197"/>
      <c r="F151" s="197"/>
      <c r="G151" s="197"/>
      <c r="H151" s="197"/>
      <c r="I151" s="197"/>
      <c r="J151" s="197"/>
      <c r="K151" s="197"/>
      <c r="L151" s="197"/>
      <c r="M151" s="197"/>
      <c r="N151" s="197"/>
      <c r="O151" s="197"/>
      <c r="P151" s="197"/>
      <c r="Q151" s="197"/>
    </row>
    <row r="152" customFormat="false" ht="12" hidden="false" customHeight="false" outlineLevel="0" collapsed="false">
      <c r="B152" s="197"/>
      <c r="C152" s="197"/>
      <c r="D152" s="197"/>
      <c r="E152" s="197"/>
      <c r="F152" s="197"/>
      <c r="G152" s="197"/>
      <c r="H152" s="197"/>
      <c r="I152" s="197"/>
      <c r="J152" s="197"/>
      <c r="K152" s="197"/>
      <c r="L152" s="197"/>
      <c r="M152" s="197"/>
      <c r="N152" s="197"/>
      <c r="O152" s="197"/>
      <c r="P152" s="197"/>
      <c r="Q152" s="197"/>
    </row>
    <row r="153" customFormat="false" ht="12" hidden="false" customHeight="false" outlineLevel="0" collapsed="false">
      <c r="B153" s="197"/>
      <c r="C153" s="197"/>
      <c r="D153" s="197"/>
      <c r="E153" s="197"/>
      <c r="F153" s="197"/>
      <c r="G153" s="197"/>
      <c r="H153" s="197"/>
      <c r="I153" s="197"/>
      <c r="J153" s="197"/>
      <c r="K153" s="197"/>
      <c r="L153" s="197"/>
      <c r="M153" s="197"/>
      <c r="N153" s="197"/>
      <c r="O153" s="197"/>
      <c r="P153" s="197"/>
      <c r="Q153" s="197"/>
    </row>
    <row r="154" customFormat="false" ht="12" hidden="false" customHeight="false" outlineLevel="0" collapsed="false">
      <c r="B154" s="197"/>
      <c r="C154" s="197"/>
      <c r="D154" s="197"/>
      <c r="E154" s="197"/>
      <c r="F154" s="197"/>
      <c r="G154" s="197"/>
      <c r="H154" s="197"/>
      <c r="I154" s="197"/>
      <c r="J154" s="197"/>
      <c r="K154" s="197"/>
      <c r="L154" s="197"/>
      <c r="M154" s="197"/>
      <c r="N154" s="197"/>
      <c r="O154" s="197"/>
      <c r="P154" s="197"/>
      <c r="Q154" s="197"/>
    </row>
    <row r="155" customFormat="false" ht="12" hidden="false" customHeight="false" outlineLevel="0" collapsed="false">
      <c r="B155" s="197"/>
      <c r="C155" s="197"/>
      <c r="D155" s="197"/>
      <c r="E155" s="197"/>
      <c r="F155" s="197"/>
      <c r="G155" s="197"/>
      <c r="H155" s="197"/>
      <c r="I155" s="197"/>
      <c r="J155" s="197"/>
      <c r="K155" s="197"/>
      <c r="L155" s="197"/>
      <c r="M155" s="197"/>
      <c r="N155" s="197"/>
      <c r="O155" s="197"/>
      <c r="P155" s="197"/>
      <c r="Q155" s="197"/>
    </row>
    <row r="156" customFormat="false" ht="12" hidden="false" customHeight="false" outlineLevel="0" collapsed="false">
      <c r="B156" s="197"/>
      <c r="C156" s="197"/>
      <c r="D156" s="197"/>
      <c r="E156" s="197"/>
      <c r="F156" s="197"/>
      <c r="G156" s="197"/>
      <c r="H156" s="197"/>
      <c r="I156" s="197"/>
      <c r="J156" s="197"/>
      <c r="K156" s="197"/>
      <c r="L156" s="197"/>
      <c r="M156" s="197"/>
      <c r="N156" s="197"/>
      <c r="O156" s="197"/>
      <c r="P156" s="197"/>
      <c r="Q156" s="197"/>
    </row>
    <row r="157" customFormat="false" ht="12" hidden="false" customHeight="false" outlineLevel="0" collapsed="false">
      <c r="B157" s="197"/>
      <c r="C157" s="197"/>
      <c r="D157" s="197"/>
      <c r="E157" s="197"/>
      <c r="F157" s="197"/>
      <c r="G157" s="197"/>
      <c r="H157" s="197"/>
      <c r="I157" s="197"/>
      <c r="J157" s="197"/>
      <c r="K157" s="197"/>
      <c r="L157" s="197"/>
      <c r="M157" s="197"/>
      <c r="N157" s="197"/>
      <c r="O157" s="197"/>
      <c r="P157" s="197"/>
      <c r="Q157" s="197"/>
    </row>
    <row r="158" customFormat="false" ht="12" hidden="false" customHeight="false" outlineLevel="0" collapsed="false">
      <c r="B158" s="197"/>
      <c r="C158" s="197"/>
      <c r="D158" s="197"/>
      <c r="E158" s="197"/>
      <c r="F158" s="197"/>
      <c r="G158" s="197"/>
      <c r="H158" s="197"/>
      <c r="I158" s="197"/>
      <c r="J158" s="197"/>
      <c r="K158" s="197"/>
      <c r="L158" s="197"/>
      <c r="M158" s="197"/>
      <c r="N158" s="197"/>
      <c r="O158" s="197"/>
      <c r="P158" s="197"/>
      <c r="Q158" s="197"/>
    </row>
    <row r="159" customFormat="false" ht="12" hidden="false" customHeight="false" outlineLevel="0" collapsed="false">
      <c r="B159" s="197"/>
      <c r="C159" s="197"/>
      <c r="D159" s="197"/>
      <c r="E159" s="197"/>
      <c r="F159" s="197"/>
      <c r="G159" s="197"/>
      <c r="H159" s="197"/>
      <c r="I159" s="197"/>
      <c r="J159" s="197"/>
      <c r="K159" s="197"/>
      <c r="L159" s="197"/>
      <c r="M159" s="197"/>
      <c r="N159" s="197"/>
      <c r="O159" s="197"/>
      <c r="P159" s="197"/>
      <c r="Q159" s="197"/>
    </row>
    <row r="160" customFormat="false" ht="12" hidden="false" customHeight="false" outlineLevel="0" collapsed="false">
      <c r="B160" s="197"/>
      <c r="C160" s="197"/>
      <c r="D160" s="197"/>
      <c r="E160" s="197"/>
      <c r="F160" s="197"/>
      <c r="G160" s="197"/>
      <c r="H160" s="197"/>
      <c r="I160" s="197"/>
      <c r="J160" s="197"/>
      <c r="K160" s="197"/>
      <c r="L160" s="197"/>
      <c r="M160" s="197"/>
      <c r="N160" s="197"/>
      <c r="O160" s="197"/>
      <c r="P160" s="197"/>
      <c r="Q160" s="197"/>
    </row>
    <row r="161" customFormat="false" ht="12" hidden="false" customHeight="false" outlineLevel="0" collapsed="false">
      <c r="B161" s="197"/>
      <c r="C161" s="197"/>
      <c r="D161" s="197"/>
      <c r="E161" s="197"/>
      <c r="F161" s="197"/>
      <c r="G161" s="197"/>
      <c r="H161" s="197"/>
      <c r="I161" s="197"/>
      <c r="J161" s="197"/>
      <c r="K161" s="197"/>
      <c r="L161" s="197"/>
      <c r="M161" s="197"/>
      <c r="N161" s="197"/>
      <c r="O161" s="197"/>
      <c r="P161" s="197"/>
      <c r="Q161" s="197"/>
    </row>
    <row r="162" customFormat="false" ht="12" hidden="false" customHeight="false" outlineLevel="0" collapsed="false">
      <c r="B162" s="197"/>
      <c r="C162" s="197"/>
      <c r="D162" s="197"/>
      <c r="E162" s="197"/>
      <c r="F162" s="197"/>
      <c r="G162" s="197"/>
      <c r="H162" s="197"/>
      <c r="I162" s="197"/>
      <c r="J162" s="197"/>
      <c r="K162" s="197"/>
      <c r="L162" s="197"/>
      <c r="M162" s="197"/>
      <c r="N162" s="197"/>
      <c r="O162" s="197"/>
      <c r="P162" s="197"/>
      <c r="Q162" s="197"/>
    </row>
    <row r="163" customFormat="false" ht="12" hidden="false" customHeight="false" outlineLevel="0" collapsed="false">
      <c r="B163" s="197"/>
      <c r="C163" s="197"/>
      <c r="D163" s="197"/>
      <c r="E163" s="197"/>
      <c r="F163" s="197"/>
      <c r="G163" s="197"/>
      <c r="H163" s="197"/>
      <c r="I163" s="197"/>
      <c r="J163" s="197"/>
      <c r="K163" s="197"/>
      <c r="L163" s="197"/>
      <c r="M163" s="197"/>
      <c r="N163" s="197"/>
      <c r="O163" s="197"/>
      <c r="P163" s="197"/>
      <c r="Q163" s="197"/>
    </row>
    <row r="164" customFormat="false" ht="12" hidden="false" customHeight="false" outlineLevel="0" collapsed="false">
      <c r="B164" s="197"/>
      <c r="C164" s="197"/>
      <c r="D164" s="197"/>
      <c r="E164" s="197"/>
      <c r="F164" s="197"/>
      <c r="G164" s="197"/>
      <c r="H164" s="197"/>
      <c r="I164" s="197"/>
      <c r="J164" s="197"/>
      <c r="K164" s="197"/>
      <c r="L164" s="197"/>
      <c r="M164" s="197"/>
      <c r="N164" s="197"/>
      <c r="O164" s="197"/>
      <c r="P164" s="197"/>
      <c r="Q164" s="197"/>
    </row>
    <row r="165" customFormat="false" ht="12" hidden="false" customHeight="false" outlineLevel="0" collapsed="false">
      <c r="B165" s="197"/>
      <c r="C165" s="197"/>
      <c r="D165" s="197"/>
      <c r="E165" s="197"/>
      <c r="F165" s="197"/>
      <c r="G165" s="197"/>
      <c r="H165" s="197"/>
      <c r="I165" s="197"/>
      <c r="J165" s="197"/>
      <c r="K165" s="197"/>
      <c r="L165" s="197"/>
      <c r="M165" s="197"/>
      <c r="N165" s="197"/>
      <c r="O165" s="197"/>
      <c r="P165" s="197"/>
      <c r="Q165" s="197"/>
    </row>
    <row r="166" customFormat="false" ht="12" hidden="false" customHeight="false" outlineLevel="0" collapsed="false">
      <c r="B166" s="197"/>
      <c r="C166" s="197"/>
      <c r="D166" s="197"/>
      <c r="E166" s="197"/>
      <c r="F166" s="197"/>
      <c r="G166" s="197"/>
      <c r="H166" s="197"/>
      <c r="I166" s="197"/>
      <c r="J166" s="197"/>
      <c r="K166" s="197"/>
      <c r="L166" s="197"/>
      <c r="M166" s="197"/>
      <c r="N166" s="197"/>
      <c r="O166" s="197"/>
      <c r="P166" s="197"/>
      <c r="Q166" s="197"/>
    </row>
    <row r="167" customFormat="false" ht="12" hidden="false" customHeight="false" outlineLevel="0" collapsed="false">
      <c r="B167" s="197"/>
      <c r="C167" s="197"/>
      <c r="D167" s="197"/>
      <c r="E167" s="197"/>
      <c r="F167" s="197"/>
      <c r="G167" s="197"/>
      <c r="H167" s="197"/>
      <c r="I167" s="197"/>
      <c r="J167" s="197"/>
      <c r="K167" s="197"/>
      <c r="L167" s="197"/>
      <c r="M167" s="197"/>
      <c r="N167" s="197"/>
      <c r="O167" s="197"/>
      <c r="P167" s="197"/>
      <c r="Q167" s="197"/>
    </row>
    <row r="168" customFormat="false" ht="12" hidden="false" customHeight="false" outlineLevel="0" collapsed="false">
      <c r="B168" s="197"/>
      <c r="C168" s="197"/>
      <c r="D168" s="197"/>
      <c r="E168" s="197"/>
      <c r="F168" s="197"/>
      <c r="G168" s="197"/>
      <c r="H168" s="197"/>
      <c r="I168" s="197"/>
      <c r="J168" s="197"/>
      <c r="K168" s="197"/>
      <c r="L168" s="197"/>
      <c r="M168" s="197"/>
      <c r="N168" s="197"/>
      <c r="O168" s="197"/>
      <c r="P168" s="197"/>
      <c r="Q168" s="197"/>
    </row>
    <row r="169" customFormat="false" ht="12" hidden="false" customHeight="false" outlineLevel="0" collapsed="false">
      <c r="B169" s="197"/>
      <c r="C169" s="197"/>
      <c r="D169" s="197"/>
      <c r="E169" s="197"/>
      <c r="F169" s="197"/>
      <c r="G169" s="197"/>
      <c r="H169" s="197"/>
      <c r="I169" s="197"/>
      <c r="J169" s="197"/>
      <c r="K169" s="197"/>
      <c r="L169" s="197"/>
      <c r="M169" s="197"/>
      <c r="N169" s="197"/>
      <c r="O169" s="197"/>
      <c r="P169" s="197"/>
      <c r="Q169" s="197"/>
    </row>
    <row r="170" customFormat="false" ht="12" hidden="false" customHeight="false" outlineLevel="0" collapsed="false">
      <c r="B170" s="197"/>
      <c r="C170" s="197"/>
      <c r="D170" s="197"/>
      <c r="E170" s="197"/>
      <c r="F170" s="197"/>
      <c r="G170" s="197"/>
      <c r="H170" s="197"/>
      <c r="I170" s="197"/>
      <c r="J170" s="197"/>
      <c r="K170" s="197"/>
      <c r="L170" s="197"/>
      <c r="M170" s="197"/>
      <c r="N170" s="197"/>
      <c r="O170" s="197"/>
      <c r="P170" s="197"/>
      <c r="Q170" s="197"/>
    </row>
    <row r="171" customFormat="false" ht="12" hidden="false" customHeight="false" outlineLevel="0" collapsed="false">
      <c r="B171" s="197"/>
      <c r="C171" s="197"/>
      <c r="D171" s="197"/>
      <c r="E171" s="197"/>
      <c r="F171" s="197"/>
      <c r="G171" s="197"/>
      <c r="H171" s="197"/>
      <c r="I171" s="197"/>
      <c r="J171" s="197"/>
      <c r="K171" s="197"/>
      <c r="L171" s="197"/>
      <c r="M171" s="197"/>
      <c r="N171" s="197"/>
      <c r="O171" s="197"/>
      <c r="P171" s="197"/>
      <c r="Q171" s="197"/>
    </row>
    <row r="172" customFormat="false" ht="12" hidden="false" customHeight="false" outlineLevel="0" collapsed="false">
      <c r="B172" s="197"/>
      <c r="C172" s="197"/>
      <c r="D172" s="197"/>
      <c r="E172" s="197"/>
      <c r="F172" s="197"/>
      <c r="G172" s="197"/>
      <c r="H172" s="197"/>
      <c r="I172" s="197"/>
      <c r="J172" s="197"/>
      <c r="K172" s="197"/>
      <c r="L172" s="197"/>
      <c r="M172" s="197"/>
      <c r="N172" s="197"/>
      <c r="O172" s="197"/>
      <c r="P172" s="197"/>
      <c r="Q172" s="197"/>
    </row>
    <row r="173" customFormat="false" ht="12" hidden="false" customHeight="false" outlineLevel="0" collapsed="false">
      <c r="B173" s="197"/>
      <c r="C173" s="197"/>
      <c r="D173" s="197"/>
      <c r="E173" s="197"/>
      <c r="F173" s="197"/>
      <c r="G173" s="197"/>
      <c r="H173" s="197"/>
      <c r="I173" s="197"/>
      <c r="J173" s="197"/>
      <c r="K173" s="197"/>
      <c r="L173" s="197"/>
      <c r="M173" s="197"/>
      <c r="N173" s="197"/>
      <c r="O173" s="197"/>
      <c r="P173" s="197"/>
      <c r="Q173" s="197"/>
    </row>
    <row r="174" customFormat="false" ht="12" hidden="false" customHeight="false" outlineLevel="0" collapsed="false">
      <c r="B174" s="197"/>
      <c r="C174" s="197"/>
      <c r="D174" s="197"/>
      <c r="E174" s="197"/>
      <c r="F174" s="197"/>
      <c r="G174" s="197"/>
      <c r="H174" s="197"/>
      <c r="I174" s="197"/>
      <c r="J174" s="197"/>
      <c r="K174" s="197"/>
      <c r="L174" s="197"/>
      <c r="M174" s="197"/>
      <c r="N174" s="197"/>
      <c r="O174" s="197"/>
      <c r="P174" s="197"/>
      <c r="Q174" s="197"/>
    </row>
    <row r="175" customFormat="false" ht="12" hidden="false" customHeight="false" outlineLevel="0" collapsed="false">
      <c r="B175" s="197"/>
      <c r="C175" s="197"/>
      <c r="D175" s="197"/>
      <c r="E175" s="197"/>
      <c r="F175" s="197"/>
      <c r="G175" s="197"/>
      <c r="H175" s="197"/>
      <c r="I175" s="197"/>
      <c r="J175" s="197"/>
      <c r="K175" s="197"/>
      <c r="L175" s="197"/>
      <c r="M175" s="197"/>
      <c r="N175" s="197"/>
      <c r="O175" s="197"/>
      <c r="P175" s="197"/>
      <c r="Q175" s="197"/>
    </row>
    <row r="176" customFormat="false" ht="12" hidden="false" customHeight="false" outlineLevel="0" collapsed="false">
      <c r="B176" s="197"/>
      <c r="C176" s="197"/>
      <c r="D176" s="197"/>
      <c r="E176" s="197"/>
      <c r="F176" s="197"/>
      <c r="G176" s="197"/>
      <c r="H176" s="197"/>
      <c r="I176" s="197"/>
      <c r="J176" s="197"/>
      <c r="K176" s="197"/>
      <c r="L176" s="197"/>
      <c r="M176" s="197"/>
      <c r="N176" s="197"/>
      <c r="O176" s="197"/>
      <c r="P176" s="197"/>
      <c r="Q176" s="197"/>
    </row>
    <row r="177" customFormat="false" ht="12" hidden="false" customHeight="false" outlineLevel="0" collapsed="false">
      <c r="B177" s="197"/>
      <c r="C177" s="197"/>
      <c r="D177" s="197"/>
      <c r="E177" s="197"/>
      <c r="F177" s="197"/>
      <c r="G177" s="197"/>
      <c r="H177" s="197"/>
      <c r="I177" s="197"/>
      <c r="J177" s="197"/>
      <c r="K177" s="197"/>
      <c r="L177" s="197"/>
      <c r="M177" s="197"/>
      <c r="N177" s="197"/>
      <c r="O177" s="197"/>
      <c r="P177" s="197"/>
      <c r="Q177" s="197"/>
    </row>
    <row r="178" customFormat="false" ht="12" hidden="false" customHeight="false" outlineLevel="0" collapsed="false">
      <c r="B178" s="197"/>
      <c r="C178" s="197"/>
      <c r="D178" s="197"/>
      <c r="E178" s="197"/>
      <c r="F178" s="197"/>
      <c r="G178" s="197"/>
      <c r="H178" s="197"/>
      <c r="I178" s="197"/>
      <c r="J178" s="197"/>
      <c r="K178" s="197"/>
      <c r="L178" s="197"/>
      <c r="M178" s="197"/>
      <c r="N178" s="197"/>
      <c r="O178" s="197"/>
      <c r="P178" s="197"/>
      <c r="Q178" s="197"/>
    </row>
    <row r="179" customFormat="false" ht="12" hidden="false" customHeight="false" outlineLevel="0" collapsed="false">
      <c r="B179" s="197"/>
      <c r="C179" s="197"/>
      <c r="D179" s="197"/>
      <c r="E179" s="197"/>
      <c r="F179" s="197"/>
      <c r="G179" s="197"/>
      <c r="H179" s="197"/>
      <c r="I179" s="197"/>
      <c r="J179" s="197"/>
      <c r="K179" s="197"/>
      <c r="L179" s="197"/>
      <c r="M179" s="197"/>
      <c r="N179" s="197"/>
      <c r="O179" s="197"/>
      <c r="P179" s="197"/>
      <c r="Q179" s="197"/>
    </row>
    <row r="180" customFormat="false" ht="12" hidden="false" customHeight="false" outlineLevel="0" collapsed="false">
      <c r="B180" s="197"/>
      <c r="C180" s="197"/>
      <c r="D180" s="197"/>
      <c r="E180" s="197"/>
      <c r="F180" s="197"/>
      <c r="G180" s="197"/>
      <c r="H180" s="197"/>
      <c r="I180" s="197"/>
      <c r="J180" s="197"/>
      <c r="K180" s="197"/>
      <c r="L180" s="197"/>
      <c r="M180" s="197"/>
      <c r="N180" s="197"/>
      <c r="O180" s="197"/>
      <c r="P180" s="197"/>
      <c r="Q180" s="197"/>
    </row>
    <row r="181" customFormat="false" ht="12" hidden="false" customHeight="false" outlineLevel="0" collapsed="false">
      <c r="B181" s="197"/>
      <c r="C181" s="197"/>
      <c r="D181" s="197"/>
      <c r="E181" s="197"/>
      <c r="F181" s="197"/>
      <c r="G181" s="197"/>
      <c r="H181" s="197"/>
      <c r="I181" s="197"/>
      <c r="J181" s="197"/>
      <c r="K181" s="197"/>
      <c r="L181" s="197"/>
      <c r="M181" s="197"/>
      <c r="N181" s="197"/>
      <c r="O181" s="197"/>
      <c r="P181" s="197"/>
      <c r="Q181" s="197"/>
    </row>
    <row r="182" customFormat="false" ht="12" hidden="false" customHeight="false" outlineLevel="0" collapsed="false">
      <c r="B182" s="197"/>
      <c r="C182" s="197"/>
      <c r="D182" s="197"/>
      <c r="E182" s="197"/>
      <c r="F182" s="197"/>
      <c r="G182" s="197"/>
      <c r="H182" s="197"/>
      <c r="I182" s="197"/>
      <c r="J182" s="197"/>
      <c r="K182" s="197"/>
      <c r="L182" s="197"/>
      <c r="M182" s="197"/>
      <c r="N182" s="197"/>
      <c r="O182" s="197"/>
      <c r="P182" s="197"/>
      <c r="Q182" s="197"/>
    </row>
    <row r="183" customFormat="false" ht="12" hidden="false" customHeight="false" outlineLevel="0" collapsed="false">
      <c r="B183" s="197"/>
      <c r="C183" s="197"/>
      <c r="D183" s="197"/>
      <c r="E183" s="197"/>
      <c r="F183" s="197"/>
      <c r="G183" s="197"/>
      <c r="H183" s="197"/>
      <c r="I183" s="197"/>
      <c r="J183" s="197"/>
      <c r="K183" s="197"/>
      <c r="L183" s="197"/>
      <c r="M183" s="197"/>
      <c r="N183" s="197"/>
      <c r="O183" s="197"/>
      <c r="P183" s="197"/>
      <c r="Q183" s="197"/>
    </row>
    <row r="184" customFormat="false" ht="12" hidden="false" customHeight="false" outlineLevel="0" collapsed="false">
      <c r="B184" s="197"/>
      <c r="C184" s="197"/>
      <c r="D184" s="197"/>
      <c r="E184" s="197"/>
      <c r="F184" s="197"/>
      <c r="G184" s="197"/>
      <c r="H184" s="197"/>
      <c r="I184" s="197"/>
      <c r="J184" s="197"/>
      <c r="K184" s="197"/>
      <c r="L184" s="197"/>
      <c r="M184" s="197"/>
      <c r="N184" s="197"/>
      <c r="O184" s="197"/>
      <c r="P184" s="197"/>
      <c r="Q184" s="197"/>
    </row>
    <row r="185" customFormat="false" ht="12" hidden="false" customHeight="false" outlineLevel="0" collapsed="false">
      <c r="B185" s="197"/>
      <c r="C185" s="197"/>
      <c r="D185" s="197"/>
      <c r="E185" s="197"/>
      <c r="F185" s="197"/>
      <c r="G185" s="197"/>
      <c r="H185" s="197"/>
      <c r="I185" s="197"/>
      <c r="J185" s="197"/>
      <c r="K185" s="197"/>
      <c r="L185" s="197"/>
      <c r="M185" s="197"/>
      <c r="N185" s="197"/>
      <c r="O185" s="197"/>
      <c r="P185" s="197"/>
      <c r="Q185" s="197"/>
    </row>
    <row r="186" customFormat="false" ht="12" hidden="false" customHeight="false" outlineLevel="0" collapsed="false">
      <c r="B186" s="197"/>
      <c r="C186" s="197"/>
      <c r="D186" s="197"/>
      <c r="E186" s="197"/>
      <c r="F186" s="197"/>
      <c r="G186" s="197"/>
      <c r="H186" s="197"/>
      <c r="I186" s="197"/>
      <c r="J186" s="197"/>
      <c r="K186" s="197"/>
      <c r="L186" s="197"/>
      <c r="M186" s="197"/>
      <c r="N186" s="197"/>
      <c r="O186" s="197"/>
      <c r="P186" s="197"/>
      <c r="Q186" s="197"/>
    </row>
    <row r="187" customFormat="false" ht="12" hidden="false" customHeight="false" outlineLevel="0" collapsed="false">
      <c r="B187" s="197"/>
      <c r="C187" s="197"/>
      <c r="D187" s="197"/>
      <c r="E187" s="197"/>
      <c r="F187" s="197"/>
      <c r="G187" s="197"/>
      <c r="H187" s="197"/>
      <c r="I187" s="197"/>
      <c r="J187" s="197"/>
      <c r="K187" s="197"/>
      <c r="L187" s="197"/>
      <c r="M187" s="197"/>
      <c r="N187" s="197"/>
      <c r="O187" s="197"/>
      <c r="P187" s="197"/>
      <c r="Q187" s="197"/>
    </row>
    <row r="188" customFormat="false" ht="12" hidden="false" customHeight="false" outlineLevel="0" collapsed="false">
      <c r="B188" s="197"/>
      <c r="C188" s="197"/>
      <c r="D188" s="197"/>
      <c r="E188" s="197"/>
      <c r="F188" s="197"/>
      <c r="G188" s="197"/>
      <c r="H188" s="197"/>
      <c r="I188" s="197"/>
      <c r="J188" s="197"/>
      <c r="K188" s="197"/>
      <c r="L188" s="197"/>
      <c r="M188" s="197"/>
      <c r="N188" s="197"/>
      <c r="O188" s="197"/>
      <c r="P188" s="197"/>
      <c r="Q188" s="197"/>
    </row>
    <row r="189" customFormat="false" ht="12" hidden="false" customHeight="false" outlineLevel="0" collapsed="false">
      <c r="B189" s="197"/>
      <c r="C189" s="197"/>
      <c r="D189" s="197"/>
      <c r="E189" s="197"/>
      <c r="F189" s="197"/>
      <c r="G189" s="197"/>
      <c r="H189" s="197"/>
      <c r="I189" s="197"/>
      <c r="J189" s="197"/>
      <c r="K189" s="197"/>
      <c r="L189" s="197"/>
      <c r="M189" s="197"/>
      <c r="N189" s="197"/>
      <c r="O189" s="197"/>
      <c r="P189" s="197"/>
      <c r="Q189" s="197"/>
    </row>
    <row r="190" customFormat="false" ht="12" hidden="false" customHeight="false" outlineLevel="0" collapsed="false">
      <c r="B190" s="197"/>
      <c r="C190" s="197"/>
      <c r="D190" s="197"/>
      <c r="E190" s="197"/>
      <c r="F190" s="197"/>
      <c r="G190" s="197"/>
      <c r="H190" s="197"/>
      <c r="I190" s="197"/>
      <c r="J190" s="197"/>
      <c r="K190" s="197"/>
      <c r="L190" s="197"/>
      <c r="M190" s="197"/>
      <c r="N190" s="197"/>
      <c r="O190" s="197"/>
      <c r="P190" s="197"/>
      <c r="Q190" s="197"/>
    </row>
    <row r="191" customFormat="false" ht="12" hidden="false" customHeight="false" outlineLevel="0" collapsed="false">
      <c r="B191" s="197"/>
      <c r="C191" s="197"/>
      <c r="D191" s="197"/>
      <c r="E191" s="197"/>
      <c r="F191" s="197"/>
      <c r="G191" s="197"/>
      <c r="H191" s="197"/>
      <c r="I191" s="197"/>
      <c r="J191" s="197"/>
      <c r="K191" s="197"/>
      <c r="L191" s="197"/>
      <c r="M191" s="197"/>
      <c r="N191" s="197"/>
      <c r="O191" s="197"/>
      <c r="P191" s="197"/>
      <c r="Q191" s="197"/>
    </row>
    <row r="192" customFormat="false" ht="12" hidden="false" customHeight="false" outlineLevel="0" collapsed="false">
      <c r="B192" s="197"/>
      <c r="C192" s="197"/>
      <c r="D192" s="197"/>
      <c r="E192" s="197"/>
      <c r="F192" s="197"/>
      <c r="G192" s="197"/>
      <c r="H192" s="197"/>
      <c r="I192" s="197"/>
      <c r="J192" s="197"/>
      <c r="K192" s="197"/>
      <c r="L192" s="197"/>
      <c r="M192" s="197"/>
      <c r="N192" s="197"/>
      <c r="O192" s="197"/>
      <c r="P192" s="197"/>
      <c r="Q192" s="197"/>
    </row>
    <row r="193" customFormat="false" ht="12" hidden="false" customHeight="false" outlineLevel="0" collapsed="false">
      <c r="B193" s="197"/>
      <c r="C193" s="197"/>
      <c r="D193" s="197"/>
      <c r="E193" s="197"/>
      <c r="F193" s="197"/>
      <c r="G193" s="197"/>
      <c r="H193" s="197"/>
      <c r="I193" s="197"/>
      <c r="J193" s="197"/>
      <c r="K193" s="197"/>
      <c r="L193" s="197"/>
      <c r="M193" s="197"/>
      <c r="N193" s="197"/>
      <c r="O193" s="197"/>
      <c r="P193" s="197"/>
      <c r="Q193" s="197"/>
    </row>
    <row r="194" customFormat="false" ht="12" hidden="false" customHeight="false" outlineLevel="0" collapsed="false">
      <c r="B194" s="197"/>
      <c r="C194" s="197"/>
      <c r="D194" s="197"/>
      <c r="E194" s="197"/>
      <c r="F194" s="197"/>
      <c r="G194" s="197"/>
      <c r="H194" s="197"/>
      <c r="I194" s="197"/>
      <c r="J194" s="197"/>
      <c r="K194" s="197"/>
      <c r="L194" s="197"/>
      <c r="M194" s="197"/>
      <c r="N194" s="197"/>
      <c r="O194" s="197"/>
      <c r="P194" s="197"/>
      <c r="Q194" s="197"/>
    </row>
    <row r="195" customFormat="false" ht="12" hidden="false" customHeight="false" outlineLevel="0" collapsed="false">
      <c r="B195" s="197"/>
      <c r="C195" s="197"/>
      <c r="D195" s="197"/>
      <c r="E195" s="197"/>
      <c r="F195" s="197"/>
      <c r="G195" s="197"/>
      <c r="H195" s="197"/>
      <c r="I195" s="197"/>
      <c r="J195" s="197"/>
      <c r="K195" s="197"/>
      <c r="L195" s="197"/>
      <c r="M195" s="197"/>
      <c r="N195" s="197"/>
      <c r="O195" s="197"/>
      <c r="P195" s="197"/>
      <c r="Q195" s="197"/>
    </row>
    <row r="196" customFormat="false" ht="12" hidden="false" customHeight="false" outlineLevel="0" collapsed="false">
      <c r="B196" s="197"/>
      <c r="C196" s="197"/>
      <c r="D196" s="197"/>
      <c r="E196" s="197"/>
      <c r="F196" s="197"/>
      <c r="G196" s="197"/>
      <c r="H196" s="197"/>
      <c r="I196" s="197"/>
      <c r="J196" s="197"/>
      <c r="K196" s="197"/>
      <c r="L196" s="197"/>
      <c r="M196" s="197"/>
      <c r="N196" s="197"/>
      <c r="O196" s="197"/>
      <c r="P196" s="197"/>
      <c r="Q196" s="197"/>
    </row>
    <row r="197" customFormat="false" ht="12" hidden="false" customHeight="false" outlineLevel="0" collapsed="false">
      <c r="B197" s="197"/>
      <c r="C197" s="197"/>
      <c r="D197" s="197"/>
      <c r="E197" s="197"/>
      <c r="F197" s="197"/>
      <c r="G197" s="197"/>
      <c r="H197" s="197"/>
      <c r="I197" s="197"/>
      <c r="J197" s="197"/>
      <c r="K197" s="197"/>
      <c r="L197" s="197"/>
      <c r="M197" s="197"/>
      <c r="N197" s="197"/>
      <c r="O197" s="197"/>
      <c r="P197" s="197"/>
      <c r="Q197" s="197"/>
    </row>
    <row r="198" customFormat="false" ht="12" hidden="false" customHeight="false" outlineLevel="0" collapsed="false">
      <c r="B198" s="197"/>
      <c r="C198" s="197"/>
      <c r="D198" s="197"/>
      <c r="E198" s="197"/>
      <c r="F198" s="197"/>
      <c r="G198" s="197"/>
      <c r="H198" s="197"/>
      <c r="I198" s="197"/>
      <c r="J198" s="197"/>
      <c r="K198" s="197"/>
      <c r="L198" s="197"/>
      <c r="M198" s="197"/>
      <c r="N198" s="197"/>
      <c r="O198" s="197"/>
      <c r="P198" s="197"/>
      <c r="Q198" s="197"/>
    </row>
    <row r="199" customFormat="false" ht="12" hidden="false" customHeight="false" outlineLevel="0" collapsed="false">
      <c r="B199" s="197"/>
      <c r="C199" s="197"/>
      <c r="D199" s="197"/>
      <c r="E199" s="197"/>
      <c r="F199" s="197"/>
      <c r="G199" s="197"/>
      <c r="H199" s="197"/>
      <c r="I199" s="197"/>
      <c r="J199" s="197"/>
      <c r="K199" s="197"/>
      <c r="L199" s="197"/>
      <c r="M199" s="197"/>
      <c r="N199" s="197"/>
      <c r="O199" s="197"/>
      <c r="P199" s="197"/>
      <c r="Q199" s="197"/>
    </row>
    <row r="200" customFormat="false" ht="12" hidden="false" customHeight="false" outlineLevel="0" collapsed="false">
      <c r="B200" s="197"/>
      <c r="C200" s="197"/>
      <c r="D200" s="197"/>
      <c r="E200" s="197"/>
      <c r="F200" s="197"/>
      <c r="G200" s="197"/>
      <c r="H200" s="197"/>
      <c r="I200" s="197"/>
      <c r="J200" s="197"/>
      <c r="K200" s="197"/>
      <c r="L200" s="197"/>
      <c r="M200" s="197"/>
      <c r="N200" s="197"/>
      <c r="O200" s="197"/>
      <c r="P200" s="197"/>
      <c r="Q200" s="197"/>
    </row>
    <row r="201" customFormat="false" ht="12" hidden="false" customHeight="false" outlineLevel="0" collapsed="false">
      <c r="B201" s="197"/>
      <c r="C201" s="197"/>
      <c r="D201" s="197"/>
      <c r="E201" s="197"/>
      <c r="F201" s="197"/>
      <c r="G201" s="197"/>
      <c r="H201" s="197"/>
      <c r="I201" s="197"/>
      <c r="J201" s="197"/>
      <c r="K201" s="197"/>
      <c r="L201" s="197"/>
      <c r="M201" s="197"/>
      <c r="N201" s="197"/>
      <c r="O201" s="197"/>
      <c r="P201" s="197"/>
      <c r="Q201" s="197"/>
    </row>
    <row r="202" customFormat="false" ht="12" hidden="false" customHeight="false" outlineLevel="0" collapsed="false">
      <c r="B202" s="197"/>
      <c r="C202" s="197"/>
      <c r="D202" s="197"/>
      <c r="E202" s="197"/>
      <c r="F202" s="197"/>
      <c r="G202" s="197"/>
      <c r="H202" s="197"/>
      <c r="I202" s="197"/>
      <c r="J202" s="197"/>
      <c r="K202" s="197"/>
      <c r="L202" s="197"/>
      <c r="M202" s="197"/>
      <c r="N202" s="197"/>
      <c r="O202" s="197"/>
      <c r="P202" s="197"/>
      <c r="Q202" s="197"/>
    </row>
    <row r="203" customFormat="false" ht="12" hidden="false" customHeight="false" outlineLevel="0" collapsed="false">
      <c r="B203" s="197"/>
      <c r="C203" s="197"/>
      <c r="D203" s="197"/>
      <c r="E203" s="197"/>
      <c r="F203" s="197"/>
      <c r="G203" s="197"/>
      <c r="H203" s="197"/>
      <c r="I203" s="197"/>
      <c r="J203" s="197"/>
      <c r="K203" s="197"/>
      <c r="L203" s="197"/>
      <c r="M203" s="197"/>
      <c r="N203" s="197"/>
      <c r="O203" s="197"/>
      <c r="P203" s="197"/>
      <c r="Q203" s="197"/>
    </row>
    <row r="204" customFormat="false" ht="12" hidden="false" customHeight="false" outlineLevel="0" collapsed="false">
      <c r="B204" s="197"/>
      <c r="C204" s="197"/>
      <c r="D204" s="197"/>
      <c r="E204" s="197"/>
      <c r="F204" s="197"/>
      <c r="G204" s="197"/>
      <c r="H204" s="197"/>
      <c r="I204" s="197"/>
      <c r="J204" s="197"/>
      <c r="K204" s="197"/>
      <c r="L204" s="197"/>
      <c r="M204" s="197"/>
      <c r="N204" s="197"/>
      <c r="O204" s="197"/>
      <c r="P204" s="197"/>
      <c r="Q204" s="197"/>
    </row>
    <row r="205" customFormat="false" ht="12" hidden="false" customHeight="false" outlineLevel="0" collapsed="false">
      <c r="B205" s="197"/>
      <c r="C205" s="197"/>
      <c r="D205" s="197"/>
      <c r="E205" s="197"/>
      <c r="F205" s="197"/>
      <c r="G205" s="197"/>
      <c r="H205" s="197"/>
      <c r="I205" s="197"/>
      <c r="J205" s="197"/>
      <c r="K205" s="197"/>
      <c r="L205" s="197"/>
      <c r="M205" s="197"/>
      <c r="N205" s="197"/>
      <c r="O205" s="197"/>
      <c r="P205" s="197"/>
      <c r="Q205" s="197"/>
    </row>
    <row r="206" customFormat="false" ht="12" hidden="false" customHeight="false" outlineLevel="0" collapsed="false">
      <c r="B206" s="197"/>
      <c r="C206" s="197"/>
      <c r="D206" s="197"/>
      <c r="E206" s="197"/>
      <c r="F206" s="197"/>
      <c r="G206" s="197"/>
      <c r="H206" s="197"/>
      <c r="I206" s="197"/>
      <c r="J206" s="197"/>
      <c r="K206" s="197"/>
      <c r="L206" s="197"/>
      <c r="M206" s="197"/>
      <c r="N206" s="197"/>
      <c r="O206" s="197"/>
      <c r="P206" s="197"/>
      <c r="Q206" s="197"/>
    </row>
    <row r="207" customFormat="false" ht="12" hidden="false" customHeight="false" outlineLevel="0" collapsed="false">
      <c r="B207" s="197"/>
      <c r="C207" s="197"/>
      <c r="D207" s="197"/>
      <c r="E207" s="197"/>
      <c r="F207" s="197"/>
      <c r="G207" s="197"/>
      <c r="H207" s="197"/>
      <c r="I207" s="197"/>
      <c r="J207" s="197"/>
      <c r="K207" s="197"/>
      <c r="L207" s="197"/>
      <c r="M207" s="197"/>
      <c r="N207" s="197"/>
      <c r="O207" s="197"/>
      <c r="P207" s="197"/>
      <c r="Q207" s="197"/>
    </row>
    <row r="208" customFormat="false" ht="12" hidden="false" customHeight="false" outlineLevel="0" collapsed="false">
      <c r="B208" s="197"/>
      <c r="C208" s="197"/>
      <c r="D208" s="197"/>
      <c r="E208" s="197"/>
      <c r="F208" s="197"/>
      <c r="G208" s="197"/>
      <c r="H208" s="197"/>
      <c r="I208" s="197"/>
      <c r="J208" s="197"/>
      <c r="K208" s="197"/>
      <c r="L208" s="197"/>
      <c r="M208" s="197"/>
      <c r="N208" s="197"/>
      <c r="O208" s="197"/>
      <c r="P208" s="197"/>
      <c r="Q208" s="197"/>
    </row>
    <row r="209" customFormat="false" ht="12" hidden="false" customHeight="false" outlineLevel="0" collapsed="false">
      <c r="B209" s="197"/>
      <c r="C209" s="197"/>
      <c r="D209" s="197"/>
      <c r="E209" s="197"/>
      <c r="F209" s="197"/>
      <c r="G209" s="197"/>
      <c r="H209" s="197"/>
      <c r="I209" s="197"/>
      <c r="J209" s="197"/>
      <c r="K209" s="197"/>
      <c r="L209" s="197"/>
      <c r="M209" s="197"/>
      <c r="N209" s="197"/>
      <c r="O209" s="197"/>
      <c r="P209" s="197"/>
      <c r="Q209" s="197"/>
    </row>
    <row r="210" customFormat="false" ht="12" hidden="false" customHeight="false" outlineLevel="0" collapsed="false">
      <c r="B210" s="197"/>
      <c r="C210" s="197"/>
      <c r="D210" s="197"/>
      <c r="E210" s="197"/>
      <c r="F210" s="197"/>
      <c r="G210" s="197"/>
      <c r="H210" s="197"/>
      <c r="I210" s="197"/>
      <c r="J210" s="197"/>
      <c r="K210" s="197"/>
      <c r="L210" s="197"/>
      <c r="M210" s="197"/>
      <c r="N210" s="197"/>
      <c r="O210" s="197"/>
      <c r="P210" s="197"/>
      <c r="Q210" s="197"/>
    </row>
    <row r="211" customFormat="false" ht="12" hidden="false" customHeight="false" outlineLevel="0" collapsed="false">
      <c r="B211" s="197"/>
      <c r="C211" s="197"/>
      <c r="D211" s="197"/>
      <c r="E211" s="197"/>
      <c r="F211" s="197"/>
      <c r="G211" s="197"/>
      <c r="H211" s="197"/>
      <c r="I211" s="197"/>
      <c r="J211" s="197"/>
      <c r="K211" s="197"/>
      <c r="L211" s="197"/>
      <c r="M211" s="197"/>
      <c r="N211" s="197"/>
      <c r="O211" s="197"/>
      <c r="P211" s="197"/>
      <c r="Q211" s="197"/>
    </row>
    <row r="212" customFormat="false" ht="12" hidden="false" customHeight="false" outlineLevel="0" collapsed="false">
      <c r="B212" s="197"/>
      <c r="C212" s="197"/>
      <c r="D212" s="197"/>
      <c r="E212" s="197"/>
      <c r="F212" s="197"/>
      <c r="G212" s="197"/>
      <c r="H212" s="197"/>
      <c r="I212" s="197"/>
      <c r="J212" s="197"/>
      <c r="K212" s="197"/>
      <c r="L212" s="197"/>
      <c r="M212" s="197"/>
      <c r="N212" s="197"/>
      <c r="O212" s="197"/>
      <c r="P212" s="197"/>
      <c r="Q212" s="197"/>
    </row>
    <row r="213" customFormat="false" ht="12" hidden="false" customHeight="false" outlineLevel="0" collapsed="false">
      <c r="B213" s="197"/>
      <c r="C213" s="197"/>
      <c r="D213" s="197"/>
      <c r="E213" s="197"/>
      <c r="F213" s="197"/>
      <c r="G213" s="197"/>
      <c r="H213" s="197"/>
      <c r="I213" s="197"/>
      <c r="J213" s="197"/>
      <c r="K213" s="197"/>
      <c r="L213" s="197"/>
      <c r="M213" s="197"/>
      <c r="N213" s="197"/>
      <c r="O213" s="197"/>
      <c r="P213" s="197"/>
      <c r="Q213" s="197"/>
    </row>
    <row r="214" customFormat="false" ht="12" hidden="false" customHeight="false" outlineLevel="0" collapsed="false">
      <c r="B214" s="197"/>
      <c r="C214" s="197"/>
      <c r="D214" s="197"/>
      <c r="E214" s="197"/>
      <c r="F214" s="197"/>
      <c r="G214" s="197"/>
      <c r="H214" s="197"/>
      <c r="I214" s="197"/>
      <c r="J214" s="197"/>
      <c r="K214" s="197"/>
      <c r="L214" s="197"/>
      <c r="M214" s="197"/>
      <c r="N214" s="197"/>
      <c r="O214" s="197"/>
      <c r="P214" s="197"/>
      <c r="Q214" s="197"/>
    </row>
    <row r="215" customFormat="false" ht="12" hidden="false" customHeight="false" outlineLevel="0" collapsed="false">
      <c r="B215" s="197"/>
      <c r="C215" s="197"/>
      <c r="D215" s="197"/>
      <c r="E215" s="197"/>
      <c r="F215" s="197"/>
      <c r="G215" s="197"/>
      <c r="H215" s="197"/>
      <c r="I215" s="197"/>
      <c r="J215" s="197"/>
      <c r="K215" s="197"/>
      <c r="L215" s="197"/>
      <c r="M215" s="197"/>
      <c r="N215" s="197"/>
      <c r="O215" s="197"/>
      <c r="P215" s="197"/>
      <c r="Q215" s="197"/>
    </row>
    <row r="216" customFormat="false" ht="12" hidden="false" customHeight="false" outlineLevel="0" collapsed="false">
      <c r="B216" s="197"/>
      <c r="C216" s="197"/>
      <c r="D216" s="197"/>
      <c r="E216" s="197"/>
      <c r="F216" s="197"/>
      <c r="G216" s="197"/>
      <c r="H216" s="197"/>
      <c r="I216" s="197"/>
      <c r="J216" s="197"/>
      <c r="K216" s="197"/>
      <c r="L216" s="197"/>
      <c r="M216" s="197"/>
      <c r="N216" s="197"/>
      <c r="O216" s="197"/>
      <c r="P216" s="197"/>
      <c r="Q216" s="197"/>
    </row>
    <row r="217" customFormat="false" ht="12" hidden="false" customHeight="false" outlineLevel="0" collapsed="false">
      <c r="B217" s="197"/>
      <c r="C217" s="197"/>
      <c r="D217" s="197"/>
      <c r="E217" s="197"/>
      <c r="F217" s="197"/>
      <c r="G217" s="197"/>
      <c r="H217" s="197"/>
      <c r="I217" s="197"/>
      <c r="J217" s="197"/>
      <c r="K217" s="197"/>
      <c r="L217" s="197"/>
      <c r="M217" s="197"/>
      <c r="N217" s="197"/>
      <c r="O217" s="197"/>
      <c r="P217" s="197"/>
      <c r="Q217" s="197"/>
    </row>
    <row r="218" customFormat="false" ht="12" hidden="false" customHeight="false" outlineLevel="0" collapsed="false">
      <c r="B218" s="197"/>
      <c r="C218" s="197"/>
      <c r="D218" s="197"/>
      <c r="E218" s="197"/>
      <c r="F218" s="197"/>
      <c r="G218" s="197"/>
      <c r="H218" s="197"/>
      <c r="I218" s="197"/>
      <c r="J218" s="197"/>
      <c r="K218" s="197"/>
      <c r="L218" s="197"/>
      <c r="M218" s="197"/>
      <c r="N218" s="197"/>
      <c r="O218" s="197"/>
      <c r="P218" s="197"/>
      <c r="Q218" s="197"/>
    </row>
    <row r="219" customFormat="false" ht="12" hidden="false" customHeight="false" outlineLevel="0" collapsed="false">
      <c r="B219" s="197"/>
      <c r="C219" s="197"/>
      <c r="D219" s="197"/>
      <c r="E219" s="197"/>
      <c r="F219" s="197"/>
      <c r="G219" s="197"/>
      <c r="H219" s="197"/>
      <c r="I219" s="197"/>
      <c r="J219" s="197"/>
      <c r="K219" s="197"/>
      <c r="L219" s="197"/>
      <c r="M219" s="197"/>
      <c r="N219" s="197"/>
      <c r="O219" s="197"/>
      <c r="P219" s="197"/>
      <c r="Q219" s="197"/>
    </row>
    <row r="220" customFormat="false" ht="12" hidden="false" customHeight="false" outlineLevel="0" collapsed="false">
      <c r="B220" s="197"/>
      <c r="C220" s="197"/>
      <c r="D220" s="197"/>
      <c r="E220" s="197"/>
      <c r="F220" s="197"/>
      <c r="G220" s="197"/>
      <c r="H220" s="197"/>
      <c r="I220" s="197"/>
      <c r="J220" s="197"/>
      <c r="K220" s="197"/>
      <c r="L220" s="197"/>
      <c r="M220" s="197"/>
      <c r="N220" s="197"/>
      <c r="O220" s="197"/>
      <c r="P220" s="197"/>
      <c r="Q220" s="197"/>
    </row>
    <row r="221" customFormat="false" ht="12" hidden="false" customHeight="false" outlineLevel="0" collapsed="false">
      <c r="B221" s="197"/>
      <c r="C221" s="197"/>
      <c r="D221" s="197"/>
      <c r="E221" s="197"/>
      <c r="F221" s="197"/>
      <c r="G221" s="197"/>
      <c r="H221" s="197"/>
      <c r="I221" s="197"/>
      <c r="J221" s="197"/>
      <c r="K221" s="197"/>
      <c r="L221" s="197"/>
      <c r="M221" s="197"/>
      <c r="N221" s="197"/>
      <c r="O221" s="197"/>
      <c r="P221" s="197"/>
      <c r="Q221" s="197"/>
    </row>
    <row r="222" customFormat="false" ht="12" hidden="false" customHeight="false" outlineLevel="0" collapsed="false">
      <c r="B222" s="197"/>
      <c r="C222" s="197"/>
      <c r="D222" s="197"/>
      <c r="E222" s="197"/>
      <c r="F222" s="197"/>
      <c r="G222" s="197"/>
      <c r="H222" s="197"/>
      <c r="I222" s="197"/>
      <c r="J222" s="197"/>
      <c r="K222" s="197"/>
      <c r="L222" s="197"/>
      <c r="M222" s="197"/>
      <c r="N222" s="197"/>
      <c r="O222" s="197"/>
      <c r="P222" s="197"/>
      <c r="Q222" s="197"/>
    </row>
    <row r="223" customFormat="false" ht="12" hidden="false" customHeight="false" outlineLevel="0" collapsed="false">
      <c r="B223" s="197"/>
      <c r="C223" s="197"/>
      <c r="D223" s="197"/>
      <c r="E223" s="197"/>
      <c r="F223" s="197"/>
      <c r="G223" s="197"/>
      <c r="H223" s="197"/>
      <c r="I223" s="197"/>
      <c r="J223" s="197"/>
      <c r="K223" s="197"/>
      <c r="L223" s="197"/>
      <c r="M223" s="197"/>
      <c r="N223" s="197"/>
      <c r="O223" s="197"/>
      <c r="P223" s="197"/>
      <c r="Q223" s="197"/>
    </row>
    <row r="224" customFormat="false" ht="12" hidden="false" customHeight="false" outlineLevel="0" collapsed="false">
      <c r="B224" s="197"/>
      <c r="C224" s="197"/>
      <c r="D224" s="197"/>
      <c r="E224" s="197"/>
      <c r="F224" s="197"/>
      <c r="G224" s="197"/>
      <c r="H224" s="197"/>
      <c r="I224" s="197"/>
      <c r="J224" s="197"/>
      <c r="K224" s="197"/>
      <c r="L224" s="197"/>
      <c r="M224" s="197"/>
      <c r="N224" s="197"/>
      <c r="O224" s="197"/>
      <c r="P224" s="197"/>
      <c r="Q224" s="197"/>
    </row>
    <row r="225" customFormat="false" ht="12" hidden="false" customHeight="false" outlineLevel="0" collapsed="false">
      <c r="B225" s="197"/>
      <c r="C225" s="197"/>
      <c r="D225" s="197"/>
      <c r="E225" s="197"/>
      <c r="F225" s="197"/>
      <c r="G225" s="197"/>
      <c r="H225" s="197"/>
      <c r="I225" s="197"/>
      <c r="J225" s="197"/>
      <c r="K225" s="197"/>
      <c r="L225" s="197"/>
      <c r="M225" s="197"/>
      <c r="N225" s="197"/>
      <c r="O225" s="197"/>
      <c r="P225" s="197"/>
      <c r="Q225" s="197"/>
    </row>
    <row r="226" customFormat="false" ht="12" hidden="false" customHeight="false" outlineLevel="0" collapsed="false">
      <c r="B226" s="197"/>
      <c r="C226" s="197"/>
      <c r="D226" s="197"/>
      <c r="E226" s="197"/>
      <c r="F226" s="197"/>
      <c r="G226" s="197"/>
      <c r="H226" s="197"/>
      <c r="I226" s="197"/>
      <c r="J226" s="197"/>
      <c r="K226" s="197"/>
      <c r="L226" s="197"/>
      <c r="M226" s="197"/>
      <c r="N226" s="197"/>
      <c r="O226" s="197"/>
      <c r="P226" s="197"/>
      <c r="Q226" s="197"/>
    </row>
    <row r="227" customFormat="false" ht="12" hidden="false" customHeight="false" outlineLevel="0" collapsed="false">
      <c r="B227" s="197"/>
      <c r="C227" s="197"/>
      <c r="D227" s="197"/>
      <c r="E227" s="197"/>
      <c r="F227" s="197"/>
      <c r="G227" s="197"/>
      <c r="H227" s="197"/>
      <c r="I227" s="197"/>
      <c r="J227" s="197"/>
      <c r="K227" s="197"/>
      <c r="L227" s="197"/>
      <c r="M227" s="197"/>
      <c r="N227" s="197"/>
      <c r="O227" s="197"/>
      <c r="P227" s="197"/>
      <c r="Q227" s="197"/>
    </row>
    <row r="228" customFormat="false" ht="12" hidden="false" customHeight="false" outlineLevel="0" collapsed="false">
      <c r="B228" s="197"/>
      <c r="C228" s="197"/>
      <c r="D228" s="197"/>
      <c r="E228" s="197"/>
      <c r="F228" s="197"/>
      <c r="G228" s="197"/>
      <c r="H228" s="197"/>
      <c r="I228" s="197"/>
      <c r="J228" s="197"/>
      <c r="K228" s="197"/>
      <c r="L228" s="197"/>
      <c r="M228" s="197"/>
      <c r="N228" s="197"/>
      <c r="O228" s="197"/>
      <c r="P228" s="197"/>
      <c r="Q228" s="197"/>
    </row>
    <row r="229" customFormat="false" ht="12" hidden="false" customHeight="false" outlineLevel="0" collapsed="false">
      <c r="B229" s="197"/>
      <c r="C229" s="197"/>
      <c r="D229" s="197"/>
      <c r="E229" s="197"/>
      <c r="F229" s="197"/>
      <c r="G229" s="197"/>
      <c r="H229" s="197"/>
      <c r="I229" s="197"/>
      <c r="J229" s="197"/>
      <c r="K229" s="197"/>
      <c r="L229" s="197"/>
      <c r="M229" s="197"/>
      <c r="N229" s="197"/>
      <c r="O229" s="197"/>
      <c r="P229" s="197"/>
      <c r="Q229" s="197"/>
    </row>
    <row r="230" customFormat="false" ht="12" hidden="false" customHeight="false" outlineLevel="0" collapsed="false">
      <c r="B230" s="197"/>
      <c r="C230" s="197"/>
      <c r="D230" s="197"/>
      <c r="E230" s="197"/>
      <c r="F230" s="197"/>
      <c r="G230" s="197"/>
      <c r="H230" s="197"/>
      <c r="I230" s="197"/>
      <c r="J230" s="197"/>
      <c r="K230" s="197"/>
      <c r="L230" s="197"/>
      <c r="M230" s="197"/>
      <c r="N230" s="197"/>
      <c r="O230" s="197"/>
      <c r="P230" s="197"/>
      <c r="Q230" s="197"/>
    </row>
    <row r="231" customFormat="false" ht="12" hidden="false" customHeight="false" outlineLevel="0" collapsed="false">
      <c r="B231" s="197"/>
      <c r="C231" s="197"/>
      <c r="D231" s="197"/>
      <c r="E231" s="197"/>
      <c r="F231" s="197"/>
      <c r="G231" s="197"/>
      <c r="H231" s="197"/>
      <c r="I231" s="197"/>
      <c r="J231" s="197"/>
      <c r="K231" s="197"/>
      <c r="L231" s="197"/>
      <c r="M231" s="197"/>
      <c r="N231" s="197"/>
      <c r="O231" s="197"/>
      <c r="P231" s="197"/>
      <c r="Q231" s="197"/>
    </row>
    <row r="232" customFormat="false" ht="12" hidden="false" customHeight="false" outlineLevel="0" collapsed="false">
      <c r="B232" s="197"/>
      <c r="C232" s="197"/>
      <c r="D232" s="197"/>
      <c r="E232" s="197"/>
      <c r="F232" s="197"/>
      <c r="G232" s="197"/>
      <c r="H232" s="197"/>
      <c r="I232" s="197"/>
      <c r="J232" s="197"/>
      <c r="K232" s="197"/>
      <c r="L232" s="197"/>
      <c r="M232" s="197"/>
      <c r="N232" s="197"/>
      <c r="O232" s="197"/>
      <c r="P232" s="197"/>
      <c r="Q232" s="197"/>
    </row>
    <row r="233" customFormat="false" ht="12" hidden="false" customHeight="false" outlineLevel="0" collapsed="false">
      <c r="B233" s="197"/>
      <c r="C233" s="197"/>
      <c r="D233" s="197"/>
      <c r="E233" s="197"/>
      <c r="F233" s="197"/>
      <c r="G233" s="197"/>
      <c r="H233" s="197"/>
      <c r="I233" s="197"/>
      <c r="J233" s="197"/>
      <c r="K233" s="197"/>
      <c r="L233" s="197"/>
      <c r="M233" s="197"/>
      <c r="N233" s="197"/>
      <c r="O233" s="197"/>
      <c r="P233" s="197"/>
      <c r="Q233" s="197"/>
    </row>
    <row r="234" customFormat="false" ht="12" hidden="false" customHeight="false" outlineLevel="0" collapsed="false">
      <c r="B234" s="197"/>
      <c r="C234" s="197"/>
      <c r="D234" s="197"/>
      <c r="E234" s="197"/>
      <c r="F234" s="197"/>
      <c r="G234" s="197"/>
      <c r="H234" s="197"/>
      <c r="I234" s="197"/>
      <c r="J234" s="197"/>
      <c r="K234" s="197"/>
      <c r="L234" s="197"/>
      <c r="M234" s="197"/>
      <c r="N234" s="197"/>
      <c r="O234" s="197"/>
      <c r="P234" s="197"/>
      <c r="Q234" s="197"/>
    </row>
    <row r="235" customFormat="false" ht="12" hidden="false" customHeight="false" outlineLevel="0" collapsed="false">
      <c r="B235" s="197"/>
      <c r="C235" s="197"/>
      <c r="D235" s="197"/>
      <c r="E235" s="197"/>
      <c r="F235" s="197"/>
      <c r="G235" s="197"/>
      <c r="H235" s="197"/>
      <c r="I235" s="197"/>
      <c r="J235" s="197"/>
      <c r="K235" s="197"/>
      <c r="L235" s="197"/>
      <c r="M235" s="197"/>
      <c r="N235" s="197"/>
      <c r="O235" s="197"/>
      <c r="P235" s="197"/>
      <c r="Q235" s="197"/>
    </row>
    <row r="236" customFormat="false" ht="12" hidden="false" customHeight="false" outlineLevel="0" collapsed="false">
      <c r="B236" s="197"/>
      <c r="C236" s="197"/>
      <c r="D236" s="197"/>
      <c r="E236" s="197"/>
      <c r="F236" s="197"/>
      <c r="G236" s="197"/>
      <c r="H236" s="197"/>
      <c r="I236" s="197"/>
      <c r="J236" s="197"/>
      <c r="K236" s="197"/>
      <c r="L236" s="197"/>
      <c r="M236" s="197"/>
      <c r="N236" s="197"/>
      <c r="O236" s="197"/>
      <c r="P236" s="197"/>
      <c r="Q236" s="197"/>
    </row>
    <row r="237" customFormat="false" ht="12" hidden="false" customHeight="false" outlineLevel="0" collapsed="false">
      <c r="B237" s="197"/>
      <c r="C237" s="197"/>
      <c r="D237" s="197"/>
      <c r="E237" s="197"/>
      <c r="F237" s="197"/>
      <c r="G237" s="197"/>
      <c r="H237" s="197"/>
      <c r="I237" s="197"/>
      <c r="J237" s="197"/>
      <c r="K237" s="197"/>
      <c r="L237" s="197"/>
      <c r="M237" s="197"/>
      <c r="N237" s="197"/>
      <c r="O237" s="197"/>
      <c r="P237" s="197"/>
      <c r="Q237" s="197"/>
    </row>
    <row r="238" customFormat="false" ht="12" hidden="false" customHeight="false" outlineLevel="0" collapsed="false">
      <c r="B238" s="197"/>
      <c r="C238" s="197"/>
      <c r="D238" s="197"/>
      <c r="E238" s="197"/>
      <c r="F238" s="197"/>
      <c r="G238" s="197"/>
      <c r="H238" s="197"/>
      <c r="I238" s="197"/>
      <c r="J238" s="197"/>
      <c r="K238" s="197"/>
      <c r="L238" s="197"/>
      <c r="M238" s="197"/>
      <c r="N238" s="197"/>
      <c r="O238" s="197"/>
      <c r="P238" s="197"/>
      <c r="Q238" s="197"/>
    </row>
    <row r="239" customFormat="false" ht="12" hidden="false" customHeight="false" outlineLevel="0" collapsed="false">
      <c r="B239" s="197"/>
      <c r="C239" s="197"/>
      <c r="D239" s="197"/>
      <c r="E239" s="197"/>
      <c r="F239" s="197"/>
      <c r="G239" s="197"/>
      <c r="H239" s="197"/>
      <c r="I239" s="197"/>
      <c r="J239" s="197"/>
      <c r="K239" s="197"/>
      <c r="L239" s="197"/>
      <c r="M239" s="197"/>
      <c r="N239" s="197"/>
      <c r="O239" s="197"/>
      <c r="P239" s="197"/>
      <c r="Q239" s="197"/>
    </row>
    <row r="240" customFormat="false" ht="12" hidden="false" customHeight="false" outlineLevel="0" collapsed="false">
      <c r="B240" s="197"/>
      <c r="C240" s="197"/>
      <c r="D240" s="197"/>
      <c r="E240" s="197"/>
      <c r="F240" s="197"/>
      <c r="G240" s="197"/>
      <c r="H240" s="197"/>
      <c r="I240" s="197"/>
      <c r="J240" s="197"/>
      <c r="K240" s="197"/>
      <c r="L240" s="197"/>
      <c r="M240" s="197"/>
      <c r="N240" s="197"/>
      <c r="O240" s="197"/>
      <c r="P240" s="197"/>
      <c r="Q240" s="197"/>
    </row>
    <row r="241" customFormat="false" ht="12" hidden="false" customHeight="false" outlineLevel="0" collapsed="false">
      <c r="B241" s="197"/>
      <c r="C241" s="197"/>
      <c r="D241" s="197"/>
      <c r="E241" s="197"/>
      <c r="F241" s="197"/>
      <c r="G241" s="197"/>
      <c r="H241" s="197"/>
      <c r="I241" s="197"/>
      <c r="J241" s="197"/>
      <c r="K241" s="197"/>
      <c r="L241" s="197"/>
      <c r="M241" s="197"/>
      <c r="N241" s="197"/>
      <c r="O241" s="197"/>
      <c r="P241" s="197"/>
      <c r="Q241" s="197"/>
    </row>
    <row r="242" customFormat="false" ht="12" hidden="false" customHeight="false" outlineLevel="0" collapsed="false">
      <c r="B242" s="197"/>
      <c r="C242" s="197"/>
      <c r="D242" s="197"/>
      <c r="E242" s="197"/>
      <c r="F242" s="197"/>
      <c r="G242" s="197"/>
      <c r="H242" s="197"/>
      <c r="I242" s="197"/>
      <c r="J242" s="197"/>
      <c r="K242" s="197"/>
      <c r="L242" s="197"/>
      <c r="M242" s="197"/>
      <c r="N242" s="197"/>
      <c r="O242" s="197"/>
      <c r="P242" s="197"/>
      <c r="Q242" s="197"/>
    </row>
    <row r="243" customFormat="false" ht="12" hidden="false" customHeight="false" outlineLevel="0" collapsed="false">
      <c r="B243" s="197"/>
      <c r="C243" s="197"/>
      <c r="D243" s="197"/>
      <c r="E243" s="197"/>
      <c r="F243" s="197"/>
      <c r="G243" s="197"/>
      <c r="H243" s="197"/>
      <c r="I243" s="197"/>
      <c r="J243" s="197"/>
      <c r="K243" s="197"/>
      <c r="L243" s="197"/>
      <c r="M243" s="197"/>
      <c r="N243" s="197"/>
      <c r="O243" s="197"/>
      <c r="P243" s="197"/>
      <c r="Q243" s="197"/>
    </row>
    <row r="244" customFormat="false" ht="12" hidden="false" customHeight="false" outlineLevel="0" collapsed="false">
      <c r="B244" s="197"/>
      <c r="C244" s="197"/>
      <c r="D244" s="197"/>
      <c r="E244" s="197"/>
      <c r="F244" s="197"/>
      <c r="G244" s="197"/>
      <c r="H244" s="197"/>
      <c r="I244" s="197"/>
      <c r="J244" s="197"/>
      <c r="K244" s="197"/>
      <c r="L244" s="197"/>
      <c r="M244" s="197"/>
      <c r="N244" s="197"/>
      <c r="O244" s="197"/>
      <c r="P244" s="197"/>
      <c r="Q244" s="197"/>
    </row>
    <row r="245" customFormat="false" ht="12" hidden="false" customHeight="false" outlineLevel="0" collapsed="false">
      <c r="B245" s="197"/>
      <c r="C245" s="197"/>
      <c r="D245" s="197"/>
      <c r="E245" s="197"/>
      <c r="F245" s="197"/>
      <c r="G245" s="197"/>
      <c r="H245" s="197"/>
      <c r="I245" s="197"/>
      <c r="J245" s="197"/>
      <c r="K245" s="197"/>
      <c r="L245" s="197"/>
      <c r="M245" s="197"/>
      <c r="N245" s="197"/>
      <c r="O245" s="197"/>
      <c r="P245" s="197"/>
      <c r="Q245" s="197"/>
    </row>
    <row r="246" customFormat="false" ht="12" hidden="false" customHeight="false" outlineLevel="0" collapsed="false">
      <c r="B246" s="197"/>
      <c r="C246" s="197"/>
      <c r="D246" s="197"/>
      <c r="E246" s="197"/>
      <c r="F246" s="197"/>
      <c r="G246" s="197"/>
      <c r="H246" s="197"/>
      <c r="I246" s="197"/>
      <c r="J246" s="197"/>
      <c r="K246" s="197"/>
      <c r="L246" s="197"/>
      <c r="M246" s="197"/>
      <c r="N246" s="197"/>
      <c r="O246" s="197"/>
      <c r="P246" s="197"/>
      <c r="Q246" s="197"/>
    </row>
    <row r="247" customFormat="false" ht="12" hidden="false" customHeight="false" outlineLevel="0" collapsed="false">
      <c r="O247" s="197"/>
      <c r="P247" s="197"/>
      <c r="Q247" s="197"/>
    </row>
    <row r="248" customFormat="false" ht="12" hidden="false" customHeight="false" outlineLevel="0" collapsed="false">
      <c r="O248" s="197"/>
      <c r="P248" s="197"/>
      <c r="Q248" s="197"/>
    </row>
    <row r="249" customFormat="false" ht="12" hidden="false" customHeight="false" outlineLevel="0" collapsed="false">
      <c r="O249" s="197"/>
      <c r="P249" s="197"/>
      <c r="Q249" s="197"/>
    </row>
    <row r="250" customFormat="false" ht="12" hidden="false" customHeight="false" outlineLevel="0" collapsed="false">
      <c r="O250" s="197"/>
      <c r="P250" s="197"/>
      <c r="Q250" s="197"/>
    </row>
    <row r="251" customFormat="false" ht="12" hidden="false" customHeight="false" outlineLevel="0" collapsed="false">
      <c r="O251" s="197"/>
      <c r="P251" s="197"/>
      <c r="Q251" s="197"/>
    </row>
    <row r="252" customFormat="false" ht="12" hidden="false" customHeight="false" outlineLevel="0" collapsed="false">
      <c r="O252" s="197"/>
      <c r="P252" s="197"/>
      <c r="Q252" s="197"/>
    </row>
    <row r="253" customFormat="false" ht="12" hidden="false" customHeight="false" outlineLevel="0" collapsed="false">
      <c r="O253" s="197"/>
      <c r="P253" s="197"/>
      <c r="Q253" s="197"/>
    </row>
    <row r="254" customFormat="false" ht="12" hidden="false" customHeight="false" outlineLevel="0" collapsed="false">
      <c r="O254" s="197"/>
      <c r="P254" s="197"/>
      <c r="Q254" s="197"/>
    </row>
    <row r="255" customFormat="false" ht="12" hidden="false" customHeight="false" outlineLevel="0" collapsed="false">
      <c r="O255" s="197"/>
      <c r="P255" s="197"/>
      <c r="Q255" s="197"/>
    </row>
    <row r="256" customFormat="false" ht="12" hidden="false" customHeight="false" outlineLevel="0" collapsed="false">
      <c r="O256" s="197"/>
      <c r="P256" s="197"/>
      <c r="Q256" s="197"/>
    </row>
    <row r="257" customFormat="false" ht="12" hidden="false" customHeight="false" outlineLevel="0" collapsed="false">
      <c r="O257" s="197"/>
      <c r="P257" s="197"/>
      <c r="Q257" s="197"/>
    </row>
    <row r="258" customFormat="false" ht="12" hidden="false" customHeight="false" outlineLevel="0" collapsed="false">
      <c r="O258" s="197"/>
      <c r="P258" s="197"/>
      <c r="Q258" s="197"/>
    </row>
  </sheetData>
  <mergeCells count="15">
    <mergeCell ref="A3:O3"/>
    <mergeCell ref="B6:G6"/>
    <mergeCell ref="H6:I6"/>
    <mergeCell ref="J6:O6"/>
    <mergeCell ref="A7:A8"/>
    <mergeCell ref="D7:D8"/>
    <mergeCell ref="E7:E8"/>
    <mergeCell ref="F7:F8"/>
    <mergeCell ref="G7:G8"/>
    <mergeCell ref="H7:H8"/>
    <mergeCell ref="I7:I8"/>
    <mergeCell ref="L7:L8"/>
    <mergeCell ref="M7:M8"/>
    <mergeCell ref="N7:N8"/>
    <mergeCell ref="O7:O8"/>
  </mergeCells>
  <hyperlinks>
    <hyperlink ref="B1" location="Index!A1" display="Back to index"/>
  </hyperlinks>
  <printOptions headings="false" gridLines="false" gridLinesSet="true" horizontalCentered="true" verticalCentered="true"/>
  <pageMargins left="0.75" right="0" top="0.984027777777778" bottom="0.9840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C0C0"/>
    <pageSetUpPr fitToPage="true"/>
  </sheetPr>
  <dimension ref="A1:AI3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9" topLeftCell="B90" activePane="bottomRight" state="frozen"/>
      <selection pane="topLeft" activeCell="A1" activeCellId="0" sqref="A1"/>
      <selection pane="topRight" activeCell="B1" activeCellId="0" sqref="B1"/>
      <selection pane="bottomLeft" activeCell="A90" activeCellId="0" sqref="A90"/>
      <selection pane="bottomRight" activeCell="A3" activeCellId="0" sqref="A3"/>
    </sheetView>
  </sheetViews>
  <sheetFormatPr defaultColWidth="11.0546875" defaultRowHeight="12" zeroHeight="false" outlineLevelRow="0" outlineLevelCol="0"/>
  <cols>
    <col collapsed="false" customWidth="true" hidden="false" outlineLevel="0" max="13" min="1" style="0" width="9.82"/>
  </cols>
  <sheetData>
    <row r="1" customFormat="false" ht="12" hidden="false" customHeight="false" outlineLevel="0" collapsed="false">
      <c r="B1" s="21" t="s">
        <v>9</v>
      </c>
      <c r="C1" s="198"/>
      <c r="D1" s="198"/>
      <c r="E1" s="198"/>
      <c r="F1" s="198"/>
      <c r="G1" s="1589"/>
      <c r="H1" s="198"/>
      <c r="I1" s="198"/>
      <c r="J1" s="198"/>
      <c r="K1" s="198"/>
      <c r="L1" s="198"/>
      <c r="M1" s="198"/>
    </row>
    <row r="2" customFormat="false" ht="13" hidden="false" customHeight="false" outlineLevel="0" collapsed="false">
      <c r="B2" s="198"/>
      <c r="C2" s="198"/>
      <c r="D2" s="198"/>
      <c r="E2" s="198"/>
      <c r="F2" s="198"/>
      <c r="G2" s="1589"/>
      <c r="H2" s="198"/>
      <c r="I2" s="198"/>
      <c r="J2" s="198"/>
      <c r="K2" s="198"/>
      <c r="L2" s="198"/>
      <c r="M2" s="198"/>
    </row>
    <row r="3" customFormat="false" ht="19" hidden="false" customHeight="true" outlineLevel="0" collapsed="false">
      <c r="A3" s="27" t="s">
        <v>507</v>
      </c>
      <c r="B3" s="27"/>
      <c r="C3" s="27"/>
      <c r="D3" s="27"/>
      <c r="E3" s="27"/>
      <c r="F3" s="27"/>
      <c r="G3" s="27"/>
      <c r="H3" s="27"/>
      <c r="I3" s="27"/>
      <c r="J3" s="27"/>
      <c r="K3" s="27"/>
      <c r="L3" s="27"/>
      <c r="M3" s="27"/>
    </row>
    <row r="4" customFormat="false" ht="12" hidden="false" customHeight="true" outlineLevel="0" collapsed="false">
      <c r="A4" s="28"/>
      <c r="B4" s="29"/>
      <c r="C4" s="29"/>
      <c r="D4" s="29"/>
      <c r="E4" s="29"/>
      <c r="F4" s="29"/>
      <c r="G4" s="29"/>
      <c r="H4" s="29"/>
      <c r="I4" s="29"/>
      <c r="J4" s="29"/>
      <c r="K4" s="29"/>
      <c r="L4" s="29"/>
      <c r="M4" s="199"/>
    </row>
    <row r="5" customFormat="false" ht="12" hidden="false" customHeight="true" outlineLevel="0" collapsed="false">
      <c r="A5" s="28"/>
      <c r="B5" s="553" t="s">
        <v>11</v>
      </c>
      <c r="C5" s="553" t="s">
        <v>12</v>
      </c>
      <c r="D5" s="553" t="s">
        <v>13</v>
      </c>
      <c r="E5" s="553" t="s">
        <v>14</v>
      </c>
      <c r="F5" s="553" t="s">
        <v>15</v>
      </c>
      <c r="G5" s="553" t="s">
        <v>16</v>
      </c>
      <c r="H5" s="553" t="s">
        <v>17</v>
      </c>
      <c r="I5" s="553" t="s">
        <v>18</v>
      </c>
      <c r="J5" s="553" t="s">
        <v>19</v>
      </c>
      <c r="K5" s="553" t="s">
        <v>20</v>
      </c>
      <c r="L5" s="553" t="s">
        <v>21</v>
      </c>
      <c r="M5" s="555" t="s">
        <v>22</v>
      </c>
    </row>
    <row r="6" customFormat="false" ht="12" hidden="false" customHeight="true" outlineLevel="0" collapsed="false">
      <c r="A6" s="28"/>
      <c r="B6" s="1307" t="s">
        <v>508</v>
      </c>
      <c r="C6" s="1307"/>
      <c r="D6" s="1307"/>
      <c r="E6" s="1307"/>
      <c r="F6" s="1307"/>
      <c r="G6" s="1307"/>
      <c r="H6" s="1307"/>
      <c r="I6" s="1307"/>
      <c r="J6" s="1307"/>
      <c r="K6" s="1307"/>
      <c r="L6" s="1307"/>
      <c r="M6" s="1307"/>
    </row>
    <row r="7" customFormat="false" ht="12" hidden="false" customHeight="false" outlineLevel="0" collapsed="false">
      <c r="A7" s="28"/>
      <c r="B7" s="1307"/>
      <c r="C7" s="1307"/>
      <c r="D7" s="1307"/>
      <c r="E7" s="1307"/>
      <c r="F7" s="1307"/>
      <c r="G7" s="1307"/>
      <c r="H7" s="1307"/>
      <c r="I7" s="1307"/>
      <c r="J7" s="1307"/>
      <c r="K7" s="1307"/>
      <c r="L7" s="1307"/>
      <c r="M7" s="1307"/>
    </row>
    <row r="8" customFormat="false" ht="79.75" hidden="false" customHeight="true" outlineLevel="0" collapsed="false">
      <c r="A8" s="1590"/>
      <c r="B8" s="202" t="s">
        <v>509</v>
      </c>
      <c r="C8" s="201" t="s">
        <v>510</v>
      </c>
      <c r="D8" s="201" t="s">
        <v>511</v>
      </c>
      <c r="E8" s="201" t="s">
        <v>512</v>
      </c>
      <c r="F8" s="201" t="s">
        <v>513</v>
      </c>
      <c r="G8" s="201" t="s">
        <v>514</v>
      </c>
      <c r="H8" s="1591" t="s">
        <v>515</v>
      </c>
      <c r="I8" s="202" t="s">
        <v>516</v>
      </c>
      <c r="J8" s="1592" t="s">
        <v>517</v>
      </c>
      <c r="K8" s="1592" t="s">
        <v>518</v>
      </c>
      <c r="L8" s="201" t="s">
        <v>519</v>
      </c>
      <c r="M8" s="1593" t="s">
        <v>520</v>
      </c>
      <c r="S8" s="1594" t="s">
        <v>521</v>
      </c>
      <c r="T8" s="1594" t="s">
        <v>521</v>
      </c>
      <c r="U8" s="1594" t="s">
        <v>522</v>
      </c>
      <c r="W8" s="1594"/>
    </row>
    <row r="9" customFormat="false" ht="30" hidden="false" customHeight="true" outlineLevel="0" collapsed="false">
      <c r="A9" s="1590"/>
      <c r="B9" s="1595" t="s">
        <v>523</v>
      </c>
      <c r="C9" s="1596" t="s">
        <v>524</v>
      </c>
      <c r="D9" s="1596" t="s">
        <v>486</v>
      </c>
      <c r="E9" s="1596" t="s">
        <v>525</v>
      </c>
      <c r="F9" s="1596" t="s">
        <v>526</v>
      </c>
      <c r="G9" s="1596" t="s">
        <v>527</v>
      </c>
      <c r="H9" s="1591"/>
      <c r="I9" s="1595" t="s">
        <v>528</v>
      </c>
      <c r="J9" s="1596" t="s">
        <v>529</v>
      </c>
      <c r="K9" s="1596" t="s">
        <v>490</v>
      </c>
      <c r="L9" s="1596" t="s">
        <v>530</v>
      </c>
      <c r="M9" s="1597" t="s">
        <v>531</v>
      </c>
      <c r="S9" s="1594" t="s">
        <v>532</v>
      </c>
      <c r="U9" s="1594" t="s">
        <v>533</v>
      </c>
    </row>
    <row r="10" customFormat="false" ht="12" hidden="true" customHeight="true" outlineLevel="0" collapsed="false">
      <c r="A10" s="76" t="n">
        <v>1870</v>
      </c>
      <c r="B10" s="1517"/>
      <c r="C10" s="499"/>
      <c r="D10" s="499"/>
      <c r="E10" s="499"/>
      <c r="F10" s="499"/>
      <c r="G10" s="493" t="n">
        <f aca="false">DataDE1c!AC33/DataDE1c!B33</f>
        <v>0.0105622864243554</v>
      </c>
      <c r="H10" s="1598"/>
      <c r="I10" s="1517"/>
      <c r="J10" s="499"/>
      <c r="K10" s="499"/>
      <c r="L10" s="499"/>
      <c r="M10" s="1524"/>
      <c r="S10" s="1594"/>
      <c r="U10" s="1594"/>
      <c r="W10" s="25"/>
    </row>
    <row r="11" customFormat="false" ht="12" hidden="true" customHeight="true" outlineLevel="0" collapsed="false">
      <c r="A11" s="76" t="n">
        <v>1871</v>
      </c>
      <c r="B11" s="1517"/>
      <c r="C11" s="499"/>
      <c r="D11" s="499"/>
      <c r="E11" s="499"/>
      <c r="F11" s="499"/>
      <c r="G11" s="493" t="n">
        <f aca="false">DataDE1c!AC34/DataDE1c!B34</f>
        <v>0.00984799828730465</v>
      </c>
      <c r="H11" s="1598"/>
      <c r="I11" s="1517"/>
      <c r="J11" s="499"/>
      <c r="K11" s="499"/>
      <c r="L11" s="499"/>
      <c r="M11" s="1524"/>
      <c r="S11" s="1594"/>
      <c r="U11" s="1594"/>
      <c r="W11" s="25"/>
    </row>
    <row r="12" customFormat="false" ht="12" hidden="true" customHeight="true" outlineLevel="0" collapsed="false">
      <c r="A12" s="76" t="n">
        <v>1872</v>
      </c>
      <c r="B12" s="1517"/>
      <c r="C12" s="499"/>
      <c r="D12" s="499"/>
      <c r="E12" s="499"/>
      <c r="F12" s="499"/>
      <c r="G12" s="493" t="n">
        <f aca="false">DataDE1c!AC35/DataDE1c!B35</f>
        <v>0.00842003969447285</v>
      </c>
      <c r="H12" s="1598"/>
      <c r="I12" s="1517"/>
      <c r="J12" s="499"/>
      <c r="K12" s="499"/>
      <c r="L12" s="499"/>
      <c r="M12" s="1524"/>
      <c r="S12" s="1594"/>
      <c r="U12" s="1594"/>
      <c r="W12" s="25"/>
    </row>
    <row r="13" customFormat="false" ht="12" hidden="true" customHeight="true" outlineLevel="0" collapsed="false">
      <c r="A13" s="76" t="n">
        <v>1873</v>
      </c>
      <c r="B13" s="1517"/>
      <c r="C13" s="499"/>
      <c r="D13" s="499"/>
      <c r="E13" s="499"/>
      <c r="F13" s="499"/>
      <c r="G13" s="493" t="n">
        <f aca="false">DataDE1c!AC36/DataDE1c!B36</f>
        <v>0.0079108635097493</v>
      </c>
      <c r="H13" s="1598"/>
      <c r="I13" s="1517"/>
      <c r="J13" s="499"/>
      <c r="K13" s="499"/>
      <c r="L13" s="499"/>
      <c r="M13" s="1524"/>
      <c r="S13" s="1594"/>
      <c r="U13" s="1594"/>
      <c r="W13" s="25"/>
    </row>
    <row r="14" customFormat="false" ht="12" hidden="true" customHeight="true" outlineLevel="0" collapsed="false">
      <c r="A14" s="76" t="n">
        <v>1874</v>
      </c>
      <c r="B14" s="1517"/>
      <c r="C14" s="499"/>
      <c r="D14" s="499"/>
      <c r="E14" s="499"/>
      <c r="F14" s="499"/>
      <c r="G14" s="493" t="n">
        <f aca="false">DataDE1c!AC37/DataDE1c!B37</f>
        <v>0.00716332378223496</v>
      </c>
      <c r="H14" s="1598"/>
      <c r="I14" s="1517"/>
      <c r="J14" s="499"/>
      <c r="K14" s="499"/>
      <c r="L14" s="499"/>
      <c r="M14" s="1524"/>
      <c r="S14" s="1594"/>
      <c r="U14" s="1594"/>
      <c r="W14" s="25"/>
    </row>
    <row r="15" customFormat="false" ht="12" hidden="true" customHeight="true" outlineLevel="0" collapsed="false">
      <c r="A15" s="76" t="n">
        <v>1875</v>
      </c>
      <c r="B15" s="1517"/>
      <c r="C15" s="499"/>
      <c r="D15" s="499"/>
      <c r="E15" s="499"/>
      <c r="F15" s="499"/>
      <c r="G15" s="493" t="n">
        <f aca="false">DataDE1c!AC38/DataDE1c!B38</f>
        <v>0.00827760114022585</v>
      </c>
      <c r="H15" s="1598"/>
      <c r="I15" s="1517"/>
      <c r="J15" s="499"/>
      <c r="K15" s="499"/>
      <c r="L15" s="499"/>
      <c r="M15" s="1524"/>
      <c r="S15" s="1594"/>
      <c r="U15" s="1594"/>
      <c r="W15" s="25"/>
    </row>
    <row r="16" customFormat="false" ht="12" hidden="true" customHeight="true" outlineLevel="0" collapsed="false">
      <c r="A16" s="76" t="n">
        <v>1876</v>
      </c>
      <c r="B16" s="1517"/>
      <c r="C16" s="499"/>
      <c r="D16" s="499"/>
      <c r="E16" s="499"/>
      <c r="F16" s="499"/>
      <c r="G16" s="493" t="n">
        <f aca="false">DataDE1c!AC39/DataDE1c!B39</f>
        <v>0.00887673068334078</v>
      </c>
      <c r="H16" s="1598"/>
      <c r="I16" s="1517"/>
      <c r="J16" s="499"/>
      <c r="K16" s="499"/>
      <c r="L16" s="499"/>
      <c r="M16" s="1524"/>
      <c r="S16" s="1594"/>
      <c r="U16" s="1594"/>
      <c r="W16" s="25"/>
    </row>
    <row r="17" customFormat="false" ht="12" hidden="true" customHeight="true" outlineLevel="0" collapsed="false">
      <c r="A17" s="76" t="n">
        <v>1877</v>
      </c>
      <c r="B17" s="1517"/>
      <c r="C17" s="499"/>
      <c r="D17" s="499"/>
      <c r="E17" s="499"/>
      <c r="F17" s="499"/>
      <c r="G17" s="493" t="n">
        <f aca="false">DataDE1c!AC40/DataDE1c!B40</f>
        <v>0.0102790857930401</v>
      </c>
      <c r="H17" s="1598"/>
      <c r="I17" s="1517"/>
      <c r="J17" s="499"/>
      <c r="K17" s="499"/>
      <c r="L17" s="499"/>
      <c r="M17" s="1524"/>
      <c r="S17" s="1594"/>
      <c r="U17" s="1594"/>
      <c r="W17" s="25"/>
    </row>
    <row r="18" customFormat="false" ht="12" hidden="true" customHeight="true" outlineLevel="0" collapsed="false">
      <c r="A18" s="76" t="n">
        <v>1878</v>
      </c>
      <c r="B18" s="1517"/>
      <c r="C18" s="499"/>
      <c r="D18" s="499"/>
      <c r="E18" s="499"/>
      <c r="F18" s="499"/>
      <c r="G18" s="493" t="n">
        <f aca="false">DataDE1c!AC41/DataDE1c!B41</f>
        <v>0.0104061765693186</v>
      </c>
      <c r="H18" s="1598"/>
      <c r="I18" s="1517"/>
      <c r="J18" s="499"/>
      <c r="K18" s="499"/>
      <c r="L18" s="499"/>
      <c r="M18" s="1524"/>
      <c r="S18" s="1594"/>
      <c r="U18" s="1594"/>
      <c r="W18" s="25"/>
    </row>
    <row r="19" customFormat="false" ht="12" hidden="true" customHeight="true" outlineLevel="0" collapsed="false">
      <c r="A19" s="94" t="n">
        <v>1879</v>
      </c>
      <c r="B19" s="1599"/>
      <c r="C19" s="510"/>
      <c r="D19" s="510"/>
      <c r="E19" s="510"/>
      <c r="F19" s="510"/>
      <c r="G19" s="504" t="n">
        <f aca="false">DataDE1c!AC42/DataDE1c!B42</f>
        <v>0.0119918455450294</v>
      </c>
      <c r="H19" s="1600"/>
      <c r="I19" s="1599"/>
      <c r="J19" s="510"/>
      <c r="K19" s="510"/>
      <c r="L19" s="510"/>
      <c r="M19" s="1601"/>
      <c r="S19" s="1594"/>
      <c r="U19" s="1594"/>
      <c r="W19" s="25"/>
    </row>
    <row r="20" customFormat="false" ht="12" hidden="true" customHeight="true" outlineLevel="0" collapsed="false">
      <c r="A20" s="76" t="n">
        <v>1880</v>
      </c>
      <c r="B20" s="1517"/>
      <c r="C20" s="499"/>
      <c r="D20" s="499"/>
      <c r="E20" s="499"/>
      <c r="F20" s="499"/>
      <c r="G20" s="493" t="n">
        <f aca="false">DataDE1c!AC43/DataDE1c!B43</f>
        <v>0.0130660990895117</v>
      </c>
      <c r="H20" s="1598"/>
      <c r="I20" s="1517"/>
      <c r="J20" s="499"/>
      <c r="K20" s="499"/>
      <c r="L20" s="499"/>
      <c r="M20" s="1524"/>
      <c r="S20" s="1594"/>
      <c r="U20" s="1594"/>
      <c r="W20" s="25"/>
    </row>
    <row r="21" customFormat="false" ht="12" hidden="true" customHeight="true" outlineLevel="0" collapsed="false">
      <c r="A21" s="76" t="n">
        <v>1881</v>
      </c>
      <c r="B21" s="1517"/>
      <c r="C21" s="499"/>
      <c r="D21" s="499"/>
      <c r="E21" s="499"/>
      <c r="F21" s="499"/>
      <c r="G21" s="493" t="n">
        <f aca="false">DataDE1c!AC44/DataDE1c!B44</f>
        <v>0.0137609396591433</v>
      </c>
      <c r="H21" s="1598"/>
      <c r="I21" s="1517"/>
      <c r="J21" s="499"/>
      <c r="K21" s="499"/>
      <c r="L21" s="499"/>
      <c r="M21" s="1524"/>
      <c r="S21" s="1594"/>
      <c r="U21" s="1594"/>
      <c r="W21" s="25"/>
    </row>
    <row r="22" customFormat="false" ht="12" hidden="true" customHeight="true" outlineLevel="0" collapsed="false">
      <c r="A22" s="76" t="n">
        <v>1882</v>
      </c>
      <c r="B22" s="1517"/>
      <c r="C22" s="499"/>
      <c r="D22" s="499"/>
      <c r="E22" s="499"/>
      <c r="F22" s="499"/>
      <c r="G22" s="493" t="n">
        <f aca="false">DataDE1c!AC45/DataDE1c!B45</f>
        <v>0.014506825061397</v>
      </c>
      <c r="H22" s="1598"/>
      <c r="I22" s="1517"/>
      <c r="J22" s="499"/>
      <c r="K22" s="499"/>
      <c r="L22" s="499"/>
      <c r="M22" s="1524"/>
      <c r="S22" s="1594"/>
      <c r="U22" s="1594"/>
      <c r="W22" s="25"/>
    </row>
    <row r="23" customFormat="false" ht="12" hidden="true" customHeight="true" outlineLevel="0" collapsed="false">
      <c r="A23" s="76" t="n">
        <v>1883</v>
      </c>
      <c r="B23" s="1517"/>
      <c r="C23" s="499"/>
      <c r="D23" s="499"/>
      <c r="E23" s="499"/>
      <c r="F23" s="499"/>
      <c r="G23" s="493" t="n">
        <f aca="false">DataDE1c!AC46/DataDE1c!B46</f>
        <v>0.015400808819456</v>
      </c>
      <c r="H23" s="1598"/>
      <c r="I23" s="1517"/>
      <c r="J23" s="499"/>
      <c r="K23" s="499"/>
      <c r="L23" s="499"/>
      <c r="M23" s="1524"/>
      <c r="S23" s="1594"/>
      <c r="U23" s="1594"/>
      <c r="W23" s="25"/>
    </row>
    <row r="24" customFormat="false" ht="12" hidden="true" customHeight="true" outlineLevel="0" collapsed="false">
      <c r="A24" s="76" t="n">
        <v>1884</v>
      </c>
      <c r="B24" s="1517"/>
      <c r="C24" s="499"/>
      <c r="D24" s="499"/>
      <c r="E24" s="499"/>
      <c r="F24" s="499"/>
      <c r="G24" s="493" t="n">
        <f aca="false">DataDE1c!AC47/DataDE1c!B47</f>
        <v>0.0167375275819385</v>
      </c>
      <c r="H24" s="1598"/>
      <c r="I24" s="1517"/>
      <c r="J24" s="499"/>
      <c r="K24" s="499"/>
      <c r="L24" s="499"/>
      <c r="M24" s="1524"/>
      <c r="S24" s="1594"/>
      <c r="U24" s="1594"/>
      <c r="W24" s="25"/>
    </row>
    <row r="25" customFormat="false" ht="12" hidden="true" customHeight="true" outlineLevel="0" collapsed="false">
      <c r="A25" s="76" t="n">
        <v>1885</v>
      </c>
      <c r="B25" s="1517"/>
      <c r="C25" s="499"/>
      <c r="D25" s="499"/>
      <c r="E25" s="499"/>
      <c r="F25" s="499"/>
      <c r="G25" s="493" t="n">
        <f aca="false">DataDE1c!AC48/DataDE1c!B48</f>
        <v>0.0179886836767375</v>
      </c>
      <c r="H25" s="1598"/>
      <c r="I25" s="1517"/>
      <c r="J25" s="499"/>
      <c r="K25" s="499"/>
      <c r="L25" s="499"/>
      <c r="M25" s="1524"/>
      <c r="S25" s="1594"/>
      <c r="U25" s="1594"/>
      <c r="W25" s="25"/>
    </row>
    <row r="26" customFormat="false" ht="12" hidden="true" customHeight="true" outlineLevel="0" collapsed="false">
      <c r="A26" s="76" t="n">
        <v>1886</v>
      </c>
      <c r="B26" s="1517"/>
      <c r="C26" s="499"/>
      <c r="D26" s="499"/>
      <c r="E26" s="499"/>
      <c r="F26" s="499"/>
      <c r="G26" s="493" t="n">
        <f aca="false">DataDE1c!AC49/DataDE1c!B49</f>
        <v>0.0180099292278441</v>
      </c>
      <c r="H26" s="1598"/>
      <c r="I26" s="1517"/>
      <c r="J26" s="499"/>
      <c r="K26" s="499"/>
      <c r="L26" s="499"/>
      <c r="M26" s="1524"/>
      <c r="S26" s="1594"/>
      <c r="U26" s="1594"/>
      <c r="W26" s="25"/>
    </row>
    <row r="27" customFormat="false" ht="12" hidden="true" customHeight="true" outlineLevel="0" collapsed="false">
      <c r="A27" s="76" t="n">
        <v>1887</v>
      </c>
      <c r="B27" s="1517"/>
      <c r="C27" s="499"/>
      <c r="D27" s="499"/>
      <c r="E27" s="499"/>
      <c r="F27" s="499"/>
      <c r="G27" s="493" t="n">
        <f aca="false">DataDE1c!AC50/DataDE1c!B50</f>
        <v>0.018692559322914</v>
      </c>
      <c r="H27" s="1598"/>
      <c r="I27" s="1517"/>
      <c r="J27" s="499"/>
      <c r="K27" s="499"/>
      <c r="L27" s="499"/>
      <c r="M27" s="1524"/>
      <c r="S27" s="1594"/>
      <c r="U27" s="1594"/>
      <c r="W27" s="25"/>
    </row>
    <row r="28" customFormat="false" ht="12" hidden="true" customHeight="true" outlineLevel="0" collapsed="false">
      <c r="A28" s="76" t="n">
        <v>1888</v>
      </c>
      <c r="B28" s="1517"/>
      <c r="C28" s="499"/>
      <c r="D28" s="499"/>
      <c r="E28" s="499"/>
      <c r="F28" s="499"/>
      <c r="G28" s="493" t="n">
        <f aca="false">DataDE1c!AC51/DataDE1c!B51</f>
        <v>0.0181642512077295</v>
      </c>
      <c r="H28" s="1598"/>
      <c r="I28" s="1517"/>
      <c r="J28" s="499"/>
      <c r="K28" s="499"/>
      <c r="L28" s="499"/>
      <c r="M28" s="1524"/>
      <c r="S28" s="1594"/>
      <c r="U28" s="1594"/>
      <c r="W28" s="25"/>
    </row>
    <row r="29" customFormat="false" ht="12" hidden="true" customHeight="true" outlineLevel="0" collapsed="false">
      <c r="A29" s="94" t="n">
        <v>1889</v>
      </c>
      <c r="B29" s="1599"/>
      <c r="C29" s="510"/>
      <c r="D29" s="510"/>
      <c r="E29" s="510"/>
      <c r="F29" s="510"/>
      <c r="G29" s="504" t="n">
        <f aca="false">DataDE1c!AC52/DataDE1c!B52</f>
        <v>0.0172189003281931</v>
      </c>
      <c r="H29" s="1600"/>
      <c r="I29" s="1599"/>
      <c r="J29" s="510"/>
      <c r="K29" s="510"/>
      <c r="L29" s="510"/>
      <c r="M29" s="1601"/>
      <c r="S29" s="1594"/>
      <c r="U29" s="1594"/>
      <c r="W29" s="25"/>
    </row>
    <row r="30" customFormat="false" ht="12" hidden="true" customHeight="true" outlineLevel="0" collapsed="false">
      <c r="A30" s="76" t="n">
        <v>1890</v>
      </c>
      <c r="B30" s="1517"/>
      <c r="C30" s="499"/>
      <c r="D30" s="499"/>
      <c r="E30" s="499"/>
      <c r="F30" s="499"/>
      <c r="G30" s="493" t="n">
        <f aca="false">DataDE1c!AC53/DataDE1c!B53</f>
        <v>0.0178994583615437</v>
      </c>
      <c r="H30" s="1598"/>
      <c r="I30" s="1517"/>
      <c r="J30" s="499"/>
      <c r="K30" s="499"/>
      <c r="L30" s="499"/>
      <c r="M30" s="1524"/>
      <c r="S30" s="1594"/>
      <c r="U30" s="1594"/>
      <c r="W30" s="25"/>
    </row>
    <row r="31" customFormat="false" ht="12" hidden="true" customHeight="true" outlineLevel="0" collapsed="false">
      <c r="A31" s="76" t="n">
        <v>1891</v>
      </c>
      <c r="B31" s="1517"/>
      <c r="C31" s="499"/>
      <c r="D31" s="499"/>
      <c r="E31" s="499"/>
      <c r="F31" s="499"/>
      <c r="G31" s="493" t="n">
        <f aca="false">DataDE1c!AC54/DataDE1c!B54</f>
        <v>0.0203077195938456</v>
      </c>
      <c r="H31" s="1598"/>
      <c r="I31" s="1517"/>
      <c r="J31" s="499"/>
      <c r="K31" s="499"/>
      <c r="L31" s="499"/>
      <c r="M31" s="1524"/>
      <c r="S31" s="1594"/>
      <c r="U31" s="1594"/>
      <c r="W31" s="25"/>
    </row>
    <row r="32" customFormat="false" ht="12" hidden="true" customHeight="true" outlineLevel="0" collapsed="false">
      <c r="A32" s="76" t="n">
        <v>1892</v>
      </c>
      <c r="B32" s="1517"/>
      <c r="C32" s="499"/>
      <c r="D32" s="499"/>
      <c r="E32" s="499"/>
      <c r="F32" s="499"/>
      <c r="G32" s="493" t="n">
        <f aca="false">DataDE1c!AC55/DataDE1c!B55</f>
        <v>0.0195858283433134</v>
      </c>
      <c r="H32" s="1598"/>
      <c r="I32" s="1517"/>
      <c r="J32" s="499"/>
      <c r="K32" s="499"/>
      <c r="L32" s="499"/>
      <c r="M32" s="1524"/>
      <c r="S32" s="1594"/>
      <c r="U32" s="1594"/>
      <c r="W32" s="25"/>
    </row>
    <row r="33" customFormat="false" ht="12" hidden="true" customHeight="true" outlineLevel="0" collapsed="false">
      <c r="A33" s="76" t="n">
        <v>1893</v>
      </c>
      <c r="B33" s="1517"/>
      <c r="C33" s="499"/>
      <c r="D33" s="499"/>
      <c r="E33" s="499"/>
      <c r="F33" s="499"/>
      <c r="G33" s="493" t="n">
        <f aca="false">DataDE1c!AC56/DataDE1c!B56</f>
        <v>0.0202974771961542</v>
      </c>
      <c r="H33" s="1598"/>
      <c r="I33" s="1517"/>
      <c r="J33" s="499"/>
      <c r="K33" s="499"/>
      <c r="L33" s="499"/>
      <c r="M33" s="1524"/>
      <c r="S33" s="1594"/>
      <c r="U33" s="1594"/>
      <c r="W33" s="25"/>
    </row>
    <row r="34" customFormat="false" ht="12" hidden="true" customHeight="true" outlineLevel="0" collapsed="false">
      <c r="A34" s="76" t="n">
        <v>1894</v>
      </c>
      <c r="B34" s="1517"/>
      <c r="C34" s="499"/>
      <c r="D34" s="499"/>
      <c r="E34" s="499"/>
      <c r="F34" s="499"/>
      <c r="G34" s="493" t="n">
        <f aca="false">DataDE1c!AC57/DataDE1c!B57</f>
        <v>0.0210753401924992</v>
      </c>
      <c r="H34" s="1598"/>
      <c r="I34" s="1517"/>
      <c r="J34" s="499"/>
      <c r="K34" s="499"/>
      <c r="L34" s="499"/>
      <c r="M34" s="1524"/>
      <c r="S34" s="1594"/>
      <c r="U34" s="1594"/>
      <c r="W34" s="25"/>
    </row>
    <row r="35" customFormat="false" ht="12" hidden="true" customHeight="true" outlineLevel="0" collapsed="false">
      <c r="A35" s="76" t="n">
        <v>1895</v>
      </c>
      <c r="B35" s="1517"/>
      <c r="C35" s="499"/>
      <c r="D35" s="499"/>
      <c r="E35" s="499"/>
      <c r="F35" s="499"/>
      <c r="G35" s="493" t="n">
        <f aca="false">DataDE1c!AC58/DataDE1c!B58</f>
        <v>0.0206063007727363</v>
      </c>
      <c r="H35" s="1598"/>
      <c r="I35" s="1517"/>
      <c r="J35" s="499"/>
      <c r="K35" s="499"/>
      <c r="L35" s="499"/>
      <c r="M35" s="1524"/>
      <c r="S35" s="1594"/>
      <c r="U35" s="1594"/>
      <c r="W35" s="25"/>
    </row>
    <row r="36" customFormat="false" ht="12" hidden="true" customHeight="true" outlineLevel="0" collapsed="false">
      <c r="A36" s="76" t="n">
        <v>1896</v>
      </c>
      <c r="B36" s="1517"/>
      <c r="C36" s="499"/>
      <c r="D36" s="499"/>
      <c r="E36" s="499"/>
      <c r="F36" s="499"/>
      <c r="G36" s="493" t="n">
        <f aca="false">DataDE1c!AC59/DataDE1c!B59</f>
        <v>0.019660941499425</v>
      </c>
      <c r="H36" s="1598"/>
      <c r="I36" s="1517"/>
      <c r="J36" s="499"/>
      <c r="K36" s="499"/>
      <c r="L36" s="499"/>
      <c r="M36" s="1524"/>
      <c r="S36" s="1594"/>
      <c r="U36" s="1594"/>
      <c r="W36" s="25"/>
    </row>
    <row r="37" customFormat="false" ht="12" hidden="true" customHeight="true" outlineLevel="0" collapsed="false">
      <c r="A37" s="76" t="n">
        <v>1897</v>
      </c>
      <c r="B37" s="1517"/>
      <c r="C37" s="499"/>
      <c r="D37" s="499"/>
      <c r="E37" s="499"/>
      <c r="F37" s="499"/>
      <c r="G37" s="493" t="n">
        <f aca="false">DataDE1c!AC60/DataDE1c!B60</f>
        <v>0.0184442662389735</v>
      </c>
      <c r="H37" s="1598"/>
      <c r="I37" s="1517"/>
      <c r="J37" s="499"/>
      <c r="K37" s="499"/>
      <c r="L37" s="499"/>
      <c r="M37" s="1524"/>
      <c r="S37" s="1594"/>
      <c r="U37" s="1594"/>
      <c r="W37" s="25"/>
    </row>
    <row r="38" customFormat="false" ht="12" hidden="true" customHeight="true" outlineLevel="0" collapsed="false">
      <c r="A38" s="76" t="n">
        <v>1898</v>
      </c>
      <c r="B38" s="1517"/>
      <c r="C38" s="499"/>
      <c r="D38" s="499"/>
      <c r="E38" s="499"/>
      <c r="F38" s="499"/>
      <c r="G38" s="493" t="n">
        <f aca="false">DataDE1c!AC61/DataDE1c!B61</f>
        <v>0.0168483006176632</v>
      </c>
      <c r="H38" s="1598"/>
      <c r="I38" s="1517"/>
      <c r="J38" s="499"/>
      <c r="K38" s="499"/>
      <c r="L38" s="499"/>
      <c r="M38" s="1524"/>
      <c r="S38" s="1594"/>
      <c r="U38" s="1594"/>
      <c r="W38" s="25"/>
    </row>
    <row r="39" customFormat="false" ht="12" hidden="true" customHeight="true" outlineLevel="0" collapsed="false">
      <c r="A39" s="94" t="n">
        <v>1899</v>
      </c>
      <c r="B39" s="1599"/>
      <c r="C39" s="510"/>
      <c r="D39" s="510"/>
      <c r="E39" s="510"/>
      <c r="F39" s="510"/>
      <c r="G39" s="504" t="n">
        <f aca="false">DataDE1c!AC62/DataDE1c!B62</f>
        <v>0.0171088833370229</v>
      </c>
      <c r="H39" s="1600"/>
      <c r="I39" s="1599"/>
      <c r="J39" s="510"/>
      <c r="K39" s="510"/>
      <c r="L39" s="510"/>
      <c r="M39" s="1601"/>
      <c r="S39" s="1594"/>
      <c r="U39" s="1594"/>
      <c r="W39" s="25"/>
    </row>
    <row r="40" customFormat="false" ht="12" hidden="true" customHeight="true" outlineLevel="0" collapsed="false">
      <c r="A40" s="76" t="n">
        <v>1900</v>
      </c>
      <c r="B40" s="1517"/>
      <c r="C40" s="499"/>
      <c r="D40" s="499"/>
      <c r="E40" s="499"/>
      <c r="F40" s="499"/>
      <c r="G40" s="493" t="n">
        <f aca="false">DataDE1c!AC63/DataDE1c!B63</f>
        <v>0.0174238672938846</v>
      </c>
      <c r="H40" s="1598"/>
      <c r="I40" s="1517"/>
      <c r="J40" s="499"/>
      <c r="K40" s="499"/>
      <c r="L40" s="499"/>
      <c r="M40" s="1524"/>
      <c r="S40" s="1594"/>
      <c r="U40" s="1594"/>
      <c r="W40" s="25"/>
    </row>
    <row r="41" customFormat="false" ht="12" hidden="true" customHeight="true" outlineLevel="0" collapsed="false">
      <c r="A41" s="76" t="n">
        <v>1901</v>
      </c>
      <c r="B41" s="1517"/>
      <c r="C41" s="499"/>
      <c r="D41" s="499"/>
      <c r="E41" s="499"/>
      <c r="F41" s="499"/>
      <c r="G41" s="493" t="n">
        <f aca="false">DataDE1c!AC64/DataDE1c!B64</f>
        <v>0.0189436148874526</v>
      </c>
      <c r="H41" s="1598"/>
      <c r="I41" s="1517"/>
      <c r="J41" s="499"/>
      <c r="K41" s="499"/>
      <c r="L41" s="499"/>
      <c r="M41" s="1524"/>
      <c r="S41" s="1594"/>
      <c r="U41" s="1594"/>
      <c r="W41" s="25"/>
    </row>
    <row r="42" customFormat="false" ht="12" hidden="true" customHeight="true" outlineLevel="0" collapsed="false">
      <c r="A42" s="76" t="n">
        <v>1902</v>
      </c>
      <c r="B42" s="1517"/>
      <c r="C42" s="499"/>
      <c r="D42" s="499"/>
      <c r="E42" s="499"/>
      <c r="F42" s="499"/>
      <c r="G42" s="493" t="n">
        <f aca="false">DataDE1c!AC65/DataDE1c!B65</f>
        <v>0.0194430506773708</v>
      </c>
      <c r="H42" s="1598"/>
      <c r="I42" s="1517"/>
      <c r="J42" s="499"/>
      <c r="K42" s="499"/>
      <c r="L42" s="499"/>
      <c r="M42" s="1524"/>
      <c r="S42" s="1594"/>
      <c r="U42" s="1594"/>
      <c r="W42" s="25"/>
    </row>
    <row r="43" customFormat="false" ht="12" hidden="true" customHeight="true" outlineLevel="0" collapsed="false">
      <c r="A43" s="76" t="n">
        <v>1903</v>
      </c>
      <c r="B43" s="1517"/>
      <c r="C43" s="499"/>
      <c r="D43" s="499"/>
      <c r="E43" s="499"/>
      <c r="F43" s="499"/>
      <c r="G43" s="493" t="n">
        <f aca="false">DataDE1c!AC66/DataDE1c!B66</f>
        <v>0.018859649122807</v>
      </c>
      <c r="H43" s="1598"/>
      <c r="I43" s="1517"/>
      <c r="J43" s="499"/>
      <c r="K43" s="499"/>
      <c r="L43" s="499"/>
      <c r="M43" s="1524"/>
      <c r="S43" s="1594"/>
      <c r="U43" s="1594"/>
      <c r="W43" s="25"/>
    </row>
    <row r="44" customFormat="false" ht="12" hidden="true" customHeight="true" outlineLevel="0" collapsed="false">
      <c r="A44" s="76" t="n">
        <v>1904</v>
      </c>
      <c r="B44" s="1517"/>
      <c r="C44" s="499"/>
      <c r="D44" s="499"/>
      <c r="E44" s="499"/>
      <c r="F44" s="499"/>
      <c r="G44" s="493" t="n">
        <f aca="false">DataDE1c!AC67/DataDE1c!B67</f>
        <v>0.0188421551411768</v>
      </c>
      <c r="H44" s="1598"/>
      <c r="I44" s="1517"/>
      <c r="J44" s="499"/>
      <c r="K44" s="499"/>
      <c r="L44" s="499"/>
      <c r="M44" s="1524"/>
      <c r="S44" s="1594"/>
      <c r="U44" s="1594"/>
      <c r="W44" s="25"/>
    </row>
    <row r="45" customFormat="false" ht="12" hidden="true" customHeight="true" outlineLevel="0" collapsed="false">
      <c r="A45" s="76" t="n">
        <v>1905</v>
      </c>
      <c r="B45" s="1517"/>
      <c r="C45" s="499"/>
      <c r="D45" s="499"/>
      <c r="E45" s="499"/>
      <c r="F45" s="499"/>
      <c r="G45" s="493" t="n">
        <f aca="false">DataDE1c!AC68/DataDE1c!B68</f>
        <v>0.0183035598872832</v>
      </c>
      <c r="H45" s="1598"/>
      <c r="I45" s="1517"/>
      <c r="J45" s="499"/>
      <c r="K45" s="499"/>
      <c r="L45" s="499"/>
      <c r="M45" s="1524"/>
      <c r="S45" s="1594"/>
      <c r="U45" s="1594"/>
      <c r="W45" s="25"/>
    </row>
    <row r="46" customFormat="false" ht="12" hidden="true" customHeight="true" outlineLevel="0" collapsed="false">
      <c r="A46" s="76" t="n">
        <v>1906</v>
      </c>
      <c r="B46" s="1517"/>
      <c r="C46" s="499"/>
      <c r="D46" s="499"/>
      <c r="E46" s="499"/>
      <c r="F46" s="499"/>
      <c r="G46" s="493" t="n">
        <f aca="false">DataDE1c!AC69/DataDE1c!B69</f>
        <v>0.0185396321816289</v>
      </c>
      <c r="H46" s="1598"/>
      <c r="I46" s="1517"/>
      <c r="J46" s="499"/>
      <c r="K46" s="499"/>
      <c r="L46" s="499"/>
      <c r="M46" s="1524"/>
      <c r="S46" s="1594"/>
      <c r="U46" s="1594"/>
      <c r="W46" s="25"/>
    </row>
    <row r="47" customFormat="false" ht="12" hidden="true" customHeight="true" outlineLevel="0" collapsed="false">
      <c r="A47" s="76" t="n">
        <v>1907</v>
      </c>
      <c r="B47" s="1517"/>
      <c r="C47" s="499"/>
      <c r="D47" s="499"/>
      <c r="E47" s="499"/>
      <c r="F47" s="499"/>
      <c r="G47" s="493" t="n">
        <f aca="false">DataDE1c!AC70/DataDE1c!B70</f>
        <v>0.0184069066623229</v>
      </c>
      <c r="H47" s="1598"/>
      <c r="I47" s="1517"/>
      <c r="J47" s="499"/>
      <c r="K47" s="499"/>
      <c r="L47" s="499"/>
      <c r="M47" s="1524"/>
      <c r="S47" s="1594"/>
      <c r="U47" s="1594"/>
      <c r="W47" s="25"/>
    </row>
    <row r="48" customFormat="false" ht="12" hidden="true" customHeight="true" outlineLevel="0" collapsed="false">
      <c r="A48" s="76" t="n">
        <v>1908</v>
      </c>
      <c r="B48" s="1517"/>
      <c r="C48" s="499"/>
      <c r="D48" s="499"/>
      <c r="E48" s="499"/>
      <c r="F48" s="499"/>
      <c r="G48" s="493" t="n">
        <f aca="false">DataDE1c!AC71/DataDE1c!B71</f>
        <v>0.0201842705167173</v>
      </c>
      <c r="H48" s="1598"/>
      <c r="I48" s="1517"/>
      <c r="J48" s="499"/>
      <c r="K48" s="499"/>
      <c r="L48" s="499"/>
      <c r="M48" s="1524"/>
      <c r="S48" s="1594"/>
      <c r="U48" s="1594"/>
      <c r="W48" s="25"/>
    </row>
    <row r="49" customFormat="false" ht="12" hidden="true" customHeight="true" outlineLevel="0" collapsed="false">
      <c r="A49" s="94" t="n">
        <v>1909</v>
      </c>
      <c r="B49" s="1599"/>
      <c r="C49" s="510"/>
      <c r="D49" s="510"/>
      <c r="E49" s="510"/>
      <c r="F49" s="510"/>
      <c r="G49" s="504" t="n">
        <f aca="false">DataDE1c!AC72/DataDE1c!B72</f>
        <v>0.0211564948407054</v>
      </c>
      <c r="H49" s="1600"/>
      <c r="I49" s="1599"/>
      <c r="J49" s="510"/>
      <c r="K49" s="510"/>
      <c r="L49" s="510"/>
      <c r="M49" s="1601"/>
      <c r="S49" s="1594"/>
      <c r="U49" s="1594"/>
      <c r="W49" s="25"/>
    </row>
    <row r="50" customFormat="false" ht="12" hidden="true" customHeight="true" outlineLevel="0" collapsed="false">
      <c r="A50" s="76" t="n">
        <v>1910</v>
      </c>
      <c r="B50" s="1517"/>
      <c r="C50" s="499"/>
      <c r="D50" s="499"/>
      <c r="E50" s="499"/>
      <c r="F50" s="499"/>
      <c r="G50" s="493" t="n">
        <f aca="false">DataDE1c!AC73/DataDE1c!B73</f>
        <v>0.021435310120889</v>
      </c>
      <c r="H50" s="1598"/>
      <c r="I50" s="1517"/>
      <c r="J50" s="499"/>
      <c r="K50" s="499"/>
      <c r="L50" s="499"/>
      <c r="M50" s="1524"/>
      <c r="S50" s="1594"/>
      <c r="U50" s="1594"/>
      <c r="W50" s="25"/>
    </row>
    <row r="51" customFormat="false" ht="12" hidden="true" customHeight="true" outlineLevel="0" collapsed="false">
      <c r="A51" s="76" t="n">
        <v>1911</v>
      </c>
      <c r="B51" s="1517"/>
      <c r="C51" s="499"/>
      <c r="D51" s="499"/>
      <c r="E51" s="499"/>
      <c r="F51" s="499"/>
      <c r="G51" s="493" t="n">
        <f aca="false">DataDE1c!AC74/DataDE1c!B74</f>
        <v>0.0209711412056841</v>
      </c>
      <c r="H51" s="1598"/>
      <c r="I51" s="1517"/>
      <c r="J51" s="499"/>
      <c r="K51" s="499"/>
      <c r="L51" s="499"/>
      <c r="M51" s="1524"/>
      <c r="S51" s="1594"/>
      <c r="U51" s="1594"/>
      <c r="W51" s="25"/>
    </row>
    <row r="52" customFormat="false" ht="12" hidden="true" customHeight="true" outlineLevel="0" collapsed="false">
      <c r="A52" s="76" t="n">
        <v>1912</v>
      </c>
      <c r="B52" s="1517"/>
      <c r="C52" s="499"/>
      <c r="D52" s="499"/>
      <c r="E52" s="499"/>
      <c r="F52" s="499"/>
      <c r="G52" s="493" t="n">
        <f aca="false">DataDE1c!AC75/DataDE1c!B75</f>
        <v>0.0203386531724406</v>
      </c>
      <c r="H52" s="1598"/>
      <c r="I52" s="1517"/>
      <c r="J52" s="499"/>
      <c r="K52" s="499"/>
      <c r="L52" s="499"/>
      <c r="M52" s="1524"/>
      <c r="S52" s="1594"/>
      <c r="U52" s="1594"/>
      <c r="W52" s="25"/>
    </row>
    <row r="53" customFormat="false" ht="12" hidden="true" customHeight="true" outlineLevel="0" collapsed="false">
      <c r="A53" s="76" t="n">
        <v>1913</v>
      </c>
      <c r="B53" s="1517"/>
      <c r="C53" s="499"/>
      <c r="D53" s="499"/>
      <c r="E53" s="499"/>
      <c r="F53" s="499"/>
      <c r="G53" s="493" t="n">
        <f aca="false">DataDE1c!AC76/DataDE1c!B76</f>
        <v>0.0210344496689377</v>
      </c>
      <c r="H53" s="1598"/>
      <c r="I53" s="1517"/>
      <c r="J53" s="499"/>
      <c r="K53" s="499"/>
      <c r="L53" s="499"/>
      <c r="M53" s="1524"/>
      <c r="S53" s="1594"/>
      <c r="U53" s="1594"/>
      <c r="W53" s="25"/>
    </row>
    <row r="54" customFormat="false" ht="12" hidden="true" customHeight="true" outlineLevel="0" collapsed="false">
      <c r="A54" s="76" t="n">
        <v>1914</v>
      </c>
      <c r="B54" s="1517"/>
      <c r="C54" s="499"/>
      <c r="D54" s="499"/>
      <c r="E54" s="499"/>
      <c r="F54" s="499"/>
      <c r="G54" s="493" t="n">
        <f aca="false">0.05*TableDE6a!I54</f>
        <v>0.0343861583104567</v>
      </c>
      <c r="H54" s="1598"/>
      <c r="I54" s="1517"/>
      <c r="J54" s="499"/>
      <c r="K54" s="499"/>
      <c r="L54" s="499"/>
      <c r="M54" s="1524"/>
      <c r="S54" s="1594"/>
      <c r="U54" s="1594"/>
      <c r="W54" s="25"/>
    </row>
    <row r="55" customFormat="false" ht="12" hidden="true" customHeight="true" outlineLevel="0" collapsed="false">
      <c r="A55" s="76" t="n">
        <v>1915</v>
      </c>
      <c r="B55" s="1517"/>
      <c r="C55" s="499"/>
      <c r="D55" s="499"/>
      <c r="E55" s="499"/>
      <c r="F55" s="499"/>
      <c r="G55" s="493" t="n">
        <f aca="false">0.05*TableDE6a!I55</f>
        <v>0.0405196141825621</v>
      </c>
      <c r="H55" s="1598"/>
      <c r="I55" s="1517"/>
      <c r="J55" s="499"/>
      <c r="K55" s="499"/>
      <c r="L55" s="499"/>
      <c r="M55" s="1524"/>
      <c r="S55" s="1594"/>
      <c r="U55" s="1594"/>
      <c r="W55" s="25"/>
    </row>
    <row r="56" customFormat="false" ht="12" hidden="true" customHeight="true" outlineLevel="0" collapsed="false">
      <c r="A56" s="76" t="n">
        <v>1916</v>
      </c>
      <c r="B56" s="1517"/>
      <c r="C56" s="499"/>
      <c r="D56" s="499"/>
      <c r="E56" s="499"/>
      <c r="F56" s="499"/>
      <c r="G56" s="493" t="n">
        <f aca="false">0.05*TableDE6a!I56</f>
        <v>0.0489758759929196</v>
      </c>
      <c r="H56" s="1598"/>
      <c r="I56" s="1517"/>
      <c r="J56" s="499"/>
      <c r="K56" s="499"/>
      <c r="L56" s="499"/>
      <c r="M56" s="1524"/>
      <c r="S56" s="1594"/>
      <c r="U56" s="1594"/>
      <c r="W56" s="25"/>
    </row>
    <row r="57" customFormat="false" ht="12" hidden="true" customHeight="true" outlineLevel="0" collapsed="false">
      <c r="A57" s="76" t="n">
        <v>1917</v>
      </c>
      <c r="B57" s="1517"/>
      <c r="C57" s="499"/>
      <c r="D57" s="499"/>
      <c r="E57" s="499"/>
      <c r="F57" s="499"/>
      <c r="G57" s="493" t="n">
        <f aca="false">0.05*TableDE6a!I57</f>
        <v>0.0497959982602743</v>
      </c>
      <c r="H57" s="1598"/>
      <c r="I57" s="1517"/>
      <c r="J57" s="499"/>
      <c r="K57" s="499"/>
      <c r="L57" s="499"/>
      <c r="M57" s="1524"/>
      <c r="S57" s="1594"/>
      <c r="U57" s="1594"/>
      <c r="W57" s="25"/>
    </row>
    <row r="58" customFormat="false" ht="12" hidden="true" customHeight="true" outlineLevel="0" collapsed="false">
      <c r="A58" s="76" t="n">
        <v>1918</v>
      </c>
      <c r="B58" s="1517"/>
      <c r="C58" s="499"/>
      <c r="D58" s="499"/>
      <c r="E58" s="499"/>
      <c r="F58" s="499"/>
      <c r="G58" s="493" t="n">
        <f aca="false">0.05*TableDE6a!I58</f>
        <v>0.0593038798194567</v>
      </c>
      <c r="H58" s="1598"/>
      <c r="I58" s="1517"/>
      <c r="J58" s="499"/>
      <c r="K58" s="499"/>
      <c r="L58" s="499"/>
      <c r="M58" s="1524"/>
      <c r="S58" s="1594"/>
      <c r="U58" s="1594"/>
      <c r="W58" s="25"/>
    </row>
    <row r="59" customFormat="false" ht="12" hidden="true" customHeight="true" outlineLevel="0" collapsed="false">
      <c r="A59" s="94" t="n">
        <v>1919</v>
      </c>
      <c r="B59" s="1599"/>
      <c r="C59" s="510"/>
      <c r="D59" s="510"/>
      <c r="E59" s="510"/>
      <c r="F59" s="510"/>
      <c r="G59" s="504" t="n">
        <f aca="false">0.05*TableDE6a!I59</f>
        <v>0.0590609710072278</v>
      </c>
      <c r="H59" s="1600"/>
      <c r="I59" s="1599"/>
      <c r="J59" s="510"/>
      <c r="K59" s="510"/>
      <c r="L59" s="510"/>
      <c r="M59" s="1601"/>
      <c r="S59" s="1594"/>
      <c r="U59" s="1594"/>
      <c r="W59" s="25"/>
    </row>
    <row r="60" customFormat="false" ht="12" hidden="true" customHeight="true" outlineLevel="0" collapsed="false">
      <c r="A60" s="76" t="n">
        <v>1920</v>
      </c>
      <c r="B60" s="1517"/>
      <c r="C60" s="499"/>
      <c r="D60" s="499"/>
      <c r="E60" s="499"/>
      <c r="F60" s="499"/>
      <c r="G60" s="493" t="n">
        <f aca="false">0.05*TableDE6a!I60</f>
        <v>0.0247957228231625</v>
      </c>
      <c r="H60" s="1598"/>
      <c r="I60" s="1517"/>
      <c r="J60" s="499"/>
      <c r="K60" s="499"/>
      <c r="L60" s="499"/>
      <c r="M60" s="1524"/>
      <c r="S60" s="1594"/>
      <c r="U60" s="1594"/>
      <c r="W60" s="25"/>
    </row>
    <row r="61" customFormat="false" ht="12" hidden="true" customHeight="true" outlineLevel="0" collapsed="false">
      <c r="A61" s="76" t="n">
        <v>1921</v>
      </c>
      <c r="B61" s="1517"/>
      <c r="C61" s="499"/>
      <c r="D61" s="499"/>
      <c r="E61" s="499"/>
      <c r="F61" s="499"/>
      <c r="G61" s="493" t="n">
        <f aca="false">0.05*TableDE6a!I61</f>
        <v>0.0236522082765336</v>
      </c>
      <c r="H61" s="1598"/>
      <c r="I61" s="1517"/>
      <c r="J61" s="499"/>
      <c r="K61" s="499"/>
      <c r="L61" s="499"/>
      <c r="M61" s="1524"/>
      <c r="S61" s="1594"/>
      <c r="U61" s="1594"/>
      <c r="W61" s="25"/>
    </row>
    <row r="62" customFormat="false" ht="12" hidden="true" customHeight="true" outlineLevel="0" collapsed="false">
      <c r="A62" s="76" t="n">
        <v>1922</v>
      </c>
      <c r="B62" s="1517"/>
      <c r="C62" s="499"/>
      <c r="D62" s="499"/>
      <c r="E62" s="499"/>
      <c r="F62" s="499"/>
      <c r="G62" s="493" t="n">
        <f aca="false">0.05*TableDE6a!I62</f>
        <v>0.00164147161403559</v>
      </c>
      <c r="H62" s="1598"/>
      <c r="I62" s="1517"/>
      <c r="J62" s="499"/>
      <c r="K62" s="499"/>
      <c r="L62" s="499"/>
      <c r="M62" s="1524"/>
      <c r="S62" s="1594"/>
      <c r="U62" s="1594"/>
      <c r="W62" s="25"/>
    </row>
    <row r="63" customFormat="false" ht="12" hidden="true" customHeight="true" outlineLevel="0" collapsed="false">
      <c r="A63" s="76" t="n">
        <v>1923</v>
      </c>
      <c r="B63" s="1517"/>
      <c r="C63" s="499"/>
      <c r="D63" s="499"/>
      <c r="E63" s="499"/>
      <c r="F63" s="499"/>
      <c r="G63" s="493" t="n">
        <f aca="false">0.05*TableDE6a!I63</f>
        <v>1.26160048054109E-010</v>
      </c>
      <c r="H63" s="1598"/>
      <c r="I63" s="1517"/>
      <c r="J63" s="499"/>
      <c r="K63" s="499"/>
      <c r="L63" s="499"/>
      <c r="M63" s="1524"/>
      <c r="S63" s="1594"/>
      <c r="U63" s="1594"/>
      <c r="W63" s="25"/>
    </row>
    <row r="64" customFormat="false" ht="12" hidden="true" customHeight="true" outlineLevel="0" collapsed="false">
      <c r="A64" s="76" t="n">
        <v>1924</v>
      </c>
      <c r="B64" s="1517"/>
      <c r="C64" s="499"/>
      <c r="D64" s="499"/>
      <c r="E64" s="499"/>
      <c r="F64" s="499"/>
      <c r="G64" s="493" t="n">
        <f aca="false">0.05*TableDE6a!I64</f>
        <v>0.00363979191214138</v>
      </c>
      <c r="H64" s="1598"/>
      <c r="I64" s="1517"/>
      <c r="J64" s="499"/>
      <c r="K64" s="499"/>
      <c r="L64" s="499"/>
      <c r="M64" s="1524"/>
      <c r="S64" s="1594"/>
      <c r="U64" s="1594"/>
      <c r="W64" s="25"/>
    </row>
    <row r="65" customFormat="false" ht="12" hidden="true" customHeight="true" outlineLevel="0" collapsed="false">
      <c r="A65" s="76" t="n">
        <v>1925</v>
      </c>
      <c r="B65" s="1517"/>
      <c r="C65" s="499"/>
      <c r="D65" s="499"/>
      <c r="E65" s="499"/>
      <c r="F65" s="499"/>
      <c r="G65" s="493" t="n">
        <f aca="false">DataDE1c!AC88/DataDE1c!B88</f>
        <v>0.00248802162594503</v>
      </c>
      <c r="H65" s="1598"/>
      <c r="I65" s="1517"/>
      <c r="J65" s="499"/>
      <c r="K65" s="499"/>
      <c r="L65" s="499"/>
      <c r="M65" s="1524"/>
      <c r="S65" s="1594"/>
      <c r="U65" s="1594"/>
      <c r="W65" s="25"/>
    </row>
    <row r="66" customFormat="false" ht="12" hidden="true" customHeight="true" outlineLevel="0" collapsed="false">
      <c r="A66" s="76" t="n">
        <v>1926</v>
      </c>
      <c r="B66" s="1517"/>
      <c r="C66" s="499"/>
      <c r="D66" s="499"/>
      <c r="E66" s="499"/>
      <c r="F66" s="499"/>
      <c r="G66" s="493" t="n">
        <f aca="false">DataDE1c!AC89/DataDE1c!B89</f>
        <v>0.00326779843652213</v>
      </c>
      <c r="H66" s="1598"/>
      <c r="I66" s="1517"/>
      <c r="J66" s="499"/>
      <c r="K66" s="499"/>
      <c r="L66" s="499"/>
      <c r="M66" s="1524"/>
      <c r="S66" s="1594"/>
      <c r="U66" s="1594"/>
      <c r="W66" s="25"/>
    </row>
    <row r="67" customFormat="false" ht="12" hidden="true" customHeight="true" outlineLevel="0" collapsed="false">
      <c r="A67" s="76" t="n">
        <v>1927</v>
      </c>
      <c r="B67" s="1517"/>
      <c r="C67" s="499"/>
      <c r="D67" s="499"/>
      <c r="E67" s="499"/>
      <c r="F67" s="499"/>
      <c r="G67" s="493" t="n">
        <f aca="false">DataDE1c!AC90/DataDE1c!B90</f>
        <v>0.00436393350753129</v>
      </c>
      <c r="H67" s="1598"/>
      <c r="I67" s="1517"/>
      <c r="J67" s="499"/>
      <c r="K67" s="499"/>
      <c r="L67" s="499"/>
      <c r="M67" s="1524"/>
      <c r="S67" s="1594"/>
      <c r="U67" s="1594"/>
      <c r="W67" s="25"/>
    </row>
    <row r="68" customFormat="false" ht="12" hidden="true" customHeight="true" outlineLevel="0" collapsed="false">
      <c r="A68" s="76" t="n">
        <v>1928</v>
      </c>
      <c r="B68" s="1517"/>
      <c r="C68" s="499"/>
      <c r="D68" s="499"/>
      <c r="E68" s="499"/>
      <c r="F68" s="499"/>
      <c r="G68" s="493" t="n">
        <f aca="false">DataDE1c!AC91/DataDE1c!B91</f>
        <v>0.0058346319780771</v>
      </c>
      <c r="H68" s="1598"/>
      <c r="I68" s="1517"/>
      <c r="J68" s="499"/>
      <c r="K68" s="499"/>
      <c r="L68" s="499"/>
      <c r="M68" s="1524"/>
      <c r="S68" s="1594"/>
      <c r="U68" s="1594"/>
      <c r="W68" s="25"/>
    </row>
    <row r="69" customFormat="false" ht="12" hidden="true" customHeight="true" outlineLevel="0" collapsed="false">
      <c r="A69" s="94" t="n">
        <v>1929</v>
      </c>
      <c r="B69" s="1599"/>
      <c r="C69" s="510"/>
      <c r="D69" s="510"/>
      <c r="E69" s="510"/>
      <c r="F69" s="510"/>
      <c r="G69" s="504" t="n">
        <f aca="false">DataDE1c!AC92/DataDE1c!B92</f>
        <v>0.00853590072286474</v>
      </c>
      <c r="H69" s="1600"/>
      <c r="I69" s="1599"/>
      <c r="J69" s="510"/>
      <c r="K69" s="510"/>
      <c r="L69" s="510"/>
      <c r="M69" s="1601"/>
      <c r="S69" s="1594"/>
      <c r="U69" s="1594"/>
      <c r="W69" s="25"/>
    </row>
    <row r="70" customFormat="false" ht="12" hidden="true" customHeight="true" outlineLevel="0" collapsed="false">
      <c r="A70" s="76" t="n">
        <v>1930</v>
      </c>
      <c r="B70" s="1517"/>
      <c r="C70" s="499"/>
      <c r="D70" s="499"/>
      <c r="E70" s="499"/>
      <c r="F70" s="499"/>
      <c r="G70" s="493" t="n">
        <f aca="false">DataDE1c!AC93/DataDE1c!B93</f>
        <v>0.0112067866347556</v>
      </c>
      <c r="H70" s="1598"/>
      <c r="I70" s="1517"/>
      <c r="J70" s="499"/>
      <c r="K70" s="499"/>
      <c r="L70" s="499"/>
      <c r="M70" s="1524"/>
      <c r="S70" s="1594"/>
      <c r="U70" s="1594"/>
      <c r="W70" s="25"/>
    </row>
    <row r="71" customFormat="false" ht="12" hidden="true" customHeight="true" outlineLevel="0" collapsed="false">
      <c r="A71" s="76" t="n">
        <v>1931</v>
      </c>
      <c r="B71" s="1517"/>
      <c r="C71" s="499"/>
      <c r="D71" s="499"/>
      <c r="E71" s="499"/>
      <c r="F71" s="499"/>
      <c r="G71" s="493" t="n">
        <f aca="false">DataDE1c!AC94/DataDE1c!B94</f>
        <v>0.0147107628604062</v>
      </c>
      <c r="H71" s="1598"/>
      <c r="I71" s="1517"/>
      <c r="J71" s="499"/>
      <c r="K71" s="499"/>
      <c r="L71" s="499"/>
      <c r="M71" s="1524"/>
      <c r="S71" s="1594"/>
      <c r="U71" s="1594"/>
      <c r="W71" s="25"/>
    </row>
    <row r="72" customFormat="false" ht="12" hidden="true" customHeight="true" outlineLevel="0" collapsed="false">
      <c r="A72" s="76" t="n">
        <v>1932</v>
      </c>
      <c r="B72" s="1517"/>
      <c r="C72" s="499"/>
      <c r="D72" s="499"/>
      <c r="E72" s="499"/>
      <c r="F72" s="499"/>
      <c r="G72" s="493" t="n">
        <f aca="false">DataDE1c!AC95/DataDE1c!B95</f>
        <v>0.0166411809053254</v>
      </c>
      <c r="H72" s="1598"/>
      <c r="I72" s="1517"/>
      <c r="J72" s="499"/>
      <c r="K72" s="499"/>
      <c r="L72" s="499"/>
      <c r="M72" s="1524"/>
      <c r="S72" s="1594"/>
      <c r="U72" s="1594"/>
      <c r="W72" s="25"/>
    </row>
    <row r="73" customFormat="false" ht="12" hidden="true" customHeight="true" outlineLevel="0" collapsed="false">
      <c r="A73" s="76" t="n">
        <v>1933</v>
      </c>
      <c r="B73" s="1517"/>
      <c r="C73" s="499"/>
      <c r="D73" s="499"/>
      <c r="E73" s="499"/>
      <c r="F73" s="499"/>
      <c r="G73" s="493" t="n">
        <f aca="false">DataDE1c!AC96/DataDE1c!B96</f>
        <v>0.0165850394623294</v>
      </c>
      <c r="H73" s="1598"/>
      <c r="I73" s="1517"/>
      <c r="J73" s="499"/>
      <c r="K73" s="499"/>
      <c r="L73" s="499"/>
      <c r="M73" s="1524"/>
      <c r="S73" s="1594"/>
      <c r="U73" s="1594"/>
      <c r="W73" s="25"/>
    </row>
    <row r="74" customFormat="false" ht="12" hidden="true" customHeight="true" outlineLevel="0" collapsed="false">
      <c r="A74" s="76" t="n">
        <v>1934</v>
      </c>
      <c r="B74" s="1517"/>
      <c r="C74" s="499"/>
      <c r="D74" s="499"/>
      <c r="E74" s="499"/>
      <c r="F74" s="499"/>
      <c r="G74" s="493" t="n">
        <f aca="false">DataDE1c!AC97/DataDE1c!B97</f>
        <v>0.0156879204537944</v>
      </c>
      <c r="H74" s="1598"/>
      <c r="I74" s="1517"/>
      <c r="J74" s="499"/>
      <c r="K74" s="499"/>
      <c r="L74" s="499"/>
      <c r="M74" s="1524"/>
      <c r="S74" s="1594"/>
      <c r="U74" s="1594"/>
      <c r="W74" s="25"/>
    </row>
    <row r="75" customFormat="false" ht="12" hidden="true" customHeight="true" outlineLevel="0" collapsed="false">
      <c r="A75" s="76" t="n">
        <v>1935</v>
      </c>
      <c r="B75" s="1517"/>
      <c r="C75" s="499"/>
      <c r="D75" s="499"/>
      <c r="E75" s="499"/>
      <c r="F75" s="499"/>
      <c r="G75" s="493" t="n">
        <f aca="false">DataDE1c!AC98/DataDE1c!B98</f>
        <v>0.0166596310195245</v>
      </c>
      <c r="H75" s="1598"/>
      <c r="I75" s="1517"/>
      <c r="J75" s="499"/>
      <c r="K75" s="499"/>
      <c r="L75" s="499"/>
      <c r="M75" s="1524"/>
      <c r="S75" s="1594"/>
      <c r="U75" s="1594"/>
      <c r="W75" s="25"/>
    </row>
    <row r="76" customFormat="false" ht="12" hidden="true" customHeight="true" outlineLevel="0" collapsed="false">
      <c r="A76" s="76" t="n">
        <v>1936</v>
      </c>
      <c r="B76" s="1517"/>
      <c r="C76" s="499"/>
      <c r="D76" s="499"/>
      <c r="E76" s="499"/>
      <c r="F76" s="499"/>
      <c r="G76" s="493" t="n">
        <f aca="false">DataDE1c!AC99/DataDE1c!B99</f>
        <v>0.0169436619035615</v>
      </c>
      <c r="H76" s="1598"/>
      <c r="I76" s="1517"/>
      <c r="J76" s="499"/>
      <c r="K76" s="499"/>
      <c r="L76" s="499"/>
      <c r="M76" s="1524"/>
      <c r="S76" s="1594"/>
      <c r="U76" s="1594"/>
      <c r="W76" s="25"/>
    </row>
    <row r="77" customFormat="false" ht="12" hidden="true" customHeight="true" outlineLevel="0" collapsed="false">
      <c r="A77" s="76" t="n">
        <v>1937</v>
      </c>
      <c r="B77" s="1517"/>
      <c r="C77" s="499"/>
      <c r="D77" s="499"/>
      <c r="E77" s="499"/>
      <c r="F77" s="499"/>
      <c r="G77" s="493" t="n">
        <f aca="false">DataDE1c!AC100/DataDE1c!B100</f>
        <v>0.0168240984146378</v>
      </c>
      <c r="H77" s="1598"/>
      <c r="I77" s="1517"/>
      <c r="J77" s="499"/>
      <c r="K77" s="499"/>
      <c r="L77" s="499"/>
      <c r="M77" s="1524"/>
      <c r="S77" s="1594"/>
      <c r="U77" s="1594"/>
      <c r="W77" s="25"/>
    </row>
    <row r="78" customFormat="false" ht="12" hidden="true" customHeight="true" outlineLevel="0" collapsed="false">
      <c r="A78" s="76" t="n">
        <v>1938</v>
      </c>
      <c r="B78" s="1517"/>
      <c r="C78" s="499"/>
      <c r="D78" s="499"/>
      <c r="E78" s="499"/>
      <c r="F78" s="499"/>
      <c r="G78" s="493" t="n">
        <f aca="false">DataDE1c!AC101/DataDE1c!B101</f>
        <v>0.018266449634224</v>
      </c>
      <c r="H78" s="1598"/>
      <c r="I78" s="1517"/>
      <c r="J78" s="499"/>
      <c r="K78" s="499"/>
      <c r="L78" s="499"/>
      <c r="M78" s="1524"/>
      <c r="S78" s="1594"/>
      <c r="U78" s="1594"/>
      <c r="W78" s="25"/>
    </row>
    <row r="79" customFormat="false" ht="12" hidden="true" customHeight="true" outlineLevel="0" collapsed="false">
      <c r="A79" s="94" t="n">
        <v>1939</v>
      </c>
      <c r="B79" s="1599"/>
      <c r="C79" s="510"/>
      <c r="D79" s="510"/>
      <c r="E79" s="510"/>
      <c r="F79" s="510"/>
      <c r="G79" s="504" t="n">
        <f aca="false">DataDE1c!AC102/DataDE1c!B102</f>
        <v>0.0151232188758481</v>
      </c>
      <c r="H79" s="1600"/>
      <c r="I79" s="1599"/>
      <c r="J79" s="510"/>
      <c r="K79" s="510"/>
      <c r="L79" s="510"/>
      <c r="M79" s="1601"/>
      <c r="S79" s="1594"/>
      <c r="U79" s="1594"/>
      <c r="W79" s="25"/>
    </row>
    <row r="80" customFormat="false" ht="12" hidden="true" customHeight="true" outlineLevel="0" collapsed="false">
      <c r="A80" s="76" t="n">
        <v>1940</v>
      </c>
      <c r="B80" s="1517"/>
      <c r="C80" s="499"/>
      <c r="D80" s="499"/>
      <c r="E80" s="499"/>
      <c r="F80" s="499"/>
      <c r="G80" s="493" t="n">
        <f aca="false">0.03*TableDE6a!I80</f>
        <v>0.0162618175484632</v>
      </c>
      <c r="H80" s="1598"/>
      <c r="I80" s="1517"/>
      <c r="J80" s="499"/>
      <c r="K80" s="499"/>
      <c r="L80" s="499"/>
      <c r="M80" s="1524"/>
      <c r="S80" s="1594"/>
      <c r="U80" s="1594"/>
      <c r="W80" s="25"/>
    </row>
    <row r="81" customFormat="false" ht="12" hidden="true" customHeight="true" outlineLevel="0" collapsed="false">
      <c r="A81" s="76" t="n">
        <v>1941</v>
      </c>
      <c r="B81" s="1517"/>
      <c r="C81" s="499"/>
      <c r="D81" s="499"/>
      <c r="E81" s="499"/>
      <c r="F81" s="499"/>
      <c r="G81" s="493" t="n">
        <f aca="false">0.03*TableDE6a!I81</f>
        <v>0.0224350578942375</v>
      </c>
      <c r="H81" s="1598"/>
      <c r="I81" s="1517"/>
      <c r="J81" s="499"/>
      <c r="K81" s="499"/>
      <c r="L81" s="499"/>
      <c r="M81" s="1524"/>
      <c r="S81" s="1594"/>
      <c r="U81" s="1594"/>
      <c r="W81" s="25"/>
    </row>
    <row r="82" customFormat="false" ht="12" hidden="true" customHeight="true" outlineLevel="0" collapsed="false">
      <c r="A82" s="76" t="n">
        <v>1942</v>
      </c>
      <c r="B82" s="1517"/>
      <c r="C82" s="499"/>
      <c r="D82" s="499"/>
      <c r="E82" s="499"/>
      <c r="F82" s="499"/>
      <c r="G82" s="493" t="n">
        <f aca="false">0.03*TableDE6a!I82</f>
        <v>0.0314129332862049</v>
      </c>
      <c r="H82" s="1598"/>
      <c r="I82" s="1517"/>
      <c r="J82" s="499"/>
      <c r="K82" s="499"/>
      <c r="L82" s="499"/>
      <c r="M82" s="1524"/>
      <c r="S82" s="1594"/>
      <c r="U82" s="1594"/>
      <c r="W82" s="25"/>
    </row>
    <row r="83" customFormat="false" ht="12" hidden="true" customHeight="true" outlineLevel="0" collapsed="false">
      <c r="A83" s="76" t="n">
        <v>1943</v>
      </c>
      <c r="B83" s="1517"/>
      <c r="C83" s="499"/>
      <c r="D83" s="499"/>
      <c r="E83" s="499"/>
      <c r="F83" s="499"/>
      <c r="G83" s="493" t="n">
        <f aca="false">0.03*TableDE6a!I83</f>
        <v>0.038956646709809</v>
      </c>
      <c r="H83" s="1598"/>
      <c r="I83" s="1517"/>
      <c r="J83" s="499"/>
      <c r="K83" s="499"/>
      <c r="L83" s="499"/>
      <c r="M83" s="1524"/>
      <c r="S83" s="1594"/>
      <c r="U83" s="1594"/>
      <c r="W83" s="25"/>
    </row>
    <row r="84" customFormat="false" ht="12" hidden="true" customHeight="true" outlineLevel="0" collapsed="false">
      <c r="A84" s="76" t="n">
        <v>1944</v>
      </c>
      <c r="B84" s="1517"/>
      <c r="C84" s="499"/>
      <c r="D84" s="499"/>
      <c r="E84" s="499"/>
      <c r="F84" s="499"/>
      <c r="G84" s="493" t="n">
        <f aca="false">0.03*TableDE6a!I84</f>
        <v>0.0548443496710628</v>
      </c>
      <c r="H84" s="1598"/>
      <c r="I84" s="1517"/>
      <c r="J84" s="499"/>
      <c r="K84" s="499"/>
      <c r="L84" s="499"/>
      <c r="M84" s="1524"/>
      <c r="S84" s="1594"/>
      <c r="U84" s="1594"/>
      <c r="W84" s="25"/>
    </row>
    <row r="85" customFormat="false" ht="12" hidden="true" customHeight="true" outlineLevel="0" collapsed="false">
      <c r="A85" s="76" t="n">
        <v>1945</v>
      </c>
      <c r="B85" s="1517"/>
      <c r="C85" s="499"/>
      <c r="D85" s="499"/>
      <c r="E85" s="499"/>
      <c r="F85" s="499"/>
      <c r="G85" s="493" t="n">
        <v>0</v>
      </c>
      <c r="H85" s="1598"/>
      <c r="I85" s="1517"/>
      <c r="J85" s="499"/>
      <c r="K85" s="499"/>
      <c r="L85" s="499"/>
      <c r="M85" s="1524"/>
      <c r="S85" s="1594"/>
      <c r="U85" s="1594"/>
      <c r="W85" s="25"/>
    </row>
    <row r="86" customFormat="false" ht="12" hidden="true" customHeight="true" outlineLevel="0" collapsed="false">
      <c r="A86" s="76" t="n">
        <v>1946</v>
      </c>
      <c r="B86" s="1517"/>
      <c r="C86" s="499"/>
      <c r="D86" s="499"/>
      <c r="E86" s="499"/>
      <c r="F86" s="499"/>
      <c r="G86" s="493" t="n">
        <v>0</v>
      </c>
      <c r="H86" s="1598"/>
      <c r="I86" s="1517"/>
      <c r="J86" s="499"/>
      <c r="K86" s="499"/>
      <c r="L86" s="499"/>
      <c r="M86" s="1524"/>
      <c r="S86" s="1594"/>
      <c r="U86" s="1594"/>
      <c r="W86" s="25"/>
    </row>
    <row r="87" customFormat="false" ht="12" hidden="true" customHeight="true" outlineLevel="0" collapsed="false">
      <c r="A87" s="76" t="n">
        <v>1947</v>
      </c>
      <c r="B87" s="1517"/>
      <c r="C87" s="499"/>
      <c r="D87" s="499"/>
      <c r="E87" s="499"/>
      <c r="F87" s="499"/>
      <c r="G87" s="493" t="n">
        <v>0</v>
      </c>
      <c r="H87" s="1598"/>
      <c r="I87" s="1517"/>
      <c r="J87" s="499"/>
      <c r="K87" s="499"/>
      <c r="L87" s="499"/>
      <c r="M87" s="1524"/>
      <c r="S87" s="1594"/>
      <c r="U87" s="1594"/>
      <c r="W87" s="25"/>
    </row>
    <row r="88" customFormat="false" ht="12" hidden="true" customHeight="true" outlineLevel="0" collapsed="false">
      <c r="A88" s="76" t="n">
        <v>1948</v>
      </c>
      <c r="B88" s="1517"/>
      <c r="C88" s="499"/>
      <c r="D88" s="499"/>
      <c r="E88" s="499"/>
      <c r="F88" s="499"/>
      <c r="G88" s="493" t="n">
        <v>0</v>
      </c>
      <c r="H88" s="1598"/>
      <c r="I88" s="1517"/>
      <c r="J88" s="499"/>
      <c r="K88" s="499"/>
      <c r="L88" s="499"/>
      <c r="M88" s="1524"/>
      <c r="S88" s="1594"/>
      <c r="U88" s="1594"/>
      <c r="W88" s="25"/>
    </row>
    <row r="89" customFormat="false" ht="12" hidden="true" customHeight="true" outlineLevel="0" collapsed="false">
      <c r="A89" s="94" t="n">
        <v>1949</v>
      </c>
      <c r="B89" s="1599"/>
      <c r="C89" s="510"/>
      <c r="D89" s="510"/>
      <c r="E89" s="510"/>
      <c r="F89" s="510"/>
      <c r="G89" s="504" t="n">
        <v>0</v>
      </c>
      <c r="H89" s="1600"/>
      <c r="I89" s="1599"/>
      <c r="J89" s="510"/>
      <c r="K89" s="510"/>
      <c r="L89" s="510"/>
      <c r="M89" s="1601"/>
      <c r="S89" s="1594"/>
      <c r="U89" s="1594"/>
      <c r="W89" s="25"/>
    </row>
    <row r="90" customFormat="false" ht="12" hidden="false" customHeight="false" outlineLevel="0" collapsed="false">
      <c r="A90" s="416" t="n">
        <v>1950</v>
      </c>
      <c r="B90" s="519" t="n">
        <f aca="false">DataDE1!CX11/DataDE1!$B11</f>
        <v>0.184373083432277</v>
      </c>
      <c r="C90" s="518"/>
      <c r="D90" s="518"/>
      <c r="E90" s="518"/>
      <c r="F90" s="518" t="n">
        <f aca="false">DataDE1!DC11/DataDE1!$B11</f>
        <v>-0.000252239856248207</v>
      </c>
      <c r="G90" s="518" t="n">
        <f aca="false">DataDE1!DD11/DataDE1!$B11</f>
        <v>-0.00634702371664156</v>
      </c>
      <c r="H90" s="1602"/>
      <c r="I90" s="519" t="n">
        <f aca="false">DataDE1!DF11/DataDE1!$B11</f>
        <v>0.68480514611193</v>
      </c>
      <c r="J90" s="594" t="n">
        <f aca="false">DataDE1!DI11/DataDE1!$B11</f>
        <v>0.414509646852605</v>
      </c>
      <c r="K90" s="594" t="n">
        <f aca="false">DataDE1!DL11/DataDE1!$B11</f>
        <v>0.0619403488550264</v>
      </c>
      <c r="L90" s="594" t="n">
        <f aca="false">DataDE1!DM11/DataDE1!$B11</f>
        <v>0.19289743732101</v>
      </c>
      <c r="M90" s="1603" t="n">
        <f aca="false">DataDE1!DU11/DataDE1!$B11</f>
        <v>0.0154577130832886</v>
      </c>
      <c r="W90" s="25"/>
    </row>
    <row r="91" customFormat="false" ht="12" hidden="false" customHeight="false" outlineLevel="0" collapsed="false">
      <c r="A91" s="416" t="n">
        <f aca="false">A90+1</f>
        <v>1951</v>
      </c>
      <c r="B91" s="519" t="n">
        <f aca="false">DataDE1!CX12/DataDE1!$B12</f>
        <v>0.192794328860125</v>
      </c>
      <c r="C91" s="518"/>
      <c r="D91" s="518"/>
      <c r="E91" s="518"/>
      <c r="F91" s="518" t="n">
        <f aca="false">DataDE1!DC12/DataDE1!$B12</f>
        <v>-0.000953863716927384</v>
      </c>
      <c r="G91" s="518" t="n">
        <f aca="false">DataDE1!DD12/DataDE1!$B12</f>
        <v>-0.00912493824650149</v>
      </c>
      <c r="H91" s="1602"/>
      <c r="I91" s="519" t="n">
        <f aca="false">DataDE1!DF12/DataDE1!$B12</f>
        <v>0.665650838005677</v>
      </c>
      <c r="J91" s="594" t="n">
        <f aca="false">DataDE1!DI12/DataDE1!$B12</f>
        <v>0.412642258184193</v>
      </c>
      <c r="K91" s="594" t="n">
        <f aca="false">DataDE1!DL12/DataDE1!$B12</f>
        <v>0.0594557423005014</v>
      </c>
      <c r="L91" s="594" t="n">
        <f aca="false">DataDE1!DM12/DataDE1!$B12</f>
        <v>0.180154182446812</v>
      </c>
      <c r="M91" s="1603" t="n">
        <f aca="false">DataDE1!DU12/DataDE1!$B12</f>
        <v>0.0133986550741712</v>
      </c>
      <c r="W91" s="25"/>
    </row>
    <row r="92" customFormat="false" ht="12" hidden="false" customHeight="false" outlineLevel="0" collapsed="false">
      <c r="A92" s="416" t="n">
        <f aca="false">A91+1</f>
        <v>1952</v>
      </c>
      <c r="B92" s="519" t="n">
        <f aca="false">DataDE1!CX13/DataDE1!$B13</f>
        <v>0.210972147232487</v>
      </c>
      <c r="C92" s="518"/>
      <c r="D92" s="518"/>
      <c r="E92" s="518"/>
      <c r="F92" s="518" t="n">
        <f aca="false">DataDE1!DC13/DataDE1!$B13</f>
        <v>-0.00119279542556528</v>
      </c>
      <c r="G92" s="518" t="n">
        <f aca="false">DataDE1!DD13/DataDE1!$B13</f>
        <v>-0.00827434201602453</v>
      </c>
      <c r="H92" s="1602"/>
      <c r="I92" s="519" t="n">
        <f aca="false">DataDE1!DF13/DataDE1!$B13</f>
        <v>0.643294367226552</v>
      </c>
      <c r="J92" s="594" t="n">
        <f aca="false">DataDE1!DI13/DataDE1!$B13</f>
        <v>0.401129462723583</v>
      </c>
      <c r="K92" s="594" t="n">
        <f aca="false">DataDE1!DL13/DataDE1!$B13</f>
        <v>0.0613224066018091</v>
      </c>
      <c r="L92" s="594" t="n">
        <f aca="false">DataDE1!DM13/DataDE1!$B13</f>
        <v>0.168083274777285</v>
      </c>
      <c r="M92" s="1603" t="n">
        <f aca="false">DataDE1!DU13/DataDE1!$B13</f>
        <v>0.0127592231238755</v>
      </c>
      <c r="W92" s="25"/>
    </row>
    <row r="93" customFormat="false" ht="12" hidden="false" customHeight="false" outlineLevel="0" collapsed="false">
      <c r="A93" s="416" t="n">
        <f aca="false">A92+1</f>
        <v>1953</v>
      </c>
      <c r="B93" s="519" t="n">
        <f aca="false">DataDE1!CX14/DataDE1!$B14</f>
        <v>0.200933742474988</v>
      </c>
      <c r="C93" s="518"/>
      <c r="D93" s="518"/>
      <c r="E93" s="518"/>
      <c r="F93" s="518" t="n">
        <f aca="false">DataDE1!DC14/DataDE1!$B14</f>
        <v>-0.000839362262352666</v>
      </c>
      <c r="G93" s="518" t="n">
        <f aca="false">DataDE1!DD14/DataDE1!$B14</f>
        <v>-0.00709240718551228</v>
      </c>
      <c r="H93" s="1602"/>
      <c r="I93" s="519" t="n">
        <f aca="false">DataDE1!DF14/DataDE1!$B14</f>
        <v>0.650401694859437</v>
      </c>
      <c r="J93" s="594" t="n">
        <f aca="false">DataDE1!DI14/DataDE1!$B14</f>
        <v>0.411831579403473</v>
      </c>
      <c r="K93" s="594" t="n">
        <f aca="false">DataDE1!DL14/DataDE1!$B14</f>
        <v>0.0641358828533999</v>
      </c>
      <c r="L93" s="594" t="n">
        <f aca="false">DataDE1!DM14/DataDE1!$B14</f>
        <v>0.163740367792078</v>
      </c>
      <c r="M93" s="1603" t="n">
        <f aca="false">DataDE1!DU14/DataDE1!$B14</f>
        <v>0.0106938648104866</v>
      </c>
      <c r="W93" s="25"/>
    </row>
    <row r="94" customFormat="false" ht="12" hidden="false" customHeight="false" outlineLevel="0" collapsed="false">
      <c r="A94" s="416" t="n">
        <f aca="false">A93+1</f>
        <v>1954</v>
      </c>
      <c r="B94" s="519" t="n">
        <f aca="false">DataDE1!CX15/DataDE1!$B15</f>
        <v>0.191997685971789</v>
      </c>
      <c r="C94" s="518"/>
      <c r="D94" s="518"/>
      <c r="E94" s="518"/>
      <c r="F94" s="518" t="n">
        <f aca="false">DataDE1!DC15/DataDE1!$B15</f>
        <v>-0.0033594798462923</v>
      </c>
      <c r="G94" s="518" t="n">
        <f aca="false">DataDE1!DD15/DataDE1!$B15</f>
        <v>-0.0100571859438555</v>
      </c>
      <c r="H94" s="1602"/>
      <c r="I94" s="519" t="n">
        <f aca="false">DataDE1!DF15/DataDE1!$B15</f>
        <v>0.655848776823956</v>
      </c>
      <c r="J94" s="594" t="n">
        <f aca="false">DataDE1!DI15/DataDE1!$B15</f>
        <v>0.421784274499559</v>
      </c>
      <c r="K94" s="594" t="n">
        <f aca="false">DataDE1!DL15/DataDE1!$B15</f>
        <v>0.0652285774565717</v>
      </c>
      <c r="L94" s="594" t="n">
        <f aca="false">DataDE1!DM15/DataDE1!$B15</f>
        <v>0.159149807288754</v>
      </c>
      <c r="M94" s="1603" t="n">
        <f aca="false">DataDE1!DU15/DataDE1!$B15</f>
        <v>0.0096861175790708</v>
      </c>
      <c r="W94" s="25"/>
    </row>
    <row r="95" customFormat="false" ht="12" hidden="false" customHeight="false" outlineLevel="0" collapsed="false">
      <c r="A95" s="416" t="n">
        <f aca="false">A94+1</f>
        <v>1955</v>
      </c>
      <c r="B95" s="519" t="n">
        <f aca="false">DataDE1!CX16/DataDE1!$B16</f>
        <v>0.207238619906388</v>
      </c>
      <c r="C95" s="518"/>
      <c r="D95" s="518"/>
      <c r="E95" s="518"/>
      <c r="F95" s="518" t="n">
        <f aca="false">DataDE1!DC16/DataDE1!$B16</f>
        <v>-0.0037924129201813</v>
      </c>
      <c r="G95" s="518" t="n">
        <f aca="false">DataDE1!DD16/DataDE1!$B16</f>
        <v>-0.00856683400561088</v>
      </c>
      <c r="H95" s="1602"/>
      <c r="I95" s="519" t="n">
        <f aca="false">DataDE1!DF16/DataDE1!$B16</f>
        <v>0.644058992667687</v>
      </c>
      <c r="J95" s="594" t="n">
        <f aca="false">DataDE1!DI16/DataDE1!$B16</f>
        <v>0.422713760068958</v>
      </c>
      <c r="K95" s="594" t="n">
        <f aca="false">DataDE1!DL16/DataDE1!$B16</f>
        <v>0.0627765001736776</v>
      </c>
      <c r="L95" s="594" t="n">
        <f aca="false">DataDE1!DM16/DataDE1!$B16</f>
        <v>0.14943960052976</v>
      </c>
      <c r="M95" s="1603" t="n">
        <f aca="false">DataDE1!DU16/DataDE1!$B16</f>
        <v>0.00912913189529175</v>
      </c>
      <c r="W95" s="25"/>
    </row>
    <row r="96" customFormat="false" ht="12" hidden="false" customHeight="false" outlineLevel="0" collapsed="false">
      <c r="A96" s="416" t="n">
        <f aca="false">A95+1</f>
        <v>1956</v>
      </c>
      <c r="B96" s="519" t="n">
        <f aca="false">DataDE1!CX17/DataDE1!$B17</f>
        <v>0.206606294526225</v>
      </c>
      <c r="C96" s="518"/>
      <c r="D96" s="518"/>
      <c r="E96" s="518"/>
      <c r="F96" s="518" t="n">
        <f aca="false">DataDE1!DC17/DataDE1!$B17</f>
        <v>-0.00270747531565076</v>
      </c>
      <c r="G96" s="518" t="n">
        <f aca="false">DataDE1!DD17/DataDE1!$B17</f>
        <v>-0.00998485655662423</v>
      </c>
      <c r="H96" s="1602"/>
      <c r="I96" s="519" t="n">
        <f aca="false">DataDE1!DF17/DataDE1!$B17</f>
        <v>0.647860020796879</v>
      </c>
      <c r="J96" s="594" t="n">
        <f aca="false">DataDE1!DI17/DataDE1!$B17</f>
        <v>0.429515025859654</v>
      </c>
      <c r="K96" s="594" t="n">
        <f aca="false">DataDE1!DL17/DataDE1!$B17</f>
        <v>0.0654971922662982</v>
      </c>
      <c r="L96" s="594" t="n">
        <f aca="false">DataDE1!DM17/DataDE1!$B17</f>
        <v>0.145311498653975</v>
      </c>
      <c r="M96" s="1603" t="n">
        <f aca="false">DataDE1!DU17/DataDE1!$B17</f>
        <v>0.00753630401695261</v>
      </c>
      <c r="W96" s="25"/>
    </row>
    <row r="97" customFormat="false" ht="12" hidden="false" customHeight="false" outlineLevel="0" collapsed="false">
      <c r="A97" s="416" t="n">
        <f aca="false">A96+1</f>
        <v>1957</v>
      </c>
      <c r="B97" s="519" t="n">
        <f aca="false">DataDE1!CX18/DataDE1!$B18</f>
        <v>0.213117251409067</v>
      </c>
      <c r="C97" s="518"/>
      <c r="D97" s="518"/>
      <c r="E97" s="518"/>
      <c r="F97" s="518" t="n">
        <f aca="false">DataDE1!DC18/DataDE1!$B18</f>
        <v>-0.00223255132804342</v>
      </c>
      <c r="G97" s="518" t="n">
        <f aca="false">DataDE1!DD18/DataDE1!$B18</f>
        <v>-0.00867773095734047</v>
      </c>
      <c r="H97" s="1602"/>
      <c r="I97" s="519" t="n">
        <f aca="false">DataDE1!DF18/DataDE1!$B18</f>
        <v>0.648927160127649</v>
      </c>
      <c r="J97" s="594" t="n">
        <f aca="false">DataDE1!DI18/DataDE1!$B18</f>
        <v>0.431502498176883</v>
      </c>
      <c r="K97" s="594" t="n">
        <f aca="false">DataDE1!DL18/DataDE1!$B18</f>
        <v>0.0684283512775545</v>
      </c>
      <c r="L97" s="594" t="n">
        <f aca="false">DataDE1!DM18/DataDE1!$B18</f>
        <v>0.1422376793528</v>
      </c>
      <c r="M97" s="1603" t="n">
        <f aca="false">DataDE1!DU18/DataDE1!$B18</f>
        <v>0.00675863132041143</v>
      </c>
      <c r="W97" s="25"/>
    </row>
    <row r="98" customFormat="false" ht="12" hidden="false" customHeight="false" outlineLevel="0" collapsed="false">
      <c r="A98" s="416" t="n">
        <f aca="false">A97+1</f>
        <v>1958</v>
      </c>
      <c r="B98" s="519" t="n">
        <f aca="false">DataDE1!CX19/DataDE1!$B19</f>
        <v>0.211442354533116</v>
      </c>
      <c r="C98" s="518"/>
      <c r="D98" s="518"/>
      <c r="E98" s="518"/>
      <c r="F98" s="518" t="n">
        <f aca="false">DataDE1!DC19/DataDE1!$B19</f>
        <v>-0.00282273032559847</v>
      </c>
      <c r="G98" s="518" t="n">
        <f aca="false">DataDE1!DD19/DataDE1!$B19</f>
        <v>-0.00658043604696847</v>
      </c>
      <c r="H98" s="1602"/>
      <c r="I98" s="519" t="n">
        <f aca="false">DataDE1!DF19/DataDE1!$B19</f>
        <v>0.653399493355166</v>
      </c>
      <c r="J98" s="594" t="n">
        <f aca="false">DataDE1!DI19/DataDE1!$B19</f>
        <v>0.432407327038287</v>
      </c>
      <c r="K98" s="594" t="n">
        <f aca="false">DataDE1!DL19/DataDE1!$B19</f>
        <v>0.0733790877111769</v>
      </c>
      <c r="L98" s="594" t="n">
        <f aca="false">DataDE1!DM19/DataDE1!$B19</f>
        <v>0.1418144287455</v>
      </c>
      <c r="M98" s="1603" t="n">
        <f aca="false">DataDE1!DU19/DataDE1!$B19</f>
        <v>0.00579864986020204</v>
      </c>
      <c r="W98" s="25"/>
    </row>
    <row r="99" customFormat="false" ht="12" hidden="false" customHeight="false" outlineLevel="0" collapsed="false">
      <c r="A99" s="436" t="n">
        <f aca="false">A98+1</f>
        <v>1959</v>
      </c>
      <c r="B99" s="534" t="n">
        <f aca="false">DataDE1!CX20/DataDE1!$B20</f>
        <v>0.221518144552948</v>
      </c>
      <c r="C99" s="533"/>
      <c r="D99" s="533"/>
      <c r="E99" s="533"/>
      <c r="F99" s="533" t="n">
        <f aca="false">DataDE1!DC20/DataDE1!$B20</f>
        <v>-0.0040617764519676</v>
      </c>
      <c r="G99" s="533" t="n">
        <f aca="false">DataDE1!DD20/DataDE1!$B20</f>
        <v>-0.0076517683818657</v>
      </c>
      <c r="H99" s="1604"/>
      <c r="I99" s="534" t="n">
        <f aca="false">DataDE1!DF20/DataDE1!$B20</f>
        <v>0.638691604820507</v>
      </c>
      <c r="J99" s="1264" t="n">
        <f aca="false">DataDE1!DI20/DataDE1!$B20</f>
        <v>0.427454345175862</v>
      </c>
      <c r="K99" s="1264" t="n">
        <f aca="false">DataDE1!DL20/DataDE1!$B20</f>
        <v>0.0705458413218386</v>
      </c>
      <c r="L99" s="1264" t="n">
        <f aca="false">DataDE1!DM20/DataDE1!$B20</f>
        <v>0.135632767792076</v>
      </c>
      <c r="M99" s="1605" t="n">
        <f aca="false">DataDE1!DU20/DataDE1!$B20</f>
        <v>0.00505865053073057</v>
      </c>
      <c r="W99" s="25"/>
    </row>
    <row r="100" customFormat="false" ht="12" hidden="false" customHeight="false" outlineLevel="0" collapsed="false">
      <c r="A100" s="416" t="n">
        <f aca="false">A99+1</f>
        <v>1960</v>
      </c>
      <c r="B100" s="519" t="n">
        <f aca="false">DataDE1!CX21/DataDE1!$B21</f>
        <v>0.232541095725967</v>
      </c>
      <c r="C100" s="518"/>
      <c r="D100" s="518"/>
      <c r="E100" s="518"/>
      <c r="F100" s="518" t="n">
        <f aca="false">DataDE1!DC21/DataDE1!$B21</f>
        <v>-0.00266349668981727</v>
      </c>
      <c r="G100" s="518" t="n">
        <f aca="false">DataDE1!DD21/DataDE1!$B21</f>
        <v>-0.00716876204164818</v>
      </c>
      <c r="H100" s="1602"/>
      <c r="I100" s="519" t="n">
        <f aca="false">DataDE1!DF21/DataDE1!$B21</f>
        <v>0.631819973176745</v>
      </c>
      <c r="J100" s="594" t="n">
        <f aca="false">DataDE1!DI21/DataDE1!$B21</f>
        <v>0.426652270524779</v>
      </c>
      <c r="K100" s="594" t="n">
        <f aca="false">DataDE1!DL21/DataDE1!$B21</f>
        <v>0.0708609117368398</v>
      </c>
      <c r="L100" s="594" t="n">
        <f aca="false">DataDE1!DM21/DataDE1!$B21</f>
        <v>0.129905093305239</v>
      </c>
      <c r="M100" s="1603" t="n">
        <f aca="false">DataDE1!DU21/DataDE1!$B21</f>
        <v>0.00440169760988699</v>
      </c>
      <c r="S100" s="25" t="n">
        <f aca="false">DataDE1!DH21*(DataDE1!GI21/DataDE1!GJ21)/DataDE1!G21</f>
        <v>0.587435181848559</v>
      </c>
      <c r="U100" s="158" t="n">
        <f aca="false">DataDE1!DH21*(DataDE1!GI21/DataDE1!GJ21)/(DataDE1!G21-DataDE1!J21)</f>
        <v>0.665628551046172</v>
      </c>
      <c r="W100" s="25"/>
    </row>
    <row r="101" customFormat="false" ht="12" hidden="false" customHeight="false" outlineLevel="0" collapsed="false">
      <c r="A101" s="416" t="n">
        <f aca="false">A100+1</f>
        <v>1961</v>
      </c>
      <c r="B101" s="519" t="n">
        <f aca="false">DataDE1!CX22/DataDE1!$B22</f>
        <v>0.212956020071997</v>
      </c>
      <c r="C101" s="518"/>
      <c r="D101" s="518"/>
      <c r="E101" s="518"/>
      <c r="F101" s="518" t="n">
        <f aca="false">DataDE1!DC22/DataDE1!$B22</f>
        <v>-0.00388199018251959</v>
      </c>
      <c r="G101" s="518" t="n">
        <f aca="false">DataDE1!DD22/DataDE1!$B22</f>
        <v>-0.00795013006384008</v>
      </c>
      <c r="H101" s="1602"/>
      <c r="I101" s="519" t="n">
        <f aca="false">DataDE1!DF22/DataDE1!$B22</f>
        <v>0.648295858912936</v>
      </c>
      <c r="J101" s="594" t="n">
        <f aca="false">DataDE1!DI22/DataDE1!$B22</f>
        <v>0.441191527093557</v>
      </c>
      <c r="K101" s="594" t="n">
        <f aca="false">DataDE1!DL22/DataDE1!$B22</f>
        <v>0.0746180435042476</v>
      </c>
      <c r="L101" s="594" t="n">
        <f aca="false">DataDE1!DM22/DataDE1!$B22</f>
        <v>0.12863300153362</v>
      </c>
      <c r="M101" s="1603" t="n">
        <f aca="false">DataDE1!DU22/DataDE1!$B22</f>
        <v>0.00385328678151192</v>
      </c>
      <c r="S101" s="25" t="n">
        <f aca="false">DataDE1!DH22*(DataDE1!GI22/DataDE1!GJ22)/DataDE1!G22</f>
        <v>0.59928734205073</v>
      </c>
      <c r="U101" s="158" t="n">
        <f aca="false">DataDE1!DH22*(DataDE1!GI22/DataDE1!GJ22)/(DataDE1!G22-DataDE1!J22)</f>
        <v>0.680149773785377</v>
      </c>
      <c r="W101" s="25"/>
    </row>
    <row r="102" customFormat="false" ht="12" hidden="false" customHeight="false" outlineLevel="0" collapsed="false">
      <c r="A102" s="416" t="n">
        <f aca="false">A101+1</f>
        <v>1962</v>
      </c>
      <c r="B102" s="519" t="n">
        <f aca="false">DataDE1!CX23/DataDE1!$B23</f>
        <v>0.205400199590632</v>
      </c>
      <c r="C102" s="518"/>
      <c r="D102" s="518"/>
      <c r="E102" s="518"/>
      <c r="F102" s="518" t="n">
        <f aca="false">DataDE1!DC23/DataDE1!$B23</f>
        <v>-0.00380401689294911</v>
      </c>
      <c r="G102" s="518" t="n">
        <f aca="false">DataDE1!DD23/DataDE1!$B23</f>
        <v>-0.00711220553291619</v>
      </c>
      <c r="H102" s="1602"/>
      <c r="I102" s="519" t="n">
        <f aca="false">DataDE1!DF23/DataDE1!$B23</f>
        <v>0.656526918278149</v>
      </c>
      <c r="J102" s="594" t="n">
        <f aca="false">DataDE1!DI23/DataDE1!$B23</f>
        <v>0.452141437920188</v>
      </c>
      <c r="K102" s="594" t="n">
        <f aca="false">DataDE1!DL23/DataDE1!$B23</f>
        <v>0.0752854834721484</v>
      </c>
      <c r="L102" s="594" t="n">
        <f aca="false">DataDE1!DM23/DataDE1!$B23</f>
        <v>0.125179713199235</v>
      </c>
      <c r="M102" s="1603" t="n">
        <f aca="false">DataDE1!DU23/DataDE1!$B23</f>
        <v>0.00392028368657784</v>
      </c>
      <c r="S102" s="25" t="n">
        <f aca="false">DataDE1!DH23*(DataDE1!GI23/DataDE1!GJ23)/DataDE1!G23</f>
        <v>0.603018382660354</v>
      </c>
      <c r="U102" s="158" t="n">
        <f aca="false">DataDE1!DH23*(DataDE1!GI23/DataDE1!GJ23)/(DataDE1!G23-DataDE1!J23)</f>
        <v>0.683992034790273</v>
      </c>
      <c r="W102" s="25"/>
    </row>
    <row r="103" customFormat="false" ht="12" hidden="false" customHeight="false" outlineLevel="0" collapsed="false">
      <c r="A103" s="416" t="n">
        <f aca="false">A102+1</f>
        <v>1963</v>
      </c>
      <c r="B103" s="519" t="n">
        <f aca="false">DataDE1!CX24/DataDE1!$B24</f>
        <v>0.205364561569595</v>
      </c>
      <c r="C103" s="518"/>
      <c r="D103" s="518"/>
      <c r="E103" s="518"/>
      <c r="F103" s="518" t="n">
        <f aca="false">DataDE1!DC24/DataDE1!$B24</f>
        <v>-0.00358151247360089</v>
      </c>
      <c r="G103" s="518" t="n">
        <f aca="false">DataDE1!DD24/DataDE1!$B24</f>
        <v>-0.00727727622485883</v>
      </c>
      <c r="H103" s="1602"/>
      <c r="I103" s="519" t="n">
        <f aca="false">DataDE1!DF24/DataDE1!$B24</f>
        <v>0.65744847530037</v>
      </c>
      <c r="J103" s="594" t="n">
        <f aca="false">DataDE1!DI24/DataDE1!$B24</f>
        <v>0.453392824283614</v>
      </c>
      <c r="K103" s="594" t="n">
        <f aca="false">DataDE1!DL24/DataDE1!$B24</f>
        <v>0.0792123264776897</v>
      </c>
      <c r="L103" s="594" t="n">
        <f aca="false">DataDE1!DM24/DataDE1!$B24</f>
        <v>0.121119739233083</v>
      </c>
      <c r="M103" s="1603" t="n">
        <f aca="false">DataDE1!DU24/DataDE1!$B24</f>
        <v>0.00372358530598369</v>
      </c>
      <c r="S103" s="25" t="n">
        <f aca="false">DataDE1!DH24*(DataDE1!GI24/DataDE1!GJ24)/DataDE1!G24</f>
        <v>0.600010251043912</v>
      </c>
      <c r="U103" s="158" t="n">
        <f aca="false">DataDE1!DH24*(DataDE1!GI24/DataDE1!GJ24)/(DataDE1!G24-DataDE1!J24)</f>
        <v>0.679307868009422</v>
      </c>
      <c r="W103" s="25"/>
    </row>
    <row r="104" customFormat="false" ht="12" hidden="false" customHeight="false" outlineLevel="0" collapsed="false">
      <c r="A104" s="416" t="n">
        <f aca="false">A103+1</f>
        <v>1964</v>
      </c>
      <c r="B104" s="519" t="n">
        <f aca="false">DataDE1!CX25/DataDE1!$B25</f>
        <v>0.210591060434388</v>
      </c>
      <c r="C104" s="518"/>
      <c r="D104" s="518"/>
      <c r="E104" s="518"/>
      <c r="F104" s="518" t="n">
        <f aca="false">DataDE1!DC25/DataDE1!$B25</f>
        <v>-0.00381320477725891</v>
      </c>
      <c r="G104" s="518" t="n">
        <f aca="false">DataDE1!DD25/DataDE1!$B25</f>
        <v>-0.00671067634316512</v>
      </c>
      <c r="H104" s="1602"/>
      <c r="I104" s="519" t="n">
        <f aca="false">DataDE1!DF25/DataDE1!$B25</f>
        <v>0.654465066686097</v>
      </c>
      <c r="J104" s="594" t="n">
        <f aca="false">DataDE1!DI25/DataDE1!$B25</f>
        <v>0.456619752856322</v>
      </c>
      <c r="K104" s="594" t="n">
        <f aca="false">DataDE1!DL25/DataDE1!$B25</f>
        <v>0.078856222285645</v>
      </c>
      <c r="L104" s="594" t="n">
        <f aca="false">DataDE1!DM25/DataDE1!$B25</f>
        <v>0.115721687550123</v>
      </c>
      <c r="M104" s="1603" t="n">
        <f aca="false">DataDE1!DU25/DataDE1!$B25</f>
        <v>0.00326740399400715</v>
      </c>
      <c r="S104" s="25" t="n">
        <f aca="false">DataDE1!DH25*(DataDE1!GI25/DataDE1!GJ25)/DataDE1!G25</f>
        <v>0.595911433326246</v>
      </c>
      <c r="U104" s="158" t="n">
        <f aca="false">DataDE1!DH25*(DataDE1!GI25/DataDE1!GJ25)/(DataDE1!G25-DataDE1!J25)</f>
        <v>0.673331948489853</v>
      </c>
      <c r="W104" s="25"/>
    </row>
    <row r="105" customFormat="false" ht="12" hidden="false" customHeight="false" outlineLevel="0" collapsed="false">
      <c r="A105" s="416" t="n">
        <f aca="false">A104+1</f>
        <v>1965</v>
      </c>
      <c r="B105" s="519" t="n">
        <f aca="false">DataDE1!CX26/DataDE1!$B26</f>
        <v>0.208705396254291</v>
      </c>
      <c r="C105" s="518"/>
      <c r="D105" s="518"/>
      <c r="E105" s="518"/>
      <c r="F105" s="518" t="n">
        <f aca="false">DataDE1!DC26/DataDE1!$B26</f>
        <v>-0.00411528847078728</v>
      </c>
      <c r="G105" s="518" t="n">
        <f aca="false">DataDE1!DD26/DataDE1!$B26</f>
        <v>-0.00603795759263454</v>
      </c>
      <c r="H105" s="1602"/>
      <c r="I105" s="519" t="n">
        <f aca="false">DataDE1!DF26/DataDE1!$B26</f>
        <v>0.660932501348137</v>
      </c>
      <c r="J105" s="594" t="n">
        <f aca="false">DataDE1!DI26/DataDE1!$B26</f>
        <v>0.462657802838479</v>
      </c>
      <c r="K105" s="594" t="n">
        <f aca="false">DataDE1!DL26/DataDE1!$B26</f>
        <v>0.0823090860179438</v>
      </c>
      <c r="L105" s="594" t="n">
        <f aca="false">DataDE1!DM26/DataDE1!$B26</f>
        <v>0.113131177850715</v>
      </c>
      <c r="M105" s="1603" t="n">
        <f aca="false">DataDE1!DU26/DataDE1!$B26</f>
        <v>0.00283443464099843</v>
      </c>
      <c r="S105" s="25" t="n">
        <f aca="false">DataDE1!DH26*(DataDE1!GI26/DataDE1!GJ26)/DataDE1!G26</f>
        <v>0.60024286938376</v>
      </c>
      <c r="U105" s="158" t="n">
        <f aca="false">DataDE1!DH26*(DataDE1!GI26/DataDE1!GJ26)/(DataDE1!G26-DataDE1!J26)</f>
        <v>0.675325612824741</v>
      </c>
      <c r="W105" s="25"/>
    </row>
    <row r="106" customFormat="false" ht="12" hidden="false" customHeight="false" outlineLevel="0" collapsed="false">
      <c r="A106" s="416" t="n">
        <f aca="false">A105+1</f>
        <v>1966</v>
      </c>
      <c r="B106" s="519" t="n">
        <f aca="false">DataDE1!CX27/DataDE1!$B27</f>
        <v>0.20092580375285</v>
      </c>
      <c r="C106" s="518"/>
      <c r="D106" s="518"/>
      <c r="E106" s="518"/>
      <c r="F106" s="518" t="n">
        <f aca="false">DataDE1!DC27/DataDE1!$B27</f>
        <v>-0.00372466479052686</v>
      </c>
      <c r="G106" s="518" t="n">
        <f aca="false">DataDE1!DD27/DataDE1!$B27</f>
        <v>-0.00506178535800271</v>
      </c>
      <c r="H106" s="1602"/>
      <c r="I106" s="519" t="n">
        <f aca="false">DataDE1!DF27/DataDE1!$B27</f>
        <v>0.669555727044865</v>
      </c>
      <c r="J106" s="594" t="n">
        <f aca="false">DataDE1!DI27/DataDE1!$B27</f>
        <v>0.467140944609265</v>
      </c>
      <c r="K106" s="594" t="n">
        <f aca="false">DataDE1!DL27/DataDE1!$B27</f>
        <v>0.0867788509267058</v>
      </c>
      <c r="L106" s="594" t="n">
        <f aca="false">DataDE1!DM27/DataDE1!$B27</f>
        <v>0.112822250777948</v>
      </c>
      <c r="M106" s="1603" t="n">
        <f aca="false">DataDE1!DU27/DataDE1!$B27</f>
        <v>0.00281368073094599</v>
      </c>
      <c r="S106" s="25" t="n">
        <f aca="false">DataDE1!DH27*(DataDE1!GI27/DataDE1!GJ27)/DataDE1!G27</f>
        <v>0.605503373243695</v>
      </c>
      <c r="U106" s="158" t="n">
        <f aca="false">DataDE1!DH27*(DataDE1!GI27/DataDE1!GJ27)/(DataDE1!G27-DataDE1!J27)</f>
        <v>0.680991811527851</v>
      </c>
      <c r="W106" s="25"/>
    </row>
    <row r="107" customFormat="false" ht="12" hidden="false" customHeight="false" outlineLevel="0" collapsed="false">
      <c r="A107" s="416" t="n">
        <f aca="false">A106+1</f>
        <v>1967</v>
      </c>
      <c r="B107" s="519" t="n">
        <f aca="false">DataDE1!CX28/DataDE1!$B28</f>
        <v>0.203001334638424</v>
      </c>
      <c r="C107" s="518"/>
      <c r="D107" s="518"/>
      <c r="E107" s="518"/>
      <c r="F107" s="518" t="n">
        <f aca="false">DataDE1!DC28/DataDE1!$B28</f>
        <v>-0.0038328104287973</v>
      </c>
      <c r="G107" s="518" t="n">
        <f aca="false">DataDE1!DD28/DataDE1!$B28</f>
        <v>-0.00347364449373209</v>
      </c>
      <c r="H107" s="1602"/>
      <c r="I107" s="519" t="n">
        <f aca="false">DataDE1!DF28/DataDE1!$B28</f>
        <v>0.664632024408404</v>
      </c>
      <c r="J107" s="594" t="n">
        <f aca="false">DataDE1!DI28/DataDE1!$B28</f>
        <v>0.457430355169447</v>
      </c>
      <c r="K107" s="594" t="n">
        <f aca="false">DataDE1!DL28/DataDE1!$B28</f>
        <v>0.0913710688939272</v>
      </c>
      <c r="L107" s="594" t="n">
        <f aca="false">DataDE1!DM28/DataDE1!$B28</f>
        <v>0.112463717932742</v>
      </c>
      <c r="M107" s="1603" t="n">
        <f aca="false">DataDE1!DU28/DataDE1!$B28</f>
        <v>0.0033668824122872</v>
      </c>
      <c r="S107" s="25" t="n">
        <f aca="false">DataDE1!DH28*(DataDE1!GI28/DataDE1!GJ28)/DataDE1!G28</f>
        <v>0.597622679441797</v>
      </c>
      <c r="U107" s="158" t="n">
        <f aca="false">DataDE1!DH28*(DataDE1!GI28/DataDE1!GJ28)/(DataDE1!G28-DataDE1!J28)</f>
        <v>0.674695306391182</v>
      </c>
      <c r="W107" s="25"/>
    </row>
    <row r="108" customFormat="false" ht="12" hidden="false" customHeight="false" outlineLevel="0" collapsed="false">
      <c r="A108" s="416" t="n">
        <f aca="false">A107+1</f>
        <v>1968</v>
      </c>
      <c r="B108" s="519" t="n">
        <f aca="false">DataDE1!CX29/DataDE1!$B29</f>
        <v>0.222804935183102</v>
      </c>
      <c r="C108" s="518"/>
      <c r="D108" s="518"/>
      <c r="E108" s="518"/>
      <c r="F108" s="518" t="n">
        <f aca="false">DataDE1!DC29/DataDE1!$B29</f>
        <v>-0.00178951019858362</v>
      </c>
      <c r="G108" s="518" t="n">
        <f aca="false">DataDE1!DD29/DataDE1!$B29</f>
        <v>-0.00417161634553319</v>
      </c>
      <c r="H108" s="1602"/>
      <c r="I108" s="519" t="n">
        <f aca="false">DataDE1!DF29/DataDE1!$B29</f>
        <v>0.655039315560341</v>
      </c>
      <c r="J108" s="594" t="n">
        <f aca="false">DataDE1!DI29/DataDE1!$B29</f>
        <v>0.453843653434357</v>
      </c>
      <c r="K108" s="594" t="n">
        <f aca="false">DataDE1!DL29/DataDE1!$B29</f>
        <v>0.0897932383490401</v>
      </c>
      <c r="L108" s="594" t="n">
        <f aca="false">DataDE1!DM29/DataDE1!$B29</f>
        <v>0.108191572420904</v>
      </c>
      <c r="M108" s="1603" t="n">
        <f aca="false">DataDE1!DU29/DataDE1!$B29</f>
        <v>0.00321085135603949</v>
      </c>
      <c r="S108" s="25" t="n">
        <f aca="false">DataDE1!DH29*(DataDE1!GI29/DataDE1!GJ29)/DataDE1!G29</f>
        <v>0.591031381788933</v>
      </c>
      <c r="U108" s="158" t="n">
        <f aca="false">DataDE1!DH29*(DataDE1!GI29/DataDE1!GJ29)/(DataDE1!G29-DataDE1!J29)</f>
        <v>0.660339094870166</v>
      </c>
      <c r="W108" s="25"/>
    </row>
    <row r="109" customFormat="false" ht="12" hidden="false" customHeight="false" outlineLevel="0" collapsed="false">
      <c r="A109" s="436" t="n">
        <f aca="false">A108+1</f>
        <v>1969</v>
      </c>
      <c r="B109" s="534" t="n">
        <f aca="false">DataDE1!CX30/DataDE1!$B30</f>
        <v>0.216575849760682</v>
      </c>
      <c r="C109" s="533"/>
      <c r="D109" s="533"/>
      <c r="E109" s="533"/>
      <c r="F109" s="533" t="n">
        <f aca="false">DataDE1!DC30/DataDE1!$B30</f>
        <v>-0.00077814075993048</v>
      </c>
      <c r="G109" s="533" t="n">
        <f aca="false">DataDE1!DD30/DataDE1!$B30</f>
        <v>-0.00377103009834419</v>
      </c>
      <c r="H109" s="1604"/>
      <c r="I109" s="534" t="n">
        <f aca="false">DataDE1!DF30/DataDE1!$B30</f>
        <v>0.649579957493213</v>
      </c>
      <c r="J109" s="1264" t="n">
        <f aca="false">DataDE1!DI30/DataDE1!$B30</f>
        <v>0.454589099554582</v>
      </c>
      <c r="K109" s="1264" t="n">
        <f aca="false">DataDE1!DL30/DataDE1!$B30</f>
        <v>0.0906888510356409</v>
      </c>
      <c r="L109" s="1264" t="n">
        <f aca="false">DataDE1!DM30/DataDE1!$B30</f>
        <v>0.101599973111647</v>
      </c>
      <c r="M109" s="1605" t="n">
        <f aca="false">DataDE1!DU30/DataDE1!$B30</f>
        <v>0.0027020337913429</v>
      </c>
      <c r="S109" s="25" t="n">
        <f aca="false">DataDE1!DH30*(DataDE1!GI30/DataDE1!GJ30)/DataDE1!G30</f>
        <v>0.588284684324182</v>
      </c>
      <c r="U109" s="158" t="n">
        <f aca="false">DataDE1!DH30*(DataDE1!GI30/DataDE1!GJ30)/(DataDE1!G30-DataDE1!J30)</f>
        <v>0.665610101025616</v>
      </c>
      <c r="W109" s="25"/>
    </row>
    <row r="110" customFormat="false" ht="12" hidden="false" customHeight="false" outlineLevel="0" collapsed="false">
      <c r="A110" s="416" t="n">
        <f aca="false">A109+1</f>
        <v>1970</v>
      </c>
      <c r="B110" s="519" t="n">
        <f aca="false">DataDE1!CX31/DataDE1!$B31</f>
        <v>0.202689574440249</v>
      </c>
      <c r="C110" s="518"/>
      <c r="D110" s="518"/>
      <c r="E110" s="518"/>
      <c r="F110" s="518" t="n">
        <f aca="false">DataDE1!DC31/DataDE1!$B31</f>
        <v>-0.00112107623318386</v>
      </c>
      <c r="G110" s="518" t="n">
        <f aca="false">DataDE1!DD31/DataDE1!$B31</f>
        <v>-0.00445315146985551</v>
      </c>
      <c r="H110" s="1602"/>
      <c r="I110" s="519" t="n">
        <f aca="false">DataDE1!DF31/DataDE1!$B31</f>
        <v>0.676607896910025</v>
      </c>
      <c r="J110" s="594" t="n">
        <f aca="false">DataDE1!DI31/DataDE1!$B31</f>
        <v>0.479664922770304</v>
      </c>
      <c r="K110" s="594" t="n">
        <f aca="false">DataDE1!DL31/DataDE1!$B31</f>
        <v>0.0943572496263079</v>
      </c>
      <c r="L110" s="594" t="n">
        <f aca="false">DataDE1!DM31/DataDE1!$B31</f>
        <v>0.100343572047045</v>
      </c>
      <c r="M110" s="1603" t="n">
        <f aca="false">DataDE1!DU31/DataDE1!$B31</f>
        <v>0.00224215246636771</v>
      </c>
      <c r="S110" s="25" t="n">
        <f aca="false">DataDE1!DH31*(DataDE1!GI31/DataDE1!GJ31)/DataDE1!G31</f>
        <v>0.610915759931458</v>
      </c>
      <c r="U110" s="158" t="n">
        <f aca="false">DataDE1!DH31*(DataDE1!GI31/DataDE1!GJ31)/(DataDE1!G31-DataDE1!J31)</f>
        <v>0.680031557435665</v>
      </c>
      <c r="W110" s="25"/>
      <c r="AI110" s="502"/>
    </row>
    <row r="111" customFormat="false" ht="12" hidden="false" customHeight="false" outlineLevel="0" collapsed="false">
      <c r="A111" s="416" t="n">
        <v>1971</v>
      </c>
      <c r="B111" s="519" t="n">
        <f aca="false">DataDE1!CX32/DataDE1!$B32</f>
        <v>0.191955092668593</v>
      </c>
      <c r="C111" s="518"/>
      <c r="D111" s="518"/>
      <c r="E111" s="518"/>
      <c r="F111" s="518" t="n">
        <f aca="false">DataDE1!DC32/DataDE1!$B32</f>
        <v>0.000225644497094827</v>
      </c>
      <c r="G111" s="518" t="n">
        <f aca="false">DataDE1!DD32/DataDE1!$B32</f>
        <v>-0.00397697297907147</v>
      </c>
      <c r="H111" s="1602"/>
      <c r="I111" s="519" t="n">
        <f aca="false">DataDE1!DF32/DataDE1!$B32</f>
        <v>0.687635373851405</v>
      </c>
      <c r="J111" s="594" t="n">
        <f aca="false">DataDE1!DI32/DataDE1!$B32</f>
        <v>0.487222880352005</v>
      </c>
      <c r="K111" s="594" t="n">
        <f aca="false">DataDE1!DL32/DataDE1!$B32</f>
        <v>0.102075929373272</v>
      </c>
      <c r="L111" s="594" t="n">
        <f aca="false">DataDE1!DM32/DataDE1!$B32</f>
        <v>0.0955442134745784</v>
      </c>
      <c r="M111" s="1603" t="n">
        <f aca="false">DataDE1!DU32/DataDE1!$B32</f>
        <v>0.00279235065154849</v>
      </c>
      <c r="S111" s="25" t="n">
        <f aca="false">DataDE1!DH32*(DataDE1!GI32/DataDE1!GJ32)/DataDE1!G32</f>
        <v>0.616480301941309</v>
      </c>
      <c r="U111" s="158" t="n">
        <f aca="false">DataDE1!DH32*(DataDE1!GI32/DataDE1!GJ32)/(DataDE1!G32-DataDE1!J32)</f>
        <v>0.688276035730396</v>
      </c>
      <c r="W111" s="25"/>
      <c r="AI111" s="502"/>
    </row>
    <row r="112" customFormat="false" ht="12" hidden="false" customHeight="false" outlineLevel="0" collapsed="false">
      <c r="A112" s="416" t="n">
        <v>1972</v>
      </c>
      <c r="B112" s="519" t="n">
        <f aca="false">DataDE1!CX33/DataDE1!$B33</f>
        <v>0.187456864881037</v>
      </c>
      <c r="C112" s="518"/>
      <c r="D112" s="518"/>
      <c r="E112" s="518"/>
      <c r="F112" s="518" t="n">
        <f aca="false">DataDE1!DC33/DataDE1!$B33</f>
        <v>0.000103777501037775</v>
      </c>
      <c r="G112" s="518" t="n">
        <f aca="false">DataDE1!DD33/DataDE1!$B33</f>
        <v>-0.00119343088418431</v>
      </c>
      <c r="H112" s="1602"/>
      <c r="I112" s="519" t="n">
        <f aca="false">DataDE1!DF33/DataDE1!$B33</f>
        <v>0.696883120590113</v>
      </c>
      <c r="J112" s="594" t="n">
        <f aca="false">DataDE1!DI33/DataDE1!$B33</f>
        <v>0.495589456205895</v>
      </c>
      <c r="K112" s="594" t="n">
        <f aca="false">DataDE1!DL33/DataDE1!$B33</f>
        <v>0.105386052303861</v>
      </c>
      <c r="L112" s="594" t="n">
        <f aca="false">DataDE1!DM33/DataDE1!$B33</f>
        <v>0.093339118929673</v>
      </c>
      <c r="M112" s="1603" t="n">
        <f aca="false">DataDE1!DU33/DataDE1!$B33</f>
        <v>0.00256849315068493</v>
      </c>
      <c r="S112" s="25" t="n">
        <f aca="false">DataDE1!DH33*(DataDE1!GI33/DataDE1!GJ33)/DataDE1!G33</f>
        <v>0.622858435616168</v>
      </c>
      <c r="U112" s="158" t="n">
        <f aca="false">DataDE1!DH33*(DataDE1!GI33/DataDE1!GJ33)/(DataDE1!G33-DataDE1!J33)</f>
        <v>0.694297738140413</v>
      </c>
      <c r="W112" s="25"/>
      <c r="AI112" s="502"/>
    </row>
    <row r="113" customFormat="false" ht="12" hidden="false" customHeight="false" outlineLevel="0" collapsed="false">
      <c r="A113" s="416" t="n">
        <v>1973</v>
      </c>
      <c r="B113" s="519" t="n">
        <f aca="false">DataDE1!CX34/DataDE1!$B34</f>
        <v>0.18103797903378</v>
      </c>
      <c r="C113" s="518"/>
      <c r="D113" s="518"/>
      <c r="E113" s="518"/>
      <c r="F113" s="518" t="n">
        <f aca="false">DataDE1!DC34/DataDE1!$B34</f>
        <v>0.000791544442892396</v>
      </c>
      <c r="G113" s="518" t="n">
        <f aca="false">DataDE1!DD34/DataDE1!$B34</f>
        <v>-0.000768254411696234</v>
      </c>
      <c r="H113" s="1602"/>
      <c r="I113" s="519" t="n">
        <f aca="false">DataDE1!DF34/DataDE1!$B34</f>
        <v>0.70751722886304</v>
      </c>
      <c r="J113" s="594" t="n">
        <f aca="false">DataDE1!DI34/DataDE1!$B34</f>
        <v>0.503422265679564</v>
      </c>
      <c r="K113" s="594" t="n">
        <f aca="false">DataDE1!DL34/DataDE1!$B34</f>
        <v>0.110350607626764</v>
      </c>
      <c r="L113" s="594" t="n">
        <f aca="false">DataDE1!DM34/DataDE1!$B34</f>
        <v>0.0915094065414865</v>
      </c>
      <c r="M113" s="1603" t="n">
        <f aca="false">DataDE1!DU34/DataDE1!$B34</f>
        <v>0.00223494901522559</v>
      </c>
      <c r="S113" s="25" t="n">
        <f aca="false">DataDE1!DH34*(DataDE1!GI34/DataDE1!GJ34)/DataDE1!G34</f>
        <v>0.6327188268085</v>
      </c>
      <c r="U113" s="158" t="n">
        <f aca="false">DataDE1!DH34*(DataDE1!GI34/DataDE1!GJ34)/(DataDE1!G34-DataDE1!J34)</f>
        <v>0.703065923330362</v>
      </c>
      <c r="W113" s="25"/>
      <c r="AI113" s="502"/>
    </row>
    <row r="114" customFormat="false" ht="12" hidden="false" customHeight="false" outlineLevel="0" collapsed="false">
      <c r="A114" s="416" t="n">
        <v>1974</v>
      </c>
      <c r="B114" s="519" t="n">
        <f aca="false">DataDE1!CX35/DataDE1!$B35</f>
        <v>0.171872880048018</v>
      </c>
      <c r="C114" s="518"/>
      <c r="D114" s="518"/>
      <c r="E114" s="518"/>
      <c r="F114" s="518" t="n">
        <f aca="false">DataDE1!DC35/DataDE1!$B35</f>
        <v>0.00019464930683219</v>
      </c>
      <c r="G114" s="518" t="n">
        <f aca="false">DataDE1!DD35/DataDE1!$B35</f>
        <v>0.00242231113610312</v>
      </c>
      <c r="H114" s="1602"/>
      <c r="I114" s="519" t="n">
        <f aca="false">DataDE1!DF35/DataDE1!$B35</f>
        <v>0.724206026455432</v>
      </c>
      <c r="J114" s="594" t="n">
        <f aca="false">DataDE1!DI35/DataDE1!$B35</f>
        <v>0.511689772260311</v>
      </c>
      <c r="K114" s="594" t="n">
        <f aca="false">DataDE1!DL35/DataDE1!$B35</f>
        <v>0.119038864978264</v>
      </c>
      <c r="L114" s="594" t="n">
        <f aca="false">DataDE1!DM35/DataDE1!$B35</f>
        <v>0.0911848529363884</v>
      </c>
      <c r="M114" s="1603" t="n">
        <f aca="false">DataDE1!DU35/DataDE1!$B35</f>
        <v>0.00229253628046802</v>
      </c>
      <c r="S114" s="25" t="n">
        <f aca="false">DataDE1!DH35*(DataDE1!GI35/DataDE1!GJ35)/DataDE1!G35</f>
        <v>0.643872516234208</v>
      </c>
      <c r="T114" s="0" t="n">
        <v>66.1</v>
      </c>
      <c r="U114" s="158" t="n">
        <f aca="false">DataDE1!DH35*(DataDE1!GI35/DataDE1!GJ35)/(DataDE1!G35-DataDE1!J35)</f>
        <v>0.71163789000382</v>
      </c>
      <c r="W114" s="25"/>
      <c r="AI114" s="502"/>
    </row>
    <row r="115" customFormat="false" ht="12" hidden="false" customHeight="false" outlineLevel="0" collapsed="false">
      <c r="A115" s="416" t="n">
        <v>1975</v>
      </c>
      <c r="B115" s="519" t="n">
        <f aca="false">DataDE1!CX36/DataDE1!$B36</f>
        <v>0.176912730610502</v>
      </c>
      <c r="C115" s="518"/>
      <c r="D115" s="518"/>
      <c r="E115" s="518"/>
      <c r="F115" s="518" t="n">
        <f aca="false">DataDE1!DC36/DataDE1!$B36</f>
        <v>0.00302521704896293</v>
      </c>
      <c r="G115" s="518" t="n">
        <f aca="false">DataDE1!DD36/DataDE1!$B36</f>
        <v>0.00557386709765649</v>
      </c>
      <c r="H115" s="1602"/>
      <c r="I115" s="519" t="n">
        <f aca="false">DataDE1!DF36/DataDE1!$B36</f>
        <v>0.723773131679961</v>
      </c>
      <c r="J115" s="594" t="n">
        <f aca="false">DataDE1!DI36/DataDE1!$B36</f>
        <v>0.507366196307577</v>
      </c>
      <c r="K115" s="594" t="n">
        <f aca="false">DataDE1!DL36/DataDE1!$B36</f>
        <v>0.124054619672199</v>
      </c>
      <c r="L115" s="594" t="n">
        <f aca="false">DataDE1!DM36/DataDE1!$B36</f>
        <v>0.0898036739397563</v>
      </c>
      <c r="M115" s="1603" t="n">
        <f aca="false">DataDE1!DU36/DataDE1!$B36</f>
        <v>0.00254864176042767</v>
      </c>
      <c r="S115" s="25" t="n">
        <f aca="false">DataDE1!DH36*(DataDE1!GI36/DataDE1!GJ36)/DataDE1!G36</f>
        <v>0.640833778400798</v>
      </c>
      <c r="U115" s="158" t="n">
        <f aca="false">DataDE1!DH36*(DataDE1!GI36/DataDE1!GJ36)/(DataDE1!G36-DataDE1!J36)</f>
        <v>0.708038379492338</v>
      </c>
      <c r="W115" s="25"/>
      <c r="AI115" s="502"/>
    </row>
    <row r="116" customFormat="false" ht="12" hidden="false" customHeight="false" outlineLevel="0" collapsed="false">
      <c r="A116" s="416" t="n">
        <v>1976</v>
      </c>
      <c r="B116" s="519" t="n">
        <f aca="false">DataDE1!CX37/DataDE1!$B37</f>
        <v>0.186984000934552</v>
      </c>
      <c r="C116" s="518"/>
      <c r="D116" s="518"/>
      <c r="E116" s="518"/>
      <c r="F116" s="518" t="n">
        <f aca="false">DataDE1!DC37/DataDE1!$B37</f>
        <v>0.00369643503610693</v>
      </c>
      <c r="G116" s="518" t="n">
        <f aca="false">DataDE1!DD37/DataDE1!$B37</f>
        <v>0.00859326639102185</v>
      </c>
      <c r="H116" s="1602"/>
      <c r="I116" s="519" t="n">
        <f aca="false">DataDE1!DF37/DataDE1!$B37</f>
        <v>0.714927101708209</v>
      </c>
      <c r="J116" s="594" t="n">
        <f aca="false">DataDE1!DI37/DataDE1!$B37</f>
        <v>0.506983213612027</v>
      </c>
      <c r="K116" s="594" t="n">
        <f aca="false">DataDE1!DL37/DataDE1!$B37</f>
        <v>0.120591429605777</v>
      </c>
      <c r="L116" s="594" t="n">
        <f aca="false">DataDE1!DM37/DataDE1!$B37</f>
        <v>0.0847801969962069</v>
      </c>
      <c r="M116" s="1603" t="n">
        <f aca="false">DataDE1!DU37/DataDE1!$B37</f>
        <v>0.00257226149419812</v>
      </c>
      <c r="S116" s="25" t="n">
        <f aca="false">DataDE1!DH37*(DataDE1!GI37/DataDE1!GJ37)/DataDE1!G37</f>
        <v>0.634474495140649</v>
      </c>
      <c r="U116" s="158" t="n">
        <f aca="false">DataDE1!DH37*(DataDE1!GI37/DataDE1!GJ37)/(DataDE1!G37-DataDE1!J37)</f>
        <v>0.702293941926264</v>
      </c>
      <c r="W116" s="25"/>
      <c r="AI116" s="502"/>
    </row>
    <row r="117" customFormat="false" ht="12" hidden="false" customHeight="false" outlineLevel="0" collapsed="false">
      <c r="A117" s="416" t="n">
        <v>1977</v>
      </c>
      <c r="B117" s="519" t="n">
        <f aca="false">DataDE1!CX38/DataDE1!$B38</f>
        <v>0.185773247073534</v>
      </c>
      <c r="C117" s="518"/>
      <c r="D117" s="518"/>
      <c r="E117" s="518"/>
      <c r="F117" s="518" t="n">
        <f aca="false">DataDE1!DC38/DataDE1!$B38</f>
        <v>0.00103907271717515</v>
      </c>
      <c r="G117" s="518" t="n">
        <f aca="false">DataDE1!DD38/DataDE1!$B38</f>
        <v>0.0102294989161397</v>
      </c>
      <c r="H117" s="1602"/>
      <c r="I117" s="519" t="n">
        <f aca="false">DataDE1!DF38/DataDE1!$B38</f>
        <v>0.717646742535739</v>
      </c>
      <c r="J117" s="594" t="n">
        <f aca="false">DataDE1!DI38/DataDE1!$B38</f>
        <v>0.513534817893549</v>
      </c>
      <c r="K117" s="594" t="n">
        <f aca="false">DataDE1!DL38/DataDE1!$B38</f>
        <v>0.119959153693187</v>
      </c>
      <c r="L117" s="594" t="n">
        <f aca="false">DataDE1!DM38/DataDE1!$B38</f>
        <v>0.0816804944840003</v>
      </c>
      <c r="M117" s="1603" t="n">
        <f aca="false">DataDE1!DU38/DataDE1!$B38</f>
        <v>0.00247227646500296</v>
      </c>
      <c r="S117" s="25" t="n">
        <f aca="false">DataDE1!DH38*(DataDE1!GI38/DataDE1!GJ38)/DataDE1!G38</f>
        <v>0.635467824524449</v>
      </c>
      <c r="U117" s="158" t="n">
        <f aca="false">DataDE1!DH38*(DataDE1!GI38/DataDE1!GJ38)/(DataDE1!G38-DataDE1!J38)</f>
        <v>0.702697326493629</v>
      </c>
      <c r="W117" s="25"/>
      <c r="AI117" s="502"/>
    </row>
    <row r="118" customFormat="false" ht="12" hidden="false" customHeight="false" outlineLevel="0" collapsed="false">
      <c r="A118" s="416" t="n">
        <v>1978</v>
      </c>
      <c r="B118" s="519" t="n">
        <f aca="false">DataDE1!CX39/DataDE1!$B39</f>
        <v>0.187834774854246</v>
      </c>
      <c r="C118" s="518"/>
      <c r="D118" s="518"/>
      <c r="E118" s="518"/>
      <c r="F118" s="518" t="n">
        <f aca="false">DataDE1!DC39/DataDE1!$B39</f>
        <v>0.00499396701970774</v>
      </c>
      <c r="G118" s="518" t="n">
        <f aca="false">DataDE1!DD39/DataDE1!$B39</f>
        <v>0.00966953344952407</v>
      </c>
      <c r="H118" s="1602"/>
      <c r="I118" s="519" t="n">
        <f aca="false">DataDE1!DF39/DataDE1!$B39</f>
        <v>0.714229851771307</v>
      </c>
      <c r="J118" s="594" t="n">
        <f aca="false">DataDE1!DI39/DataDE1!$B39</f>
        <v>0.519154712427939</v>
      </c>
      <c r="K118" s="594" t="n">
        <f aca="false">DataDE1!DL39/DataDE1!$B39</f>
        <v>0.113487062608929</v>
      </c>
      <c r="L118" s="594" t="n">
        <f aca="false">DataDE1!DM39/DataDE1!$B39</f>
        <v>0.0791246097817646</v>
      </c>
      <c r="M118" s="1603" t="n">
        <f aca="false">DataDE1!DU39/DataDE1!$B39</f>
        <v>0.00246346695267462</v>
      </c>
      <c r="S118" s="25" t="n">
        <f aca="false">DataDE1!DH39*(DataDE1!GI39/DataDE1!GJ39)/DataDE1!G39</f>
        <v>0.633651207028096</v>
      </c>
      <c r="U118" s="158" t="n">
        <f aca="false">DataDE1!DH39*(DataDE1!GI39/DataDE1!GJ39)/(DataDE1!G39-DataDE1!J39)</f>
        <v>0.701309256813471</v>
      </c>
      <c r="W118" s="25"/>
      <c r="AI118" s="502"/>
    </row>
    <row r="119" customFormat="false" ht="12.75" hidden="false" customHeight="true" outlineLevel="0" collapsed="false">
      <c r="A119" s="436" t="n">
        <v>1979</v>
      </c>
      <c r="B119" s="534" t="n">
        <f aca="false">DataDE1!CX40/DataDE1!$B40</f>
        <v>0.189424893789873</v>
      </c>
      <c r="C119" s="533"/>
      <c r="D119" s="533"/>
      <c r="E119" s="533"/>
      <c r="F119" s="533" t="n">
        <f aca="false">DataDE1!DC40/DataDE1!$B40</f>
        <v>0.00265108058664848</v>
      </c>
      <c r="G119" s="533" t="n">
        <f aca="false">DataDE1!DD40/DataDE1!$B40</f>
        <v>0.0101237232954017</v>
      </c>
      <c r="H119" s="1604"/>
      <c r="I119" s="534" t="n">
        <f aca="false">DataDE1!DF40/DataDE1!$B40</f>
        <v>0.711663450757582</v>
      </c>
      <c r="J119" s="1264" t="n">
        <f aca="false">DataDE1!DI40/DataDE1!$B40</f>
        <v>0.523022541936684</v>
      </c>
      <c r="K119" s="1264" t="n">
        <f aca="false">DataDE1!DL40/DataDE1!$B40</f>
        <v>0.11070974543425</v>
      </c>
      <c r="L119" s="1264" t="n">
        <f aca="false">DataDE1!DM40/DataDE1!$B40</f>
        <v>0.0755746473096274</v>
      </c>
      <c r="M119" s="1605" t="n">
        <f aca="false">DataDE1!DU40/DataDE1!$B40</f>
        <v>0.00235651607702087</v>
      </c>
      <c r="S119" s="25" t="n">
        <f aca="false">DataDE1!DH40*(DataDE1!GI40/DataDE1!GJ40)/DataDE1!G40</f>
        <v>0.628152848022321</v>
      </c>
      <c r="U119" s="158" t="n">
        <f aca="false">DataDE1!DH40*(DataDE1!GI40/DataDE1!GJ40)/(DataDE1!G40-DataDE1!J40)</f>
        <v>0.696460515068369</v>
      </c>
      <c r="W119" s="25"/>
      <c r="AI119" s="502"/>
    </row>
    <row r="120" customFormat="false" ht="12" hidden="false" customHeight="false" outlineLevel="0" collapsed="false">
      <c r="A120" s="416" t="n">
        <v>1980</v>
      </c>
      <c r="B120" s="519" t="n">
        <f aca="false">DataDE1!CX41/DataDE1!$B41</f>
        <v>0.177414060913976</v>
      </c>
      <c r="C120" s="518" t="n">
        <f aca="false">TableDE10!K9</f>
        <v>0.109484581176642</v>
      </c>
      <c r="D120" s="518"/>
      <c r="E120" s="518"/>
      <c r="F120" s="518" t="n">
        <f aca="false">DataDE1!DC41/DataDE1!$B41</f>
        <v>0.00314937668586426</v>
      </c>
      <c r="G120" s="518" t="n">
        <f aca="false">DataDE1!DD41/DataDE1!$B41</f>
        <v>0.0124808689946781</v>
      </c>
      <c r="H120" s="1602" t="n">
        <f aca="false">DataDE1!DE41/DataDE1!$B41</f>
        <v>0.04237078078297</v>
      </c>
      <c r="I120" s="519" t="n">
        <f aca="false">DataDE1!DF41/DataDE1!$B41</f>
        <v>0.72558222690406</v>
      </c>
      <c r="J120" s="594" t="n">
        <f aca="false">DataDE1!DI41/DataDE1!$B41</f>
        <v>0.536064737187432</v>
      </c>
      <c r="K120" s="594" t="n">
        <f aca="false">DataDE1!DL41/DataDE1!$B41</f>
        <v>0.111788291900561</v>
      </c>
      <c r="L120" s="594" t="n">
        <f aca="false">DataDE1!DM41/DataDE1!$B41</f>
        <v>0.0754400675397676</v>
      </c>
      <c r="M120" s="1603" t="n">
        <f aca="false">DataDE1!DU41/DataDE1!$B41</f>
        <v>0.00228913027629948</v>
      </c>
      <c r="S120" s="25" t="n">
        <f aca="false">DataDE1!DH41*(DataDE1!GI41/DataDE1!GJ41)/DataDE1!G41</f>
        <v>0.636740069665905</v>
      </c>
      <c r="U120" s="158" t="n">
        <f aca="false">DataDE1!DH41*(DataDE1!GI41/DataDE1!GJ41)/(DataDE1!G41-DataDE1!J41)</f>
        <v>0.706004668053546</v>
      </c>
      <c r="W120" s="25"/>
      <c r="AI120" s="502"/>
    </row>
    <row r="121" customFormat="false" ht="12" hidden="false" customHeight="false" outlineLevel="0" collapsed="false">
      <c r="A121" s="416" t="n">
        <v>1981</v>
      </c>
      <c r="B121" s="519" t="n">
        <f aca="false">DataDE1!CX42/DataDE1!$B42</f>
        <v>0.176185199733272</v>
      </c>
      <c r="C121" s="518" t="n">
        <f aca="false">TableDE10!K10</f>
        <v>0.105825896615592</v>
      </c>
      <c r="D121" s="518"/>
      <c r="E121" s="518"/>
      <c r="F121" s="518" t="n">
        <f aca="false">DataDE1!DC42/DataDE1!$B42</f>
        <v>0.00263793006679015</v>
      </c>
      <c r="G121" s="518" t="n">
        <f aca="false">DataDE1!DD42/DataDE1!$B42</f>
        <v>0.0146349048661391</v>
      </c>
      <c r="H121" s="1602" t="n">
        <f aca="false">DataDE1!DE42/DataDE1!$B42</f>
        <v>0.0520289611045631</v>
      </c>
      <c r="I121" s="519" t="n">
        <f aca="false">DataDE1!DF42/DataDE1!$B42</f>
        <v>0.731557411256232</v>
      </c>
      <c r="J121" s="594" t="n">
        <f aca="false">DataDE1!DI42/DataDE1!$B42</f>
        <v>0.541098389178874</v>
      </c>
      <c r="K121" s="594" t="n">
        <f aca="false">DataDE1!DL42/DataDE1!$B42</f>
        <v>0.112743447269462</v>
      </c>
      <c r="L121" s="594" t="n">
        <f aca="false">DataDE1!DM42/DataDE1!$B42</f>
        <v>0.0752179601701909</v>
      </c>
      <c r="M121" s="1603" t="n">
        <f aca="false">DataDE1!DU42/DataDE1!$B42</f>
        <v>0.00249761463770556</v>
      </c>
      <c r="S121" s="25" t="n">
        <f aca="false">DataDE1!DH42*(DataDE1!GI42/DataDE1!GJ42)/DataDE1!G42</f>
        <v>0.63674157784913</v>
      </c>
      <c r="U121" s="158" t="n">
        <f aca="false">DataDE1!DH42*(DataDE1!GI42/DataDE1!GJ42)/(DataDE1!G42-DataDE1!J42)</f>
        <v>0.704788927930774</v>
      </c>
      <c r="W121" s="25"/>
      <c r="AI121" s="502"/>
    </row>
    <row r="122" customFormat="false" ht="12" hidden="false" customHeight="false" outlineLevel="0" collapsed="false">
      <c r="A122" s="416" t="n">
        <v>1982</v>
      </c>
      <c r="B122" s="519" t="n">
        <f aca="false">DataDE1!CX43/DataDE1!$B43</f>
        <v>0.178812180747457</v>
      </c>
      <c r="C122" s="518" t="n">
        <f aca="false">TableDE10!K11</f>
        <v>0.110950169890756</v>
      </c>
      <c r="D122" s="518"/>
      <c r="E122" s="518"/>
      <c r="F122" s="518" t="n">
        <f aca="false">DataDE1!DC43/DataDE1!$B43</f>
        <v>0.00148908231917802</v>
      </c>
      <c r="G122" s="518" t="n">
        <f aca="false">DataDE1!DD43/DataDE1!$B43</f>
        <v>0.0126978164638356</v>
      </c>
      <c r="H122" s="1602" t="n">
        <f aca="false">DataDE1!DE43/DataDE1!$B43</f>
        <v>0.0544733386579307</v>
      </c>
      <c r="I122" s="519" t="n">
        <f aca="false">DataDE1!DF43/DataDE1!$B43</f>
        <v>0.728120179718762</v>
      </c>
      <c r="J122" s="594" t="n">
        <f aca="false">DataDE1!DI43/DataDE1!$B43</f>
        <v>0.538276184158872</v>
      </c>
      <c r="K122" s="594" t="n">
        <f aca="false">DataDE1!DL43/DataDE1!$B43</f>
        <v>0.112317418202001</v>
      </c>
      <c r="L122" s="594" t="n">
        <f aca="false">DataDE1!DM43/DataDE1!$B43</f>
        <v>0.0746025611675034</v>
      </c>
      <c r="M122" s="1603" t="n">
        <f aca="false">DataDE1!DU43/DataDE1!$B43</f>
        <v>0.00292401619038594</v>
      </c>
      <c r="S122" s="25" t="n">
        <f aca="false">DataDE1!DH43*(DataDE1!GI43/DataDE1!GJ43)/DataDE1!G43</f>
        <v>0.630209855588492</v>
      </c>
      <c r="U122" s="158" t="n">
        <f aca="false">DataDE1!DH43*(DataDE1!GI43/DataDE1!GJ43)/(DataDE1!G43-DataDE1!J43)</f>
        <v>0.69665088589354</v>
      </c>
      <c r="W122" s="25"/>
      <c r="AI122" s="502"/>
    </row>
    <row r="123" customFormat="false" ht="12" hidden="false" customHeight="false" outlineLevel="0" collapsed="false">
      <c r="A123" s="416" t="n">
        <v>1983</v>
      </c>
      <c r="B123" s="519" t="n">
        <f aca="false">DataDE1!CX44/DataDE1!$B44</f>
        <v>0.196907845500128</v>
      </c>
      <c r="C123" s="518" t="n">
        <f aca="false">TableDE10!K12</f>
        <v>0.121455814855517</v>
      </c>
      <c r="D123" s="518"/>
      <c r="E123" s="518"/>
      <c r="F123" s="518" t="n">
        <f aca="false">DataDE1!DC44/DataDE1!$B44</f>
        <v>0.00416316503975693</v>
      </c>
      <c r="G123" s="518" t="n">
        <f aca="false">DataDE1!DD44/DataDE1!$B44</f>
        <v>0.0146227991466805</v>
      </c>
      <c r="H123" s="1602" t="n">
        <f aca="false">DataDE1!DE44/DataDE1!$B44</f>
        <v>0.0495830370418256</v>
      </c>
      <c r="I123" s="519" t="n">
        <f aca="false">DataDE1!DF44/DataDE1!$B44</f>
        <v>0.710765571010312</v>
      </c>
      <c r="J123" s="594" t="n">
        <f aca="false">DataDE1!DI44/DataDE1!$B44</f>
        <v>0.52507595836835</v>
      </c>
      <c r="K123" s="594" t="n">
        <f aca="false">DataDE1!DL44/DataDE1!$B44</f>
        <v>0.11009115004202</v>
      </c>
      <c r="L123" s="594" t="n">
        <f aca="false">DataDE1!DM44/DataDE1!$B44</f>
        <v>0.0726764896217287</v>
      </c>
      <c r="M123" s="1603" t="n">
        <f aca="false">DataDE1!DU44/DataDE1!$B44</f>
        <v>0.00292197297821449</v>
      </c>
      <c r="S123" s="25" t="n">
        <f aca="false">DataDE1!DH44*(DataDE1!GI44/DataDE1!GJ44)/DataDE1!G44</f>
        <v>0.616755352471498</v>
      </c>
      <c r="U123" s="158" t="n">
        <f aca="false">DataDE1!DH44*(DataDE1!GI44/DataDE1!GJ44)/(DataDE1!G44-DataDE1!J44)</f>
        <v>0.682113802591199</v>
      </c>
      <c r="W123" s="25"/>
      <c r="AI123" s="502"/>
    </row>
    <row r="124" customFormat="false" ht="12" hidden="false" customHeight="false" outlineLevel="0" collapsed="false">
      <c r="A124" s="416" t="n">
        <v>1984</v>
      </c>
      <c r="B124" s="519" t="n">
        <f aca="false">DataDE1!CX45/DataDE1!$B45</f>
        <v>0.207515003215075</v>
      </c>
      <c r="C124" s="518" t="n">
        <f aca="false">TableDE10!K13</f>
        <v>0.12419063532823</v>
      </c>
      <c r="D124" s="518"/>
      <c r="E124" s="518"/>
      <c r="F124" s="518" t="n">
        <f aca="false">DataDE1!DC45/DataDE1!$B45</f>
        <v>0.00888304603703112</v>
      </c>
      <c r="G124" s="518" t="n">
        <f aca="false">DataDE1!DD45/DataDE1!$B45</f>
        <v>0.0148542271258493</v>
      </c>
      <c r="H124" s="1602" t="n">
        <f aca="false">DataDE1!DE45/DataDE1!$B45</f>
        <v>0.0482485778525881</v>
      </c>
      <c r="I124" s="519" t="n">
        <f aca="false">DataDE1!DF45/DataDE1!$B45</f>
        <v>0.70122183992483</v>
      </c>
      <c r="J124" s="594" t="n">
        <f aca="false">DataDE1!DI45/DataDE1!$B45</f>
        <v>0.520413804966151</v>
      </c>
      <c r="K124" s="594" t="n">
        <f aca="false">DataDE1!DL45/DataDE1!$B45</f>
        <v>0.106805420746766</v>
      </c>
      <c r="L124" s="594" t="n">
        <f aca="false">DataDE1!DM45/DataDE1!$B45</f>
        <v>0.0711276034613389</v>
      </c>
      <c r="M124" s="1603" t="n">
        <f aca="false">DataDE1!DU45/DataDE1!$B45</f>
        <v>0.00287501075057439</v>
      </c>
      <c r="S124" s="25" t="n">
        <f aca="false">DataDE1!DH45*(DataDE1!GI45/DataDE1!GJ45)/DataDE1!G45</f>
        <v>0.610528499628865</v>
      </c>
      <c r="U124" s="158" t="n">
        <f aca="false">DataDE1!DH45*(DataDE1!GI45/DataDE1!GJ45)/(DataDE1!G45-DataDE1!J45)</f>
        <v>0.675028869646816</v>
      </c>
      <c r="W124" s="25"/>
      <c r="AI124" s="502"/>
    </row>
    <row r="125" customFormat="false" ht="12" hidden="false" customHeight="false" outlineLevel="0" collapsed="false">
      <c r="A125" s="416" t="n">
        <v>1985</v>
      </c>
      <c r="B125" s="519" t="n">
        <f aca="false">DataDE1!CX46/DataDE1!$B46</f>
        <v>0.214555331378249</v>
      </c>
      <c r="C125" s="518" t="n">
        <f aca="false">TableDE10!K14</f>
        <v>0.132775499171475</v>
      </c>
      <c r="D125" s="518"/>
      <c r="E125" s="518"/>
      <c r="F125" s="518" t="n">
        <f aca="false">DataDE1!DC46/DataDE1!$B46</f>
        <v>0.00853204216662162</v>
      </c>
      <c r="G125" s="518" t="n">
        <f aca="false">DataDE1!DD46/DataDE1!$B46</f>
        <v>0.014079049488195</v>
      </c>
      <c r="H125" s="1602" t="n">
        <f aca="false">DataDE1!DE46/DataDE1!$B46</f>
        <v>0.0452456781563268</v>
      </c>
      <c r="I125" s="519" t="n">
        <f aca="false">DataDE1!DF46/DataDE1!$B46</f>
        <v>0.696657375018433</v>
      </c>
      <c r="J125" s="594" t="n">
        <f aca="false">DataDE1!DI46/DataDE1!$B46</f>
        <v>0.518491967423112</v>
      </c>
      <c r="K125" s="594" t="n">
        <f aca="false">DataDE1!DL46/DataDE1!$B46</f>
        <v>0.105440058290536</v>
      </c>
      <c r="L125" s="594" t="n">
        <f aca="false">DataDE1!DM46/DataDE1!$B46</f>
        <v>0.0697050533862977</v>
      </c>
      <c r="M125" s="1603" t="n">
        <f aca="false">DataDE1!DU46/DataDE1!$B46</f>
        <v>0.00302029591848727</v>
      </c>
      <c r="S125" s="25" t="n">
        <f aca="false">DataDE1!DH46*(DataDE1!GI46/DataDE1!GJ46)/DataDE1!G46</f>
        <v>0.606570678123421</v>
      </c>
      <c r="U125" s="158" t="n">
        <f aca="false">DataDE1!DH46*(DataDE1!GI46/DataDE1!GJ46)/(DataDE1!G46-DataDE1!J46)</f>
        <v>0.668421440526885</v>
      </c>
      <c r="W125" s="25"/>
      <c r="AI125" s="502"/>
    </row>
    <row r="126" customFormat="false" ht="12" hidden="false" customHeight="false" outlineLevel="0" collapsed="false">
      <c r="A126" s="416" t="n">
        <v>1986</v>
      </c>
      <c r="B126" s="519" t="n">
        <f aca="false">DataDE1!CX47/DataDE1!$B47</f>
        <v>0.2185196006792</v>
      </c>
      <c r="C126" s="518" t="n">
        <f aca="false">TableDE10!K15</f>
        <v>0.138972303776555</v>
      </c>
      <c r="D126" s="518"/>
      <c r="E126" s="518"/>
      <c r="F126" s="518" t="n">
        <f aca="false">DataDE1!DC47/DataDE1!$B47</f>
        <v>0.00580493195949944</v>
      </c>
      <c r="G126" s="518" t="n">
        <f aca="false">DataDE1!DD47/DataDE1!$B47</f>
        <v>0.0138760245146742</v>
      </c>
      <c r="H126" s="1602" t="n">
        <f aca="false">DataDE1!DE47/DataDE1!$B47</f>
        <v>0.0367385213052166</v>
      </c>
      <c r="I126" s="519" t="n">
        <f aca="false">DataDE1!DF47/DataDE1!$B47</f>
        <v>0.695924637367664</v>
      </c>
      <c r="J126" s="594" t="n">
        <f aca="false">DataDE1!DI47/DataDE1!$B47</f>
        <v>0.519373960414829</v>
      </c>
      <c r="K126" s="594" t="n">
        <f aca="false">DataDE1!DL47/DataDE1!$B47</f>
        <v>0.104812511861039</v>
      </c>
      <c r="L126" s="594" t="n">
        <f aca="false">DataDE1!DM47/DataDE1!$B47</f>
        <v>0.068835699112046</v>
      </c>
      <c r="M126" s="1603" t="n">
        <f aca="false">DataDE1!DU47/DataDE1!$B47</f>
        <v>0.00290246597974972</v>
      </c>
      <c r="S126" s="25" t="n">
        <f aca="false">DataDE1!DH47*(DataDE1!GI47/DataDE1!GJ47)/DataDE1!G47</f>
        <v>0.605485179694022</v>
      </c>
      <c r="U126" s="158" t="n">
        <f aca="false">DataDE1!DH47*(DataDE1!GI47/DataDE1!GJ47)/(DataDE1!G47-DataDE1!J47)</f>
        <v>0.664993693256588</v>
      </c>
      <c r="W126" s="25"/>
      <c r="AI126" s="502"/>
    </row>
    <row r="127" customFormat="false" ht="12" hidden="false" customHeight="false" outlineLevel="0" collapsed="false">
      <c r="A127" s="416" t="n">
        <v>1987</v>
      </c>
      <c r="B127" s="519" t="n">
        <f aca="false">DataDE1!CX48/DataDE1!$B48</f>
        <v>0.21054724763723</v>
      </c>
      <c r="C127" s="518" t="n">
        <f aca="false">TableDE10!K16</f>
        <v>0.126177804920607</v>
      </c>
      <c r="D127" s="518"/>
      <c r="E127" s="518"/>
      <c r="F127" s="518" t="n">
        <f aca="false">DataDE1!DC48/DataDE1!$B48</f>
        <v>0.00402416681207468</v>
      </c>
      <c r="G127" s="518" t="n">
        <f aca="false">DataDE1!DD48/DataDE1!$B48</f>
        <v>0.0185177139678939</v>
      </c>
      <c r="H127" s="1602" t="n">
        <f aca="false">DataDE1!DE48/DataDE1!$B48</f>
        <v>0.0353777700226837</v>
      </c>
      <c r="I127" s="519" t="n">
        <f aca="false">DataDE1!DF48/DataDE1!$B48</f>
        <v>0.709089381005241</v>
      </c>
      <c r="J127" s="594" t="n">
        <f aca="false">DataDE1!DI48/DataDE1!$B48</f>
        <v>0.53154990403071</v>
      </c>
      <c r="K127" s="594" t="n">
        <f aca="false">DataDE1!DL48/DataDE1!$B48</f>
        <v>0.105915198045716</v>
      </c>
      <c r="L127" s="594" t="n">
        <f aca="false">DataDE1!DM48/DataDE1!$B48</f>
        <v>0.0686361442228292</v>
      </c>
      <c r="M127" s="1603" t="n">
        <f aca="false">DataDE1!DU48/DataDE1!$B48</f>
        <v>0.00298813470598499</v>
      </c>
      <c r="S127" s="25" t="n">
        <f aca="false">DataDE1!DH48*(DataDE1!GI48/DataDE1!GJ48)/DataDE1!G48</f>
        <v>0.614741082145907</v>
      </c>
      <c r="U127" s="158" t="n">
        <f aca="false">DataDE1!DH48*(DataDE1!GI48/DataDE1!GJ48)/(DataDE1!G48-DataDE1!J48)</f>
        <v>0.674578034127718</v>
      </c>
      <c r="W127" s="25"/>
      <c r="AI127" s="502"/>
    </row>
    <row r="128" customFormat="false" ht="12" hidden="false" customHeight="false" outlineLevel="0" collapsed="false">
      <c r="A128" s="416" t="n">
        <v>1988</v>
      </c>
      <c r="B128" s="519" t="n">
        <f aca="false">DataDE1!CX49/DataDE1!$B49</f>
        <v>0.229340623706826</v>
      </c>
      <c r="C128" s="518" t="n">
        <f aca="false">TableDE10!K17</f>
        <v>0.132128555293151</v>
      </c>
      <c r="D128" s="518"/>
      <c r="E128" s="518"/>
      <c r="F128" s="518" t="n">
        <f aca="false">DataDE1!DC49/DataDE1!$B49</f>
        <v>0.00981620289557449</v>
      </c>
      <c r="G128" s="518" t="n">
        <f aca="false">DataDE1!DD49/DataDE1!$B49</f>
        <v>0.0212444840332683</v>
      </c>
      <c r="H128" s="1602" t="n">
        <f aca="false">DataDE1!DE49/DataDE1!$B49</f>
        <v>0.0336995584762296</v>
      </c>
      <c r="I128" s="519" t="n">
        <f aca="false">DataDE1!DF49/DataDE1!$B49</f>
        <v>0.694368179044997</v>
      </c>
      <c r="J128" s="594" t="n">
        <f aca="false">DataDE1!DI49/DataDE1!$B49</f>
        <v>0.52331861587432</v>
      </c>
      <c r="K128" s="594" t="n">
        <f aca="false">DataDE1!DL49/DataDE1!$B49</f>
        <v>0.102104938905432</v>
      </c>
      <c r="L128" s="594" t="n">
        <f aca="false">DataDE1!DM49/DataDE1!$B49</f>
        <v>0.0661619977122113</v>
      </c>
      <c r="M128" s="1603" t="n">
        <f aca="false">DataDE1!DU49/DataDE1!$B49</f>
        <v>0.00278262655303419</v>
      </c>
      <c r="S128" s="25" t="n">
        <f aca="false">DataDE1!DH49*(DataDE1!GI49/DataDE1!GJ49)/DataDE1!G49</f>
        <v>0.606274299364788</v>
      </c>
      <c r="U128" s="158" t="n">
        <f aca="false">DataDE1!DH49*(DataDE1!GI49/DataDE1!GJ49)/(DataDE1!G49-DataDE1!J49)</f>
        <v>0.664800720161531</v>
      </c>
      <c r="W128" s="25"/>
      <c r="AI128" s="502"/>
    </row>
    <row r="129" customFormat="false" ht="12" hidden="false" customHeight="false" outlineLevel="0" collapsed="false">
      <c r="A129" s="436" t="n">
        <v>1989</v>
      </c>
      <c r="B129" s="534" t="n">
        <f aca="false">DataDE1!CX50/DataDE1!$B50</f>
        <v>0.238299851152096</v>
      </c>
      <c r="C129" s="533" t="n">
        <f aca="false">TableDE10!K18</f>
        <v>0.137613799712506</v>
      </c>
      <c r="D129" s="533"/>
      <c r="E129" s="533"/>
      <c r="F129" s="533" t="n">
        <f aca="false">DataDE1!DC50/DataDE1!$B50</f>
        <v>0.0132630570196454</v>
      </c>
      <c r="G129" s="533" t="n">
        <f aca="false">DataDE1!DD50/DataDE1!$B50</f>
        <v>0.0151413540967896</v>
      </c>
      <c r="H129" s="1604" t="n">
        <f aca="false">DataDE1!DE50/DataDE1!$B50</f>
        <v>0.0389075227599425</v>
      </c>
      <c r="I129" s="534" t="n">
        <f aca="false">DataDE1!DF50/DataDE1!$B50</f>
        <v>0.677052331885757</v>
      </c>
      <c r="J129" s="1264" t="n">
        <f aca="false">DataDE1!DI50/DataDE1!$B50</f>
        <v>0.51294681360805</v>
      </c>
      <c r="K129" s="1264" t="n">
        <f aca="false">DataDE1!DL50/DataDE1!$B50</f>
        <v>0.0977671298514614</v>
      </c>
      <c r="L129" s="1264" t="n">
        <f aca="false">DataDE1!DM50/DataDE1!$B50</f>
        <v>0.0638563568019049</v>
      </c>
      <c r="M129" s="1605" t="n">
        <f aca="false">DataDE1!DU50/DataDE1!$B50</f>
        <v>0.00248203162434116</v>
      </c>
      <c r="S129" s="25" t="n">
        <f aca="false">DataDE1!DH50*(DataDE1!GI50/DataDE1!GJ50)/DataDE1!G50</f>
        <v>0.592720911840975</v>
      </c>
      <c r="U129" s="158" t="n">
        <f aca="false">DataDE1!DH50*(DataDE1!GI50/DataDE1!GJ50)/(DataDE1!G50-DataDE1!J50)</f>
        <v>0.652566402284155</v>
      </c>
      <c r="W129" s="25"/>
      <c r="AI129" s="502"/>
    </row>
    <row r="130" customFormat="false" ht="12" hidden="false" customHeight="false" outlineLevel="0" collapsed="false">
      <c r="A130" s="416" t="n">
        <v>1990</v>
      </c>
      <c r="B130" s="519" t="n">
        <f aca="false">DataDE1!CX51/DataDE1!$B51</f>
        <v>0.242304720796775</v>
      </c>
      <c r="C130" s="518" t="n">
        <f aca="false">TableDE10!K19</f>
        <v>0.140175978882534</v>
      </c>
      <c r="D130" s="518" t="n">
        <f aca="false">TableDE9!C49</f>
        <v>0.0246282446106467</v>
      </c>
      <c r="E130" s="518" t="n">
        <f aca="false">DataDE1!DB51/DataDE1!$B51</f>
        <v>0.0482440063225117</v>
      </c>
      <c r="F130" s="518" t="n">
        <f aca="false">DataDE1!DC51/DataDE1!$B51</f>
        <v>0.0147822261328641</v>
      </c>
      <c r="G130" s="518" t="n">
        <f aca="false">DataDE1!DD51/DataDE1!$B51</f>
        <v>0.0144742648482182</v>
      </c>
      <c r="H130" s="1602" t="n">
        <f aca="false">DataDE1!DE51/DataDE1!$B51</f>
        <v>0.0431412230532336</v>
      </c>
      <c r="I130" s="519" t="n">
        <f aca="false">DataDE1!DF51/DataDE1!$B51</f>
        <v>0.668905135780436</v>
      </c>
      <c r="J130" s="594" t="n">
        <f aca="false">DataDE1!DI51/DataDE1!$B51</f>
        <v>0.512116146062473</v>
      </c>
      <c r="K130" s="518" t="n">
        <f aca="false">DataDE1!DL51/DataDE1!$B51</f>
        <v>0.0945974483062033</v>
      </c>
      <c r="L130" s="518" t="n">
        <f aca="false">DataDE1!DM51/DataDE1!$B51</f>
        <v>0.0618131868143119</v>
      </c>
      <c r="M130" s="1039" t="n">
        <f aca="false">DataDE1!DU51/DataDE1!$B51</f>
        <v>0.000378354597448306</v>
      </c>
      <c r="S130" s="25" t="n">
        <f aca="false">DataDE1!DH51*(DataDE1!GI51/DataDE1!GJ51)/DataDE1!G51</f>
        <v>0.587705541401536</v>
      </c>
      <c r="U130" s="158" t="n">
        <f aca="false">DataDE1!DH51*(DataDE1!GI51/DataDE1!GJ51)/(DataDE1!G51-DataDE1!J51)</f>
        <v>0.648956840189765</v>
      </c>
      <c r="W130" s="25"/>
      <c r="AI130" s="502"/>
    </row>
    <row r="131" customFormat="false" ht="12" hidden="false" customHeight="false" outlineLevel="0" collapsed="false">
      <c r="A131" s="416" t="n">
        <v>1991</v>
      </c>
      <c r="B131" s="519" t="n">
        <f aca="false">DataDE1!CX52/DataDE1!$B52</f>
        <v>0.229387171328119</v>
      </c>
      <c r="C131" s="518" t="n">
        <f aca="false">TableDE10!K20</f>
        <v>0.137940882478938</v>
      </c>
      <c r="D131" s="518" t="n">
        <f aca="false">TableDE9!C50</f>
        <v>0.0186611752857798</v>
      </c>
      <c r="E131" s="518" t="n">
        <f aca="false">DataDE1!DB52/DataDE1!$B52</f>
        <v>0.0456163062101623</v>
      </c>
      <c r="F131" s="518" t="n">
        <f aca="false">DataDE1!DC52/DataDE1!$B52</f>
        <v>0.00995062266547419</v>
      </c>
      <c r="G131" s="518" t="n">
        <f aca="false">DataDE1!DD52/DataDE1!$B52</f>
        <v>0.0172181846877654</v>
      </c>
      <c r="H131" s="1602" t="n">
        <f aca="false">DataDE1!DE52/DataDE1!$B52</f>
        <v>0.0440262443915014</v>
      </c>
      <c r="I131" s="519" t="n">
        <f aca="false">DataDE1!DF52/DataDE1!$B52</f>
        <v>0.704302901347501</v>
      </c>
      <c r="J131" s="594" t="n">
        <f aca="false">DataDE1!DI52/DataDE1!$B52</f>
        <v>0.543924784115079</v>
      </c>
      <c r="K131" s="518" t="n">
        <f aca="false">DataDE1!DL52/DataDE1!$B52</f>
        <v>0.1015354321832</v>
      </c>
      <c r="L131" s="518" t="n">
        <f aca="false">DataDE1!DM52/DataDE1!$B52</f>
        <v>0.0570614935297989</v>
      </c>
      <c r="M131" s="1039" t="n">
        <f aca="false">DataDE1!DU52/DataDE1!$B52</f>
        <v>0.00178119151942401</v>
      </c>
      <c r="S131" s="25" t="n">
        <f aca="false">DataDE1!DH52*(DataDE1!GI52/DataDE1!GJ52)/DataDE1!G52</f>
        <v>0.616392014903122</v>
      </c>
      <c r="U131" s="158" t="n">
        <f aca="false">DataDE1!DH52*(DataDE1!GI52/DataDE1!GJ52)/(DataDE1!G52-DataDE1!J52)</f>
        <v>0.668543269137764</v>
      </c>
      <c r="W131" s="25"/>
      <c r="AI131" s="502"/>
    </row>
    <row r="132" customFormat="false" ht="12" hidden="false" customHeight="false" outlineLevel="0" collapsed="false">
      <c r="A132" s="416" t="n">
        <v>1992</v>
      </c>
      <c r="B132" s="519" t="n">
        <f aca="false">DataDE1!CX53/DataDE1!$B53</f>
        <v>0.218957501732584</v>
      </c>
      <c r="C132" s="518" t="n">
        <f aca="false">TableDE10!K21</f>
        <v>0.126443158515689</v>
      </c>
      <c r="D132" s="518" t="n">
        <f aca="false">TableDE9!C51</f>
        <v>0.0199654484676536</v>
      </c>
      <c r="E132" s="518" t="n">
        <f aca="false">DataDE1!DB53/DataDE1!$B53</f>
        <v>0.0430817748863243</v>
      </c>
      <c r="F132" s="518" t="n">
        <f aca="false">DataDE1!DC53/DataDE1!$B53</f>
        <v>0.00981769150818843</v>
      </c>
      <c r="G132" s="518" t="n">
        <f aca="false">DataDE1!DD53/DataDE1!$B53</f>
        <v>0.0196494283547291</v>
      </c>
      <c r="H132" s="1602" t="n">
        <f aca="false">DataDE1!DE53/DataDE1!$B53</f>
        <v>0.0462583218629737</v>
      </c>
      <c r="I132" s="519" t="n">
        <f aca="false">DataDE1!DF53/DataDE1!$B53</f>
        <v>0.714025166319889</v>
      </c>
      <c r="J132" s="594" t="n">
        <f aca="false">DataDE1!DI53/DataDE1!$B53</f>
        <v>0.550155903255709</v>
      </c>
      <c r="K132" s="518" t="n">
        <f aca="false">DataDE1!DL53/DataDE1!$B53</f>
        <v>0.104202365234979</v>
      </c>
      <c r="L132" s="518" t="n">
        <f aca="false">DataDE1!DM53/DataDE1!$B53</f>
        <v>0.0586556334678429</v>
      </c>
      <c r="M132" s="1039" t="n">
        <f aca="false">DataDE1!DU53/DataDE1!$B53</f>
        <v>0.00101126436135847</v>
      </c>
      <c r="S132" s="25" t="n">
        <f aca="false">DataDE1!DH53*(DataDE1!GI53/DataDE1!GJ53)/DataDE1!G53</f>
        <v>0.624394596998804</v>
      </c>
      <c r="U132" s="158" t="n">
        <f aca="false">DataDE1!DH53*(DataDE1!GI53/DataDE1!GJ53)/(DataDE1!G53-DataDE1!J53)</f>
        <v>0.679513335199169</v>
      </c>
      <c r="W132" s="25"/>
      <c r="AI132" s="502"/>
    </row>
    <row r="133" customFormat="false" ht="12" hidden="false" customHeight="false" outlineLevel="0" collapsed="false">
      <c r="A133" s="416" t="n">
        <v>1993</v>
      </c>
      <c r="B133" s="519" t="n">
        <f aca="false">DataDE1!CX54/DataDE1!$B54</f>
        <v>0.213499545385544</v>
      </c>
      <c r="C133" s="518" t="n">
        <f aca="false">TableDE10!K22</f>
        <v>0.120770256706403</v>
      </c>
      <c r="D133" s="518" t="n">
        <f aca="false">TableDE9!C52</f>
        <v>0.0221232245734164</v>
      </c>
      <c r="E133" s="518" t="n">
        <f aca="false">DataDE1!DB54/DataDE1!$B54</f>
        <v>0.0423504851757243</v>
      </c>
      <c r="F133" s="518" t="n">
        <f aca="false">DataDE1!DC54/DataDE1!$B54</f>
        <v>0.00611860468313877</v>
      </c>
      <c r="G133" s="518" t="n">
        <f aca="false">DataDE1!DD54/DataDE1!$B54</f>
        <v>0.0221369742468616</v>
      </c>
      <c r="H133" s="1602" t="n">
        <f aca="false">DataDE1!DE54/DataDE1!$B54</f>
        <v>0.045092054063716</v>
      </c>
      <c r="I133" s="519" t="n">
        <f aca="false">DataDE1!DF54/DataDE1!$B54</f>
        <v>0.71509152557652</v>
      </c>
      <c r="J133" s="594" t="n">
        <f aca="false">DataDE1!DI54/DataDE1!$B54</f>
        <v>0.549567572770147</v>
      </c>
      <c r="K133" s="518" t="n">
        <f aca="false">DataDE1!DL54/DataDE1!$B54</f>
        <v>0.106298725405272</v>
      </c>
      <c r="L133" s="518" t="n">
        <f aca="false">DataDE1!DM54/DataDE1!$B54</f>
        <v>0.0587714881774086</v>
      </c>
      <c r="M133" s="1039" t="n">
        <f aca="false">DataDE1!DU54/DataDE1!$B54</f>
        <v>0.000453739223693437</v>
      </c>
      <c r="S133" s="25" t="n">
        <f aca="false">DataDE1!DH54*(DataDE1!GI54/DataDE1!GJ54)/DataDE1!G54</f>
        <v>0.622939852556114</v>
      </c>
      <c r="U133" s="158" t="n">
        <f aca="false">DataDE1!DH54*(DataDE1!GI54/DataDE1!GJ54)/(DataDE1!G54-DataDE1!J54)</f>
        <v>0.680577801687153</v>
      </c>
      <c r="W133" s="25"/>
      <c r="AI133" s="502"/>
    </row>
    <row r="134" customFormat="false" ht="12" hidden="false" customHeight="false" outlineLevel="0" collapsed="false">
      <c r="A134" s="416" t="n">
        <v>1994</v>
      </c>
      <c r="B134" s="519" t="n">
        <f aca="false">DataDE1!CX55/DataDE1!$B55</f>
        <v>0.227705014050827</v>
      </c>
      <c r="C134" s="518" t="n">
        <f aca="false">TableDE10!K23</f>
        <v>0.133797248141705</v>
      </c>
      <c r="D134" s="518" t="n">
        <f aca="false">TableDE9!C53</f>
        <v>0.0242962201486636</v>
      </c>
      <c r="E134" s="518" t="n">
        <f aca="false">DataDE1!DB55/DataDE1!$B55</f>
        <v>0.0468375460767638</v>
      </c>
      <c r="F134" s="518" t="n">
        <f aca="false">DataDE1!DC55/DataDE1!$B55</f>
        <v>-0.000619431704359743</v>
      </c>
      <c r="G134" s="518" t="n">
        <f aca="false">DataDE1!DD55/DataDE1!$B55</f>
        <v>0.0233934313880542</v>
      </c>
      <c r="H134" s="1602" t="n">
        <f aca="false">DataDE1!DE55/DataDE1!$B55</f>
        <v>0.046279455954452</v>
      </c>
      <c r="I134" s="519" t="n">
        <f aca="false">DataDE1!DF55/DataDE1!$B55</f>
        <v>0.699584247375711</v>
      </c>
      <c r="J134" s="594" t="n">
        <f aca="false">DataDE1!DI55/DataDE1!$B55</f>
        <v>0.540994517370447</v>
      </c>
      <c r="K134" s="518" t="n">
        <f aca="false">DataDE1!DL55/DataDE1!$B55</f>
        <v>0.103800938373135</v>
      </c>
      <c r="L134" s="518" t="n">
        <f aca="false">DataDE1!DM55/DataDE1!$B55</f>
        <v>0.0547426637392519</v>
      </c>
      <c r="M134" s="1039" t="n">
        <f aca="false">DataDE1!DU55/DataDE1!$B55</f>
        <v>4.61278928778529E-005</v>
      </c>
      <c r="S134" s="25" t="n">
        <f aca="false">DataDE1!DH55*(DataDE1!GI55/DataDE1!GJ55)/DataDE1!G55</f>
        <v>0.60988226146701</v>
      </c>
      <c r="U134" s="158" t="n">
        <f aca="false">DataDE1!DH55*(DataDE1!GI55/DataDE1!GJ55)/(DataDE1!G55-DataDE1!J55)</f>
        <v>0.668198742445566</v>
      </c>
      <c r="W134" s="25"/>
      <c r="AI134" s="502"/>
    </row>
    <row r="135" customFormat="false" ht="12" hidden="false" customHeight="false" outlineLevel="0" collapsed="false">
      <c r="A135" s="416" t="n">
        <v>1995</v>
      </c>
      <c r="B135" s="519" t="n">
        <f aca="false">DataDE1!CX56/DataDE1!$B56</f>
        <v>0.239528426986671</v>
      </c>
      <c r="C135" s="518" t="n">
        <f aca="false">TableDE10!K24</f>
        <v>0.138902871853037</v>
      </c>
      <c r="D135" s="518" t="n">
        <f aca="false">TableDE9!C54</f>
        <v>0.0254879346489356</v>
      </c>
      <c r="E135" s="518" t="n">
        <f aca="false">DataDE1!DB56/DataDE1!$B56</f>
        <v>0.0480184580182316</v>
      </c>
      <c r="F135" s="518" t="n">
        <f aca="false">DataDE1!DC56/DataDE1!$B56</f>
        <v>-0.00224931023276856</v>
      </c>
      <c r="G135" s="518" t="n">
        <f aca="false">DataDE1!DD56/DataDE1!$B56</f>
        <v>0.029368472699236</v>
      </c>
      <c r="H135" s="1602" t="n">
        <f aca="false">DataDE1!DE56/DataDE1!$B56</f>
        <v>0.0441769627302676</v>
      </c>
      <c r="I135" s="519" t="n">
        <f aca="false">DataDE1!DF56/DataDE1!$B56</f>
        <v>0.697783997744272</v>
      </c>
      <c r="J135" s="594" t="n">
        <f aca="false">DataDE1!DI56/DataDE1!$B56</f>
        <v>0.542873892071341</v>
      </c>
      <c r="K135" s="518" t="n">
        <f aca="false">DataDE1!DL56/DataDE1!$B56</f>
        <v>0.103608454347923</v>
      </c>
      <c r="L135" s="518" t="n">
        <f aca="false">DataDE1!DM56/DataDE1!$B56</f>
        <v>0.0524549803678724</v>
      </c>
      <c r="M135" s="1039" t="n">
        <f aca="false">DataDE1!DU56/DataDE1!$B56</f>
        <v>-0.00115332904286433</v>
      </c>
      <c r="S135" s="25" t="n">
        <f aca="false">DataDE1!DH56*(DataDE1!GI56/DataDE1!GJ56)/DataDE1!G56</f>
        <v>0.610308640743523</v>
      </c>
      <c r="U135" s="158" t="n">
        <f aca="false">DataDE1!DH56*(DataDE1!GI56/DataDE1!GJ56)/(DataDE1!G56-DataDE1!J56)</f>
        <v>0.666187677471671</v>
      </c>
      <c r="W135" s="25"/>
      <c r="AI135" s="502"/>
    </row>
    <row r="136" customFormat="false" ht="12" hidden="false" customHeight="false" outlineLevel="0" collapsed="false">
      <c r="A136" s="416" t="n">
        <v>1996</v>
      </c>
      <c r="B136" s="519" t="n">
        <f aca="false">DataDE1!CX57/DataDE1!$B57</f>
        <v>0.244373569081085</v>
      </c>
      <c r="C136" s="518" t="n">
        <f aca="false">TableDE10!K25</f>
        <v>0.14194556337763</v>
      </c>
      <c r="D136" s="518" t="n">
        <f aca="false">TableDE9!C55</f>
        <v>0.0250850180075042</v>
      </c>
      <c r="E136" s="518" t="n">
        <f aca="false">DataDE1!DB57/DataDE1!$B57</f>
        <v>0.0486313712871612</v>
      </c>
      <c r="F136" s="518" t="n">
        <f aca="false">DataDE1!DC57/DataDE1!$B57</f>
        <v>-0.00107919537200868</v>
      </c>
      <c r="G136" s="518" t="n">
        <f aca="false">DataDE1!DD57/DataDE1!$B57</f>
        <v>0.0297908117807978</v>
      </c>
      <c r="H136" s="1602" t="n">
        <f aca="false">DataDE1!DE57/DataDE1!$B57</f>
        <v>0.0419631316743842</v>
      </c>
      <c r="I136" s="519" t="n">
        <f aca="false">DataDE1!DF57/DataDE1!$B57</f>
        <v>0.692606440706966</v>
      </c>
      <c r="J136" s="594" t="n">
        <f aca="false">DataDE1!DI57/DataDE1!$B57</f>
        <v>0.537822033153886</v>
      </c>
      <c r="K136" s="518" t="n">
        <f aca="false">DataDE1!DL57/DataDE1!$B57</f>
        <v>0.103960396039604</v>
      </c>
      <c r="L136" s="518" t="n">
        <f aca="false">DataDE1!DM57/DataDE1!$B57</f>
        <v>0.0520035971526485</v>
      </c>
      <c r="M136" s="1039" t="n">
        <f aca="false">DataDE1!DU57/DataDE1!$B57</f>
        <v>-0.00117958563917228</v>
      </c>
      <c r="S136" s="25" t="n">
        <f aca="false">DataDE1!DH57*(DataDE1!GI57/DataDE1!GJ57)/DataDE1!G57</f>
        <v>0.607708817962859</v>
      </c>
      <c r="U136" s="158" t="n">
        <f aca="false">DataDE1!DH57*(DataDE1!GI57/DataDE1!GJ57)/(DataDE1!G57-DataDE1!J57)</f>
        <v>0.662989790697614</v>
      </c>
      <c r="W136" s="25"/>
      <c r="AI136" s="502"/>
    </row>
    <row r="137" customFormat="false" ht="12" hidden="false" customHeight="false" outlineLevel="0" collapsed="false">
      <c r="A137" s="416" t="n">
        <v>1997</v>
      </c>
      <c r="B137" s="519" t="n">
        <f aca="false">DataDE1!CX58/DataDE1!$B58</f>
        <v>0.25638183669798</v>
      </c>
      <c r="C137" s="518" t="n">
        <f aca="false">TableDE10!K26</f>
        <v>0.153001048670656</v>
      </c>
      <c r="D137" s="518" t="n">
        <f aca="false">TableDE9!C56</f>
        <v>0.0256985997162421</v>
      </c>
      <c r="E137" s="518" t="n">
        <f aca="false">DataDE1!DB58/DataDE1!$B58</f>
        <v>0.0510212790519367</v>
      </c>
      <c r="F137" s="518" t="n">
        <f aca="false">DataDE1!DC58/DataDE1!$B58</f>
        <v>-0.00338042070199248</v>
      </c>
      <c r="G137" s="518" t="n">
        <f aca="false">DataDE1!DD58/DataDE1!$B58</f>
        <v>0.0300413299611375</v>
      </c>
      <c r="H137" s="1602" t="n">
        <f aca="false">DataDE1!DE58/DataDE1!$B58</f>
        <v>0.0399605206341373</v>
      </c>
      <c r="I137" s="519" t="n">
        <f aca="false">DataDE1!DF58/DataDE1!$B58</f>
        <v>0.678668437806986</v>
      </c>
      <c r="J137" s="594" t="n">
        <f aca="false">DataDE1!DI58/DataDE1!$B58</f>
        <v>0.530769230769231</v>
      </c>
      <c r="K137" s="518" t="n">
        <f aca="false">DataDE1!DL58/DataDE1!$B58</f>
        <v>0.102257726235272</v>
      </c>
      <c r="L137" s="518" t="n">
        <f aca="false">DataDE1!DM58/DataDE1!$B58</f>
        <v>0.0469307288439365</v>
      </c>
      <c r="M137" s="1039" t="n">
        <f aca="false">DataDE1!DU58/DataDE1!$B58</f>
        <v>-0.00128924804145333</v>
      </c>
      <c r="S137" s="25" t="n">
        <f aca="false">DataDE1!DH58*(DataDE1!GI58/DataDE1!GJ58)/DataDE1!G58</f>
        <v>0.598657241953812</v>
      </c>
      <c r="U137" s="158" t="n">
        <f aca="false">DataDE1!DH58*(DataDE1!GI58/DataDE1!GJ58)/(DataDE1!G58-DataDE1!J58)</f>
        <v>0.654086694788327</v>
      </c>
      <c r="W137" s="25"/>
      <c r="AI137" s="502"/>
    </row>
    <row r="138" customFormat="false" ht="12" hidden="false" customHeight="false" outlineLevel="0" collapsed="false">
      <c r="A138" s="416" t="n">
        <v>1998</v>
      </c>
      <c r="B138" s="519" t="n">
        <f aca="false">DataDE1!CX59/DataDE1!$B59</f>
        <v>0.260315071210017</v>
      </c>
      <c r="C138" s="518" t="n">
        <f aca="false">TableDE10!K27</f>
        <v>0.161985018726592</v>
      </c>
      <c r="D138" s="518" t="n">
        <f aca="false">TableDE9!C57</f>
        <v>0.0248459586806814</v>
      </c>
      <c r="E138" s="518" t="n">
        <f aca="false">DataDE1!DB59/DataDE1!$B59</f>
        <v>0.0515014914105729</v>
      </c>
      <c r="F138" s="518" t="n">
        <f aca="false">DataDE1!DC59/DataDE1!$B59</f>
        <v>-0.00807659780113568</v>
      </c>
      <c r="G138" s="518" t="n">
        <f aca="false">DataDE1!DD59/DataDE1!$B59</f>
        <v>0.0300592001933068</v>
      </c>
      <c r="H138" s="1602" t="n">
        <f aca="false">DataDE1!DE59/DataDE1!$B59</f>
        <v>0.0401051105472998</v>
      </c>
      <c r="I138" s="519" t="n">
        <f aca="false">DataDE1!DF59/DataDE1!$B59</f>
        <v>0.672275239288956</v>
      </c>
      <c r="J138" s="594" t="n">
        <f aca="false">DataDE1!DI59/DataDE1!$B59</f>
        <v>0.532107043614836</v>
      </c>
      <c r="K138" s="518" t="n">
        <f aca="false">DataDE1!DL59/DataDE1!$B59</f>
        <v>0.100501389392292</v>
      </c>
      <c r="L138" s="518" t="n">
        <f aca="false">DataDE1!DM59/DataDE1!$B59</f>
        <v>0.0410622394097727</v>
      </c>
      <c r="M138" s="1039" t="n">
        <f aca="false">DataDE1!DU59/DataDE1!$B59</f>
        <v>-0.00139543312794491</v>
      </c>
      <c r="S138" s="25" t="n">
        <f aca="false">DataDE1!DH59*(DataDE1!GI59/DataDE1!GJ59)/DataDE1!G59</f>
        <v>0.596257302478156</v>
      </c>
      <c r="U138" s="158" t="n">
        <f aca="false">DataDE1!DH59*(DataDE1!GI59/DataDE1!GJ59)/(DataDE1!G59-DataDE1!J59)</f>
        <v>0.652038411688537</v>
      </c>
      <c r="W138" s="25"/>
      <c r="AI138" s="502"/>
    </row>
    <row r="139" customFormat="false" ht="12" hidden="false" customHeight="false" outlineLevel="0" collapsed="false">
      <c r="A139" s="445" t="n">
        <f aca="false">A138+1</f>
        <v>1999</v>
      </c>
      <c r="B139" s="534" t="n">
        <f aca="false">DataDE1!CX60/DataDE1!$B60</f>
        <v>0.248195558710951</v>
      </c>
      <c r="C139" s="533" t="n">
        <f aca="false">TableDE10!K28</f>
        <v>0.158209202937637</v>
      </c>
      <c r="D139" s="533" t="n">
        <f aca="false">TableDE9!C58</f>
        <v>0.0232236955194509</v>
      </c>
      <c r="E139" s="533" t="n">
        <f aca="false">DataDE1!DB60/DataDE1!$B60</f>
        <v>0.0492885779691919</v>
      </c>
      <c r="F139" s="533" t="n">
        <f aca="false">DataDE1!DC60/DataDE1!$B60</f>
        <v>-0.00978026993545022</v>
      </c>
      <c r="G139" s="533" t="n">
        <f aca="false">DataDE1!DD60/DataDE1!$B60</f>
        <v>0.0272543522201213</v>
      </c>
      <c r="H139" s="1604" t="n">
        <f aca="false">DataDE1!DE60/DataDE1!$B60</f>
        <v>0.0382260368567991</v>
      </c>
      <c r="I139" s="534" t="n">
        <f aca="false">DataDE1!DF60/DataDE1!$B60</f>
        <v>0.674083896202004</v>
      </c>
      <c r="J139" s="1264" t="n">
        <f aca="false">DataDE1!DI60/DataDE1!$B60</f>
        <v>0.536296656333169</v>
      </c>
      <c r="K139" s="533" t="n">
        <f aca="false">DataDE1!DL60/DataDE1!$B60</f>
        <v>0.100138109266361</v>
      </c>
      <c r="L139" s="533" t="n">
        <f aca="false">DataDE1!DM60/DataDE1!$B60</f>
        <v>0.03910135250198</v>
      </c>
      <c r="M139" s="1064" t="n">
        <f aca="false">DataDE1!DU60/DataDE1!$B60</f>
        <v>-0.00145222189950624</v>
      </c>
      <c r="S139" s="25" t="n">
        <f aca="false">DataDE1!DH60*(DataDE1!GI60/DataDE1!GJ60)/DataDE1!G60</f>
        <v>0.598401724675668</v>
      </c>
      <c r="U139" s="158" t="n">
        <f aca="false">DataDE1!DH60*(DataDE1!GI60/DataDE1!GJ60)/(DataDE1!G60-DataDE1!J60)</f>
        <v>0.658369937292024</v>
      </c>
      <c r="W139" s="25"/>
      <c r="AI139" s="502"/>
    </row>
    <row r="140" customFormat="false" ht="12" hidden="false" customHeight="false" outlineLevel="0" collapsed="false">
      <c r="A140" s="446" t="n">
        <f aca="false">A139+1</f>
        <v>2000</v>
      </c>
      <c r="B140" s="519" t="n">
        <f aca="false">DataDE1!CX61/DataDE1!$B61</f>
        <v>0.238892956544286</v>
      </c>
      <c r="C140" s="518" t="n">
        <f aca="false">TableDE10!K29</f>
        <v>0.147843180460763</v>
      </c>
      <c r="D140" s="518" t="n">
        <f aca="false">TableDE9!C59</f>
        <v>0.0240471316822555</v>
      </c>
      <c r="E140" s="518" t="n">
        <f aca="false">DataDE1!DB61/DataDE1!$B61</f>
        <v>0.0456982890116828</v>
      </c>
      <c r="F140" s="518" t="n">
        <f aca="false">DataDE1!DC61/DataDE1!$B61</f>
        <v>-0.00692362556754594</v>
      </c>
      <c r="G140" s="518" t="n">
        <f aca="false">DataDE1!DD61/DataDE1!$B61</f>
        <v>0.0282279809571303</v>
      </c>
      <c r="H140" s="1602" t="n">
        <f aca="false">DataDE1!DE61/DataDE1!$B61</f>
        <v>0.0424695424260523</v>
      </c>
      <c r="I140" s="519" t="n">
        <f aca="false">DataDE1!DF61/DataDE1!$B61</f>
        <v>0.68448326770232</v>
      </c>
      <c r="J140" s="594" t="n">
        <f aca="false">DataDE1!DI61/DataDE1!$B61</f>
        <v>0.547557885336874</v>
      </c>
      <c r="K140" s="518" t="n">
        <f aca="false">DataDE1!DL61/DataDE1!$B61</f>
        <v>0.0984674085113045</v>
      </c>
      <c r="L140" s="518" t="n">
        <f aca="false">DataDE1!DM61/DataDE1!$B61</f>
        <v>0.0401337927729193</v>
      </c>
      <c r="M140" s="1039" t="n">
        <f aca="false">DataDE1!DU61/DataDE1!$B61</f>
        <v>-0.00167581891877787</v>
      </c>
      <c r="S140" s="25" t="n">
        <f aca="false">DataDE1!DH61*(DataDE1!GI61/DataDE1!GJ61)/DataDE1!G61</f>
        <v>0.605550528358113</v>
      </c>
      <c r="U140" s="158" t="n">
        <f aca="false">DataDE1!DH61*(DataDE1!GI61/DataDE1!GJ61)/(DataDE1!G61-DataDE1!J61)</f>
        <v>0.666636937228873</v>
      </c>
      <c r="W140" s="25"/>
      <c r="AI140" s="502"/>
    </row>
    <row r="141" customFormat="false" ht="12" hidden="false" customHeight="false" outlineLevel="0" collapsed="false">
      <c r="A141" s="446" t="n">
        <f aca="false">A140+1</f>
        <v>2001</v>
      </c>
      <c r="B141" s="519" t="n">
        <f aca="false">DataDE1!CX62/DataDE1!$B62</f>
        <v>0.243832109659069</v>
      </c>
      <c r="C141" s="518" t="n">
        <f aca="false">TableDE10!K30</f>
        <v>0.155634010002942</v>
      </c>
      <c r="D141" s="518" t="n">
        <f aca="false">TableDE9!C60</f>
        <v>0.0251884038291805</v>
      </c>
      <c r="E141" s="518" t="n">
        <f aca="false">DataDE1!DB62/DataDE1!$B62</f>
        <v>0.0464041331048793</v>
      </c>
      <c r="F141" s="518" t="n">
        <f aca="false">DataDE1!DC62/DataDE1!$B62</f>
        <v>-0.00911467173603096</v>
      </c>
      <c r="G141" s="518" t="n">
        <f aca="false">DataDE1!DD62/DataDE1!$B62</f>
        <v>0.0257202344580985</v>
      </c>
      <c r="H141" s="1602" t="n">
        <f aca="false">DataDE1!DE62/DataDE1!$B62</f>
        <v>0.042048566320411</v>
      </c>
      <c r="I141" s="519" t="n">
        <f aca="false">DataDE1!DF62/DataDE1!$B62</f>
        <v>0.675329634745393</v>
      </c>
      <c r="J141" s="594" t="n">
        <f aca="false">DataDE1!DI62/DataDE1!$B62</f>
        <v>0.545035870278589</v>
      </c>
      <c r="K141" s="518" t="n">
        <f aca="false">DataDE1!DL62/DataDE1!$B62</f>
        <v>0.0971835607757938</v>
      </c>
      <c r="L141" s="518" t="n">
        <f aca="false">DataDE1!DM62/DataDE1!$B62</f>
        <v>0.0349093753930952</v>
      </c>
      <c r="M141" s="1039" t="n">
        <f aca="false">DataDE1!DU62/DataDE1!$B62</f>
        <v>-0.00179917170208432</v>
      </c>
      <c r="S141" s="25" t="n">
        <f aca="false">DataDE1!DH62*(DataDE1!GI62/DataDE1!GJ62)/DataDE1!G62</f>
        <v>0.601254137101671</v>
      </c>
      <c r="U141" s="158" t="n">
        <f aca="false">DataDE1!DH62*(DataDE1!GI62/DataDE1!GJ62)/(DataDE1!G62-DataDE1!J62)</f>
        <v>0.661978257061743</v>
      </c>
      <c r="W141" s="25"/>
      <c r="AI141" s="502"/>
    </row>
    <row r="142" customFormat="false" ht="12" hidden="false" customHeight="false" outlineLevel="0" collapsed="false">
      <c r="A142" s="446" t="n">
        <f aca="false">A141+1</f>
        <v>2002</v>
      </c>
      <c r="B142" s="519" t="n">
        <f aca="false">DataDE1!CX63/DataDE1!$B63</f>
        <v>0.247179421536496</v>
      </c>
      <c r="C142" s="518" t="n">
        <f aca="false">TableDE10!K31</f>
        <v>0.16070739226031</v>
      </c>
      <c r="D142" s="518" t="n">
        <f aca="false">TableDE9!C61</f>
        <v>0.0278335692426472</v>
      </c>
      <c r="E142" s="518" t="n">
        <f aca="false">DataDE1!DB63/DataDE1!$B63</f>
        <v>0.0470294839172591</v>
      </c>
      <c r="F142" s="518" t="n">
        <f aca="false">DataDE1!DC63/DataDE1!$B63</f>
        <v>-0.0134160601093202</v>
      </c>
      <c r="G142" s="518" t="n">
        <f aca="false">DataDE1!DD63/DataDE1!$B63</f>
        <v>0.0250250362256002</v>
      </c>
      <c r="H142" s="1602" t="n">
        <f aca="false">DataDE1!DE63/DataDE1!$B63</f>
        <v>0.0390229438125556</v>
      </c>
      <c r="I142" s="519" t="n">
        <f aca="false">DataDE1!DF63/DataDE1!$B63</f>
        <v>0.669426169793977</v>
      </c>
      <c r="J142" s="594" t="n">
        <f aca="false">DataDE1!DI63/DataDE1!$B63</f>
        <v>0.540704147341684</v>
      </c>
      <c r="K142" s="518" t="n">
        <f aca="false">DataDE1!DL63/DataDE1!$B63</f>
        <v>0.0979350009231234</v>
      </c>
      <c r="L142" s="518" t="n">
        <f aca="false">DataDE1!DM63/DataDE1!$B63</f>
        <v>0.0322808030342518</v>
      </c>
      <c r="M142" s="1039" t="n">
        <f aca="false">DataDE1!DU63/DataDE1!$B63</f>
        <v>-0.00149378150508277</v>
      </c>
      <c r="S142" s="25" t="n">
        <f aca="false">DataDE1!DH63*(DataDE1!GI63/DataDE1!GJ63)/DataDE1!G63</f>
        <v>0.597020458608353</v>
      </c>
      <c r="U142" s="158" t="n">
        <f aca="false">DataDE1!DH63*(DataDE1!GI63/DataDE1!GJ63)/(DataDE1!G63-DataDE1!J63)</f>
        <v>0.657391858997789</v>
      </c>
      <c r="W142" s="25"/>
      <c r="AI142" s="502"/>
    </row>
    <row r="143" customFormat="false" ht="12" hidden="false" customHeight="false" outlineLevel="0" collapsed="false">
      <c r="A143" s="446" t="n">
        <f aca="false">A142+1</f>
        <v>2003</v>
      </c>
      <c r="B143" s="519" t="n">
        <f aca="false">DataDE1!CX64/DataDE1!$B64</f>
        <v>0.256915170233077</v>
      </c>
      <c r="C143" s="518" t="n">
        <f aca="false">TableDE10!K32</f>
        <v>0.162936792713221</v>
      </c>
      <c r="D143" s="518" t="n">
        <f aca="false">TableDE9!C62</f>
        <v>0.0276124758487441</v>
      </c>
      <c r="E143" s="518" t="n">
        <f aca="false">DataDE1!DB64/DataDE1!$B64</f>
        <v>0.0467026391814622</v>
      </c>
      <c r="F143" s="518" t="n">
        <f aca="false">DataDE1!DC64/DataDE1!$B64</f>
        <v>-0.00763455699696384</v>
      </c>
      <c r="G143" s="518" t="n">
        <f aca="false">DataDE1!DD64/DataDE1!$B64</f>
        <v>0.0272978194866133</v>
      </c>
      <c r="H143" s="1602" t="n">
        <f aca="false">DataDE1!DE64/DataDE1!$B64</f>
        <v>0.0351531879657742</v>
      </c>
      <c r="I143" s="519" t="n">
        <f aca="false">DataDE1!DF64/DataDE1!$B64</f>
        <v>0.659513204042385</v>
      </c>
      <c r="J143" s="594" t="n">
        <f aca="false">DataDE1!DI64/DataDE1!$B64</f>
        <v>0.534120894286503</v>
      </c>
      <c r="K143" s="518" t="n">
        <f aca="false">DataDE1!DL64/DataDE1!$B64</f>
        <v>0.0975379519735026</v>
      </c>
      <c r="L143" s="518" t="n">
        <f aca="false">DataDE1!DM64/DataDE1!$B64</f>
        <v>0.0293117135648806</v>
      </c>
      <c r="M143" s="1039" t="n">
        <f aca="false">DataDE1!DU64/DataDE1!$B64</f>
        <v>-0.00145735578250069</v>
      </c>
      <c r="S143" s="25" t="n">
        <f aca="false">DataDE1!DH64*(DataDE1!GI64/DataDE1!GJ64)/DataDE1!G64</f>
        <v>0.595880287155607</v>
      </c>
      <c r="U143" s="158" t="n">
        <f aca="false">DataDE1!DH64*(DataDE1!GI64/DataDE1!GJ64)/(DataDE1!G64-DataDE1!J64)</f>
        <v>0.657926002666694</v>
      </c>
      <c r="W143" s="25"/>
      <c r="AI143" s="502"/>
    </row>
    <row r="144" customFormat="false" ht="12" hidden="false" customHeight="false" outlineLevel="0" collapsed="false">
      <c r="A144" s="446" t="n">
        <f aca="false">A143+1</f>
        <v>2004</v>
      </c>
      <c r="B144" s="519" t="n">
        <f aca="false">DataDE1!CX65/DataDE1!$B65</f>
        <v>0.287475173849898</v>
      </c>
      <c r="C144" s="518" t="n">
        <f aca="false">TableDE10!K33</f>
        <v>0.17430930756299</v>
      </c>
      <c r="D144" s="518" t="n">
        <f aca="false">TableDE9!C63</f>
        <v>0.026332483955212</v>
      </c>
      <c r="E144" s="518" t="n">
        <f aca="false">DataDE1!DB65/DataDE1!$B65</f>
        <v>0.0486906656609766</v>
      </c>
      <c r="F144" s="518" t="n">
        <f aca="false">DataDE1!DC65/DataDE1!$B65</f>
        <v>0.011033104600387</v>
      </c>
      <c r="G144" s="518" t="n">
        <f aca="false">DataDE1!DD65/DataDE1!$B65</f>
        <v>0.0271096120703327</v>
      </c>
      <c r="H144" s="1602" t="n">
        <f aca="false">DataDE1!DE65/DataDE1!$B65</f>
        <v>0.0318516795483141</v>
      </c>
      <c r="I144" s="519" t="n">
        <f aca="false">DataDE1!DF65/DataDE1!$B65</f>
        <v>0.632507063221756</v>
      </c>
      <c r="J144" s="594" t="n">
        <f aca="false">DataDE1!DI65/DataDE1!$B65</f>
        <v>0.513036720625086</v>
      </c>
      <c r="K144" s="518" t="n">
        <f aca="false">DataDE1!DL65/DataDE1!$B65</f>
        <v>0.0935937153067806</v>
      </c>
      <c r="L144" s="518" t="n">
        <f aca="false">DataDE1!DM65/DataDE1!$B65</f>
        <v>0.0269868103114908</v>
      </c>
      <c r="M144" s="1039" t="n">
        <f aca="false">DataDE1!DU65/DataDE1!$B65</f>
        <v>-0.00111018302160099</v>
      </c>
      <c r="S144" s="25" t="n">
        <f aca="false">DataDE1!DH65*(DataDE1!GI65/DataDE1!GJ65)/DataDE1!G65</f>
        <v>0.586579458176552</v>
      </c>
      <c r="U144" s="158" t="n">
        <f aca="false">DataDE1!DH65*(DataDE1!GI65/DataDE1!GJ65)/(DataDE1!G65-DataDE1!J65)</f>
        <v>0.646205667712737</v>
      </c>
      <c r="W144" s="25"/>
      <c r="AI144" s="502"/>
    </row>
    <row r="145" customFormat="false" ht="12" hidden="false" customHeight="false" outlineLevel="0" collapsed="false">
      <c r="A145" s="446" t="n">
        <f aca="false">A144+1</f>
        <v>2005</v>
      </c>
      <c r="B145" s="519" t="n">
        <f aca="false">DataDE1!CX66/DataDE1!$B66</f>
        <v>0.299349900827872</v>
      </c>
      <c r="C145" s="518" t="n">
        <f aca="false">TableDE10!K34</f>
        <v>0.181819601067843</v>
      </c>
      <c r="D145" s="518" t="n">
        <f aca="false">TableDE9!C64</f>
        <v>0.0268417957671352</v>
      </c>
      <c r="E145" s="518" t="n">
        <f aca="false">DataDE1!DB66/DataDE1!$B66</f>
        <v>0.0506443747900812</v>
      </c>
      <c r="F145" s="518" t="n">
        <f aca="false">DataDE1!DC66/DataDE1!$B66</f>
        <v>0.0143471948293896</v>
      </c>
      <c r="G145" s="518" t="n">
        <f aca="false">DataDE1!DD66/DataDE1!$B66</f>
        <v>0.0256969343734226</v>
      </c>
      <c r="H145" s="1602" t="n">
        <f aca="false">DataDE1!DE66/DataDE1!$B66</f>
        <v>0.030442905241904</v>
      </c>
      <c r="I145" s="519" t="n">
        <f aca="false">DataDE1!DF66/DataDE1!$B66</f>
        <v>0.619515853765884</v>
      </c>
      <c r="J145" s="594" t="n">
        <f aca="false">DataDE1!DI66/DataDE1!$B66</f>
        <v>0.500970530226943</v>
      </c>
      <c r="K145" s="518" t="n">
        <f aca="false">DataDE1!DL66/DataDE1!$B66</f>
        <v>0.0919792051539578</v>
      </c>
      <c r="L145" s="518" t="n">
        <f aca="false">DataDE1!DM66/DataDE1!$B66</f>
        <v>0.0274976192462317</v>
      </c>
      <c r="M145" s="1039" t="n">
        <f aca="false">DataDE1!DU66/DataDE1!$B66</f>
        <v>-0.000931500861248003</v>
      </c>
      <c r="S145" s="25" t="n">
        <f aca="false">DataDE1!DH66*(DataDE1!GI66/DataDE1!GJ66)/DataDE1!G66</f>
        <v>0.577711300490842</v>
      </c>
      <c r="U145" s="158" t="n">
        <f aca="false">DataDE1!DH66*(DataDE1!GI66/DataDE1!GJ66)/(DataDE1!G66-DataDE1!J66)</f>
        <v>0.636635265844197</v>
      </c>
      <c r="W145" s="25"/>
      <c r="AI145" s="502"/>
    </row>
    <row r="146" customFormat="false" ht="12" hidden="false" customHeight="false" outlineLevel="0" collapsed="false">
      <c r="A146" s="446" t="n">
        <f aca="false">A145+1</f>
        <v>2006</v>
      </c>
      <c r="B146" s="519" t="n">
        <f aca="false">DataDE1!CX67/DataDE1!$B67</f>
        <v>0.321205247902789</v>
      </c>
      <c r="C146" s="518" t="n">
        <f aca="false">TableDE10!K35</f>
        <v>0.193941339127</v>
      </c>
      <c r="D146" s="518" t="n">
        <f aca="false">TableDE9!C65</f>
        <v>0.0264714596089275</v>
      </c>
      <c r="E146" s="518" t="n">
        <f aca="false">DataDE1!DB67/DataDE1!$B67</f>
        <v>0.0531132076104725</v>
      </c>
      <c r="F146" s="518" t="n">
        <f aca="false">DataDE1!DC67/DataDE1!$B67</f>
        <v>0.0236816116926723</v>
      </c>
      <c r="G146" s="518" t="n">
        <f aca="false">DataDE1!DD67/DataDE1!$B67</f>
        <v>0.0239976298637172</v>
      </c>
      <c r="H146" s="1602" t="n">
        <f aca="false">DataDE1!DE67/DataDE1!$B67</f>
        <v>0.0303920600434525</v>
      </c>
      <c r="I146" s="519" t="n">
        <f aca="false">DataDE1!DF67/DataDE1!$B67</f>
        <v>0.597252188399798</v>
      </c>
      <c r="J146" s="594" t="n">
        <f aca="false">DataDE1!DI67/DataDE1!$B67</f>
        <v>0.483794193166107</v>
      </c>
      <c r="K146" s="518" t="n">
        <f aca="false">DataDE1!DL67/DataDE1!$B67</f>
        <v>0.0874975311080387</v>
      </c>
      <c r="L146" s="518" t="n">
        <f aca="false">DataDE1!DM67/DataDE1!$B67</f>
        <v>0.0264048646786838</v>
      </c>
      <c r="M146" s="1039" t="n">
        <f aca="false">DataDE1!DU67/DataDE1!$B67</f>
        <v>-0.0004444005530318</v>
      </c>
      <c r="S146" s="25" t="n">
        <f aca="false">DataDE1!DH67*(DataDE1!GI67/DataDE1!GJ67)/DataDE1!G67</f>
        <v>0.564155577185993</v>
      </c>
      <c r="T146" s="198" t="n">
        <v>55.9</v>
      </c>
      <c r="U146" s="158" t="n">
        <f aca="false">DataDE1!DH67*(DataDE1!GI67/DataDE1!GJ67)/(DataDE1!G67-DataDE1!J67)</f>
        <v>0.621550777796083</v>
      </c>
      <c r="W146" s="25"/>
      <c r="AI146" s="502"/>
    </row>
    <row r="147" customFormat="false" ht="12" hidden="false" customHeight="false" outlineLevel="0" collapsed="false">
      <c r="A147" s="446" t="n">
        <f aca="false">A146+1</f>
        <v>2007</v>
      </c>
      <c r="B147" s="519" t="n">
        <f aca="false">DataDE1!CX68/DataDE1!$B68</f>
        <v>0.327513001627951</v>
      </c>
      <c r="C147" s="518" t="n">
        <f aca="false">TableDE10!K36</f>
        <v>0.202568460812087</v>
      </c>
      <c r="D147" s="518" t="n">
        <f aca="false">TableDE9!C66</f>
        <v>0.0268932955618508</v>
      </c>
      <c r="E147" s="518" t="n">
        <f aca="false">DataDE1!DB68/DataDE1!$B68</f>
        <v>0.0539672037053824</v>
      </c>
      <c r="F147" s="518" t="n">
        <f aca="false">DataDE1!DC68/DataDE1!$B68</f>
        <v>0.0206468366383381</v>
      </c>
      <c r="G147" s="518" t="n">
        <f aca="false">DataDE1!DD68/DataDE1!$B68</f>
        <v>0.0234372049102927</v>
      </c>
      <c r="H147" s="1602" t="n">
        <f aca="false">DataDE1!DE68/DataDE1!$B68</f>
        <v>0.0314400377714825</v>
      </c>
      <c r="I147" s="519" t="n">
        <f aca="false">DataDE1!DF68/DataDE1!$B68</f>
        <v>0.583724014424929</v>
      </c>
      <c r="J147" s="594" t="n">
        <f aca="false">DataDE1!DI68/DataDE1!$B68</f>
        <v>0.476260623229462</v>
      </c>
      <c r="K147" s="518" t="n">
        <f aca="false">DataDE1!DL68/DataDE1!$B68</f>
        <v>0.0841501416430595</v>
      </c>
      <c r="L147" s="518" t="n">
        <f aca="false">DataDE1!DM68/DataDE1!$B68</f>
        <v>0.0232377065873466</v>
      </c>
      <c r="M147" s="1039" t="n">
        <f aca="false">DataDE1!DU68/DataDE1!$B68</f>
        <v>7.55429650613787E-005</v>
      </c>
      <c r="S147" s="25" t="n">
        <f aca="false">DataDE1!DH68*(DataDE1!GI68/DataDE1!GJ68)/DataDE1!G68</f>
        <v>0.55093320657795</v>
      </c>
      <c r="U147" s="158" t="n">
        <f aca="false">DataDE1!DH68*(DataDE1!GI68/DataDE1!GJ68)/(DataDE1!G68-DataDE1!J68)</f>
        <v>0.611267037725947</v>
      </c>
      <c r="W147" s="25"/>
      <c r="AI147" s="502"/>
    </row>
    <row r="148" customFormat="false" ht="12" hidden="false" customHeight="false" outlineLevel="0" collapsed="false">
      <c r="A148" s="446" t="n">
        <f aca="false">A147+1</f>
        <v>2008</v>
      </c>
      <c r="B148" s="519" t="n">
        <f aca="false">DataDE1!CX69/DataDE1!$B69</f>
        <v>0.307393479583574</v>
      </c>
      <c r="C148" s="518" t="n">
        <f aca="false">TableDE10!K37</f>
        <v>0.189136257192404</v>
      </c>
      <c r="D148" s="518" t="n">
        <f aca="false">TableDE9!C67</f>
        <v>0.0279235864093372</v>
      </c>
      <c r="E148" s="518" t="n">
        <f aca="false">DataDE1!DB69/DataDE1!$B69</f>
        <v>0.0520286827470626</v>
      </c>
      <c r="F148" s="518" t="n">
        <f aca="false">DataDE1!DC69/DataDE1!$B69</f>
        <v>0.0157099387214232</v>
      </c>
      <c r="G148" s="518" t="n">
        <f aca="false">DataDE1!DD69/DataDE1!$B69</f>
        <v>0.0225950145133471</v>
      </c>
      <c r="H148" s="1602" t="n">
        <f aca="false">DataDE1!DE69/DataDE1!$B69</f>
        <v>0.0317377220822563</v>
      </c>
      <c r="I148" s="519" t="n">
        <f aca="false">DataDE1!DF69/DataDE1!$B69</f>
        <v>0.602123630273817</v>
      </c>
      <c r="J148" s="594" t="n">
        <f aca="false">DataDE1!DI69/DataDE1!$B69</f>
        <v>0.48943867701843</v>
      </c>
      <c r="K148" s="518" t="n">
        <f aca="false">DataDE1!DL69/DataDE1!$B69</f>
        <v>0.0852244310347245</v>
      </c>
      <c r="L148" s="518" t="n">
        <f aca="false">DataDE1!DM69/DataDE1!$B69</f>
        <v>0.0272922515292099</v>
      </c>
      <c r="M148" s="1039" t="n">
        <f aca="false">DataDE1!DU69/DataDE1!$B69</f>
        <v>0.000168270691452316</v>
      </c>
      <c r="S148" s="25" t="n">
        <f aca="false">DataDE1!DH69*(DataDE1!GI69/DataDE1!GJ69)/DataDE1!G69</f>
        <v>0.559048555060119</v>
      </c>
      <c r="U148" s="158" t="n">
        <f aca="false">DataDE1!DH69*(DataDE1!GI69/DataDE1!GJ69)/(DataDE1!G69-DataDE1!J69)</f>
        <v>0.620276333308392</v>
      </c>
      <c r="W148" s="25"/>
    </row>
    <row r="149" customFormat="false" ht="12" hidden="false" customHeight="false" outlineLevel="0" collapsed="false">
      <c r="A149" s="446" t="n">
        <f aca="false">A148+1</f>
        <v>2009</v>
      </c>
      <c r="B149" s="519" t="n">
        <f aca="false">DataDE1!CX70/DataDE1!$B70</f>
        <v>0.275344960817503</v>
      </c>
      <c r="C149" s="518" t="n">
        <f aca="false">TableDE10!K38</f>
        <v>0.159269947741986</v>
      </c>
      <c r="D149" s="518" t="n">
        <f aca="false">TableDE9!C68</f>
        <v>0.026470244130723</v>
      </c>
      <c r="E149" s="518" t="n">
        <f aca="false">DataDE1!DB70/DataDE1!$B70</f>
        <v>0.0451708324343818</v>
      </c>
      <c r="F149" s="518" t="n">
        <f aca="false">DataDE1!DC70/DataDE1!$B70</f>
        <v>0.0237257234225099</v>
      </c>
      <c r="G149" s="518" t="n">
        <f aca="false">DataDE1!DD70/DataDE1!$B70</f>
        <v>0.0207082130879027</v>
      </c>
      <c r="H149" s="1602" t="n">
        <f aca="false">DataDE1!DE70/DataDE1!$B70</f>
        <v>0.0252954137742766</v>
      </c>
      <c r="I149" s="519" t="n">
        <f aca="false">DataDE1!DF70/DataDE1!$B70</f>
        <v>0.627846092922455</v>
      </c>
      <c r="J149" s="594" t="n">
        <f aca="false">DataDE1!DI70/DataDE1!$B70</f>
        <v>0.507395093986429</v>
      </c>
      <c r="K149" s="518" t="n">
        <f aca="false">DataDE1!DL70/DataDE1!$B70</f>
        <v>0.0924801107557913</v>
      </c>
      <c r="L149" s="518" t="n">
        <f aca="false">DataDE1!DM70/DataDE1!$B70</f>
        <v>0.0275224052225872</v>
      </c>
      <c r="M149" s="1039" t="n">
        <f aca="false">DataDE1!DU70/DataDE1!$B70</f>
        <v>0.000448482957647609</v>
      </c>
      <c r="S149" s="25" t="n">
        <f aca="false">DataDE1!DH70*(DataDE1!GI70/DataDE1!GJ70)/DataDE1!G70</f>
        <v>0.582748869495395</v>
      </c>
      <c r="U149" s="158" t="n">
        <f aca="false">DataDE1!DH70*(DataDE1!GI70/DataDE1!GJ70)/(DataDE1!G70-DataDE1!J70)</f>
        <v>0.648366448449677</v>
      </c>
      <c r="W149" s="25"/>
    </row>
    <row r="150" customFormat="false" ht="12" hidden="false" customHeight="false" outlineLevel="0" collapsed="false">
      <c r="A150" s="542" t="n">
        <f aca="false">A149+1</f>
        <v>2010</v>
      </c>
      <c r="B150" s="526" t="n">
        <f aca="false">DataDE1!CX71/DataDE1!$B71</f>
        <v>0.29421673267348</v>
      </c>
      <c r="C150" s="525" t="n">
        <f aca="false">TableDE10!K39</f>
        <v>0.179356588352609</v>
      </c>
      <c r="D150" s="525" t="n">
        <f aca="false">TableDE9!C69</f>
        <v>0.0247896144562594</v>
      </c>
      <c r="E150" s="525" t="n">
        <f aca="false">DataDE1!DB71/DataDE1!$B71</f>
        <v>0.0495870391886755</v>
      </c>
      <c r="F150" s="525" t="n">
        <f aca="false">DataDE1!DC71/DataDE1!$B71</f>
        <v>0.0207636319581</v>
      </c>
      <c r="G150" s="525" t="n">
        <f aca="false">DataDE1!DD71/DataDE1!$B71</f>
        <v>0.0197198587178364</v>
      </c>
      <c r="H150" s="1606" t="n">
        <f aca="false">DataDE1!DE71/DataDE1!$B71</f>
        <v>0.0233497665489315</v>
      </c>
      <c r="I150" s="526" t="n">
        <f aca="false">DataDE1!DF71/DataDE1!$B71</f>
        <v>0.611857654808697</v>
      </c>
      <c r="J150" s="1262" t="n">
        <f aca="false">DataDE1!DI71/DataDE1!$B71</f>
        <v>0.497115644483379</v>
      </c>
      <c r="K150" s="525" t="n">
        <f aca="false">DataDE1!DL71/DataDE1!$B71</f>
        <v>0.0906498420361034</v>
      </c>
      <c r="L150" s="525" t="n">
        <f aca="false">DataDE1!DM71/DataDE1!$B71</f>
        <v>0.0233978726963604</v>
      </c>
      <c r="M150" s="1049" t="n">
        <f aca="false">DataDE1!DU71/DataDE1!$B71</f>
        <v>0.000694295592853881</v>
      </c>
      <c r="S150" s="25" t="n">
        <f aca="false">DataDE1!DH71*(DataDE1!GI71/DataDE1!GJ71)/DataDE1!G71</f>
        <v>0.572653675883445</v>
      </c>
      <c r="U150" s="158" t="n">
        <f aca="false">DataDE1!DH71*(DataDE1!GI71/DataDE1!GJ71)/(DataDE1!G71-DataDE1!J71)</f>
        <v>0.63523032610393</v>
      </c>
      <c r="W150" s="25"/>
    </row>
    <row r="151" customFormat="false" ht="13" hidden="false" customHeight="false" outlineLevel="0" collapsed="false">
      <c r="A151" s="449" t="n">
        <f aca="false">A150+1</f>
        <v>2011</v>
      </c>
      <c r="B151" s="548" t="n">
        <f aca="false">DataDE1!CX72/DataDE1!$B72</f>
        <v>0.286293757576681</v>
      </c>
      <c r="C151" s="605" t="n">
        <f aca="false">TableDE10!K40</f>
        <v>0.17709427020236</v>
      </c>
      <c r="D151" s="605" t="n">
        <f aca="false">TableDE9!C70</f>
        <v>0.0238031139229147</v>
      </c>
      <c r="E151" s="605" t="n">
        <f aca="false">DataDE1!DB72/DataDE1!$B72</f>
        <v>0.0485093989819843</v>
      </c>
      <c r="F151" s="605" t="n">
        <f aca="false">DataDE1!DC72/DataDE1!$B72</f>
        <v>0.0184232960918921</v>
      </c>
      <c r="G151" s="605" t="n">
        <f aca="false">DataDE1!DD72/DataDE1!$B72</f>
        <v>0.0184636783775295</v>
      </c>
      <c r="H151" s="1607" t="n">
        <f aca="false">DataDE1!DE72/DataDE1!$B72</f>
        <v>0.0234576210346839</v>
      </c>
      <c r="I151" s="548" t="n">
        <f aca="false">DataDE1!DF72/DataDE1!$B72</f>
        <v>0.614451071247297</v>
      </c>
      <c r="J151" s="1608" t="n">
        <f aca="false">DataDE1!DI72/DataDE1!$B72</f>
        <v>0.501314667743528</v>
      </c>
      <c r="K151" s="605" t="n">
        <f aca="false">DataDE1!DL72/DataDE1!$B72</f>
        <v>0.0896576479562076</v>
      </c>
      <c r="L151" s="605" t="n">
        <f aca="false">DataDE1!DM72/DataDE1!$B72</f>
        <v>0.0229313512311444</v>
      </c>
      <c r="M151" s="1089" t="n">
        <f aca="false">DataDE1!DU72/DataDE1!$B72</f>
        <v>0.000547404316417643</v>
      </c>
      <c r="S151" s="25" t="n">
        <f aca="false">DataDE1!DH72*(DataDE1!GI72/DataDE1!GJ72)/DataDE1!G72</f>
        <v>0.576047989533998</v>
      </c>
      <c r="U151" s="158" t="n">
        <f aca="false">DataDE1!DH72*(DataDE1!GI72/DataDE1!GJ72)/(DataDE1!G72-DataDE1!J72)</f>
        <v>0.641700756351993</v>
      </c>
      <c r="W151" s="25"/>
    </row>
    <row r="152" customFormat="false" ht="13" hidden="false" customHeight="false" outlineLevel="0" collapsed="false">
      <c r="B152" s="197"/>
      <c r="C152" s="197"/>
      <c r="D152" s="197"/>
      <c r="E152" s="197"/>
      <c r="F152" s="197"/>
      <c r="G152" s="197"/>
      <c r="H152" s="197"/>
      <c r="I152" s="197"/>
      <c r="J152" s="197"/>
      <c r="K152" s="197"/>
      <c r="L152" s="197"/>
      <c r="M152" s="197"/>
    </row>
    <row r="153" customFormat="false" ht="12" hidden="false" customHeight="false" outlineLevel="0" collapsed="false">
      <c r="B153" s="197"/>
      <c r="C153" s="197"/>
      <c r="D153" s="197"/>
      <c r="E153" s="197"/>
      <c r="F153" s="197"/>
      <c r="G153" s="197"/>
      <c r="H153" s="197"/>
      <c r="I153" s="197"/>
      <c r="J153" s="197"/>
      <c r="K153" s="197"/>
      <c r="L153" s="197"/>
      <c r="M153" s="197"/>
    </row>
    <row r="154" customFormat="false" ht="12" hidden="false" customHeight="false" outlineLevel="0" collapsed="false">
      <c r="B154" s="197"/>
      <c r="C154" s="197"/>
      <c r="D154" s="197"/>
      <c r="E154" s="197"/>
      <c r="F154" s="197"/>
      <c r="G154" s="197"/>
      <c r="H154" s="197"/>
      <c r="I154" s="197"/>
      <c r="J154" s="197"/>
      <c r="K154" s="197"/>
      <c r="L154" s="197"/>
      <c r="M154" s="197"/>
    </row>
    <row r="155" customFormat="false" ht="12" hidden="false" customHeight="false" outlineLevel="0" collapsed="false">
      <c r="B155" s="197"/>
      <c r="C155" s="197"/>
      <c r="D155" s="197"/>
      <c r="E155" s="197"/>
      <c r="F155" s="197"/>
      <c r="G155" s="197"/>
      <c r="H155" s="197"/>
      <c r="I155" s="197"/>
      <c r="J155" s="197"/>
      <c r="K155" s="197"/>
      <c r="L155" s="197"/>
      <c r="M155" s="197"/>
      <c r="S155" s="25" t="n">
        <f aca="false">AVERAGE(S100:S146)</f>
        <v>0.609049804709593</v>
      </c>
    </row>
    <row r="156" customFormat="false" ht="12" hidden="false" customHeight="false" outlineLevel="0" collapsed="false">
      <c r="B156" s="197"/>
      <c r="C156" s="197"/>
      <c r="D156" s="197"/>
      <c r="E156" s="197"/>
      <c r="F156" s="197"/>
      <c r="G156" s="197"/>
      <c r="H156" s="197"/>
      <c r="I156" s="197"/>
      <c r="J156" s="197"/>
      <c r="K156" s="197"/>
      <c r="L156" s="197"/>
      <c r="M156" s="197"/>
    </row>
    <row r="157" customFormat="false" ht="12" hidden="false" customHeight="false" outlineLevel="0" collapsed="false">
      <c r="B157" s="197"/>
      <c r="C157" s="197"/>
      <c r="D157" s="197"/>
      <c r="E157" s="197"/>
      <c r="F157" s="197"/>
      <c r="G157" s="197"/>
      <c r="H157" s="197"/>
      <c r="I157" s="197"/>
      <c r="J157" s="197"/>
      <c r="K157" s="197"/>
      <c r="L157" s="197"/>
      <c r="M157" s="197"/>
    </row>
    <row r="158" customFormat="false" ht="12" hidden="false" customHeight="false" outlineLevel="0" collapsed="false">
      <c r="B158" s="197"/>
      <c r="C158" s="197"/>
      <c r="D158" s="197"/>
      <c r="E158" s="197"/>
      <c r="F158" s="197"/>
      <c r="G158" s="197"/>
      <c r="H158" s="197"/>
      <c r="I158" s="197"/>
      <c r="J158" s="197"/>
      <c r="K158" s="197"/>
      <c r="L158" s="197"/>
      <c r="M158" s="197"/>
    </row>
    <row r="159" customFormat="false" ht="12" hidden="false" customHeight="false" outlineLevel="0" collapsed="false">
      <c r="B159" s="197"/>
      <c r="C159" s="197"/>
      <c r="D159" s="197"/>
      <c r="E159" s="197"/>
      <c r="F159" s="197"/>
      <c r="G159" s="197"/>
      <c r="H159" s="197"/>
      <c r="I159" s="197"/>
      <c r="J159" s="197"/>
      <c r="K159" s="197"/>
      <c r="L159" s="197"/>
      <c r="M159" s="197"/>
    </row>
    <row r="160" customFormat="false" ht="12" hidden="false" customHeight="false" outlineLevel="0" collapsed="false">
      <c r="B160" s="197"/>
      <c r="C160" s="197"/>
      <c r="D160" s="197"/>
      <c r="E160" s="197"/>
      <c r="F160" s="197"/>
      <c r="G160" s="197"/>
      <c r="H160" s="197"/>
      <c r="I160" s="197"/>
      <c r="J160" s="197"/>
      <c r="K160" s="197"/>
      <c r="L160" s="197"/>
      <c r="M160" s="197"/>
    </row>
    <row r="161" customFormat="false" ht="12" hidden="false" customHeight="false" outlineLevel="0" collapsed="false">
      <c r="B161" s="197"/>
      <c r="C161" s="197"/>
      <c r="D161" s="197"/>
      <c r="E161" s="197"/>
      <c r="F161" s="197"/>
      <c r="G161" s="197"/>
      <c r="H161" s="197"/>
      <c r="I161" s="197"/>
      <c r="J161" s="197"/>
      <c r="K161" s="197"/>
      <c r="L161" s="197"/>
      <c r="M161" s="197"/>
    </row>
    <row r="162" customFormat="false" ht="12" hidden="false" customHeight="false" outlineLevel="0" collapsed="false">
      <c r="B162" s="197"/>
      <c r="C162" s="197"/>
      <c r="D162" s="197"/>
      <c r="E162" s="197"/>
      <c r="F162" s="197"/>
      <c r="G162" s="197"/>
      <c r="H162" s="197"/>
      <c r="I162" s="197"/>
      <c r="J162" s="197"/>
      <c r="K162" s="197"/>
      <c r="L162" s="197"/>
      <c r="M162" s="197"/>
    </row>
    <row r="163" customFormat="false" ht="12" hidden="false" customHeight="false" outlineLevel="0" collapsed="false">
      <c r="B163" s="197"/>
      <c r="C163" s="197"/>
      <c r="D163" s="197"/>
      <c r="E163" s="197"/>
      <c r="F163" s="197"/>
      <c r="G163" s="197"/>
      <c r="H163" s="197"/>
      <c r="I163" s="197"/>
      <c r="J163" s="197"/>
      <c r="K163" s="197"/>
      <c r="L163" s="197"/>
      <c r="M163" s="197"/>
    </row>
    <row r="164" customFormat="false" ht="12" hidden="false" customHeight="false" outlineLevel="0" collapsed="false">
      <c r="B164" s="197"/>
      <c r="C164" s="197"/>
      <c r="D164" s="197"/>
      <c r="E164" s="197"/>
      <c r="F164" s="197"/>
      <c r="G164" s="197"/>
      <c r="H164" s="197"/>
      <c r="I164" s="197"/>
      <c r="J164" s="197"/>
      <c r="K164" s="197"/>
      <c r="L164" s="197"/>
      <c r="M164" s="197"/>
    </row>
    <row r="165" customFormat="false" ht="12" hidden="false" customHeight="false" outlineLevel="0" collapsed="false">
      <c r="B165" s="197"/>
      <c r="C165" s="197"/>
      <c r="D165" s="197"/>
      <c r="E165" s="197"/>
      <c r="F165" s="197"/>
      <c r="G165" s="197"/>
      <c r="H165" s="197"/>
      <c r="I165" s="197"/>
      <c r="J165" s="197"/>
      <c r="K165" s="197"/>
      <c r="L165" s="197"/>
      <c r="M165" s="197"/>
    </row>
    <row r="166" customFormat="false" ht="12" hidden="false" customHeight="false" outlineLevel="0" collapsed="false">
      <c r="B166" s="197"/>
      <c r="C166" s="197"/>
      <c r="D166" s="197"/>
      <c r="E166" s="197"/>
      <c r="F166" s="197"/>
      <c r="G166" s="197"/>
      <c r="H166" s="197"/>
      <c r="I166" s="197"/>
      <c r="J166" s="197"/>
      <c r="K166" s="197"/>
      <c r="L166" s="197"/>
      <c r="M166" s="197"/>
    </row>
    <row r="167" customFormat="false" ht="12" hidden="false" customHeight="false" outlineLevel="0" collapsed="false">
      <c r="B167" s="197"/>
      <c r="C167" s="197"/>
      <c r="D167" s="197"/>
      <c r="E167" s="197"/>
      <c r="F167" s="197"/>
      <c r="G167" s="197"/>
      <c r="H167" s="197"/>
      <c r="I167" s="197"/>
      <c r="J167" s="197"/>
      <c r="K167" s="197"/>
      <c r="L167" s="197"/>
      <c r="M167" s="197"/>
    </row>
    <row r="168" customFormat="false" ht="12" hidden="false" customHeight="false" outlineLevel="0" collapsed="false">
      <c r="B168" s="197"/>
      <c r="C168" s="197"/>
      <c r="D168" s="197"/>
      <c r="E168" s="197"/>
      <c r="F168" s="197"/>
      <c r="G168" s="197"/>
      <c r="H168" s="197"/>
      <c r="I168" s="197"/>
      <c r="J168" s="197"/>
      <c r="K168" s="197"/>
      <c r="L168" s="197"/>
      <c r="M168" s="197"/>
    </row>
    <row r="169" customFormat="false" ht="12" hidden="false" customHeight="false" outlineLevel="0" collapsed="false">
      <c r="B169" s="197"/>
      <c r="C169" s="197"/>
      <c r="D169" s="197"/>
      <c r="E169" s="197"/>
      <c r="F169" s="197"/>
      <c r="G169" s="197"/>
      <c r="H169" s="197"/>
      <c r="I169" s="197"/>
      <c r="J169" s="197"/>
      <c r="K169" s="197"/>
      <c r="L169" s="197"/>
      <c r="M169" s="197"/>
    </row>
    <row r="170" customFormat="false" ht="12" hidden="false" customHeight="false" outlineLevel="0" collapsed="false">
      <c r="B170" s="197"/>
      <c r="C170" s="197"/>
      <c r="D170" s="197"/>
      <c r="E170" s="197"/>
      <c r="F170" s="197"/>
      <c r="G170" s="197"/>
      <c r="H170" s="197"/>
      <c r="I170" s="197"/>
      <c r="J170" s="197"/>
      <c r="K170" s="197"/>
      <c r="L170" s="197"/>
      <c r="M170" s="197"/>
    </row>
    <row r="171" customFormat="false" ht="12" hidden="false" customHeight="false" outlineLevel="0" collapsed="false">
      <c r="B171" s="197"/>
      <c r="C171" s="197"/>
      <c r="D171" s="197"/>
      <c r="E171" s="197"/>
      <c r="F171" s="197"/>
      <c r="G171" s="197"/>
      <c r="H171" s="197"/>
      <c r="I171" s="197"/>
      <c r="J171" s="197"/>
      <c r="K171" s="197"/>
      <c r="L171" s="197"/>
      <c r="M171" s="197"/>
    </row>
    <row r="172" customFormat="false" ht="12" hidden="false" customHeight="false" outlineLevel="0" collapsed="false">
      <c r="B172" s="197"/>
      <c r="C172" s="197"/>
      <c r="D172" s="197"/>
      <c r="E172" s="197"/>
      <c r="F172" s="197"/>
      <c r="G172" s="197"/>
      <c r="H172" s="197"/>
      <c r="I172" s="197"/>
      <c r="J172" s="197"/>
      <c r="K172" s="197"/>
      <c r="L172" s="197"/>
      <c r="M172" s="197"/>
    </row>
    <row r="173" customFormat="false" ht="12" hidden="false" customHeight="false" outlineLevel="0" collapsed="false">
      <c r="B173" s="197"/>
      <c r="C173" s="197"/>
      <c r="D173" s="197"/>
      <c r="E173" s="197"/>
      <c r="F173" s="197"/>
      <c r="G173" s="197"/>
      <c r="H173" s="197"/>
      <c r="I173" s="197"/>
      <c r="J173" s="197"/>
      <c r="K173" s="197"/>
      <c r="L173" s="197"/>
      <c r="M173" s="197"/>
    </row>
    <row r="174" customFormat="false" ht="12" hidden="false" customHeight="false" outlineLevel="0" collapsed="false">
      <c r="B174" s="197"/>
      <c r="C174" s="197"/>
      <c r="D174" s="197"/>
      <c r="E174" s="197"/>
      <c r="F174" s="197"/>
      <c r="G174" s="197"/>
      <c r="H174" s="197"/>
      <c r="I174" s="197"/>
      <c r="J174" s="197"/>
      <c r="K174" s="197"/>
      <c r="L174" s="197"/>
      <c r="M174" s="197"/>
    </row>
    <row r="175" customFormat="false" ht="12" hidden="false" customHeight="false" outlineLevel="0" collapsed="false">
      <c r="B175" s="197"/>
      <c r="C175" s="197"/>
      <c r="D175" s="197"/>
      <c r="E175" s="197"/>
      <c r="F175" s="197"/>
      <c r="G175" s="197"/>
      <c r="H175" s="197"/>
      <c r="I175" s="197"/>
      <c r="J175" s="197"/>
      <c r="K175" s="197"/>
      <c r="L175" s="197"/>
      <c r="M175" s="197"/>
    </row>
    <row r="176" customFormat="false" ht="12" hidden="false" customHeight="false" outlineLevel="0" collapsed="false">
      <c r="B176" s="197"/>
      <c r="C176" s="197"/>
      <c r="D176" s="197"/>
      <c r="E176" s="197"/>
      <c r="F176" s="197"/>
      <c r="G176" s="197"/>
      <c r="H176" s="197"/>
      <c r="I176" s="197"/>
      <c r="J176" s="197"/>
      <c r="K176" s="197"/>
      <c r="L176" s="197"/>
      <c r="M176" s="197"/>
    </row>
    <row r="177" customFormat="false" ht="12" hidden="false" customHeight="false" outlineLevel="0" collapsed="false">
      <c r="B177" s="197"/>
      <c r="C177" s="197"/>
      <c r="D177" s="197"/>
      <c r="E177" s="197"/>
      <c r="F177" s="197"/>
      <c r="G177" s="197"/>
      <c r="H177" s="197"/>
      <c r="I177" s="197"/>
      <c r="J177" s="197"/>
      <c r="K177" s="197"/>
      <c r="L177" s="197"/>
      <c r="M177" s="197"/>
    </row>
    <row r="178" customFormat="false" ht="12" hidden="false" customHeight="false" outlineLevel="0" collapsed="false">
      <c r="B178" s="197"/>
      <c r="C178" s="197"/>
      <c r="D178" s="197"/>
      <c r="E178" s="197"/>
      <c r="F178" s="197"/>
      <c r="G178" s="197"/>
      <c r="H178" s="197"/>
      <c r="I178" s="197"/>
      <c r="J178" s="197"/>
      <c r="K178" s="197"/>
      <c r="L178" s="197"/>
      <c r="M178" s="197"/>
    </row>
    <row r="179" customFormat="false" ht="12" hidden="false" customHeight="false" outlineLevel="0" collapsed="false">
      <c r="B179" s="197"/>
      <c r="C179" s="197"/>
      <c r="D179" s="197"/>
      <c r="E179" s="197"/>
      <c r="F179" s="197"/>
      <c r="G179" s="197"/>
      <c r="H179" s="197"/>
      <c r="I179" s="197"/>
      <c r="J179" s="197"/>
      <c r="K179" s="197"/>
      <c r="L179" s="197"/>
      <c r="M179" s="197"/>
    </row>
    <row r="180" customFormat="false" ht="12" hidden="false" customHeight="false" outlineLevel="0" collapsed="false">
      <c r="B180" s="197"/>
      <c r="C180" s="197"/>
      <c r="D180" s="197"/>
      <c r="E180" s="197"/>
      <c r="F180" s="197"/>
      <c r="G180" s="197"/>
      <c r="H180" s="197"/>
      <c r="I180" s="197"/>
      <c r="J180" s="197"/>
      <c r="K180" s="197"/>
      <c r="L180" s="197"/>
      <c r="M180" s="197"/>
    </row>
    <row r="181" customFormat="false" ht="12" hidden="false" customHeight="false" outlineLevel="0" collapsed="false">
      <c r="B181" s="197"/>
      <c r="C181" s="197"/>
      <c r="D181" s="197"/>
      <c r="E181" s="197"/>
      <c r="F181" s="197"/>
      <c r="G181" s="197"/>
      <c r="H181" s="197"/>
      <c r="I181" s="197"/>
      <c r="J181" s="197"/>
      <c r="K181" s="197"/>
      <c r="L181" s="197"/>
      <c r="M181" s="197"/>
    </row>
    <row r="182" customFormat="false" ht="12" hidden="false" customHeight="false" outlineLevel="0" collapsed="false">
      <c r="B182" s="197"/>
      <c r="C182" s="197"/>
      <c r="D182" s="197"/>
      <c r="E182" s="197"/>
      <c r="F182" s="197"/>
      <c r="G182" s="197"/>
      <c r="H182" s="197"/>
      <c r="I182" s="197"/>
      <c r="J182" s="197"/>
      <c r="K182" s="197"/>
      <c r="L182" s="197"/>
      <c r="M182" s="197"/>
    </row>
    <row r="183" customFormat="false" ht="12" hidden="false" customHeight="false" outlineLevel="0" collapsed="false">
      <c r="B183" s="197"/>
      <c r="C183" s="197"/>
      <c r="D183" s="197"/>
      <c r="E183" s="197"/>
      <c r="F183" s="197"/>
      <c r="G183" s="197"/>
      <c r="H183" s="197"/>
      <c r="I183" s="197"/>
      <c r="J183" s="197"/>
      <c r="K183" s="197"/>
      <c r="L183" s="197"/>
      <c r="M183" s="197"/>
    </row>
    <row r="184" customFormat="false" ht="12" hidden="false" customHeight="false" outlineLevel="0" collapsed="false">
      <c r="B184" s="197"/>
      <c r="C184" s="197"/>
      <c r="D184" s="197"/>
      <c r="E184" s="197"/>
      <c r="F184" s="197"/>
      <c r="G184" s="197"/>
      <c r="H184" s="197"/>
      <c r="I184" s="197"/>
      <c r="J184" s="197"/>
      <c r="K184" s="197"/>
      <c r="L184" s="197"/>
      <c r="M184" s="197"/>
    </row>
    <row r="185" customFormat="false" ht="12" hidden="false" customHeight="false" outlineLevel="0" collapsed="false">
      <c r="B185" s="197"/>
      <c r="C185" s="197"/>
      <c r="D185" s="197"/>
      <c r="E185" s="197"/>
      <c r="F185" s="197"/>
      <c r="G185" s="197"/>
      <c r="H185" s="197"/>
      <c r="I185" s="197"/>
      <c r="J185" s="197"/>
      <c r="K185" s="197"/>
      <c r="L185" s="197"/>
      <c r="M185" s="197"/>
    </row>
    <row r="186" customFormat="false" ht="12" hidden="false" customHeight="false" outlineLevel="0" collapsed="false">
      <c r="B186" s="197"/>
      <c r="C186" s="197"/>
      <c r="D186" s="197"/>
      <c r="E186" s="197"/>
      <c r="F186" s="197"/>
      <c r="G186" s="197"/>
      <c r="H186" s="197"/>
      <c r="I186" s="197"/>
      <c r="J186" s="197"/>
      <c r="K186" s="197"/>
      <c r="L186" s="197"/>
      <c r="M186" s="197"/>
    </row>
    <row r="187" customFormat="false" ht="12" hidden="false" customHeight="false" outlineLevel="0" collapsed="false">
      <c r="B187" s="197"/>
      <c r="C187" s="197"/>
      <c r="D187" s="197"/>
      <c r="E187" s="197"/>
      <c r="F187" s="197"/>
      <c r="G187" s="197"/>
      <c r="H187" s="197"/>
      <c r="I187" s="197"/>
      <c r="J187" s="197"/>
      <c r="K187" s="197"/>
      <c r="L187" s="197"/>
      <c r="M187" s="197"/>
    </row>
    <row r="188" customFormat="false" ht="12" hidden="false" customHeight="false" outlineLevel="0" collapsed="false">
      <c r="B188" s="197"/>
      <c r="C188" s="197"/>
      <c r="D188" s="197"/>
      <c r="E188" s="197"/>
      <c r="F188" s="197"/>
      <c r="G188" s="197"/>
      <c r="H188" s="197"/>
      <c r="I188" s="197"/>
      <c r="J188" s="197"/>
      <c r="K188" s="197"/>
      <c r="L188" s="197"/>
      <c r="M188" s="197"/>
    </row>
    <row r="189" customFormat="false" ht="12" hidden="false" customHeight="false" outlineLevel="0" collapsed="false">
      <c r="B189" s="197"/>
      <c r="C189" s="197"/>
      <c r="D189" s="197"/>
      <c r="E189" s="197"/>
      <c r="F189" s="197"/>
      <c r="G189" s="197"/>
      <c r="H189" s="197"/>
      <c r="I189" s="197"/>
      <c r="J189" s="197"/>
      <c r="K189" s="197"/>
      <c r="L189" s="197"/>
      <c r="M189" s="197"/>
    </row>
    <row r="190" customFormat="false" ht="12" hidden="false" customHeight="false" outlineLevel="0" collapsed="false">
      <c r="B190" s="197"/>
      <c r="C190" s="197"/>
      <c r="D190" s="197"/>
      <c r="E190" s="197"/>
      <c r="F190" s="197"/>
      <c r="G190" s="197"/>
      <c r="H190" s="197"/>
      <c r="I190" s="197"/>
      <c r="J190" s="197"/>
      <c r="K190" s="197"/>
      <c r="L190" s="197"/>
      <c r="M190" s="197"/>
    </row>
    <row r="191" customFormat="false" ht="12" hidden="false" customHeight="false" outlineLevel="0" collapsed="false">
      <c r="B191" s="197"/>
      <c r="C191" s="197"/>
      <c r="D191" s="197"/>
      <c r="E191" s="197"/>
      <c r="F191" s="197"/>
      <c r="G191" s="197"/>
      <c r="H191" s="197"/>
      <c r="I191" s="197"/>
      <c r="J191" s="197"/>
      <c r="K191" s="197"/>
      <c r="L191" s="197"/>
      <c r="M191" s="197"/>
    </row>
    <row r="192" customFormat="false" ht="12" hidden="false" customHeight="false" outlineLevel="0" collapsed="false">
      <c r="B192" s="197"/>
      <c r="C192" s="197"/>
      <c r="D192" s="197"/>
      <c r="E192" s="197"/>
      <c r="F192" s="197"/>
      <c r="G192" s="197"/>
      <c r="H192" s="197"/>
      <c r="I192" s="197"/>
      <c r="J192" s="197"/>
      <c r="K192" s="197"/>
      <c r="L192" s="197"/>
      <c r="M192" s="197"/>
    </row>
    <row r="193" customFormat="false" ht="12" hidden="false" customHeight="false" outlineLevel="0" collapsed="false">
      <c r="B193" s="197"/>
      <c r="C193" s="197"/>
      <c r="D193" s="197"/>
      <c r="E193" s="197"/>
      <c r="F193" s="197"/>
      <c r="G193" s="197"/>
      <c r="H193" s="197"/>
      <c r="I193" s="197"/>
      <c r="J193" s="197"/>
      <c r="K193" s="197"/>
      <c r="L193" s="197"/>
      <c r="M193" s="197"/>
    </row>
    <row r="194" customFormat="false" ht="12" hidden="false" customHeight="false" outlineLevel="0" collapsed="false">
      <c r="B194" s="197"/>
      <c r="C194" s="197"/>
      <c r="D194" s="197"/>
      <c r="E194" s="197"/>
      <c r="F194" s="197"/>
      <c r="G194" s="197"/>
      <c r="H194" s="197"/>
      <c r="I194" s="197"/>
      <c r="J194" s="197"/>
      <c r="K194" s="197"/>
      <c r="L194" s="197"/>
      <c r="M194" s="197"/>
    </row>
    <row r="195" customFormat="false" ht="12" hidden="false" customHeight="false" outlineLevel="0" collapsed="false">
      <c r="B195" s="197"/>
      <c r="C195" s="197"/>
      <c r="D195" s="197"/>
      <c r="E195" s="197"/>
      <c r="F195" s="197"/>
      <c r="G195" s="197"/>
      <c r="H195" s="197"/>
      <c r="I195" s="197"/>
      <c r="J195" s="197"/>
      <c r="K195" s="197"/>
      <c r="L195" s="197"/>
      <c r="M195" s="197"/>
    </row>
    <row r="196" customFormat="false" ht="12" hidden="false" customHeight="false" outlineLevel="0" collapsed="false">
      <c r="B196" s="197"/>
      <c r="C196" s="197"/>
      <c r="D196" s="197"/>
      <c r="E196" s="197"/>
      <c r="F196" s="197"/>
      <c r="G196" s="197"/>
      <c r="H196" s="197"/>
      <c r="I196" s="197"/>
      <c r="J196" s="197"/>
      <c r="K196" s="197"/>
      <c r="L196" s="197"/>
      <c r="M196" s="197"/>
    </row>
    <row r="197" customFormat="false" ht="12" hidden="false" customHeight="false" outlineLevel="0" collapsed="false">
      <c r="B197" s="197"/>
      <c r="C197" s="197"/>
      <c r="D197" s="197"/>
      <c r="E197" s="197"/>
      <c r="F197" s="197"/>
      <c r="G197" s="197"/>
      <c r="H197" s="197"/>
      <c r="I197" s="197"/>
      <c r="J197" s="197"/>
      <c r="K197" s="197"/>
      <c r="L197" s="197"/>
      <c r="M197" s="197"/>
    </row>
    <row r="198" customFormat="false" ht="12" hidden="false" customHeight="false" outlineLevel="0" collapsed="false">
      <c r="B198" s="197"/>
      <c r="C198" s="197"/>
      <c r="D198" s="197"/>
      <c r="E198" s="197"/>
      <c r="F198" s="197"/>
      <c r="G198" s="197"/>
      <c r="H198" s="197"/>
      <c r="I198" s="197"/>
      <c r="J198" s="197"/>
      <c r="K198" s="197"/>
      <c r="L198" s="197"/>
      <c r="M198" s="197"/>
    </row>
    <row r="199" customFormat="false" ht="12" hidden="false" customHeight="false" outlineLevel="0" collapsed="false">
      <c r="B199" s="197"/>
      <c r="C199" s="197"/>
      <c r="D199" s="197"/>
      <c r="E199" s="197"/>
      <c r="F199" s="197"/>
      <c r="G199" s="197"/>
      <c r="H199" s="197"/>
      <c r="I199" s="197"/>
      <c r="J199" s="197"/>
      <c r="K199" s="197"/>
      <c r="L199" s="197"/>
      <c r="M199" s="197"/>
    </row>
    <row r="200" customFormat="false" ht="12" hidden="false" customHeight="false" outlineLevel="0" collapsed="false">
      <c r="B200" s="197"/>
      <c r="C200" s="197"/>
      <c r="D200" s="197"/>
      <c r="E200" s="197"/>
      <c r="F200" s="197"/>
      <c r="G200" s="197"/>
      <c r="H200" s="197"/>
      <c r="I200" s="197"/>
      <c r="J200" s="197"/>
      <c r="K200" s="197"/>
      <c r="L200" s="197"/>
      <c r="M200" s="197"/>
    </row>
    <row r="201" customFormat="false" ht="12" hidden="false" customHeight="false" outlineLevel="0" collapsed="false">
      <c r="B201" s="197"/>
      <c r="C201" s="197"/>
      <c r="D201" s="197"/>
      <c r="E201" s="197"/>
      <c r="F201" s="197"/>
      <c r="G201" s="197"/>
      <c r="H201" s="197"/>
      <c r="I201" s="197"/>
      <c r="J201" s="197"/>
      <c r="K201" s="197"/>
      <c r="L201" s="197"/>
      <c r="M201" s="197"/>
    </row>
    <row r="202" customFormat="false" ht="12" hidden="false" customHeight="false" outlineLevel="0" collapsed="false">
      <c r="B202" s="197"/>
      <c r="C202" s="197"/>
      <c r="D202" s="197"/>
      <c r="E202" s="197"/>
      <c r="F202" s="197"/>
      <c r="G202" s="197"/>
      <c r="H202" s="197"/>
      <c r="I202" s="197"/>
      <c r="J202" s="197"/>
      <c r="K202" s="197"/>
      <c r="L202" s="197"/>
      <c r="M202" s="197"/>
    </row>
    <row r="203" customFormat="false" ht="12" hidden="false" customHeight="false" outlineLevel="0" collapsed="false">
      <c r="B203" s="197"/>
      <c r="C203" s="197"/>
      <c r="D203" s="197"/>
      <c r="E203" s="197"/>
      <c r="F203" s="197"/>
      <c r="G203" s="197"/>
      <c r="H203" s="197"/>
      <c r="I203" s="197"/>
      <c r="J203" s="197"/>
      <c r="K203" s="197"/>
      <c r="L203" s="197"/>
      <c r="M203" s="197"/>
    </row>
    <row r="204" customFormat="false" ht="12" hidden="false" customHeight="false" outlineLevel="0" collapsed="false">
      <c r="B204" s="197"/>
      <c r="C204" s="197"/>
      <c r="D204" s="197"/>
      <c r="E204" s="197"/>
      <c r="F204" s="197"/>
      <c r="G204" s="197"/>
      <c r="H204" s="197"/>
      <c r="I204" s="197"/>
      <c r="J204" s="197"/>
      <c r="K204" s="197"/>
      <c r="L204" s="197"/>
      <c r="M204" s="197"/>
    </row>
    <row r="205" customFormat="false" ht="12" hidden="false" customHeight="false" outlineLevel="0" collapsed="false">
      <c r="B205" s="197"/>
      <c r="C205" s="197"/>
      <c r="D205" s="197"/>
      <c r="E205" s="197"/>
      <c r="F205" s="197"/>
      <c r="G205" s="197"/>
      <c r="H205" s="197"/>
      <c r="I205" s="197"/>
      <c r="J205" s="197"/>
      <c r="K205" s="197"/>
      <c r="L205" s="197"/>
      <c r="M205" s="197"/>
    </row>
    <row r="206" customFormat="false" ht="12" hidden="false" customHeight="false" outlineLevel="0" collapsed="false">
      <c r="B206" s="197"/>
      <c r="C206" s="197"/>
      <c r="D206" s="197"/>
      <c r="E206" s="197"/>
      <c r="F206" s="197"/>
      <c r="G206" s="197"/>
      <c r="H206" s="197"/>
      <c r="I206" s="197"/>
      <c r="J206" s="197"/>
      <c r="K206" s="197"/>
      <c r="L206" s="197"/>
      <c r="M206" s="197"/>
    </row>
    <row r="207" customFormat="false" ht="12" hidden="false" customHeight="false" outlineLevel="0" collapsed="false">
      <c r="B207" s="197"/>
      <c r="C207" s="197"/>
      <c r="D207" s="197"/>
      <c r="E207" s="197"/>
      <c r="F207" s="197"/>
      <c r="G207" s="197"/>
      <c r="H207" s="197"/>
      <c r="I207" s="197"/>
      <c r="J207" s="197"/>
      <c r="K207" s="197"/>
      <c r="L207" s="197"/>
      <c r="M207" s="197"/>
    </row>
    <row r="208" customFormat="false" ht="12" hidden="false" customHeight="false" outlineLevel="0" collapsed="false">
      <c r="B208" s="197"/>
      <c r="C208" s="197"/>
      <c r="D208" s="197"/>
      <c r="E208" s="197"/>
      <c r="F208" s="197"/>
      <c r="G208" s="197"/>
      <c r="H208" s="197"/>
      <c r="I208" s="197"/>
      <c r="J208" s="197"/>
      <c r="K208" s="197"/>
      <c r="L208" s="197"/>
      <c r="M208" s="197"/>
    </row>
    <row r="209" customFormat="false" ht="12" hidden="false" customHeight="false" outlineLevel="0" collapsed="false">
      <c r="B209" s="197"/>
      <c r="C209" s="197"/>
      <c r="D209" s="197"/>
      <c r="E209" s="197"/>
      <c r="F209" s="197"/>
      <c r="G209" s="197"/>
      <c r="H209" s="197"/>
      <c r="I209" s="197"/>
      <c r="J209" s="197"/>
      <c r="K209" s="197"/>
      <c r="L209" s="197"/>
      <c r="M209" s="197"/>
    </row>
    <row r="210" customFormat="false" ht="12" hidden="false" customHeight="false" outlineLevel="0" collapsed="false">
      <c r="B210" s="197"/>
      <c r="C210" s="197"/>
      <c r="D210" s="197"/>
      <c r="E210" s="197"/>
      <c r="F210" s="197"/>
      <c r="G210" s="197"/>
      <c r="H210" s="197"/>
      <c r="I210" s="197"/>
      <c r="J210" s="197"/>
      <c r="K210" s="197"/>
      <c r="L210" s="197"/>
      <c r="M210" s="197"/>
    </row>
    <row r="211" customFormat="false" ht="12" hidden="false" customHeight="false" outlineLevel="0" collapsed="false">
      <c r="B211" s="197"/>
      <c r="C211" s="197"/>
      <c r="D211" s="197"/>
      <c r="E211" s="197"/>
      <c r="F211" s="197"/>
      <c r="G211" s="197"/>
      <c r="H211" s="197"/>
      <c r="I211" s="197"/>
      <c r="J211" s="197"/>
      <c r="K211" s="197"/>
      <c r="L211" s="197"/>
      <c r="M211" s="197"/>
    </row>
    <row r="212" customFormat="false" ht="12" hidden="false" customHeight="false" outlineLevel="0" collapsed="false">
      <c r="B212" s="197"/>
      <c r="C212" s="197"/>
      <c r="D212" s="197"/>
      <c r="E212" s="197"/>
      <c r="F212" s="197"/>
      <c r="G212" s="197"/>
      <c r="H212" s="197"/>
      <c r="I212" s="197"/>
      <c r="J212" s="197"/>
      <c r="K212" s="197"/>
      <c r="L212" s="197"/>
      <c r="M212" s="197"/>
    </row>
    <row r="213" customFormat="false" ht="12" hidden="false" customHeight="false" outlineLevel="0" collapsed="false">
      <c r="B213" s="197"/>
      <c r="C213" s="197"/>
      <c r="D213" s="197"/>
      <c r="E213" s="197"/>
      <c r="F213" s="197"/>
      <c r="G213" s="197"/>
      <c r="H213" s="197"/>
      <c r="I213" s="197"/>
      <c r="J213" s="197"/>
      <c r="K213" s="197"/>
      <c r="L213" s="197"/>
      <c r="M213" s="197"/>
    </row>
    <row r="214" customFormat="false" ht="12" hidden="false" customHeight="false" outlineLevel="0" collapsed="false">
      <c r="B214" s="197"/>
      <c r="C214" s="197"/>
      <c r="D214" s="197"/>
      <c r="E214" s="197"/>
      <c r="F214" s="197"/>
      <c r="G214" s="197"/>
      <c r="H214" s="197"/>
      <c r="I214" s="197"/>
      <c r="J214" s="197"/>
      <c r="K214" s="197"/>
      <c r="L214" s="197"/>
      <c r="M214" s="197"/>
    </row>
    <row r="215" customFormat="false" ht="12" hidden="false" customHeight="false" outlineLevel="0" collapsed="false">
      <c r="B215" s="197"/>
      <c r="C215" s="197"/>
      <c r="D215" s="197"/>
      <c r="E215" s="197"/>
      <c r="F215" s="197"/>
      <c r="G215" s="197"/>
      <c r="H215" s="197"/>
      <c r="I215" s="197"/>
      <c r="J215" s="197"/>
      <c r="K215" s="197"/>
      <c r="L215" s="197"/>
      <c r="M215" s="197"/>
    </row>
    <row r="216" customFormat="false" ht="12" hidden="false" customHeight="false" outlineLevel="0" collapsed="false">
      <c r="B216" s="197"/>
      <c r="C216" s="197"/>
      <c r="D216" s="197"/>
      <c r="E216" s="197"/>
      <c r="F216" s="197"/>
      <c r="G216" s="197"/>
      <c r="H216" s="197"/>
      <c r="I216" s="197"/>
      <c r="J216" s="197"/>
      <c r="K216" s="197"/>
      <c r="L216" s="197"/>
      <c r="M216" s="197"/>
    </row>
    <row r="217" customFormat="false" ht="12" hidden="false" customHeight="false" outlineLevel="0" collapsed="false">
      <c r="B217" s="197"/>
      <c r="C217" s="197"/>
      <c r="D217" s="197"/>
      <c r="E217" s="197"/>
      <c r="F217" s="197"/>
      <c r="G217" s="197"/>
      <c r="H217" s="197"/>
      <c r="I217" s="197"/>
      <c r="J217" s="197"/>
      <c r="K217" s="197"/>
      <c r="L217" s="197"/>
      <c r="M217" s="197"/>
    </row>
    <row r="218" customFormat="false" ht="12" hidden="false" customHeight="false" outlineLevel="0" collapsed="false">
      <c r="B218" s="197"/>
      <c r="C218" s="197"/>
      <c r="D218" s="197"/>
      <c r="E218" s="197"/>
      <c r="F218" s="197"/>
      <c r="G218" s="197"/>
      <c r="H218" s="197"/>
      <c r="I218" s="197"/>
      <c r="J218" s="197"/>
      <c r="K218" s="197"/>
      <c r="L218" s="197"/>
      <c r="M218" s="197"/>
    </row>
    <row r="219" customFormat="false" ht="12" hidden="false" customHeight="false" outlineLevel="0" collapsed="false">
      <c r="B219" s="197"/>
      <c r="C219" s="197"/>
      <c r="D219" s="197"/>
      <c r="E219" s="197"/>
      <c r="F219" s="197"/>
      <c r="G219" s="197"/>
      <c r="H219" s="197"/>
      <c r="I219" s="197"/>
      <c r="J219" s="197"/>
      <c r="K219" s="197"/>
      <c r="L219" s="197"/>
      <c r="M219" s="197"/>
    </row>
    <row r="220" customFormat="false" ht="12" hidden="false" customHeight="false" outlineLevel="0" collapsed="false">
      <c r="B220" s="197"/>
      <c r="C220" s="197"/>
      <c r="D220" s="197"/>
      <c r="E220" s="197"/>
      <c r="F220" s="197"/>
      <c r="G220" s="197"/>
      <c r="H220" s="197"/>
      <c r="I220" s="197"/>
      <c r="J220" s="197"/>
      <c r="K220" s="197"/>
      <c r="L220" s="197"/>
      <c r="M220" s="197"/>
    </row>
    <row r="221" customFormat="false" ht="12" hidden="false" customHeight="false" outlineLevel="0" collapsed="false">
      <c r="B221" s="197"/>
      <c r="C221" s="197"/>
      <c r="D221" s="197"/>
      <c r="E221" s="197"/>
      <c r="F221" s="197"/>
      <c r="G221" s="197"/>
      <c r="H221" s="197"/>
      <c r="I221" s="197"/>
      <c r="J221" s="197"/>
      <c r="K221" s="197"/>
      <c r="L221" s="197"/>
      <c r="M221" s="197"/>
    </row>
    <row r="222" customFormat="false" ht="12" hidden="false" customHeight="false" outlineLevel="0" collapsed="false">
      <c r="B222" s="197"/>
      <c r="C222" s="197"/>
      <c r="D222" s="197"/>
      <c r="E222" s="197"/>
      <c r="F222" s="197"/>
      <c r="G222" s="197"/>
      <c r="H222" s="197"/>
      <c r="I222" s="197"/>
      <c r="J222" s="197"/>
      <c r="K222" s="197"/>
      <c r="L222" s="197"/>
      <c r="M222" s="197"/>
    </row>
    <row r="223" customFormat="false" ht="12" hidden="false" customHeight="false" outlineLevel="0" collapsed="false">
      <c r="B223" s="197"/>
      <c r="C223" s="197"/>
      <c r="D223" s="197"/>
      <c r="E223" s="197"/>
      <c r="F223" s="197"/>
      <c r="G223" s="197"/>
      <c r="H223" s="197"/>
      <c r="I223" s="197"/>
      <c r="J223" s="197"/>
      <c r="K223" s="197"/>
      <c r="L223" s="197"/>
      <c r="M223" s="197"/>
    </row>
    <row r="224" customFormat="false" ht="12" hidden="false" customHeight="false" outlineLevel="0" collapsed="false">
      <c r="B224" s="197"/>
      <c r="C224" s="197"/>
      <c r="D224" s="197"/>
      <c r="E224" s="197"/>
      <c r="F224" s="197"/>
      <c r="G224" s="197"/>
      <c r="H224" s="197"/>
      <c r="I224" s="197"/>
      <c r="J224" s="197"/>
      <c r="K224" s="197"/>
      <c r="L224" s="197"/>
      <c r="M224" s="197"/>
    </row>
    <row r="225" customFormat="false" ht="12" hidden="false" customHeight="false" outlineLevel="0" collapsed="false">
      <c r="B225" s="197"/>
      <c r="C225" s="197"/>
      <c r="D225" s="197"/>
      <c r="E225" s="197"/>
      <c r="F225" s="197"/>
      <c r="G225" s="197"/>
      <c r="H225" s="197"/>
      <c r="I225" s="197"/>
      <c r="J225" s="197"/>
      <c r="K225" s="197"/>
      <c r="L225" s="197"/>
      <c r="M225" s="197"/>
    </row>
    <row r="226" customFormat="false" ht="12" hidden="false" customHeight="false" outlineLevel="0" collapsed="false">
      <c r="B226" s="197"/>
      <c r="C226" s="197"/>
      <c r="D226" s="197"/>
      <c r="E226" s="197"/>
      <c r="F226" s="197"/>
      <c r="G226" s="197"/>
      <c r="H226" s="197"/>
      <c r="I226" s="197"/>
      <c r="J226" s="197"/>
      <c r="K226" s="197"/>
      <c r="L226" s="197"/>
      <c r="M226" s="197"/>
    </row>
    <row r="227" customFormat="false" ht="12" hidden="false" customHeight="false" outlineLevel="0" collapsed="false">
      <c r="B227" s="197"/>
      <c r="C227" s="197"/>
      <c r="D227" s="197"/>
      <c r="E227" s="197"/>
      <c r="F227" s="197"/>
      <c r="G227" s="197"/>
      <c r="H227" s="197"/>
      <c r="I227" s="197"/>
      <c r="J227" s="197"/>
      <c r="K227" s="197"/>
      <c r="L227" s="197"/>
      <c r="M227" s="197"/>
    </row>
    <row r="228" customFormat="false" ht="12" hidden="false" customHeight="false" outlineLevel="0" collapsed="false">
      <c r="B228" s="197"/>
      <c r="C228" s="197"/>
      <c r="D228" s="197"/>
      <c r="E228" s="197"/>
      <c r="F228" s="197"/>
      <c r="G228" s="197"/>
      <c r="H228" s="197"/>
      <c r="I228" s="197"/>
      <c r="J228" s="197"/>
      <c r="K228" s="197"/>
      <c r="L228" s="197"/>
      <c r="M228" s="197"/>
    </row>
    <row r="229" customFormat="false" ht="12" hidden="false" customHeight="false" outlineLevel="0" collapsed="false">
      <c r="B229" s="197"/>
      <c r="C229" s="197"/>
      <c r="D229" s="197"/>
      <c r="E229" s="197"/>
      <c r="F229" s="197"/>
      <c r="G229" s="197"/>
      <c r="H229" s="197"/>
      <c r="I229" s="197"/>
      <c r="J229" s="197"/>
      <c r="K229" s="197"/>
      <c r="L229" s="197"/>
      <c r="M229" s="197"/>
    </row>
    <row r="230" customFormat="false" ht="12" hidden="false" customHeight="false" outlineLevel="0" collapsed="false">
      <c r="B230" s="197"/>
      <c r="C230" s="197"/>
      <c r="D230" s="197"/>
      <c r="E230" s="197"/>
      <c r="F230" s="197"/>
      <c r="G230" s="197"/>
      <c r="H230" s="197"/>
      <c r="I230" s="197"/>
      <c r="J230" s="197"/>
      <c r="K230" s="197"/>
      <c r="L230" s="197"/>
      <c r="M230" s="197"/>
    </row>
    <row r="231" customFormat="false" ht="12" hidden="false" customHeight="false" outlineLevel="0" collapsed="false">
      <c r="B231" s="197"/>
      <c r="C231" s="197"/>
      <c r="D231" s="197"/>
      <c r="E231" s="197"/>
      <c r="F231" s="197"/>
      <c r="G231" s="197"/>
      <c r="H231" s="197"/>
      <c r="I231" s="197"/>
      <c r="J231" s="197"/>
      <c r="K231" s="197"/>
      <c r="L231" s="197"/>
      <c r="M231" s="197"/>
    </row>
    <row r="232" customFormat="false" ht="12" hidden="false" customHeight="false" outlineLevel="0" collapsed="false">
      <c r="B232" s="197"/>
      <c r="C232" s="197"/>
      <c r="D232" s="197"/>
      <c r="E232" s="197"/>
      <c r="F232" s="197"/>
      <c r="G232" s="197"/>
      <c r="H232" s="197"/>
      <c r="I232" s="197"/>
      <c r="J232" s="197"/>
      <c r="K232" s="197"/>
      <c r="L232" s="197"/>
      <c r="M232" s="197"/>
    </row>
    <row r="233" customFormat="false" ht="12" hidden="false" customHeight="false" outlineLevel="0" collapsed="false">
      <c r="B233" s="197"/>
      <c r="C233" s="197"/>
      <c r="D233" s="197"/>
      <c r="E233" s="197"/>
      <c r="F233" s="197"/>
      <c r="G233" s="197"/>
      <c r="H233" s="197"/>
      <c r="I233" s="197"/>
      <c r="J233" s="197"/>
      <c r="K233" s="197"/>
      <c r="L233" s="197"/>
      <c r="M233" s="197"/>
    </row>
    <row r="234" customFormat="false" ht="12" hidden="false" customHeight="false" outlineLevel="0" collapsed="false">
      <c r="B234" s="197"/>
      <c r="C234" s="197"/>
      <c r="D234" s="197"/>
      <c r="E234" s="197"/>
      <c r="F234" s="197"/>
      <c r="G234" s="197"/>
      <c r="H234" s="197"/>
      <c r="I234" s="197"/>
      <c r="J234" s="197"/>
      <c r="K234" s="197"/>
      <c r="L234" s="197"/>
      <c r="M234" s="197"/>
    </row>
    <row r="235" customFormat="false" ht="12" hidden="false" customHeight="false" outlineLevel="0" collapsed="false">
      <c r="B235" s="197"/>
      <c r="C235" s="197"/>
      <c r="D235" s="197"/>
      <c r="E235" s="197"/>
      <c r="F235" s="197"/>
      <c r="G235" s="197"/>
      <c r="H235" s="197"/>
      <c r="I235" s="197"/>
      <c r="J235" s="197"/>
      <c r="K235" s="197"/>
      <c r="L235" s="197"/>
      <c r="M235" s="197"/>
    </row>
    <row r="236" customFormat="false" ht="12" hidden="false" customHeight="false" outlineLevel="0" collapsed="false">
      <c r="B236" s="197"/>
      <c r="C236" s="197"/>
      <c r="D236" s="197"/>
      <c r="E236" s="197"/>
      <c r="F236" s="197"/>
      <c r="G236" s="197"/>
      <c r="H236" s="197"/>
      <c r="I236" s="197"/>
      <c r="J236" s="197"/>
      <c r="K236" s="197"/>
      <c r="L236" s="197"/>
      <c r="M236" s="197"/>
    </row>
    <row r="237" customFormat="false" ht="12" hidden="false" customHeight="false" outlineLevel="0" collapsed="false">
      <c r="B237" s="197"/>
      <c r="C237" s="197"/>
      <c r="D237" s="197"/>
      <c r="E237" s="197"/>
      <c r="F237" s="197"/>
      <c r="G237" s="197"/>
      <c r="H237" s="197"/>
      <c r="I237" s="197"/>
      <c r="J237" s="197"/>
      <c r="K237" s="197"/>
      <c r="L237" s="197"/>
      <c r="M237" s="197"/>
    </row>
    <row r="238" customFormat="false" ht="12" hidden="false" customHeight="false" outlineLevel="0" collapsed="false">
      <c r="B238" s="197"/>
      <c r="C238" s="197"/>
      <c r="D238" s="197"/>
      <c r="E238" s="197"/>
      <c r="F238" s="197"/>
      <c r="G238" s="197"/>
      <c r="H238" s="197"/>
      <c r="I238" s="197"/>
      <c r="J238" s="197"/>
      <c r="K238" s="197"/>
      <c r="L238" s="197"/>
      <c r="M238" s="197"/>
    </row>
    <row r="239" customFormat="false" ht="12" hidden="false" customHeight="false" outlineLevel="0" collapsed="false">
      <c r="B239" s="197"/>
      <c r="C239" s="197"/>
      <c r="D239" s="197"/>
      <c r="E239" s="197"/>
      <c r="F239" s="197"/>
      <c r="G239" s="197"/>
      <c r="H239" s="197"/>
      <c r="I239" s="197"/>
      <c r="J239" s="197"/>
      <c r="K239" s="197"/>
      <c r="L239" s="197"/>
      <c r="M239" s="197"/>
    </row>
    <row r="240" customFormat="false" ht="12" hidden="false" customHeight="false" outlineLevel="0" collapsed="false">
      <c r="B240" s="197"/>
      <c r="C240" s="197"/>
      <c r="D240" s="197"/>
      <c r="E240" s="197"/>
      <c r="F240" s="197"/>
      <c r="G240" s="197"/>
      <c r="H240" s="197"/>
      <c r="I240" s="197"/>
      <c r="J240" s="197"/>
      <c r="K240" s="197"/>
      <c r="L240" s="197"/>
      <c r="M240" s="197"/>
    </row>
    <row r="241" customFormat="false" ht="12" hidden="false" customHeight="false" outlineLevel="0" collapsed="false">
      <c r="B241" s="197"/>
      <c r="C241" s="197"/>
      <c r="D241" s="197"/>
      <c r="E241" s="197"/>
      <c r="F241" s="197"/>
      <c r="G241" s="197"/>
      <c r="H241" s="197"/>
      <c r="I241" s="197"/>
      <c r="J241" s="197"/>
      <c r="K241" s="197"/>
      <c r="L241" s="197"/>
      <c r="M241" s="197"/>
    </row>
    <row r="242" customFormat="false" ht="12" hidden="false" customHeight="false" outlineLevel="0" collapsed="false">
      <c r="B242" s="197"/>
      <c r="C242" s="197"/>
      <c r="D242" s="197"/>
      <c r="E242" s="197"/>
      <c r="F242" s="197"/>
      <c r="G242" s="197"/>
      <c r="H242" s="197"/>
      <c r="I242" s="197"/>
      <c r="J242" s="197"/>
      <c r="K242" s="197"/>
      <c r="L242" s="197"/>
      <c r="M242" s="197"/>
    </row>
    <row r="243" customFormat="false" ht="12" hidden="false" customHeight="false" outlineLevel="0" collapsed="false">
      <c r="B243" s="197"/>
      <c r="C243" s="197"/>
      <c r="D243" s="197"/>
      <c r="E243" s="197"/>
      <c r="F243" s="197"/>
      <c r="G243" s="197"/>
      <c r="H243" s="197"/>
      <c r="I243" s="197"/>
      <c r="J243" s="197"/>
      <c r="K243" s="197"/>
      <c r="L243" s="197"/>
      <c r="M243" s="197"/>
    </row>
    <row r="244" customFormat="false" ht="12" hidden="false" customHeight="false" outlineLevel="0" collapsed="false">
      <c r="B244" s="197"/>
      <c r="C244" s="197"/>
      <c r="D244" s="197"/>
      <c r="E244" s="197"/>
      <c r="F244" s="197"/>
      <c r="G244" s="197"/>
      <c r="H244" s="197"/>
      <c r="I244" s="197"/>
      <c r="J244" s="197"/>
      <c r="K244" s="197"/>
      <c r="L244" s="197"/>
      <c r="M244" s="197"/>
    </row>
    <row r="245" customFormat="false" ht="12" hidden="false" customHeight="false" outlineLevel="0" collapsed="false">
      <c r="B245" s="197"/>
      <c r="C245" s="197"/>
      <c r="D245" s="197"/>
      <c r="E245" s="197"/>
      <c r="F245" s="197"/>
      <c r="G245" s="197"/>
      <c r="H245" s="197"/>
      <c r="I245" s="197"/>
      <c r="J245" s="197"/>
      <c r="K245" s="197"/>
      <c r="L245" s="197"/>
      <c r="M245" s="197"/>
    </row>
    <row r="246" customFormat="false" ht="12" hidden="false" customHeight="false" outlineLevel="0" collapsed="false">
      <c r="B246" s="197"/>
      <c r="C246" s="197"/>
      <c r="D246" s="197"/>
      <c r="E246" s="197"/>
      <c r="F246" s="197"/>
      <c r="G246" s="197"/>
      <c r="H246" s="197"/>
      <c r="I246" s="197"/>
      <c r="J246" s="197"/>
      <c r="K246" s="197"/>
      <c r="L246" s="197"/>
      <c r="M246" s="197"/>
    </row>
    <row r="247" customFormat="false" ht="12" hidden="false" customHeight="false" outlineLevel="0" collapsed="false">
      <c r="B247" s="197"/>
      <c r="C247" s="197"/>
      <c r="D247" s="197"/>
      <c r="E247" s="197"/>
      <c r="F247" s="197"/>
      <c r="G247" s="197"/>
      <c r="H247" s="197"/>
      <c r="I247" s="197"/>
      <c r="J247" s="197"/>
      <c r="K247" s="197"/>
      <c r="L247" s="197"/>
      <c r="M247" s="197"/>
    </row>
    <row r="248" customFormat="false" ht="12" hidden="false" customHeight="false" outlineLevel="0" collapsed="false">
      <c r="B248" s="197"/>
      <c r="C248" s="197"/>
      <c r="D248" s="197"/>
      <c r="E248" s="197"/>
      <c r="F248" s="197"/>
      <c r="G248" s="197"/>
      <c r="H248" s="197"/>
      <c r="I248" s="197"/>
      <c r="J248" s="197"/>
      <c r="K248" s="197"/>
      <c r="L248" s="197"/>
      <c r="M248" s="197"/>
    </row>
    <row r="249" customFormat="false" ht="12" hidden="false" customHeight="false" outlineLevel="0" collapsed="false">
      <c r="B249" s="197"/>
      <c r="C249" s="197"/>
      <c r="D249" s="197"/>
      <c r="E249" s="197"/>
      <c r="F249" s="197"/>
      <c r="G249" s="197"/>
      <c r="H249" s="197"/>
      <c r="I249" s="197"/>
      <c r="J249" s="197"/>
      <c r="K249" s="197"/>
      <c r="L249" s="197"/>
      <c r="M249" s="197"/>
    </row>
    <row r="250" customFormat="false" ht="12" hidden="false" customHeight="false" outlineLevel="0" collapsed="false">
      <c r="B250" s="197"/>
      <c r="C250" s="197"/>
      <c r="D250" s="197"/>
      <c r="E250" s="197"/>
      <c r="F250" s="197"/>
      <c r="G250" s="197"/>
      <c r="H250" s="197"/>
      <c r="I250" s="197"/>
      <c r="J250" s="197"/>
      <c r="K250" s="197"/>
      <c r="L250" s="197"/>
      <c r="M250" s="197"/>
    </row>
    <row r="251" customFormat="false" ht="12" hidden="false" customHeight="false" outlineLevel="0" collapsed="false">
      <c r="B251" s="197"/>
      <c r="C251" s="197"/>
      <c r="D251" s="197"/>
      <c r="E251" s="197"/>
      <c r="F251" s="197"/>
      <c r="G251" s="197"/>
      <c r="H251" s="197"/>
      <c r="I251" s="197"/>
      <c r="J251" s="197"/>
      <c r="K251" s="197"/>
      <c r="L251" s="197"/>
      <c r="M251" s="197"/>
    </row>
    <row r="252" customFormat="false" ht="12" hidden="false" customHeight="false" outlineLevel="0" collapsed="false">
      <c r="B252" s="197"/>
      <c r="C252" s="197"/>
      <c r="D252" s="197"/>
      <c r="E252" s="197"/>
      <c r="F252" s="197"/>
      <c r="G252" s="197"/>
      <c r="H252" s="197"/>
      <c r="I252" s="197"/>
      <c r="J252" s="197"/>
      <c r="K252" s="197"/>
      <c r="L252" s="197"/>
      <c r="M252" s="197"/>
    </row>
    <row r="253" customFormat="false" ht="12" hidden="false" customHeight="false" outlineLevel="0" collapsed="false">
      <c r="B253" s="197"/>
      <c r="C253" s="197"/>
      <c r="D253" s="197"/>
      <c r="E253" s="197"/>
      <c r="F253" s="197"/>
      <c r="G253" s="197"/>
      <c r="H253" s="197"/>
      <c r="I253" s="197"/>
      <c r="J253" s="197"/>
      <c r="K253" s="197"/>
      <c r="L253" s="197"/>
      <c r="M253" s="197"/>
    </row>
    <row r="254" customFormat="false" ht="12" hidden="false" customHeight="false" outlineLevel="0" collapsed="false">
      <c r="B254" s="197"/>
      <c r="C254" s="197"/>
      <c r="D254" s="197"/>
      <c r="E254" s="197"/>
      <c r="F254" s="197"/>
      <c r="G254" s="197"/>
      <c r="H254" s="197"/>
      <c r="I254" s="197"/>
      <c r="J254" s="197"/>
      <c r="K254" s="197"/>
      <c r="L254" s="197"/>
      <c r="M254" s="197"/>
    </row>
    <row r="255" customFormat="false" ht="12" hidden="false" customHeight="false" outlineLevel="0" collapsed="false">
      <c r="B255" s="197"/>
      <c r="C255" s="197"/>
      <c r="D255" s="197"/>
      <c r="E255" s="197"/>
      <c r="F255" s="197"/>
      <c r="G255" s="197"/>
      <c r="H255" s="197"/>
      <c r="I255" s="197"/>
      <c r="J255" s="197"/>
      <c r="K255" s="197"/>
      <c r="L255" s="197"/>
      <c r="M255" s="197"/>
    </row>
    <row r="256" customFormat="false" ht="12" hidden="false" customHeight="false" outlineLevel="0" collapsed="false">
      <c r="B256" s="197"/>
      <c r="C256" s="197"/>
      <c r="D256" s="197"/>
      <c r="E256" s="197"/>
      <c r="F256" s="197"/>
      <c r="G256" s="197"/>
      <c r="H256" s="197"/>
      <c r="I256" s="197"/>
      <c r="J256" s="197"/>
      <c r="K256" s="197"/>
      <c r="L256" s="197"/>
      <c r="M256" s="197"/>
    </row>
    <row r="257" customFormat="false" ht="12" hidden="false" customHeight="false" outlineLevel="0" collapsed="false">
      <c r="B257" s="197"/>
      <c r="C257" s="197"/>
      <c r="D257" s="197"/>
      <c r="E257" s="197"/>
      <c r="F257" s="197"/>
      <c r="G257" s="197"/>
      <c r="H257" s="197"/>
      <c r="I257" s="197"/>
      <c r="J257" s="197"/>
      <c r="K257" s="197"/>
      <c r="L257" s="197"/>
      <c r="M257" s="197"/>
    </row>
    <row r="258" customFormat="false" ht="12" hidden="false" customHeight="false" outlineLevel="0" collapsed="false">
      <c r="B258" s="197"/>
      <c r="C258" s="197"/>
      <c r="D258" s="197"/>
      <c r="E258" s="197"/>
      <c r="F258" s="197"/>
      <c r="G258" s="197"/>
      <c r="H258" s="197"/>
      <c r="I258" s="197"/>
      <c r="J258" s="197"/>
      <c r="K258" s="197"/>
      <c r="L258" s="197"/>
      <c r="M258" s="197"/>
    </row>
    <row r="259" customFormat="false" ht="12" hidden="false" customHeight="false" outlineLevel="0" collapsed="false">
      <c r="B259" s="197"/>
      <c r="C259" s="197"/>
      <c r="D259" s="197"/>
      <c r="E259" s="197"/>
      <c r="F259" s="197"/>
      <c r="G259" s="197"/>
      <c r="H259" s="197"/>
      <c r="I259" s="197"/>
      <c r="J259" s="197"/>
      <c r="K259" s="197"/>
      <c r="L259" s="197"/>
      <c r="M259" s="197"/>
    </row>
    <row r="260" customFormat="false" ht="12" hidden="false" customHeight="false" outlineLevel="0" collapsed="false">
      <c r="B260" s="197"/>
      <c r="C260" s="197"/>
      <c r="D260" s="197"/>
      <c r="E260" s="197"/>
      <c r="F260" s="197"/>
      <c r="G260" s="197"/>
      <c r="H260" s="197"/>
      <c r="I260" s="197"/>
      <c r="J260" s="197"/>
      <c r="K260" s="197"/>
      <c r="L260" s="197"/>
      <c r="M260" s="197"/>
    </row>
    <row r="261" customFormat="false" ht="12" hidden="false" customHeight="false" outlineLevel="0" collapsed="false">
      <c r="B261" s="197"/>
      <c r="C261" s="197"/>
      <c r="D261" s="197"/>
      <c r="E261" s="197"/>
      <c r="F261" s="197"/>
      <c r="G261" s="197"/>
      <c r="H261" s="197"/>
      <c r="I261" s="197"/>
      <c r="J261" s="197"/>
      <c r="K261" s="197"/>
      <c r="L261" s="197"/>
      <c r="M261" s="197"/>
    </row>
    <row r="262" customFormat="false" ht="12" hidden="false" customHeight="false" outlineLevel="0" collapsed="false">
      <c r="B262" s="197"/>
      <c r="C262" s="197"/>
      <c r="D262" s="197"/>
      <c r="E262" s="197"/>
      <c r="F262" s="197"/>
      <c r="G262" s="197"/>
      <c r="H262" s="197"/>
      <c r="I262" s="197"/>
      <c r="J262" s="197"/>
      <c r="K262" s="197"/>
      <c r="L262" s="197"/>
      <c r="M262" s="197"/>
    </row>
    <row r="263" customFormat="false" ht="12" hidden="false" customHeight="false" outlineLevel="0" collapsed="false">
      <c r="B263" s="197"/>
      <c r="C263" s="197"/>
      <c r="D263" s="197"/>
      <c r="E263" s="197"/>
      <c r="F263" s="197"/>
      <c r="G263" s="197"/>
      <c r="H263" s="197"/>
      <c r="I263" s="197"/>
      <c r="J263" s="197"/>
      <c r="K263" s="197"/>
      <c r="L263" s="197"/>
      <c r="M263" s="197"/>
    </row>
    <row r="264" customFormat="false" ht="12" hidden="false" customHeight="false" outlineLevel="0" collapsed="false">
      <c r="B264" s="197"/>
      <c r="C264" s="197"/>
      <c r="D264" s="197"/>
      <c r="E264" s="197"/>
      <c r="F264" s="197"/>
      <c r="G264" s="197"/>
      <c r="H264" s="197"/>
      <c r="I264" s="197"/>
      <c r="J264" s="197"/>
      <c r="K264" s="197"/>
      <c r="L264" s="197"/>
      <c r="M264" s="197"/>
    </row>
    <row r="265" customFormat="false" ht="12" hidden="false" customHeight="false" outlineLevel="0" collapsed="false">
      <c r="B265" s="197"/>
      <c r="C265" s="197"/>
      <c r="D265" s="197"/>
      <c r="E265" s="197"/>
      <c r="F265" s="197"/>
      <c r="G265" s="197"/>
      <c r="H265" s="197"/>
      <c r="I265" s="197"/>
      <c r="J265" s="197"/>
      <c r="K265" s="197"/>
      <c r="L265" s="197"/>
      <c r="M265" s="197"/>
    </row>
    <row r="266" customFormat="false" ht="12" hidden="false" customHeight="false" outlineLevel="0" collapsed="false">
      <c r="B266" s="197"/>
      <c r="C266" s="197"/>
      <c r="D266" s="197"/>
      <c r="E266" s="197"/>
      <c r="F266" s="197"/>
      <c r="G266" s="197"/>
      <c r="H266" s="197"/>
      <c r="I266" s="197"/>
      <c r="J266" s="197"/>
      <c r="K266" s="197"/>
      <c r="L266" s="197"/>
      <c r="M266" s="197"/>
    </row>
    <row r="267" customFormat="false" ht="12" hidden="false" customHeight="false" outlineLevel="0" collapsed="false">
      <c r="B267" s="197"/>
      <c r="C267" s="197"/>
      <c r="D267" s="197"/>
      <c r="E267" s="197"/>
      <c r="F267" s="197"/>
      <c r="G267" s="197"/>
      <c r="H267" s="197"/>
      <c r="I267" s="197"/>
      <c r="J267" s="197"/>
      <c r="K267" s="197"/>
      <c r="L267" s="197"/>
      <c r="M267" s="197"/>
    </row>
    <row r="268" customFormat="false" ht="12" hidden="false" customHeight="false" outlineLevel="0" collapsed="false">
      <c r="B268" s="197"/>
      <c r="C268" s="197"/>
      <c r="D268" s="197"/>
      <c r="E268" s="197"/>
      <c r="F268" s="197"/>
      <c r="G268" s="197"/>
      <c r="H268" s="197"/>
      <c r="I268" s="197"/>
      <c r="J268" s="197"/>
      <c r="K268" s="197"/>
      <c r="L268" s="197"/>
      <c r="M268" s="197"/>
    </row>
    <row r="269" customFormat="false" ht="12" hidden="false" customHeight="false" outlineLevel="0" collapsed="false">
      <c r="B269" s="197"/>
      <c r="C269" s="197"/>
      <c r="D269" s="197"/>
      <c r="E269" s="197"/>
      <c r="F269" s="197"/>
      <c r="G269" s="197"/>
      <c r="H269" s="197"/>
      <c r="I269" s="197"/>
      <c r="J269" s="197"/>
      <c r="K269" s="197"/>
      <c r="L269" s="197"/>
      <c r="M269" s="197"/>
    </row>
    <row r="270" customFormat="false" ht="12" hidden="false" customHeight="false" outlineLevel="0" collapsed="false">
      <c r="B270" s="197"/>
      <c r="C270" s="197"/>
      <c r="D270" s="197"/>
      <c r="E270" s="197"/>
      <c r="F270" s="197"/>
      <c r="G270" s="197"/>
      <c r="H270" s="197"/>
      <c r="I270" s="197"/>
      <c r="J270" s="197"/>
      <c r="K270" s="197"/>
      <c r="L270" s="197"/>
      <c r="M270" s="197"/>
    </row>
    <row r="271" customFormat="false" ht="12" hidden="false" customHeight="false" outlineLevel="0" collapsed="false">
      <c r="B271" s="197"/>
      <c r="C271" s="197"/>
      <c r="D271" s="197"/>
      <c r="E271" s="197"/>
      <c r="F271" s="197"/>
      <c r="G271" s="197"/>
      <c r="H271" s="197"/>
      <c r="I271" s="197"/>
      <c r="J271" s="197"/>
      <c r="K271" s="197"/>
      <c r="L271" s="197"/>
      <c r="M271" s="197"/>
    </row>
    <row r="272" customFormat="false" ht="12" hidden="false" customHeight="false" outlineLevel="0" collapsed="false">
      <c r="B272" s="197"/>
      <c r="C272" s="197"/>
      <c r="D272" s="197"/>
      <c r="E272" s="197"/>
      <c r="F272" s="197"/>
      <c r="G272" s="197"/>
      <c r="H272" s="197"/>
      <c r="I272" s="197"/>
      <c r="J272" s="197"/>
      <c r="K272" s="197"/>
      <c r="L272" s="197"/>
      <c r="M272" s="197"/>
    </row>
    <row r="273" customFormat="false" ht="12" hidden="false" customHeight="false" outlineLevel="0" collapsed="false">
      <c r="B273" s="197"/>
      <c r="C273" s="197"/>
      <c r="D273" s="197"/>
      <c r="E273" s="197"/>
      <c r="F273" s="197"/>
      <c r="G273" s="197"/>
      <c r="H273" s="197"/>
      <c r="I273" s="197"/>
      <c r="J273" s="197"/>
      <c r="K273" s="197"/>
      <c r="L273" s="197"/>
      <c r="M273" s="197"/>
    </row>
    <row r="274" customFormat="false" ht="12" hidden="false" customHeight="false" outlineLevel="0" collapsed="false">
      <c r="B274" s="197"/>
      <c r="C274" s="197"/>
      <c r="D274" s="197"/>
      <c r="E274" s="197"/>
      <c r="F274" s="197"/>
      <c r="G274" s="197"/>
      <c r="H274" s="197"/>
      <c r="I274" s="197"/>
      <c r="J274" s="197"/>
      <c r="K274" s="197"/>
      <c r="L274" s="197"/>
      <c r="M274" s="197"/>
    </row>
    <row r="275" customFormat="false" ht="12" hidden="false" customHeight="false" outlineLevel="0" collapsed="false">
      <c r="B275" s="197"/>
      <c r="C275" s="197"/>
      <c r="D275" s="197"/>
      <c r="E275" s="197"/>
      <c r="F275" s="197"/>
      <c r="G275" s="197"/>
      <c r="H275" s="197"/>
      <c r="I275" s="197"/>
      <c r="J275" s="197"/>
      <c r="K275" s="197"/>
      <c r="L275" s="197"/>
      <c r="M275" s="197"/>
    </row>
    <row r="276" customFormat="false" ht="12" hidden="false" customHeight="false" outlineLevel="0" collapsed="false">
      <c r="B276" s="197"/>
      <c r="C276" s="197"/>
      <c r="D276" s="197"/>
      <c r="E276" s="197"/>
      <c r="F276" s="197"/>
      <c r="G276" s="197"/>
      <c r="H276" s="197"/>
      <c r="I276" s="197"/>
      <c r="J276" s="197"/>
      <c r="K276" s="197"/>
      <c r="L276" s="197"/>
      <c r="M276" s="197"/>
    </row>
    <row r="277" customFormat="false" ht="12" hidden="false" customHeight="false" outlineLevel="0" collapsed="false">
      <c r="B277" s="197"/>
      <c r="C277" s="197"/>
      <c r="D277" s="197"/>
      <c r="E277" s="197"/>
      <c r="F277" s="197"/>
      <c r="G277" s="197"/>
      <c r="H277" s="197"/>
      <c r="I277" s="197"/>
      <c r="J277" s="197"/>
      <c r="K277" s="197"/>
      <c r="L277" s="197"/>
      <c r="M277" s="197"/>
    </row>
    <row r="278" customFormat="false" ht="12" hidden="false" customHeight="false" outlineLevel="0" collapsed="false">
      <c r="B278" s="197"/>
      <c r="C278" s="197"/>
      <c r="D278" s="197"/>
      <c r="E278" s="197"/>
      <c r="F278" s="197"/>
      <c r="G278" s="197"/>
      <c r="H278" s="197"/>
      <c r="I278" s="197"/>
      <c r="J278" s="197"/>
      <c r="K278" s="197"/>
      <c r="L278" s="197"/>
      <c r="M278" s="197"/>
    </row>
    <row r="279" customFormat="false" ht="12" hidden="false" customHeight="false" outlineLevel="0" collapsed="false">
      <c r="B279" s="197"/>
      <c r="C279" s="197"/>
      <c r="D279" s="197"/>
      <c r="E279" s="197"/>
      <c r="F279" s="197"/>
      <c r="G279" s="197"/>
      <c r="H279" s="197"/>
      <c r="I279" s="197"/>
      <c r="J279" s="197"/>
      <c r="K279" s="197"/>
      <c r="L279" s="197"/>
      <c r="M279" s="197"/>
    </row>
    <row r="280" customFormat="false" ht="12" hidden="false" customHeight="false" outlineLevel="0" collapsed="false">
      <c r="B280" s="197"/>
      <c r="C280" s="197"/>
      <c r="D280" s="197"/>
      <c r="E280" s="197"/>
      <c r="F280" s="197"/>
      <c r="G280" s="197"/>
      <c r="H280" s="197"/>
      <c r="I280" s="197"/>
      <c r="J280" s="197"/>
      <c r="K280" s="197"/>
      <c r="L280" s="197"/>
      <c r="M280" s="197"/>
    </row>
    <row r="281" customFormat="false" ht="12" hidden="false" customHeight="false" outlineLevel="0" collapsed="false">
      <c r="B281" s="197"/>
      <c r="C281" s="197"/>
      <c r="D281" s="197"/>
      <c r="E281" s="197"/>
      <c r="F281" s="197"/>
      <c r="G281" s="197"/>
      <c r="H281" s="197"/>
      <c r="I281" s="197"/>
      <c r="J281" s="197"/>
      <c r="K281" s="197"/>
      <c r="L281" s="197"/>
      <c r="M281" s="197"/>
    </row>
    <row r="282" customFormat="false" ht="12" hidden="false" customHeight="false" outlineLevel="0" collapsed="false">
      <c r="B282" s="197"/>
      <c r="C282" s="197"/>
      <c r="D282" s="197"/>
      <c r="E282" s="197"/>
      <c r="F282" s="197"/>
      <c r="G282" s="197"/>
      <c r="H282" s="197"/>
      <c r="I282" s="197"/>
      <c r="J282" s="197"/>
      <c r="K282" s="197"/>
      <c r="L282" s="197"/>
      <c r="M282" s="197"/>
    </row>
    <row r="283" customFormat="false" ht="12" hidden="false" customHeight="false" outlineLevel="0" collapsed="false">
      <c r="B283" s="197"/>
      <c r="C283" s="197"/>
      <c r="D283" s="197"/>
      <c r="E283" s="197"/>
      <c r="F283" s="197"/>
      <c r="G283" s="197"/>
      <c r="H283" s="197"/>
      <c r="I283" s="197"/>
      <c r="J283" s="197"/>
      <c r="K283" s="197"/>
      <c r="L283" s="197"/>
      <c r="M283" s="197"/>
    </row>
    <row r="284" customFormat="false" ht="12" hidden="false" customHeight="false" outlineLevel="0" collapsed="false">
      <c r="B284" s="197"/>
      <c r="C284" s="197"/>
      <c r="D284" s="197"/>
      <c r="E284" s="197"/>
      <c r="F284" s="197"/>
      <c r="G284" s="197"/>
      <c r="H284" s="197"/>
      <c r="I284" s="197"/>
      <c r="J284" s="197"/>
      <c r="K284" s="197"/>
      <c r="L284" s="197"/>
      <c r="M284" s="197"/>
    </row>
    <row r="285" customFormat="false" ht="12" hidden="false" customHeight="false" outlineLevel="0" collapsed="false">
      <c r="B285" s="197"/>
      <c r="C285" s="197"/>
      <c r="D285" s="197"/>
      <c r="E285" s="197"/>
      <c r="F285" s="197"/>
      <c r="G285" s="197"/>
      <c r="H285" s="197"/>
      <c r="I285" s="197"/>
      <c r="J285" s="197"/>
      <c r="K285" s="197"/>
      <c r="L285" s="197"/>
      <c r="M285" s="197"/>
    </row>
    <row r="286" customFormat="false" ht="12" hidden="false" customHeight="false" outlineLevel="0" collapsed="false">
      <c r="B286" s="197"/>
      <c r="C286" s="197"/>
      <c r="D286" s="197"/>
      <c r="E286" s="197"/>
      <c r="F286" s="197"/>
      <c r="G286" s="197"/>
      <c r="H286" s="197"/>
      <c r="I286" s="197"/>
      <c r="J286" s="197"/>
      <c r="K286" s="197"/>
      <c r="L286" s="197"/>
      <c r="M286" s="197"/>
    </row>
    <row r="287" customFormat="false" ht="12" hidden="false" customHeight="false" outlineLevel="0" collapsed="false">
      <c r="B287" s="197"/>
      <c r="C287" s="197"/>
      <c r="D287" s="197"/>
      <c r="E287" s="197"/>
      <c r="F287" s="197"/>
      <c r="G287" s="197"/>
      <c r="H287" s="197"/>
      <c r="I287" s="197"/>
      <c r="J287" s="197"/>
      <c r="K287" s="197"/>
      <c r="L287" s="197"/>
      <c r="M287" s="197"/>
    </row>
    <row r="288" customFormat="false" ht="12" hidden="false" customHeight="false" outlineLevel="0" collapsed="false">
      <c r="B288" s="197"/>
      <c r="C288" s="197"/>
      <c r="D288" s="197"/>
      <c r="E288" s="197"/>
      <c r="F288" s="197"/>
      <c r="G288" s="197"/>
      <c r="H288" s="197"/>
      <c r="I288" s="197"/>
      <c r="J288" s="197"/>
      <c r="K288" s="197"/>
      <c r="L288" s="197"/>
      <c r="M288" s="197"/>
    </row>
    <row r="289" customFormat="false" ht="12" hidden="false" customHeight="false" outlineLevel="0" collapsed="false">
      <c r="B289" s="197"/>
      <c r="C289" s="197"/>
      <c r="D289" s="197"/>
      <c r="E289" s="197"/>
      <c r="F289" s="197"/>
      <c r="G289" s="197"/>
      <c r="H289" s="197"/>
      <c r="I289" s="197"/>
      <c r="J289" s="197"/>
      <c r="K289" s="197"/>
      <c r="L289" s="197"/>
      <c r="M289" s="197"/>
    </row>
    <row r="290" customFormat="false" ht="12" hidden="false" customHeight="false" outlineLevel="0" collapsed="false">
      <c r="B290" s="197"/>
      <c r="C290" s="197"/>
      <c r="D290" s="197"/>
      <c r="E290" s="197"/>
      <c r="F290" s="197"/>
      <c r="G290" s="197"/>
      <c r="H290" s="197"/>
      <c r="I290" s="197"/>
      <c r="J290" s="197"/>
      <c r="K290" s="197"/>
      <c r="L290" s="197"/>
      <c r="M290" s="197"/>
    </row>
    <row r="291" customFormat="false" ht="12" hidden="false" customHeight="false" outlineLevel="0" collapsed="false">
      <c r="B291" s="197"/>
      <c r="C291" s="197"/>
      <c r="D291" s="197"/>
      <c r="E291" s="197"/>
      <c r="F291" s="197"/>
      <c r="G291" s="197"/>
      <c r="H291" s="197"/>
      <c r="I291" s="197"/>
      <c r="J291" s="197"/>
      <c r="K291" s="197"/>
      <c r="L291" s="197"/>
      <c r="M291" s="197"/>
    </row>
    <row r="292" customFormat="false" ht="12" hidden="false" customHeight="false" outlineLevel="0" collapsed="false">
      <c r="B292" s="197"/>
      <c r="C292" s="197"/>
      <c r="D292" s="197"/>
      <c r="E292" s="197"/>
      <c r="F292" s="197"/>
      <c r="G292" s="197"/>
      <c r="H292" s="197"/>
      <c r="I292" s="197"/>
      <c r="J292" s="197"/>
      <c r="K292" s="197"/>
      <c r="L292" s="197"/>
      <c r="M292" s="197"/>
    </row>
    <row r="293" customFormat="false" ht="12" hidden="false" customHeight="false" outlineLevel="0" collapsed="false">
      <c r="B293" s="197"/>
      <c r="C293" s="197"/>
      <c r="D293" s="197"/>
      <c r="E293" s="197"/>
      <c r="F293" s="197"/>
      <c r="G293" s="197"/>
      <c r="H293" s="197"/>
      <c r="I293" s="197"/>
      <c r="J293" s="197"/>
      <c r="K293" s="197"/>
      <c r="L293" s="197"/>
      <c r="M293" s="197"/>
    </row>
    <row r="294" customFormat="false" ht="12" hidden="false" customHeight="false" outlineLevel="0" collapsed="false">
      <c r="B294" s="197"/>
      <c r="C294" s="197"/>
      <c r="D294" s="197"/>
      <c r="E294" s="197"/>
      <c r="F294" s="197"/>
      <c r="G294" s="197"/>
      <c r="H294" s="197"/>
      <c r="I294" s="197"/>
      <c r="J294" s="197"/>
      <c r="K294" s="197"/>
      <c r="L294" s="197"/>
      <c r="M294" s="197"/>
    </row>
    <row r="295" customFormat="false" ht="12" hidden="false" customHeight="false" outlineLevel="0" collapsed="false">
      <c r="B295" s="197"/>
      <c r="C295" s="197"/>
      <c r="D295" s="197"/>
      <c r="E295" s="197"/>
      <c r="F295" s="197"/>
      <c r="G295" s="197"/>
      <c r="H295" s="197"/>
      <c r="I295" s="197"/>
      <c r="J295" s="197"/>
      <c r="K295" s="197"/>
      <c r="L295" s="197"/>
      <c r="M295" s="197"/>
    </row>
    <row r="296" customFormat="false" ht="12" hidden="false" customHeight="false" outlineLevel="0" collapsed="false">
      <c r="B296" s="197"/>
      <c r="C296" s="197"/>
      <c r="D296" s="197"/>
      <c r="E296" s="197"/>
      <c r="F296" s="197"/>
      <c r="G296" s="197"/>
      <c r="H296" s="197"/>
      <c r="I296" s="197"/>
      <c r="J296" s="197"/>
      <c r="K296" s="197"/>
      <c r="L296" s="197"/>
      <c r="M296" s="197"/>
    </row>
    <row r="297" customFormat="false" ht="12" hidden="false" customHeight="false" outlineLevel="0" collapsed="false">
      <c r="B297" s="197"/>
      <c r="C297" s="197"/>
      <c r="D297" s="197"/>
      <c r="E297" s="197"/>
      <c r="F297" s="197"/>
      <c r="G297" s="197"/>
      <c r="H297" s="197"/>
      <c r="I297" s="197"/>
      <c r="J297" s="197"/>
      <c r="K297" s="197"/>
      <c r="L297" s="197"/>
      <c r="M297" s="197"/>
    </row>
    <row r="298" customFormat="false" ht="12" hidden="false" customHeight="false" outlineLevel="0" collapsed="false">
      <c r="B298" s="197"/>
      <c r="C298" s="197"/>
      <c r="D298" s="197"/>
      <c r="E298" s="197"/>
      <c r="F298" s="197"/>
      <c r="G298" s="197"/>
      <c r="H298" s="197"/>
      <c r="I298" s="197"/>
      <c r="J298" s="197"/>
      <c r="K298" s="197"/>
      <c r="L298" s="197"/>
      <c r="M298" s="197"/>
    </row>
    <row r="299" customFormat="false" ht="12" hidden="false" customHeight="false" outlineLevel="0" collapsed="false">
      <c r="B299" s="197"/>
      <c r="C299" s="197"/>
      <c r="D299" s="197"/>
      <c r="E299" s="197"/>
      <c r="F299" s="197"/>
      <c r="G299" s="197"/>
      <c r="H299" s="197"/>
      <c r="I299" s="197"/>
      <c r="J299" s="197"/>
      <c r="K299" s="197"/>
      <c r="L299" s="197"/>
      <c r="M299" s="197"/>
    </row>
    <row r="300" customFormat="false" ht="12" hidden="false" customHeight="false" outlineLevel="0" collapsed="false">
      <c r="B300" s="197"/>
      <c r="C300" s="197"/>
      <c r="D300" s="197"/>
      <c r="E300" s="197"/>
      <c r="F300" s="197"/>
      <c r="G300" s="197"/>
      <c r="H300" s="197"/>
      <c r="I300" s="197"/>
      <c r="J300" s="197"/>
      <c r="K300" s="197"/>
      <c r="L300" s="197"/>
      <c r="M300" s="197"/>
    </row>
    <row r="301" customFormat="false" ht="12" hidden="false" customHeight="false" outlineLevel="0" collapsed="false">
      <c r="B301" s="197"/>
      <c r="C301" s="197"/>
      <c r="D301" s="197"/>
      <c r="E301" s="197"/>
      <c r="F301" s="197"/>
      <c r="G301" s="197"/>
      <c r="H301" s="197"/>
      <c r="I301" s="197"/>
      <c r="J301" s="197"/>
      <c r="K301" s="197"/>
      <c r="L301" s="197"/>
      <c r="M301" s="197"/>
    </row>
    <row r="302" customFormat="false" ht="12" hidden="false" customHeight="false" outlineLevel="0" collapsed="false">
      <c r="B302" s="197"/>
      <c r="C302" s="197"/>
      <c r="D302" s="197"/>
      <c r="E302" s="197"/>
      <c r="F302" s="197"/>
      <c r="G302" s="197"/>
      <c r="H302" s="197"/>
      <c r="I302" s="197"/>
      <c r="J302" s="197"/>
      <c r="K302" s="197"/>
      <c r="L302" s="197"/>
      <c r="M302" s="197"/>
    </row>
    <row r="303" customFormat="false" ht="12" hidden="false" customHeight="false" outlineLevel="0" collapsed="false">
      <c r="B303" s="197"/>
      <c r="C303" s="197"/>
      <c r="D303" s="197"/>
      <c r="E303" s="197"/>
      <c r="F303" s="197"/>
      <c r="G303" s="197"/>
      <c r="H303" s="197"/>
      <c r="I303" s="197"/>
      <c r="J303" s="197"/>
      <c r="K303" s="197"/>
      <c r="L303" s="197"/>
      <c r="M303" s="197"/>
    </row>
    <row r="304" customFormat="false" ht="12" hidden="false" customHeight="false" outlineLevel="0" collapsed="false">
      <c r="B304" s="197"/>
      <c r="C304" s="197"/>
      <c r="D304" s="197"/>
      <c r="E304" s="197"/>
      <c r="F304" s="197"/>
      <c r="G304" s="197"/>
      <c r="H304" s="197"/>
      <c r="I304" s="197"/>
      <c r="J304" s="197"/>
      <c r="K304" s="197"/>
      <c r="L304" s="197"/>
      <c r="M304" s="197"/>
    </row>
    <row r="305" customFormat="false" ht="12" hidden="false" customHeight="false" outlineLevel="0" collapsed="false">
      <c r="B305" s="197"/>
      <c r="C305" s="197"/>
      <c r="D305" s="197"/>
      <c r="E305" s="197"/>
      <c r="F305" s="197"/>
      <c r="G305" s="197"/>
      <c r="H305" s="197"/>
      <c r="I305" s="197"/>
      <c r="J305" s="197"/>
      <c r="K305" s="197"/>
      <c r="L305" s="197"/>
      <c r="M305" s="197"/>
    </row>
    <row r="306" customFormat="false" ht="12" hidden="false" customHeight="false" outlineLevel="0" collapsed="false">
      <c r="B306" s="197"/>
      <c r="C306" s="197"/>
      <c r="D306" s="197"/>
      <c r="E306" s="197"/>
      <c r="F306" s="197"/>
      <c r="G306" s="197"/>
      <c r="H306" s="197"/>
      <c r="I306" s="197"/>
      <c r="J306" s="197"/>
      <c r="K306" s="197"/>
      <c r="L306" s="197"/>
      <c r="M306" s="197"/>
    </row>
    <row r="307" customFormat="false" ht="12" hidden="false" customHeight="false" outlineLevel="0" collapsed="false">
      <c r="B307" s="197"/>
      <c r="C307" s="197"/>
      <c r="D307" s="197"/>
      <c r="E307" s="197"/>
      <c r="F307" s="197"/>
      <c r="G307" s="197"/>
      <c r="H307" s="197"/>
      <c r="I307" s="197"/>
      <c r="J307" s="197"/>
      <c r="K307" s="197"/>
      <c r="L307" s="197"/>
      <c r="M307" s="197"/>
    </row>
    <row r="308" customFormat="false" ht="12" hidden="false" customHeight="false" outlineLevel="0" collapsed="false">
      <c r="B308" s="197"/>
      <c r="C308" s="197"/>
      <c r="D308" s="197"/>
      <c r="E308" s="197"/>
      <c r="F308" s="197"/>
      <c r="G308" s="197"/>
      <c r="H308" s="197"/>
      <c r="I308" s="197"/>
      <c r="J308" s="197"/>
      <c r="K308" s="197"/>
      <c r="L308" s="197"/>
      <c r="M308" s="197"/>
    </row>
    <row r="309" customFormat="false" ht="12" hidden="false" customHeight="false" outlineLevel="0" collapsed="false">
      <c r="B309" s="197"/>
      <c r="C309" s="197"/>
      <c r="D309" s="197"/>
      <c r="E309" s="197"/>
      <c r="F309" s="197"/>
      <c r="G309" s="197"/>
      <c r="H309" s="197"/>
      <c r="I309" s="197"/>
      <c r="J309" s="197"/>
      <c r="K309" s="197"/>
      <c r="L309" s="197"/>
      <c r="M309" s="197"/>
    </row>
    <row r="310" customFormat="false" ht="12" hidden="false" customHeight="false" outlineLevel="0" collapsed="false">
      <c r="B310" s="197"/>
      <c r="C310" s="197"/>
      <c r="D310" s="197"/>
      <c r="E310" s="197"/>
      <c r="F310" s="197"/>
      <c r="G310" s="197"/>
      <c r="H310" s="197"/>
      <c r="I310" s="197"/>
      <c r="J310" s="197"/>
      <c r="K310" s="197"/>
      <c r="L310" s="197"/>
      <c r="M310" s="197"/>
    </row>
    <row r="311" customFormat="false" ht="12" hidden="false" customHeight="false" outlineLevel="0" collapsed="false">
      <c r="B311" s="197"/>
      <c r="C311" s="197"/>
      <c r="D311" s="197"/>
      <c r="E311" s="197"/>
      <c r="F311" s="197"/>
      <c r="G311" s="197"/>
      <c r="H311" s="197"/>
      <c r="I311" s="197"/>
      <c r="J311" s="197"/>
      <c r="K311" s="197"/>
      <c r="L311" s="197"/>
      <c r="M311" s="197"/>
    </row>
    <row r="312" customFormat="false" ht="12" hidden="false" customHeight="false" outlineLevel="0" collapsed="false">
      <c r="B312" s="197"/>
      <c r="C312" s="197"/>
      <c r="D312" s="197"/>
      <c r="E312" s="197"/>
      <c r="F312" s="197"/>
      <c r="G312" s="197"/>
      <c r="H312" s="197"/>
      <c r="I312" s="197"/>
      <c r="J312" s="197"/>
      <c r="K312" s="197"/>
      <c r="L312" s="197"/>
      <c r="M312" s="197"/>
    </row>
    <row r="313" customFormat="false" ht="12" hidden="false" customHeight="false" outlineLevel="0" collapsed="false">
      <c r="B313" s="197"/>
      <c r="C313" s="197"/>
      <c r="D313" s="197"/>
      <c r="E313" s="197"/>
      <c r="F313" s="197"/>
      <c r="G313" s="197"/>
      <c r="H313" s="197"/>
      <c r="I313" s="197"/>
      <c r="J313" s="197"/>
      <c r="K313" s="197"/>
      <c r="L313" s="197"/>
      <c r="M313" s="197"/>
    </row>
    <row r="314" customFormat="false" ht="12" hidden="false" customHeight="false" outlineLevel="0" collapsed="false">
      <c r="B314" s="197"/>
      <c r="C314" s="197"/>
      <c r="D314" s="197"/>
      <c r="E314" s="197"/>
      <c r="F314" s="197"/>
      <c r="G314" s="197"/>
      <c r="H314" s="197"/>
      <c r="I314" s="197"/>
      <c r="J314" s="197"/>
      <c r="K314" s="197"/>
      <c r="L314" s="197"/>
      <c r="M314" s="197"/>
    </row>
    <row r="315" customFormat="false" ht="12" hidden="false" customHeight="false" outlineLevel="0" collapsed="false">
      <c r="B315" s="197"/>
      <c r="C315" s="197"/>
      <c r="D315" s="197"/>
      <c r="E315" s="197"/>
      <c r="F315" s="197"/>
      <c r="G315" s="197"/>
      <c r="H315" s="197"/>
      <c r="I315" s="197"/>
      <c r="J315" s="197"/>
      <c r="K315" s="197"/>
      <c r="L315" s="197"/>
      <c r="M315" s="197"/>
    </row>
    <row r="316" customFormat="false" ht="12" hidden="false" customHeight="false" outlineLevel="0" collapsed="false">
      <c r="B316" s="197"/>
      <c r="C316" s="197"/>
      <c r="D316" s="197"/>
      <c r="E316" s="197"/>
      <c r="F316" s="197"/>
      <c r="G316" s="197"/>
      <c r="H316" s="197"/>
      <c r="I316" s="197"/>
      <c r="J316" s="197"/>
      <c r="K316" s="197"/>
      <c r="L316" s="197"/>
      <c r="M316" s="197"/>
    </row>
    <row r="317" customFormat="false" ht="12" hidden="false" customHeight="false" outlineLevel="0" collapsed="false">
      <c r="B317" s="197"/>
      <c r="C317" s="197"/>
      <c r="D317" s="197"/>
      <c r="E317" s="197"/>
      <c r="F317" s="197"/>
      <c r="G317" s="197"/>
      <c r="H317" s="197"/>
      <c r="I317" s="197"/>
      <c r="J317" s="197"/>
      <c r="K317" s="197"/>
      <c r="L317" s="197"/>
      <c r="M317" s="197"/>
    </row>
    <row r="318" customFormat="false" ht="12" hidden="false" customHeight="false" outlineLevel="0" collapsed="false">
      <c r="B318" s="197"/>
      <c r="C318" s="197"/>
      <c r="D318" s="197"/>
      <c r="E318" s="197"/>
      <c r="F318" s="197"/>
      <c r="G318" s="197"/>
      <c r="H318" s="197"/>
      <c r="I318" s="197"/>
      <c r="J318" s="197"/>
      <c r="K318" s="197"/>
      <c r="L318" s="197"/>
      <c r="M318" s="197"/>
    </row>
    <row r="319" customFormat="false" ht="12" hidden="false" customHeight="false" outlineLevel="0" collapsed="false">
      <c r="B319" s="197"/>
      <c r="C319" s="197"/>
      <c r="D319" s="197"/>
      <c r="E319" s="197"/>
      <c r="F319" s="197"/>
      <c r="G319" s="197"/>
      <c r="H319" s="197"/>
      <c r="I319" s="197"/>
      <c r="J319" s="197"/>
      <c r="K319" s="197"/>
      <c r="L319" s="197"/>
      <c r="M319" s="197"/>
    </row>
    <row r="320" customFormat="false" ht="12" hidden="false" customHeight="false" outlineLevel="0" collapsed="false">
      <c r="B320" s="197"/>
      <c r="C320" s="197"/>
      <c r="D320" s="197"/>
      <c r="E320" s="197"/>
      <c r="F320" s="197"/>
      <c r="G320" s="197"/>
      <c r="H320" s="197"/>
      <c r="I320" s="197"/>
      <c r="J320" s="197"/>
      <c r="K320" s="197"/>
      <c r="L320" s="197"/>
      <c r="M320" s="197"/>
    </row>
    <row r="321" customFormat="false" ht="12" hidden="false" customHeight="false" outlineLevel="0" collapsed="false">
      <c r="B321" s="197"/>
      <c r="C321" s="197"/>
      <c r="D321" s="197"/>
      <c r="E321" s="197"/>
      <c r="F321" s="197"/>
      <c r="G321" s="197"/>
      <c r="H321" s="197"/>
      <c r="I321" s="197"/>
      <c r="J321" s="197"/>
      <c r="K321" s="197"/>
      <c r="L321" s="197"/>
      <c r="M321" s="197"/>
    </row>
    <row r="322" customFormat="false" ht="12" hidden="false" customHeight="false" outlineLevel="0" collapsed="false">
      <c r="B322" s="197"/>
      <c r="C322" s="197"/>
      <c r="D322" s="197"/>
      <c r="E322" s="197"/>
      <c r="F322" s="197"/>
      <c r="G322" s="197"/>
      <c r="H322" s="197"/>
      <c r="I322" s="197"/>
      <c r="J322" s="197"/>
      <c r="K322" s="197"/>
      <c r="L322" s="197"/>
      <c r="M322" s="197"/>
    </row>
    <row r="323" customFormat="false" ht="12" hidden="false" customHeight="false" outlineLevel="0" collapsed="false">
      <c r="B323" s="197"/>
      <c r="C323" s="197"/>
      <c r="D323" s="197"/>
      <c r="E323" s="197"/>
      <c r="F323" s="197"/>
      <c r="G323" s="197"/>
      <c r="H323" s="197"/>
      <c r="I323" s="197"/>
      <c r="J323" s="197"/>
      <c r="K323" s="197"/>
      <c r="L323" s="197"/>
      <c r="M323" s="197"/>
    </row>
    <row r="324" customFormat="false" ht="12" hidden="false" customHeight="false" outlineLevel="0" collapsed="false">
      <c r="B324" s="197"/>
      <c r="C324" s="197"/>
      <c r="D324" s="197"/>
      <c r="E324" s="197"/>
      <c r="F324" s="197"/>
      <c r="G324" s="197"/>
      <c r="H324" s="197"/>
      <c r="I324" s="197"/>
      <c r="J324" s="197"/>
      <c r="K324" s="197"/>
      <c r="L324" s="197"/>
      <c r="M324" s="197"/>
    </row>
    <row r="325" customFormat="false" ht="12" hidden="false" customHeight="false" outlineLevel="0" collapsed="false">
      <c r="B325" s="197"/>
      <c r="C325" s="197"/>
      <c r="D325" s="197"/>
      <c r="E325" s="197"/>
      <c r="F325" s="197"/>
      <c r="G325" s="197"/>
      <c r="H325" s="197"/>
      <c r="I325" s="197"/>
      <c r="J325" s="197"/>
      <c r="K325" s="197"/>
      <c r="L325" s="197"/>
      <c r="M325" s="197"/>
    </row>
    <row r="326" customFormat="false" ht="12" hidden="false" customHeight="false" outlineLevel="0" collapsed="false">
      <c r="B326" s="197"/>
      <c r="C326" s="197"/>
      <c r="D326" s="197"/>
      <c r="E326" s="197"/>
      <c r="F326" s="197"/>
      <c r="G326" s="197"/>
      <c r="H326" s="197"/>
      <c r="I326" s="197"/>
      <c r="J326" s="197"/>
      <c r="K326" s="197"/>
      <c r="L326" s="197"/>
      <c r="M326" s="197"/>
    </row>
    <row r="327" customFormat="false" ht="12" hidden="false" customHeight="false" outlineLevel="0" collapsed="false">
      <c r="B327" s="197"/>
      <c r="C327" s="197"/>
      <c r="D327" s="197"/>
      <c r="E327" s="197"/>
      <c r="F327" s="197"/>
      <c r="G327" s="197"/>
      <c r="H327" s="197"/>
      <c r="I327" s="197"/>
      <c r="J327" s="197"/>
      <c r="K327" s="197"/>
      <c r="L327" s="197"/>
      <c r="M327" s="197"/>
    </row>
    <row r="328" customFormat="false" ht="12" hidden="false" customHeight="false" outlineLevel="0" collapsed="false">
      <c r="B328" s="197"/>
      <c r="C328" s="197"/>
      <c r="D328" s="197"/>
      <c r="E328" s="197"/>
      <c r="F328" s="197"/>
      <c r="G328" s="197"/>
      <c r="H328" s="197"/>
      <c r="I328" s="197"/>
      <c r="J328" s="197"/>
      <c r="K328" s="197"/>
      <c r="L328" s="197"/>
      <c r="M328" s="197"/>
    </row>
    <row r="329" customFormat="false" ht="12" hidden="false" customHeight="false" outlineLevel="0" collapsed="false">
      <c r="B329" s="197"/>
      <c r="C329" s="197"/>
      <c r="D329" s="197"/>
      <c r="E329" s="197"/>
      <c r="F329" s="197"/>
      <c r="G329" s="197"/>
      <c r="H329" s="197"/>
      <c r="I329" s="197"/>
      <c r="J329" s="197"/>
      <c r="K329" s="197"/>
      <c r="L329" s="197"/>
      <c r="M329" s="197"/>
    </row>
    <row r="330" customFormat="false" ht="12" hidden="false" customHeight="false" outlineLevel="0" collapsed="false">
      <c r="B330" s="197"/>
      <c r="C330" s="197"/>
      <c r="D330" s="197"/>
      <c r="E330" s="197"/>
      <c r="F330" s="197"/>
      <c r="G330" s="197"/>
      <c r="H330" s="197"/>
      <c r="I330" s="197"/>
      <c r="J330" s="197"/>
      <c r="K330" s="197"/>
      <c r="L330" s="197"/>
      <c r="M330" s="197"/>
    </row>
    <row r="331" customFormat="false" ht="12" hidden="false" customHeight="false" outlineLevel="0" collapsed="false">
      <c r="B331" s="197"/>
      <c r="C331" s="197"/>
      <c r="D331" s="197"/>
      <c r="E331" s="197"/>
      <c r="F331" s="197"/>
      <c r="G331" s="197"/>
      <c r="H331" s="197"/>
      <c r="I331" s="197"/>
      <c r="J331" s="197"/>
      <c r="K331" s="197"/>
      <c r="L331" s="197"/>
      <c r="M331" s="197"/>
    </row>
    <row r="332" customFormat="false" ht="12" hidden="false" customHeight="false" outlineLevel="0" collapsed="false">
      <c r="B332" s="197"/>
      <c r="C332" s="197"/>
      <c r="D332" s="197"/>
      <c r="E332" s="197"/>
      <c r="F332" s="197"/>
      <c r="G332" s="197"/>
      <c r="H332" s="197"/>
      <c r="I332" s="197"/>
      <c r="J332" s="197"/>
      <c r="K332" s="197"/>
      <c r="L332" s="197"/>
      <c r="M332" s="197"/>
    </row>
    <row r="333" customFormat="false" ht="12" hidden="false" customHeight="false" outlineLevel="0" collapsed="false">
      <c r="B333" s="197"/>
      <c r="C333" s="197"/>
      <c r="D333" s="197"/>
      <c r="E333" s="197"/>
      <c r="F333" s="197"/>
      <c r="G333" s="197"/>
      <c r="H333" s="197"/>
      <c r="I333" s="197"/>
      <c r="J333" s="197"/>
      <c r="K333" s="197"/>
      <c r="L333" s="197"/>
      <c r="M333" s="197"/>
    </row>
    <row r="334" customFormat="false" ht="12" hidden="false" customHeight="false" outlineLevel="0" collapsed="false">
      <c r="B334" s="197"/>
      <c r="C334" s="197"/>
      <c r="D334" s="197"/>
      <c r="E334" s="197"/>
      <c r="F334" s="197"/>
      <c r="G334" s="197"/>
      <c r="H334" s="197"/>
      <c r="I334" s="197"/>
      <c r="J334" s="197"/>
      <c r="K334" s="197"/>
      <c r="L334" s="197"/>
      <c r="M334" s="197"/>
    </row>
    <row r="335" customFormat="false" ht="12" hidden="false" customHeight="false" outlineLevel="0" collapsed="false">
      <c r="B335" s="197"/>
      <c r="C335" s="197"/>
      <c r="D335" s="197"/>
      <c r="E335" s="197"/>
      <c r="F335" s="197"/>
      <c r="G335" s="197"/>
      <c r="H335" s="197"/>
      <c r="I335" s="197"/>
      <c r="J335" s="197"/>
      <c r="K335" s="197"/>
      <c r="L335" s="197"/>
      <c r="M335" s="197"/>
    </row>
    <row r="336" customFormat="false" ht="12" hidden="false" customHeight="false" outlineLevel="0" collapsed="false">
      <c r="B336" s="197"/>
      <c r="C336" s="197"/>
      <c r="D336" s="197"/>
      <c r="E336" s="197"/>
      <c r="F336" s="197"/>
      <c r="G336" s="197"/>
      <c r="H336" s="197"/>
      <c r="I336" s="197"/>
      <c r="J336" s="197"/>
      <c r="K336" s="197"/>
      <c r="L336" s="197"/>
      <c r="M336" s="197"/>
    </row>
    <row r="337" customFormat="false" ht="12" hidden="false" customHeight="false" outlineLevel="0" collapsed="false">
      <c r="B337" s="197"/>
      <c r="C337" s="197"/>
      <c r="D337" s="197"/>
      <c r="E337" s="197"/>
      <c r="F337" s="197"/>
      <c r="G337" s="197"/>
      <c r="H337" s="197"/>
      <c r="I337" s="197"/>
      <c r="J337" s="197"/>
      <c r="K337" s="197"/>
      <c r="L337" s="197"/>
      <c r="M337" s="197"/>
    </row>
    <row r="338" customFormat="false" ht="12" hidden="false" customHeight="false" outlineLevel="0" collapsed="false">
      <c r="B338" s="197"/>
      <c r="C338" s="197"/>
      <c r="D338" s="197"/>
      <c r="E338" s="197"/>
      <c r="F338" s="197"/>
      <c r="G338" s="197"/>
      <c r="H338" s="197"/>
      <c r="I338" s="197"/>
      <c r="J338" s="197"/>
      <c r="K338" s="197"/>
      <c r="L338" s="197"/>
      <c r="M338" s="197"/>
    </row>
    <row r="339" customFormat="false" ht="12" hidden="false" customHeight="false" outlineLevel="0" collapsed="false">
      <c r="B339" s="197"/>
      <c r="C339" s="197"/>
      <c r="D339" s="197"/>
      <c r="E339" s="197"/>
      <c r="F339" s="197"/>
      <c r="G339" s="197"/>
      <c r="H339" s="197"/>
      <c r="I339" s="197"/>
      <c r="J339" s="197"/>
      <c r="K339" s="197"/>
      <c r="L339" s="197"/>
      <c r="M339" s="197"/>
    </row>
    <row r="340" customFormat="false" ht="12" hidden="false" customHeight="false" outlineLevel="0" collapsed="false">
      <c r="B340" s="197"/>
      <c r="C340" s="197"/>
      <c r="D340" s="197"/>
      <c r="E340" s="197"/>
      <c r="F340" s="197"/>
      <c r="G340" s="197"/>
      <c r="H340" s="197"/>
      <c r="I340" s="197"/>
      <c r="J340" s="197"/>
      <c r="K340" s="197"/>
      <c r="L340" s="197"/>
      <c r="M340" s="197"/>
    </row>
    <row r="341" customFormat="false" ht="12" hidden="false" customHeight="false" outlineLevel="0" collapsed="false">
      <c r="B341" s="197"/>
      <c r="C341" s="197"/>
      <c r="D341" s="197"/>
      <c r="E341" s="197"/>
      <c r="F341" s="197"/>
      <c r="G341" s="197"/>
      <c r="H341" s="197"/>
      <c r="I341" s="197"/>
      <c r="J341" s="197"/>
      <c r="K341" s="197"/>
      <c r="L341" s="197"/>
      <c r="M341" s="197"/>
    </row>
    <row r="342" customFormat="false" ht="12" hidden="false" customHeight="false" outlineLevel="0" collapsed="false">
      <c r="B342" s="197"/>
      <c r="C342" s="197"/>
      <c r="D342" s="197"/>
      <c r="E342" s="197"/>
      <c r="F342" s="197"/>
      <c r="G342" s="197"/>
      <c r="H342" s="197"/>
      <c r="I342" s="197"/>
      <c r="J342" s="197"/>
      <c r="K342" s="197"/>
      <c r="L342" s="197"/>
      <c r="M342" s="197"/>
    </row>
    <row r="343" customFormat="false" ht="12" hidden="false" customHeight="false" outlineLevel="0" collapsed="false">
      <c r="B343" s="197"/>
      <c r="C343" s="197"/>
      <c r="D343" s="197"/>
      <c r="E343" s="197"/>
      <c r="F343" s="197"/>
      <c r="G343" s="197"/>
      <c r="H343" s="197"/>
      <c r="I343" s="197"/>
      <c r="J343" s="197"/>
      <c r="K343" s="197"/>
      <c r="L343" s="197"/>
      <c r="M343" s="197"/>
    </row>
    <row r="344" customFormat="false" ht="12" hidden="false" customHeight="false" outlineLevel="0" collapsed="false">
      <c r="B344" s="197"/>
      <c r="C344" s="197"/>
      <c r="D344" s="197"/>
      <c r="E344" s="197"/>
      <c r="F344" s="197"/>
      <c r="G344" s="197"/>
      <c r="H344" s="197"/>
      <c r="I344" s="197"/>
      <c r="J344" s="197"/>
      <c r="K344" s="197"/>
      <c r="L344" s="197"/>
      <c r="M344" s="197"/>
    </row>
    <row r="345" customFormat="false" ht="12" hidden="false" customHeight="false" outlineLevel="0" collapsed="false">
      <c r="B345" s="197"/>
      <c r="C345" s="197"/>
      <c r="D345" s="197"/>
      <c r="E345" s="197"/>
      <c r="F345" s="197"/>
      <c r="G345" s="197"/>
      <c r="H345" s="197"/>
      <c r="I345" s="197"/>
      <c r="J345" s="197"/>
      <c r="K345" s="197"/>
      <c r="L345" s="197"/>
      <c r="M345" s="197"/>
    </row>
    <row r="346" customFormat="false" ht="12" hidden="false" customHeight="false" outlineLevel="0" collapsed="false">
      <c r="B346" s="197"/>
      <c r="C346" s="197"/>
      <c r="D346" s="197"/>
      <c r="E346" s="197"/>
      <c r="F346" s="197"/>
      <c r="G346" s="197"/>
      <c r="H346" s="197"/>
      <c r="I346" s="197"/>
      <c r="J346" s="197"/>
      <c r="K346" s="197"/>
      <c r="L346" s="197"/>
      <c r="M346" s="197"/>
    </row>
    <row r="347" customFormat="false" ht="12" hidden="false" customHeight="false" outlineLevel="0" collapsed="false">
      <c r="B347" s="197"/>
      <c r="C347" s="197"/>
      <c r="D347" s="197"/>
      <c r="E347" s="197"/>
      <c r="F347" s="197"/>
      <c r="G347" s="197"/>
      <c r="H347" s="197"/>
      <c r="I347" s="197"/>
      <c r="J347" s="197"/>
      <c r="K347" s="197"/>
      <c r="L347" s="197"/>
      <c r="M347" s="197"/>
    </row>
    <row r="348" customFormat="false" ht="12" hidden="false" customHeight="false" outlineLevel="0" collapsed="false">
      <c r="B348" s="197"/>
      <c r="C348" s="197"/>
      <c r="D348" s="197"/>
      <c r="E348" s="197"/>
      <c r="F348" s="197"/>
      <c r="G348" s="197"/>
      <c r="H348" s="197"/>
      <c r="I348" s="197"/>
      <c r="J348" s="197"/>
      <c r="K348" s="197"/>
      <c r="L348" s="197"/>
      <c r="M348" s="197"/>
    </row>
    <row r="349" customFormat="false" ht="12" hidden="false" customHeight="false" outlineLevel="0" collapsed="false">
      <c r="B349" s="197"/>
      <c r="C349" s="197"/>
      <c r="D349" s="197"/>
      <c r="E349" s="197"/>
      <c r="F349" s="197"/>
      <c r="G349" s="197"/>
      <c r="H349" s="197"/>
      <c r="I349" s="197"/>
      <c r="J349" s="197"/>
      <c r="K349" s="197"/>
      <c r="L349" s="197"/>
      <c r="M349" s="197"/>
    </row>
    <row r="350" customFormat="false" ht="12" hidden="false" customHeight="false" outlineLevel="0" collapsed="false">
      <c r="B350" s="197"/>
      <c r="C350" s="197"/>
      <c r="D350" s="197"/>
      <c r="E350" s="197"/>
      <c r="F350" s="197"/>
      <c r="G350" s="197"/>
      <c r="H350" s="197"/>
      <c r="I350" s="197"/>
      <c r="J350" s="197"/>
      <c r="K350" s="197"/>
      <c r="L350" s="197"/>
      <c r="M350" s="197"/>
    </row>
    <row r="351" customFormat="false" ht="12" hidden="false" customHeight="false" outlineLevel="0" collapsed="false">
      <c r="B351" s="197"/>
      <c r="C351" s="197"/>
      <c r="D351" s="197"/>
      <c r="E351" s="197"/>
      <c r="F351" s="197"/>
      <c r="G351" s="197"/>
      <c r="H351" s="197"/>
      <c r="I351" s="197"/>
      <c r="J351" s="197"/>
      <c r="K351" s="197"/>
      <c r="L351" s="197"/>
      <c r="M351" s="197"/>
    </row>
    <row r="352" customFormat="false" ht="12" hidden="false" customHeight="false" outlineLevel="0" collapsed="false">
      <c r="B352" s="197"/>
      <c r="C352" s="197"/>
      <c r="D352" s="197"/>
      <c r="E352" s="197"/>
      <c r="F352" s="197"/>
      <c r="G352" s="197"/>
      <c r="H352" s="197"/>
      <c r="I352" s="197"/>
      <c r="J352" s="197"/>
      <c r="K352" s="197"/>
      <c r="L352" s="197"/>
      <c r="M352" s="197"/>
    </row>
    <row r="353" customFormat="false" ht="12" hidden="false" customHeight="false" outlineLevel="0" collapsed="false">
      <c r="B353" s="197"/>
      <c r="C353" s="197"/>
      <c r="D353" s="197"/>
      <c r="E353" s="197"/>
      <c r="F353" s="197"/>
      <c r="G353" s="197"/>
      <c r="H353" s="197"/>
      <c r="I353" s="197"/>
      <c r="J353" s="197"/>
      <c r="K353" s="197"/>
      <c r="L353" s="197"/>
      <c r="M353" s="197"/>
    </row>
    <row r="354" customFormat="false" ht="12" hidden="false" customHeight="false" outlineLevel="0" collapsed="false">
      <c r="B354" s="197"/>
      <c r="C354" s="197"/>
      <c r="D354" s="197"/>
      <c r="E354" s="197"/>
      <c r="F354" s="197"/>
      <c r="G354" s="197"/>
      <c r="H354" s="197"/>
      <c r="I354" s="197"/>
      <c r="J354" s="197"/>
      <c r="K354" s="197"/>
      <c r="L354" s="197"/>
      <c r="M354" s="197"/>
    </row>
    <row r="355" customFormat="false" ht="12" hidden="false" customHeight="false" outlineLevel="0" collapsed="false">
      <c r="B355" s="197"/>
      <c r="C355" s="197"/>
      <c r="D355" s="197"/>
      <c r="E355" s="197"/>
      <c r="F355" s="197"/>
      <c r="G355" s="197"/>
      <c r="H355" s="197"/>
      <c r="I355" s="197"/>
      <c r="J355" s="197"/>
      <c r="K355" s="197"/>
      <c r="L355" s="197"/>
      <c r="M355" s="197"/>
    </row>
    <row r="356" customFormat="false" ht="12" hidden="false" customHeight="false" outlineLevel="0" collapsed="false">
      <c r="B356" s="197"/>
      <c r="C356" s="197"/>
      <c r="D356" s="197"/>
      <c r="E356" s="197"/>
      <c r="F356" s="197"/>
      <c r="G356" s="197"/>
      <c r="H356" s="197"/>
      <c r="I356" s="197"/>
      <c r="J356" s="197"/>
      <c r="K356" s="197"/>
      <c r="L356" s="197"/>
      <c r="M356" s="197"/>
    </row>
  </sheetData>
  <mergeCells count="4">
    <mergeCell ref="A3:M3"/>
    <mergeCell ref="B6:M7"/>
    <mergeCell ref="A8:A9"/>
    <mergeCell ref="H8:H9"/>
  </mergeCells>
  <hyperlinks>
    <hyperlink ref="B1" location="Index!A1" display="Back to index"/>
  </hyperlinks>
  <printOptions headings="false" gridLines="false" gridLinesSet="true" horizontalCentered="true" verticalCentered="true"/>
  <pageMargins left="0.75" right="0.75" top="0.984027777777778" bottom="0.984027777777778" header="0.511811023622047" footer="0.511811023622047"/>
  <pageSetup paperSize="9" scale="100" fitToWidth="1" fitToHeight="2"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C0C0"/>
    <pageSetUpPr fitToPage="true"/>
  </sheetPr>
  <dimension ref="A1:S3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3" activeCellId="0" sqref="A3"/>
    </sheetView>
  </sheetViews>
  <sheetFormatPr defaultColWidth="11.0546875" defaultRowHeight="12" zeroHeight="false" outlineLevelRow="0" outlineLevelCol="0"/>
  <cols>
    <col collapsed="false" customWidth="true" hidden="false" outlineLevel="0" max="1" min="1" style="0" width="7.66"/>
    <col collapsed="false" customWidth="true" hidden="false" outlineLevel="0" max="13" min="2" style="0" width="8.99"/>
    <col collapsed="false" customWidth="true" hidden="false" outlineLevel="0" max="15" min="14" style="0" width="7.66"/>
  </cols>
  <sheetData>
    <row r="1" customFormat="false" ht="12" hidden="false" customHeight="false" outlineLevel="0" collapsed="false">
      <c r="B1" s="21" t="s">
        <v>9</v>
      </c>
      <c r="C1" s="198"/>
      <c r="D1" s="198"/>
      <c r="E1" s="198"/>
      <c r="F1" s="198"/>
      <c r="G1" s="198"/>
      <c r="H1" s="198"/>
      <c r="I1" s="198"/>
      <c r="J1" s="198"/>
      <c r="K1" s="198"/>
      <c r="L1" s="198"/>
      <c r="M1" s="198"/>
    </row>
    <row r="2" customFormat="false" ht="13" hidden="false" customHeight="false" outlineLevel="0" collapsed="false"/>
    <row r="3" customFormat="false" ht="19.75" hidden="false" customHeight="true" outlineLevel="0" collapsed="false">
      <c r="A3" s="27" t="s">
        <v>534</v>
      </c>
      <c r="B3" s="27"/>
      <c r="C3" s="27"/>
      <c r="D3" s="27"/>
      <c r="E3" s="27"/>
      <c r="F3" s="27"/>
      <c r="G3" s="27"/>
      <c r="H3" s="27"/>
      <c r="I3" s="27"/>
      <c r="J3" s="27"/>
      <c r="K3" s="27"/>
      <c r="L3" s="27"/>
      <c r="M3" s="27"/>
      <c r="N3" s="27"/>
      <c r="O3" s="27"/>
    </row>
    <row r="4" customFormat="false" ht="12" hidden="false" customHeight="false" outlineLevel="0" collapsed="false">
      <c r="A4" s="28"/>
      <c r="B4" s="29"/>
      <c r="C4" s="29"/>
      <c r="D4" s="29"/>
      <c r="E4" s="29"/>
      <c r="F4" s="29"/>
      <c r="G4" s="29"/>
      <c r="H4" s="29"/>
      <c r="I4" s="29"/>
      <c r="J4" s="29"/>
      <c r="K4" s="29"/>
      <c r="L4" s="29"/>
      <c r="M4" s="29"/>
      <c r="N4" s="29"/>
      <c r="O4" s="199"/>
    </row>
    <row r="5" customFormat="false" ht="12" hidden="false" customHeight="false" outlineLevel="0" collapsed="false">
      <c r="A5" s="28"/>
      <c r="B5" s="553" t="s">
        <v>11</v>
      </c>
      <c r="C5" s="553" t="s">
        <v>12</v>
      </c>
      <c r="D5" s="553" t="s">
        <v>13</v>
      </c>
      <c r="E5" s="553" t="s">
        <v>14</v>
      </c>
      <c r="F5" s="553" t="s">
        <v>15</v>
      </c>
      <c r="G5" s="553" t="s">
        <v>16</v>
      </c>
      <c r="H5" s="553" t="s">
        <v>17</v>
      </c>
      <c r="I5" s="553" t="s">
        <v>18</v>
      </c>
      <c r="J5" s="553" t="s">
        <v>19</v>
      </c>
      <c r="K5" s="553" t="s">
        <v>20</v>
      </c>
      <c r="L5" s="553" t="s">
        <v>21</v>
      </c>
      <c r="M5" s="553" t="s">
        <v>22</v>
      </c>
      <c r="N5" s="553" t="s">
        <v>25</v>
      </c>
      <c r="O5" s="555" t="s">
        <v>26</v>
      </c>
    </row>
    <row r="6" customFormat="false" ht="16" hidden="false" customHeight="true" outlineLevel="0" collapsed="false">
      <c r="A6" s="28"/>
      <c r="B6" s="1307" t="s">
        <v>535</v>
      </c>
      <c r="C6" s="1307"/>
      <c r="D6" s="1307"/>
      <c r="E6" s="1307"/>
      <c r="F6" s="1307"/>
      <c r="G6" s="1307"/>
      <c r="H6" s="1307"/>
      <c r="I6" s="1307"/>
      <c r="J6" s="1307"/>
      <c r="K6" s="1307"/>
      <c r="L6" s="1307"/>
      <c r="M6" s="1307"/>
      <c r="N6" s="1307"/>
      <c r="O6" s="1307"/>
    </row>
    <row r="7" customFormat="false" ht="79.75" hidden="false" customHeight="true" outlineLevel="0" collapsed="false">
      <c r="A7" s="1513"/>
      <c r="B7" s="1305" t="s">
        <v>509</v>
      </c>
      <c r="C7" s="1520" t="s">
        <v>510</v>
      </c>
      <c r="D7" s="1520" t="s">
        <v>511</v>
      </c>
      <c r="E7" s="1520" t="s">
        <v>512</v>
      </c>
      <c r="F7" s="1520" t="s">
        <v>513</v>
      </c>
      <c r="G7" s="1520" t="s">
        <v>514</v>
      </c>
      <c r="H7" s="1591" t="s">
        <v>515</v>
      </c>
      <c r="I7" s="1305" t="s">
        <v>536</v>
      </c>
      <c r="J7" s="1609" t="s">
        <v>537</v>
      </c>
      <c r="K7" s="1609" t="s">
        <v>518</v>
      </c>
      <c r="L7" s="1520" t="s">
        <v>519</v>
      </c>
      <c r="M7" s="1609" t="s">
        <v>520</v>
      </c>
      <c r="N7" s="1301" t="s">
        <v>538</v>
      </c>
      <c r="O7" s="1610" t="s">
        <v>539</v>
      </c>
    </row>
    <row r="8" customFormat="false" ht="30" hidden="false" customHeight="true" outlineLevel="0" collapsed="false">
      <c r="A8" s="1513"/>
      <c r="B8" s="1310" t="s">
        <v>523</v>
      </c>
      <c r="C8" s="971" t="s">
        <v>524</v>
      </c>
      <c r="D8" s="971" t="s">
        <v>486</v>
      </c>
      <c r="E8" s="971" t="s">
        <v>525</v>
      </c>
      <c r="F8" s="971" t="s">
        <v>526</v>
      </c>
      <c r="G8" s="971" t="s">
        <v>527</v>
      </c>
      <c r="H8" s="1591"/>
      <c r="I8" s="1310" t="s">
        <v>528</v>
      </c>
      <c r="J8" s="971" t="s">
        <v>529</v>
      </c>
      <c r="K8" s="971" t="s">
        <v>490</v>
      </c>
      <c r="L8" s="971" t="s">
        <v>530</v>
      </c>
      <c r="M8" s="971" t="s">
        <v>531</v>
      </c>
      <c r="N8" s="1309" t="s">
        <v>540</v>
      </c>
      <c r="O8" s="1611" t="s">
        <v>528</v>
      </c>
    </row>
    <row r="9" customFormat="false" ht="12" hidden="false" customHeight="true" outlineLevel="0" collapsed="false">
      <c r="A9" s="76" t="n">
        <v>1870</v>
      </c>
      <c r="B9" s="1353"/>
      <c r="C9" s="802"/>
      <c r="D9" s="802"/>
      <c r="E9" s="802"/>
      <c r="F9" s="802"/>
      <c r="G9" s="978"/>
      <c r="H9" s="1598"/>
      <c r="I9" s="1353"/>
      <c r="J9" s="802"/>
      <c r="K9" s="802"/>
      <c r="L9" s="802"/>
      <c r="M9" s="802"/>
      <c r="N9" s="1612" t="n">
        <f aca="false">DataDE1c!X33/DataDE1c!W33</f>
        <v>0.220646027029618</v>
      </c>
      <c r="O9" s="1135" t="n">
        <f aca="false">DataDE1c!AD33/DataDE1c!W33</f>
        <v>0.779353972970382</v>
      </c>
      <c r="R9" s="1594"/>
    </row>
    <row r="10" customFormat="false" ht="12" hidden="false" customHeight="true" outlineLevel="0" collapsed="false">
      <c r="A10" s="76" t="n">
        <v>1871</v>
      </c>
      <c r="B10" s="1353"/>
      <c r="C10" s="802"/>
      <c r="D10" s="802"/>
      <c r="E10" s="802"/>
      <c r="F10" s="802"/>
      <c r="G10" s="978"/>
      <c r="H10" s="1598"/>
      <c r="I10" s="1353"/>
      <c r="J10" s="802"/>
      <c r="K10" s="802"/>
      <c r="L10" s="802"/>
      <c r="M10" s="802"/>
      <c r="N10" s="1612" t="n">
        <f aca="false">DataDE1c!X34/DataDE1c!W34</f>
        <v>0.237708535616559</v>
      </c>
      <c r="O10" s="1135" t="n">
        <f aca="false">DataDE1c!AD34/DataDE1c!W34</f>
        <v>0.762291464383441</v>
      </c>
      <c r="R10" s="1594"/>
    </row>
    <row r="11" customFormat="false" ht="12" hidden="false" customHeight="true" outlineLevel="0" collapsed="false">
      <c r="A11" s="76" t="n">
        <v>1872</v>
      </c>
      <c r="B11" s="1353"/>
      <c r="C11" s="802"/>
      <c r="D11" s="802"/>
      <c r="E11" s="802"/>
      <c r="F11" s="802"/>
      <c r="G11" s="978"/>
      <c r="H11" s="1598"/>
      <c r="I11" s="1353"/>
      <c r="J11" s="802"/>
      <c r="K11" s="802"/>
      <c r="L11" s="802"/>
      <c r="M11" s="802"/>
      <c r="N11" s="1612" t="n">
        <f aca="false">DataDE1c!X35/DataDE1c!W35</f>
        <v>0.235880138060872</v>
      </c>
      <c r="O11" s="1135" t="n">
        <f aca="false">DataDE1c!AD35/DataDE1c!W35</f>
        <v>0.764119861939128</v>
      </c>
      <c r="R11" s="1594"/>
    </row>
    <row r="12" customFormat="false" ht="12" hidden="false" customHeight="true" outlineLevel="0" collapsed="false">
      <c r="A12" s="76" t="n">
        <v>1873</v>
      </c>
      <c r="B12" s="1353"/>
      <c r="C12" s="802"/>
      <c r="D12" s="802"/>
      <c r="E12" s="802"/>
      <c r="F12" s="802"/>
      <c r="G12" s="978"/>
      <c r="H12" s="1598"/>
      <c r="I12" s="1353"/>
      <c r="J12" s="802"/>
      <c r="K12" s="802"/>
      <c r="L12" s="802"/>
      <c r="M12" s="802"/>
      <c r="N12" s="1612" t="n">
        <f aca="false">DataDE1c!X36/DataDE1c!W36</f>
        <v>0.222691179626583</v>
      </c>
      <c r="O12" s="1135" t="n">
        <f aca="false">DataDE1c!AD36/DataDE1c!W36</f>
        <v>0.777308820373417</v>
      </c>
      <c r="R12" s="1594"/>
    </row>
    <row r="13" customFormat="false" ht="12" hidden="false" customHeight="true" outlineLevel="0" collapsed="false">
      <c r="A13" s="76" t="n">
        <v>1874</v>
      </c>
      <c r="B13" s="1353"/>
      <c r="C13" s="802"/>
      <c r="D13" s="802"/>
      <c r="E13" s="802"/>
      <c r="F13" s="802"/>
      <c r="G13" s="978"/>
      <c r="H13" s="1598"/>
      <c r="I13" s="1353"/>
      <c r="J13" s="802"/>
      <c r="K13" s="802"/>
      <c r="L13" s="802"/>
      <c r="M13" s="802"/>
      <c r="N13" s="1612" t="n">
        <f aca="false">DataDE1c!X37/DataDE1c!W37</f>
        <v>0.233251800516375</v>
      </c>
      <c r="O13" s="1135" t="n">
        <f aca="false">DataDE1c!AD37/DataDE1c!W37</f>
        <v>0.766748199483626</v>
      </c>
      <c r="R13" s="1594"/>
    </row>
    <row r="14" customFormat="false" ht="12" hidden="false" customHeight="true" outlineLevel="0" collapsed="false">
      <c r="A14" s="76" t="n">
        <v>1875</v>
      </c>
      <c r="B14" s="1353"/>
      <c r="C14" s="802"/>
      <c r="D14" s="802"/>
      <c r="E14" s="802"/>
      <c r="F14" s="802"/>
      <c r="G14" s="978"/>
      <c r="H14" s="1598"/>
      <c r="I14" s="1353"/>
      <c r="J14" s="802"/>
      <c r="K14" s="802"/>
      <c r="L14" s="802"/>
      <c r="M14" s="802"/>
      <c r="N14" s="1612" t="n">
        <f aca="false">DataDE1c!X38/DataDE1c!W38</f>
        <v>0.179570043557679</v>
      </c>
      <c r="O14" s="1135" t="n">
        <f aca="false">DataDE1c!AD38/DataDE1c!W38</f>
        <v>0.820429956442321</v>
      </c>
      <c r="R14" s="1594"/>
    </row>
    <row r="15" customFormat="false" ht="12" hidden="false" customHeight="true" outlineLevel="0" collapsed="false">
      <c r="A15" s="76" t="n">
        <v>1876</v>
      </c>
      <c r="B15" s="1353"/>
      <c r="C15" s="802"/>
      <c r="D15" s="802"/>
      <c r="E15" s="802"/>
      <c r="F15" s="802"/>
      <c r="G15" s="978"/>
      <c r="H15" s="1598"/>
      <c r="I15" s="1353"/>
      <c r="J15" s="802"/>
      <c r="K15" s="802"/>
      <c r="L15" s="802"/>
      <c r="M15" s="802"/>
      <c r="N15" s="1612" t="n">
        <f aca="false">DataDE1c!X39/DataDE1c!W39</f>
        <v>0.189817681458548</v>
      </c>
      <c r="O15" s="1135" t="n">
        <f aca="false">DataDE1c!AD39/DataDE1c!W39</f>
        <v>0.810182318541452</v>
      </c>
      <c r="R15" s="1594"/>
    </row>
    <row r="16" customFormat="false" ht="12" hidden="false" customHeight="true" outlineLevel="0" collapsed="false">
      <c r="A16" s="76" t="n">
        <v>1877</v>
      </c>
      <c r="B16" s="1353"/>
      <c r="C16" s="802"/>
      <c r="D16" s="802"/>
      <c r="E16" s="802"/>
      <c r="F16" s="802"/>
      <c r="G16" s="978"/>
      <c r="H16" s="1598"/>
      <c r="I16" s="1353"/>
      <c r="J16" s="802"/>
      <c r="K16" s="802"/>
      <c r="L16" s="802"/>
      <c r="M16" s="802"/>
      <c r="N16" s="1612" t="n">
        <f aca="false">DataDE1c!X40/DataDE1c!W40</f>
        <v>0.213235811238484</v>
      </c>
      <c r="O16" s="1135" t="n">
        <f aca="false">DataDE1c!AD40/DataDE1c!W40</f>
        <v>0.786764188761516</v>
      </c>
      <c r="R16" s="1594"/>
    </row>
    <row r="17" customFormat="false" ht="12" hidden="false" customHeight="true" outlineLevel="0" collapsed="false">
      <c r="A17" s="76" t="n">
        <v>1878</v>
      </c>
      <c r="B17" s="1353"/>
      <c r="C17" s="802"/>
      <c r="D17" s="802"/>
      <c r="E17" s="802"/>
      <c r="F17" s="802"/>
      <c r="G17" s="978"/>
      <c r="H17" s="1598"/>
      <c r="I17" s="1353"/>
      <c r="J17" s="802"/>
      <c r="K17" s="802"/>
      <c r="L17" s="802"/>
      <c r="M17" s="802"/>
      <c r="N17" s="1612" t="n">
        <f aca="false">DataDE1c!X41/DataDE1c!W41</f>
        <v>0.215938303341902</v>
      </c>
      <c r="O17" s="1135" t="n">
        <f aca="false">DataDE1c!AD41/DataDE1c!W41</f>
        <v>0.784061696658098</v>
      </c>
      <c r="R17" s="1594"/>
    </row>
    <row r="18" customFormat="false" ht="12" hidden="false" customHeight="true" outlineLevel="0" collapsed="false">
      <c r="A18" s="94" t="n">
        <v>1879</v>
      </c>
      <c r="B18" s="1613"/>
      <c r="C18" s="1614"/>
      <c r="D18" s="1614"/>
      <c r="E18" s="1614"/>
      <c r="F18" s="1614"/>
      <c r="G18" s="981"/>
      <c r="H18" s="1600"/>
      <c r="I18" s="1613"/>
      <c r="J18" s="1614"/>
      <c r="K18" s="1614"/>
      <c r="L18" s="1614"/>
      <c r="M18" s="1614"/>
      <c r="N18" s="1615" t="n">
        <f aca="false">DataDE1c!X42/DataDE1c!W42</f>
        <v>0.211406954750473</v>
      </c>
      <c r="O18" s="1142" t="n">
        <f aca="false">DataDE1c!AD42/DataDE1c!W42</f>
        <v>0.788593045249527</v>
      </c>
      <c r="R18" s="1594"/>
    </row>
    <row r="19" customFormat="false" ht="12" hidden="false" customHeight="true" outlineLevel="0" collapsed="false">
      <c r="A19" s="1321" t="n">
        <v>1880</v>
      </c>
      <c r="B19" s="1616"/>
      <c r="C19" s="1617"/>
      <c r="D19" s="1617"/>
      <c r="E19" s="1617"/>
      <c r="F19" s="1617"/>
      <c r="G19" s="1041"/>
      <c r="H19" s="1618"/>
      <c r="I19" s="1616"/>
      <c r="J19" s="1617"/>
      <c r="K19" s="1617"/>
      <c r="L19" s="1617"/>
      <c r="M19" s="1617"/>
      <c r="N19" s="1619" t="n">
        <f aca="false">DataDE1c!X43/DataDE1c!W43</f>
        <v>0.239625909248355</v>
      </c>
      <c r="O19" s="1620" t="n">
        <f aca="false">DataDE1c!AD43/DataDE1c!W43</f>
        <v>0.760374090751645</v>
      </c>
      <c r="R19" s="502" t="n">
        <f aca="false">N19+O19-1</f>
        <v>0</v>
      </c>
    </row>
    <row r="20" customFormat="false" ht="12" hidden="false" customHeight="true" outlineLevel="0" collapsed="false">
      <c r="A20" s="76" t="n">
        <v>1881</v>
      </c>
      <c r="B20" s="1353"/>
      <c r="C20" s="802"/>
      <c r="D20" s="802"/>
      <c r="E20" s="802"/>
      <c r="F20" s="802"/>
      <c r="G20" s="978"/>
      <c r="H20" s="1598"/>
      <c r="I20" s="1353"/>
      <c r="J20" s="802"/>
      <c r="K20" s="802"/>
      <c r="L20" s="802"/>
      <c r="M20" s="802"/>
      <c r="N20" s="1612" t="n">
        <f aca="false">DataDE1c!X44/DataDE1c!W44</f>
        <v>0.234607508532423</v>
      </c>
      <c r="O20" s="1135" t="n">
        <f aca="false">DataDE1c!AD44/DataDE1c!W44</f>
        <v>0.765392491467577</v>
      </c>
      <c r="R20" s="502" t="n">
        <f aca="false">N20+O20-1</f>
        <v>0</v>
      </c>
    </row>
    <row r="21" customFormat="false" ht="12" hidden="false" customHeight="true" outlineLevel="0" collapsed="false">
      <c r="A21" s="76" t="n">
        <v>1882</v>
      </c>
      <c r="B21" s="1353"/>
      <c r="C21" s="802"/>
      <c r="D21" s="802"/>
      <c r="E21" s="802"/>
      <c r="F21" s="802"/>
      <c r="G21" s="978"/>
      <c r="H21" s="1598"/>
      <c r="I21" s="1353"/>
      <c r="J21" s="802"/>
      <c r="K21" s="802"/>
      <c r="L21" s="802"/>
      <c r="M21" s="802"/>
      <c r="N21" s="1612" t="n">
        <f aca="false">DataDE1c!X45/DataDE1c!W45</f>
        <v>0.227036160865157</v>
      </c>
      <c r="O21" s="1135" t="n">
        <f aca="false">DataDE1c!AD45/DataDE1c!W45</f>
        <v>0.772963839134843</v>
      </c>
      <c r="R21" s="502" t="n">
        <f aca="false">N21+O21-1</f>
        <v>0</v>
      </c>
    </row>
    <row r="22" customFormat="false" ht="12" hidden="false" customHeight="true" outlineLevel="0" collapsed="false">
      <c r="A22" s="76" t="n">
        <v>1883</v>
      </c>
      <c r="B22" s="1353"/>
      <c r="C22" s="802"/>
      <c r="D22" s="802"/>
      <c r="E22" s="802"/>
      <c r="F22" s="802"/>
      <c r="G22" s="978"/>
      <c r="H22" s="1598"/>
      <c r="I22" s="1353"/>
      <c r="J22" s="802"/>
      <c r="K22" s="802"/>
      <c r="L22" s="802"/>
      <c r="M22" s="802"/>
      <c r="N22" s="1612" t="n">
        <f aca="false">DataDE1c!X46/DataDE1c!W46</f>
        <v>0.243989141675284</v>
      </c>
      <c r="O22" s="1135" t="n">
        <f aca="false">DataDE1c!AD46/DataDE1c!W46</f>
        <v>0.756010858324716</v>
      </c>
      <c r="R22" s="502" t="n">
        <f aca="false">N22+O22-1</f>
        <v>0</v>
      </c>
    </row>
    <row r="23" customFormat="false" ht="12" hidden="false" customHeight="true" outlineLevel="0" collapsed="false">
      <c r="A23" s="76" t="n">
        <v>1884</v>
      </c>
      <c r="B23" s="1353"/>
      <c r="C23" s="802"/>
      <c r="D23" s="802"/>
      <c r="E23" s="802"/>
      <c r="F23" s="802"/>
      <c r="G23" s="978"/>
      <c r="H23" s="1598"/>
      <c r="I23" s="1353"/>
      <c r="J23" s="802"/>
      <c r="K23" s="802"/>
      <c r="L23" s="802"/>
      <c r="M23" s="802"/>
      <c r="N23" s="1612" t="n">
        <f aca="false">DataDE1c!X47/DataDE1c!W47</f>
        <v>0.246355685131195</v>
      </c>
      <c r="O23" s="1135" t="n">
        <f aca="false">DataDE1c!AD47/DataDE1c!W47</f>
        <v>0.753644314868805</v>
      </c>
      <c r="R23" s="502" t="n">
        <f aca="false">N23+O23-1</f>
        <v>0</v>
      </c>
    </row>
    <row r="24" customFormat="false" ht="12" hidden="false" customHeight="true" outlineLevel="0" collapsed="false">
      <c r="A24" s="76" t="n">
        <v>1885</v>
      </c>
      <c r="B24" s="1353"/>
      <c r="C24" s="802"/>
      <c r="D24" s="802"/>
      <c r="E24" s="802"/>
      <c r="F24" s="802"/>
      <c r="G24" s="978"/>
      <c r="H24" s="1598"/>
      <c r="I24" s="1353"/>
      <c r="J24" s="802"/>
      <c r="K24" s="802"/>
      <c r="L24" s="802"/>
      <c r="M24" s="802"/>
      <c r="N24" s="1612" t="n">
        <f aca="false">DataDE1c!X48/DataDE1c!W48</f>
        <v>0.23932697137117</v>
      </c>
      <c r="O24" s="1135" t="n">
        <f aca="false">DataDE1c!AD48/DataDE1c!W48</f>
        <v>0.76067302862883</v>
      </c>
      <c r="R24" s="502" t="n">
        <f aca="false">N24+O24-1</f>
        <v>0</v>
      </c>
    </row>
    <row r="25" customFormat="false" ht="12" hidden="false" customHeight="true" outlineLevel="0" collapsed="false">
      <c r="A25" s="76" t="n">
        <v>1886</v>
      </c>
      <c r="B25" s="1353"/>
      <c r="C25" s="802"/>
      <c r="D25" s="802"/>
      <c r="E25" s="802"/>
      <c r="F25" s="802"/>
      <c r="G25" s="978"/>
      <c r="H25" s="1598"/>
      <c r="I25" s="1353"/>
      <c r="J25" s="802"/>
      <c r="K25" s="802"/>
      <c r="L25" s="802"/>
      <c r="M25" s="802"/>
      <c r="N25" s="1612" t="n">
        <f aca="false">DataDE1c!X49/DataDE1c!W49</f>
        <v>0.232446710485902</v>
      </c>
      <c r="O25" s="1135" t="n">
        <f aca="false">DataDE1c!AD49/DataDE1c!W49</f>
        <v>0.767553289514098</v>
      </c>
      <c r="R25" s="502" t="n">
        <f aca="false">N25+O25-1</f>
        <v>0</v>
      </c>
    </row>
    <row r="26" customFormat="false" ht="12" hidden="false" customHeight="true" outlineLevel="0" collapsed="false">
      <c r="A26" s="76" t="n">
        <v>1887</v>
      </c>
      <c r="B26" s="1353"/>
      <c r="C26" s="802"/>
      <c r="D26" s="802"/>
      <c r="E26" s="802"/>
      <c r="F26" s="802"/>
      <c r="G26" s="978"/>
      <c r="H26" s="1598"/>
      <c r="I26" s="1353"/>
      <c r="J26" s="802"/>
      <c r="K26" s="802"/>
      <c r="L26" s="802"/>
      <c r="M26" s="802"/>
      <c r="N26" s="1612" t="n">
        <f aca="false">DataDE1c!X50/DataDE1c!W50</f>
        <v>0.247316219369895</v>
      </c>
      <c r="O26" s="1135" t="n">
        <f aca="false">DataDE1c!AD50/DataDE1c!W50</f>
        <v>0.752683780630105</v>
      </c>
      <c r="R26" s="502" t="n">
        <f aca="false">N26+O26-1</f>
        <v>0</v>
      </c>
    </row>
    <row r="27" customFormat="false" ht="12" hidden="false" customHeight="true" outlineLevel="0" collapsed="false">
      <c r="A27" s="76" t="n">
        <v>1888</v>
      </c>
      <c r="B27" s="1353"/>
      <c r="C27" s="802"/>
      <c r="D27" s="802"/>
      <c r="E27" s="802"/>
      <c r="F27" s="802"/>
      <c r="G27" s="978"/>
      <c r="H27" s="1598"/>
      <c r="I27" s="1353"/>
      <c r="J27" s="802"/>
      <c r="K27" s="802"/>
      <c r="L27" s="802"/>
      <c r="M27" s="802"/>
      <c r="N27" s="1612" t="n">
        <f aca="false">DataDE1c!X51/DataDE1c!W51</f>
        <v>0.251842003213118</v>
      </c>
      <c r="O27" s="1135" t="n">
        <f aca="false">DataDE1c!AD51/DataDE1c!W51</f>
        <v>0.748157996786882</v>
      </c>
      <c r="R27" s="502" t="n">
        <f aca="false">N27+O27-1</f>
        <v>0</v>
      </c>
    </row>
    <row r="28" customFormat="false" ht="12" hidden="false" customHeight="true" outlineLevel="0" collapsed="false">
      <c r="A28" s="94" t="n">
        <v>1889</v>
      </c>
      <c r="B28" s="1613"/>
      <c r="C28" s="1614"/>
      <c r="D28" s="1614"/>
      <c r="E28" s="1614"/>
      <c r="F28" s="1614"/>
      <c r="G28" s="981"/>
      <c r="H28" s="1600"/>
      <c r="I28" s="1613"/>
      <c r="J28" s="1614"/>
      <c r="K28" s="1614"/>
      <c r="L28" s="1614"/>
      <c r="M28" s="1614"/>
      <c r="N28" s="1615" t="n">
        <f aca="false">DataDE1c!X52/DataDE1c!W52</f>
        <v>0.258899676375405</v>
      </c>
      <c r="O28" s="1142" t="n">
        <f aca="false">DataDE1c!AD52/DataDE1c!W52</f>
        <v>0.741100323624595</v>
      </c>
      <c r="R28" s="502" t="n">
        <f aca="false">N28+O28-1</f>
        <v>0</v>
      </c>
    </row>
    <row r="29" customFormat="false" ht="12" hidden="false" customHeight="true" outlineLevel="0" collapsed="false">
      <c r="A29" s="76" t="n">
        <v>1890</v>
      </c>
      <c r="B29" s="1353"/>
      <c r="C29" s="802"/>
      <c r="D29" s="802"/>
      <c r="E29" s="802"/>
      <c r="F29" s="802"/>
      <c r="G29" s="978"/>
      <c r="H29" s="1598"/>
      <c r="I29" s="1353"/>
      <c r="J29" s="802"/>
      <c r="K29" s="802"/>
      <c r="L29" s="802"/>
      <c r="M29" s="802"/>
      <c r="N29" s="1612" t="n">
        <f aca="false">DataDE1c!X53/DataDE1c!W53</f>
        <v>0.283389995143273</v>
      </c>
      <c r="O29" s="1135" t="n">
        <f aca="false">DataDE1c!AD53/DataDE1c!W53</f>
        <v>0.716610004856727</v>
      </c>
      <c r="R29" s="502" t="n">
        <f aca="false">N29+O29-1</f>
        <v>0</v>
      </c>
    </row>
    <row r="30" customFormat="false" ht="12" hidden="false" customHeight="true" outlineLevel="0" collapsed="false">
      <c r="A30" s="76" t="n">
        <v>1891</v>
      </c>
      <c r="B30" s="1353"/>
      <c r="C30" s="802"/>
      <c r="D30" s="802"/>
      <c r="E30" s="802"/>
      <c r="F30" s="802"/>
      <c r="G30" s="978"/>
      <c r="H30" s="1598"/>
      <c r="I30" s="1353"/>
      <c r="J30" s="802"/>
      <c r="K30" s="802"/>
      <c r="L30" s="802"/>
      <c r="M30" s="802"/>
      <c r="N30" s="1612" t="n">
        <f aca="false">DataDE1c!X54/DataDE1c!W54</f>
        <v>0.260136785539814</v>
      </c>
      <c r="O30" s="1135" t="n">
        <f aca="false">DataDE1c!AD54/DataDE1c!W54</f>
        <v>0.739863214460186</v>
      </c>
      <c r="R30" s="502" t="n">
        <f aca="false">N30+O30-1</f>
        <v>0</v>
      </c>
    </row>
    <row r="31" customFormat="false" ht="12" hidden="false" customHeight="true" outlineLevel="0" collapsed="false">
      <c r="A31" s="76" t="n">
        <v>1892</v>
      </c>
      <c r="B31" s="1353"/>
      <c r="C31" s="802"/>
      <c r="D31" s="802"/>
      <c r="E31" s="802"/>
      <c r="F31" s="802"/>
      <c r="G31" s="978"/>
      <c r="H31" s="1598"/>
      <c r="I31" s="1353"/>
      <c r="J31" s="802"/>
      <c r="K31" s="802"/>
      <c r="L31" s="802"/>
      <c r="M31" s="802"/>
      <c r="N31" s="1612" t="n">
        <f aca="false">DataDE1c!X55/DataDE1c!W55</f>
        <v>0.272822316209666</v>
      </c>
      <c r="O31" s="1135" t="n">
        <f aca="false">DataDE1c!AD55/DataDE1c!W55</f>
        <v>0.727177683790334</v>
      </c>
      <c r="R31" s="502" t="n">
        <f aca="false">N31+O31-1</f>
        <v>0</v>
      </c>
    </row>
    <row r="32" customFormat="false" ht="12" hidden="false" customHeight="true" outlineLevel="0" collapsed="false">
      <c r="A32" s="76" t="n">
        <v>1893</v>
      </c>
      <c r="B32" s="1353"/>
      <c r="C32" s="802"/>
      <c r="D32" s="802"/>
      <c r="E32" s="802"/>
      <c r="F32" s="802"/>
      <c r="G32" s="978"/>
      <c r="H32" s="1598"/>
      <c r="I32" s="1353"/>
      <c r="J32" s="802"/>
      <c r="K32" s="802"/>
      <c r="L32" s="802"/>
      <c r="M32" s="802"/>
      <c r="N32" s="1612" t="n">
        <f aca="false">DataDE1c!X56/DataDE1c!W56</f>
        <v>0.269201664774877</v>
      </c>
      <c r="O32" s="1135" t="n">
        <f aca="false">DataDE1c!AD56/DataDE1c!W56</f>
        <v>0.730798335225123</v>
      </c>
      <c r="R32" s="502" t="n">
        <f aca="false">N32+O32-1</f>
        <v>0</v>
      </c>
    </row>
    <row r="33" customFormat="false" ht="12" hidden="false" customHeight="true" outlineLevel="0" collapsed="false">
      <c r="A33" s="76" t="n">
        <v>1894</v>
      </c>
      <c r="B33" s="1353"/>
      <c r="C33" s="802"/>
      <c r="D33" s="802"/>
      <c r="E33" s="802"/>
      <c r="F33" s="802"/>
      <c r="G33" s="978"/>
      <c r="H33" s="1598"/>
      <c r="I33" s="1353"/>
      <c r="J33" s="802"/>
      <c r="K33" s="802"/>
      <c r="L33" s="802"/>
      <c r="M33" s="802"/>
      <c r="N33" s="1612" t="n">
        <f aca="false">DataDE1c!X57/DataDE1c!W57</f>
        <v>0.259567075174907</v>
      </c>
      <c r="O33" s="1135" t="n">
        <f aca="false">DataDE1c!AD57/DataDE1c!W57</f>
        <v>0.740432924825093</v>
      </c>
      <c r="R33" s="502" t="n">
        <f aca="false">N33+O33-1</f>
        <v>0</v>
      </c>
    </row>
    <row r="34" customFormat="false" ht="12" hidden="false" customHeight="true" outlineLevel="0" collapsed="false">
      <c r="A34" s="76" t="n">
        <v>1895</v>
      </c>
      <c r="B34" s="1353"/>
      <c r="C34" s="802"/>
      <c r="D34" s="802"/>
      <c r="E34" s="802"/>
      <c r="F34" s="802"/>
      <c r="G34" s="978"/>
      <c r="H34" s="1598"/>
      <c r="I34" s="1353"/>
      <c r="J34" s="802"/>
      <c r="K34" s="802"/>
      <c r="L34" s="802"/>
      <c r="M34" s="802"/>
      <c r="N34" s="1612" t="n">
        <f aca="false">DataDE1c!X58/DataDE1c!W58</f>
        <v>0.256656261476313</v>
      </c>
      <c r="O34" s="1135" t="n">
        <f aca="false">DataDE1c!AD58/DataDE1c!W58</f>
        <v>0.743343738523687</v>
      </c>
      <c r="R34" s="502" t="n">
        <f aca="false">N34+O34-1</f>
        <v>0</v>
      </c>
    </row>
    <row r="35" customFormat="false" ht="12" hidden="false" customHeight="true" outlineLevel="0" collapsed="false">
      <c r="A35" s="76" t="n">
        <v>1896</v>
      </c>
      <c r="B35" s="1353"/>
      <c r="C35" s="802"/>
      <c r="D35" s="802"/>
      <c r="E35" s="802"/>
      <c r="F35" s="802"/>
      <c r="G35" s="978"/>
      <c r="H35" s="1598"/>
      <c r="I35" s="1353"/>
      <c r="J35" s="802"/>
      <c r="K35" s="802"/>
      <c r="L35" s="802"/>
      <c r="M35" s="802"/>
      <c r="N35" s="1612" t="n">
        <f aca="false">DataDE1c!X59/DataDE1c!W59</f>
        <v>0.262511967969362</v>
      </c>
      <c r="O35" s="1135" t="n">
        <f aca="false">DataDE1c!AD59/DataDE1c!W59</f>
        <v>0.737488032030638</v>
      </c>
      <c r="R35" s="502" t="n">
        <f aca="false">N35+O35-1</f>
        <v>0</v>
      </c>
    </row>
    <row r="36" customFormat="false" ht="12" hidden="false" customHeight="true" outlineLevel="0" collapsed="false">
      <c r="A36" s="76" t="n">
        <v>1897</v>
      </c>
      <c r="B36" s="1353"/>
      <c r="C36" s="802"/>
      <c r="D36" s="802"/>
      <c r="E36" s="802"/>
      <c r="F36" s="802"/>
      <c r="G36" s="978"/>
      <c r="H36" s="1598"/>
      <c r="I36" s="1353"/>
      <c r="J36" s="802"/>
      <c r="K36" s="802"/>
      <c r="L36" s="802"/>
      <c r="M36" s="802"/>
      <c r="N36" s="1612" t="n">
        <f aca="false">DataDE1c!X60/DataDE1c!W60</f>
        <v>0.283964095099466</v>
      </c>
      <c r="O36" s="1135" t="n">
        <f aca="false">DataDE1c!AD60/DataDE1c!W60</f>
        <v>0.716035904900534</v>
      </c>
      <c r="R36" s="502" t="n">
        <f aca="false">N36+O36-1</f>
        <v>0</v>
      </c>
    </row>
    <row r="37" customFormat="false" ht="12" hidden="false" customHeight="true" outlineLevel="0" collapsed="false">
      <c r="A37" s="76" t="n">
        <v>1898</v>
      </c>
      <c r="B37" s="1353"/>
      <c r="C37" s="802"/>
      <c r="D37" s="802"/>
      <c r="E37" s="802"/>
      <c r="F37" s="802"/>
      <c r="G37" s="978"/>
      <c r="H37" s="1598"/>
      <c r="I37" s="1353"/>
      <c r="J37" s="802"/>
      <c r="K37" s="802"/>
      <c r="L37" s="802"/>
      <c r="M37" s="802"/>
      <c r="N37" s="1612" t="n">
        <f aca="false">DataDE1c!X61/DataDE1c!W61</f>
        <v>0.297928536392107</v>
      </c>
      <c r="O37" s="1135" t="n">
        <f aca="false">DataDE1c!AD61/DataDE1c!W61</f>
        <v>0.702071463607893</v>
      </c>
      <c r="R37" s="502" t="n">
        <f aca="false">N37+O37-1</f>
        <v>0</v>
      </c>
    </row>
    <row r="38" customFormat="false" ht="12" hidden="false" customHeight="true" outlineLevel="0" collapsed="false">
      <c r="A38" s="94" t="n">
        <v>1899</v>
      </c>
      <c r="B38" s="1613"/>
      <c r="C38" s="1614"/>
      <c r="D38" s="1614"/>
      <c r="E38" s="1614"/>
      <c r="F38" s="1614"/>
      <c r="G38" s="981"/>
      <c r="H38" s="1600"/>
      <c r="I38" s="1613"/>
      <c r="J38" s="1614"/>
      <c r="K38" s="1614"/>
      <c r="L38" s="1614"/>
      <c r="M38" s="1614"/>
      <c r="N38" s="1615" t="n">
        <f aca="false">DataDE1c!X62/DataDE1c!W62</f>
        <v>0.292447679708826</v>
      </c>
      <c r="O38" s="1142" t="n">
        <f aca="false">DataDE1c!AD62/DataDE1c!W62</f>
        <v>0.707552320291174</v>
      </c>
      <c r="R38" s="502" t="n">
        <f aca="false">N38+O38-1</f>
        <v>0</v>
      </c>
    </row>
    <row r="39" customFormat="false" ht="12" hidden="false" customHeight="true" outlineLevel="0" collapsed="false">
      <c r="A39" s="76" t="n">
        <v>1900</v>
      </c>
      <c r="B39" s="1353"/>
      <c r="C39" s="802"/>
      <c r="D39" s="802"/>
      <c r="E39" s="802"/>
      <c r="F39" s="802"/>
      <c r="G39" s="978"/>
      <c r="H39" s="1598"/>
      <c r="I39" s="1353"/>
      <c r="J39" s="802"/>
      <c r="K39" s="802"/>
      <c r="L39" s="802"/>
      <c r="M39" s="802"/>
      <c r="N39" s="1612" t="n">
        <f aca="false">DataDE1c!X63/DataDE1c!W63</f>
        <v>0.293432680644602</v>
      </c>
      <c r="O39" s="1135" t="n">
        <f aca="false">DataDE1c!AD63/DataDE1c!W63</f>
        <v>0.706567319355398</v>
      </c>
      <c r="R39" s="502" t="n">
        <f aca="false">N39+O39-1</f>
        <v>0</v>
      </c>
    </row>
    <row r="40" customFormat="false" ht="12" hidden="false" customHeight="true" outlineLevel="0" collapsed="false">
      <c r="A40" s="76" t="n">
        <v>1901</v>
      </c>
      <c r="B40" s="1353"/>
      <c r="C40" s="802"/>
      <c r="D40" s="802"/>
      <c r="E40" s="802"/>
      <c r="F40" s="802"/>
      <c r="G40" s="978"/>
      <c r="H40" s="1598"/>
      <c r="I40" s="1353"/>
      <c r="J40" s="802"/>
      <c r="K40" s="802"/>
      <c r="L40" s="802"/>
      <c r="M40" s="802"/>
      <c r="N40" s="1612" t="n">
        <f aca="false">DataDE1c!X64/DataDE1c!W64</f>
        <v>0.276220948630498</v>
      </c>
      <c r="O40" s="1135" t="n">
        <f aca="false">DataDE1c!AD64/DataDE1c!W64</f>
        <v>0.723779051369502</v>
      </c>
      <c r="R40" s="502" t="n">
        <f aca="false">N40+O40-1</f>
        <v>0</v>
      </c>
    </row>
    <row r="41" customFormat="false" ht="12" hidden="false" customHeight="true" outlineLevel="0" collapsed="false">
      <c r="A41" s="76" t="n">
        <v>1902</v>
      </c>
      <c r="B41" s="1353"/>
      <c r="C41" s="802"/>
      <c r="D41" s="802"/>
      <c r="E41" s="802"/>
      <c r="F41" s="802"/>
      <c r="G41" s="978"/>
      <c r="H41" s="1598"/>
      <c r="I41" s="1353"/>
      <c r="J41" s="802"/>
      <c r="K41" s="802"/>
      <c r="L41" s="802"/>
      <c r="M41" s="802"/>
      <c r="N41" s="1612" t="n">
        <f aca="false">DataDE1c!X65/DataDE1c!W65</f>
        <v>0.282511672617413</v>
      </c>
      <c r="O41" s="1135" t="n">
        <f aca="false">DataDE1c!AD65/DataDE1c!W65</f>
        <v>0.717488327382587</v>
      </c>
      <c r="R41" s="502" t="n">
        <f aca="false">N41+O41-1</f>
        <v>0</v>
      </c>
    </row>
    <row r="42" customFormat="false" ht="12" hidden="false" customHeight="true" outlineLevel="0" collapsed="false">
      <c r="A42" s="76" t="n">
        <v>1903</v>
      </c>
      <c r="B42" s="1353"/>
      <c r="C42" s="802"/>
      <c r="D42" s="802"/>
      <c r="E42" s="802"/>
      <c r="F42" s="802"/>
      <c r="G42" s="978"/>
      <c r="H42" s="1598"/>
      <c r="I42" s="1353"/>
      <c r="J42" s="802"/>
      <c r="K42" s="802"/>
      <c r="L42" s="802"/>
      <c r="M42" s="802"/>
      <c r="N42" s="1612" t="n">
        <f aca="false">DataDE1c!X66/DataDE1c!W66</f>
        <v>0.284904114079659</v>
      </c>
      <c r="O42" s="1135" t="n">
        <f aca="false">DataDE1c!AD66/DataDE1c!W66</f>
        <v>0.715095885920341</v>
      </c>
      <c r="R42" s="502" t="n">
        <f aca="false">N42+O42-1</f>
        <v>0</v>
      </c>
    </row>
    <row r="43" customFormat="false" ht="12" hidden="false" customHeight="true" outlineLevel="0" collapsed="false">
      <c r="A43" s="76" t="n">
        <v>1904</v>
      </c>
      <c r="B43" s="1353"/>
      <c r="C43" s="802"/>
      <c r="D43" s="802"/>
      <c r="E43" s="802"/>
      <c r="F43" s="802"/>
      <c r="G43" s="978"/>
      <c r="H43" s="1598"/>
      <c r="I43" s="1353"/>
      <c r="J43" s="802"/>
      <c r="K43" s="802"/>
      <c r="L43" s="802"/>
      <c r="M43" s="802"/>
      <c r="N43" s="1612" t="n">
        <f aca="false">DataDE1c!X67/DataDE1c!W67</f>
        <v>0.288011741560753</v>
      </c>
      <c r="O43" s="1135" t="n">
        <f aca="false">DataDE1c!AD67/DataDE1c!W67</f>
        <v>0.711988258439247</v>
      </c>
      <c r="R43" s="502" t="n">
        <f aca="false">N43+O43-1</f>
        <v>0</v>
      </c>
    </row>
    <row r="44" customFormat="false" ht="12" hidden="false" customHeight="true" outlineLevel="0" collapsed="false">
      <c r="A44" s="76" t="n">
        <v>1905</v>
      </c>
      <c r="B44" s="1353"/>
      <c r="C44" s="802"/>
      <c r="D44" s="802"/>
      <c r="E44" s="802"/>
      <c r="F44" s="802"/>
      <c r="G44" s="978"/>
      <c r="H44" s="1598"/>
      <c r="I44" s="1353"/>
      <c r="J44" s="802"/>
      <c r="K44" s="802"/>
      <c r="L44" s="802"/>
      <c r="M44" s="802"/>
      <c r="N44" s="1612" t="n">
        <f aca="false">DataDE1c!X68/DataDE1c!W68</f>
        <v>0.304779947537161</v>
      </c>
      <c r="O44" s="1135" t="n">
        <f aca="false">DataDE1c!AD68/DataDE1c!W68</f>
        <v>0.695220052462839</v>
      </c>
      <c r="R44" s="502" t="n">
        <f aca="false">N44+O44-1</f>
        <v>0</v>
      </c>
    </row>
    <row r="45" customFormat="false" ht="12" hidden="false" customHeight="true" outlineLevel="0" collapsed="false">
      <c r="A45" s="76" t="n">
        <v>1906</v>
      </c>
      <c r="B45" s="1353"/>
      <c r="C45" s="802"/>
      <c r="D45" s="802"/>
      <c r="E45" s="802"/>
      <c r="F45" s="802"/>
      <c r="G45" s="978"/>
      <c r="H45" s="1598"/>
      <c r="I45" s="1353"/>
      <c r="J45" s="802"/>
      <c r="K45" s="802"/>
      <c r="L45" s="802"/>
      <c r="M45" s="802"/>
      <c r="N45" s="1612" t="n">
        <f aca="false">DataDE1c!X69/DataDE1c!W69</f>
        <v>0.306053995091355</v>
      </c>
      <c r="O45" s="1135" t="n">
        <f aca="false">DataDE1c!AD69/DataDE1c!W69</f>
        <v>0.693946004908645</v>
      </c>
      <c r="R45" s="502" t="n">
        <f aca="false">N45+O45-1</f>
        <v>0</v>
      </c>
    </row>
    <row r="46" customFormat="false" ht="12" hidden="false" customHeight="true" outlineLevel="0" collapsed="false">
      <c r="A46" s="76" t="n">
        <v>1907</v>
      </c>
      <c r="B46" s="1353"/>
      <c r="C46" s="802"/>
      <c r="D46" s="802"/>
      <c r="E46" s="802"/>
      <c r="F46" s="802"/>
      <c r="G46" s="978"/>
      <c r="H46" s="1598"/>
      <c r="I46" s="1353"/>
      <c r="J46" s="802"/>
      <c r="K46" s="802"/>
      <c r="L46" s="802"/>
      <c r="M46" s="802"/>
      <c r="N46" s="1612" t="n">
        <f aca="false">DataDE1c!X70/DataDE1c!W70</f>
        <v>0.301857024622388</v>
      </c>
      <c r="O46" s="1135" t="n">
        <f aca="false">DataDE1c!AD70/DataDE1c!W70</f>
        <v>0.698142975377612</v>
      </c>
      <c r="R46" s="502" t="n">
        <f aca="false">N46+O46-1</f>
        <v>0</v>
      </c>
    </row>
    <row r="47" customFormat="false" ht="12" hidden="false" customHeight="true" outlineLevel="0" collapsed="false">
      <c r="A47" s="76" t="n">
        <v>1908</v>
      </c>
      <c r="B47" s="1353"/>
      <c r="C47" s="802"/>
      <c r="D47" s="802"/>
      <c r="E47" s="802"/>
      <c r="F47" s="802"/>
      <c r="G47" s="978"/>
      <c r="H47" s="1598"/>
      <c r="I47" s="1353"/>
      <c r="J47" s="802"/>
      <c r="K47" s="802"/>
      <c r="L47" s="802"/>
      <c r="M47" s="802"/>
      <c r="N47" s="1612" t="n">
        <f aca="false">DataDE1c!X71/DataDE1c!W71</f>
        <v>0.292538010482072</v>
      </c>
      <c r="O47" s="1135" t="n">
        <f aca="false">DataDE1c!AD71/DataDE1c!W71</f>
        <v>0.707461989517929</v>
      </c>
      <c r="R47" s="502" t="n">
        <f aca="false">N47+O47-1</f>
        <v>0</v>
      </c>
    </row>
    <row r="48" customFormat="false" ht="12" hidden="false" customHeight="true" outlineLevel="0" collapsed="false">
      <c r="A48" s="94" t="n">
        <v>1909</v>
      </c>
      <c r="B48" s="1613"/>
      <c r="C48" s="1614"/>
      <c r="D48" s="1614"/>
      <c r="E48" s="1614"/>
      <c r="F48" s="1614"/>
      <c r="G48" s="981"/>
      <c r="H48" s="1600"/>
      <c r="I48" s="1613"/>
      <c r="J48" s="1614"/>
      <c r="K48" s="1614"/>
      <c r="L48" s="1614"/>
      <c r="M48" s="1614"/>
      <c r="N48" s="1615" t="n">
        <f aca="false">DataDE1c!X72/DataDE1c!W72</f>
        <v>0.29229523134555</v>
      </c>
      <c r="O48" s="1142" t="n">
        <f aca="false">DataDE1c!AD72/DataDE1c!W72</f>
        <v>0.70770476865445</v>
      </c>
      <c r="R48" s="502" t="n">
        <f aca="false">N48+O48-1</f>
        <v>0</v>
      </c>
    </row>
    <row r="49" customFormat="false" ht="12" hidden="false" customHeight="true" outlineLevel="0" collapsed="false">
      <c r="A49" s="76" t="n">
        <v>1910</v>
      </c>
      <c r="B49" s="1353"/>
      <c r="C49" s="802"/>
      <c r="D49" s="802"/>
      <c r="E49" s="802"/>
      <c r="F49" s="802"/>
      <c r="G49" s="978"/>
      <c r="H49" s="1598"/>
      <c r="I49" s="1353"/>
      <c r="J49" s="802"/>
      <c r="K49" s="802"/>
      <c r="L49" s="802"/>
      <c r="M49" s="802"/>
      <c r="N49" s="1612" t="n">
        <f aca="false">DataDE1c!X73/DataDE1c!W73</f>
        <v>0.297481198519756</v>
      </c>
      <c r="O49" s="1135" t="n">
        <f aca="false">DataDE1c!AD73/DataDE1c!W73</f>
        <v>0.702518801480244</v>
      </c>
      <c r="R49" s="502" t="n">
        <f aca="false">N49+O49-1</f>
        <v>0</v>
      </c>
    </row>
    <row r="50" customFormat="false" ht="12" hidden="false" customHeight="true" outlineLevel="0" collapsed="false">
      <c r="A50" s="76" t="n">
        <v>1911</v>
      </c>
      <c r="B50" s="1353"/>
      <c r="C50" s="802"/>
      <c r="D50" s="802"/>
      <c r="E50" s="802"/>
      <c r="F50" s="802"/>
      <c r="G50" s="978"/>
      <c r="H50" s="1598"/>
      <c r="I50" s="1353"/>
      <c r="J50" s="802"/>
      <c r="K50" s="802"/>
      <c r="L50" s="802"/>
      <c r="M50" s="802"/>
      <c r="N50" s="1612" t="n">
        <f aca="false">DataDE1c!X74/DataDE1c!W74</f>
        <v>0.294610128071684</v>
      </c>
      <c r="O50" s="1135" t="n">
        <f aca="false">DataDE1c!AD74/DataDE1c!W74</f>
        <v>0.705389871928316</v>
      </c>
      <c r="R50" s="502" t="n">
        <f aca="false">N50+O50-1</f>
        <v>0</v>
      </c>
    </row>
    <row r="51" customFormat="false" ht="12" hidden="false" customHeight="true" outlineLevel="0" collapsed="false">
      <c r="A51" s="76" t="n">
        <v>1912</v>
      </c>
      <c r="B51" s="1353"/>
      <c r="C51" s="802"/>
      <c r="D51" s="802"/>
      <c r="E51" s="802"/>
      <c r="F51" s="802"/>
      <c r="G51" s="978"/>
      <c r="H51" s="1598"/>
      <c r="I51" s="1353"/>
      <c r="J51" s="802"/>
      <c r="K51" s="802"/>
      <c r="L51" s="802"/>
      <c r="M51" s="802"/>
      <c r="N51" s="1612" t="n">
        <f aca="false">DataDE1c!X75/DataDE1c!W75</f>
        <v>0.306059452830986</v>
      </c>
      <c r="O51" s="1135" t="n">
        <f aca="false">DataDE1c!AD75/DataDE1c!W75</f>
        <v>0.693940547169014</v>
      </c>
      <c r="R51" s="502" t="n">
        <f aca="false">N51+O51-1</f>
        <v>0</v>
      </c>
    </row>
    <row r="52" customFormat="false" ht="12" hidden="false" customHeight="true" outlineLevel="0" collapsed="false">
      <c r="A52" s="76" t="n">
        <v>1913</v>
      </c>
      <c r="B52" s="1353"/>
      <c r="C52" s="802"/>
      <c r="D52" s="802"/>
      <c r="E52" s="802"/>
      <c r="F52" s="802"/>
      <c r="G52" s="978"/>
      <c r="H52" s="1598"/>
      <c r="I52" s="1353"/>
      <c r="J52" s="802"/>
      <c r="K52" s="802"/>
      <c r="L52" s="802"/>
      <c r="M52" s="802"/>
      <c r="N52" s="1612" t="n">
        <f aca="false">DataDE1c!X76/DataDE1c!W76</f>
        <v>0.30106954063025</v>
      </c>
      <c r="O52" s="1135" t="n">
        <f aca="false">DataDE1c!AD76/DataDE1c!W76</f>
        <v>0.69893045936975</v>
      </c>
      <c r="R52" s="502" t="n">
        <f aca="false">N52+O52-1</f>
        <v>0</v>
      </c>
    </row>
    <row r="53" customFormat="false" ht="12" hidden="false" customHeight="true" outlineLevel="0" collapsed="false">
      <c r="A53" s="76" t="n">
        <v>1914</v>
      </c>
      <c r="B53" s="1353"/>
      <c r="C53" s="802"/>
      <c r="D53" s="802"/>
      <c r="E53" s="802"/>
      <c r="F53" s="802"/>
      <c r="G53" s="1621"/>
      <c r="H53" s="1598"/>
      <c r="I53" s="1353"/>
      <c r="J53" s="802"/>
      <c r="K53" s="802"/>
      <c r="L53" s="802"/>
      <c r="M53" s="802"/>
      <c r="N53" s="1612" t="n">
        <f aca="false">1-O53</f>
        <v>0.274</v>
      </c>
      <c r="O53" s="1135" t="n">
        <v>0.726</v>
      </c>
      <c r="R53" s="1594"/>
    </row>
    <row r="54" customFormat="false" ht="12" hidden="false" customHeight="true" outlineLevel="0" collapsed="false">
      <c r="A54" s="76" t="n">
        <v>1915</v>
      </c>
      <c r="B54" s="1353"/>
      <c r="C54" s="802"/>
      <c r="D54" s="802"/>
      <c r="E54" s="802"/>
      <c r="F54" s="802"/>
      <c r="G54" s="1621"/>
      <c r="H54" s="1598"/>
      <c r="I54" s="1353"/>
      <c r="J54" s="802"/>
      <c r="K54" s="802"/>
      <c r="L54" s="802"/>
      <c r="M54" s="802"/>
      <c r="N54" s="1612" t="n">
        <f aca="false">1-O54</f>
        <v>0.258</v>
      </c>
      <c r="O54" s="1135" t="n">
        <v>0.742</v>
      </c>
      <c r="R54" s="1594"/>
    </row>
    <row r="55" customFormat="false" ht="12" hidden="false" customHeight="true" outlineLevel="0" collapsed="false">
      <c r="A55" s="76" t="n">
        <v>1916</v>
      </c>
      <c r="B55" s="1353"/>
      <c r="C55" s="802"/>
      <c r="D55" s="802"/>
      <c r="E55" s="802"/>
      <c r="F55" s="802"/>
      <c r="G55" s="1621"/>
      <c r="H55" s="1598"/>
      <c r="I55" s="1353"/>
      <c r="J55" s="802"/>
      <c r="K55" s="802"/>
      <c r="L55" s="802"/>
      <c r="M55" s="802"/>
      <c r="N55" s="1612" t="n">
        <f aca="false">1-O55</f>
        <v>0.294</v>
      </c>
      <c r="O55" s="1135" t="n">
        <v>0.706</v>
      </c>
      <c r="R55" s="1594"/>
    </row>
    <row r="56" customFormat="false" ht="12" hidden="false" customHeight="true" outlineLevel="0" collapsed="false">
      <c r="A56" s="76" t="n">
        <v>1917</v>
      </c>
      <c r="B56" s="1353"/>
      <c r="C56" s="802"/>
      <c r="D56" s="802"/>
      <c r="E56" s="802"/>
      <c r="F56" s="802"/>
      <c r="G56" s="1621"/>
      <c r="H56" s="1598"/>
      <c r="I56" s="1353"/>
      <c r="J56" s="802"/>
      <c r="K56" s="802"/>
      <c r="L56" s="802"/>
      <c r="M56" s="802"/>
      <c r="N56" s="1612" t="n">
        <f aca="false">1-O56</f>
        <v>0.304</v>
      </c>
      <c r="O56" s="1135" t="n">
        <v>0.696</v>
      </c>
      <c r="R56" s="1594"/>
    </row>
    <row r="57" customFormat="false" ht="12" hidden="false" customHeight="true" outlineLevel="0" collapsed="false">
      <c r="A57" s="76" t="n">
        <v>1918</v>
      </c>
      <c r="B57" s="1353"/>
      <c r="C57" s="802"/>
      <c r="D57" s="802"/>
      <c r="E57" s="802"/>
      <c r="F57" s="802"/>
      <c r="G57" s="1621"/>
      <c r="H57" s="1598"/>
      <c r="I57" s="1353"/>
      <c r="J57" s="802"/>
      <c r="K57" s="802"/>
      <c r="L57" s="802"/>
      <c r="M57" s="802"/>
      <c r="N57" s="1612"/>
      <c r="O57" s="1135"/>
      <c r="R57" s="1594"/>
    </row>
    <row r="58" customFormat="false" ht="12" hidden="false" customHeight="true" outlineLevel="0" collapsed="false">
      <c r="A58" s="94" t="n">
        <v>1919</v>
      </c>
      <c r="B58" s="1613"/>
      <c r="C58" s="1614"/>
      <c r="D58" s="1614"/>
      <c r="E58" s="1614"/>
      <c r="F58" s="1614"/>
      <c r="G58" s="1622"/>
      <c r="H58" s="1600"/>
      <c r="I58" s="1613"/>
      <c r="J58" s="1614"/>
      <c r="K58" s="1614"/>
      <c r="L58" s="1614"/>
      <c r="M58" s="1614"/>
      <c r="N58" s="1615"/>
      <c r="O58" s="1142"/>
      <c r="R58" s="1594"/>
    </row>
    <row r="59" customFormat="false" ht="12" hidden="false" customHeight="true" outlineLevel="0" collapsed="false">
      <c r="A59" s="76" t="n">
        <v>1920</v>
      </c>
      <c r="B59" s="1353"/>
      <c r="C59" s="802"/>
      <c r="D59" s="802"/>
      <c r="E59" s="802"/>
      <c r="F59" s="802"/>
      <c r="G59" s="1621"/>
      <c r="H59" s="1598"/>
      <c r="I59" s="1353"/>
      <c r="J59" s="802"/>
      <c r="K59" s="802"/>
      <c r="L59" s="802"/>
      <c r="M59" s="802"/>
      <c r="N59" s="1612"/>
      <c r="O59" s="1135"/>
      <c r="R59" s="1594"/>
    </row>
    <row r="60" customFormat="false" ht="12" hidden="false" customHeight="true" outlineLevel="0" collapsed="false">
      <c r="A60" s="76" t="n">
        <v>1921</v>
      </c>
      <c r="B60" s="1353"/>
      <c r="C60" s="802"/>
      <c r="D60" s="802"/>
      <c r="E60" s="802"/>
      <c r="F60" s="802"/>
      <c r="G60" s="1621"/>
      <c r="H60" s="1598"/>
      <c r="I60" s="1353"/>
      <c r="J60" s="802"/>
      <c r="K60" s="802"/>
      <c r="L60" s="802"/>
      <c r="M60" s="802"/>
      <c r="N60" s="1612"/>
      <c r="O60" s="1135"/>
      <c r="R60" s="1594"/>
    </row>
    <row r="61" customFormat="false" ht="12" hidden="false" customHeight="true" outlineLevel="0" collapsed="false">
      <c r="A61" s="76" t="n">
        <v>1922</v>
      </c>
      <c r="B61" s="1353"/>
      <c r="C61" s="802"/>
      <c r="D61" s="802"/>
      <c r="E61" s="802"/>
      <c r="F61" s="802"/>
      <c r="G61" s="1621"/>
      <c r="H61" s="1598"/>
      <c r="I61" s="1353"/>
      <c r="J61" s="802"/>
      <c r="K61" s="802"/>
      <c r="L61" s="802"/>
      <c r="M61" s="802"/>
      <c r="N61" s="1612"/>
      <c r="O61" s="1135"/>
      <c r="R61" s="1594"/>
    </row>
    <row r="62" customFormat="false" ht="12" hidden="false" customHeight="true" outlineLevel="0" collapsed="false">
      <c r="A62" s="76" t="n">
        <v>1923</v>
      </c>
      <c r="B62" s="1353"/>
      <c r="C62" s="802"/>
      <c r="D62" s="802"/>
      <c r="E62" s="802"/>
      <c r="F62" s="802"/>
      <c r="G62" s="1621"/>
      <c r="H62" s="1598"/>
      <c r="I62" s="1353"/>
      <c r="J62" s="802"/>
      <c r="K62" s="802"/>
      <c r="L62" s="802"/>
      <c r="M62" s="802"/>
      <c r="N62" s="1612"/>
      <c r="O62" s="1135"/>
      <c r="R62" s="1594"/>
    </row>
    <row r="63" customFormat="false" ht="12" hidden="false" customHeight="true" outlineLevel="0" collapsed="false">
      <c r="A63" s="76" t="n">
        <v>1924</v>
      </c>
      <c r="B63" s="1353"/>
      <c r="C63" s="802"/>
      <c r="D63" s="802"/>
      <c r="E63" s="802"/>
      <c r="F63" s="802"/>
      <c r="G63" s="1621"/>
      <c r="H63" s="1598"/>
      <c r="I63" s="1353"/>
      <c r="J63" s="802"/>
      <c r="K63" s="802"/>
      <c r="L63" s="802"/>
      <c r="M63" s="802"/>
      <c r="N63" s="1612"/>
      <c r="O63" s="1135"/>
      <c r="R63" s="1594"/>
    </row>
    <row r="64" customFormat="false" ht="12" hidden="false" customHeight="true" outlineLevel="0" collapsed="false">
      <c r="A64" s="76" t="n">
        <v>1925</v>
      </c>
      <c r="B64" s="1353"/>
      <c r="C64" s="802"/>
      <c r="D64" s="802"/>
      <c r="E64" s="802"/>
      <c r="F64" s="802"/>
      <c r="G64" s="978"/>
      <c r="H64" s="1598"/>
      <c r="I64" s="1353"/>
      <c r="J64" s="802"/>
      <c r="K64" s="802"/>
      <c r="L64" s="802"/>
      <c r="M64" s="802"/>
      <c r="N64" s="1612" t="n">
        <f aca="false">DataDE1c!X88/DataDE1c!W88</f>
        <v>0.255647562014364</v>
      </c>
      <c r="O64" s="1135" t="n">
        <f aca="false">DataDE1c!AD88/DataDE1c!W88</f>
        <v>0.744352437985636</v>
      </c>
      <c r="R64" s="502" t="n">
        <f aca="false">N64+O64-1</f>
        <v>0</v>
      </c>
    </row>
    <row r="65" customFormat="false" ht="12" hidden="false" customHeight="true" outlineLevel="0" collapsed="false">
      <c r="A65" s="76" t="n">
        <v>1926</v>
      </c>
      <c r="B65" s="1353"/>
      <c r="C65" s="802"/>
      <c r="D65" s="802"/>
      <c r="E65" s="802"/>
      <c r="F65" s="802"/>
      <c r="G65" s="978"/>
      <c r="H65" s="1598"/>
      <c r="I65" s="1353"/>
      <c r="J65" s="802"/>
      <c r="K65" s="802"/>
      <c r="L65" s="802"/>
      <c r="M65" s="802"/>
      <c r="N65" s="1612" t="n">
        <f aca="false">DataDE1c!X89/DataDE1c!W89</f>
        <v>0.26796310960212</v>
      </c>
      <c r="O65" s="1135" t="n">
        <f aca="false">DataDE1c!AD89/DataDE1c!W89</f>
        <v>0.73203689039788</v>
      </c>
      <c r="R65" s="502" t="n">
        <f aca="false">N65+O65-1</f>
        <v>0</v>
      </c>
    </row>
    <row r="66" customFormat="false" ht="12" hidden="false" customHeight="true" outlineLevel="0" collapsed="false">
      <c r="A66" s="76" t="n">
        <v>1927</v>
      </c>
      <c r="B66" s="1353"/>
      <c r="C66" s="802"/>
      <c r="D66" s="802"/>
      <c r="E66" s="802"/>
      <c r="F66" s="802"/>
      <c r="G66" s="978"/>
      <c r="H66" s="1598"/>
      <c r="I66" s="1353"/>
      <c r="J66" s="802"/>
      <c r="K66" s="802"/>
      <c r="L66" s="802"/>
      <c r="M66" s="802"/>
      <c r="N66" s="1612" t="n">
        <f aca="false">DataDE1c!X90/DataDE1c!W90</f>
        <v>0.258347215013198</v>
      </c>
      <c r="O66" s="1135" t="n">
        <f aca="false">DataDE1c!AD90/DataDE1c!W90</f>
        <v>0.741652784986802</v>
      </c>
      <c r="R66" s="502" t="n">
        <f aca="false">N66+O66-1</f>
        <v>0</v>
      </c>
    </row>
    <row r="67" customFormat="false" ht="12" hidden="false" customHeight="true" outlineLevel="0" collapsed="false">
      <c r="A67" s="76" t="n">
        <v>1928</v>
      </c>
      <c r="B67" s="1353"/>
      <c r="C67" s="802"/>
      <c r="D67" s="802"/>
      <c r="E67" s="802"/>
      <c r="F67" s="802"/>
      <c r="G67" s="978"/>
      <c r="H67" s="1598"/>
      <c r="I67" s="1353"/>
      <c r="J67" s="802"/>
      <c r="K67" s="802"/>
      <c r="L67" s="802"/>
      <c r="M67" s="802"/>
      <c r="N67" s="1612" t="n">
        <f aca="false">DataDE1c!X91/DataDE1c!W91</f>
        <v>0.243362206097662</v>
      </c>
      <c r="O67" s="1135" t="n">
        <f aca="false">DataDE1c!AD91/DataDE1c!W91</f>
        <v>0.756637793902338</v>
      </c>
      <c r="R67" s="502" t="n">
        <f aca="false">N67+O67-1</f>
        <v>0</v>
      </c>
    </row>
    <row r="68" customFormat="false" ht="12" hidden="false" customHeight="true" outlineLevel="0" collapsed="false">
      <c r="A68" s="94" t="n">
        <v>1929</v>
      </c>
      <c r="B68" s="1613"/>
      <c r="C68" s="1614"/>
      <c r="D68" s="1614"/>
      <c r="E68" s="1614"/>
      <c r="F68" s="1614"/>
      <c r="G68" s="981"/>
      <c r="H68" s="1600"/>
      <c r="I68" s="1613"/>
      <c r="J68" s="1614"/>
      <c r="K68" s="1614"/>
      <c r="L68" s="1614"/>
      <c r="M68" s="1614"/>
      <c r="N68" s="1615" t="n">
        <f aca="false">DataDE1c!X92/DataDE1c!W92</f>
        <v>0.238445868954738</v>
      </c>
      <c r="O68" s="1142" t="n">
        <f aca="false">DataDE1c!AD92/DataDE1c!W92</f>
        <v>0.761554131045263</v>
      </c>
      <c r="R68" s="502" t="n">
        <f aca="false">N68+O68-1</f>
        <v>0</v>
      </c>
    </row>
    <row r="69" customFormat="false" ht="12" hidden="false" customHeight="true" outlineLevel="0" collapsed="false">
      <c r="A69" s="76" t="n">
        <v>1930</v>
      </c>
      <c r="B69" s="1353"/>
      <c r="C69" s="802"/>
      <c r="D69" s="802"/>
      <c r="E69" s="802"/>
      <c r="F69" s="802"/>
      <c r="G69" s="978"/>
      <c r="H69" s="1598"/>
      <c r="I69" s="1353"/>
      <c r="J69" s="802"/>
      <c r="K69" s="802"/>
      <c r="L69" s="802"/>
      <c r="M69" s="802"/>
      <c r="N69" s="1612" t="n">
        <f aca="false">DataDE1c!X93/DataDE1c!W93</f>
        <v>0.221432319959718</v>
      </c>
      <c r="O69" s="1135" t="n">
        <f aca="false">DataDE1c!AD93/DataDE1c!W93</f>
        <v>0.778567680040282</v>
      </c>
      <c r="R69" s="502" t="n">
        <f aca="false">N69+O69-1</f>
        <v>0</v>
      </c>
    </row>
    <row r="70" customFormat="false" ht="12" hidden="false" customHeight="true" outlineLevel="0" collapsed="false">
      <c r="A70" s="76" t="n">
        <v>1931</v>
      </c>
      <c r="B70" s="1353"/>
      <c r="C70" s="802"/>
      <c r="D70" s="802"/>
      <c r="E70" s="802"/>
      <c r="F70" s="802"/>
      <c r="G70" s="978"/>
      <c r="H70" s="1598"/>
      <c r="I70" s="1353"/>
      <c r="J70" s="802"/>
      <c r="K70" s="802"/>
      <c r="L70" s="802"/>
      <c r="M70" s="802"/>
      <c r="N70" s="1612" t="n">
        <f aca="false">DataDE1c!X94/DataDE1c!W94</f>
        <v>0.196970324053991</v>
      </c>
      <c r="O70" s="1135" t="n">
        <f aca="false">DataDE1c!AD94/DataDE1c!W94</f>
        <v>0.803029675946009</v>
      </c>
      <c r="R70" s="502" t="n">
        <f aca="false">N70+O70-1</f>
        <v>0</v>
      </c>
    </row>
    <row r="71" customFormat="false" ht="12" hidden="false" customHeight="true" outlineLevel="0" collapsed="false">
      <c r="A71" s="76" t="n">
        <v>1932</v>
      </c>
      <c r="B71" s="1353"/>
      <c r="C71" s="802"/>
      <c r="D71" s="802"/>
      <c r="E71" s="802"/>
      <c r="F71" s="802"/>
      <c r="G71" s="978"/>
      <c r="H71" s="1598"/>
      <c r="I71" s="1353"/>
      <c r="J71" s="802"/>
      <c r="K71" s="802"/>
      <c r="L71" s="802"/>
      <c r="M71" s="802"/>
      <c r="N71" s="1612" t="n">
        <f aca="false">DataDE1c!X95/DataDE1c!W95</f>
        <v>0.195119867592602</v>
      </c>
      <c r="O71" s="1135" t="n">
        <f aca="false">DataDE1c!AD95/DataDE1c!W95</f>
        <v>0.804880132407398</v>
      </c>
      <c r="R71" s="502" t="n">
        <f aca="false">N71+O71-1</f>
        <v>0</v>
      </c>
    </row>
    <row r="72" customFormat="false" ht="12" hidden="false" customHeight="true" outlineLevel="0" collapsed="false">
      <c r="A72" s="76" t="n">
        <v>1933</v>
      </c>
      <c r="B72" s="1353"/>
      <c r="C72" s="802"/>
      <c r="D72" s="802"/>
      <c r="E72" s="802"/>
      <c r="F72" s="802"/>
      <c r="G72" s="978"/>
      <c r="H72" s="1598"/>
      <c r="I72" s="1353"/>
      <c r="J72" s="802"/>
      <c r="K72" s="802"/>
      <c r="L72" s="802"/>
      <c r="M72" s="802"/>
      <c r="N72" s="1612" t="n">
        <f aca="false">DataDE1c!X96/DataDE1c!W96</f>
        <v>0.201406751216177</v>
      </c>
      <c r="O72" s="1135" t="n">
        <f aca="false">DataDE1c!AD96/DataDE1c!W96</f>
        <v>0.798593248783823</v>
      </c>
      <c r="R72" s="502" t="n">
        <f aca="false">N72+O72-1</f>
        <v>0</v>
      </c>
    </row>
    <row r="73" customFormat="false" ht="12" hidden="false" customHeight="true" outlineLevel="0" collapsed="false">
      <c r="A73" s="76" t="n">
        <v>1934</v>
      </c>
      <c r="B73" s="1353"/>
      <c r="C73" s="802"/>
      <c r="D73" s="802"/>
      <c r="E73" s="802"/>
      <c r="F73" s="802"/>
      <c r="G73" s="978"/>
      <c r="H73" s="1598"/>
      <c r="I73" s="1353"/>
      <c r="J73" s="802"/>
      <c r="K73" s="802"/>
      <c r="L73" s="802"/>
      <c r="M73" s="802"/>
      <c r="N73" s="1612" t="n">
        <f aca="false">DataDE1c!X97/DataDE1c!W97</f>
        <v>0.227433849820321</v>
      </c>
      <c r="O73" s="1135" t="n">
        <f aca="false">DataDE1c!AD97/DataDE1c!W97</f>
        <v>0.772566150179679</v>
      </c>
      <c r="R73" s="502" t="n">
        <f aca="false">N73+O73-1</f>
        <v>0</v>
      </c>
    </row>
    <row r="74" customFormat="false" ht="12" hidden="false" customHeight="true" outlineLevel="0" collapsed="false">
      <c r="A74" s="76" t="n">
        <v>1935</v>
      </c>
      <c r="B74" s="1353"/>
      <c r="C74" s="802"/>
      <c r="D74" s="802"/>
      <c r="E74" s="802"/>
      <c r="F74" s="802"/>
      <c r="G74" s="978"/>
      <c r="H74" s="1598"/>
      <c r="I74" s="1353"/>
      <c r="J74" s="802"/>
      <c r="K74" s="802"/>
      <c r="L74" s="802"/>
      <c r="M74" s="802"/>
      <c r="N74" s="1612" t="n">
        <f aca="false">DataDE1c!X98/DataDE1c!W98</f>
        <v>0.246881987951252</v>
      </c>
      <c r="O74" s="1135" t="n">
        <f aca="false">DataDE1c!AD98/DataDE1c!W98</f>
        <v>0.753118012048748</v>
      </c>
      <c r="R74" s="502" t="n">
        <f aca="false">N74+O74-1</f>
        <v>0</v>
      </c>
    </row>
    <row r="75" customFormat="false" ht="12" hidden="false" customHeight="true" outlineLevel="0" collapsed="false">
      <c r="A75" s="76" t="n">
        <v>1936</v>
      </c>
      <c r="B75" s="1353"/>
      <c r="C75" s="802"/>
      <c r="D75" s="802"/>
      <c r="E75" s="802"/>
      <c r="F75" s="802"/>
      <c r="G75" s="978"/>
      <c r="H75" s="1598"/>
      <c r="I75" s="1353"/>
      <c r="J75" s="802"/>
      <c r="K75" s="802"/>
      <c r="L75" s="802"/>
      <c r="M75" s="802"/>
      <c r="N75" s="1612" t="n">
        <f aca="false">DataDE1c!X99/DataDE1c!W99</f>
        <v>0.259108424125681</v>
      </c>
      <c r="O75" s="1135" t="n">
        <f aca="false">DataDE1c!AD99/DataDE1c!W99</f>
        <v>0.740891575874319</v>
      </c>
      <c r="R75" s="502" t="n">
        <f aca="false">N75+O75-1</f>
        <v>0</v>
      </c>
    </row>
    <row r="76" customFormat="false" ht="12" hidden="false" customHeight="true" outlineLevel="0" collapsed="false">
      <c r="A76" s="76" t="n">
        <v>1937</v>
      </c>
      <c r="B76" s="1353"/>
      <c r="C76" s="802"/>
      <c r="D76" s="802"/>
      <c r="E76" s="802"/>
      <c r="F76" s="802"/>
      <c r="G76" s="978"/>
      <c r="H76" s="1598"/>
      <c r="I76" s="1353"/>
      <c r="J76" s="802"/>
      <c r="K76" s="802"/>
      <c r="L76" s="802"/>
      <c r="M76" s="802"/>
      <c r="N76" s="1612" t="n">
        <f aca="false">DataDE1c!X100/DataDE1c!W100</f>
        <v>0.292063760723853</v>
      </c>
      <c r="O76" s="1135" t="n">
        <f aca="false">DataDE1c!AD100/DataDE1c!W100</f>
        <v>0.707936239276147</v>
      </c>
      <c r="R76" s="502" t="n">
        <f aca="false">N76+O76-1</f>
        <v>0</v>
      </c>
    </row>
    <row r="77" customFormat="false" ht="12" hidden="false" customHeight="true" outlineLevel="0" collapsed="false">
      <c r="A77" s="76" t="n">
        <v>1938</v>
      </c>
      <c r="B77" s="1353"/>
      <c r="C77" s="802"/>
      <c r="D77" s="802"/>
      <c r="E77" s="802"/>
      <c r="F77" s="802"/>
      <c r="G77" s="978"/>
      <c r="H77" s="1598"/>
      <c r="I77" s="1353"/>
      <c r="J77" s="802"/>
      <c r="K77" s="802"/>
      <c r="L77" s="802"/>
      <c r="M77" s="802"/>
      <c r="N77" s="1612" t="n">
        <f aca="false">DataDE1c!X101/DataDE1c!W101</f>
        <v>0.300568633723819</v>
      </c>
      <c r="O77" s="1135" t="n">
        <f aca="false">DataDE1c!AD101/DataDE1c!W101</f>
        <v>0.699431366276181</v>
      </c>
      <c r="R77" s="502" t="n">
        <f aca="false">N77+O77-1</f>
        <v>0</v>
      </c>
    </row>
    <row r="78" customFormat="false" ht="12" hidden="false" customHeight="true" outlineLevel="0" collapsed="false">
      <c r="A78" s="94" t="n">
        <v>1939</v>
      </c>
      <c r="B78" s="1613"/>
      <c r="C78" s="1614"/>
      <c r="D78" s="1614"/>
      <c r="E78" s="1614"/>
      <c r="F78" s="1614"/>
      <c r="G78" s="981"/>
      <c r="H78" s="1600"/>
      <c r="I78" s="1613"/>
      <c r="J78" s="1614"/>
      <c r="K78" s="1614"/>
      <c r="L78" s="1614"/>
      <c r="M78" s="1614"/>
      <c r="N78" s="1615"/>
      <c r="O78" s="1142"/>
      <c r="R78" s="1594"/>
    </row>
    <row r="79" customFormat="false" ht="12" hidden="false" customHeight="true" outlineLevel="0" collapsed="false">
      <c r="A79" s="76" t="n">
        <v>1940</v>
      </c>
      <c r="B79" s="1353"/>
      <c r="C79" s="802"/>
      <c r="D79" s="802"/>
      <c r="E79" s="802"/>
      <c r="F79" s="802"/>
      <c r="G79" s="1621"/>
      <c r="H79" s="1598"/>
      <c r="I79" s="1353"/>
      <c r="J79" s="802"/>
      <c r="K79" s="802"/>
      <c r="L79" s="802"/>
      <c r="M79" s="802"/>
      <c r="N79" s="1612"/>
      <c r="O79" s="1135"/>
      <c r="R79" s="1594"/>
    </row>
    <row r="80" customFormat="false" ht="12" hidden="false" customHeight="true" outlineLevel="0" collapsed="false">
      <c r="A80" s="76" t="n">
        <v>1941</v>
      </c>
      <c r="B80" s="1353"/>
      <c r="C80" s="802"/>
      <c r="D80" s="802"/>
      <c r="E80" s="802"/>
      <c r="F80" s="802"/>
      <c r="G80" s="1621"/>
      <c r="H80" s="1598"/>
      <c r="I80" s="1353"/>
      <c r="J80" s="802"/>
      <c r="K80" s="802"/>
      <c r="L80" s="802"/>
      <c r="M80" s="802"/>
      <c r="N80" s="1612"/>
      <c r="O80" s="1135"/>
      <c r="R80" s="1594"/>
    </row>
    <row r="81" customFormat="false" ht="12" hidden="false" customHeight="true" outlineLevel="0" collapsed="false">
      <c r="A81" s="76" t="n">
        <v>1942</v>
      </c>
      <c r="B81" s="1353"/>
      <c r="C81" s="802"/>
      <c r="D81" s="802"/>
      <c r="E81" s="802"/>
      <c r="F81" s="802"/>
      <c r="G81" s="1621"/>
      <c r="H81" s="1598"/>
      <c r="I81" s="1353"/>
      <c r="J81" s="802"/>
      <c r="K81" s="802"/>
      <c r="L81" s="802"/>
      <c r="M81" s="802"/>
      <c r="N81" s="1612"/>
      <c r="O81" s="1135"/>
      <c r="R81" s="1594"/>
    </row>
    <row r="82" customFormat="false" ht="12" hidden="false" customHeight="true" outlineLevel="0" collapsed="false">
      <c r="A82" s="76" t="n">
        <v>1943</v>
      </c>
      <c r="B82" s="1353"/>
      <c r="C82" s="802"/>
      <c r="D82" s="802"/>
      <c r="E82" s="802"/>
      <c r="F82" s="802"/>
      <c r="G82" s="1621"/>
      <c r="H82" s="1598"/>
      <c r="I82" s="1353"/>
      <c r="J82" s="802"/>
      <c r="K82" s="802"/>
      <c r="L82" s="802"/>
      <c r="M82" s="802"/>
      <c r="N82" s="1612"/>
      <c r="O82" s="1135"/>
      <c r="R82" s="1594"/>
    </row>
    <row r="83" customFormat="false" ht="12" hidden="false" customHeight="true" outlineLevel="0" collapsed="false">
      <c r="A83" s="76" t="n">
        <v>1944</v>
      </c>
      <c r="B83" s="1353"/>
      <c r="C83" s="802"/>
      <c r="D83" s="802"/>
      <c r="E83" s="802"/>
      <c r="F83" s="802"/>
      <c r="G83" s="1621"/>
      <c r="H83" s="1598"/>
      <c r="I83" s="1353"/>
      <c r="J83" s="802"/>
      <c r="K83" s="802"/>
      <c r="L83" s="802"/>
      <c r="M83" s="802"/>
      <c r="N83" s="1612"/>
      <c r="O83" s="1135"/>
      <c r="R83" s="1594"/>
    </row>
    <row r="84" customFormat="false" ht="12" hidden="false" customHeight="true" outlineLevel="0" collapsed="false">
      <c r="A84" s="76" t="n">
        <v>1945</v>
      </c>
      <c r="B84" s="1353"/>
      <c r="C84" s="802"/>
      <c r="D84" s="802"/>
      <c r="E84" s="802"/>
      <c r="F84" s="802"/>
      <c r="G84" s="1621"/>
      <c r="H84" s="1598"/>
      <c r="I84" s="1353"/>
      <c r="J84" s="802"/>
      <c r="K84" s="802"/>
      <c r="L84" s="802"/>
      <c r="M84" s="802"/>
      <c r="N84" s="1612"/>
      <c r="O84" s="1135"/>
      <c r="R84" s="1594"/>
    </row>
    <row r="85" customFormat="false" ht="12" hidden="false" customHeight="true" outlineLevel="0" collapsed="false">
      <c r="A85" s="76" t="n">
        <v>1946</v>
      </c>
      <c r="B85" s="1353"/>
      <c r="C85" s="802"/>
      <c r="D85" s="802"/>
      <c r="E85" s="802"/>
      <c r="F85" s="802"/>
      <c r="G85" s="1621"/>
      <c r="H85" s="1598"/>
      <c r="I85" s="1353"/>
      <c r="J85" s="802"/>
      <c r="K85" s="802"/>
      <c r="L85" s="802"/>
      <c r="M85" s="802"/>
      <c r="N85" s="1612"/>
      <c r="O85" s="1135"/>
      <c r="R85" s="1594"/>
    </row>
    <row r="86" customFormat="false" ht="12" hidden="false" customHeight="true" outlineLevel="0" collapsed="false">
      <c r="A86" s="76" t="n">
        <v>1947</v>
      </c>
      <c r="B86" s="1353"/>
      <c r="C86" s="802"/>
      <c r="D86" s="802"/>
      <c r="E86" s="802"/>
      <c r="F86" s="802"/>
      <c r="G86" s="1621"/>
      <c r="H86" s="1598"/>
      <c r="I86" s="1353"/>
      <c r="J86" s="802"/>
      <c r="K86" s="802"/>
      <c r="L86" s="802"/>
      <c r="M86" s="802"/>
      <c r="N86" s="1612"/>
      <c r="O86" s="1135"/>
      <c r="R86" s="1594"/>
    </row>
    <row r="87" customFormat="false" ht="12" hidden="false" customHeight="true" outlineLevel="0" collapsed="false">
      <c r="A87" s="76" t="n">
        <v>1948</v>
      </c>
      <c r="B87" s="1353"/>
      <c r="C87" s="802"/>
      <c r="D87" s="802"/>
      <c r="E87" s="802"/>
      <c r="F87" s="802"/>
      <c r="G87" s="1621"/>
      <c r="H87" s="1598"/>
      <c r="I87" s="1353"/>
      <c r="J87" s="802"/>
      <c r="K87" s="802"/>
      <c r="L87" s="802"/>
      <c r="M87" s="802"/>
      <c r="N87" s="1612"/>
      <c r="O87" s="1135"/>
      <c r="R87" s="1594"/>
    </row>
    <row r="88" customFormat="false" ht="12" hidden="false" customHeight="true" outlineLevel="0" collapsed="false">
      <c r="A88" s="94" t="n">
        <v>1949</v>
      </c>
      <c r="B88" s="1613"/>
      <c r="C88" s="1614"/>
      <c r="D88" s="1614"/>
      <c r="E88" s="1614"/>
      <c r="F88" s="1614"/>
      <c r="G88" s="1622"/>
      <c r="H88" s="1600"/>
      <c r="I88" s="1613"/>
      <c r="J88" s="1614"/>
      <c r="K88" s="1614"/>
      <c r="L88" s="1614"/>
      <c r="M88" s="1614"/>
      <c r="N88" s="1615"/>
      <c r="O88" s="1142"/>
      <c r="R88" s="1594"/>
    </row>
    <row r="89" customFormat="false" ht="12" hidden="false" customHeight="false" outlineLevel="0" collapsed="false">
      <c r="A89" s="416" t="n">
        <v>1950</v>
      </c>
      <c r="B89" s="1155" t="n">
        <f aca="false">TableDE11a!B90/(1-TableDE9!$J9)</f>
        <v>0.210585682989255</v>
      </c>
      <c r="C89" s="514"/>
      <c r="D89" s="514"/>
      <c r="E89" s="514"/>
      <c r="F89" s="514" t="n">
        <f aca="false">TableDE11a!F90/(1-TableDE9!$J9)</f>
        <v>-0.000288101177331839</v>
      </c>
      <c r="G89" s="514" t="n">
        <f aca="false">TableDE11a!G90/(1-TableDE9!$J9)</f>
        <v>-0.0072493896583821</v>
      </c>
      <c r="H89" s="1403"/>
      <c r="I89" s="1155" t="n">
        <f aca="false">TableDE11a!I90/(1-TableDE9!$J9)</f>
        <v>0.782164927352363</v>
      </c>
      <c r="J89" s="514" t="n">
        <f aca="false">TableDE11a!J90/(1-TableDE9!$J9)</f>
        <v>0.473441108990044</v>
      </c>
      <c r="K89" s="514" t="n">
        <f aca="false">TableDE11a!K90/(1-TableDE9!$J9)</f>
        <v>0.0707465017420489</v>
      </c>
      <c r="L89" s="514" t="n">
        <f aca="false">TableDE11a!L90/(1-TableDE9!$J9)</f>
        <v>0.220321957136672</v>
      </c>
      <c r="M89" s="514" t="n">
        <f aca="false">TableDE11a!M90/(1-TableDE9!$J9)</f>
        <v>0.0176553594835981</v>
      </c>
      <c r="N89" s="829" t="n">
        <f aca="false">(TableDE11a!B90-TableDE11a!G90)/(1-TableDE9!$J9)</f>
        <v>0.217835072647638</v>
      </c>
      <c r="O89" s="1149" t="n">
        <f aca="false">TableDE11a!$I90/(1-TableDE9!$J9)</f>
        <v>0.782164927352363</v>
      </c>
      <c r="P89" s="580"/>
      <c r="Q89" s="580"/>
      <c r="R89" s="502" t="n">
        <f aca="false">N89+O89-1</f>
        <v>0</v>
      </c>
      <c r="S89" s="580" t="n">
        <f aca="false">B89-G89+J89+K89+L89+M89</f>
        <v>1</v>
      </c>
    </row>
    <row r="90" customFormat="false" ht="12" hidden="false" customHeight="false" outlineLevel="0" collapsed="false">
      <c r="A90" s="416" t="n">
        <f aca="false">A89+1</f>
        <v>1951</v>
      </c>
      <c r="B90" s="1155" t="n">
        <f aca="false">TableDE11a!B91/(1-TableDE9!$J10)</f>
        <v>0.222223342787</v>
      </c>
      <c r="C90" s="514"/>
      <c r="D90" s="514"/>
      <c r="E90" s="514"/>
      <c r="F90" s="514" t="n">
        <f aca="false">TableDE11a!F91/(1-TableDE9!$J10)</f>
        <v>-0.00109946586599352</v>
      </c>
      <c r="G90" s="514" t="n">
        <f aca="false">TableDE11a!G91/(1-TableDE9!$J10)</f>
        <v>-0.0105178108290399</v>
      </c>
      <c r="H90" s="1403"/>
      <c r="I90" s="1155" t="n">
        <f aca="false">TableDE11a!I91/(1-TableDE9!$J10)</f>
        <v>0.767258846383961</v>
      </c>
      <c r="J90" s="514" t="n">
        <f aca="false">TableDE11a!J91/(1-TableDE9!$J10)</f>
        <v>0.475629872159758</v>
      </c>
      <c r="K90" s="514" t="n">
        <f aca="false">TableDE11a!K91/(1-TableDE9!$J10)</f>
        <v>0.0685313405223951</v>
      </c>
      <c r="L90" s="514" t="n">
        <f aca="false">TableDE11a!L91/(1-TableDE9!$J10)</f>
        <v>0.207653746233558</v>
      </c>
      <c r="M90" s="514" t="n">
        <f aca="false">TableDE11a!M91/(1-TableDE9!$J10)</f>
        <v>0.0154438874682488</v>
      </c>
      <c r="N90" s="829" t="n">
        <f aca="false">(TableDE11a!B91-TableDE11a!G91)/(1-TableDE9!$J10)</f>
        <v>0.23274115361604</v>
      </c>
      <c r="O90" s="1149" t="n">
        <f aca="false">TableDE11a!$I91/(1-TableDE9!$J10)</f>
        <v>0.767258846383961</v>
      </c>
      <c r="P90" s="580"/>
      <c r="Q90" s="580"/>
      <c r="R90" s="502" t="n">
        <f aca="false">N90+O90-1</f>
        <v>0</v>
      </c>
      <c r="S90" s="580" t="n">
        <f aca="false">B90-G90+J90+K90+L90+M90</f>
        <v>1</v>
      </c>
    </row>
    <row r="91" customFormat="false" ht="12" hidden="false" customHeight="false" outlineLevel="0" collapsed="false">
      <c r="A91" s="416" t="n">
        <f aca="false">A90+1</f>
        <v>1952</v>
      </c>
      <c r="B91" s="1155" t="n">
        <f aca="false">TableDE11a!B92/(1-TableDE9!$J11)</f>
        <v>0.24459380172977</v>
      </c>
      <c r="C91" s="514"/>
      <c r="D91" s="514"/>
      <c r="E91" s="514"/>
      <c r="F91" s="514" t="n">
        <f aca="false">TableDE11a!F92/(1-TableDE9!$J11)</f>
        <v>-0.00138288571099097</v>
      </c>
      <c r="G91" s="514" t="n">
        <f aca="false">TableDE11a!G92/(1-TableDE9!$J11)</f>
        <v>-0.0095929856005189</v>
      </c>
      <c r="H91" s="1403"/>
      <c r="I91" s="1155" t="n">
        <f aca="false">TableDE11a!I92/(1-TableDE9!$J11)</f>
        <v>0.745813212669712</v>
      </c>
      <c r="J91" s="514" t="n">
        <f aca="false">TableDE11a!J92/(1-TableDE9!$J11)</f>
        <v>0.465055608337064</v>
      </c>
      <c r="K91" s="514" t="n">
        <f aca="false">TableDE11a!K92/(1-TableDE9!$J11)</f>
        <v>0.0710950746755518</v>
      </c>
      <c r="L91" s="514" t="n">
        <f aca="false">TableDE11a!L92/(1-TableDE9!$J11)</f>
        <v>0.194869928207446</v>
      </c>
      <c r="M91" s="514" t="n">
        <f aca="false">TableDE11a!M92/(1-TableDE9!$J11)</f>
        <v>0.0147926014496501</v>
      </c>
      <c r="N91" s="829" t="n">
        <f aca="false">(TableDE11a!B92-TableDE11a!G92)/(1-TableDE9!$J11)</f>
        <v>0.254186787330289</v>
      </c>
      <c r="O91" s="1149" t="n">
        <f aca="false">TableDE11a!$I92/(1-TableDE9!$J11)</f>
        <v>0.745813212669712</v>
      </c>
      <c r="P91" s="580"/>
      <c r="Q91" s="580"/>
      <c r="R91" s="502" t="n">
        <f aca="false">N91+O91-1</f>
        <v>0</v>
      </c>
      <c r="S91" s="580" t="n">
        <f aca="false">B91-G91+J91+K91+L91+M91</f>
        <v>1</v>
      </c>
    </row>
    <row r="92" customFormat="false" ht="12" hidden="false" customHeight="false" outlineLevel="0" collapsed="false">
      <c r="A92" s="416" t="n">
        <f aca="false">A91+1</f>
        <v>1953</v>
      </c>
      <c r="B92" s="1155" t="n">
        <f aca="false">TableDE11a!B93/(1-TableDE9!$J12)</f>
        <v>0.234071790375529</v>
      </c>
      <c r="C92" s="514"/>
      <c r="D92" s="514"/>
      <c r="E92" s="514"/>
      <c r="F92" s="514" t="n">
        <f aca="false">TableDE11a!F93/(1-TableDE9!$J12)</f>
        <v>-0.000977790116794344</v>
      </c>
      <c r="G92" s="514" t="n">
        <f aca="false">TableDE11a!G93/(1-TableDE9!$J12)</f>
        <v>-0.00826208892312738</v>
      </c>
      <c r="H92" s="1403"/>
      <c r="I92" s="1155" t="n">
        <f aca="false">TableDE11a!I93/(1-TableDE9!$J12)</f>
        <v>0.757666120701344</v>
      </c>
      <c r="J92" s="514" t="n">
        <f aca="false">TableDE11a!J93/(1-TableDE9!$J12)</f>
        <v>0.479750956393759</v>
      </c>
      <c r="K92" s="514" t="n">
        <f aca="false">TableDE11a!K93/(1-TableDE9!$J12)</f>
        <v>0.0747131902382161</v>
      </c>
      <c r="L92" s="514" t="n">
        <f aca="false">TableDE11a!L93/(1-TableDE9!$J12)</f>
        <v>0.190744474142316</v>
      </c>
      <c r="M92" s="514" t="n">
        <f aca="false">TableDE11a!M93/(1-TableDE9!$J12)</f>
        <v>0.012457499927052</v>
      </c>
      <c r="N92" s="829" t="n">
        <f aca="false">(TableDE11a!B93-TableDE11a!G93)/(1-TableDE9!$J12)</f>
        <v>0.242333879298656</v>
      </c>
      <c r="O92" s="1149" t="n">
        <f aca="false">TableDE11a!$I93/(1-TableDE9!$J12)</f>
        <v>0.757666120701344</v>
      </c>
      <c r="P92" s="580"/>
      <c r="Q92" s="580"/>
      <c r="R92" s="502" t="n">
        <f aca="false">N92+O92-1</f>
        <v>0</v>
      </c>
      <c r="S92" s="580" t="n">
        <f aca="false">B92-G92+J92+K92+L92+M92</f>
        <v>1</v>
      </c>
    </row>
    <row r="93" customFormat="false" ht="12" hidden="false" customHeight="false" outlineLevel="0" collapsed="false">
      <c r="A93" s="416" t="n">
        <f aca="false">A92+1</f>
        <v>1954</v>
      </c>
      <c r="B93" s="1155" t="n">
        <f aca="false">TableDE11a!B94/(1-TableDE9!$J13)</f>
        <v>0.223798658804942</v>
      </c>
      <c r="C93" s="514"/>
      <c r="D93" s="514"/>
      <c r="E93" s="514"/>
      <c r="F93" s="514" t="n">
        <f aca="false">TableDE11a!F94/(1-TableDE9!$J13)</f>
        <v>-0.00391591742409293</v>
      </c>
      <c r="G93" s="514" t="n">
        <f aca="false">TableDE11a!G94/(1-TableDE9!$J13)</f>
        <v>-0.0117229784004663</v>
      </c>
      <c r="H93" s="1403"/>
      <c r="I93" s="1155" t="n">
        <f aca="false">TableDE11a!I94/(1-TableDE9!$J13)</f>
        <v>0.764478362794592</v>
      </c>
      <c r="J93" s="514" t="n">
        <f aca="false">TableDE11a!J94/(1-TableDE9!$J13)</f>
        <v>0.491645274057557</v>
      </c>
      <c r="K93" s="514" t="n">
        <f aca="false">TableDE11a!K94/(1-TableDE9!$J13)</f>
        <v>0.0760325213121579</v>
      </c>
      <c r="L93" s="514" t="n">
        <f aca="false">TableDE11a!L94/(1-TableDE9!$J13)</f>
        <v>0.185510118207996</v>
      </c>
      <c r="M93" s="514" t="n">
        <f aca="false">TableDE11a!M94/(1-TableDE9!$J13)</f>
        <v>0.0112904492168803</v>
      </c>
      <c r="N93" s="829" t="n">
        <f aca="false">(TableDE11a!B94-TableDE11a!G94)/(1-TableDE9!$J13)</f>
        <v>0.235521637205408</v>
      </c>
      <c r="O93" s="1149" t="n">
        <f aca="false">TableDE11a!$I94/(1-TableDE9!$J13)</f>
        <v>0.764478362794592</v>
      </c>
      <c r="P93" s="580"/>
      <c r="Q93" s="580"/>
      <c r="R93" s="502" t="n">
        <f aca="false">N93+O93-1</f>
        <v>0</v>
      </c>
      <c r="S93" s="580" t="n">
        <f aca="false">B93-G93+J93+K93+L93+M93</f>
        <v>1</v>
      </c>
    </row>
    <row r="94" customFormat="false" ht="12" hidden="false" customHeight="false" outlineLevel="0" collapsed="false">
      <c r="A94" s="416" t="n">
        <f aca="false">A93+1</f>
        <v>1955</v>
      </c>
      <c r="B94" s="1155" t="n">
        <f aca="false">TableDE11a!B95/(1-TableDE9!$J14)</f>
        <v>0.241013127977007</v>
      </c>
      <c r="C94" s="514"/>
      <c r="D94" s="514"/>
      <c r="E94" s="514"/>
      <c r="F94" s="514" t="n">
        <f aca="false">TableDE11a!F95/(1-TableDE9!$J14)</f>
        <v>-0.00441047764594352</v>
      </c>
      <c r="G94" s="514" t="n">
        <f aca="false">TableDE11a!G95/(1-TableDE9!$J14)</f>
        <v>-0.00996300526168686</v>
      </c>
      <c r="H94" s="1403"/>
      <c r="I94" s="1155" t="n">
        <f aca="false">TableDE11a!I95/(1-TableDE9!$J14)</f>
        <v>0.749023866761306</v>
      </c>
      <c r="J94" s="514" t="n">
        <f aca="false">TableDE11a!J95/(1-TableDE9!$J14)</f>
        <v>0.491605114911312</v>
      </c>
      <c r="K94" s="514" t="n">
        <f aca="false">TableDE11a!K95/(1-TableDE9!$J14)</f>
        <v>0.0730074378855713</v>
      </c>
      <c r="L94" s="514" t="n">
        <f aca="false">TableDE11a!L95/(1-TableDE9!$J14)</f>
        <v>0.173794370873445</v>
      </c>
      <c r="M94" s="514" t="n">
        <f aca="false">TableDE11a!M95/(1-TableDE9!$J14)</f>
        <v>0.0106169430909779</v>
      </c>
      <c r="N94" s="829" t="n">
        <f aca="false">(TableDE11a!B95-TableDE11a!G95)/(1-TableDE9!$J14)</f>
        <v>0.250976133238694</v>
      </c>
      <c r="O94" s="1149" t="n">
        <f aca="false">TableDE11a!$I95/(1-TableDE9!$J14)</f>
        <v>0.749023866761306</v>
      </c>
      <c r="P94" s="580"/>
      <c r="Q94" s="580"/>
      <c r="R94" s="502" t="n">
        <f aca="false">N94+O94-1</f>
        <v>0</v>
      </c>
      <c r="S94" s="580" t="n">
        <f aca="false">B94-G94+J94+K94+L94+M94</f>
        <v>1</v>
      </c>
    </row>
    <row r="95" customFormat="false" ht="12" hidden="false" customHeight="false" outlineLevel="0" collapsed="false">
      <c r="A95" s="416" t="n">
        <f aca="false">A94+1</f>
        <v>1956</v>
      </c>
      <c r="B95" s="1155" t="n">
        <f aca="false">TableDE11a!B96/(1-TableDE9!$J15)</f>
        <v>0.239002850880478</v>
      </c>
      <c r="C95" s="514"/>
      <c r="D95" s="514"/>
      <c r="E95" s="514"/>
      <c r="F95" s="514" t="n">
        <f aca="false">TableDE11a!F96/(1-TableDE9!$J15)</f>
        <v>-0.0031320164790377</v>
      </c>
      <c r="G95" s="514" t="n">
        <f aca="false">TableDE11a!G96/(1-TableDE9!$J15)</f>
        <v>-0.0115505153806575</v>
      </c>
      <c r="H95" s="1403"/>
      <c r="I95" s="1155" t="n">
        <f aca="false">TableDE11a!I96/(1-TableDE9!$J15)</f>
        <v>0.749446633738865</v>
      </c>
      <c r="J95" s="514" t="n">
        <f aca="false">TableDE11a!J96/(1-TableDE9!$J15)</f>
        <v>0.496864415055027</v>
      </c>
      <c r="K95" s="514" t="n">
        <f aca="false">TableDE11a!K96/(1-TableDE9!$J15)</f>
        <v>0.0757673705547488</v>
      </c>
      <c r="L95" s="514" t="n">
        <f aca="false">TableDE11a!L96/(1-TableDE9!$J15)</f>
        <v>0.168096826496282</v>
      </c>
      <c r="M95" s="514" t="n">
        <f aca="false">TableDE11a!M96/(1-TableDE9!$J15)</f>
        <v>0.00871802163280674</v>
      </c>
      <c r="N95" s="829" t="n">
        <f aca="false">(TableDE11a!B96-TableDE11a!G96)/(1-TableDE9!$J15)</f>
        <v>0.250553366261135</v>
      </c>
      <c r="O95" s="1149" t="n">
        <f aca="false">TableDE11a!$I96/(1-TableDE9!$J15)</f>
        <v>0.749446633738865</v>
      </c>
      <c r="P95" s="580"/>
      <c r="Q95" s="580"/>
      <c r="R95" s="502" t="n">
        <f aca="false">N95+O95-1</f>
        <v>0</v>
      </c>
      <c r="S95" s="580" t="n">
        <f aca="false">B95-G95+J95+K95+L95+M95</f>
        <v>1</v>
      </c>
    </row>
    <row r="96" customFormat="false" ht="12" hidden="false" customHeight="false" outlineLevel="0" collapsed="false">
      <c r="A96" s="416" t="n">
        <f aca="false">A95+1</f>
        <v>1957</v>
      </c>
      <c r="B96" s="1155" t="n">
        <f aca="false">TableDE11a!B97/(1-TableDE9!$J16)</f>
        <v>0.244759195853942</v>
      </c>
      <c r="C96" s="514"/>
      <c r="D96" s="514"/>
      <c r="E96" s="514"/>
      <c r="F96" s="514" t="n">
        <f aca="false">TableDE11a!F97/(1-TableDE9!$J16)</f>
        <v>-0.00256402268770678</v>
      </c>
      <c r="G96" s="514" t="n">
        <f aca="false">TableDE11a!G97/(1-TableDE9!$J16)</f>
        <v>-0.00996613102370911</v>
      </c>
      <c r="H96" s="1403"/>
      <c r="I96" s="1155" t="n">
        <f aca="false">TableDE11a!I97/(1-TableDE9!$J16)</f>
        <v>0.745274673122349</v>
      </c>
      <c r="J96" s="514" t="n">
        <f aca="false">TableDE11a!J97/(1-TableDE9!$J16)</f>
        <v>0.495568536870909</v>
      </c>
      <c r="K96" s="514" t="n">
        <f aca="false">TableDE11a!K97/(1-TableDE9!$J16)</f>
        <v>0.0785880454142943</v>
      </c>
      <c r="L96" s="514" t="n">
        <f aca="false">TableDE11a!L97/(1-TableDE9!$J16)</f>
        <v>0.163355992010702</v>
      </c>
      <c r="M96" s="514" t="n">
        <f aca="false">TableDE11a!M97/(1-TableDE9!$J16)</f>
        <v>0.00776209882644344</v>
      </c>
      <c r="N96" s="829" t="n">
        <f aca="false">(TableDE11a!B97-TableDE11a!G97)/(1-TableDE9!$J16)</f>
        <v>0.254725326877651</v>
      </c>
      <c r="O96" s="1149" t="n">
        <f aca="false">TableDE11a!$I97/(1-TableDE9!$J16)</f>
        <v>0.745274673122349</v>
      </c>
      <c r="P96" s="580"/>
      <c r="Q96" s="580"/>
      <c r="R96" s="502" t="n">
        <f aca="false">N96+O96-1</f>
        <v>0</v>
      </c>
      <c r="S96" s="580" t="n">
        <f aca="false">B96-G96+J96+K96+L96+M96</f>
        <v>1</v>
      </c>
    </row>
    <row r="97" customFormat="false" ht="12" hidden="false" customHeight="false" outlineLevel="0" collapsed="false">
      <c r="A97" s="416" t="n">
        <f aca="false">A96+1</f>
        <v>1958</v>
      </c>
      <c r="B97" s="1155" t="n">
        <f aca="false">TableDE11a!B98/(1-TableDE9!$J17)</f>
        <v>0.242640518186274</v>
      </c>
      <c r="C97" s="514"/>
      <c r="D97" s="514"/>
      <c r="E97" s="514"/>
      <c r="F97" s="514" t="n">
        <f aca="false">TableDE11a!F98/(1-TableDE9!$J17)</f>
        <v>-0.00323922210578701</v>
      </c>
      <c r="G97" s="514" t="n">
        <f aca="false">TableDE11a!G98/(1-TableDE9!$J17)</f>
        <v>-0.0075513745382456</v>
      </c>
      <c r="H97" s="1403"/>
      <c r="I97" s="1155" t="n">
        <f aca="false">TableDE11a!I98/(1-TableDE9!$J17)</f>
        <v>0.74980810727548</v>
      </c>
      <c r="J97" s="514" t="n">
        <f aca="false">TableDE11a!J98/(1-TableDE9!$J17)</f>
        <v>0.49620870961158</v>
      </c>
      <c r="K97" s="514" t="n">
        <f aca="false">TableDE11a!K98/(1-TableDE9!$J17)</f>
        <v>0.0842061180485364</v>
      </c>
      <c r="L97" s="514" t="n">
        <f aca="false">TableDE11a!L98/(1-TableDE9!$J17)</f>
        <v>0.162739043239842</v>
      </c>
      <c r="M97" s="514" t="n">
        <f aca="false">TableDE11a!M98/(1-TableDE9!$J17)</f>
        <v>0.00665423637552158</v>
      </c>
      <c r="N97" s="829" t="n">
        <f aca="false">(TableDE11a!B98-TableDE11a!G98)/(1-TableDE9!$J17)</f>
        <v>0.25019189272452</v>
      </c>
      <c r="O97" s="1149" t="n">
        <f aca="false">TableDE11a!$I98/(1-TableDE9!$J17)</f>
        <v>0.74980810727548</v>
      </c>
      <c r="P97" s="580"/>
      <c r="Q97" s="580"/>
      <c r="R97" s="502" t="n">
        <f aca="false">N97+O97-1</f>
        <v>0</v>
      </c>
      <c r="S97" s="580" t="n">
        <f aca="false">B97-G97+J97+K97+L97+M97</f>
        <v>1</v>
      </c>
    </row>
    <row r="98" customFormat="false" ht="12" hidden="false" customHeight="false" outlineLevel="0" collapsed="false">
      <c r="A98" s="436" t="n">
        <f aca="false">A97+1</f>
        <v>1959</v>
      </c>
      <c r="B98" s="1158" t="n">
        <f aca="false">TableDE11a!B99/(1-TableDE9!$J18)</f>
        <v>0.255245958048576</v>
      </c>
      <c r="C98" s="842"/>
      <c r="D98" s="842"/>
      <c r="E98" s="842"/>
      <c r="F98" s="842" t="n">
        <f aca="false">TableDE11a!F99/(1-TableDE9!$J18)</f>
        <v>-0.00468021264783484</v>
      </c>
      <c r="G98" s="842" t="n">
        <f aca="false">TableDE11a!G99/(1-TableDE9!$J18)</f>
        <v>-0.00881680801063355</v>
      </c>
      <c r="H98" s="1404"/>
      <c r="I98" s="1158" t="n">
        <f aca="false">TableDE11a!I99/(1-TableDE9!$J18)</f>
        <v>0.73593723394079</v>
      </c>
      <c r="J98" s="842" t="n">
        <f aca="false">TableDE11a!J99/(1-TableDE9!$J18)</f>
        <v>0.492537503312107</v>
      </c>
      <c r="K98" s="842" t="n">
        <f aca="false">TableDE11a!K99/(1-TableDE9!$J18)</f>
        <v>0.0812869794069241</v>
      </c>
      <c r="L98" s="842" t="n">
        <f aca="false">TableDE11a!L99/(1-TableDE9!$J18)</f>
        <v>0.156283882874405</v>
      </c>
      <c r="M98" s="842" t="n">
        <f aca="false">TableDE11a!M99/(1-TableDE9!$J18)</f>
        <v>0.00582886834735398</v>
      </c>
      <c r="N98" s="1498" t="n">
        <f aca="false">(TableDE11a!B99-TableDE11a!G99)/(1-TableDE9!$J18)</f>
        <v>0.26406276605921</v>
      </c>
      <c r="O98" s="1148" t="n">
        <f aca="false">TableDE11a!$I99/(1-TableDE9!$J18)</f>
        <v>0.73593723394079</v>
      </c>
      <c r="P98" s="580"/>
      <c r="Q98" s="580"/>
      <c r="R98" s="502" t="n">
        <f aca="false">N98+O98-1</f>
        <v>0</v>
      </c>
      <c r="S98" s="580" t="n">
        <f aca="false">B98-G98+J98+K98+L98+M98</f>
        <v>1</v>
      </c>
    </row>
    <row r="99" customFormat="false" ht="12" hidden="false" customHeight="false" outlineLevel="0" collapsed="false">
      <c r="A99" s="416" t="n">
        <f aca="false">A98+1</f>
        <v>1960</v>
      </c>
      <c r="B99" s="1155" t="n">
        <f aca="false">TableDE11a!B100/(1-TableDE9!$J19)</f>
        <v>0.266819433448415</v>
      </c>
      <c r="C99" s="514"/>
      <c r="D99" s="514"/>
      <c r="E99" s="514"/>
      <c r="F99" s="514" t="n">
        <f aca="false">TableDE11a!F100/(1-TableDE9!$J19)</f>
        <v>-0.00305611649222746</v>
      </c>
      <c r="G99" s="514" t="n">
        <f aca="false">TableDE11a!G100/(1-TableDE9!$J19)</f>
        <v>-0.0082254924468625</v>
      </c>
      <c r="H99" s="1403"/>
      <c r="I99" s="1155" t="n">
        <f aca="false">TableDE11a!I100/(1-TableDE9!$J19)</f>
        <v>0.724955074104723</v>
      </c>
      <c r="J99" s="514" t="n">
        <f aca="false">TableDE11a!J100/(1-TableDE9!$J19)</f>
        <v>0.48954408142573</v>
      </c>
      <c r="K99" s="514" t="n">
        <f aca="false">TableDE11a!K100/(1-TableDE9!$J19)</f>
        <v>0.0813063526007565</v>
      </c>
      <c r="L99" s="514" t="n">
        <f aca="false">TableDE11a!L100/(1-TableDE9!$J19)</f>
        <v>0.149054098543567</v>
      </c>
      <c r="M99" s="514" t="n">
        <f aca="false">TableDE11a!M100/(1-TableDE9!$J19)</f>
        <v>0.00505054153466837</v>
      </c>
      <c r="N99" s="829" t="n">
        <f aca="false">(TableDE11a!B100-TableDE11a!G100)/(1-TableDE9!$J19)</f>
        <v>0.275044925895278</v>
      </c>
      <c r="O99" s="1149" t="n">
        <f aca="false">TableDE11a!$I100/(1-TableDE9!$J19)</f>
        <v>0.724955074104723</v>
      </c>
      <c r="P99" s="580"/>
      <c r="Q99" s="580"/>
      <c r="R99" s="502" t="n">
        <f aca="false">N99+O99-1</f>
        <v>0</v>
      </c>
      <c r="S99" s="580" t="n">
        <f aca="false">B99-G99+J99+K99+L99+M99</f>
        <v>1</v>
      </c>
    </row>
    <row r="100" customFormat="false" ht="12" hidden="false" customHeight="false" outlineLevel="0" collapsed="false">
      <c r="A100" s="416" t="n">
        <f aca="false">A99+1</f>
        <v>1961</v>
      </c>
      <c r="B100" s="1155" t="n">
        <f aca="false">TableDE11a!B101/(1-TableDE9!$J20)</f>
        <v>0.245001757767506</v>
      </c>
      <c r="C100" s="514"/>
      <c r="D100" s="514"/>
      <c r="E100" s="514"/>
      <c r="F100" s="514" t="n">
        <f aca="false">TableDE11a!F101/(1-TableDE9!$J20)</f>
        <v>-0.00446615417602165</v>
      </c>
      <c r="G100" s="514" t="n">
        <f aca="false">TableDE11a!G101/(1-TableDE9!$J20)</f>
        <v>-0.00914646995873887</v>
      </c>
      <c r="H100" s="1403"/>
      <c r="I100" s="1155" t="n">
        <f aca="false">TableDE11a!I101/(1-TableDE9!$J20)</f>
        <v>0.745851772273755</v>
      </c>
      <c r="J100" s="514" t="n">
        <f aca="false">TableDE11a!J101/(1-TableDE9!$J20)</f>
        <v>0.507582267988983</v>
      </c>
      <c r="K100" s="514" t="n">
        <f aca="false">TableDE11a!K101/(1-TableDE9!$J20)</f>
        <v>0.0858466072644116</v>
      </c>
      <c r="L100" s="514" t="n">
        <f aca="false">TableDE11a!L101/(1-TableDE9!$J20)</f>
        <v>0.147989765548738</v>
      </c>
      <c r="M100" s="514" t="n">
        <f aca="false">TableDE11a!M101/(1-TableDE9!$J20)</f>
        <v>0.00443313147162284</v>
      </c>
      <c r="N100" s="829" t="n">
        <f aca="false">(TableDE11a!B101-TableDE11a!G101)/(1-TableDE9!$J20)</f>
        <v>0.254148227726244</v>
      </c>
      <c r="O100" s="1149" t="n">
        <f aca="false">TableDE11a!$I101/(1-TableDE9!$J20)</f>
        <v>0.745851772273755</v>
      </c>
      <c r="P100" s="580"/>
      <c r="Q100" s="580"/>
      <c r="R100" s="502" t="n">
        <f aca="false">N100+O100-1</f>
        <v>0</v>
      </c>
      <c r="S100" s="580" t="n">
        <f aca="false">B100-G100+J100+K100+L100+M100</f>
        <v>1</v>
      </c>
    </row>
    <row r="101" customFormat="false" ht="12" hidden="false" customHeight="false" outlineLevel="0" collapsed="false">
      <c r="A101" s="416" t="n">
        <f aca="false">A100+1</f>
        <v>1962</v>
      </c>
      <c r="B101" s="1155" t="n">
        <f aca="false">TableDE11a!B102/(1-TableDE9!$J21)</f>
        <v>0.236353170747936</v>
      </c>
      <c r="C101" s="514"/>
      <c r="D101" s="514"/>
      <c r="E101" s="514"/>
      <c r="F101" s="514" t="n">
        <f aca="false">TableDE11a!F102/(1-TableDE9!$J21)</f>
        <v>-0.00437726670187832</v>
      </c>
      <c r="G101" s="514" t="n">
        <f aca="false">TableDE11a!G102/(1-TableDE9!$J21)</f>
        <v>-0.00818398585817354</v>
      </c>
      <c r="H101" s="1403"/>
      <c r="I101" s="1155" t="n">
        <f aca="false">TableDE11a!I102/(1-TableDE9!$J21)</f>
        <v>0.755462843393891</v>
      </c>
      <c r="J101" s="514" t="n">
        <f aca="false">TableDE11a!J102/(1-TableDE9!$J21)</f>
        <v>0.520277305922547</v>
      </c>
      <c r="K101" s="514" t="n">
        <f aca="false">TableDE11a!K102/(1-TableDE9!$J21)</f>
        <v>0.0866306983410797</v>
      </c>
      <c r="L101" s="514" t="n">
        <f aca="false">TableDE11a!L102/(1-TableDE9!$J21)</f>
        <v>0.144043784703828</v>
      </c>
      <c r="M101" s="514" t="n">
        <f aca="false">TableDE11a!M102/(1-TableDE9!$J21)</f>
        <v>0.00451105442643562</v>
      </c>
      <c r="N101" s="829" t="n">
        <f aca="false">(TableDE11a!B102-TableDE11a!G102)/(1-TableDE9!$J21)</f>
        <v>0.244537156606109</v>
      </c>
      <c r="O101" s="1149" t="n">
        <f aca="false">TableDE11a!$I102/(1-TableDE9!$J21)</f>
        <v>0.755462843393891</v>
      </c>
      <c r="P101" s="580"/>
      <c r="Q101" s="580"/>
      <c r="R101" s="502" t="n">
        <f aca="false">N101+O101-1</f>
        <v>0</v>
      </c>
      <c r="S101" s="580" t="n">
        <f aca="false">B101-G101+J101+K101+L101+M101</f>
        <v>1</v>
      </c>
    </row>
    <row r="102" customFormat="false" ht="12" hidden="false" customHeight="false" outlineLevel="0" collapsed="false">
      <c r="A102" s="416" t="n">
        <f aca="false">A101+1</f>
        <v>1963</v>
      </c>
      <c r="B102" s="1155" t="n">
        <f aca="false">TableDE11a!B103/(1-TableDE9!$J22)</f>
        <v>0.236026718696745</v>
      </c>
      <c r="C102" s="514"/>
      <c r="D102" s="514"/>
      <c r="E102" s="514"/>
      <c r="F102" s="514" t="n">
        <f aca="false">TableDE11a!F103/(1-TableDE9!$J22)</f>
        <v>-0.00411625370343662</v>
      </c>
      <c r="G102" s="514" t="n">
        <f aca="false">TableDE11a!G103/(1-TableDE9!$J22)</f>
        <v>-0.00836381708350974</v>
      </c>
      <c r="H102" s="1403"/>
      <c r="I102" s="1155" t="n">
        <f aca="false">TableDE11a!I103/(1-TableDE9!$J22)</f>
        <v>0.755609464219745</v>
      </c>
      <c r="J102" s="514" t="n">
        <f aca="false">TableDE11a!J103/(1-TableDE9!$J22)</f>
        <v>0.521087084248692</v>
      </c>
      <c r="K102" s="514" t="n">
        <f aca="false">TableDE11a!K103/(1-TableDE9!$J22)</f>
        <v>0.0910392005123461</v>
      </c>
      <c r="L102" s="514" t="n">
        <f aca="false">TableDE11a!L103/(1-TableDE9!$J22)</f>
        <v>0.139203640599414</v>
      </c>
      <c r="M102" s="514" t="n">
        <f aca="false">TableDE11a!M103/(1-TableDE9!$J22)</f>
        <v>0.00427953885929297</v>
      </c>
      <c r="N102" s="829" t="n">
        <f aca="false">(TableDE11a!B103-TableDE11a!G103)/(1-TableDE9!$J22)</f>
        <v>0.244390535780255</v>
      </c>
      <c r="O102" s="1149" t="n">
        <f aca="false">TableDE11a!$I103/(1-TableDE9!$J22)</f>
        <v>0.755609464219745</v>
      </c>
      <c r="P102" s="580"/>
      <c r="Q102" s="580"/>
      <c r="R102" s="502" t="n">
        <f aca="false">N102+O102-1</f>
        <v>0</v>
      </c>
      <c r="S102" s="580" t="n">
        <f aca="false">B102-G102+J102+K102+L102+M102</f>
        <v>1</v>
      </c>
    </row>
    <row r="103" customFormat="false" ht="12" hidden="false" customHeight="false" outlineLevel="0" collapsed="false">
      <c r="A103" s="416" t="n">
        <f aca="false">A102+1</f>
        <v>1964</v>
      </c>
      <c r="B103" s="1155" t="n">
        <f aca="false">TableDE11a!B104/(1-TableDE9!$J23)</f>
        <v>0.24156811156112</v>
      </c>
      <c r="C103" s="514"/>
      <c r="D103" s="514"/>
      <c r="E103" s="514"/>
      <c r="F103" s="514" t="n">
        <f aca="false">TableDE11a!F104/(1-TableDE9!$J23)</f>
        <v>-0.00437411101467562</v>
      </c>
      <c r="G103" s="514" t="n">
        <f aca="false">TableDE11a!G104/(1-TableDE9!$J23)</f>
        <v>-0.0076977883494791</v>
      </c>
      <c r="H103" s="1403"/>
      <c r="I103" s="1155" t="n">
        <f aca="false">TableDE11a!I104/(1-TableDE9!$J23)</f>
        <v>0.750734100089401</v>
      </c>
      <c r="J103" s="514" t="n">
        <f aca="false">TableDE11a!J104/(1-TableDE9!$J23)</f>
        <v>0.523786580358542</v>
      </c>
      <c r="K103" s="514" t="n">
        <f aca="false">TableDE11a!K104/(1-TableDE9!$J23)</f>
        <v>0.0904556378751042</v>
      </c>
      <c r="L103" s="514" t="n">
        <f aca="false">TableDE11a!L104/(1-TableDE9!$J23)</f>
        <v>0.132743856602872</v>
      </c>
      <c r="M103" s="514" t="n">
        <f aca="false">TableDE11a!M104/(1-TableDE9!$J23)</f>
        <v>0.00374802525288334</v>
      </c>
      <c r="N103" s="829" t="n">
        <f aca="false">(TableDE11a!B104-TableDE11a!G104)/(1-TableDE9!$J23)</f>
        <v>0.249265899910599</v>
      </c>
      <c r="O103" s="1149" t="n">
        <f aca="false">TableDE11a!$I104/(1-TableDE9!$J23)</f>
        <v>0.750734100089401</v>
      </c>
      <c r="P103" s="580"/>
      <c r="Q103" s="580"/>
      <c r="R103" s="502" t="n">
        <f aca="false">N103+O103-1</f>
        <v>0</v>
      </c>
      <c r="S103" s="580" t="n">
        <f aca="false">B103-G103+J103+K103+L103+M103</f>
        <v>1</v>
      </c>
    </row>
    <row r="104" customFormat="false" ht="12" hidden="false" customHeight="false" outlineLevel="0" collapsed="false">
      <c r="A104" s="416" t="n">
        <f aca="false">A103+1</f>
        <v>1965</v>
      </c>
      <c r="B104" s="1155" t="n">
        <f aca="false">TableDE11a!B105/(1-TableDE9!$J24)</f>
        <v>0.238336360442188</v>
      </c>
      <c r="C104" s="514"/>
      <c r="D104" s="514"/>
      <c r="E104" s="514"/>
      <c r="F104" s="514" t="n">
        <f aca="false">TableDE11a!F105/(1-TableDE9!$J24)</f>
        <v>-0.00469955685813739</v>
      </c>
      <c r="G104" s="514" t="n">
        <f aca="false">TableDE11a!G105/(1-TableDE9!$J24)</f>
        <v>-0.00689519707185434</v>
      </c>
      <c r="H104" s="1403"/>
      <c r="I104" s="1155" t="n">
        <f aca="false">TableDE11a!I105/(1-TableDE9!$J24)</f>
        <v>0.754768442485958</v>
      </c>
      <c r="J104" s="514" t="n">
        <f aca="false">TableDE11a!J105/(1-TableDE9!$J24)</f>
        <v>0.528343678878093</v>
      </c>
      <c r="K104" s="514" t="n">
        <f aca="false">TableDE11a!K105/(1-TableDE9!$J24)</f>
        <v>0.0939949246397903</v>
      </c>
      <c r="L104" s="514" t="n">
        <f aca="false">TableDE11a!L105/(1-TableDE9!$J24)</f>
        <v>0.129192985257672</v>
      </c>
      <c r="M104" s="514" t="n">
        <f aca="false">TableDE11a!M105/(1-TableDE9!$J24)</f>
        <v>0.00323685371040296</v>
      </c>
      <c r="N104" s="829" t="n">
        <f aca="false">(TableDE11a!B105-TableDE11a!G105)/(1-TableDE9!$J24)</f>
        <v>0.245231557514042</v>
      </c>
      <c r="O104" s="1149" t="n">
        <f aca="false">TableDE11a!$I105/(1-TableDE9!$J24)</f>
        <v>0.754768442485958</v>
      </c>
      <c r="P104" s="580"/>
      <c r="Q104" s="580"/>
      <c r="R104" s="502" t="n">
        <f aca="false">N104+O104-1</f>
        <v>0</v>
      </c>
      <c r="S104" s="580" t="n">
        <f aca="false">B104-G104+J104+K104+L104+M104</f>
        <v>1</v>
      </c>
    </row>
    <row r="105" customFormat="false" ht="12" hidden="false" customHeight="false" outlineLevel="0" collapsed="false">
      <c r="A105" s="416" t="n">
        <f aca="false">A104+1</f>
        <v>1966</v>
      </c>
      <c r="B105" s="1155" t="n">
        <f aca="false">TableDE11a!B106/(1-TableDE9!$J25)</f>
        <v>0.229486994013115</v>
      </c>
      <c r="C105" s="514"/>
      <c r="D105" s="514"/>
      <c r="E105" s="514"/>
      <c r="F105" s="514" t="n">
        <f aca="false">TableDE11a!F106/(1-TableDE9!$J25)</f>
        <v>-0.00425411823926759</v>
      </c>
      <c r="G105" s="514" t="n">
        <f aca="false">TableDE11a!G106/(1-TableDE9!$J25)</f>
        <v>-0.00578130774868763</v>
      </c>
      <c r="H105" s="1403"/>
      <c r="I105" s="1155" t="n">
        <f aca="false">TableDE11a!I106/(1-TableDE9!$J25)</f>
        <v>0.764731698238197</v>
      </c>
      <c r="J105" s="514" t="n">
        <f aca="false">TableDE11a!J106/(1-TableDE9!$J25)</f>
        <v>0.53354407028125</v>
      </c>
      <c r="K105" s="514" t="n">
        <f aca="false">TableDE11a!K106/(1-TableDE9!$J25)</f>
        <v>0.0991142863242097</v>
      </c>
      <c r="L105" s="514" t="n">
        <f aca="false">TableDE11a!L106/(1-TableDE9!$J25)</f>
        <v>0.128859701965771</v>
      </c>
      <c r="M105" s="514" t="n">
        <f aca="false">TableDE11a!M106/(1-TableDE9!$J25)</f>
        <v>0.00321363966696717</v>
      </c>
      <c r="N105" s="829" t="n">
        <f aca="false">(TableDE11a!B106-TableDE11a!G106)/(1-TableDE9!$J25)</f>
        <v>0.235268301761803</v>
      </c>
      <c r="O105" s="1149" t="n">
        <f aca="false">TableDE11a!$I106/(1-TableDE9!$J25)</f>
        <v>0.764731698238197</v>
      </c>
      <c r="P105" s="580"/>
      <c r="Q105" s="580"/>
      <c r="R105" s="502" t="n">
        <f aca="false">N105+O105-1</f>
        <v>0</v>
      </c>
      <c r="S105" s="580" t="n">
        <f aca="false">B105-G105+J105+K105+L105+M105</f>
        <v>1</v>
      </c>
    </row>
    <row r="106" customFormat="false" ht="12" hidden="false" customHeight="false" outlineLevel="0" collapsed="false">
      <c r="A106" s="416" t="n">
        <f aca="false">A105+1</f>
        <v>1967</v>
      </c>
      <c r="B106" s="1155" t="n">
        <f aca="false">TableDE11a!B107/(1-TableDE9!$J26)</f>
        <v>0.233038345247298</v>
      </c>
      <c r="C106" s="514"/>
      <c r="D106" s="514"/>
      <c r="E106" s="514"/>
      <c r="F106" s="514" t="n">
        <f aca="false">TableDE11a!F107/(1-TableDE9!$J26)</f>
        <v>-0.00439993067811312</v>
      </c>
      <c r="G106" s="514" t="n">
        <f aca="false">TableDE11a!G107/(1-TableDE9!$J26)</f>
        <v>-0.00398762090031842</v>
      </c>
      <c r="H106" s="1403"/>
      <c r="I106" s="1155" t="n">
        <f aca="false">TableDE11a!I107/(1-TableDE9!$J26)</f>
        <v>0.762974033852384</v>
      </c>
      <c r="J106" s="514" t="n">
        <f aca="false">TableDE11a!J107/(1-TableDE9!$J26)</f>
        <v>0.52511385318939</v>
      </c>
      <c r="K106" s="514" t="n">
        <f aca="false">TableDE11a!K107/(1-TableDE9!$J26)</f>
        <v>0.104890752252657</v>
      </c>
      <c r="L106" s="514" t="n">
        <f aca="false">TableDE11a!L107/(1-TableDE9!$J26)</f>
        <v>0.129104366599787</v>
      </c>
      <c r="M106" s="514" t="n">
        <f aca="false">TableDE11a!M107/(1-TableDE9!$J26)</f>
        <v>0.00386506181054993</v>
      </c>
      <c r="N106" s="829" t="n">
        <f aca="false">(TableDE11a!B107-TableDE11a!G107)/(1-TableDE9!$J26)</f>
        <v>0.237025966147616</v>
      </c>
      <c r="O106" s="1149" t="n">
        <f aca="false">TableDE11a!$I107/(1-TableDE9!$J26)</f>
        <v>0.762974033852384</v>
      </c>
      <c r="P106" s="580"/>
      <c r="Q106" s="580"/>
      <c r="R106" s="502" t="n">
        <f aca="false">N106+O106-1</f>
        <v>0</v>
      </c>
      <c r="S106" s="580" t="n">
        <f aca="false">B106-G106+J106+K106+L106+M106</f>
        <v>1</v>
      </c>
    </row>
    <row r="107" customFormat="false" ht="12" hidden="false" customHeight="false" outlineLevel="0" collapsed="false">
      <c r="A107" s="416" t="n">
        <f aca="false">A106+1</f>
        <v>1968</v>
      </c>
      <c r="B107" s="1155" t="n">
        <f aca="false">TableDE11a!B108/(1-TableDE9!$J27)</f>
        <v>0.252608760790724</v>
      </c>
      <c r="C107" s="514"/>
      <c r="D107" s="514"/>
      <c r="E107" s="514"/>
      <c r="F107" s="514" t="n">
        <f aca="false">TableDE11a!F108/(1-TableDE9!$J27)</f>
        <v>-0.00202888662818478</v>
      </c>
      <c r="G107" s="514" t="n">
        <f aca="false">TableDE11a!G108/(1-TableDE9!$J27)</f>
        <v>-0.00472963866205863</v>
      </c>
      <c r="H107" s="1403"/>
      <c r="I107" s="1155" t="n">
        <f aca="false">TableDE11a!I108/(1-TableDE9!$J27)</f>
        <v>0.742661600547218</v>
      </c>
      <c r="J107" s="514" t="n">
        <f aca="false">TableDE11a!J108/(1-TableDE9!$J27)</f>
        <v>0.514552708594952</v>
      </c>
      <c r="K107" s="514" t="n">
        <f aca="false">TableDE11a!K108/(1-TableDE9!$J27)</f>
        <v>0.101804561232436</v>
      </c>
      <c r="L107" s="514" t="n">
        <f aca="false">TableDE11a!L108/(1-TableDE9!$J27)</f>
        <v>0.122663975170857</v>
      </c>
      <c r="M107" s="514" t="n">
        <f aca="false">TableDE11a!M108/(1-TableDE9!$J27)</f>
        <v>0.0036403555489729</v>
      </c>
      <c r="N107" s="829" t="n">
        <f aca="false">(TableDE11a!B108-TableDE11a!G108)/(1-TableDE9!$J27)</f>
        <v>0.257338399452782</v>
      </c>
      <c r="O107" s="1149" t="n">
        <f aca="false">TableDE11a!$I108/(1-TableDE9!$J27)</f>
        <v>0.742661600547218</v>
      </c>
      <c r="P107" s="580"/>
      <c r="Q107" s="580"/>
      <c r="R107" s="502" t="n">
        <f aca="false">N107+O107-1</f>
        <v>0</v>
      </c>
      <c r="S107" s="580" t="n">
        <f aca="false">B107-G107+J107+K107+L107+M107</f>
        <v>1</v>
      </c>
    </row>
    <row r="108" customFormat="false" ht="12" hidden="false" customHeight="false" outlineLevel="0" collapsed="false">
      <c r="A108" s="436" t="n">
        <f aca="false">A107+1</f>
        <v>1969</v>
      </c>
      <c r="B108" s="1158" t="n">
        <f aca="false">TableDE11a!B109/(1-TableDE9!$J28)</f>
        <v>0.248958694526387</v>
      </c>
      <c r="C108" s="842"/>
      <c r="D108" s="842"/>
      <c r="E108" s="842"/>
      <c r="F108" s="842" t="n">
        <f aca="false">TableDE11a!F109/(1-TableDE9!$J28)</f>
        <v>-0.000894489888711648</v>
      </c>
      <c r="G108" s="842" t="n">
        <f aca="false">TableDE11a!G109/(1-TableDE9!$J28)</f>
        <v>-0.00433488189630052</v>
      </c>
      <c r="H108" s="1404"/>
      <c r="I108" s="1158" t="n">
        <f aca="false">TableDE11a!I109/(1-TableDE9!$J28)</f>
        <v>0.746706423577312</v>
      </c>
      <c r="J108" s="842" t="n">
        <f aca="false">TableDE11a!J109/(1-TableDE9!$J28)</f>
        <v>0.522560151079137</v>
      </c>
      <c r="K108" s="842" t="n">
        <f aca="false">TableDE11a!K109/(1-TableDE9!$J28)</f>
        <v>0.104248825466365</v>
      </c>
      <c r="L108" s="842" t="n">
        <f aca="false">TableDE11a!L109/(1-TableDE9!$J28)</f>
        <v>0.11679139986172</v>
      </c>
      <c r="M108" s="842" t="n">
        <f aca="false">TableDE11a!M109/(1-TableDE9!$J28)</f>
        <v>0.00310604717008957</v>
      </c>
      <c r="N108" s="1498" t="n">
        <f aca="false">(TableDE11a!B109-TableDE11a!G109)/(1-TableDE9!$J28)</f>
        <v>0.253293576422688</v>
      </c>
      <c r="O108" s="1148" t="n">
        <f aca="false">TableDE11a!$I109/(1-TableDE9!$J28)</f>
        <v>0.746706423577312</v>
      </c>
      <c r="P108" s="580"/>
      <c r="Q108" s="580"/>
      <c r="R108" s="502" t="n">
        <f aca="false">N108+O108-1</f>
        <v>0</v>
      </c>
      <c r="S108" s="580" t="n">
        <f aca="false">B108-G108+J108+K108+L108+M108</f>
        <v>1</v>
      </c>
    </row>
    <row r="109" customFormat="false" ht="12" hidden="false" customHeight="false" outlineLevel="0" collapsed="false">
      <c r="A109" s="416" t="n">
        <f aca="false">A108+1</f>
        <v>1970</v>
      </c>
      <c r="B109" s="1155" t="n">
        <f aca="false">TableDE11a!B110/(1-TableDE9!$J29)</f>
        <v>0.229351549188671</v>
      </c>
      <c r="C109" s="514"/>
      <c r="D109" s="514"/>
      <c r="E109" s="514"/>
      <c r="F109" s="514" t="n">
        <f aca="false">TableDE11a!F110/(1-TableDE9!$J29)</f>
        <v>-0.001268543641425</v>
      </c>
      <c r="G109" s="514" t="n">
        <f aca="false">TableDE11a!G110/(1-TableDE9!$J29)</f>
        <v>-0.00503892314739772</v>
      </c>
      <c r="H109" s="1403"/>
      <c r="I109" s="1155" t="n">
        <f aca="false">TableDE11a!I110/(1-TableDE9!$J29)</f>
        <v>0.765609527663932</v>
      </c>
      <c r="J109" s="514" t="n">
        <f aca="false">TableDE11a!J110/(1-TableDE9!$J29)</f>
        <v>0.542760491913034</v>
      </c>
      <c r="K109" s="514" t="n">
        <f aca="false">TableDE11a!K110/(1-TableDE9!$J29)</f>
        <v>0.106769089819937</v>
      </c>
      <c r="L109" s="514" t="n">
        <f aca="false">TableDE11a!L110/(1-TableDE9!$J29)</f>
        <v>0.11354285864811</v>
      </c>
      <c r="M109" s="514" t="n">
        <f aca="false">TableDE11a!M110/(1-TableDE9!$J29)</f>
        <v>0.00253708728284999</v>
      </c>
      <c r="N109" s="829" t="n">
        <f aca="false">(TableDE11a!B110-TableDE11a!G110)/(1-TableDE9!$J29)</f>
        <v>0.234390472336068</v>
      </c>
      <c r="O109" s="1149" t="n">
        <f aca="false">TableDE11a!$I110/(1-TableDE9!$J29)</f>
        <v>0.765609527663932</v>
      </c>
      <c r="P109" s="580"/>
      <c r="Q109" s="580"/>
      <c r="R109" s="502" t="n">
        <f aca="false">N109+O109-1</f>
        <v>0</v>
      </c>
      <c r="S109" s="580" t="n">
        <f aca="false">B109-G109+J109+K109+L109+M109</f>
        <v>1</v>
      </c>
    </row>
    <row r="110" customFormat="false" ht="12" hidden="false" customHeight="false" outlineLevel="0" collapsed="false">
      <c r="A110" s="416" t="n">
        <v>1971</v>
      </c>
      <c r="B110" s="1155" t="n">
        <f aca="false">TableDE11a!B111/(1-TableDE9!$J30)</f>
        <v>0.217250075192246</v>
      </c>
      <c r="C110" s="514"/>
      <c r="D110" s="514"/>
      <c r="E110" s="514"/>
      <c r="F110" s="514" t="n">
        <f aca="false">TableDE11a!F111/(1-TableDE9!$J30)</f>
        <v>0.00025537891847028</v>
      </c>
      <c r="G110" s="514" t="n">
        <f aca="false">TableDE11a!G111/(1-TableDE9!$J30)</f>
        <v>-0.00450104066909277</v>
      </c>
      <c r="H110" s="1403"/>
      <c r="I110" s="1155" t="n">
        <f aca="false">TableDE11a!I111/(1-TableDE9!$J30)</f>
        <v>0.778248884138661</v>
      </c>
      <c r="J110" s="514" t="n">
        <f aca="false">TableDE11a!J111/(1-TableDE9!$J30)</f>
        <v>0.551426929706953</v>
      </c>
      <c r="K110" s="514" t="n">
        <f aca="false">TableDE11a!K111/(1-TableDE9!$J30)</f>
        <v>0.115527038242993</v>
      </c>
      <c r="L110" s="514" t="n">
        <f aca="false">TableDE11a!L111/(1-TableDE9!$J30)</f>
        <v>0.108134602072646</v>
      </c>
      <c r="M110" s="514" t="n">
        <f aca="false">TableDE11a!M111/(1-TableDE9!$J30)</f>
        <v>0.00316031411606972</v>
      </c>
      <c r="N110" s="829" t="n">
        <f aca="false">(TableDE11a!B111-TableDE11a!G111)/(1-TableDE9!$J30)</f>
        <v>0.221751115861339</v>
      </c>
      <c r="O110" s="1149" t="n">
        <f aca="false">TableDE11a!$I111/(1-TableDE9!$J30)</f>
        <v>0.778248884138661</v>
      </c>
      <c r="P110" s="580"/>
      <c r="Q110" s="580"/>
      <c r="R110" s="502" t="n">
        <f aca="false">N110+O110-1</f>
        <v>0</v>
      </c>
      <c r="S110" s="580" t="n">
        <f aca="false">B110-G110+J110+K110+L110+M110</f>
        <v>1</v>
      </c>
    </row>
    <row r="111" customFormat="false" ht="12" hidden="false" customHeight="false" outlineLevel="0" collapsed="false">
      <c r="A111" s="416" t="n">
        <v>1972</v>
      </c>
      <c r="B111" s="1155" t="n">
        <f aca="false">TableDE11a!B112/(1-TableDE9!$J31)</f>
        <v>0.211688075705341</v>
      </c>
      <c r="C111" s="514"/>
      <c r="D111" s="514"/>
      <c r="E111" s="514"/>
      <c r="F111" s="514" t="n">
        <f aca="false">TableDE11a!F112/(1-TableDE9!$J31)</f>
        <v>0.00011719207781554</v>
      </c>
      <c r="G111" s="514" t="n">
        <f aca="false">TableDE11a!G112/(1-TableDE9!$J31)</f>
        <v>-0.00134769717567093</v>
      </c>
      <c r="H111" s="1403"/>
      <c r="I111" s="1155" t="n">
        <f aca="false">TableDE11a!I112/(1-TableDE9!$J31)</f>
        <v>0.786964227118989</v>
      </c>
      <c r="J111" s="514" t="n">
        <f aca="false">TableDE11a!J112/(1-TableDE9!$J31)</f>
        <v>0.55965076760811</v>
      </c>
      <c r="K111" s="514" t="n">
        <f aca="false">TableDE11a!K112/(1-TableDE9!$J31)</f>
        <v>0.119008555021681</v>
      </c>
      <c r="L111" s="514" t="n">
        <f aca="false">TableDE11a!L112/(1-TableDE9!$J31)</f>
        <v>0.105404400563264</v>
      </c>
      <c r="M111" s="514" t="n">
        <f aca="false">TableDE11a!M112/(1-TableDE9!$J31)</f>
        <v>0.00290050392593461</v>
      </c>
      <c r="N111" s="829" t="n">
        <f aca="false">(TableDE11a!B112-TableDE11a!G112)/(1-TableDE9!$J31)</f>
        <v>0.213035772881011</v>
      </c>
      <c r="O111" s="1149" t="n">
        <f aca="false">TableDE11a!$I112/(1-TableDE9!$J31)</f>
        <v>0.786964227118989</v>
      </c>
      <c r="P111" s="580"/>
      <c r="Q111" s="580"/>
      <c r="R111" s="502" t="n">
        <f aca="false">N111+O111-1</f>
        <v>0</v>
      </c>
      <c r="S111" s="580" t="n">
        <f aca="false">B111-G111+J111+K111+L111+M111</f>
        <v>1</v>
      </c>
    </row>
    <row r="112" customFormat="false" ht="12" hidden="false" customHeight="false" outlineLevel="0" collapsed="false">
      <c r="A112" s="416" t="n">
        <v>1973</v>
      </c>
      <c r="B112" s="1155" t="n">
        <f aca="false">TableDE11a!B113/(1-TableDE9!$J32)</f>
        <v>0.203568202916675</v>
      </c>
      <c r="C112" s="514"/>
      <c r="D112" s="514"/>
      <c r="E112" s="514"/>
      <c r="F112" s="514" t="n">
        <f aca="false">TableDE11a!F113/(1-TableDE9!$J32)</f>
        <v>0.000890052356020942</v>
      </c>
      <c r="G112" s="514" t="n">
        <f aca="false">TableDE11a!G113/(1-TableDE9!$J32)</f>
        <v>-0.000863863874345551</v>
      </c>
      <c r="H112" s="1403"/>
      <c r="I112" s="1155" t="n">
        <f aca="false">TableDE11a!I113/(1-TableDE9!$J32)</f>
        <v>0.795567933208979</v>
      </c>
      <c r="J112" s="514" t="n">
        <f aca="false">TableDE11a!J113/(1-TableDE9!$J32)</f>
        <v>0.566073298429319</v>
      </c>
      <c r="K112" s="514" t="n">
        <f aca="false">TableDE11a!K113/(1-TableDE9!$J32)</f>
        <v>0.124083769633508</v>
      </c>
      <c r="L112" s="514" t="n">
        <f aca="false">TableDE11a!L113/(1-TableDE9!$J32)</f>
        <v>0.102897776140917</v>
      </c>
      <c r="M112" s="514" t="n">
        <f aca="false">TableDE11a!M113/(1-TableDE9!$J32)</f>
        <v>0.0025130890052356</v>
      </c>
      <c r="N112" s="829" t="n">
        <f aca="false">(TableDE11a!B113-TableDE11a!G113)/(1-TableDE9!$J32)</f>
        <v>0.204432066791021</v>
      </c>
      <c r="O112" s="1149" t="n">
        <f aca="false">TableDE11a!$I113/(1-TableDE9!$J32)</f>
        <v>0.795567933208979</v>
      </c>
      <c r="P112" s="580"/>
      <c r="Q112" s="580"/>
      <c r="R112" s="502" t="n">
        <f aca="false">N112+O112-1</f>
        <v>0</v>
      </c>
      <c r="S112" s="580" t="n">
        <f aca="false">B112-G112+J112+K112+L112+M112</f>
        <v>1</v>
      </c>
    </row>
    <row r="113" customFormat="false" ht="12" hidden="false" customHeight="false" outlineLevel="0" collapsed="false">
      <c r="A113" s="416" t="n">
        <v>1974</v>
      </c>
      <c r="B113" s="1155" t="n">
        <f aca="false">TableDE11a!B114/(1-TableDE9!$J33)</f>
        <v>0.192325420009202</v>
      </c>
      <c r="C113" s="514"/>
      <c r="D113" s="514"/>
      <c r="E113" s="514"/>
      <c r="F113" s="514" t="n">
        <f aca="false">TableDE11a!F114/(1-TableDE9!$J33)</f>
        <v>0.000217812197483059</v>
      </c>
      <c r="G113" s="514" t="n">
        <f aca="false">TableDE11a!G114/(1-TableDE9!$J33)</f>
        <v>0.0027105614714424</v>
      </c>
      <c r="H113" s="1403"/>
      <c r="I113" s="1155" t="n">
        <f aca="false">TableDE11a!I114/(1-TableDE9!$J33)</f>
        <v>0.810385141462241</v>
      </c>
      <c r="J113" s="514" t="n">
        <f aca="false">TableDE11a!J114/(1-TableDE9!$J33)</f>
        <v>0.57257986447241</v>
      </c>
      <c r="K113" s="514" t="n">
        <f aca="false">TableDE11a!K114/(1-TableDE9!$J33)</f>
        <v>0.133204259438529</v>
      </c>
      <c r="L113" s="514" t="n">
        <f aca="false">TableDE11a!L114/(1-TableDE9!$J33)</f>
        <v>0.102035673892057</v>
      </c>
      <c r="M113" s="514" t="n">
        <f aca="false">TableDE11a!M114/(1-TableDE9!$J33)</f>
        <v>0.00256534365924492</v>
      </c>
      <c r="N113" s="829" t="n">
        <f aca="false">(TableDE11a!B114-TableDE11a!G114)/(1-TableDE9!$J33)</f>
        <v>0.189614858537759</v>
      </c>
      <c r="O113" s="1149" t="n">
        <f aca="false">TableDE11a!$I114/(1-TableDE9!$J33)</f>
        <v>0.810385141462241</v>
      </c>
      <c r="P113" s="580"/>
      <c r="Q113" s="580"/>
      <c r="R113" s="502" t="n">
        <f aca="false">N113+O113-1</f>
        <v>0</v>
      </c>
      <c r="S113" s="580" t="n">
        <f aca="false">B113-G113+J113+K113+L113+M113</f>
        <v>1</v>
      </c>
    </row>
    <row r="114" customFormat="false" ht="12" hidden="false" customHeight="false" outlineLevel="0" collapsed="false">
      <c r="A114" s="416" t="n">
        <v>1975</v>
      </c>
      <c r="B114" s="1155" t="n">
        <f aca="false">TableDE11a!B115/(1-TableDE9!$J34)</f>
        <v>0.197643123498077</v>
      </c>
      <c r="C114" s="514"/>
      <c r="D114" s="514"/>
      <c r="E114" s="514"/>
      <c r="F114" s="514" t="n">
        <f aca="false">TableDE11a!F115/(1-TableDE9!$J34)</f>
        <v>0.00337970786360795</v>
      </c>
      <c r="G114" s="514" t="n">
        <f aca="false">TableDE11a!G115/(1-TableDE9!$J34)</f>
        <v>0.00622700525475127</v>
      </c>
      <c r="H114" s="1403"/>
      <c r="I114" s="1155" t="n">
        <f aca="false">TableDE11a!I115/(1-TableDE9!$J34)</f>
        <v>0.808583881756674</v>
      </c>
      <c r="J114" s="514" t="n">
        <f aca="false">TableDE11a!J115/(1-TableDE9!$J34)</f>
        <v>0.566818676358249</v>
      </c>
      <c r="K114" s="514" t="n">
        <f aca="false">TableDE11a!K115/(1-TableDE9!$J34)</f>
        <v>0.138591171091923</v>
      </c>
      <c r="L114" s="514" t="n">
        <f aca="false">TableDE11a!L115/(1-TableDE9!$J34)</f>
        <v>0.100326746174832</v>
      </c>
      <c r="M114" s="514" t="n">
        <f aca="false">TableDE11a!M115/(1-TableDE9!$J34)</f>
        <v>0.00284728813166971</v>
      </c>
      <c r="N114" s="829" t="n">
        <f aca="false">(TableDE11a!B115-TableDE11a!G115)/(1-TableDE9!$J34)</f>
        <v>0.191416118243326</v>
      </c>
      <c r="O114" s="1149" t="n">
        <f aca="false">TableDE11a!$I115/(1-TableDE9!$J34)</f>
        <v>0.808583881756674</v>
      </c>
      <c r="P114" s="580"/>
      <c r="Q114" s="580"/>
      <c r="R114" s="502" t="n">
        <f aca="false">N114+O114-1</f>
        <v>0</v>
      </c>
      <c r="S114" s="580" t="n">
        <f aca="false">B114-G114+J114+K114+L114+M114</f>
        <v>1</v>
      </c>
    </row>
    <row r="115" customFormat="false" ht="12" hidden="false" customHeight="false" outlineLevel="0" collapsed="false">
      <c r="A115" s="416" t="n">
        <v>1976</v>
      </c>
      <c r="B115" s="1155" t="n">
        <f aca="false">TableDE11a!B116/(1-TableDE9!$J35)</f>
        <v>0.209314079879022</v>
      </c>
      <c r="C115" s="514"/>
      <c r="D115" s="514"/>
      <c r="E115" s="514"/>
      <c r="F115" s="514" t="n">
        <f aca="false">TableDE11a!F116/(1-TableDE9!$J35)</f>
        <v>0.00413787219520519</v>
      </c>
      <c r="G115" s="514" t="n">
        <f aca="false">TableDE11a!G116/(1-TableDE9!$J35)</f>
        <v>0.00961949492364133</v>
      </c>
      <c r="H115" s="1403"/>
      <c r="I115" s="1155" t="n">
        <f aca="false">TableDE11a!I116/(1-TableDE9!$J35)</f>
        <v>0.800305415044619</v>
      </c>
      <c r="J115" s="514" t="n">
        <f aca="false">TableDE11a!J116/(1-TableDE9!$J35)</f>
        <v>0.567528367886699</v>
      </c>
      <c r="K115" s="514" t="n">
        <f aca="false">TableDE11a!K116/(1-TableDE9!$J35)</f>
        <v>0.134992748059039</v>
      </c>
      <c r="L115" s="514" t="n">
        <f aca="false">TableDE11a!L116/(1-TableDE9!$J35)</f>
        <v>0.0949048519527329</v>
      </c>
      <c r="M115" s="514" t="n">
        <f aca="false">TableDE11a!M116/(1-TableDE9!$J35)</f>
        <v>0.00287944714614794</v>
      </c>
      <c r="N115" s="829" t="n">
        <f aca="false">(TableDE11a!B116-TableDE11a!G116)/(1-TableDE9!$J35)</f>
        <v>0.199694584955381</v>
      </c>
      <c r="O115" s="1149" t="n">
        <f aca="false">TableDE11a!$I116/(1-TableDE9!$J35)</f>
        <v>0.800305415044619</v>
      </c>
      <c r="P115" s="580"/>
      <c r="Q115" s="580"/>
      <c r="R115" s="502" t="n">
        <f aca="false">N115+O115-1</f>
        <v>0</v>
      </c>
      <c r="S115" s="580" t="n">
        <f aca="false">B115-G115+J115+K115+L115+M115</f>
        <v>1</v>
      </c>
    </row>
    <row r="116" customFormat="false" ht="12" hidden="false" customHeight="false" outlineLevel="0" collapsed="false">
      <c r="A116" s="416" t="n">
        <v>1977</v>
      </c>
      <c r="B116" s="1155" t="n">
        <f aca="false">TableDE11a!B117/(1-TableDE9!$J36)</f>
        <v>0.207988384347185</v>
      </c>
      <c r="C116" s="514"/>
      <c r="D116" s="514"/>
      <c r="E116" s="514"/>
      <c r="F116" s="514" t="n">
        <f aca="false">TableDE11a!F117/(1-TableDE9!$J36)</f>
        <v>0.00116332711555047</v>
      </c>
      <c r="G116" s="514" t="n">
        <f aca="false">TableDE11a!G117/(1-TableDE9!$J36)</f>
        <v>0.0114527629018994</v>
      </c>
      <c r="H116" s="1403"/>
      <c r="I116" s="1155" t="n">
        <f aca="false">TableDE11a!I117/(1-TableDE9!$J36)</f>
        <v>0.803464378554715</v>
      </c>
      <c r="J116" s="514" t="n">
        <f aca="false">TableDE11a!J117/(1-TableDE9!$J36)</f>
        <v>0.57494434081473</v>
      </c>
      <c r="K116" s="514" t="n">
        <f aca="false">TableDE11a!K117/(1-TableDE9!$J36)</f>
        <v>0.134304109753896</v>
      </c>
      <c r="L116" s="514" t="n">
        <f aca="false">TableDE11a!L117/(1-TableDE9!$J36)</f>
        <v>0.0914480117456408</v>
      </c>
      <c r="M116" s="514" t="n">
        <f aca="false">TableDE11a!M117/(1-TableDE9!$J36)</f>
        <v>0.00276791624044768</v>
      </c>
      <c r="N116" s="829" t="n">
        <f aca="false">(TableDE11a!B117-TableDE11a!G117)/(1-TableDE9!$J36)</f>
        <v>0.196535621445285</v>
      </c>
      <c r="O116" s="1149" t="n">
        <f aca="false">TableDE11a!$I117/(1-TableDE9!$J36)</f>
        <v>0.803464378554715</v>
      </c>
      <c r="P116" s="580"/>
      <c r="Q116" s="580"/>
      <c r="R116" s="502" t="n">
        <f aca="false">N116+O116-1</f>
        <v>0</v>
      </c>
      <c r="S116" s="580" t="n">
        <f aca="false">B116-G116+J116+K116+L116+M116</f>
        <v>1</v>
      </c>
    </row>
    <row r="117" customFormat="false" ht="12" hidden="false" customHeight="false" outlineLevel="0" collapsed="false">
      <c r="A117" s="416" t="n">
        <v>1978</v>
      </c>
      <c r="B117" s="1155" t="n">
        <f aca="false">TableDE11a!B118/(1-TableDE9!$J37)</f>
        <v>0.210483872323572</v>
      </c>
      <c r="C117" s="514"/>
      <c r="D117" s="514"/>
      <c r="E117" s="514"/>
      <c r="F117" s="514" t="n">
        <f aca="false">TableDE11a!F118/(1-TableDE9!$J37)</f>
        <v>0.00559613903964245</v>
      </c>
      <c r="G117" s="514" t="n">
        <f aca="false">TableDE11a!G118/(1-TableDE9!$J37)</f>
        <v>0.0108354847796286</v>
      </c>
      <c r="H117" s="1403"/>
      <c r="I117" s="1155" t="n">
        <f aca="false">TableDE11a!I118/(1-TableDE9!$J37)</f>
        <v>0.800351612456056</v>
      </c>
      <c r="J117" s="514" t="n">
        <f aca="false">TableDE11a!J118/(1-TableDE9!$J37)</f>
        <v>0.581754333251958</v>
      </c>
      <c r="K117" s="514" t="n">
        <f aca="false">TableDE11a!K118/(1-TableDE9!$J37)</f>
        <v>0.127171320726371</v>
      </c>
      <c r="L117" s="514" t="n">
        <f aca="false">TableDE11a!L118/(1-TableDE9!$J37)</f>
        <v>0.0886654469380379</v>
      </c>
      <c r="M117" s="514" t="n">
        <f aca="false">TableDE11a!M118/(1-TableDE9!$J37)</f>
        <v>0.0027605115396894</v>
      </c>
      <c r="N117" s="829" t="n">
        <f aca="false">(TableDE11a!B118-TableDE11a!G118)/(1-TableDE9!$J37)</f>
        <v>0.199648387543944</v>
      </c>
      <c r="O117" s="1149" t="n">
        <f aca="false">TableDE11a!$I118/(1-TableDE9!$J37)</f>
        <v>0.800351612456056</v>
      </c>
      <c r="P117" s="580"/>
      <c r="Q117" s="580"/>
      <c r="R117" s="502" t="n">
        <f aca="false">N117+O117-1</f>
        <v>0</v>
      </c>
      <c r="S117" s="580" t="n">
        <f aca="false">B117-G117+J117+K117+L117+M117</f>
        <v>1</v>
      </c>
    </row>
    <row r="118" customFormat="false" ht="12.75" hidden="false" customHeight="true" outlineLevel="0" collapsed="false">
      <c r="A118" s="436" t="n">
        <v>1979</v>
      </c>
      <c r="B118" s="1158" t="n">
        <f aca="false">TableDE11a!B119/(1-TableDE9!$J38)</f>
        <v>0.212606526983842</v>
      </c>
      <c r="C118" s="842"/>
      <c r="D118" s="842"/>
      <c r="E118" s="842"/>
      <c r="F118" s="842" t="n">
        <f aca="false">TableDE11a!F119/(1-TableDE9!$J38)</f>
        <v>0.00297551723537908</v>
      </c>
      <c r="G118" s="842" t="n">
        <f aca="false">TableDE11a!G119/(1-TableDE9!$J38)</f>
        <v>0.0113626546485932</v>
      </c>
      <c r="H118" s="1404"/>
      <c r="I118" s="1158" t="n">
        <f aca="false">TableDE11a!I119/(1-TableDE9!$J38)</f>
        <v>0.798756127664751</v>
      </c>
      <c r="J118" s="842" t="n">
        <f aca="false">TableDE11a!J119/(1-TableDE9!$J38)</f>
        <v>0.587029528963441</v>
      </c>
      <c r="K118" s="842" t="n">
        <f aca="false">TableDE11a!K119/(1-TableDE9!$J38)</f>
        <v>0.124258295776854</v>
      </c>
      <c r="L118" s="842" t="n">
        <f aca="false">TableDE11a!L119/(1-TableDE9!$J38)</f>
        <v>0.0848233987152306</v>
      </c>
      <c r="M118" s="842" t="n">
        <f aca="false">TableDE11a!M119/(1-TableDE9!$J38)</f>
        <v>0.00264490420922584</v>
      </c>
      <c r="N118" s="1498" t="n">
        <f aca="false">(TableDE11a!B119-TableDE11a!G119)/(1-TableDE9!$J38)</f>
        <v>0.201243872335249</v>
      </c>
      <c r="O118" s="1148" t="n">
        <f aca="false">TableDE11a!$I119/(1-TableDE9!$J38)</f>
        <v>0.798756127664751</v>
      </c>
      <c r="P118" s="580"/>
      <c r="Q118" s="580"/>
      <c r="R118" s="502" t="n">
        <f aca="false">N118+O118-1</f>
        <v>0</v>
      </c>
      <c r="S118" s="580" t="n">
        <f aca="false">B118-G118+J118+K118+L118+M118</f>
        <v>1</v>
      </c>
    </row>
    <row r="119" customFormat="false" ht="12" hidden="false" customHeight="false" outlineLevel="0" collapsed="false">
      <c r="A119" s="416" t="n">
        <v>1980</v>
      </c>
      <c r="B119" s="1155" t="n">
        <f aca="false">TableDE11a!B120/(1-TableDE9!$J39)</f>
        <v>0.1992262651088</v>
      </c>
      <c r="C119" s="514" t="n">
        <f aca="false">TableDE11a!C120/(1-TableDE9!$J39)</f>
        <v>0.122945183050625</v>
      </c>
      <c r="D119" s="514"/>
      <c r="E119" s="514"/>
      <c r="F119" s="514" t="n">
        <f aca="false">TableDE11a!F120/(1-TableDE9!$J39)</f>
        <v>0.00353657737900321</v>
      </c>
      <c r="G119" s="514" t="n">
        <f aca="false">TableDE11a!G120/(1-TableDE9!$J39)</f>
        <v>0.0140153317178597</v>
      </c>
      <c r="H119" s="1403" t="n">
        <f aca="false">TableDE11a!H120/(1-TableDE9!$J39)</f>
        <v>0.0475800641823302</v>
      </c>
      <c r="I119" s="1155" t="n">
        <f aca="false">TableDE11a!I120/(1-TableDE9!$J39)</f>
        <v>0.81478906660906</v>
      </c>
      <c r="J119" s="514" t="n">
        <f aca="false">TableDE11a!J120/(1-TableDE9!$J39)</f>
        <v>0.601971314427926</v>
      </c>
      <c r="K119" s="514" t="n">
        <f aca="false">TableDE11a!K120/(1-TableDE9!$J39)</f>
        <v>0.125532123911193</v>
      </c>
      <c r="L119" s="514" t="n">
        <f aca="false">TableDE11a!L120/(1-TableDE9!$J39)</f>
        <v>0.0847150604527958</v>
      </c>
      <c r="M119" s="514" t="n">
        <f aca="false">TableDE11a!M120/(1-TableDE9!$J39)</f>
        <v>0.00257056781714585</v>
      </c>
      <c r="N119" s="829" t="n">
        <f aca="false">(TableDE11a!B120-TableDE11a!G120)/(1-TableDE9!$J39)</f>
        <v>0.18521093339094</v>
      </c>
      <c r="O119" s="1149" t="n">
        <f aca="false">TableDE11a!$I120/(1-TableDE9!$J39)</f>
        <v>0.81478906660906</v>
      </c>
      <c r="P119" s="580"/>
      <c r="Q119" s="580"/>
      <c r="R119" s="502" t="n">
        <f aca="false">N119+O119-1</f>
        <v>0</v>
      </c>
      <c r="S119" s="580" t="n">
        <f aca="false">B119-G119+J119+K119+L119+M119</f>
        <v>1</v>
      </c>
    </row>
    <row r="120" customFormat="false" ht="12" hidden="false" customHeight="false" outlineLevel="0" collapsed="false">
      <c r="A120" s="416" t="n">
        <v>1981</v>
      </c>
      <c r="B120" s="1155" t="n">
        <f aca="false">TableDE11a!B121/(1-TableDE9!$J40)</f>
        <v>0.197272063072912</v>
      </c>
      <c r="C120" s="514" t="n">
        <f aca="false">TableDE11a!C121/(1-TableDE9!$J40)</f>
        <v>0.118491751767478</v>
      </c>
      <c r="D120" s="514"/>
      <c r="E120" s="514"/>
      <c r="F120" s="514" t="n">
        <f aca="false">TableDE11a!F121/(1-TableDE9!$J40)</f>
        <v>0.00295365278868814</v>
      </c>
      <c r="G120" s="514" t="n">
        <f aca="false">TableDE11a!G121/(1-TableDE9!$J40)</f>
        <v>0.0163864948939513</v>
      </c>
      <c r="H120" s="1403" t="n">
        <f aca="false">TableDE11a!H121/(1-TableDE9!$J40)</f>
        <v>0.0582560879811469</v>
      </c>
      <c r="I120" s="1155" t="n">
        <f aca="false">TableDE11a!I121/(1-TableDE9!$J40)</f>
        <v>0.819114431821039</v>
      </c>
      <c r="J120" s="514" t="n">
        <f aca="false">TableDE11a!J121/(1-TableDE9!$J40)</f>
        <v>0.60586017282011</v>
      </c>
      <c r="K120" s="514" t="n">
        <f aca="false">TableDE11a!K121/(1-TableDE9!$J40)</f>
        <v>0.12623723487824</v>
      </c>
      <c r="L120" s="514" t="n">
        <f aca="false">TableDE11a!L121/(1-TableDE9!$J40)</f>
        <v>0.0842204805248887</v>
      </c>
      <c r="M120" s="514" t="n">
        <f aca="false">TableDE11a!M121/(1-TableDE9!$J40)</f>
        <v>0.00279654359780047</v>
      </c>
      <c r="N120" s="829" t="n">
        <f aca="false">(TableDE11a!B121-TableDE11a!G121)/(1-TableDE9!$J40)</f>
        <v>0.180885568178961</v>
      </c>
      <c r="O120" s="1149" t="n">
        <f aca="false">TableDE11a!$I121/(1-TableDE9!$J40)</f>
        <v>0.819114431821039</v>
      </c>
      <c r="P120" s="580"/>
      <c r="Q120" s="580"/>
      <c r="R120" s="502" t="n">
        <f aca="false">N120+O120-1</f>
        <v>0</v>
      </c>
      <c r="S120" s="580" t="n">
        <f aca="false">B120-G120+J120+K120+L120+M120</f>
        <v>1</v>
      </c>
    </row>
    <row r="121" customFormat="false" ht="12" hidden="false" customHeight="false" outlineLevel="0" collapsed="false">
      <c r="A121" s="416" t="n">
        <v>1982</v>
      </c>
      <c r="B121" s="1155" t="n">
        <f aca="false">TableDE11a!B122/(1-TableDE9!$J41)</f>
        <v>0.19996116449174</v>
      </c>
      <c r="C121" s="514" t="n">
        <f aca="false">TableDE11a!C122/(1-TableDE9!$J41)</f>
        <v>0.124072784522692</v>
      </c>
      <c r="D121" s="514"/>
      <c r="E121" s="514"/>
      <c r="F121" s="514" t="n">
        <f aca="false">TableDE11a!F122/(1-TableDE9!$J41)</f>
        <v>0.00166520330618547</v>
      </c>
      <c r="G121" s="514" t="n">
        <f aca="false">TableDE11a!G122/(1-TableDE9!$J41)</f>
        <v>0.0141996487934845</v>
      </c>
      <c r="H121" s="1403" t="n">
        <f aca="false">TableDE11a!H122/(1-TableDE9!$J41)</f>
        <v>0.0609161645826395</v>
      </c>
      <c r="I121" s="1155" t="n">
        <f aca="false">TableDE11a!I122/(1-TableDE9!$J41)</f>
        <v>0.814238484301745</v>
      </c>
      <c r="J121" s="514" t="n">
        <f aca="false">TableDE11a!J122/(1-TableDE9!$J41)</f>
        <v>0.6019407187623</v>
      </c>
      <c r="K121" s="514" t="n">
        <f aca="false">TableDE11a!K122/(1-TableDE9!$J41)</f>
        <v>0.125601743922008</v>
      </c>
      <c r="L121" s="514" t="n">
        <f aca="false">TableDE11a!L122/(1-TableDE9!$J41)</f>
        <v>0.0834261678525635</v>
      </c>
      <c r="M121" s="514" t="n">
        <f aca="false">TableDE11a!M122/(1-TableDE9!$J41)</f>
        <v>0.00326985376487329</v>
      </c>
      <c r="N121" s="829" t="n">
        <f aca="false">(TableDE11a!B122-TableDE11a!G122)/(1-TableDE9!$J41)</f>
        <v>0.185761515698255</v>
      </c>
      <c r="O121" s="1149" t="n">
        <f aca="false">TableDE11a!$I122/(1-TableDE9!$J41)</f>
        <v>0.814238484301745</v>
      </c>
      <c r="P121" s="580"/>
      <c r="Q121" s="580"/>
      <c r="R121" s="502" t="n">
        <f aca="false">N121+O121-1</f>
        <v>0</v>
      </c>
      <c r="S121" s="580" t="n">
        <f aca="false">B121-G121+J121+K121+L121+M121</f>
        <v>1</v>
      </c>
    </row>
    <row r="122" customFormat="false" ht="12" hidden="false" customHeight="false" outlineLevel="0" collapsed="false">
      <c r="A122" s="416" t="n">
        <v>1983</v>
      </c>
      <c r="B122" s="1155" t="n">
        <f aca="false">TableDE11a!B123/(1-TableDE9!$J42)</f>
        <v>0.220489008877672</v>
      </c>
      <c r="C122" s="514" t="n">
        <f aca="false">TableDE11a!C123/(1-TableDE9!$J42)</f>
        <v>0.136001042375458</v>
      </c>
      <c r="D122" s="514"/>
      <c r="E122" s="514"/>
      <c r="F122" s="514" t="n">
        <f aca="false">TableDE11a!F123/(1-TableDE9!$J42)</f>
        <v>0.0046617346864911</v>
      </c>
      <c r="G122" s="514" t="n">
        <f aca="false">TableDE11a!G123/(1-TableDE9!$J42)</f>
        <v>0.0163739869413519</v>
      </c>
      <c r="H122" s="1403" t="n">
        <f aca="false">TableDE11a!H123/(1-TableDE9!$J42)</f>
        <v>0.0555209705673708</v>
      </c>
      <c r="I122" s="1155" t="n">
        <f aca="false">TableDE11a!I123/(1-TableDE9!$J42)</f>
        <v>0.79588497806368</v>
      </c>
      <c r="J122" s="514" t="n">
        <f aca="false">TableDE11a!J123/(1-TableDE9!$J42)</f>
        <v>0.587957667974462</v>
      </c>
      <c r="K122" s="514" t="n">
        <f aca="false">TableDE11a!K123/(1-TableDE9!$J42)</f>
        <v>0.123275375327552</v>
      </c>
      <c r="L122" s="514" t="n">
        <f aca="false">TableDE11a!L123/(1-TableDE9!$J42)</f>
        <v>0.0813800340189742</v>
      </c>
      <c r="M122" s="514" t="n">
        <f aca="false">TableDE11a!M123/(1-TableDE9!$J42)</f>
        <v>0.00327190074269251</v>
      </c>
      <c r="N122" s="829" t="n">
        <f aca="false">(TableDE11a!B123-TableDE11a!G123)/(1-TableDE9!$J42)</f>
        <v>0.20411502193632</v>
      </c>
      <c r="O122" s="1149" t="n">
        <f aca="false">TableDE11a!$I123/(1-TableDE9!$J42)</f>
        <v>0.79588497806368</v>
      </c>
      <c r="P122" s="580"/>
      <c r="Q122" s="580"/>
      <c r="R122" s="502" t="n">
        <f aca="false">N122+O122-1</f>
        <v>0</v>
      </c>
      <c r="S122" s="580" t="n">
        <f aca="false">B122-G122+J122+K122+L122+M122</f>
        <v>1</v>
      </c>
    </row>
    <row r="123" customFormat="false" ht="12" hidden="false" customHeight="false" outlineLevel="0" collapsed="false">
      <c r="A123" s="416" t="n">
        <v>1984</v>
      </c>
      <c r="B123" s="1155" t="n">
        <f aca="false">TableDE11a!B124/(1-TableDE9!$J43)</f>
        <v>0.232150172178549</v>
      </c>
      <c r="C123" s="514" t="n">
        <f aca="false">TableDE11a!C124/(1-TableDE9!$J43)</f>
        <v>0.138933941776397</v>
      </c>
      <c r="D123" s="514"/>
      <c r="E123" s="514"/>
      <c r="F123" s="514" t="n">
        <f aca="false">TableDE11a!F124/(1-TableDE9!$J43)</f>
        <v>0.00993759793275971</v>
      </c>
      <c r="G123" s="514" t="n">
        <f aca="false">TableDE11a!G124/(1-TableDE9!$J43)</f>
        <v>0.016617648514171</v>
      </c>
      <c r="H123" s="1403" t="n">
        <f aca="false">TableDE11a!H124/(1-TableDE9!$J43)</f>
        <v>0.053976413667977</v>
      </c>
      <c r="I123" s="1155" t="n">
        <f aca="false">TableDE11a!I124/(1-TableDE9!$J43)</f>
        <v>0.784467476335622</v>
      </c>
      <c r="J123" s="514" t="n">
        <f aca="false">TableDE11a!J124/(1-TableDE9!$J43)</f>
        <v>0.582194793413421</v>
      </c>
      <c r="K123" s="514" t="n">
        <f aca="false">TableDE11a!K124/(1-TableDE9!$J43)</f>
        <v>0.119484839321549</v>
      </c>
      <c r="L123" s="514" t="n">
        <f aca="false">TableDE11a!L124/(1-TableDE9!$J43)</f>
        <v>0.0795715255975181</v>
      </c>
      <c r="M123" s="514" t="n">
        <f aca="false">TableDE11a!M124/(1-TableDE9!$J43)</f>
        <v>0.00321631800313385</v>
      </c>
      <c r="N123" s="829" t="n">
        <f aca="false">(TableDE11a!B124-TableDE11a!G124)/(1-TableDE9!$J43)</f>
        <v>0.215532523664378</v>
      </c>
      <c r="O123" s="1149" t="n">
        <f aca="false">TableDE11a!$I124/(1-TableDE9!$J43)</f>
        <v>0.784467476335622</v>
      </c>
      <c r="P123" s="580"/>
      <c r="Q123" s="580"/>
      <c r="R123" s="502" t="n">
        <f aca="false">N123+O123-1</f>
        <v>0</v>
      </c>
      <c r="S123" s="580" t="n">
        <f aca="false">B123-G123+J123+K123+L123+M123</f>
        <v>1</v>
      </c>
    </row>
    <row r="124" customFormat="false" ht="12" hidden="false" customHeight="false" outlineLevel="0" collapsed="false">
      <c r="A124" s="416" t="n">
        <v>1985</v>
      </c>
      <c r="B124" s="1155" t="n">
        <f aca="false">TableDE11a!B125/(1-TableDE9!$J44)</f>
        <v>0.239156484349951</v>
      </c>
      <c r="C124" s="514" t="n">
        <f aca="false">TableDE11a!C125/(1-TableDE9!$J44)</f>
        <v>0.14799968560874</v>
      </c>
      <c r="D124" s="514"/>
      <c r="E124" s="514"/>
      <c r="F124" s="514" t="n">
        <f aca="false">TableDE11a!F125/(1-TableDE9!$J44)</f>
        <v>0.00951033561266997</v>
      </c>
      <c r="G124" s="514" t="n">
        <f aca="false">TableDE11a!G125/(1-TableDE9!$J44)</f>
        <v>0.0156933689643428</v>
      </c>
      <c r="H124" s="1403" t="n">
        <f aca="false">TableDE11a!H125/(1-TableDE9!$J44)</f>
        <v>0.0504335979459771</v>
      </c>
      <c r="I124" s="1155" t="n">
        <f aca="false">TableDE11a!I125/(1-TableDE9!$J44)</f>
        <v>0.776536884614392</v>
      </c>
      <c r="J124" s="514" t="n">
        <f aca="false">TableDE11a!J125/(1-TableDE9!$J44)</f>
        <v>0.577942833189237</v>
      </c>
      <c r="K124" s="514" t="n">
        <f aca="false">TableDE11a!K125/(1-TableDE9!$J44)</f>
        <v>0.117529932667872</v>
      </c>
      <c r="L124" s="514" t="n">
        <f aca="false">TableDE11a!L125/(1-TableDE9!$J44)</f>
        <v>0.077697512348941</v>
      </c>
      <c r="M124" s="514" t="n">
        <f aca="false">TableDE11a!M125/(1-TableDE9!$J44)</f>
        <v>0.00336660640834185</v>
      </c>
      <c r="N124" s="829" t="n">
        <f aca="false">(TableDE11a!B125-TableDE11a!G125)/(1-TableDE9!$J44)</f>
        <v>0.223463115385608</v>
      </c>
      <c r="O124" s="1149" t="n">
        <f aca="false">TableDE11a!$I125/(1-TableDE9!$J44)</f>
        <v>0.776536884614392</v>
      </c>
      <c r="P124" s="580"/>
      <c r="Q124" s="580"/>
      <c r="R124" s="502" t="n">
        <f aca="false">N124+O124-1</f>
        <v>0</v>
      </c>
      <c r="S124" s="580" t="n">
        <f aca="false">B124-G124+J124+K124+L124+M124</f>
        <v>1</v>
      </c>
    </row>
    <row r="125" customFormat="false" ht="12" hidden="false" customHeight="false" outlineLevel="0" collapsed="false">
      <c r="A125" s="416" t="n">
        <v>1986</v>
      </c>
      <c r="B125" s="1155" t="n">
        <f aca="false">TableDE11a!B126/(1-TableDE9!$J45)</f>
        <v>0.242646361925352</v>
      </c>
      <c r="C125" s="514" t="n">
        <f aca="false">TableDE11a!C126/(1-TableDE9!$J45)</f>
        <v>0.154316243554145</v>
      </c>
      <c r="D125" s="514"/>
      <c r="E125" s="514"/>
      <c r="F125" s="514" t="n">
        <f aca="false">TableDE11a!F126/(1-TableDE9!$J45)</f>
        <v>0.00644585481951607</v>
      </c>
      <c r="G125" s="514" t="n">
        <f aca="false">TableDE11a!G126/(1-TableDE9!$J45)</f>
        <v>0.0154080771519238</v>
      </c>
      <c r="H125" s="1403" t="n">
        <f aca="false">TableDE11a!H126/(1-TableDE9!$J45)</f>
        <v>0.040794823482745</v>
      </c>
      <c r="I125" s="1155" t="n">
        <f aca="false">TableDE11a!I126/(1-TableDE9!$J45)</f>
        <v>0.772761715226572</v>
      </c>
      <c r="J125" s="514" t="n">
        <f aca="false">TableDE11a!J126/(1-TableDE9!$J45)</f>
        <v>0.576718068226894</v>
      </c>
      <c r="K125" s="514" t="n">
        <f aca="false">TableDE11a!K126/(1-TableDE9!$J45)</f>
        <v>0.116384867116224</v>
      </c>
      <c r="L125" s="514" t="n">
        <f aca="false">TableDE11a!L126/(1-TableDE9!$J45)</f>
        <v>0.0764358524736956</v>
      </c>
      <c r="M125" s="514" t="n">
        <f aca="false">TableDE11a!M126/(1-TableDE9!$J45)</f>
        <v>0.00322292740975803</v>
      </c>
      <c r="N125" s="829" t="n">
        <f aca="false">(TableDE11a!B126-TableDE11a!G126)/(1-TableDE9!$J45)</f>
        <v>0.227238284773429</v>
      </c>
      <c r="O125" s="1149" t="n">
        <f aca="false">TableDE11a!$I126/(1-TableDE9!$J45)</f>
        <v>0.772761715226572</v>
      </c>
      <c r="P125" s="580"/>
      <c r="Q125" s="580"/>
      <c r="R125" s="502" t="n">
        <f aca="false">N125+O125-1</f>
        <v>0</v>
      </c>
      <c r="S125" s="580" t="n">
        <f aca="false">B125-G125+J125+K125+L125+M125</f>
        <v>1</v>
      </c>
    </row>
    <row r="126" customFormat="false" ht="12" hidden="false" customHeight="false" outlineLevel="0" collapsed="false">
      <c r="A126" s="416" t="n">
        <v>1987</v>
      </c>
      <c r="B126" s="1155" t="n">
        <f aca="false">TableDE11a!B127/(1-TableDE9!$J46)</f>
        <v>0.233650902459711</v>
      </c>
      <c r="C126" s="514" t="n">
        <f aca="false">TableDE11a!C127/(1-TableDE9!$J46)</f>
        <v>0.140023478439773</v>
      </c>
      <c r="D126" s="514"/>
      <c r="E126" s="514"/>
      <c r="F126" s="514" t="n">
        <f aca="false">TableDE11a!F127/(1-TableDE9!$J46)</f>
        <v>0.00446574447227971</v>
      </c>
      <c r="G126" s="514" t="n">
        <f aca="false">TableDE11a!G127/(1-TableDE9!$J46)</f>
        <v>0.0205496895762989</v>
      </c>
      <c r="H126" s="1403" t="n">
        <f aca="false">TableDE11a!H127/(1-TableDE9!$J46)</f>
        <v>0.0392598240327246</v>
      </c>
      <c r="I126" s="1155" t="n">
        <f aca="false">TableDE11a!I127/(1-TableDE9!$J46)</f>
        <v>0.786898787116588</v>
      </c>
      <c r="J126" s="514" t="n">
        <f aca="false">TableDE11a!J127/(1-TableDE9!$J46)</f>
        <v>0.589877645862833</v>
      </c>
      <c r="K126" s="514" t="n">
        <f aca="false">TableDE11a!K127/(1-TableDE9!$J46)</f>
        <v>0.117537426327319</v>
      </c>
      <c r="L126" s="514" t="n">
        <f aca="false">TableDE11a!L127/(1-TableDE9!$J46)</f>
        <v>0.0761676878657197</v>
      </c>
      <c r="M126" s="514" t="n">
        <f aca="false">TableDE11a!M127/(1-TableDE9!$J46)</f>
        <v>0.00331602706071718</v>
      </c>
      <c r="N126" s="829" t="n">
        <f aca="false">(TableDE11a!B127-TableDE11a!G127)/(1-TableDE9!$J46)</f>
        <v>0.213101212883412</v>
      </c>
      <c r="O126" s="1149" t="n">
        <f aca="false">TableDE11a!$I127/(1-TableDE9!$J46)</f>
        <v>0.786898787116588</v>
      </c>
      <c r="P126" s="580"/>
      <c r="Q126" s="580"/>
      <c r="R126" s="502" t="n">
        <f aca="false">N126+O126-1</f>
        <v>0</v>
      </c>
      <c r="S126" s="580" t="n">
        <f aca="false">B126-G126+J126+K126+L126+M126</f>
        <v>1</v>
      </c>
    </row>
    <row r="127" customFormat="false" ht="12" hidden="false" customHeight="false" outlineLevel="0" collapsed="false">
      <c r="A127" s="416" t="n">
        <v>1988</v>
      </c>
      <c r="B127" s="1155" t="n">
        <f aca="false">TableDE11a!B128/(1-TableDE9!$J47)</f>
        <v>0.254127081758175</v>
      </c>
      <c r="C127" s="514" t="n">
        <f aca="false">TableDE11a!C128/(1-TableDE9!$J47)</f>
        <v>0.146408619767667</v>
      </c>
      <c r="D127" s="514"/>
      <c r="E127" s="514"/>
      <c r="F127" s="514" t="n">
        <f aca="false">TableDE11a!F128/(1-TableDE9!$J47)</f>
        <v>0.0108771091465565</v>
      </c>
      <c r="G127" s="514" t="n">
        <f aca="false">TableDE11a!G128/(1-TableDE9!$J47)</f>
        <v>0.0235405251959814</v>
      </c>
      <c r="H127" s="1403" t="n">
        <f aca="false">TableDE11a!H128/(1-TableDE9!$J47)</f>
        <v>0.0373417073420487</v>
      </c>
      <c r="I127" s="1155" t="n">
        <f aca="false">TableDE11a!I128/(1-TableDE9!$J47)</f>
        <v>0.769413443437806</v>
      </c>
      <c r="J127" s="514" t="n">
        <f aca="false">TableDE11a!J128/(1-TableDE9!$J47)</f>
        <v>0.57987734807887</v>
      </c>
      <c r="K127" s="514" t="n">
        <f aca="false">TableDE11a!K128/(1-TableDE9!$J47)</f>
        <v>0.11314013949096</v>
      </c>
      <c r="L127" s="514" t="n">
        <f aca="false">TableDE11a!L128/(1-TableDE9!$J47)</f>
        <v>0.0733125912458871</v>
      </c>
      <c r="M127" s="514" t="n">
        <f aca="false">TableDE11a!M128/(1-TableDE9!$J47)</f>
        <v>0.00308336462208872</v>
      </c>
      <c r="N127" s="829" t="n">
        <f aca="false">(TableDE11a!B128-TableDE11a!G128)/(1-TableDE9!$J47)</f>
        <v>0.230586556562194</v>
      </c>
      <c r="O127" s="1149" t="n">
        <f aca="false">TableDE11a!$I128/(1-TableDE9!$J47)</f>
        <v>0.769413443437806</v>
      </c>
      <c r="P127" s="580"/>
      <c r="Q127" s="580"/>
      <c r="R127" s="502" t="n">
        <f aca="false">N127+O127-1</f>
        <v>0</v>
      </c>
      <c r="S127" s="580" t="n">
        <f aca="false">B127-G127+J127+K127+L127+M127</f>
        <v>1</v>
      </c>
    </row>
    <row r="128" customFormat="false" ht="12" hidden="false" customHeight="false" outlineLevel="0" collapsed="false">
      <c r="A128" s="436" t="n">
        <v>1989</v>
      </c>
      <c r="B128" s="1158" t="n">
        <f aca="false">TableDE11a!B129/(1-TableDE9!$J48)</f>
        <v>0.264715601602364</v>
      </c>
      <c r="C128" s="842" t="n">
        <f aca="false">TableDE11a!C129/(1-TableDE9!$J48)</f>
        <v>0.152868411807914</v>
      </c>
      <c r="D128" s="842"/>
      <c r="E128" s="842"/>
      <c r="F128" s="842" t="n">
        <f aca="false">TableDE11a!F129/(1-TableDE9!$J48)</f>
        <v>0.0147332786867794</v>
      </c>
      <c r="G128" s="842" t="n">
        <f aca="false">TableDE11a!G129/(1-TableDE9!$J48)</f>
        <v>0.0168197866655312</v>
      </c>
      <c r="H128" s="1404" t="n">
        <f aca="false">TableDE11a!H129/(1-TableDE9!$J48)</f>
        <v>0.0432204562632403</v>
      </c>
      <c r="I128" s="1158" t="n">
        <f aca="false">TableDE11a!I129/(1-TableDE9!$J48)</f>
        <v>0.752104185063168</v>
      </c>
      <c r="J128" s="842" t="n">
        <f aca="false">TableDE11a!J129/(1-TableDE9!$J48)</f>
        <v>0.569807424124679</v>
      </c>
      <c r="K128" s="842" t="n">
        <f aca="false">TableDE11a!K129/(1-TableDE9!$J48)</f>
        <v>0.108604703152113</v>
      </c>
      <c r="L128" s="842" t="n">
        <f aca="false">TableDE11a!L129/(1-TableDE9!$J48)</f>
        <v>0.0709348907488931</v>
      </c>
      <c r="M128" s="842" t="n">
        <f aca="false">TableDE11a!M129/(1-TableDE9!$J48)</f>
        <v>0.00275716703748257</v>
      </c>
      <c r="N128" s="1498" t="n">
        <f aca="false">(TableDE11a!B129-TableDE11a!G129)/(1-TableDE9!$J48)</f>
        <v>0.247895814936832</v>
      </c>
      <c r="O128" s="1148" t="n">
        <f aca="false">TableDE11a!$I129/(1-TableDE9!$J48)</f>
        <v>0.752104185063168</v>
      </c>
      <c r="P128" s="580"/>
      <c r="Q128" s="580"/>
      <c r="R128" s="502" t="n">
        <f aca="false">N128+O128-1</f>
        <v>0</v>
      </c>
      <c r="S128" s="580" t="n">
        <f aca="false">B128-G128+J128+K128+L128+M128</f>
        <v>1</v>
      </c>
    </row>
    <row r="129" customFormat="false" ht="12" hidden="false" customHeight="false" outlineLevel="0" collapsed="false">
      <c r="A129" s="864" t="n">
        <v>1990</v>
      </c>
      <c r="B129" s="1151" t="n">
        <f aca="false">TableDE11a!B130/(1-TableDE9!$J49)</f>
        <v>0.270207542816036</v>
      </c>
      <c r="C129" s="1325" t="n">
        <f aca="false">TableDE11a!C130/(1-TableDE9!$J49)</f>
        <v>0.156318072100006</v>
      </c>
      <c r="D129" s="1325" t="n">
        <f aca="false">TableDE11a!D130/(1-TableDE9!$J49)</f>
        <v>0.0274643326726456</v>
      </c>
      <c r="E129" s="1325" t="n">
        <f aca="false">TableDE11a!E130/(1-TableDE9!$J49)</f>
        <v>0.0537995890510966</v>
      </c>
      <c r="F129" s="1325" t="n">
        <f aca="false">TableDE11a!F130/(1-TableDE9!$J49)</f>
        <v>0.0164844869203446</v>
      </c>
      <c r="G129" s="1325" t="n">
        <f aca="false">TableDE11a!G130/(1-TableDE9!$J49)</f>
        <v>0.016141062071943</v>
      </c>
      <c r="H129" s="1623" t="n">
        <f aca="false">TableDE11a!H130/(1-TableDE9!$J49)</f>
        <v>0.0481091901014581</v>
      </c>
      <c r="I129" s="1151" t="n">
        <f aca="false">TableDE11a!I130/(1-TableDE9!$J49)</f>
        <v>0.745933519255907</v>
      </c>
      <c r="J129" s="1325" t="n">
        <f aca="false">TableDE11a!J130/(1-TableDE9!$J49)</f>
        <v>0.571089349843986</v>
      </c>
      <c r="K129" s="1325" t="n">
        <f aca="false">TableDE11a!K130/(1-TableDE9!$J49)</f>
        <v>0.10549090409561</v>
      </c>
      <c r="L129" s="1325" t="n">
        <f aca="false">TableDE11a!L130/(1-TableDE9!$J49)</f>
        <v>0.0689313409487072</v>
      </c>
      <c r="M129" s="1325" t="n">
        <f aca="false">TableDE11a!M130/(1-TableDE9!$J49)</f>
        <v>0.000421924367604058</v>
      </c>
      <c r="N129" s="1490" t="n">
        <f aca="false">(TableDE11a!B130-TableDE11a!G130)/(1-TableDE9!$J49)</f>
        <v>0.254066480744093</v>
      </c>
      <c r="O129" s="1154" t="n">
        <f aca="false">TableDE11a!$I130/(1-TableDE9!$J49)</f>
        <v>0.745933519255907</v>
      </c>
      <c r="P129" s="580"/>
      <c r="Q129" s="580"/>
      <c r="R129" s="502" t="n">
        <f aca="false">N129+O129-1</f>
        <v>0</v>
      </c>
      <c r="S129" s="580" t="n">
        <f aca="false">B129-G129+J129+K129+L129+M129</f>
        <v>1</v>
      </c>
    </row>
    <row r="130" customFormat="false" ht="12" hidden="false" customHeight="false" outlineLevel="0" collapsed="false">
      <c r="A130" s="416" t="n">
        <v>1991</v>
      </c>
      <c r="B130" s="1155" t="n">
        <f aca="false">TableDE11a!B131/(1-TableDE9!$J50)</f>
        <v>0.250293734412025</v>
      </c>
      <c r="C130" s="514" t="n">
        <f aca="false">TableDE11a!C131/(1-TableDE9!$J50)</f>
        <v>0.150512944572464</v>
      </c>
      <c r="D130" s="514" t="n">
        <f aca="false">TableDE11a!D131/(1-TableDE9!$J50)</f>
        <v>0.0203619723969396</v>
      </c>
      <c r="E130" s="514" t="n">
        <f aca="false">TableDE11a!E131/(1-TableDE9!$J50)</f>
        <v>0.0497738193697511</v>
      </c>
      <c r="F130" s="514" t="n">
        <f aca="false">TableDE11a!F131/(1-TableDE9!$J50)</f>
        <v>0.0108575317976432</v>
      </c>
      <c r="G130" s="514" t="n">
        <f aca="false">TableDE11a!G131/(1-TableDE9!$J50)</f>
        <v>0.018787466275227</v>
      </c>
      <c r="H130" s="1403" t="n">
        <f aca="false">TableDE11a!H131/(1-TableDE9!$J50)</f>
        <v>0.0480388378176689</v>
      </c>
      <c r="I130" s="1155" t="n">
        <f aca="false">TableDE11a!I131/(1-TableDE9!$J50)</f>
        <v>0.768493731863202</v>
      </c>
      <c r="J130" s="514" t="n">
        <f aca="false">TableDE11a!J131/(1-TableDE9!$J50)</f>
        <v>0.593498601805762</v>
      </c>
      <c r="K130" s="514" t="n">
        <f aca="false">TableDE11a!K131/(1-TableDE9!$J50)</f>
        <v>0.11078946721009</v>
      </c>
      <c r="L130" s="514" t="n">
        <f aca="false">TableDE11a!L131/(1-TableDE9!$J50)</f>
        <v>0.0622621318533614</v>
      </c>
      <c r="M130" s="514" t="n">
        <f aca="false">TableDE11a!M131/(1-TableDE9!$J50)</f>
        <v>0.00194353099398899</v>
      </c>
      <c r="N130" s="829" t="n">
        <f aca="false">(TableDE11a!B131-TableDE11a!G131)/(1-TableDE9!$J50)</f>
        <v>0.231506268136798</v>
      </c>
      <c r="O130" s="1149" t="n">
        <f aca="false">TableDE11a!$I131/(1-TableDE9!$J50)</f>
        <v>0.768493731863202</v>
      </c>
      <c r="P130" s="580"/>
      <c r="Q130" s="580"/>
      <c r="R130" s="502" t="n">
        <f aca="false">N130+O130-1</f>
        <v>0</v>
      </c>
      <c r="S130" s="580" t="n">
        <f aca="false">B130-G130+J130+K130+L130+M130</f>
        <v>1</v>
      </c>
    </row>
    <row r="131" customFormat="false" ht="12" hidden="false" customHeight="false" outlineLevel="0" collapsed="false">
      <c r="A131" s="416" t="n">
        <v>1992</v>
      </c>
      <c r="B131" s="1155" t="n">
        <f aca="false">TableDE11a!B132/(1-TableDE9!$J51)</f>
        <v>0.239734515525839</v>
      </c>
      <c r="C131" s="514" t="n">
        <f aca="false">TableDE11a!C132/(1-TableDE9!$J51)</f>
        <v>0.13844142862635</v>
      </c>
      <c r="D131" s="514" t="n">
        <f aca="false">TableDE11a!D132/(1-TableDE9!$J51)</f>
        <v>0.0218599823151744</v>
      </c>
      <c r="E131" s="514" t="n">
        <f aca="false">TableDE11a!E132/(1-TableDE9!$J51)</f>
        <v>0.0471698313537583</v>
      </c>
      <c r="F131" s="514" t="n">
        <f aca="false">TableDE11a!F132/(1-TableDE9!$J51)</f>
        <v>0.0107492983737649</v>
      </c>
      <c r="G131" s="514" t="n">
        <f aca="false">TableDE11a!G132/(1-TableDE9!$J51)</f>
        <v>0.0215139748567914</v>
      </c>
      <c r="H131" s="1403" t="n">
        <f aca="false">TableDE11a!H132/(1-TableDE9!$J51)</f>
        <v>0.0506478028526393</v>
      </c>
      <c r="I131" s="1155" t="n">
        <f aca="false">TableDE11a!I132/(1-TableDE9!$J51)</f>
        <v>0.781779459330952</v>
      </c>
      <c r="J131" s="514" t="n">
        <f aca="false">TableDE11a!J132/(1-TableDE9!$J51)</f>
        <v>0.602360539771635</v>
      </c>
      <c r="K131" s="514" t="n">
        <f aca="false">TableDE11a!K132/(1-TableDE9!$J51)</f>
        <v>0.114090192610819</v>
      </c>
      <c r="L131" s="514" t="n">
        <f aca="false">TableDE11a!L132/(1-TableDE9!$J51)</f>
        <v>0.0642215030816728</v>
      </c>
      <c r="M131" s="514" t="n">
        <f aca="false">TableDE11a!M132/(1-TableDE9!$J51)</f>
        <v>0.00110722386682557</v>
      </c>
      <c r="N131" s="829" t="n">
        <f aca="false">(TableDE11a!B132-TableDE11a!G132)/(1-TableDE9!$J51)</f>
        <v>0.218220540669048</v>
      </c>
      <c r="O131" s="1149" t="n">
        <f aca="false">TableDE11a!$I132/(1-TableDE9!$J51)</f>
        <v>0.781779459330952</v>
      </c>
      <c r="P131" s="580"/>
      <c r="Q131" s="580"/>
      <c r="R131" s="502" t="n">
        <f aca="false">N131+O131-1</f>
        <v>0</v>
      </c>
      <c r="S131" s="580" t="n">
        <f aca="false">B131-G131+J131+K131+L131+M131</f>
        <v>1</v>
      </c>
    </row>
    <row r="132" customFormat="false" ht="12" hidden="false" customHeight="false" outlineLevel="0" collapsed="false">
      <c r="A132" s="416" t="n">
        <v>1993</v>
      </c>
      <c r="B132" s="1155" t="n">
        <f aca="false">TableDE11a!B133/(1-TableDE9!$J52)</f>
        <v>0.235532660902765</v>
      </c>
      <c r="C132" s="514" t="n">
        <f aca="false">TableDE11a!C133/(1-TableDE9!$J52)</f>
        <v>0.133233725948229</v>
      </c>
      <c r="D132" s="514" t="n">
        <f aca="false">TableDE11a!D133/(1-TableDE9!$J52)</f>
        <v>0.0244063374566746</v>
      </c>
      <c r="E132" s="514" t="n">
        <f aca="false">TableDE11a!E133/(1-TableDE9!$J52)</f>
        <v>0.0467210477940289</v>
      </c>
      <c r="F132" s="514" t="n">
        <f aca="false">TableDE11a!F133/(1-TableDE9!$J52)</f>
        <v>0.00675004360983231</v>
      </c>
      <c r="G132" s="514" t="n">
        <f aca="false">TableDE11a!G133/(1-TableDE9!$J52)</f>
        <v>0.024421506094</v>
      </c>
      <c r="H132" s="1403" t="n">
        <f aca="false">TableDE11a!H133/(1-TableDE9!$J52)</f>
        <v>0.0497455461088653</v>
      </c>
      <c r="I132" s="1155" t="n">
        <f aca="false">TableDE11a!I133/(1-TableDE9!$J52)</f>
        <v>0.788888845191235</v>
      </c>
      <c r="J132" s="514" t="n">
        <f aca="false">TableDE11a!J133/(1-TableDE9!$J52)</f>
        <v>0.606282849580208</v>
      </c>
      <c r="K132" s="514" t="n">
        <f aca="false">TableDE11a!K133/(1-TableDE9!$J52)</f>
        <v>0.117268735163177</v>
      </c>
      <c r="L132" s="514" t="n">
        <f aca="false">TableDE11a!L133/(1-TableDE9!$J52)</f>
        <v>0.0648366954161098</v>
      </c>
      <c r="M132" s="514" t="n">
        <f aca="false">TableDE11a!M133/(1-TableDE9!$J52)</f>
        <v>0.000500565031740374</v>
      </c>
      <c r="N132" s="829" t="n">
        <f aca="false">(TableDE11a!B133-TableDE11a!G133)/(1-TableDE9!$J52)</f>
        <v>0.211111154808765</v>
      </c>
      <c r="O132" s="1149" t="n">
        <f aca="false">TableDE11a!$I133/(1-TableDE9!$J52)</f>
        <v>0.788888845191235</v>
      </c>
      <c r="P132" s="580"/>
      <c r="Q132" s="580"/>
      <c r="R132" s="502" t="n">
        <f aca="false">N132+O132-1</f>
        <v>0</v>
      </c>
      <c r="S132" s="580" t="n">
        <f aca="false">B132-G132+J132+K132+L132+M132</f>
        <v>1</v>
      </c>
    </row>
    <row r="133" customFormat="false" ht="12" hidden="false" customHeight="false" outlineLevel="0" collapsed="false">
      <c r="A133" s="416" t="n">
        <v>1994</v>
      </c>
      <c r="B133" s="1155" t="n">
        <f aca="false">TableDE11a!B134/(1-TableDE9!$J53)</f>
        <v>0.251915106236448</v>
      </c>
      <c r="C133" s="514" t="n">
        <f aca="false">TableDE11a!C134/(1-TableDE9!$J53)</f>
        <v>0.148022862475213</v>
      </c>
      <c r="D133" s="514" t="n">
        <f aca="false">TableDE11a!D134/(1-TableDE9!$J53)</f>
        <v>0.0268794471013647</v>
      </c>
      <c r="E133" s="514" t="n">
        <f aca="false">TableDE11a!E134/(1-TableDE9!$J53)</f>
        <v>0.0518174158130253</v>
      </c>
      <c r="F133" s="514" t="n">
        <f aca="false">TableDE11a!F134/(1-TableDE9!$J53)</f>
        <v>-0.000685291029977836</v>
      </c>
      <c r="G133" s="514" t="n">
        <f aca="false">TableDE11a!G134/(1-TableDE9!$J53)</f>
        <v>0.0258806718768226</v>
      </c>
      <c r="H133" s="1403" t="n">
        <f aca="false">TableDE11a!H134/(1-TableDE9!$J53)</f>
        <v>0.0511999883354718</v>
      </c>
      <c r="I133" s="1155" t="n">
        <f aca="false">TableDE11a!I134/(1-TableDE9!$J53)</f>
        <v>0.773965565640375</v>
      </c>
      <c r="J133" s="514" t="n">
        <f aca="false">TableDE11a!J134/(1-TableDE9!$J53)</f>
        <v>0.598514230724367</v>
      </c>
      <c r="K133" s="514" t="n">
        <f aca="false">TableDE11a!K134/(1-TableDE9!$J53)</f>
        <v>0.114837279832031</v>
      </c>
      <c r="L133" s="514" t="n">
        <f aca="false">TableDE11a!L134/(1-TableDE9!$J53)</f>
        <v>0.0605630227732339</v>
      </c>
      <c r="M133" s="514" t="n">
        <f aca="false">TableDE11a!M134/(1-TableDE9!$J53)</f>
        <v>5.103231074303E-005</v>
      </c>
      <c r="N133" s="829" t="n">
        <f aca="false">(TableDE11a!B134-TableDE11a!G134)/(1-TableDE9!$J53)</f>
        <v>0.226034434359625</v>
      </c>
      <c r="O133" s="1149" t="n">
        <f aca="false">TableDE11a!$I134/(1-TableDE9!$J53)</f>
        <v>0.773965565640375</v>
      </c>
      <c r="P133" s="580"/>
      <c r="Q133" s="580"/>
      <c r="R133" s="502" t="n">
        <f aca="false">N133+O133-1</f>
        <v>0</v>
      </c>
      <c r="S133" s="580" t="n">
        <f aca="false">B133-G133+J133+K133+L133+M133</f>
        <v>1</v>
      </c>
    </row>
    <row r="134" customFormat="false" ht="12" hidden="false" customHeight="false" outlineLevel="0" collapsed="false">
      <c r="A134" s="416" t="n">
        <v>1995</v>
      </c>
      <c r="B134" s="1155" t="n">
        <f aca="false">TableDE11a!B135/(1-TableDE9!$J54)</f>
        <v>0.263814111488576</v>
      </c>
      <c r="C134" s="514" t="n">
        <f aca="false">TableDE11a!C135/(1-TableDE9!$J54)</f>
        <v>0.152986174468384</v>
      </c>
      <c r="D134" s="514" t="n">
        <f aca="false">TableDE11a!D135/(1-TableDE9!$J54)</f>
        <v>0.0280721454137132</v>
      </c>
      <c r="E134" s="514" t="n">
        <f aca="false">TableDE11a!E135/(1-TableDE9!$J54)</f>
        <v>0.0528870288862883</v>
      </c>
      <c r="F134" s="514" t="n">
        <f aca="false">TableDE11a!F135/(1-TableDE9!$J54)</f>
        <v>-0.00247736683276019</v>
      </c>
      <c r="G134" s="514" t="n">
        <f aca="false">TableDE11a!G135/(1-TableDE9!$J54)</f>
        <v>0.0323461295529511</v>
      </c>
      <c r="H134" s="1403" t="n">
        <f aca="false">TableDE11a!H135/(1-TableDE9!$J54)</f>
        <v>0.0486560460383185</v>
      </c>
      <c r="I134" s="1155" t="n">
        <f aca="false">TableDE11a!I135/(1-TableDE9!$J54)</f>
        <v>0.768532018064375</v>
      </c>
      <c r="J134" s="514" t="n">
        <f aca="false">TableDE11a!J135/(1-TableDE9!$J54)</f>
        <v>0.597915643203032</v>
      </c>
      <c r="K134" s="514" t="n">
        <f aca="false">TableDE11a!K135/(1-TableDE9!$J54)</f>
        <v>0.114113271106744</v>
      </c>
      <c r="L134" s="514" t="n">
        <f aca="false">TableDE11a!L135/(1-TableDE9!$J54)</f>
        <v>0.0577733683345693</v>
      </c>
      <c r="M134" s="514" t="n">
        <f aca="false">TableDE11a!M135/(1-TableDE9!$J54)</f>
        <v>-0.00127026457997052</v>
      </c>
      <c r="N134" s="829" t="n">
        <f aca="false">(TableDE11a!B135-TableDE11a!G135)/(1-TableDE9!$J54)</f>
        <v>0.231467981935625</v>
      </c>
      <c r="O134" s="1149" t="n">
        <f aca="false">TableDE11a!$I135/(1-TableDE9!$J54)</f>
        <v>0.768532018064375</v>
      </c>
      <c r="P134" s="580"/>
      <c r="Q134" s="580"/>
      <c r="R134" s="502" t="n">
        <f aca="false">N134+O134-1</f>
        <v>0</v>
      </c>
      <c r="S134" s="580" t="n">
        <f aca="false">B134-G134+J134+K134+L134+M134</f>
        <v>1</v>
      </c>
    </row>
    <row r="135" customFormat="false" ht="12" hidden="false" customHeight="false" outlineLevel="0" collapsed="false">
      <c r="A135" s="416" t="n">
        <v>1996</v>
      </c>
      <c r="B135" s="1155" t="n">
        <f aca="false">TableDE11a!B136/(1-TableDE9!$J55)</f>
        <v>0.269374425552994</v>
      </c>
      <c r="C135" s="514" t="n">
        <f aca="false">TableDE11a!C136/(1-TableDE9!$J55)</f>
        <v>0.156467431148244</v>
      </c>
      <c r="D135" s="514" t="n">
        <f aca="false">TableDE11a!D136/(1-TableDE9!$J55)</f>
        <v>0.0276513632025231</v>
      </c>
      <c r="E135" s="514" t="n">
        <f aca="false">TableDE11a!E136/(1-TableDE9!$J55)</f>
        <v>0.0536066472065427</v>
      </c>
      <c r="F135" s="514" t="n">
        <f aca="false">TableDE11a!F136/(1-TableDE9!$J55)</f>
        <v>-0.0011896034194182</v>
      </c>
      <c r="G135" s="514" t="n">
        <f aca="false">TableDE11a!G136/(1-TableDE9!$J55)</f>
        <v>0.0328385874151024</v>
      </c>
      <c r="H135" s="1403" t="n">
        <f aca="false">TableDE11a!H136/(1-TableDE9!$J55)</f>
        <v>0.0462562073783077</v>
      </c>
      <c r="I135" s="1155" t="n">
        <f aca="false">TableDE11a!I136/(1-TableDE9!$J55)</f>
        <v>0.763464161862108</v>
      </c>
      <c r="J135" s="514" t="n">
        <f aca="false">TableDE11a!J136/(1-TableDE9!$J55)</f>
        <v>0.592844397106221</v>
      </c>
      <c r="K135" s="514" t="n">
        <f aca="false">TableDE11a!K136/(1-TableDE9!$J55)</f>
        <v>0.114596157304303</v>
      </c>
      <c r="L135" s="514" t="n">
        <f aca="false">TableDE11a!L136/(1-TableDE9!$J55)</f>
        <v>0.0573238716542045</v>
      </c>
      <c r="M135" s="514" t="n">
        <f aca="false">TableDE11a!M136/(1-TableDE9!$J55)</f>
        <v>-0.00130026420261989</v>
      </c>
      <c r="N135" s="829" t="n">
        <f aca="false">(TableDE11a!B136-TableDE11a!G136)/(1-TableDE9!$J55)</f>
        <v>0.236535838137891</v>
      </c>
      <c r="O135" s="1149" t="n">
        <f aca="false">TableDE11a!$I136/(1-TableDE9!$J55)</f>
        <v>0.763464161862108</v>
      </c>
      <c r="P135" s="580"/>
      <c r="Q135" s="580"/>
      <c r="R135" s="502" t="n">
        <f aca="false">N135+O135-1</f>
        <v>0</v>
      </c>
      <c r="S135" s="580" t="n">
        <f aca="false">B135-G135+J135+K135+L135+M135</f>
        <v>1</v>
      </c>
    </row>
    <row r="136" customFormat="false" ht="12" hidden="false" customHeight="false" outlineLevel="0" collapsed="false">
      <c r="A136" s="416" t="n">
        <v>1997</v>
      </c>
      <c r="B136" s="1155" t="n">
        <f aca="false">TableDE11a!B137/(1-TableDE9!$J56)</f>
        <v>0.283292047270549</v>
      </c>
      <c r="C136" s="514" t="n">
        <f aca="false">TableDE11a!C137/(1-TableDE9!$J56)</f>
        <v>0.169060261330098</v>
      </c>
      <c r="D136" s="514" t="n">
        <f aca="false">TableDE11a!D137/(1-TableDE9!$J56)</f>
        <v>0.028395962129629</v>
      </c>
      <c r="E136" s="514" t="n">
        <f aca="false">TableDE11a!E137/(1-TableDE9!$J56)</f>
        <v>0.0563765467286669</v>
      </c>
      <c r="F136" s="514" t="n">
        <f aca="false">TableDE11a!F137/(1-TableDE9!$J56)</f>
        <v>-0.0037352345768211</v>
      </c>
      <c r="G136" s="514" t="n">
        <f aca="false">TableDE11a!G137/(1-TableDE9!$J56)</f>
        <v>0.0331945116589758</v>
      </c>
      <c r="H136" s="1403" t="n">
        <f aca="false">TableDE11a!H137/(1-TableDE9!$J56)</f>
        <v>0.0441548350157793</v>
      </c>
      <c r="I136" s="1155" t="n">
        <f aca="false">TableDE11a!I137/(1-TableDE9!$J56)</f>
        <v>0.749902464388427</v>
      </c>
      <c r="J136" s="514" t="n">
        <f aca="false">TableDE11a!J137/(1-TableDE9!$J56)</f>
        <v>0.586479541411346</v>
      </c>
      <c r="K136" s="514" t="n">
        <f aca="false">TableDE11a!K137/(1-TableDE9!$J56)</f>
        <v>0.112990845948838</v>
      </c>
      <c r="L136" s="514" t="n">
        <f aca="false">TableDE11a!L137/(1-TableDE9!$J56)</f>
        <v>0.0518566464197677</v>
      </c>
      <c r="M136" s="514" t="n">
        <f aca="false">TableDE11a!M137/(1-TableDE9!$J56)</f>
        <v>-0.00142456939152483</v>
      </c>
      <c r="N136" s="829" t="n">
        <f aca="false">(TableDE11a!B137-TableDE11a!G137)/(1-TableDE9!$J56)</f>
        <v>0.250097535611573</v>
      </c>
      <c r="O136" s="1149" t="n">
        <f aca="false">TableDE11a!$I137/(1-TableDE9!$J56)</f>
        <v>0.749902464388427</v>
      </c>
      <c r="P136" s="580"/>
      <c r="Q136" s="580"/>
      <c r="R136" s="502" t="n">
        <f aca="false">N136+O136-1</f>
        <v>0</v>
      </c>
      <c r="S136" s="580" t="n">
        <f aca="false">B136-G136+J136+K136+L136+M136</f>
        <v>1</v>
      </c>
    </row>
    <row r="137" customFormat="false" ht="12" hidden="false" customHeight="false" outlineLevel="0" collapsed="false">
      <c r="A137" s="416" t="n">
        <v>1998</v>
      </c>
      <c r="B137" s="1155" t="n">
        <f aca="false">TableDE11a!B138/(1-TableDE9!$J57)</f>
        <v>0.288427809565317</v>
      </c>
      <c r="C137" s="514" t="n">
        <f aca="false">TableDE11a!C138/(1-TableDE9!$J57)</f>
        <v>0.179478598440481</v>
      </c>
      <c r="D137" s="514" t="n">
        <f aca="false">TableDE11a!D138/(1-TableDE9!$J57)</f>
        <v>0.0275291991566547</v>
      </c>
      <c r="E137" s="514" t="n">
        <f aca="false">TableDE11a!E138/(1-TableDE9!$J57)</f>
        <v>0.0570633973970498</v>
      </c>
      <c r="F137" s="514" t="n">
        <f aca="false">TableDE11a!F138/(1-TableDE9!$J57)</f>
        <v>-0.00894883036042971</v>
      </c>
      <c r="G137" s="514" t="n">
        <f aca="false">TableDE11a!G138/(1-TableDE9!$J57)</f>
        <v>0.0333054449315619</v>
      </c>
      <c r="H137" s="1403" t="n">
        <f aca="false">TableDE11a!H138/(1-TableDE9!$J57)</f>
        <v>0.0444362638465915</v>
      </c>
      <c r="I137" s="1155" t="n">
        <f aca="false">TableDE11a!I138/(1-TableDE9!$J57)</f>
        <v>0.744877635366245</v>
      </c>
      <c r="J137" s="514" t="n">
        <f aca="false">TableDE11a!J138/(1-TableDE9!$J57)</f>
        <v>0.589571968809612</v>
      </c>
      <c r="K137" s="514" t="n">
        <f aca="false">TableDE11a!K138/(1-TableDE9!$J57)</f>
        <v>0.111355041665272</v>
      </c>
      <c r="L137" s="514" t="n">
        <f aca="false">TableDE11a!L138/(1-TableDE9!$J57)</f>
        <v>0.0454967578855713</v>
      </c>
      <c r="M137" s="514" t="n">
        <f aca="false">TableDE11a!M138/(1-TableDE9!$J57)</f>
        <v>-0.00154613299421037</v>
      </c>
      <c r="N137" s="829" t="n">
        <f aca="false">(TableDE11a!B138-TableDE11a!G138)/(1-TableDE9!$J57)</f>
        <v>0.255122364633756</v>
      </c>
      <c r="O137" s="1149" t="n">
        <f aca="false">TableDE11a!$I138/(1-TableDE9!$J57)</f>
        <v>0.744877635366245</v>
      </c>
      <c r="P137" s="580"/>
      <c r="Q137" s="580"/>
      <c r="R137" s="502" t="n">
        <f aca="false">N137+O137-1</f>
        <v>0</v>
      </c>
      <c r="S137" s="580" t="n">
        <f aca="false">B137-G137+J137+K137+L137+M137</f>
        <v>1</v>
      </c>
    </row>
    <row r="138" customFormat="false" ht="12" hidden="false" customHeight="false" outlineLevel="0" collapsed="false">
      <c r="A138" s="445" t="n">
        <f aca="false">A137+1</f>
        <v>1999</v>
      </c>
      <c r="B138" s="1158" t="n">
        <f aca="false">TableDE11a!B139/(1-TableDE9!$J58)</f>
        <v>0.277305695632684</v>
      </c>
      <c r="C138" s="842" t="n">
        <f aca="false">TableDE11a!C139/(1-TableDE9!$J58)</f>
        <v>0.176765101293403</v>
      </c>
      <c r="D138" s="842" t="n">
        <f aca="false">TableDE11a!D139/(1-TableDE9!$J58)</f>
        <v>0.0259475353814976</v>
      </c>
      <c r="E138" s="842" t="n">
        <f aca="false">TableDE11a!E139/(1-TableDE9!$J58)</f>
        <v>0.0550694922644056</v>
      </c>
      <c r="F138" s="842" t="n">
        <f aca="false">TableDE11a!F139/(1-TableDE9!$J58)</f>
        <v>-0.0109273694179355</v>
      </c>
      <c r="G138" s="842" t="n">
        <f aca="false">TableDE11a!G139/(1-TableDE9!$J58)</f>
        <v>0.0304509361113135</v>
      </c>
      <c r="H138" s="1404" t="n">
        <f aca="false">TableDE11a!H139/(1-TableDE9!$J58)</f>
        <v>0.0427094578037974</v>
      </c>
      <c r="I138" s="1158" t="n">
        <f aca="false">TableDE11a!I139/(1-TableDE9!$J58)</f>
        <v>0.753145240478629</v>
      </c>
      <c r="J138" s="842" t="n">
        <f aca="false">TableDE11a!J139/(1-TableDE9!$J58)</f>
        <v>0.599197335046392</v>
      </c>
      <c r="K138" s="842" t="n">
        <f aca="false">TableDE11a!K139/(1-TableDE9!$J58)</f>
        <v>0.111883017543395</v>
      </c>
      <c r="L138" s="842" t="n">
        <f aca="false">TableDE11a!L139/(1-TableDE9!$J58)</f>
        <v>0.0436874366812026</v>
      </c>
      <c r="M138" s="842" t="n">
        <f aca="false">TableDE11a!M139/(1-TableDE9!$J58)</f>
        <v>-0.00162254879236011</v>
      </c>
      <c r="N138" s="1498" t="n">
        <f aca="false">(TableDE11a!B139-TableDE11a!G139)/(1-TableDE9!$J58)</f>
        <v>0.246854759521371</v>
      </c>
      <c r="O138" s="1148" t="n">
        <f aca="false">TableDE11a!$I139/(1-TableDE9!$J58)</f>
        <v>0.753145240478629</v>
      </c>
      <c r="P138" s="580"/>
      <c r="Q138" s="580"/>
      <c r="R138" s="502" t="n">
        <f aca="false">N138+O138-1</f>
        <v>0</v>
      </c>
      <c r="S138" s="580" t="n">
        <f aca="false">B138-G138+J138+K138+L138+M138</f>
        <v>1</v>
      </c>
    </row>
    <row r="139" customFormat="false" ht="12" hidden="false" customHeight="false" outlineLevel="0" collapsed="false">
      <c r="A139" s="446" t="n">
        <f aca="false">A138+1</f>
        <v>2000</v>
      </c>
      <c r="B139" s="1155" t="n">
        <f aca="false">TableDE11a!B140/(1-TableDE9!$J59)</f>
        <v>0.266875300638927</v>
      </c>
      <c r="C139" s="514" t="n">
        <f aca="false">TableDE11a!C140/(1-TableDE9!$J59)</f>
        <v>0.165160554767411</v>
      </c>
      <c r="D139" s="514" t="n">
        <f aca="false">TableDE11a!D140/(1-TableDE9!$J59)</f>
        <v>0.0268638539622079</v>
      </c>
      <c r="E139" s="514" t="n">
        <f aca="false">TableDE11a!E140/(1-TableDE9!$J59)</f>
        <v>0.0510510849507468</v>
      </c>
      <c r="F139" s="514" t="n">
        <f aca="false">TableDE11a!F140/(1-TableDE9!$J59)</f>
        <v>-0.00773461336650018</v>
      </c>
      <c r="G139" s="514" t="n">
        <f aca="false">TableDE11a!G140/(1-TableDE9!$J59)</f>
        <v>0.0315344203250611</v>
      </c>
      <c r="H139" s="1403" t="n">
        <f aca="false">TableDE11a!H140/(1-TableDE9!$J59)</f>
        <v>0.0474441443017147</v>
      </c>
      <c r="I139" s="1155" t="n">
        <f aca="false">TableDE11a!I140/(1-TableDE9!$J59)</f>
        <v>0.764659119686134</v>
      </c>
      <c r="J139" s="514" t="n">
        <f aca="false">TableDE11a!J140/(1-TableDE9!$J59)</f>
        <v>0.611695201818995</v>
      </c>
      <c r="K139" s="514" t="n">
        <f aca="false">TableDE11a!K140/(1-TableDE9!$J59)</f>
        <v>0.110001230801122</v>
      </c>
      <c r="L139" s="514" t="n">
        <f aca="false">TableDE11a!L140/(1-TableDE9!$J59)</f>
        <v>0.0448348003515444</v>
      </c>
      <c r="M139" s="514" t="n">
        <f aca="false">TableDE11a!M140/(1-TableDE9!$J59)</f>
        <v>-0.00187211328552643</v>
      </c>
      <c r="N139" s="829" t="n">
        <f aca="false">(TableDE11a!B140-TableDE11a!G140)/(1-TableDE9!$J59)</f>
        <v>0.235340880313866</v>
      </c>
      <c r="O139" s="1149" t="n">
        <f aca="false">TableDE11a!$I140/(1-TableDE9!$J59)</f>
        <v>0.764659119686134</v>
      </c>
      <c r="P139" s="580"/>
      <c r="Q139" s="580"/>
      <c r="R139" s="502" t="n">
        <f aca="false">N139+O139-1</f>
        <v>0</v>
      </c>
      <c r="S139" s="580" t="n">
        <f aca="false">B139-G139+J139+K139+L139+M139</f>
        <v>1</v>
      </c>
    </row>
    <row r="140" customFormat="false" ht="12" hidden="false" customHeight="false" outlineLevel="0" collapsed="false">
      <c r="A140" s="446" t="n">
        <f aca="false">A139+1</f>
        <v>2001</v>
      </c>
      <c r="B140" s="1155" t="n">
        <f aca="false">TableDE11a!B141/(1-TableDE9!$J60)</f>
        <v>0.2729133434529</v>
      </c>
      <c r="C140" s="514" t="n">
        <f aca="false">TableDE11a!C141/(1-TableDE9!$J60)</f>
        <v>0.174196081411401</v>
      </c>
      <c r="D140" s="514" t="n">
        <f aca="false">TableDE11a!D141/(1-TableDE9!$J60)</f>
        <v>0.0281925605076181</v>
      </c>
      <c r="E140" s="514" t="n">
        <f aca="false">TableDE11a!E141/(1-TableDE9!$J60)</f>
        <v>0.0519386357005789</v>
      </c>
      <c r="F140" s="514" t="n">
        <f aca="false">TableDE11a!F141/(1-TableDE9!$J60)</f>
        <v>-0.0102017553858429</v>
      </c>
      <c r="G140" s="514" t="n">
        <f aca="false">TableDE11a!G141/(1-TableDE9!$J60)</f>
        <v>0.0287878212191446</v>
      </c>
      <c r="H140" s="1403" t="n">
        <f aca="false">TableDE11a!H141/(1-TableDE9!$J60)</f>
        <v>0.0470635915751612</v>
      </c>
      <c r="I140" s="1155" t="n">
        <f aca="false">TableDE11a!I141/(1-TableDE9!$J60)</f>
        <v>0.755874477766245</v>
      </c>
      <c r="J140" s="514" t="n">
        <f aca="false">TableDE11a!J141/(1-TableDE9!$J60)</f>
        <v>0.610040908342516</v>
      </c>
      <c r="K140" s="514" t="n">
        <f aca="false">TableDE11a!K141/(1-TableDE9!$J60)</f>
        <v>0.108774396190331</v>
      </c>
      <c r="L140" s="514" t="n">
        <f aca="false">TableDE11a!L141/(1-TableDE9!$J60)</f>
        <v>0.0390729275553706</v>
      </c>
      <c r="M140" s="514" t="n">
        <f aca="false">TableDE11a!M141/(1-TableDE9!$J60)</f>
        <v>-0.00201375432197272</v>
      </c>
      <c r="N140" s="829" t="n">
        <f aca="false">(TableDE11a!B141-TableDE11a!G141)/(1-TableDE9!$J60)</f>
        <v>0.244125522233755</v>
      </c>
      <c r="O140" s="1149" t="n">
        <f aca="false">TableDE11a!$I141/(1-TableDE9!$J60)</f>
        <v>0.755874477766245</v>
      </c>
      <c r="P140" s="580"/>
      <c r="Q140" s="580"/>
      <c r="R140" s="502" t="n">
        <f aca="false">N140+O140-1</f>
        <v>0</v>
      </c>
      <c r="S140" s="580" t="n">
        <f aca="false">B140-G140+J140+K140+L140+M140</f>
        <v>1</v>
      </c>
    </row>
    <row r="141" customFormat="false" ht="12" hidden="false" customHeight="false" outlineLevel="0" collapsed="false">
      <c r="A141" s="446" t="n">
        <f aca="false">A140+1</f>
        <v>2002</v>
      </c>
      <c r="B141" s="1155" t="n">
        <f aca="false">TableDE11a!B142/(1-TableDE9!$J61)</f>
        <v>0.277237340048787</v>
      </c>
      <c r="C141" s="514" t="n">
        <f aca="false">TableDE11a!C142/(1-TableDE9!$J61)</f>
        <v>0.180249996862489</v>
      </c>
      <c r="D141" s="514" t="n">
        <f aca="false">TableDE11a!D142/(1-TableDE9!$J61)</f>
        <v>0.0312182327029028</v>
      </c>
      <c r="E141" s="514" t="n">
        <f aca="false">TableDE11a!E142/(1-TableDE9!$J61)</f>
        <v>0.0527484405620838</v>
      </c>
      <c r="F141" s="514" t="n">
        <f aca="false">TableDE11a!F142/(1-TableDE9!$J61)</f>
        <v>-0.0150475019138816</v>
      </c>
      <c r="G141" s="514" t="n">
        <f aca="false">TableDE11a!G142/(1-TableDE9!$J61)</f>
        <v>0.0280681718351928</v>
      </c>
      <c r="H141" s="1403" t="n">
        <f aca="false">TableDE11a!H142/(1-TableDE9!$J61)</f>
        <v>0.0437682760005522</v>
      </c>
      <c r="I141" s="1155" t="n">
        <f aca="false">TableDE11a!I142/(1-TableDE9!$J61)</f>
        <v>0.750830831786406</v>
      </c>
      <c r="J141" s="514" t="n">
        <f aca="false">TableDE11a!J142/(1-TableDE9!$J61)</f>
        <v>0.606455742272311</v>
      </c>
      <c r="K141" s="514" t="n">
        <f aca="false">TableDE11a!K142/(1-TableDE9!$J61)</f>
        <v>0.109844253962676</v>
      </c>
      <c r="L141" s="514" t="n">
        <f aca="false">TableDE11a!L142/(1-TableDE9!$J61)</f>
        <v>0.036206266331655</v>
      </c>
      <c r="M141" s="514" t="n">
        <f aca="false">TableDE11a!M142/(1-TableDE9!$J61)</f>
        <v>-0.00167543078023619</v>
      </c>
      <c r="N141" s="829" t="n">
        <f aca="false">(TableDE11a!B142-TableDE11a!G142)/(1-TableDE9!$J61)</f>
        <v>0.249169168213594</v>
      </c>
      <c r="O141" s="1149" t="n">
        <f aca="false">TableDE11a!$I142/(1-TableDE9!$J61)</f>
        <v>0.750830831786406</v>
      </c>
      <c r="P141" s="580"/>
      <c r="Q141" s="580"/>
      <c r="R141" s="502" t="n">
        <f aca="false">N141+O141-1</f>
        <v>0</v>
      </c>
      <c r="S141" s="580" t="n">
        <f aca="false">B141-G141+J141+K141+L141+M141</f>
        <v>1</v>
      </c>
    </row>
    <row r="142" customFormat="false" ht="12" hidden="false" customHeight="false" outlineLevel="0" collapsed="false">
      <c r="A142" s="446" t="n">
        <f aca="false">A141+1</f>
        <v>2003</v>
      </c>
      <c r="B142" s="1155" t="n">
        <f aca="false">TableDE11a!B143/(1-TableDE9!$J62)</f>
        <v>0.288951008206089</v>
      </c>
      <c r="C142" s="514" t="n">
        <f aca="false">TableDE11a!C143/(1-TableDE9!$J62)</f>
        <v>0.183254069760223</v>
      </c>
      <c r="D142" s="514" t="n">
        <f aca="false">TableDE11a!D143/(1-TableDE9!$J62)</f>
        <v>0.031055592117517</v>
      </c>
      <c r="E142" s="514" t="n">
        <f aca="false">TableDE11a!E143/(1-TableDE9!$J62)</f>
        <v>0.0525261885669345</v>
      </c>
      <c r="F142" s="514" t="n">
        <f aca="false">TableDE11a!F143/(1-TableDE9!$J62)</f>
        <v>-0.00858654216284008</v>
      </c>
      <c r="G142" s="514" t="n">
        <f aca="false">TableDE11a!G143/(1-TableDE9!$J62)</f>
        <v>0.0307016999242547</v>
      </c>
      <c r="H142" s="1403" t="n">
        <f aca="false">TableDE11a!H143/(1-TableDE9!$J62)</f>
        <v>0.0395365874858754</v>
      </c>
      <c r="I142" s="1155" t="n">
        <f aca="false">TableDE11a!I143/(1-TableDE9!$J62)</f>
        <v>0.741750691718166</v>
      </c>
      <c r="J142" s="514" t="n">
        <f aca="false">TableDE11a!J143/(1-TableDE9!$J62)</f>
        <v>0.600722685110452</v>
      </c>
      <c r="K142" s="514" t="n">
        <f aca="false">TableDE11a!K143/(1-TableDE9!$J62)</f>
        <v>0.109700371276371</v>
      </c>
      <c r="L142" s="514" t="n">
        <f aca="false">TableDE11a!L143/(1-TableDE9!$J62)</f>
        <v>0.0329667149632953</v>
      </c>
      <c r="M142" s="514" t="n">
        <f aca="false">TableDE11a!M143/(1-TableDE9!$J62)</f>
        <v>-0.00163907963195212</v>
      </c>
      <c r="N142" s="829" t="n">
        <f aca="false">(TableDE11a!B143-TableDE11a!G143)/(1-TableDE9!$J62)</f>
        <v>0.258249308281834</v>
      </c>
      <c r="O142" s="1149" t="n">
        <f aca="false">TableDE11a!$I143/(1-TableDE9!$J62)</f>
        <v>0.741750691718166</v>
      </c>
      <c r="P142" s="580"/>
      <c r="Q142" s="580"/>
      <c r="R142" s="502" t="n">
        <f aca="false">N142+O142-1</f>
        <v>0</v>
      </c>
      <c r="S142" s="580" t="n">
        <f aca="false">B142-G142+J142+K142+L142+M142</f>
        <v>1</v>
      </c>
    </row>
    <row r="143" customFormat="false" ht="12" hidden="false" customHeight="false" outlineLevel="0" collapsed="false">
      <c r="A143" s="446" t="n">
        <f aca="false">A142+1</f>
        <v>2004</v>
      </c>
      <c r="B143" s="1155" t="n">
        <f aca="false">TableDE11a!B144/(1-TableDE9!$J63)</f>
        <v>0.32196661181036</v>
      </c>
      <c r="C143" s="514" t="n">
        <f aca="false">TableDE11a!C144/(1-TableDE9!$J63)</f>
        <v>0.195223039302758</v>
      </c>
      <c r="D143" s="514" t="n">
        <f aca="false">TableDE11a!D144/(1-TableDE9!$J63)</f>
        <v>0.0294918706407569</v>
      </c>
      <c r="E143" s="514" t="n">
        <f aca="false">TableDE11a!E144/(1-TableDE9!$J63)</f>
        <v>0.05453259994493</v>
      </c>
      <c r="F143" s="514" t="n">
        <f aca="false">TableDE11a!F144/(1-TableDE9!$J63)</f>
        <v>0.0123568628844127</v>
      </c>
      <c r="G143" s="514" t="n">
        <f aca="false">TableDE11a!G144/(1-TableDE9!$J63)</f>
        <v>0.0303622390375028</v>
      </c>
      <c r="H143" s="1403" t="n">
        <f aca="false">TableDE11a!H144/(1-TableDE9!$J63)</f>
        <v>0.0356732625196869</v>
      </c>
      <c r="I143" s="1155" t="n">
        <f aca="false">TableDE11a!I144/(1-TableDE9!$J63)</f>
        <v>0.708395627227142</v>
      </c>
      <c r="J143" s="514" t="n">
        <f aca="false">TableDE11a!J144/(1-TableDE9!$J63)</f>
        <v>0.574591163688467</v>
      </c>
      <c r="K143" s="514" t="n">
        <f aca="false">TableDE11a!K144/(1-TableDE9!$J63)</f>
        <v>0.104823143510131</v>
      </c>
      <c r="L143" s="514" t="n">
        <f aca="false">TableDE11a!L144/(1-TableDE9!$J63)</f>
        <v>0.0302247034524671</v>
      </c>
      <c r="M143" s="514" t="n">
        <f aca="false">TableDE11a!M144/(1-TableDE9!$J63)</f>
        <v>-0.0012433834239227</v>
      </c>
      <c r="N143" s="829" t="n">
        <f aca="false">(TableDE11a!B144-TableDE11a!G144)/(1-TableDE9!$J63)</f>
        <v>0.291604372772858</v>
      </c>
      <c r="O143" s="1149" t="n">
        <f aca="false">TableDE11a!$I144/(1-TableDE9!$J63)</f>
        <v>0.708395627227142</v>
      </c>
      <c r="P143" s="580"/>
      <c r="Q143" s="580"/>
      <c r="R143" s="502" t="n">
        <f aca="false">N143+O143-1</f>
        <v>0</v>
      </c>
      <c r="S143" s="580" t="n">
        <f aca="false">B143-G143+J143+K143+L143+M143</f>
        <v>1</v>
      </c>
    </row>
    <row r="144" customFormat="false" ht="12" hidden="false" customHeight="false" outlineLevel="0" collapsed="false">
      <c r="A144" s="446" t="n">
        <f aca="false">A143+1</f>
        <v>2005</v>
      </c>
      <c r="B144" s="1155" t="n">
        <f aca="false">TableDE11a!B145/(1-TableDE9!$J64)</f>
        <v>0.33515489351053</v>
      </c>
      <c r="C144" s="514" t="n">
        <f aca="false">TableDE11a!C145/(1-TableDE9!$J64)</f>
        <v>0.203566892340678</v>
      </c>
      <c r="D144" s="514" t="n">
        <f aca="false">TableDE11a!D145/(1-TableDE9!$J64)</f>
        <v>0.0300523206357715</v>
      </c>
      <c r="E144" s="514" t="n">
        <f aca="false">TableDE11a!E145/(1-TableDE9!$J64)</f>
        <v>0.0567019063401563</v>
      </c>
      <c r="F144" s="514" t="n">
        <f aca="false">TableDE11a!F145/(1-TableDE9!$J64)</f>
        <v>0.0160632508710395</v>
      </c>
      <c r="G144" s="514" t="n">
        <f aca="false">TableDE11a!G145/(1-TableDE9!$J64)</f>
        <v>0.0287705233228847</v>
      </c>
      <c r="H144" s="1403" t="n">
        <f aca="false">TableDE11a!H145/(1-TableDE9!$J64)</f>
        <v>0.0340841558199424</v>
      </c>
      <c r="I144" s="1155" t="n">
        <f aca="false">TableDE11a!I145/(1-TableDE9!$J64)</f>
        <v>0.693615629812354</v>
      </c>
      <c r="J144" s="514" t="n">
        <f aca="false">TableDE11a!J145/(1-TableDE9!$J64)</f>
        <v>0.560891198713542</v>
      </c>
      <c r="K144" s="514" t="n">
        <f aca="false">TableDE11a!K145/(1-TableDE9!$J64)</f>
        <v>0.102980761387604</v>
      </c>
      <c r="L144" s="514" t="n">
        <f aca="false">TableDE11a!L145/(1-TableDE9!$J64)</f>
        <v>0.0307865866157848</v>
      </c>
      <c r="M144" s="514" t="n">
        <f aca="false">TableDE11a!M145/(1-TableDE9!$J64)</f>
        <v>-0.00104291690457602</v>
      </c>
      <c r="N144" s="829" t="n">
        <f aca="false">(TableDE11a!B145-TableDE11a!G145)/(1-TableDE9!$J64)</f>
        <v>0.306384370187646</v>
      </c>
      <c r="O144" s="1149" t="n">
        <f aca="false">TableDE11a!$I145/(1-TableDE9!$J64)</f>
        <v>0.693615629812354</v>
      </c>
      <c r="P144" s="580"/>
      <c r="Q144" s="580"/>
      <c r="R144" s="502" t="n">
        <f aca="false">N144+O144-1</f>
        <v>0</v>
      </c>
      <c r="S144" s="580" t="n">
        <f aca="false">B144-G144+J144+K144+L144+M144</f>
        <v>1</v>
      </c>
    </row>
    <row r="145" customFormat="false" ht="12" hidden="false" customHeight="false" outlineLevel="0" collapsed="false">
      <c r="A145" s="446" t="n">
        <f aca="false">A144+1</f>
        <v>2006</v>
      </c>
      <c r="B145" s="1155" t="n">
        <f aca="false">TableDE11a!B146/(1-TableDE9!$J65)</f>
        <v>0.359105289684966</v>
      </c>
      <c r="C145" s="514" t="n">
        <f aca="false">TableDE11a!C146/(1-TableDE9!$J65)</f>
        <v>0.216825102403586</v>
      </c>
      <c r="D145" s="514" t="n">
        <f aca="false">TableDE11a!D146/(1-TableDE9!$J65)</f>
        <v>0.0295949123911099</v>
      </c>
      <c r="E145" s="514" t="n">
        <f aca="false">TableDE11a!E146/(1-TableDE9!$J65)</f>
        <v>0.0593802060507706</v>
      </c>
      <c r="F145" s="514" t="n">
        <f aca="false">TableDE11a!F146/(1-TableDE9!$J65)</f>
        <v>0.0264758813332892</v>
      </c>
      <c r="G145" s="514" t="n">
        <f aca="false">TableDE11a!G146/(1-TableDE9!$J65)</f>
        <v>0.0268291875062105</v>
      </c>
      <c r="H145" s="1403" t="n">
        <f aca="false">TableDE11a!H146/(1-TableDE9!$J65)</f>
        <v>0.0339781170989147</v>
      </c>
      <c r="I145" s="1155" t="n">
        <f aca="false">TableDE11a!I146/(1-TableDE9!$J65)</f>
        <v>0.667723897821244</v>
      </c>
      <c r="J145" s="514" t="n">
        <f aca="false">TableDE11a!J146/(1-TableDE9!$J65)</f>
        <v>0.540878628288784</v>
      </c>
      <c r="K145" s="514" t="n">
        <f aca="false">TableDE11a!K146/(1-TableDE9!$J65)</f>
        <v>0.0978216466275822</v>
      </c>
      <c r="L145" s="514" t="n">
        <f aca="false">TableDE11a!L146/(1-TableDE9!$J65)</f>
        <v>0.0295204597105487</v>
      </c>
      <c r="M145" s="514" t="n">
        <f aca="false">TableDE11a!M146/(1-TableDE9!$J65)</f>
        <v>-0.000496836805670564</v>
      </c>
      <c r="N145" s="829" t="n">
        <f aca="false">(TableDE11a!B146-TableDE11a!G146)/(1-TableDE9!$J65)</f>
        <v>0.332276102178756</v>
      </c>
      <c r="O145" s="1149" t="n">
        <f aca="false">TableDE11a!$I146/(1-TableDE9!$J65)</f>
        <v>0.667723897821244</v>
      </c>
      <c r="P145" s="580"/>
      <c r="Q145" s="580"/>
      <c r="R145" s="502" t="n">
        <f aca="false">N145+O145-1</f>
        <v>0</v>
      </c>
      <c r="S145" s="580" t="n">
        <f aca="false">B145-G145+J145+K145+L145+M145</f>
        <v>1</v>
      </c>
    </row>
    <row r="146" customFormat="false" ht="12" hidden="false" customHeight="false" outlineLevel="0" collapsed="false">
      <c r="A146" s="446" t="n">
        <f aca="false">A145+1</f>
        <v>2007</v>
      </c>
      <c r="B146" s="1155" t="n">
        <f aca="false">TableDE11a!B147/(1-TableDE9!$J66)</f>
        <v>0.368904112748623</v>
      </c>
      <c r="C146" s="514" t="n">
        <f aca="false">TableDE11a!C147/(1-TableDE9!$J66)</f>
        <v>0.228169074007105</v>
      </c>
      <c r="D146" s="514" t="n">
        <f aca="false">TableDE11a!D147/(1-TableDE9!$J66)</f>
        <v>0.0302920717309451</v>
      </c>
      <c r="E146" s="514" t="n">
        <f aca="false">TableDE11a!E147/(1-TableDE9!$J66)</f>
        <v>0.0607875818715564</v>
      </c>
      <c r="F146" s="514" t="n">
        <f aca="false">TableDE11a!F147/(1-TableDE9!$J66)</f>
        <v>0.0232561849858538</v>
      </c>
      <c r="G146" s="514" t="n">
        <f aca="false">TableDE11a!G147/(1-TableDE9!$J66)</f>
        <v>0.0263992001531622</v>
      </c>
      <c r="H146" s="1403" t="n">
        <f aca="false">TableDE11a!H147/(1-TableDE9!$J66)</f>
        <v>0.0354134314705695</v>
      </c>
      <c r="I146" s="1155" t="n">
        <f aca="false">TableDE11a!I147/(1-TableDE9!$J66)</f>
        <v>0.65749508740454</v>
      </c>
      <c r="J146" s="514" t="n">
        <f aca="false">TableDE11a!J147/(1-TableDE9!$J66)</f>
        <v>0.536450466931864</v>
      </c>
      <c r="K146" s="514" t="n">
        <f aca="false">TableDE11a!K147/(1-TableDE9!$J66)</f>
        <v>0.0947850411623306</v>
      </c>
      <c r="L146" s="514" t="n">
        <f aca="false">TableDE11a!L147/(1-TableDE9!$J66)</f>
        <v>0.026174489221213</v>
      </c>
      <c r="M146" s="514" t="n">
        <f aca="false">TableDE11a!M147/(1-TableDE9!$J66)</f>
        <v>8.50900891318684E-005</v>
      </c>
      <c r="N146" s="829" t="n">
        <f aca="false">(TableDE11a!B147-TableDE11a!G147)/(1-TableDE9!$J66)</f>
        <v>0.34250491259546</v>
      </c>
      <c r="O146" s="1149" t="n">
        <f aca="false">TableDE11a!$I147/(1-TableDE9!$J66)</f>
        <v>0.65749508740454</v>
      </c>
      <c r="P146" s="580"/>
      <c r="Q146" s="580"/>
      <c r="R146" s="502" t="n">
        <f aca="false">N146+O146-1</f>
        <v>0</v>
      </c>
      <c r="S146" s="580" t="n">
        <f aca="false">B146-G146+J146+K146+L146+M146</f>
        <v>1</v>
      </c>
    </row>
    <row r="147" customFormat="false" ht="12" hidden="false" customHeight="false" outlineLevel="0" collapsed="false">
      <c r="A147" s="446" t="n">
        <f aca="false">A146+1</f>
        <v>2008</v>
      </c>
      <c r="B147" s="1155" t="n">
        <f aca="false">TableDE11a!B148/(1-TableDE9!$J67)</f>
        <v>0.346584532279956</v>
      </c>
      <c r="C147" s="514" t="n">
        <f aca="false">TableDE11a!C148/(1-TableDE9!$J67)</f>
        <v>0.21325013570559</v>
      </c>
      <c r="D147" s="514" t="n">
        <f aca="false">TableDE11a!D148/(1-TableDE9!$J67)</f>
        <v>0.0314836968837781</v>
      </c>
      <c r="E147" s="514" t="n">
        <f aca="false">TableDE11a!E148/(1-TableDE9!$J67)</f>
        <v>0.058662066285405</v>
      </c>
      <c r="F147" s="514" t="n">
        <f aca="false">TableDE11a!F148/(1-TableDE9!$J67)</f>
        <v>0.0177128733221255</v>
      </c>
      <c r="G147" s="514" t="n">
        <f aca="false">TableDE11a!G148/(1-TableDE9!$J67)</f>
        <v>0.0254757600830571</v>
      </c>
      <c r="H147" s="1403" t="n">
        <f aca="false">TableDE11a!H148/(1-TableDE9!$J67)</f>
        <v>0.0357841148042941</v>
      </c>
      <c r="I147" s="1155" t="n">
        <f aca="false">TableDE11a!I148/(1-TableDE9!$J67)</f>
        <v>0.678891227803102</v>
      </c>
      <c r="J147" s="514" t="n">
        <f aca="false">TableDE11a!J148/(1-TableDE9!$J67)</f>
        <v>0.551839535386221</v>
      </c>
      <c r="K147" s="514" t="n">
        <f aca="false">TableDE11a!K148/(1-TableDE9!$J67)</f>
        <v>0.0960900979715308</v>
      </c>
      <c r="L147" s="514" t="n">
        <f aca="false">TableDE11a!L148/(1-TableDE9!$J67)</f>
        <v>0.0307718701253271</v>
      </c>
      <c r="M147" s="514" t="n">
        <f aca="false">TableDE11a!M148/(1-TableDE9!$J67)</f>
        <v>0.000189724320022767</v>
      </c>
      <c r="N147" s="829" t="n">
        <f aca="false">(TableDE11a!B148-TableDE11a!G148)/(1-TableDE9!$J67)</f>
        <v>0.321108772196899</v>
      </c>
      <c r="O147" s="1149" t="n">
        <f aca="false">TableDE11a!$I148/(1-TableDE9!$J67)</f>
        <v>0.678891227803102</v>
      </c>
      <c r="P147" s="580"/>
      <c r="Q147" s="580"/>
      <c r="R147" s="502" t="n">
        <f aca="false">N147+O147-1</f>
        <v>0</v>
      </c>
      <c r="S147" s="580" t="n">
        <f aca="false">B147-G147+J147+K147+L147+M147</f>
        <v>1</v>
      </c>
    </row>
    <row r="148" customFormat="false" ht="12" hidden="false" customHeight="false" outlineLevel="0" collapsed="false">
      <c r="A148" s="445" t="n">
        <f aca="false">A147+1</f>
        <v>2009</v>
      </c>
      <c r="B148" s="1158" t="n">
        <f aca="false">TableDE11a!B149/(1-TableDE9!$J68)</f>
        <v>0.312011688084557</v>
      </c>
      <c r="C148" s="842" t="n">
        <f aca="false">TableDE11a!C149/(1-TableDE9!$J68)</f>
        <v>0.180479370708561</v>
      </c>
      <c r="D148" s="842" t="n">
        <f aca="false">TableDE11a!D149/(1-TableDE9!$J68)</f>
        <v>0.0299951941401654</v>
      </c>
      <c r="E148" s="842" t="n">
        <f aca="false">TableDE11a!E149/(1-TableDE9!$J68)</f>
        <v>0.051186074508832</v>
      </c>
      <c r="F148" s="842" t="n">
        <f aca="false">TableDE11a!F149/(1-TableDE9!$J68)</f>
        <v>0.026885195189721</v>
      </c>
      <c r="G148" s="842" t="n">
        <f aca="false">TableDE11a!G149/(1-TableDE9!$J68)</f>
        <v>0.0234658535372786</v>
      </c>
      <c r="H148" s="1404" t="n">
        <f aca="false">TableDE11a!H149/(1-TableDE9!$J68)</f>
        <v>0.0286639157262096</v>
      </c>
      <c r="I148" s="1158" t="n">
        <f aca="false">TableDE11a!I149/(1-TableDE9!$J68)</f>
        <v>0.711454165452721</v>
      </c>
      <c r="J148" s="842" t="n">
        <f aca="false">TableDE11a!J149/(1-TableDE9!$J68)</f>
        <v>0.574963127454717</v>
      </c>
      <c r="K148" s="842" t="n">
        <f aca="false">TableDE11a!K149/(1-TableDE9!$J68)</f>
        <v>0.104795364278651</v>
      </c>
      <c r="L148" s="842" t="n">
        <f aca="false">TableDE11a!L149/(1-TableDE9!$J68)</f>
        <v>0.0311874678517842</v>
      </c>
      <c r="M148" s="842" t="n">
        <f aca="false">TableDE11a!M149/(1-TableDE9!$J68)</f>
        <v>0.000508205867568179</v>
      </c>
      <c r="N148" s="1498" t="n">
        <f aca="false">(TableDE11a!B149-TableDE11a!G149)/(1-TableDE9!$J68)</f>
        <v>0.288545834547279</v>
      </c>
      <c r="O148" s="1148" t="n">
        <f aca="false">TableDE11a!$I149/(1-TableDE9!$J68)</f>
        <v>0.711454165452721</v>
      </c>
      <c r="P148" s="580"/>
      <c r="Q148" s="580"/>
      <c r="R148" s="502" t="n">
        <f aca="false">N148+O148-1</f>
        <v>0</v>
      </c>
      <c r="S148" s="580" t="n">
        <f aca="false">B148-G148+J148+K148+L148+M148</f>
        <v>1</v>
      </c>
    </row>
    <row r="149" customFormat="false" ht="12" hidden="false" customHeight="false" outlineLevel="0" collapsed="false">
      <c r="A149" s="446" t="n">
        <f aca="false">A148+1</f>
        <v>2010</v>
      </c>
      <c r="B149" s="1155" t="n">
        <f aca="false">TableDE11a!B150/(1-TableDE9!$J69)</f>
        <v>0.331940237371659</v>
      </c>
      <c r="C149" s="514" t="n">
        <f aca="false">TableDE11a!C150/(1-TableDE9!$J69)</f>
        <v>0.202353101983524</v>
      </c>
      <c r="D149" s="514" t="n">
        <f aca="false">TableDE11a!D150/(1-TableDE9!$J69)</f>
        <v>0.0279680575342898</v>
      </c>
      <c r="E149" s="514" t="n">
        <f aca="false">TableDE11a!E150/(1-TableDE9!$J69)</f>
        <v>0.0559449267527345</v>
      </c>
      <c r="F149" s="514" t="n">
        <f aca="false">TableDE11a!F150/(1-TableDE9!$J69)</f>
        <v>0.0234258767618036</v>
      </c>
      <c r="G149" s="514" t="n">
        <f aca="false">TableDE11a!G150/(1-TableDE9!$J69)</f>
        <v>0.0222482743393072</v>
      </c>
      <c r="H149" s="1403" t="n">
        <f aca="false">TableDE11a!H150/(1-TableDE9!$J69)</f>
        <v>0.0263435970496854</v>
      </c>
      <c r="I149" s="1155" t="n">
        <f aca="false">TableDE11a!I150/(1-TableDE9!$J69)</f>
        <v>0.690308036967648</v>
      </c>
      <c r="J149" s="514" t="n">
        <f aca="false">TableDE11a!J150/(1-TableDE9!$J69)</f>
        <v>0.560854182328604</v>
      </c>
      <c r="K149" s="514" t="n">
        <f aca="false">TableDE11a!K150/(1-TableDE9!$J69)</f>
        <v>0.102272667532345</v>
      </c>
      <c r="L149" s="514" t="n">
        <f aca="false">TableDE11a!L150/(1-TableDE9!$J69)</f>
        <v>0.0263978712095928</v>
      </c>
      <c r="M149" s="514" t="n">
        <f aca="false">TableDE11a!M150/(1-TableDE9!$J69)</f>
        <v>0.000783315897106988</v>
      </c>
      <c r="N149" s="829" t="n">
        <f aca="false">(TableDE11a!B150-TableDE11a!G150)/(1-TableDE9!$J69)</f>
        <v>0.309691963032352</v>
      </c>
      <c r="O149" s="1149" t="n">
        <f aca="false">TableDE11a!$I150/(1-TableDE9!$J69)</f>
        <v>0.690308036967648</v>
      </c>
      <c r="P149" s="580"/>
      <c r="Q149" s="580"/>
      <c r="R149" s="502" t="n">
        <f aca="false">N149+O149-1</f>
        <v>0</v>
      </c>
      <c r="S149" s="580" t="n">
        <f aca="false">B149-G149+J149+K149+L149+M149</f>
        <v>1</v>
      </c>
    </row>
    <row r="150" customFormat="false" ht="13" hidden="false" customHeight="false" outlineLevel="0" collapsed="false">
      <c r="A150" s="449" t="n">
        <f aca="false">A149+1</f>
        <v>2011</v>
      </c>
      <c r="B150" s="1234" t="n">
        <f aca="false">TableDE11a!B151/(1-TableDE9!$J70)</f>
        <v>0.324492660227198</v>
      </c>
      <c r="C150" s="739" t="n">
        <f aca="false">TableDE11a!C151/(1-TableDE9!$J70)</f>
        <v>0.200723170967381</v>
      </c>
      <c r="D150" s="739" t="n">
        <f aca="false">TableDE11a!D151/(1-TableDE9!$J70)</f>
        <v>0.0269790575383708</v>
      </c>
      <c r="E150" s="739" t="n">
        <f aca="false">TableDE11a!E151/(1-TableDE9!$J70)</f>
        <v>0.0549817923203253</v>
      </c>
      <c r="F150" s="739" t="n">
        <f aca="false">TableDE11a!F151/(1-TableDE9!$J70)</f>
        <v>0.0208814345433648</v>
      </c>
      <c r="G150" s="739" t="n">
        <f aca="false">TableDE11a!G151/(1-TableDE9!$J70)</f>
        <v>0.020927204857756</v>
      </c>
      <c r="H150" s="1417" t="n">
        <f aca="false">TableDE11a!H151/(1-TableDE9!$J70)</f>
        <v>0.0265874670708016</v>
      </c>
      <c r="I150" s="1234" t="n">
        <f aca="false">TableDE11a!I151/(1-TableDE9!$J70)</f>
        <v>0.696434544630558</v>
      </c>
      <c r="J150" s="739" t="n">
        <f aca="false">TableDE11a!J151/(1-TableDE9!$J70)</f>
        <v>0.568202854033382</v>
      </c>
      <c r="K150" s="739" t="n">
        <f aca="false">TableDE11a!K151/(1-TableDE9!$J70)</f>
        <v>0.101620269129449</v>
      </c>
      <c r="L150" s="739" t="n">
        <f aca="false">TableDE11a!L151/(1-TableDE9!$J70)</f>
        <v>0.0259909794282025</v>
      </c>
      <c r="M150" s="739" t="n">
        <f aca="false">TableDE11a!M151/(1-TableDE9!$J70)</f>
        <v>0.00062044203952521</v>
      </c>
      <c r="N150" s="1507" t="n">
        <f aca="false">(TableDE11a!B151-TableDE11a!G151)/(1-TableDE9!$J70)</f>
        <v>0.303565455369442</v>
      </c>
      <c r="O150" s="1508" t="n">
        <f aca="false">TableDE11a!$I151/(1-TableDE9!$J70)</f>
        <v>0.696434544630558</v>
      </c>
      <c r="R150" s="502" t="n">
        <f aca="false">N150+O150-1</f>
        <v>0</v>
      </c>
      <c r="S150" s="580" t="n">
        <f aca="false">B150-G150+J150+K150+L150+M150</f>
        <v>1</v>
      </c>
    </row>
    <row r="151" customFormat="false" ht="13" hidden="false" customHeight="false" outlineLevel="0" collapsed="false">
      <c r="B151" s="197"/>
      <c r="C151" s="197"/>
      <c r="D151" s="197"/>
      <c r="E151" s="197"/>
      <c r="F151" s="197"/>
      <c r="G151" s="197"/>
      <c r="H151" s="197"/>
      <c r="I151" s="197"/>
      <c r="J151" s="197"/>
      <c r="K151" s="197"/>
      <c r="L151" s="197"/>
      <c r="M151" s="197"/>
      <c r="N151" s="115"/>
      <c r="O151" s="115"/>
    </row>
    <row r="152" customFormat="false" ht="12" hidden="false" customHeight="false" outlineLevel="0" collapsed="false">
      <c r="B152" s="197"/>
      <c r="C152" s="197"/>
      <c r="D152" s="197"/>
      <c r="E152" s="197"/>
      <c r="F152" s="197"/>
      <c r="G152" s="197"/>
      <c r="H152" s="197"/>
      <c r="I152" s="197"/>
      <c r="J152" s="197"/>
      <c r="K152" s="197"/>
      <c r="L152" s="197"/>
      <c r="M152" s="197"/>
      <c r="N152" s="115"/>
      <c r="O152" s="115"/>
    </row>
    <row r="153" customFormat="false" ht="12" hidden="false" customHeight="false" outlineLevel="0" collapsed="false">
      <c r="B153" s="197"/>
      <c r="C153" s="197"/>
      <c r="D153" s="197"/>
      <c r="E153" s="197"/>
      <c r="F153" s="197"/>
      <c r="G153" s="197"/>
      <c r="H153" s="197"/>
      <c r="I153" s="197"/>
      <c r="J153" s="197"/>
      <c r="K153" s="197"/>
      <c r="L153" s="197"/>
      <c r="M153" s="197"/>
      <c r="N153" s="115"/>
      <c r="O153" s="115"/>
    </row>
    <row r="154" customFormat="false" ht="12" hidden="false" customHeight="false" outlineLevel="0" collapsed="false">
      <c r="B154" s="197"/>
      <c r="C154" s="197"/>
      <c r="D154" s="197"/>
      <c r="E154" s="197"/>
      <c r="F154" s="197"/>
      <c r="G154" s="197"/>
      <c r="H154" s="197"/>
      <c r="I154" s="197"/>
      <c r="J154" s="197"/>
      <c r="K154" s="197"/>
      <c r="L154" s="197"/>
      <c r="M154" s="197"/>
      <c r="N154" s="115"/>
      <c r="O154" s="115"/>
    </row>
    <row r="155" customFormat="false" ht="12" hidden="false" customHeight="false" outlineLevel="0" collapsed="false">
      <c r="B155" s="197"/>
      <c r="C155" s="197"/>
      <c r="D155" s="197"/>
      <c r="E155" s="197"/>
      <c r="F155" s="197"/>
      <c r="G155" s="197"/>
      <c r="H155" s="197"/>
      <c r="I155" s="197"/>
      <c r="J155" s="197"/>
      <c r="K155" s="197"/>
      <c r="L155" s="197"/>
      <c r="M155" s="197"/>
      <c r="N155" s="115"/>
      <c r="O155" s="115"/>
    </row>
    <row r="156" customFormat="false" ht="12" hidden="false" customHeight="false" outlineLevel="0" collapsed="false">
      <c r="B156" s="197"/>
      <c r="C156" s="197"/>
      <c r="D156" s="197"/>
      <c r="E156" s="197"/>
      <c r="F156" s="197"/>
      <c r="G156" s="197"/>
      <c r="H156" s="197"/>
      <c r="I156" s="197"/>
      <c r="J156" s="197"/>
      <c r="K156" s="197"/>
      <c r="L156" s="197"/>
      <c r="M156" s="197"/>
      <c r="N156" s="115"/>
      <c r="O156" s="115"/>
    </row>
    <row r="157" customFormat="false" ht="12" hidden="false" customHeight="false" outlineLevel="0" collapsed="false">
      <c r="B157" s="197"/>
      <c r="C157" s="197"/>
      <c r="D157" s="197"/>
      <c r="E157" s="197"/>
      <c r="F157" s="197"/>
      <c r="G157" s="197"/>
      <c r="H157" s="197"/>
      <c r="I157" s="197"/>
      <c r="J157" s="197"/>
      <c r="K157" s="197"/>
      <c r="L157" s="197"/>
      <c r="M157" s="197"/>
      <c r="N157" s="115"/>
      <c r="O157" s="115"/>
    </row>
    <row r="158" customFormat="false" ht="12" hidden="false" customHeight="false" outlineLevel="0" collapsed="false">
      <c r="B158" s="197"/>
      <c r="C158" s="197"/>
      <c r="D158" s="197"/>
      <c r="E158" s="197"/>
      <c r="F158" s="197"/>
      <c r="G158" s="197"/>
      <c r="H158" s="197"/>
      <c r="I158" s="197"/>
      <c r="J158" s="197"/>
      <c r="K158" s="197"/>
      <c r="L158" s="197"/>
      <c r="M158" s="197"/>
      <c r="N158" s="115"/>
      <c r="O158" s="115"/>
    </row>
    <row r="159" customFormat="false" ht="12" hidden="false" customHeight="false" outlineLevel="0" collapsed="false">
      <c r="B159" s="197"/>
      <c r="C159" s="197"/>
      <c r="D159" s="197"/>
      <c r="E159" s="197"/>
      <c r="F159" s="197"/>
      <c r="G159" s="197"/>
      <c r="H159" s="197"/>
      <c r="I159" s="197"/>
      <c r="J159" s="197"/>
      <c r="K159" s="197"/>
      <c r="L159" s="197"/>
      <c r="M159" s="197"/>
      <c r="N159" s="115"/>
      <c r="O159" s="115"/>
    </row>
    <row r="160" customFormat="false" ht="12" hidden="false" customHeight="false" outlineLevel="0" collapsed="false">
      <c r="B160" s="197"/>
      <c r="C160" s="197"/>
      <c r="D160" s="197"/>
      <c r="E160" s="197"/>
      <c r="F160" s="197"/>
      <c r="G160" s="197"/>
      <c r="H160" s="197"/>
      <c r="I160" s="197"/>
      <c r="J160" s="197"/>
      <c r="K160" s="197"/>
      <c r="L160" s="197"/>
      <c r="M160" s="197"/>
      <c r="N160" s="115"/>
      <c r="O160" s="115"/>
    </row>
    <row r="161" customFormat="false" ht="12" hidden="false" customHeight="false" outlineLevel="0" collapsed="false">
      <c r="B161" s="197"/>
      <c r="C161" s="197"/>
      <c r="D161" s="197"/>
      <c r="E161" s="197"/>
      <c r="F161" s="197"/>
      <c r="G161" s="197"/>
      <c r="H161" s="197"/>
      <c r="I161" s="197"/>
      <c r="J161" s="197"/>
      <c r="K161" s="197"/>
      <c r="L161" s="197"/>
      <c r="M161" s="197"/>
      <c r="N161" s="115"/>
      <c r="O161" s="115"/>
    </row>
    <row r="162" customFormat="false" ht="12" hidden="false" customHeight="false" outlineLevel="0" collapsed="false">
      <c r="B162" s="197"/>
      <c r="C162" s="197"/>
      <c r="D162" s="197"/>
      <c r="E162" s="197"/>
      <c r="F162" s="197"/>
      <c r="G162" s="197"/>
      <c r="H162" s="197"/>
      <c r="I162" s="197"/>
      <c r="J162" s="197"/>
      <c r="K162" s="197"/>
      <c r="L162" s="197"/>
      <c r="M162" s="197"/>
      <c r="N162" s="115"/>
      <c r="O162" s="115"/>
    </row>
    <row r="163" customFormat="false" ht="12" hidden="false" customHeight="false" outlineLevel="0" collapsed="false">
      <c r="B163" s="197"/>
      <c r="C163" s="197"/>
      <c r="D163" s="197"/>
      <c r="E163" s="197"/>
      <c r="F163" s="197"/>
      <c r="G163" s="197"/>
      <c r="H163" s="197"/>
      <c r="I163" s="197"/>
      <c r="J163" s="197"/>
      <c r="K163" s="197"/>
      <c r="L163" s="197"/>
      <c r="M163" s="197"/>
      <c r="N163" s="197"/>
      <c r="O163" s="197"/>
    </row>
    <row r="164" customFormat="false" ht="12" hidden="false" customHeight="false" outlineLevel="0" collapsed="false">
      <c r="B164" s="197"/>
      <c r="C164" s="197"/>
      <c r="D164" s="197"/>
      <c r="E164" s="197"/>
      <c r="F164" s="197"/>
      <c r="G164" s="197"/>
      <c r="H164" s="197"/>
      <c r="I164" s="197"/>
      <c r="J164" s="197"/>
      <c r="K164" s="197"/>
      <c r="L164" s="197"/>
      <c r="M164" s="197"/>
      <c r="N164" s="197"/>
      <c r="O164" s="197"/>
    </row>
    <row r="165" customFormat="false" ht="12" hidden="false" customHeight="false" outlineLevel="0" collapsed="false">
      <c r="B165" s="197"/>
      <c r="C165" s="197"/>
      <c r="D165" s="197"/>
      <c r="E165" s="197"/>
      <c r="F165" s="197"/>
      <c r="G165" s="197"/>
      <c r="H165" s="197"/>
      <c r="I165" s="197"/>
      <c r="J165" s="197"/>
      <c r="K165" s="197"/>
      <c r="L165" s="197"/>
      <c r="M165" s="197"/>
      <c r="N165" s="197"/>
      <c r="O165" s="197"/>
    </row>
    <row r="166" customFormat="false" ht="12" hidden="false" customHeight="false" outlineLevel="0" collapsed="false">
      <c r="B166" s="197"/>
      <c r="C166" s="197"/>
      <c r="D166" s="197"/>
      <c r="E166" s="197"/>
      <c r="F166" s="197"/>
      <c r="G166" s="197"/>
      <c r="H166" s="197"/>
      <c r="I166" s="197"/>
      <c r="J166" s="197"/>
      <c r="K166" s="197"/>
      <c r="L166" s="197"/>
      <c r="M166" s="197"/>
      <c r="N166" s="197"/>
      <c r="O166" s="197"/>
    </row>
    <row r="167" customFormat="false" ht="12" hidden="false" customHeight="false" outlineLevel="0" collapsed="false">
      <c r="B167" s="197"/>
      <c r="C167" s="197"/>
      <c r="D167" s="197"/>
      <c r="E167" s="197"/>
      <c r="F167" s="197"/>
      <c r="G167" s="197"/>
      <c r="H167" s="197"/>
      <c r="I167" s="197"/>
      <c r="J167" s="197"/>
      <c r="K167" s="197"/>
      <c r="L167" s="197"/>
      <c r="M167" s="197"/>
      <c r="N167" s="197"/>
      <c r="O167" s="197"/>
    </row>
    <row r="168" customFormat="false" ht="12" hidden="false" customHeight="false" outlineLevel="0" collapsed="false">
      <c r="B168" s="197"/>
      <c r="C168" s="197"/>
      <c r="D168" s="197"/>
      <c r="E168" s="197"/>
      <c r="F168" s="197"/>
      <c r="G168" s="197"/>
      <c r="H168" s="197"/>
      <c r="I168" s="197"/>
      <c r="J168" s="197"/>
      <c r="K168" s="197"/>
      <c r="L168" s="197"/>
      <c r="M168" s="197"/>
      <c r="N168" s="197"/>
      <c r="O168" s="197"/>
    </row>
    <row r="169" customFormat="false" ht="12" hidden="false" customHeight="false" outlineLevel="0" collapsed="false">
      <c r="B169" s="197"/>
      <c r="C169" s="197"/>
      <c r="D169" s="197"/>
      <c r="E169" s="197"/>
      <c r="F169" s="197"/>
      <c r="G169" s="197"/>
      <c r="H169" s="197"/>
      <c r="I169" s="197"/>
      <c r="J169" s="197"/>
      <c r="K169" s="197"/>
      <c r="L169" s="197"/>
      <c r="M169" s="197"/>
      <c r="N169" s="197"/>
      <c r="O169" s="197"/>
    </row>
    <row r="170" customFormat="false" ht="12" hidden="false" customHeight="false" outlineLevel="0" collapsed="false">
      <c r="B170" s="197"/>
      <c r="C170" s="197"/>
      <c r="D170" s="197"/>
      <c r="E170" s="197"/>
      <c r="F170" s="197"/>
      <c r="G170" s="197"/>
      <c r="H170" s="197"/>
      <c r="I170" s="197"/>
      <c r="J170" s="197"/>
      <c r="K170" s="197"/>
      <c r="L170" s="197"/>
      <c r="M170" s="197"/>
      <c r="N170" s="197"/>
      <c r="O170" s="197"/>
    </row>
    <row r="171" customFormat="false" ht="12" hidden="false" customHeight="false" outlineLevel="0" collapsed="false">
      <c r="B171" s="197"/>
      <c r="C171" s="197"/>
      <c r="D171" s="197"/>
      <c r="E171" s="197"/>
      <c r="F171" s="197"/>
      <c r="G171" s="197"/>
      <c r="H171" s="197"/>
      <c r="I171" s="197"/>
      <c r="J171" s="197"/>
      <c r="K171" s="197"/>
      <c r="L171" s="197"/>
      <c r="M171" s="197"/>
      <c r="N171" s="197"/>
      <c r="O171" s="197"/>
    </row>
    <row r="172" customFormat="false" ht="12" hidden="false" customHeight="false" outlineLevel="0" collapsed="false">
      <c r="B172" s="197"/>
      <c r="C172" s="197"/>
      <c r="D172" s="197"/>
      <c r="E172" s="197"/>
      <c r="F172" s="197"/>
      <c r="G172" s="197"/>
      <c r="H172" s="197"/>
      <c r="I172" s="197"/>
      <c r="J172" s="197"/>
      <c r="K172" s="197"/>
      <c r="L172" s="197"/>
      <c r="M172" s="197"/>
      <c r="N172" s="197"/>
      <c r="O172" s="197"/>
    </row>
    <row r="173" customFormat="false" ht="12" hidden="false" customHeight="false" outlineLevel="0" collapsed="false">
      <c r="B173" s="197"/>
      <c r="C173" s="197"/>
      <c r="D173" s="197"/>
      <c r="E173" s="197"/>
      <c r="F173" s="197"/>
      <c r="G173" s="197"/>
      <c r="H173" s="197"/>
      <c r="I173" s="197"/>
      <c r="J173" s="197"/>
      <c r="K173" s="197"/>
      <c r="L173" s="197"/>
      <c r="M173" s="197"/>
      <c r="N173" s="197"/>
      <c r="O173" s="197"/>
    </row>
    <row r="174" customFormat="false" ht="12" hidden="false" customHeight="false" outlineLevel="0" collapsed="false">
      <c r="B174" s="197"/>
      <c r="C174" s="197"/>
      <c r="D174" s="197"/>
      <c r="E174" s="197"/>
      <c r="F174" s="197"/>
      <c r="G174" s="197"/>
      <c r="H174" s="197"/>
      <c r="I174" s="197"/>
      <c r="J174" s="197"/>
      <c r="K174" s="197"/>
      <c r="L174" s="197"/>
      <c r="M174" s="197"/>
      <c r="N174" s="197"/>
      <c r="O174" s="197"/>
    </row>
    <row r="175" customFormat="false" ht="12" hidden="false" customHeight="false" outlineLevel="0" collapsed="false">
      <c r="B175" s="197"/>
      <c r="C175" s="197"/>
      <c r="D175" s="197"/>
      <c r="E175" s="197"/>
      <c r="F175" s="197"/>
      <c r="G175" s="197"/>
      <c r="H175" s="197"/>
      <c r="I175" s="197"/>
      <c r="J175" s="197"/>
      <c r="K175" s="197"/>
      <c r="L175" s="197"/>
      <c r="M175" s="197"/>
      <c r="N175" s="197"/>
      <c r="O175" s="197"/>
    </row>
    <row r="176" customFormat="false" ht="12" hidden="false" customHeight="false" outlineLevel="0" collapsed="false">
      <c r="B176" s="197"/>
      <c r="C176" s="197"/>
      <c r="D176" s="197"/>
      <c r="E176" s="197"/>
      <c r="F176" s="197"/>
      <c r="G176" s="197"/>
      <c r="H176" s="197"/>
      <c r="I176" s="197"/>
      <c r="J176" s="197"/>
      <c r="K176" s="197"/>
      <c r="L176" s="197"/>
      <c r="M176" s="197"/>
      <c r="N176" s="197"/>
      <c r="O176" s="197"/>
    </row>
    <row r="177" customFormat="false" ht="12" hidden="false" customHeight="false" outlineLevel="0" collapsed="false">
      <c r="B177" s="197"/>
      <c r="C177" s="197"/>
      <c r="D177" s="197"/>
      <c r="E177" s="197"/>
      <c r="F177" s="197"/>
      <c r="G177" s="197"/>
      <c r="H177" s="197"/>
      <c r="I177" s="197"/>
      <c r="J177" s="197"/>
      <c r="K177" s="197"/>
      <c r="L177" s="197"/>
      <c r="M177" s="197"/>
      <c r="N177" s="197"/>
      <c r="O177" s="197"/>
    </row>
    <row r="178" customFormat="false" ht="12" hidden="false" customHeight="false" outlineLevel="0" collapsed="false">
      <c r="B178" s="197"/>
      <c r="C178" s="197"/>
      <c r="D178" s="197"/>
      <c r="E178" s="197"/>
      <c r="F178" s="197"/>
      <c r="G178" s="197"/>
      <c r="H178" s="197"/>
      <c r="I178" s="197"/>
      <c r="J178" s="197"/>
      <c r="K178" s="197"/>
      <c r="L178" s="197"/>
      <c r="M178" s="197"/>
      <c r="N178" s="197"/>
      <c r="O178" s="197"/>
    </row>
    <row r="179" customFormat="false" ht="12" hidden="false" customHeight="false" outlineLevel="0" collapsed="false">
      <c r="B179" s="197"/>
      <c r="C179" s="197"/>
      <c r="D179" s="197"/>
      <c r="E179" s="197"/>
      <c r="F179" s="197"/>
      <c r="G179" s="197"/>
      <c r="H179" s="197"/>
      <c r="I179" s="197"/>
      <c r="J179" s="197"/>
      <c r="K179" s="197"/>
      <c r="L179" s="197"/>
      <c r="M179" s="197"/>
      <c r="N179" s="197"/>
      <c r="O179" s="197"/>
    </row>
    <row r="180" customFormat="false" ht="12" hidden="false" customHeight="false" outlineLevel="0" collapsed="false">
      <c r="B180" s="197"/>
      <c r="C180" s="197"/>
      <c r="D180" s="197"/>
      <c r="E180" s="197"/>
      <c r="F180" s="197"/>
      <c r="G180" s="197"/>
      <c r="H180" s="197"/>
      <c r="I180" s="197"/>
      <c r="J180" s="197"/>
      <c r="K180" s="197"/>
      <c r="L180" s="197"/>
      <c r="M180" s="197"/>
      <c r="N180" s="197"/>
      <c r="O180" s="197"/>
    </row>
    <row r="181" customFormat="false" ht="12" hidden="false" customHeight="false" outlineLevel="0" collapsed="false">
      <c r="B181" s="197"/>
      <c r="C181" s="197"/>
      <c r="D181" s="197"/>
      <c r="E181" s="197"/>
      <c r="F181" s="197"/>
      <c r="G181" s="197"/>
      <c r="H181" s="197"/>
      <c r="I181" s="197"/>
      <c r="J181" s="197"/>
      <c r="K181" s="197"/>
      <c r="L181" s="197"/>
      <c r="M181" s="197"/>
      <c r="N181" s="197"/>
      <c r="O181" s="197"/>
    </row>
    <row r="182" customFormat="false" ht="12" hidden="false" customHeight="false" outlineLevel="0" collapsed="false">
      <c r="B182" s="197"/>
      <c r="C182" s="197"/>
      <c r="D182" s="197"/>
      <c r="E182" s="197"/>
      <c r="F182" s="197"/>
      <c r="G182" s="197"/>
      <c r="H182" s="197"/>
      <c r="I182" s="197"/>
      <c r="J182" s="197"/>
      <c r="K182" s="197"/>
      <c r="L182" s="197"/>
      <c r="M182" s="197"/>
      <c r="N182" s="197"/>
      <c r="O182" s="197"/>
    </row>
    <row r="183" customFormat="false" ht="12" hidden="false" customHeight="false" outlineLevel="0" collapsed="false">
      <c r="B183" s="197"/>
      <c r="C183" s="197"/>
      <c r="D183" s="197"/>
      <c r="E183" s="197"/>
      <c r="F183" s="197"/>
      <c r="G183" s="197"/>
      <c r="H183" s="197"/>
      <c r="I183" s="197"/>
      <c r="J183" s="197"/>
      <c r="K183" s="197"/>
      <c r="L183" s="197"/>
      <c r="M183" s="197"/>
      <c r="N183" s="197"/>
      <c r="O183" s="197"/>
    </row>
    <row r="184" customFormat="false" ht="12" hidden="false" customHeight="false" outlineLevel="0" collapsed="false">
      <c r="B184" s="197"/>
      <c r="C184" s="197"/>
      <c r="D184" s="197"/>
      <c r="E184" s="197"/>
      <c r="F184" s="197"/>
      <c r="G184" s="197"/>
      <c r="H184" s="197"/>
      <c r="I184" s="197"/>
      <c r="J184" s="197"/>
      <c r="K184" s="197"/>
      <c r="L184" s="197"/>
      <c r="M184" s="197"/>
      <c r="N184" s="197"/>
      <c r="O184" s="197"/>
    </row>
    <row r="185" customFormat="false" ht="12" hidden="false" customHeight="false" outlineLevel="0" collapsed="false">
      <c r="B185" s="197"/>
      <c r="C185" s="197"/>
      <c r="D185" s="197"/>
      <c r="E185" s="197"/>
      <c r="F185" s="197"/>
      <c r="G185" s="197"/>
      <c r="H185" s="197"/>
      <c r="I185" s="197"/>
      <c r="J185" s="197"/>
      <c r="K185" s="197"/>
      <c r="L185" s="197"/>
      <c r="M185" s="197"/>
      <c r="N185" s="197"/>
      <c r="O185" s="197"/>
    </row>
    <row r="186" customFormat="false" ht="12" hidden="false" customHeight="false" outlineLevel="0" collapsed="false">
      <c r="B186" s="197"/>
      <c r="C186" s="197"/>
      <c r="D186" s="197"/>
      <c r="E186" s="197"/>
      <c r="F186" s="197"/>
      <c r="G186" s="197"/>
      <c r="H186" s="197"/>
      <c r="I186" s="197"/>
      <c r="J186" s="197"/>
      <c r="K186" s="197"/>
      <c r="L186" s="197"/>
      <c r="M186" s="197"/>
      <c r="N186" s="197"/>
      <c r="O186" s="197"/>
    </row>
    <row r="187" customFormat="false" ht="12" hidden="false" customHeight="false" outlineLevel="0" collapsed="false">
      <c r="B187" s="197"/>
      <c r="C187" s="197"/>
      <c r="D187" s="197"/>
      <c r="E187" s="197"/>
      <c r="F187" s="197"/>
      <c r="G187" s="197"/>
      <c r="H187" s="197"/>
      <c r="I187" s="197"/>
      <c r="J187" s="197"/>
      <c r="K187" s="197"/>
      <c r="L187" s="197"/>
      <c r="M187" s="197"/>
      <c r="N187" s="197"/>
      <c r="O187" s="197"/>
    </row>
    <row r="188" customFormat="false" ht="12" hidden="false" customHeight="false" outlineLevel="0" collapsed="false">
      <c r="B188" s="197"/>
      <c r="C188" s="197"/>
      <c r="D188" s="197"/>
      <c r="E188" s="197"/>
      <c r="F188" s="197"/>
      <c r="G188" s="197"/>
      <c r="H188" s="197"/>
      <c r="I188" s="197"/>
      <c r="J188" s="197"/>
      <c r="K188" s="197"/>
      <c r="L188" s="197"/>
      <c r="M188" s="197"/>
      <c r="N188" s="197"/>
      <c r="O188" s="197"/>
    </row>
    <row r="189" customFormat="false" ht="12" hidden="false" customHeight="false" outlineLevel="0" collapsed="false">
      <c r="B189" s="197"/>
      <c r="C189" s="197"/>
      <c r="D189" s="197"/>
      <c r="E189" s="197"/>
      <c r="F189" s="197"/>
      <c r="G189" s="197"/>
      <c r="H189" s="197"/>
      <c r="I189" s="197"/>
      <c r="J189" s="197"/>
      <c r="K189" s="197"/>
      <c r="L189" s="197"/>
      <c r="M189" s="197"/>
      <c r="N189" s="197"/>
      <c r="O189" s="197"/>
    </row>
    <row r="190" customFormat="false" ht="12" hidden="false" customHeight="false" outlineLevel="0" collapsed="false">
      <c r="B190" s="197"/>
      <c r="C190" s="197"/>
      <c r="D190" s="197"/>
      <c r="E190" s="197"/>
      <c r="F190" s="197"/>
      <c r="G190" s="197"/>
      <c r="H190" s="197"/>
      <c r="I190" s="197"/>
      <c r="J190" s="197"/>
      <c r="K190" s="197"/>
      <c r="L190" s="197"/>
      <c r="M190" s="197"/>
      <c r="N190" s="197"/>
      <c r="O190" s="197"/>
    </row>
    <row r="191" customFormat="false" ht="12" hidden="false" customHeight="false" outlineLevel="0" collapsed="false">
      <c r="B191" s="197"/>
      <c r="C191" s="197"/>
      <c r="D191" s="197"/>
      <c r="E191" s="197"/>
      <c r="F191" s="197"/>
      <c r="G191" s="197"/>
      <c r="H191" s="197"/>
      <c r="I191" s="197"/>
      <c r="J191" s="197"/>
      <c r="K191" s="197"/>
      <c r="L191" s="197"/>
      <c r="M191" s="197"/>
      <c r="N191" s="197"/>
      <c r="O191" s="197"/>
    </row>
    <row r="192" customFormat="false" ht="12" hidden="false" customHeight="false" outlineLevel="0" collapsed="false">
      <c r="B192" s="197"/>
      <c r="C192" s="197"/>
      <c r="D192" s="197"/>
      <c r="E192" s="197"/>
      <c r="F192" s="197"/>
      <c r="G192" s="197"/>
      <c r="H192" s="197"/>
      <c r="I192" s="197"/>
      <c r="J192" s="197"/>
      <c r="K192" s="197"/>
      <c r="L192" s="197"/>
      <c r="M192" s="197"/>
      <c r="N192" s="197"/>
      <c r="O192" s="197"/>
    </row>
    <row r="193" customFormat="false" ht="12" hidden="false" customHeight="false" outlineLevel="0" collapsed="false">
      <c r="B193" s="197"/>
      <c r="C193" s="197"/>
      <c r="D193" s="197"/>
      <c r="E193" s="197"/>
      <c r="F193" s="197"/>
      <c r="G193" s="197"/>
      <c r="H193" s="197"/>
      <c r="I193" s="197"/>
      <c r="J193" s="197"/>
      <c r="K193" s="197"/>
      <c r="L193" s="197"/>
      <c r="M193" s="197"/>
      <c r="N193" s="197"/>
      <c r="O193" s="197"/>
    </row>
    <row r="194" customFormat="false" ht="12" hidden="false" customHeight="false" outlineLevel="0" collapsed="false">
      <c r="B194" s="197"/>
      <c r="C194" s="197"/>
      <c r="D194" s="197"/>
      <c r="E194" s="197"/>
      <c r="F194" s="197"/>
      <c r="G194" s="197"/>
      <c r="H194" s="197"/>
      <c r="I194" s="197"/>
      <c r="J194" s="197"/>
      <c r="K194" s="197"/>
      <c r="L194" s="197"/>
      <c r="M194" s="197"/>
      <c r="N194" s="197"/>
      <c r="O194" s="197"/>
    </row>
    <row r="195" customFormat="false" ht="12" hidden="false" customHeight="false" outlineLevel="0" collapsed="false">
      <c r="B195" s="197"/>
      <c r="C195" s="197"/>
      <c r="D195" s="197"/>
      <c r="E195" s="197"/>
      <c r="F195" s="197"/>
      <c r="G195" s="197"/>
      <c r="H195" s="197"/>
      <c r="I195" s="197"/>
      <c r="J195" s="197"/>
      <c r="K195" s="197"/>
      <c r="L195" s="197"/>
      <c r="M195" s="197"/>
      <c r="N195" s="197"/>
      <c r="O195" s="197"/>
    </row>
    <row r="196" customFormat="false" ht="12" hidden="false" customHeight="false" outlineLevel="0" collapsed="false">
      <c r="B196" s="197"/>
      <c r="C196" s="197"/>
      <c r="D196" s="197"/>
      <c r="E196" s="197"/>
      <c r="F196" s="197"/>
      <c r="G196" s="197"/>
      <c r="H196" s="197"/>
      <c r="I196" s="197"/>
      <c r="J196" s="197"/>
      <c r="K196" s="197"/>
      <c r="L196" s="197"/>
      <c r="M196" s="197"/>
      <c r="N196" s="197"/>
      <c r="O196" s="197"/>
    </row>
    <row r="197" customFormat="false" ht="12" hidden="false" customHeight="false" outlineLevel="0" collapsed="false">
      <c r="B197" s="197"/>
      <c r="C197" s="197"/>
      <c r="D197" s="197"/>
      <c r="E197" s="197"/>
      <c r="F197" s="197"/>
      <c r="G197" s="197"/>
      <c r="H197" s="197"/>
      <c r="I197" s="197"/>
      <c r="J197" s="197"/>
      <c r="K197" s="197"/>
      <c r="L197" s="197"/>
      <c r="M197" s="197"/>
      <c r="N197" s="197"/>
      <c r="O197" s="197"/>
    </row>
    <row r="198" customFormat="false" ht="12" hidden="false" customHeight="false" outlineLevel="0" collapsed="false">
      <c r="B198" s="197"/>
      <c r="C198" s="197"/>
      <c r="D198" s="197"/>
      <c r="E198" s="197"/>
      <c r="F198" s="197"/>
      <c r="G198" s="197"/>
      <c r="H198" s="197"/>
      <c r="I198" s="197"/>
      <c r="J198" s="197"/>
      <c r="K198" s="197"/>
      <c r="L198" s="197"/>
      <c r="M198" s="197"/>
      <c r="N198" s="197"/>
      <c r="O198" s="197"/>
    </row>
    <row r="199" customFormat="false" ht="12" hidden="false" customHeight="false" outlineLevel="0" collapsed="false">
      <c r="B199" s="197"/>
      <c r="C199" s="197"/>
      <c r="D199" s="197"/>
      <c r="E199" s="197"/>
      <c r="F199" s="197"/>
      <c r="G199" s="197"/>
      <c r="H199" s="197"/>
      <c r="I199" s="197"/>
      <c r="J199" s="197"/>
      <c r="K199" s="197"/>
      <c r="L199" s="197"/>
      <c r="M199" s="197"/>
      <c r="N199" s="197"/>
      <c r="O199" s="197"/>
    </row>
    <row r="200" customFormat="false" ht="12" hidden="false" customHeight="false" outlineLevel="0" collapsed="false">
      <c r="B200" s="197"/>
      <c r="C200" s="197"/>
      <c r="D200" s="197"/>
      <c r="E200" s="197"/>
      <c r="F200" s="197"/>
      <c r="G200" s="197"/>
      <c r="H200" s="197"/>
      <c r="I200" s="197"/>
      <c r="J200" s="197"/>
      <c r="K200" s="197"/>
      <c r="L200" s="197"/>
      <c r="M200" s="197"/>
      <c r="N200" s="197"/>
      <c r="O200" s="197"/>
    </row>
    <row r="201" customFormat="false" ht="12" hidden="false" customHeight="false" outlineLevel="0" collapsed="false">
      <c r="B201" s="197"/>
      <c r="C201" s="197"/>
      <c r="D201" s="197"/>
      <c r="E201" s="197"/>
      <c r="F201" s="197"/>
      <c r="G201" s="197"/>
      <c r="H201" s="197"/>
      <c r="I201" s="197"/>
      <c r="J201" s="197"/>
      <c r="K201" s="197"/>
      <c r="L201" s="197"/>
      <c r="M201" s="197"/>
      <c r="N201" s="197"/>
      <c r="O201" s="197"/>
    </row>
    <row r="202" customFormat="false" ht="12" hidden="false" customHeight="false" outlineLevel="0" collapsed="false">
      <c r="B202" s="197"/>
      <c r="C202" s="197"/>
      <c r="D202" s="197"/>
      <c r="E202" s="197"/>
      <c r="F202" s="197"/>
      <c r="G202" s="197"/>
      <c r="H202" s="197"/>
      <c r="I202" s="197"/>
      <c r="J202" s="197"/>
      <c r="K202" s="197"/>
      <c r="L202" s="197"/>
      <c r="M202" s="197"/>
      <c r="N202" s="197"/>
      <c r="O202" s="197"/>
    </row>
    <row r="203" customFormat="false" ht="12" hidden="false" customHeight="false" outlineLevel="0" collapsed="false">
      <c r="B203" s="197"/>
      <c r="C203" s="197"/>
      <c r="D203" s="197"/>
      <c r="E203" s="197"/>
      <c r="F203" s="197"/>
      <c r="G203" s="197"/>
      <c r="H203" s="197"/>
      <c r="I203" s="197"/>
      <c r="J203" s="197"/>
      <c r="K203" s="197"/>
      <c r="L203" s="197"/>
      <c r="M203" s="197"/>
      <c r="N203" s="197"/>
      <c r="O203" s="197"/>
    </row>
    <row r="204" customFormat="false" ht="12" hidden="false" customHeight="false" outlineLevel="0" collapsed="false">
      <c r="B204" s="197"/>
      <c r="C204" s="197"/>
      <c r="D204" s="197"/>
      <c r="E204" s="197"/>
      <c r="F204" s="197"/>
      <c r="G204" s="197"/>
      <c r="H204" s="197"/>
      <c r="I204" s="197"/>
      <c r="J204" s="197"/>
      <c r="K204" s="197"/>
      <c r="L204" s="197"/>
      <c r="M204" s="197"/>
      <c r="N204" s="197"/>
      <c r="O204" s="197"/>
    </row>
    <row r="205" customFormat="false" ht="12" hidden="false" customHeight="false" outlineLevel="0" collapsed="false">
      <c r="B205" s="197"/>
      <c r="C205" s="197"/>
      <c r="D205" s="197"/>
      <c r="E205" s="197"/>
      <c r="F205" s="197"/>
      <c r="G205" s="197"/>
      <c r="H205" s="197"/>
      <c r="I205" s="197"/>
      <c r="J205" s="197"/>
      <c r="K205" s="197"/>
      <c r="L205" s="197"/>
      <c r="M205" s="197"/>
      <c r="N205" s="197"/>
      <c r="O205" s="197"/>
    </row>
    <row r="206" customFormat="false" ht="12" hidden="false" customHeight="false" outlineLevel="0" collapsed="false">
      <c r="B206" s="197"/>
      <c r="C206" s="197"/>
      <c r="D206" s="197"/>
      <c r="E206" s="197"/>
      <c r="F206" s="197"/>
      <c r="G206" s="197"/>
      <c r="H206" s="197"/>
      <c r="I206" s="197"/>
      <c r="J206" s="197"/>
      <c r="K206" s="197"/>
      <c r="L206" s="197"/>
      <c r="M206" s="197"/>
      <c r="N206" s="197"/>
      <c r="O206" s="197"/>
    </row>
    <row r="207" customFormat="false" ht="12" hidden="false" customHeight="false" outlineLevel="0" collapsed="false">
      <c r="B207" s="197"/>
      <c r="C207" s="197"/>
      <c r="D207" s="197"/>
      <c r="E207" s="197"/>
      <c r="F207" s="197"/>
      <c r="G207" s="197"/>
      <c r="H207" s="197"/>
      <c r="I207" s="197"/>
      <c r="J207" s="197"/>
      <c r="K207" s="197"/>
      <c r="L207" s="197"/>
      <c r="M207" s="197"/>
      <c r="N207" s="197"/>
      <c r="O207" s="197"/>
    </row>
    <row r="208" customFormat="false" ht="12" hidden="false" customHeight="false" outlineLevel="0" collapsed="false">
      <c r="B208" s="197"/>
      <c r="C208" s="197"/>
      <c r="D208" s="197"/>
      <c r="E208" s="197"/>
      <c r="F208" s="197"/>
      <c r="G208" s="197"/>
      <c r="H208" s="197"/>
      <c r="I208" s="197"/>
      <c r="J208" s="197"/>
      <c r="K208" s="197"/>
      <c r="L208" s="197"/>
      <c r="M208" s="197"/>
      <c r="N208" s="197"/>
      <c r="O208" s="197"/>
    </row>
    <row r="209" customFormat="false" ht="12" hidden="false" customHeight="false" outlineLevel="0" collapsed="false">
      <c r="B209" s="197"/>
      <c r="C209" s="197"/>
      <c r="D209" s="197"/>
      <c r="E209" s="197"/>
      <c r="F209" s="197"/>
      <c r="G209" s="197"/>
      <c r="H209" s="197"/>
      <c r="I209" s="197"/>
      <c r="J209" s="197"/>
      <c r="K209" s="197"/>
      <c r="L209" s="197"/>
      <c r="M209" s="197"/>
      <c r="N209" s="197"/>
      <c r="O209" s="197"/>
    </row>
    <row r="210" customFormat="false" ht="12" hidden="false" customHeight="false" outlineLevel="0" collapsed="false">
      <c r="B210" s="197"/>
      <c r="C210" s="197"/>
      <c r="D210" s="197"/>
      <c r="E210" s="197"/>
      <c r="F210" s="197"/>
      <c r="G210" s="197"/>
      <c r="H210" s="197"/>
      <c r="I210" s="197"/>
      <c r="J210" s="197"/>
      <c r="K210" s="197"/>
      <c r="L210" s="197"/>
      <c r="M210" s="197"/>
      <c r="N210" s="197"/>
      <c r="O210" s="197"/>
    </row>
    <row r="211" customFormat="false" ht="12" hidden="false" customHeight="false" outlineLevel="0" collapsed="false">
      <c r="B211" s="197"/>
      <c r="C211" s="197"/>
      <c r="D211" s="197"/>
      <c r="E211" s="197"/>
      <c r="F211" s="197"/>
      <c r="G211" s="197"/>
      <c r="H211" s="197"/>
      <c r="I211" s="197"/>
      <c r="J211" s="197"/>
      <c r="K211" s="197"/>
      <c r="L211" s="197"/>
      <c r="M211" s="197"/>
      <c r="N211" s="197"/>
      <c r="O211" s="197"/>
    </row>
    <row r="212" customFormat="false" ht="12" hidden="false" customHeight="false" outlineLevel="0" collapsed="false">
      <c r="B212" s="197"/>
      <c r="C212" s="197"/>
      <c r="D212" s="197"/>
      <c r="E212" s="197"/>
      <c r="F212" s="197"/>
      <c r="G212" s="197"/>
      <c r="H212" s="197"/>
      <c r="I212" s="197"/>
      <c r="J212" s="197"/>
      <c r="K212" s="197"/>
      <c r="L212" s="197"/>
      <c r="M212" s="197"/>
      <c r="N212" s="197"/>
      <c r="O212" s="197"/>
    </row>
    <row r="213" customFormat="false" ht="12" hidden="false" customHeight="false" outlineLevel="0" collapsed="false">
      <c r="B213" s="197"/>
      <c r="C213" s="197"/>
      <c r="D213" s="197"/>
      <c r="E213" s="197"/>
      <c r="F213" s="197"/>
      <c r="G213" s="197"/>
      <c r="H213" s="197"/>
      <c r="I213" s="197"/>
      <c r="J213" s="197"/>
      <c r="K213" s="197"/>
      <c r="L213" s="197"/>
      <c r="M213" s="197"/>
      <c r="N213" s="197"/>
      <c r="O213" s="197"/>
    </row>
    <row r="214" customFormat="false" ht="12" hidden="false" customHeight="false" outlineLevel="0" collapsed="false">
      <c r="B214" s="197"/>
      <c r="C214" s="197"/>
      <c r="D214" s="197"/>
      <c r="E214" s="197"/>
      <c r="F214" s="197"/>
      <c r="G214" s="197"/>
      <c r="H214" s="197"/>
      <c r="I214" s="197"/>
      <c r="J214" s="197"/>
      <c r="K214" s="197"/>
      <c r="L214" s="197"/>
      <c r="M214" s="197"/>
      <c r="N214" s="197"/>
      <c r="O214" s="197"/>
    </row>
    <row r="215" customFormat="false" ht="12" hidden="false" customHeight="false" outlineLevel="0" collapsed="false">
      <c r="B215" s="197"/>
      <c r="C215" s="197"/>
      <c r="D215" s="197"/>
      <c r="E215" s="197"/>
      <c r="F215" s="197"/>
      <c r="G215" s="197"/>
      <c r="H215" s="197"/>
      <c r="I215" s="197"/>
      <c r="J215" s="197"/>
      <c r="K215" s="197"/>
      <c r="L215" s="197"/>
      <c r="M215" s="197"/>
      <c r="N215" s="197"/>
      <c r="O215" s="197"/>
    </row>
    <row r="216" customFormat="false" ht="12" hidden="false" customHeight="false" outlineLevel="0" collapsed="false">
      <c r="B216" s="197"/>
      <c r="C216" s="197"/>
      <c r="D216" s="197"/>
      <c r="E216" s="197"/>
      <c r="F216" s="197"/>
      <c r="G216" s="197"/>
      <c r="H216" s="197"/>
      <c r="I216" s="197"/>
      <c r="J216" s="197"/>
      <c r="K216" s="197"/>
      <c r="L216" s="197"/>
      <c r="M216" s="197"/>
      <c r="N216" s="197"/>
      <c r="O216" s="197"/>
    </row>
    <row r="217" customFormat="false" ht="12" hidden="false" customHeight="false" outlineLevel="0" collapsed="false">
      <c r="B217" s="197"/>
      <c r="C217" s="197"/>
      <c r="D217" s="197"/>
      <c r="E217" s="197"/>
      <c r="F217" s="197"/>
      <c r="G217" s="197"/>
      <c r="H217" s="197"/>
      <c r="I217" s="197"/>
      <c r="J217" s="197"/>
      <c r="K217" s="197"/>
      <c r="L217" s="197"/>
      <c r="M217" s="197"/>
      <c r="N217" s="197"/>
      <c r="O217" s="197"/>
    </row>
    <row r="218" customFormat="false" ht="12" hidden="false" customHeight="false" outlineLevel="0" collapsed="false">
      <c r="B218" s="197"/>
      <c r="C218" s="197"/>
      <c r="D218" s="197"/>
      <c r="E218" s="197"/>
      <c r="F218" s="197"/>
      <c r="G218" s="197"/>
      <c r="H218" s="197"/>
      <c r="I218" s="197"/>
      <c r="J218" s="197"/>
      <c r="K218" s="197"/>
      <c r="L218" s="197"/>
      <c r="M218" s="197"/>
      <c r="N218" s="197"/>
      <c r="O218" s="197"/>
    </row>
    <row r="219" customFormat="false" ht="12" hidden="false" customHeight="false" outlineLevel="0" collapsed="false">
      <c r="B219" s="197"/>
      <c r="C219" s="197"/>
      <c r="D219" s="197"/>
      <c r="E219" s="197"/>
      <c r="F219" s="197"/>
      <c r="G219" s="197"/>
      <c r="H219" s="197"/>
      <c r="I219" s="197"/>
      <c r="J219" s="197"/>
      <c r="K219" s="197"/>
      <c r="L219" s="197"/>
      <c r="M219" s="197"/>
      <c r="N219" s="197"/>
      <c r="O219" s="197"/>
    </row>
    <row r="220" customFormat="false" ht="12" hidden="false" customHeight="false" outlineLevel="0" collapsed="false">
      <c r="B220" s="197"/>
      <c r="C220" s="197"/>
      <c r="D220" s="197"/>
      <c r="E220" s="197"/>
      <c r="F220" s="197"/>
      <c r="G220" s="197"/>
      <c r="H220" s="197"/>
      <c r="I220" s="197"/>
      <c r="J220" s="197"/>
      <c r="K220" s="197"/>
      <c r="L220" s="197"/>
      <c r="M220" s="197"/>
      <c r="N220" s="197"/>
      <c r="O220" s="197"/>
    </row>
    <row r="221" customFormat="false" ht="12" hidden="false" customHeight="false" outlineLevel="0" collapsed="false">
      <c r="B221" s="197"/>
      <c r="C221" s="197"/>
      <c r="D221" s="197"/>
      <c r="E221" s="197"/>
      <c r="F221" s="197"/>
      <c r="G221" s="197"/>
      <c r="H221" s="197"/>
      <c r="I221" s="197"/>
      <c r="J221" s="197"/>
      <c r="K221" s="197"/>
      <c r="L221" s="197"/>
      <c r="M221" s="197"/>
      <c r="N221" s="197"/>
      <c r="O221" s="197"/>
    </row>
    <row r="222" customFormat="false" ht="12" hidden="false" customHeight="false" outlineLevel="0" collapsed="false">
      <c r="B222" s="197"/>
      <c r="C222" s="197"/>
      <c r="D222" s="197"/>
      <c r="E222" s="197"/>
      <c r="F222" s="197"/>
      <c r="G222" s="197"/>
      <c r="H222" s="197"/>
      <c r="I222" s="197"/>
      <c r="J222" s="197"/>
      <c r="K222" s="197"/>
      <c r="L222" s="197"/>
      <c r="M222" s="197"/>
      <c r="N222" s="197"/>
      <c r="O222" s="197"/>
    </row>
    <row r="223" customFormat="false" ht="12" hidden="false" customHeight="false" outlineLevel="0" collapsed="false">
      <c r="B223" s="197"/>
      <c r="C223" s="197"/>
      <c r="D223" s="197"/>
      <c r="E223" s="197"/>
      <c r="F223" s="197"/>
      <c r="G223" s="197"/>
      <c r="H223" s="197"/>
      <c r="I223" s="197"/>
      <c r="J223" s="197"/>
      <c r="K223" s="197"/>
      <c r="L223" s="197"/>
      <c r="M223" s="197"/>
      <c r="N223" s="197"/>
      <c r="O223" s="197"/>
    </row>
    <row r="224" customFormat="false" ht="12" hidden="false" customHeight="false" outlineLevel="0" collapsed="false">
      <c r="B224" s="197"/>
      <c r="C224" s="197"/>
      <c r="D224" s="197"/>
      <c r="E224" s="197"/>
      <c r="F224" s="197"/>
      <c r="G224" s="197"/>
      <c r="H224" s="197"/>
      <c r="I224" s="197"/>
      <c r="J224" s="197"/>
      <c r="K224" s="197"/>
      <c r="L224" s="197"/>
      <c r="M224" s="197"/>
      <c r="N224" s="197"/>
      <c r="O224" s="197"/>
    </row>
    <row r="225" customFormat="false" ht="12" hidden="false" customHeight="false" outlineLevel="0" collapsed="false">
      <c r="B225" s="197"/>
      <c r="C225" s="197"/>
      <c r="D225" s="197"/>
      <c r="E225" s="197"/>
      <c r="F225" s="197"/>
      <c r="G225" s="197"/>
      <c r="H225" s="197"/>
      <c r="I225" s="197"/>
      <c r="J225" s="197"/>
      <c r="K225" s="197"/>
      <c r="L225" s="197"/>
      <c r="M225" s="197"/>
      <c r="N225" s="197"/>
      <c r="O225" s="197"/>
    </row>
    <row r="226" customFormat="false" ht="12" hidden="false" customHeight="false" outlineLevel="0" collapsed="false">
      <c r="B226" s="197"/>
      <c r="C226" s="197"/>
      <c r="D226" s="197"/>
      <c r="E226" s="197"/>
      <c r="F226" s="197"/>
      <c r="G226" s="197"/>
      <c r="H226" s="197"/>
      <c r="I226" s="197"/>
      <c r="J226" s="197"/>
      <c r="K226" s="197"/>
      <c r="L226" s="197"/>
      <c r="M226" s="197"/>
      <c r="N226" s="197"/>
      <c r="O226" s="197"/>
    </row>
    <row r="227" customFormat="false" ht="12" hidden="false" customHeight="false" outlineLevel="0" collapsed="false">
      <c r="B227" s="197"/>
      <c r="C227" s="197"/>
      <c r="D227" s="197"/>
      <c r="E227" s="197"/>
      <c r="F227" s="197"/>
      <c r="G227" s="197"/>
      <c r="H227" s="197"/>
      <c r="I227" s="197"/>
      <c r="J227" s="197"/>
      <c r="K227" s="197"/>
      <c r="L227" s="197"/>
      <c r="M227" s="197"/>
      <c r="N227" s="197"/>
      <c r="O227" s="197"/>
    </row>
    <row r="228" customFormat="false" ht="12" hidden="false" customHeight="false" outlineLevel="0" collapsed="false">
      <c r="B228" s="197"/>
      <c r="C228" s="197"/>
      <c r="D228" s="197"/>
      <c r="E228" s="197"/>
      <c r="F228" s="197"/>
      <c r="G228" s="197"/>
      <c r="H228" s="197"/>
      <c r="I228" s="197"/>
      <c r="J228" s="197"/>
      <c r="K228" s="197"/>
      <c r="L228" s="197"/>
      <c r="M228" s="197"/>
      <c r="N228" s="197"/>
      <c r="O228" s="197"/>
    </row>
    <row r="229" customFormat="false" ht="12" hidden="false" customHeight="false" outlineLevel="0" collapsed="false">
      <c r="B229" s="197"/>
      <c r="C229" s="197"/>
      <c r="D229" s="197"/>
      <c r="E229" s="197"/>
      <c r="F229" s="197"/>
      <c r="G229" s="197"/>
      <c r="H229" s="197"/>
      <c r="I229" s="197"/>
      <c r="J229" s="197"/>
      <c r="K229" s="197"/>
      <c r="L229" s="197"/>
      <c r="M229" s="197"/>
      <c r="N229" s="197"/>
      <c r="O229" s="197"/>
    </row>
    <row r="230" customFormat="false" ht="12" hidden="false" customHeight="false" outlineLevel="0" collapsed="false">
      <c r="B230" s="197"/>
      <c r="C230" s="197"/>
      <c r="D230" s="197"/>
      <c r="E230" s="197"/>
      <c r="F230" s="197"/>
      <c r="G230" s="197"/>
      <c r="H230" s="197"/>
      <c r="I230" s="197"/>
      <c r="J230" s="197"/>
      <c r="K230" s="197"/>
      <c r="L230" s="197"/>
      <c r="M230" s="197"/>
      <c r="N230" s="197"/>
      <c r="O230" s="197"/>
    </row>
    <row r="231" customFormat="false" ht="12" hidden="false" customHeight="false" outlineLevel="0" collapsed="false">
      <c r="B231" s="197"/>
      <c r="C231" s="197"/>
      <c r="D231" s="197"/>
      <c r="E231" s="197"/>
      <c r="F231" s="197"/>
      <c r="G231" s="197"/>
      <c r="H231" s="197"/>
      <c r="I231" s="197"/>
      <c r="J231" s="197"/>
      <c r="K231" s="197"/>
      <c r="L231" s="197"/>
      <c r="M231" s="197"/>
      <c r="N231" s="197"/>
      <c r="O231" s="197"/>
    </row>
    <row r="232" customFormat="false" ht="12" hidden="false" customHeight="false" outlineLevel="0" collapsed="false">
      <c r="B232" s="197"/>
      <c r="C232" s="197"/>
      <c r="D232" s="197"/>
      <c r="E232" s="197"/>
      <c r="F232" s="197"/>
      <c r="G232" s="197"/>
      <c r="H232" s="197"/>
      <c r="I232" s="197"/>
      <c r="J232" s="197"/>
      <c r="K232" s="197"/>
      <c r="L232" s="197"/>
      <c r="M232" s="197"/>
      <c r="N232" s="197"/>
      <c r="O232" s="197"/>
    </row>
    <row r="233" customFormat="false" ht="12" hidden="false" customHeight="false" outlineLevel="0" collapsed="false">
      <c r="B233" s="197"/>
      <c r="C233" s="197"/>
      <c r="D233" s="197"/>
      <c r="E233" s="197"/>
      <c r="F233" s="197"/>
      <c r="G233" s="197"/>
      <c r="H233" s="197"/>
      <c r="I233" s="197"/>
      <c r="J233" s="197"/>
      <c r="K233" s="197"/>
      <c r="L233" s="197"/>
      <c r="M233" s="197"/>
      <c r="N233" s="197"/>
      <c r="O233" s="197"/>
    </row>
    <row r="234" customFormat="false" ht="12" hidden="false" customHeight="false" outlineLevel="0" collapsed="false">
      <c r="B234" s="197"/>
      <c r="C234" s="197"/>
      <c r="D234" s="197"/>
      <c r="E234" s="197"/>
      <c r="F234" s="197"/>
      <c r="G234" s="197"/>
      <c r="H234" s="197"/>
      <c r="I234" s="197"/>
      <c r="J234" s="197"/>
      <c r="K234" s="197"/>
      <c r="L234" s="197"/>
      <c r="M234" s="197"/>
      <c r="N234" s="197"/>
      <c r="O234" s="197"/>
    </row>
    <row r="235" customFormat="false" ht="12" hidden="false" customHeight="false" outlineLevel="0" collapsed="false">
      <c r="B235" s="197"/>
      <c r="C235" s="197"/>
      <c r="D235" s="197"/>
      <c r="E235" s="197"/>
      <c r="F235" s="197"/>
      <c r="G235" s="197"/>
      <c r="H235" s="197"/>
      <c r="I235" s="197"/>
      <c r="J235" s="197"/>
      <c r="K235" s="197"/>
      <c r="L235" s="197"/>
      <c r="M235" s="197"/>
      <c r="N235" s="197"/>
      <c r="O235" s="197"/>
    </row>
    <row r="236" customFormat="false" ht="12" hidden="false" customHeight="false" outlineLevel="0" collapsed="false">
      <c r="B236" s="197"/>
      <c r="C236" s="197"/>
      <c r="D236" s="197"/>
      <c r="E236" s="197"/>
      <c r="F236" s="197"/>
      <c r="G236" s="197"/>
      <c r="H236" s="197"/>
      <c r="I236" s="197"/>
      <c r="J236" s="197"/>
      <c r="K236" s="197"/>
      <c r="L236" s="197"/>
      <c r="M236" s="197"/>
      <c r="N236" s="197"/>
      <c r="O236" s="197"/>
    </row>
    <row r="237" customFormat="false" ht="12" hidden="false" customHeight="false" outlineLevel="0" collapsed="false">
      <c r="B237" s="197"/>
      <c r="C237" s="197"/>
      <c r="D237" s="197"/>
      <c r="E237" s="197"/>
      <c r="F237" s="197"/>
      <c r="G237" s="197"/>
      <c r="H237" s="197"/>
      <c r="I237" s="197"/>
      <c r="J237" s="197"/>
      <c r="K237" s="197"/>
      <c r="L237" s="197"/>
      <c r="M237" s="197"/>
      <c r="N237" s="197"/>
      <c r="O237" s="197"/>
    </row>
    <row r="238" customFormat="false" ht="12" hidden="false" customHeight="false" outlineLevel="0" collapsed="false">
      <c r="B238" s="197"/>
      <c r="C238" s="197"/>
      <c r="D238" s="197"/>
      <c r="E238" s="197"/>
      <c r="F238" s="197"/>
      <c r="G238" s="197"/>
      <c r="H238" s="197"/>
      <c r="I238" s="197"/>
      <c r="J238" s="197"/>
      <c r="K238" s="197"/>
      <c r="L238" s="197"/>
      <c r="M238" s="197"/>
      <c r="N238" s="197"/>
      <c r="O238" s="197"/>
    </row>
    <row r="239" customFormat="false" ht="12" hidden="false" customHeight="false" outlineLevel="0" collapsed="false">
      <c r="B239" s="197"/>
      <c r="C239" s="197"/>
      <c r="D239" s="197"/>
      <c r="E239" s="197"/>
      <c r="F239" s="197"/>
      <c r="G239" s="197"/>
      <c r="H239" s="197"/>
      <c r="I239" s="197"/>
      <c r="J239" s="197"/>
      <c r="K239" s="197"/>
      <c r="L239" s="197"/>
      <c r="M239" s="197"/>
      <c r="N239" s="197"/>
      <c r="O239" s="197"/>
    </row>
    <row r="240" customFormat="false" ht="12" hidden="false" customHeight="false" outlineLevel="0" collapsed="false">
      <c r="B240" s="197"/>
      <c r="C240" s="197"/>
      <c r="D240" s="197"/>
      <c r="E240" s="197"/>
      <c r="F240" s="197"/>
      <c r="G240" s="197"/>
      <c r="H240" s="197"/>
      <c r="I240" s="197"/>
      <c r="J240" s="197"/>
      <c r="K240" s="197"/>
      <c r="L240" s="197"/>
      <c r="M240" s="197"/>
      <c r="N240" s="197"/>
      <c r="O240" s="197"/>
    </row>
    <row r="241" customFormat="false" ht="12" hidden="false" customHeight="false" outlineLevel="0" collapsed="false">
      <c r="B241" s="197"/>
      <c r="C241" s="197"/>
      <c r="D241" s="197"/>
      <c r="E241" s="197"/>
      <c r="F241" s="197"/>
      <c r="G241" s="197"/>
      <c r="H241" s="197"/>
      <c r="I241" s="197"/>
      <c r="J241" s="197"/>
      <c r="K241" s="197"/>
      <c r="L241" s="197"/>
      <c r="M241" s="197"/>
      <c r="N241" s="197"/>
      <c r="O241" s="197"/>
    </row>
    <row r="242" customFormat="false" ht="12" hidden="false" customHeight="false" outlineLevel="0" collapsed="false">
      <c r="B242" s="197"/>
      <c r="C242" s="197"/>
      <c r="D242" s="197"/>
      <c r="E242" s="197"/>
      <c r="F242" s="197"/>
      <c r="G242" s="197"/>
      <c r="H242" s="197"/>
      <c r="I242" s="197"/>
      <c r="J242" s="197"/>
      <c r="K242" s="197"/>
      <c r="L242" s="197"/>
      <c r="M242" s="197"/>
      <c r="N242" s="197"/>
      <c r="O242" s="197"/>
    </row>
    <row r="243" customFormat="false" ht="12" hidden="false" customHeight="false" outlineLevel="0" collapsed="false">
      <c r="B243" s="197"/>
      <c r="C243" s="197"/>
      <c r="D243" s="197"/>
      <c r="E243" s="197"/>
      <c r="F243" s="197"/>
      <c r="G243" s="197"/>
      <c r="H243" s="197"/>
      <c r="I243" s="197"/>
      <c r="J243" s="197"/>
      <c r="K243" s="197"/>
      <c r="L243" s="197"/>
      <c r="M243" s="197"/>
      <c r="N243" s="197"/>
      <c r="O243" s="197"/>
    </row>
    <row r="244" customFormat="false" ht="12" hidden="false" customHeight="false" outlineLevel="0" collapsed="false">
      <c r="B244" s="197"/>
      <c r="C244" s="197"/>
      <c r="D244" s="197"/>
      <c r="E244" s="197"/>
      <c r="F244" s="197"/>
      <c r="G244" s="197"/>
      <c r="H244" s="197"/>
      <c r="I244" s="197"/>
      <c r="J244" s="197"/>
      <c r="K244" s="197"/>
      <c r="L244" s="197"/>
      <c r="M244" s="197"/>
      <c r="N244" s="197"/>
      <c r="O244" s="197"/>
    </row>
    <row r="245" customFormat="false" ht="12" hidden="false" customHeight="false" outlineLevel="0" collapsed="false">
      <c r="B245" s="197"/>
      <c r="C245" s="197"/>
      <c r="D245" s="197"/>
      <c r="E245" s="197"/>
      <c r="F245" s="197"/>
      <c r="G245" s="197"/>
      <c r="H245" s="197"/>
      <c r="I245" s="197"/>
      <c r="J245" s="197"/>
      <c r="K245" s="197"/>
      <c r="L245" s="197"/>
      <c r="M245" s="197"/>
      <c r="N245" s="197"/>
      <c r="O245" s="197"/>
    </row>
    <row r="246" customFormat="false" ht="12" hidden="false" customHeight="false" outlineLevel="0" collapsed="false">
      <c r="B246" s="197"/>
      <c r="C246" s="197"/>
      <c r="D246" s="197"/>
      <c r="E246" s="197"/>
      <c r="F246" s="197"/>
      <c r="G246" s="197"/>
      <c r="H246" s="197"/>
      <c r="I246" s="197"/>
      <c r="J246" s="197"/>
      <c r="K246" s="197"/>
      <c r="L246" s="197"/>
      <c r="M246" s="197"/>
      <c r="N246" s="197"/>
      <c r="O246" s="197"/>
    </row>
    <row r="247" customFormat="false" ht="12" hidden="false" customHeight="false" outlineLevel="0" collapsed="false">
      <c r="B247" s="197"/>
      <c r="C247" s="197"/>
      <c r="D247" s="197"/>
      <c r="E247" s="197"/>
      <c r="F247" s="197"/>
      <c r="G247" s="197"/>
      <c r="H247" s="197"/>
      <c r="I247" s="197"/>
      <c r="J247" s="197"/>
      <c r="K247" s="197"/>
      <c r="L247" s="197"/>
      <c r="M247" s="197"/>
      <c r="N247" s="197"/>
      <c r="O247" s="197"/>
    </row>
    <row r="248" customFormat="false" ht="12" hidden="false" customHeight="false" outlineLevel="0" collapsed="false">
      <c r="B248" s="197"/>
      <c r="C248" s="197"/>
      <c r="D248" s="197"/>
      <c r="E248" s="197"/>
      <c r="F248" s="197"/>
      <c r="G248" s="197"/>
      <c r="H248" s="197"/>
      <c r="I248" s="197"/>
      <c r="J248" s="197"/>
      <c r="K248" s="197"/>
      <c r="L248" s="197"/>
      <c r="M248" s="197"/>
      <c r="N248" s="197"/>
      <c r="O248" s="197"/>
    </row>
    <row r="249" customFormat="false" ht="12" hidden="false" customHeight="false" outlineLevel="0" collapsed="false">
      <c r="B249" s="197"/>
      <c r="C249" s="197"/>
      <c r="D249" s="197"/>
      <c r="E249" s="197"/>
      <c r="F249" s="197"/>
      <c r="G249" s="197"/>
      <c r="H249" s="197"/>
      <c r="I249" s="197"/>
      <c r="J249" s="197"/>
      <c r="K249" s="197"/>
      <c r="L249" s="197"/>
      <c r="M249" s="197"/>
      <c r="N249" s="197"/>
      <c r="O249" s="197"/>
    </row>
    <row r="250" customFormat="false" ht="12" hidden="false" customHeight="false" outlineLevel="0" collapsed="false">
      <c r="B250" s="197"/>
      <c r="C250" s="197"/>
      <c r="D250" s="197"/>
      <c r="E250" s="197"/>
      <c r="F250" s="197"/>
      <c r="G250" s="197"/>
      <c r="H250" s="197"/>
      <c r="I250" s="197"/>
      <c r="J250" s="197"/>
      <c r="K250" s="197"/>
      <c r="L250" s="197"/>
      <c r="M250" s="197"/>
      <c r="N250" s="197"/>
      <c r="O250" s="197"/>
    </row>
    <row r="251" customFormat="false" ht="12" hidden="false" customHeight="false" outlineLevel="0" collapsed="false">
      <c r="B251" s="197"/>
      <c r="C251" s="197"/>
      <c r="D251" s="197"/>
      <c r="E251" s="197"/>
      <c r="F251" s="197"/>
      <c r="G251" s="197"/>
      <c r="H251" s="197"/>
      <c r="I251" s="197"/>
      <c r="J251" s="197"/>
      <c r="K251" s="197"/>
      <c r="L251" s="197"/>
      <c r="M251" s="197"/>
      <c r="N251" s="197"/>
      <c r="O251" s="197"/>
    </row>
    <row r="252" customFormat="false" ht="12" hidden="false" customHeight="false" outlineLevel="0" collapsed="false">
      <c r="B252" s="197"/>
      <c r="C252" s="197"/>
      <c r="D252" s="197"/>
      <c r="E252" s="197"/>
      <c r="F252" s="197"/>
      <c r="G252" s="197"/>
      <c r="H252" s="197"/>
      <c r="I252" s="197"/>
      <c r="J252" s="197"/>
      <c r="K252" s="197"/>
      <c r="L252" s="197"/>
      <c r="M252" s="197"/>
      <c r="N252" s="197"/>
      <c r="O252" s="197"/>
    </row>
    <row r="253" customFormat="false" ht="12" hidden="false" customHeight="false" outlineLevel="0" collapsed="false">
      <c r="B253" s="197"/>
      <c r="C253" s="197"/>
      <c r="D253" s="197"/>
      <c r="E253" s="197"/>
      <c r="F253" s="197"/>
      <c r="G253" s="197"/>
      <c r="H253" s="197"/>
      <c r="I253" s="197"/>
      <c r="J253" s="197"/>
      <c r="K253" s="197"/>
      <c r="L253" s="197"/>
      <c r="M253" s="197"/>
      <c r="N253" s="197"/>
      <c r="O253" s="197"/>
    </row>
    <row r="254" customFormat="false" ht="12" hidden="false" customHeight="false" outlineLevel="0" collapsed="false">
      <c r="B254" s="197"/>
      <c r="C254" s="197"/>
      <c r="D254" s="197"/>
      <c r="E254" s="197"/>
      <c r="F254" s="197"/>
      <c r="G254" s="197"/>
      <c r="H254" s="197"/>
      <c r="I254" s="197"/>
      <c r="J254" s="197"/>
      <c r="K254" s="197"/>
      <c r="L254" s="197"/>
      <c r="M254" s="197"/>
      <c r="N254" s="197"/>
      <c r="O254" s="197"/>
    </row>
    <row r="255" customFormat="false" ht="12" hidden="false" customHeight="false" outlineLevel="0" collapsed="false">
      <c r="B255" s="197"/>
      <c r="C255" s="197"/>
      <c r="D255" s="197"/>
      <c r="E255" s="197"/>
      <c r="F255" s="197"/>
      <c r="G255" s="197"/>
      <c r="H255" s="197"/>
      <c r="I255" s="197"/>
      <c r="J255" s="197"/>
      <c r="K255" s="197"/>
      <c r="L255" s="197"/>
      <c r="M255" s="197"/>
      <c r="N255" s="197"/>
      <c r="O255" s="197"/>
    </row>
    <row r="256" customFormat="false" ht="12" hidden="false" customHeight="false" outlineLevel="0" collapsed="false">
      <c r="B256" s="197"/>
      <c r="C256" s="197"/>
      <c r="D256" s="197"/>
      <c r="E256" s="197"/>
      <c r="F256" s="197"/>
      <c r="G256" s="197"/>
      <c r="H256" s="197"/>
      <c r="I256" s="197"/>
      <c r="J256" s="197"/>
      <c r="K256" s="197"/>
      <c r="L256" s="197"/>
      <c r="M256" s="197"/>
      <c r="N256" s="197"/>
      <c r="O256" s="197"/>
    </row>
    <row r="257" customFormat="false" ht="12" hidden="false" customHeight="false" outlineLevel="0" collapsed="false">
      <c r="B257" s="197"/>
      <c r="C257" s="197"/>
      <c r="D257" s="197"/>
      <c r="E257" s="197"/>
      <c r="F257" s="197"/>
      <c r="G257" s="197"/>
      <c r="H257" s="197"/>
      <c r="I257" s="197"/>
      <c r="J257" s="197"/>
      <c r="K257" s="197"/>
      <c r="L257" s="197"/>
      <c r="M257" s="197"/>
      <c r="N257" s="197"/>
      <c r="O257" s="197"/>
    </row>
    <row r="258" customFormat="false" ht="12" hidden="false" customHeight="false" outlineLevel="0" collapsed="false">
      <c r="B258" s="197"/>
      <c r="C258" s="197"/>
      <c r="D258" s="197"/>
      <c r="E258" s="197"/>
      <c r="F258" s="197"/>
      <c r="G258" s="197"/>
      <c r="H258" s="197"/>
      <c r="I258" s="197"/>
      <c r="J258" s="197"/>
      <c r="K258" s="197"/>
      <c r="L258" s="197"/>
      <c r="M258" s="197"/>
      <c r="N258" s="197"/>
      <c r="O258" s="197"/>
    </row>
    <row r="259" customFormat="false" ht="12" hidden="false" customHeight="false" outlineLevel="0" collapsed="false">
      <c r="B259" s="197"/>
      <c r="C259" s="197"/>
      <c r="D259" s="197"/>
      <c r="E259" s="197"/>
      <c r="F259" s="197"/>
      <c r="G259" s="197"/>
      <c r="H259" s="197"/>
      <c r="I259" s="197"/>
      <c r="J259" s="197"/>
      <c r="K259" s="197"/>
      <c r="L259" s="197"/>
      <c r="M259" s="197"/>
      <c r="N259" s="197"/>
      <c r="O259" s="197"/>
    </row>
    <row r="260" customFormat="false" ht="12" hidden="false" customHeight="false" outlineLevel="0" collapsed="false">
      <c r="B260" s="197"/>
      <c r="C260" s="197"/>
      <c r="D260" s="197"/>
      <c r="E260" s="197"/>
      <c r="F260" s="197"/>
      <c r="G260" s="197"/>
      <c r="H260" s="197"/>
      <c r="I260" s="197"/>
      <c r="J260" s="197"/>
      <c r="K260" s="197"/>
      <c r="L260" s="197"/>
      <c r="M260" s="197"/>
      <c r="N260" s="197"/>
      <c r="O260" s="197"/>
    </row>
    <row r="261" customFormat="false" ht="12" hidden="false" customHeight="false" outlineLevel="0" collapsed="false">
      <c r="B261" s="197"/>
      <c r="C261" s="197"/>
      <c r="D261" s="197"/>
      <c r="E261" s="197"/>
      <c r="F261" s="197"/>
      <c r="G261" s="197"/>
      <c r="H261" s="197"/>
      <c r="I261" s="197"/>
      <c r="J261" s="197"/>
      <c r="K261" s="197"/>
      <c r="L261" s="197"/>
      <c r="M261" s="197"/>
      <c r="N261" s="197"/>
      <c r="O261" s="197"/>
    </row>
    <row r="262" customFormat="false" ht="12" hidden="false" customHeight="false" outlineLevel="0" collapsed="false">
      <c r="B262" s="197"/>
      <c r="C262" s="197"/>
      <c r="D262" s="197"/>
      <c r="E262" s="197"/>
      <c r="F262" s="197"/>
      <c r="G262" s="197"/>
      <c r="H262" s="197"/>
      <c r="I262" s="197"/>
      <c r="J262" s="197"/>
      <c r="K262" s="197"/>
      <c r="L262" s="197"/>
      <c r="M262" s="197"/>
      <c r="N262" s="197"/>
      <c r="O262" s="197"/>
    </row>
    <row r="263" customFormat="false" ht="12" hidden="false" customHeight="false" outlineLevel="0" collapsed="false">
      <c r="B263" s="197"/>
      <c r="C263" s="197"/>
      <c r="D263" s="197"/>
      <c r="E263" s="197"/>
      <c r="F263" s="197"/>
      <c r="G263" s="197"/>
      <c r="H263" s="197"/>
      <c r="I263" s="197"/>
      <c r="J263" s="197"/>
      <c r="K263" s="197"/>
      <c r="L263" s="197"/>
      <c r="M263" s="197"/>
      <c r="N263" s="197"/>
      <c r="O263" s="197"/>
    </row>
    <row r="264" customFormat="false" ht="12" hidden="false" customHeight="false" outlineLevel="0" collapsed="false">
      <c r="B264" s="197"/>
      <c r="C264" s="197"/>
      <c r="D264" s="197"/>
      <c r="E264" s="197"/>
      <c r="F264" s="197"/>
      <c r="G264" s="197"/>
      <c r="H264" s="197"/>
      <c r="I264" s="197"/>
      <c r="J264" s="197"/>
      <c r="K264" s="197"/>
      <c r="L264" s="197"/>
      <c r="M264" s="197"/>
      <c r="N264" s="197"/>
      <c r="O264" s="197"/>
    </row>
    <row r="265" customFormat="false" ht="12" hidden="false" customHeight="false" outlineLevel="0" collapsed="false">
      <c r="B265" s="197"/>
      <c r="C265" s="197"/>
      <c r="D265" s="197"/>
      <c r="E265" s="197"/>
      <c r="F265" s="197"/>
      <c r="G265" s="197"/>
      <c r="H265" s="197"/>
      <c r="I265" s="197"/>
      <c r="J265" s="197"/>
      <c r="K265" s="197"/>
      <c r="L265" s="197"/>
      <c r="M265" s="197"/>
      <c r="N265" s="197"/>
      <c r="O265" s="197"/>
    </row>
    <row r="266" customFormat="false" ht="12" hidden="false" customHeight="false" outlineLevel="0" collapsed="false">
      <c r="B266" s="197"/>
      <c r="C266" s="197"/>
      <c r="D266" s="197"/>
      <c r="E266" s="197"/>
      <c r="F266" s="197"/>
      <c r="G266" s="197"/>
      <c r="H266" s="197"/>
      <c r="I266" s="197"/>
      <c r="J266" s="197"/>
      <c r="K266" s="197"/>
      <c r="L266" s="197"/>
      <c r="M266" s="197"/>
      <c r="N266" s="197"/>
      <c r="O266" s="197"/>
    </row>
    <row r="267" customFormat="false" ht="12" hidden="false" customHeight="false" outlineLevel="0" collapsed="false">
      <c r="B267" s="197"/>
      <c r="C267" s="197"/>
      <c r="D267" s="197"/>
      <c r="E267" s="197"/>
      <c r="F267" s="197"/>
      <c r="G267" s="197"/>
      <c r="H267" s="197"/>
      <c r="I267" s="197"/>
      <c r="J267" s="197"/>
      <c r="K267" s="197"/>
      <c r="L267" s="197"/>
      <c r="M267" s="197"/>
      <c r="N267" s="197"/>
      <c r="O267" s="197"/>
    </row>
    <row r="268" customFormat="false" ht="12" hidden="false" customHeight="false" outlineLevel="0" collapsed="false">
      <c r="B268" s="197"/>
      <c r="C268" s="197"/>
      <c r="D268" s="197"/>
      <c r="E268" s="197"/>
      <c r="F268" s="197"/>
      <c r="G268" s="197"/>
      <c r="H268" s="197"/>
      <c r="I268" s="197"/>
      <c r="J268" s="197"/>
      <c r="K268" s="197"/>
      <c r="L268" s="197"/>
      <c r="M268" s="197"/>
      <c r="N268" s="197"/>
      <c r="O268" s="197"/>
    </row>
    <row r="269" customFormat="false" ht="12" hidden="false" customHeight="false" outlineLevel="0" collapsed="false">
      <c r="B269" s="197"/>
      <c r="C269" s="197"/>
      <c r="D269" s="197"/>
      <c r="E269" s="197"/>
      <c r="F269" s="197"/>
      <c r="G269" s="197"/>
      <c r="H269" s="197"/>
      <c r="I269" s="197"/>
      <c r="J269" s="197"/>
      <c r="K269" s="197"/>
      <c r="L269" s="197"/>
      <c r="M269" s="197"/>
      <c r="N269" s="197"/>
      <c r="O269" s="197"/>
    </row>
    <row r="270" customFormat="false" ht="12" hidden="false" customHeight="false" outlineLevel="0" collapsed="false">
      <c r="B270" s="197"/>
      <c r="C270" s="197"/>
      <c r="D270" s="197"/>
      <c r="E270" s="197"/>
      <c r="F270" s="197"/>
      <c r="G270" s="197"/>
      <c r="H270" s="197"/>
      <c r="I270" s="197"/>
      <c r="J270" s="197"/>
      <c r="K270" s="197"/>
      <c r="L270" s="197"/>
      <c r="M270" s="197"/>
      <c r="N270" s="197"/>
      <c r="O270" s="197"/>
    </row>
    <row r="271" customFormat="false" ht="12" hidden="false" customHeight="false" outlineLevel="0" collapsed="false">
      <c r="B271" s="197"/>
      <c r="C271" s="197"/>
      <c r="D271" s="197"/>
      <c r="E271" s="197"/>
      <c r="F271" s="197"/>
      <c r="G271" s="197"/>
      <c r="H271" s="197"/>
      <c r="I271" s="197"/>
      <c r="J271" s="197"/>
      <c r="K271" s="197"/>
      <c r="L271" s="197"/>
      <c r="M271" s="197"/>
      <c r="N271" s="197"/>
      <c r="O271" s="197"/>
    </row>
    <row r="272" customFormat="false" ht="12" hidden="false" customHeight="false" outlineLevel="0" collapsed="false">
      <c r="B272" s="197"/>
      <c r="C272" s="197"/>
      <c r="D272" s="197"/>
      <c r="E272" s="197"/>
      <c r="F272" s="197"/>
      <c r="G272" s="197"/>
      <c r="H272" s="197"/>
      <c r="I272" s="197"/>
      <c r="J272" s="197"/>
      <c r="K272" s="197"/>
      <c r="L272" s="197"/>
      <c r="M272" s="197"/>
      <c r="N272" s="197"/>
      <c r="O272" s="197"/>
    </row>
    <row r="273" customFormat="false" ht="12" hidden="false" customHeight="false" outlineLevel="0" collapsed="false">
      <c r="B273" s="197"/>
      <c r="C273" s="197"/>
      <c r="D273" s="197"/>
      <c r="E273" s="197"/>
      <c r="F273" s="197"/>
      <c r="G273" s="197"/>
      <c r="H273" s="197"/>
      <c r="I273" s="197"/>
      <c r="J273" s="197"/>
      <c r="K273" s="197"/>
      <c r="L273" s="197"/>
      <c r="M273" s="197"/>
      <c r="N273" s="197"/>
      <c r="O273" s="197"/>
    </row>
    <row r="274" customFormat="false" ht="12" hidden="false" customHeight="false" outlineLevel="0" collapsed="false">
      <c r="B274" s="197"/>
      <c r="C274" s="197"/>
      <c r="D274" s="197"/>
      <c r="E274" s="197"/>
      <c r="F274" s="197"/>
      <c r="G274" s="197"/>
      <c r="H274" s="197"/>
      <c r="I274" s="197"/>
      <c r="J274" s="197"/>
      <c r="K274" s="197"/>
      <c r="L274" s="197"/>
      <c r="M274" s="197"/>
      <c r="N274" s="197"/>
      <c r="O274" s="197"/>
    </row>
    <row r="275" customFormat="false" ht="12" hidden="false" customHeight="false" outlineLevel="0" collapsed="false">
      <c r="B275" s="197"/>
      <c r="C275" s="197"/>
      <c r="D275" s="197"/>
      <c r="E275" s="197"/>
      <c r="F275" s="197"/>
      <c r="G275" s="197"/>
      <c r="H275" s="197"/>
      <c r="I275" s="197"/>
      <c r="J275" s="197"/>
      <c r="K275" s="197"/>
      <c r="L275" s="197"/>
      <c r="M275" s="197"/>
      <c r="N275" s="197"/>
      <c r="O275" s="197"/>
    </row>
    <row r="276" customFormat="false" ht="12" hidden="false" customHeight="false" outlineLevel="0" collapsed="false">
      <c r="B276" s="197"/>
      <c r="C276" s="197"/>
      <c r="D276" s="197"/>
      <c r="E276" s="197"/>
      <c r="F276" s="197"/>
      <c r="G276" s="197"/>
      <c r="H276" s="197"/>
      <c r="I276" s="197"/>
      <c r="J276" s="197"/>
      <c r="K276" s="197"/>
      <c r="L276" s="197"/>
      <c r="M276" s="197"/>
      <c r="N276" s="197"/>
      <c r="O276" s="197"/>
    </row>
    <row r="277" customFormat="false" ht="12" hidden="false" customHeight="false" outlineLevel="0" collapsed="false">
      <c r="B277" s="197"/>
      <c r="C277" s="197"/>
      <c r="D277" s="197"/>
      <c r="E277" s="197"/>
      <c r="F277" s="197"/>
      <c r="G277" s="197"/>
      <c r="H277" s="197"/>
      <c r="I277" s="197"/>
      <c r="J277" s="197"/>
      <c r="K277" s="197"/>
      <c r="L277" s="197"/>
      <c r="M277" s="197"/>
      <c r="N277" s="197"/>
      <c r="O277" s="197"/>
    </row>
    <row r="278" customFormat="false" ht="12" hidden="false" customHeight="false" outlineLevel="0" collapsed="false">
      <c r="B278" s="197"/>
      <c r="C278" s="197"/>
      <c r="D278" s="197"/>
      <c r="E278" s="197"/>
      <c r="F278" s="197"/>
      <c r="G278" s="197"/>
      <c r="H278" s="197"/>
      <c r="I278" s="197"/>
      <c r="J278" s="197"/>
      <c r="K278" s="197"/>
      <c r="L278" s="197"/>
      <c r="M278" s="197"/>
      <c r="N278" s="197"/>
      <c r="O278" s="197"/>
    </row>
    <row r="279" customFormat="false" ht="12" hidden="false" customHeight="false" outlineLevel="0" collapsed="false">
      <c r="B279" s="197"/>
      <c r="C279" s="197"/>
      <c r="D279" s="197"/>
      <c r="E279" s="197"/>
      <c r="F279" s="197"/>
      <c r="G279" s="197"/>
      <c r="H279" s="197"/>
      <c r="I279" s="197"/>
      <c r="J279" s="197"/>
      <c r="K279" s="197"/>
      <c r="L279" s="197"/>
      <c r="M279" s="197"/>
      <c r="N279" s="197"/>
      <c r="O279" s="197"/>
    </row>
    <row r="280" customFormat="false" ht="12" hidden="false" customHeight="false" outlineLevel="0" collapsed="false">
      <c r="B280" s="197"/>
      <c r="C280" s="197"/>
      <c r="D280" s="197"/>
      <c r="E280" s="197"/>
      <c r="F280" s="197"/>
      <c r="G280" s="197"/>
      <c r="H280" s="197"/>
      <c r="I280" s="197"/>
      <c r="J280" s="197"/>
      <c r="K280" s="197"/>
      <c r="L280" s="197"/>
      <c r="M280" s="197"/>
      <c r="N280" s="197"/>
      <c r="O280" s="197"/>
    </row>
    <row r="281" customFormat="false" ht="12" hidden="false" customHeight="false" outlineLevel="0" collapsed="false">
      <c r="B281" s="197"/>
      <c r="C281" s="197"/>
      <c r="D281" s="197"/>
      <c r="E281" s="197"/>
      <c r="F281" s="197"/>
      <c r="G281" s="197"/>
      <c r="H281" s="197"/>
      <c r="I281" s="197"/>
      <c r="J281" s="197"/>
      <c r="K281" s="197"/>
      <c r="L281" s="197"/>
      <c r="M281" s="197"/>
      <c r="N281" s="197"/>
      <c r="O281" s="197"/>
    </row>
    <row r="282" customFormat="false" ht="12" hidden="false" customHeight="false" outlineLevel="0" collapsed="false">
      <c r="B282" s="197"/>
      <c r="C282" s="197"/>
      <c r="D282" s="197"/>
      <c r="E282" s="197"/>
      <c r="F282" s="197"/>
      <c r="G282" s="197"/>
      <c r="H282" s="197"/>
      <c r="I282" s="197"/>
      <c r="J282" s="197"/>
      <c r="K282" s="197"/>
      <c r="L282" s="197"/>
      <c r="M282" s="197"/>
      <c r="N282" s="197"/>
      <c r="O282" s="197"/>
    </row>
    <row r="283" customFormat="false" ht="12" hidden="false" customHeight="false" outlineLevel="0" collapsed="false">
      <c r="B283" s="197"/>
      <c r="C283" s="197"/>
      <c r="D283" s="197"/>
      <c r="E283" s="197"/>
      <c r="F283" s="197"/>
      <c r="G283" s="197"/>
      <c r="H283" s="197"/>
      <c r="I283" s="197"/>
      <c r="J283" s="197"/>
      <c r="K283" s="197"/>
      <c r="L283" s="197"/>
      <c r="M283" s="197"/>
      <c r="N283" s="197"/>
      <c r="O283" s="197"/>
    </row>
    <row r="284" customFormat="false" ht="12" hidden="false" customHeight="false" outlineLevel="0" collapsed="false">
      <c r="B284" s="197"/>
      <c r="C284" s="197"/>
      <c r="D284" s="197"/>
      <c r="E284" s="197"/>
      <c r="F284" s="197"/>
      <c r="G284" s="197"/>
      <c r="H284" s="197"/>
      <c r="I284" s="197"/>
      <c r="J284" s="197"/>
      <c r="K284" s="197"/>
      <c r="L284" s="197"/>
      <c r="M284" s="197"/>
      <c r="N284" s="197"/>
      <c r="O284" s="197"/>
    </row>
    <row r="285" customFormat="false" ht="12" hidden="false" customHeight="false" outlineLevel="0" collapsed="false">
      <c r="B285" s="197"/>
      <c r="C285" s="197"/>
      <c r="D285" s="197"/>
      <c r="E285" s="197"/>
      <c r="F285" s="197"/>
      <c r="G285" s="197"/>
      <c r="H285" s="197"/>
      <c r="I285" s="197"/>
      <c r="J285" s="197"/>
      <c r="K285" s="197"/>
      <c r="L285" s="197"/>
      <c r="M285" s="197"/>
      <c r="N285" s="197"/>
      <c r="O285" s="197"/>
    </row>
    <row r="286" customFormat="false" ht="12" hidden="false" customHeight="false" outlineLevel="0" collapsed="false">
      <c r="B286" s="197"/>
      <c r="C286" s="197"/>
      <c r="D286" s="197"/>
      <c r="E286" s="197"/>
      <c r="F286" s="197"/>
      <c r="G286" s="197"/>
      <c r="H286" s="197"/>
      <c r="I286" s="197"/>
      <c r="J286" s="197"/>
      <c r="K286" s="197"/>
      <c r="L286" s="197"/>
      <c r="M286" s="197"/>
      <c r="N286" s="197"/>
      <c r="O286" s="197"/>
    </row>
    <row r="287" customFormat="false" ht="12" hidden="false" customHeight="false" outlineLevel="0" collapsed="false">
      <c r="B287" s="197"/>
      <c r="C287" s="197"/>
      <c r="D287" s="197"/>
      <c r="E287" s="197"/>
      <c r="F287" s="197"/>
      <c r="G287" s="197"/>
      <c r="H287" s="197"/>
      <c r="I287" s="197"/>
      <c r="J287" s="197"/>
      <c r="K287" s="197"/>
      <c r="L287" s="197"/>
      <c r="M287" s="197"/>
      <c r="N287" s="197"/>
      <c r="O287" s="197"/>
    </row>
    <row r="288" customFormat="false" ht="12" hidden="false" customHeight="false" outlineLevel="0" collapsed="false">
      <c r="B288" s="197"/>
      <c r="C288" s="197"/>
      <c r="D288" s="197"/>
      <c r="E288" s="197"/>
      <c r="F288" s="197"/>
      <c r="G288" s="197"/>
      <c r="H288" s="197"/>
      <c r="I288" s="197"/>
      <c r="J288" s="197"/>
      <c r="K288" s="197"/>
      <c r="L288" s="197"/>
      <c r="M288" s="197"/>
      <c r="N288" s="197"/>
      <c r="O288" s="197"/>
    </row>
    <row r="289" customFormat="false" ht="12" hidden="false" customHeight="false" outlineLevel="0" collapsed="false">
      <c r="B289" s="197"/>
      <c r="C289" s="197"/>
      <c r="D289" s="197"/>
      <c r="E289" s="197"/>
      <c r="F289" s="197"/>
      <c r="G289" s="197"/>
      <c r="H289" s="197"/>
      <c r="I289" s="197"/>
      <c r="J289" s="197"/>
      <c r="K289" s="197"/>
      <c r="L289" s="197"/>
      <c r="M289" s="197"/>
      <c r="N289" s="197"/>
      <c r="O289" s="197"/>
    </row>
    <row r="290" customFormat="false" ht="12" hidden="false" customHeight="false" outlineLevel="0" collapsed="false">
      <c r="B290" s="197"/>
      <c r="C290" s="197"/>
      <c r="D290" s="197"/>
      <c r="E290" s="197"/>
      <c r="F290" s="197"/>
      <c r="G290" s="197"/>
      <c r="H290" s="197"/>
      <c r="I290" s="197"/>
      <c r="J290" s="197"/>
      <c r="K290" s="197"/>
      <c r="L290" s="197"/>
      <c r="M290" s="197"/>
      <c r="N290" s="197"/>
      <c r="O290" s="197"/>
    </row>
    <row r="291" customFormat="false" ht="12" hidden="false" customHeight="false" outlineLevel="0" collapsed="false">
      <c r="B291" s="197"/>
      <c r="C291" s="197"/>
      <c r="D291" s="197"/>
      <c r="E291" s="197"/>
      <c r="F291" s="197"/>
      <c r="G291" s="197"/>
      <c r="H291" s="197"/>
      <c r="I291" s="197"/>
      <c r="J291" s="197"/>
      <c r="K291" s="197"/>
      <c r="L291" s="197"/>
      <c r="M291" s="197"/>
      <c r="N291" s="197"/>
      <c r="O291" s="197"/>
    </row>
    <row r="292" customFormat="false" ht="12" hidden="false" customHeight="false" outlineLevel="0" collapsed="false">
      <c r="B292" s="197"/>
      <c r="C292" s="197"/>
      <c r="D292" s="197"/>
      <c r="E292" s="197"/>
      <c r="F292" s="197"/>
      <c r="G292" s="197"/>
      <c r="H292" s="197"/>
      <c r="I292" s="197"/>
      <c r="J292" s="197"/>
      <c r="K292" s="197"/>
      <c r="L292" s="197"/>
      <c r="M292" s="197"/>
      <c r="N292" s="197"/>
      <c r="O292" s="197"/>
    </row>
    <row r="293" customFormat="false" ht="12" hidden="false" customHeight="false" outlineLevel="0" collapsed="false">
      <c r="B293" s="197"/>
      <c r="C293" s="197"/>
      <c r="D293" s="197"/>
      <c r="E293" s="197"/>
      <c r="F293" s="197"/>
      <c r="G293" s="197"/>
      <c r="H293" s="197"/>
      <c r="I293" s="197"/>
      <c r="J293" s="197"/>
      <c r="K293" s="197"/>
      <c r="L293" s="197"/>
      <c r="M293" s="197"/>
      <c r="N293" s="197"/>
      <c r="O293" s="197"/>
    </row>
    <row r="294" customFormat="false" ht="12" hidden="false" customHeight="false" outlineLevel="0" collapsed="false">
      <c r="B294" s="197"/>
      <c r="C294" s="197"/>
      <c r="D294" s="197"/>
      <c r="E294" s="197"/>
      <c r="F294" s="197"/>
      <c r="G294" s="197"/>
      <c r="H294" s="197"/>
      <c r="I294" s="197"/>
      <c r="J294" s="197"/>
      <c r="K294" s="197"/>
      <c r="L294" s="197"/>
      <c r="M294" s="197"/>
      <c r="N294" s="197"/>
      <c r="O294" s="197"/>
    </row>
    <row r="295" customFormat="false" ht="12" hidden="false" customHeight="false" outlineLevel="0" collapsed="false">
      <c r="B295" s="197"/>
      <c r="C295" s="197"/>
      <c r="D295" s="197"/>
      <c r="E295" s="197"/>
      <c r="F295" s="197"/>
      <c r="G295" s="197"/>
      <c r="H295" s="197"/>
      <c r="I295" s="197"/>
      <c r="J295" s="197"/>
      <c r="K295" s="197"/>
      <c r="L295" s="197"/>
      <c r="M295" s="197"/>
      <c r="N295" s="197"/>
      <c r="O295" s="197"/>
    </row>
    <row r="296" customFormat="false" ht="12" hidden="false" customHeight="false" outlineLevel="0" collapsed="false">
      <c r="B296" s="197"/>
      <c r="C296" s="197"/>
      <c r="D296" s="197"/>
      <c r="E296" s="197"/>
      <c r="F296" s="197"/>
      <c r="G296" s="197"/>
      <c r="H296" s="197"/>
      <c r="I296" s="197"/>
      <c r="J296" s="197"/>
      <c r="K296" s="197"/>
      <c r="L296" s="197"/>
      <c r="M296" s="197"/>
      <c r="N296" s="197"/>
      <c r="O296" s="197"/>
    </row>
    <row r="297" customFormat="false" ht="12" hidden="false" customHeight="false" outlineLevel="0" collapsed="false">
      <c r="B297" s="197"/>
      <c r="C297" s="197"/>
      <c r="D297" s="197"/>
      <c r="E297" s="197"/>
      <c r="F297" s="197"/>
      <c r="G297" s="197"/>
      <c r="H297" s="197"/>
      <c r="I297" s="197"/>
      <c r="J297" s="197"/>
      <c r="K297" s="197"/>
      <c r="L297" s="197"/>
      <c r="M297" s="197"/>
      <c r="N297" s="197"/>
      <c r="O297" s="197"/>
    </row>
    <row r="298" customFormat="false" ht="12" hidden="false" customHeight="false" outlineLevel="0" collapsed="false">
      <c r="B298" s="197"/>
      <c r="C298" s="197"/>
      <c r="D298" s="197"/>
      <c r="E298" s="197"/>
      <c r="F298" s="197"/>
      <c r="G298" s="197"/>
      <c r="H298" s="197"/>
      <c r="I298" s="197"/>
      <c r="J298" s="197"/>
      <c r="K298" s="197"/>
      <c r="L298" s="197"/>
      <c r="M298" s="197"/>
      <c r="N298" s="197"/>
      <c r="O298" s="197"/>
    </row>
    <row r="299" customFormat="false" ht="12" hidden="false" customHeight="false" outlineLevel="0" collapsed="false">
      <c r="B299" s="197"/>
      <c r="C299" s="197"/>
      <c r="D299" s="197"/>
      <c r="E299" s="197"/>
      <c r="F299" s="197"/>
      <c r="G299" s="197"/>
      <c r="H299" s="197"/>
      <c r="I299" s="197"/>
      <c r="J299" s="197"/>
      <c r="K299" s="197"/>
      <c r="L299" s="197"/>
      <c r="M299" s="197"/>
      <c r="N299" s="197"/>
      <c r="O299" s="197"/>
    </row>
    <row r="300" customFormat="false" ht="12" hidden="false" customHeight="false" outlineLevel="0" collapsed="false">
      <c r="B300" s="197"/>
      <c r="C300" s="197"/>
      <c r="D300" s="197"/>
      <c r="E300" s="197"/>
      <c r="F300" s="197"/>
      <c r="G300" s="197"/>
      <c r="H300" s="197"/>
      <c r="I300" s="197"/>
      <c r="J300" s="197"/>
      <c r="K300" s="197"/>
      <c r="L300" s="197"/>
      <c r="M300" s="197"/>
      <c r="N300" s="197"/>
      <c r="O300" s="197"/>
    </row>
    <row r="301" customFormat="false" ht="12" hidden="false" customHeight="false" outlineLevel="0" collapsed="false">
      <c r="B301" s="197"/>
      <c r="C301" s="197"/>
      <c r="D301" s="197"/>
      <c r="E301" s="197"/>
      <c r="F301" s="197"/>
      <c r="G301" s="197"/>
      <c r="H301" s="197"/>
      <c r="I301" s="197"/>
      <c r="J301" s="197"/>
      <c r="K301" s="197"/>
      <c r="L301" s="197"/>
      <c r="M301" s="197"/>
      <c r="N301" s="197"/>
      <c r="O301" s="197"/>
    </row>
    <row r="302" customFormat="false" ht="12" hidden="false" customHeight="false" outlineLevel="0" collapsed="false">
      <c r="B302" s="197"/>
      <c r="C302" s="197"/>
      <c r="D302" s="197"/>
      <c r="E302" s="197"/>
      <c r="F302" s="197"/>
      <c r="G302" s="197"/>
      <c r="H302" s="197"/>
      <c r="I302" s="197"/>
      <c r="J302" s="197"/>
      <c r="K302" s="197"/>
      <c r="L302" s="197"/>
      <c r="M302" s="197"/>
      <c r="N302" s="197"/>
      <c r="O302" s="197"/>
    </row>
    <row r="303" customFormat="false" ht="12" hidden="false" customHeight="false" outlineLevel="0" collapsed="false">
      <c r="B303" s="197"/>
      <c r="C303" s="197"/>
      <c r="D303" s="197"/>
      <c r="E303" s="197"/>
      <c r="F303" s="197"/>
      <c r="G303" s="197"/>
      <c r="H303" s="197"/>
      <c r="I303" s="197"/>
      <c r="J303" s="197"/>
      <c r="K303" s="197"/>
      <c r="L303" s="197"/>
      <c r="M303" s="197"/>
      <c r="N303" s="197"/>
      <c r="O303" s="197"/>
    </row>
    <row r="304" customFormat="false" ht="12" hidden="false" customHeight="false" outlineLevel="0" collapsed="false">
      <c r="B304" s="197"/>
      <c r="C304" s="197"/>
      <c r="D304" s="197"/>
      <c r="E304" s="197"/>
      <c r="F304" s="197"/>
      <c r="G304" s="197"/>
      <c r="H304" s="197"/>
      <c r="I304" s="197"/>
      <c r="J304" s="197"/>
      <c r="K304" s="197"/>
      <c r="L304" s="197"/>
      <c r="M304" s="197"/>
      <c r="N304" s="197"/>
      <c r="O304" s="197"/>
    </row>
    <row r="305" customFormat="false" ht="12" hidden="false" customHeight="false" outlineLevel="0" collapsed="false">
      <c r="B305" s="197"/>
      <c r="C305" s="197"/>
      <c r="D305" s="197"/>
      <c r="E305" s="197"/>
      <c r="F305" s="197"/>
      <c r="G305" s="197"/>
      <c r="H305" s="197"/>
      <c r="I305" s="197"/>
      <c r="J305" s="197"/>
      <c r="K305" s="197"/>
      <c r="L305" s="197"/>
      <c r="M305" s="197"/>
      <c r="N305" s="197"/>
      <c r="O305" s="197"/>
    </row>
    <row r="306" customFormat="false" ht="12" hidden="false" customHeight="false" outlineLevel="0" collapsed="false">
      <c r="B306" s="197"/>
      <c r="C306" s="197"/>
      <c r="D306" s="197"/>
      <c r="E306" s="197"/>
      <c r="F306" s="197"/>
      <c r="G306" s="197"/>
      <c r="H306" s="197"/>
      <c r="I306" s="197"/>
      <c r="J306" s="197"/>
      <c r="K306" s="197"/>
      <c r="L306" s="197"/>
      <c r="M306" s="197"/>
      <c r="N306" s="197"/>
      <c r="O306" s="197"/>
    </row>
    <row r="307" customFormat="false" ht="12" hidden="false" customHeight="false" outlineLevel="0" collapsed="false">
      <c r="B307" s="197"/>
      <c r="C307" s="197"/>
      <c r="D307" s="197"/>
      <c r="E307" s="197"/>
      <c r="F307" s="197"/>
      <c r="G307" s="197"/>
      <c r="H307" s="197"/>
      <c r="I307" s="197"/>
      <c r="J307" s="197"/>
      <c r="K307" s="197"/>
      <c r="L307" s="197"/>
      <c r="M307" s="197"/>
      <c r="N307" s="197"/>
      <c r="O307" s="197"/>
    </row>
    <row r="308" customFormat="false" ht="12" hidden="false" customHeight="false" outlineLevel="0" collapsed="false">
      <c r="B308" s="197"/>
      <c r="C308" s="197"/>
      <c r="D308" s="197"/>
      <c r="E308" s="197"/>
      <c r="F308" s="197"/>
      <c r="G308" s="197"/>
      <c r="H308" s="197"/>
      <c r="I308" s="197"/>
      <c r="J308" s="197"/>
      <c r="K308" s="197"/>
      <c r="L308" s="197"/>
      <c r="M308" s="197"/>
      <c r="N308" s="197"/>
      <c r="O308" s="197"/>
    </row>
    <row r="309" customFormat="false" ht="12" hidden="false" customHeight="false" outlineLevel="0" collapsed="false">
      <c r="B309" s="197"/>
      <c r="C309" s="197"/>
      <c r="D309" s="197"/>
      <c r="E309" s="197"/>
      <c r="F309" s="197"/>
      <c r="G309" s="197"/>
      <c r="H309" s="197"/>
      <c r="I309" s="197"/>
      <c r="J309" s="197"/>
      <c r="K309" s="197"/>
      <c r="L309" s="197"/>
      <c r="M309" s="197"/>
      <c r="N309" s="197"/>
      <c r="O309" s="197"/>
    </row>
    <row r="310" customFormat="false" ht="12" hidden="false" customHeight="false" outlineLevel="0" collapsed="false">
      <c r="B310" s="197"/>
      <c r="C310" s="197"/>
      <c r="D310" s="197"/>
      <c r="E310" s="197"/>
      <c r="F310" s="197"/>
      <c r="G310" s="197"/>
      <c r="H310" s="197"/>
      <c r="I310" s="197"/>
      <c r="J310" s="197"/>
      <c r="K310" s="197"/>
      <c r="L310" s="197"/>
      <c r="M310" s="197"/>
      <c r="N310" s="197"/>
      <c r="O310" s="197"/>
    </row>
    <row r="311" customFormat="false" ht="12" hidden="false" customHeight="false" outlineLevel="0" collapsed="false">
      <c r="B311" s="197"/>
      <c r="C311" s="197"/>
      <c r="D311" s="197"/>
      <c r="E311" s="197"/>
      <c r="F311" s="197"/>
      <c r="G311" s="197"/>
      <c r="H311" s="197"/>
      <c r="I311" s="197"/>
      <c r="J311" s="197"/>
      <c r="K311" s="197"/>
      <c r="L311" s="197"/>
      <c r="M311" s="197"/>
      <c r="N311" s="197"/>
      <c r="O311" s="197"/>
    </row>
    <row r="312" customFormat="false" ht="12" hidden="false" customHeight="false" outlineLevel="0" collapsed="false">
      <c r="B312" s="197"/>
      <c r="C312" s="197"/>
      <c r="D312" s="197"/>
      <c r="E312" s="197"/>
      <c r="F312" s="197"/>
      <c r="G312" s="197"/>
      <c r="H312" s="197"/>
      <c r="I312" s="197"/>
      <c r="J312" s="197"/>
      <c r="K312" s="197"/>
      <c r="L312" s="197"/>
      <c r="M312" s="197"/>
      <c r="N312" s="197"/>
      <c r="O312" s="197"/>
    </row>
    <row r="313" customFormat="false" ht="12" hidden="false" customHeight="false" outlineLevel="0" collapsed="false">
      <c r="B313" s="197"/>
      <c r="C313" s="197"/>
      <c r="D313" s="197"/>
      <c r="E313" s="197"/>
      <c r="F313" s="197"/>
      <c r="G313" s="197"/>
      <c r="H313" s="197"/>
      <c r="I313" s="197"/>
      <c r="J313" s="197"/>
      <c r="K313" s="197"/>
      <c r="L313" s="197"/>
      <c r="M313" s="197"/>
      <c r="N313" s="197"/>
      <c r="O313" s="197"/>
    </row>
    <row r="314" customFormat="false" ht="12" hidden="false" customHeight="false" outlineLevel="0" collapsed="false">
      <c r="B314" s="197"/>
      <c r="C314" s="197"/>
      <c r="D314" s="197"/>
      <c r="E314" s="197"/>
      <c r="F314" s="197"/>
      <c r="G314" s="197"/>
      <c r="H314" s="197"/>
      <c r="I314" s="197"/>
      <c r="J314" s="197"/>
      <c r="K314" s="197"/>
      <c r="L314" s="197"/>
      <c r="M314" s="197"/>
      <c r="N314" s="197"/>
      <c r="O314" s="197"/>
    </row>
    <row r="315" customFormat="false" ht="12" hidden="false" customHeight="false" outlineLevel="0" collapsed="false">
      <c r="B315" s="197"/>
      <c r="C315" s="197"/>
      <c r="D315" s="197"/>
      <c r="E315" s="197"/>
      <c r="F315" s="197"/>
      <c r="G315" s="197"/>
      <c r="H315" s="197"/>
      <c r="I315" s="197"/>
      <c r="J315" s="197"/>
      <c r="K315" s="197"/>
      <c r="L315" s="197"/>
      <c r="M315" s="197"/>
      <c r="N315" s="197"/>
      <c r="O315" s="197"/>
    </row>
    <row r="316" customFormat="false" ht="12" hidden="false" customHeight="false" outlineLevel="0" collapsed="false">
      <c r="B316" s="197"/>
      <c r="C316" s="197"/>
      <c r="D316" s="197"/>
      <c r="E316" s="197"/>
      <c r="F316" s="197"/>
      <c r="G316" s="197"/>
      <c r="H316" s="197"/>
      <c r="I316" s="197"/>
      <c r="J316" s="197"/>
      <c r="K316" s="197"/>
      <c r="L316" s="197"/>
      <c r="M316" s="197"/>
      <c r="N316" s="197"/>
      <c r="O316" s="197"/>
    </row>
    <row r="317" customFormat="false" ht="12" hidden="false" customHeight="false" outlineLevel="0" collapsed="false">
      <c r="B317" s="197"/>
      <c r="C317" s="197"/>
      <c r="D317" s="197"/>
      <c r="E317" s="197"/>
      <c r="F317" s="197"/>
      <c r="G317" s="197"/>
      <c r="H317" s="197"/>
      <c r="I317" s="197"/>
      <c r="J317" s="197"/>
      <c r="K317" s="197"/>
      <c r="L317" s="197"/>
      <c r="M317" s="197"/>
      <c r="N317" s="197"/>
      <c r="O317" s="197"/>
    </row>
    <row r="318" customFormat="false" ht="12" hidden="false" customHeight="false" outlineLevel="0" collapsed="false">
      <c r="B318" s="197"/>
      <c r="C318" s="197"/>
      <c r="D318" s="197"/>
      <c r="E318" s="197"/>
      <c r="F318" s="197"/>
      <c r="G318" s="197"/>
      <c r="H318" s="197"/>
      <c r="I318" s="197"/>
      <c r="J318" s="197"/>
      <c r="K318" s="197"/>
      <c r="L318" s="197"/>
      <c r="M318" s="197"/>
      <c r="N318" s="197"/>
      <c r="O318" s="197"/>
    </row>
    <row r="319" customFormat="false" ht="12" hidden="false" customHeight="false" outlineLevel="0" collapsed="false">
      <c r="B319" s="197"/>
      <c r="C319" s="197"/>
      <c r="D319" s="197"/>
      <c r="E319" s="197"/>
      <c r="F319" s="197"/>
      <c r="G319" s="197"/>
      <c r="H319" s="197"/>
      <c r="I319" s="197"/>
      <c r="J319" s="197"/>
      <c r="K319" s="197"/>
      <c r="L319" s="197"/>
      <c r="M319" s="197"/>
      <c r="N319" s="197"/>
      <c r="O319" s="197"/>
    </row>
    <row r="320" customFormat="false" ht="12" hidden="false" customHeight="false" outlineLevel="0" collapsed="false">
      <c r="B320" s="197"/>
      <c r="C320" s="197"/>
      <c r="D320" s="197"/>
      <c r="E320" s="197"/>
      <c r="F320" s="197"/>
      <c r="G320" s="197"/>
      <c r="H320" s="197"/>
      <c r="I320" s="197"/>
      <c r="J320" s="197"/>
      <c r="K320" s="197"/>
      <c r="L320" s="197"/>
      <c r="M320" s="197"/>
      <c r="N320" s="197"/>
      <c r="O320" s="197"/>
    </row>
    <row r="321" customFormat="false" ht="12" hidden="false" customHeight="false" outlineLevel="0" collapsed="false">
      <c r="B321" s="197"/>
      <c r="C321" s="197"/>
      <c r="D321" s="197"/>
      <c r="E321" s="197"/>
      <c r="F321" s="197"/>
      <c r="G321" s="197"/>
      <c r="H321" s="197"/>
      <c r="I321" s="197"/>
      <c r="J321" s="197"/>
      <c r="K321" s="197"/>
      <c r="L321" s="197"/>
      <c r="M321" s="197"/>
      <c r="N321" s="197"/>
      <c r="O321" s="197"/>
    </row>
    <row r="322" customFormat="false" ht="12" hidden="false" customHeight="false" outlineLevel="0" collapsed="false">
      <c r="B322" s="197"/>
      <c r="C322" s="197"/>
      <c r="D322" s="197"/>
      <c r="E322" s="197"/>
      <c r="F322" s="197"/>
      <c r="G322" s="197"/>
      <c r="H322" s="197"/>
      <c r="I322" s="197"/>
      <c r="J322" s="197"/>
      <c r="K322" s="197"/>
      <c r="L322" s="197"/>
      <c r="M322" s="197"/>
      <c r="N322" s="197"/>
      <c r="O322" s="197"/>
    </row>
    <row r="323" customFormat="false" ht="12" hidden="false" customHeight="false" outlineLevel="0" collapsed="false">
      <c r="B323" s="197"/>
      <c r="C323" s="197"/>
      <c r="D323" s="197"/>
      <c r="E323" s="197"/>
      <c r="F323" s="197"/>
      <c r="G323" s="197"/>
      <c r="H323" s="197"/>
      <c r="I323" s="197"/>
      <c r="J323" s="197"/>
      <c r="K323" s="197"/>
      <c r="L323" s="197"/>
      <c r="M323" s="197"/>
      <c r="N323" s="197"/>
      <c r="O323" s="197"/>
    </row>
    <row r="324" customFormat="false" ht="12" hidden="false" customHeight="false" outlineLevel="0" collapsed="false">
      <c r="B324" s="197"/>
      <c r="C324" s="197"/>
      <c r="D324" s="197"/>
      <c r="E324" s="197"/>
      <c r="F324" s="197"/>
      <c r="G324" s="197"/>
      <c r="H324" s="197"/>
      <c r="I324" s="197"/>
      <c r="J324" s="197"/>
      <c r="K324" s="197"/>
      <c r="L324" s="197"/>
      <c r="M324" s="197"/>
      <c r="N324" s="197"/>
      <c r="O324" s="197"/>
    </row>
    <row r="325" customFormat="false" ht="12" hidden="false" customHeight="false" outlineLevel="0" collapsed="false">
      <c r="B325" s="197"/>
      <c r="C325" s="197"/>
      <c r="D325" s="197"/>
      <c r="E325" s="197"/>
      <c r="F325" s="197"/>
      <c r="G325" s="197"/>
      <c r="H325" s="197"/>
      <c r="I325" s="197"/>
      <c r="J325" s="197"/>
      <c r="K325" s="197"/>
      <c r="L325" s="197"/>
      <c r="M325" s="197"/>
      <c r="N325" s="197"/>
      <c r="O325" s="197"/>
    </row>
    <row r="326" customFormat="false" ht="12" hidden="false" customHeight="false" outlineLevel="0" collapsed="false">
      <c r="B326" s="197"/>
      <c r="C326" s="197"/>
      <c r="D326" s="197"/>
      <c r="E326" s="197"/>
      <c r="F326" s="197"/>
      <c r="G326" s="197"/>
      <c r="H326" s="197"/>
      <c r="I326" s="197"/>
      <c r="J326" s="197"/>
      <c r="K326" s="197"/>
      <c r="L326" s="197"/>
      <c r="M326" s="197"/>
      <c r="N326" s="197"/>
      <c r="O326" s="197"/>
    </row>
    <row r="327" customFormat="false" ht="12" hidden="false" customHeight="false" outlineLevel="0" collapsed="false">
      <c r="B327" s="197"/>
      <c r="C327" s="197"/>
      <c r="D327" s="197"/>
      <c r="E327" s="197"/>
      <c r="F327" s="197"/>
      <c r="G327" s="197"/>
      <c r="H327" s="197"/>
      <c r="I327" s="197"/>
      <c r="J327" s="197"/>
      <c r="K327" s="197"/>
      <c r="L327" s="197"/>
      <c r="M327" s="197"/>
      <c r="N327" s="197"/>
      <c r="O327" s="197"/>
    </row>
    <row r="328" customFormat="false" ht="12" hidden="false" customHeight="false" outlineLevel="0" collapsed="false">
      <c r="B328" s="197"/>
      <c r="C328" s="197"/>
      <c r="D328" s="197"/>
      <c r="E328" s="197"/>
      <c r="F328" s="197"/>
      <c r="G328" s="197"/>
      <c r="H328" s="197"/>
      <c r="I328" s="197"/>
      <c r="J328" s="197"/>
      <c r="K328" s="197"/>
      <c r="L328" s="197"/>
      <c r="M328" s="197"/>
      <c r="N328" s="197"/>
      <c r="O328" s="197"/>
    </row>
    <row r="329" customFormat="false" ht="12" hidden="false" customHeight="false" outlineLevel="0" collapsed="false">
      <c r="B329" s="197"/>
      <c r="C329" s="197"/>
      <c r="D329" s="197"/>
      <c r="E329" s="197"/>
      <c r="F329" s="197"/>
      <c r="G329" s="197"/>
      <c r="H329" s="197"/>
      <c r="I329" s="197"/>
      <c r="J329" s="197"/>
      <c r="K329" s="197"/>
      <c r="L329" s="197"/>
      <c r="M329" s="197"/>
      <c r="N329" s="197"/>
      <c r="O329" s="197"/>
    </row>
    <row r="330" customFormat="false" ht="12" hidden="false" customHeight="false" outlineLevel="0" collapsed="false">
      <c r="B330" s="197"/>
      <c r="C330" s="197"/>
      <c r="D330" s="197"/>
      <c r="E330" s="197"/>
      <c r="F330" s="197"/>
      <c r="G330" s="197"/>
      <c r="H330" s="197"/>
      <c r="I330" s="197"/>
      <c r="J330" s="197"/>
      <c r="K330" s="197"/>
      <c r="L330" s="197"/>
      <c r="M330" s="197"/>
      <c r="N330" s="197"/>
      <c r="O330" s="197"/>
    </row>
    <row r="331" customFormat="false" ht="12" hidden="false" customHeight="false" outlineLevel="0" collapsed="false">
      <c r="B331" s="197"/>
      <c r="C331" s="197"/>
      <c r="D331" s="197"/>
      <c r="E331" s="197"/>
      <c r="F331" s="197"/>
      <c r="G331" s="197"/>
      <c r="H331" s="197"/>
      <c r="I331" s="197"/>
      <c r="J331" s="197"/>
      <c r="K331" s="197"/>
      <c r="L331" s="197"/>
      <c r="M331" s="197"/>
      <c r="N331" s="197"/>
      <c r="O331" s="197"/>
    </row>
    <row r="332" customFormat="false" ht="12" hidden="false" customHeight="false" outlineLevel="0" collapsed="false">
      <c r="B332" s="197"/>
      <c r="C332" s="197"/>
      <c r="D332" s="197"/>
      <c r="E332" s="197"/>
      <c r="F332" s="197"/>
      <c r="G332" s="197"/>
      <c r="H332" s="197"/>
      <c r="I332" s="197"/>
      <c r="J332" s="197"/>
      <c r="K332" s="197"/>
      <c r="L332" s="197"/>
      <c r="M332" s="197"/>
      <c r="N332" s="197"/>
      <c r="O332" s="197"/>
    </row>
    <row r="333" customFormat="false" ht="12" hidden="false" customHeight="false" outlineLevel="0" collapsed="false">
      <c r="B333" s="197"/>
      <c r="C333" s="197"/>
      <c r="D333" s="197"/>
      <c r="E333" s="197"/>
      <c r="F333" s="197"/>
      <c r="G333" s="197"/>
      <c r="H333" s="197"/>
      <c r="I333" s="197"/>
      <c r="J333" s="197"/>
      <c r="K333" s="197"/>
      <c r="L333" s="197"/>
      <c r="M333" s="197"/>
      <c r="N333" s="197"/>
      <c r="O333" s="197"/>
    </row>
    <row r="334" customFormat="false" ht="12" hidden="false" customHeight="false" outlineLevel="0" collapsed="false">
      <c r="B334" s="197"/>
      <c r="C334" s="197"/>
      <c r="D334" s="197"/>
      <c r="E334" s="197"/>
      <c r="F334" s="197"/>
      <c r="G334" s="197"/>
      <c r="H334" s="197"/>
      <c r="I334" s="197"/>
      <c r="J334" s="197"/>
      <c r="K334" s="197"/>
      <c r="L334" s="197"/>
      <c r="M334" s="197"/>
      <c r="N334" s="197"/>
      <c r="O334" s="197"/>
    </row>
    <row r="335" customFormat="false" ht="12" hidden="false" customHeight="false" outlineLevel="0" collapsed="false">
      <c r="B335" s="197"/>
      <c r="C335" s="197"/>
      <c r="D335" s="197"/>
      <c r="E335" s="197"/>
      <c r="F335" s="197"/>
      <c r="G335" s="197"/>
      <c r="H335" s="197"/>
      <c r="I335" s="197"/>
      <c r="J335" s="197"/>
      <c r="K335" s="197"/>
      <c r="L335" s="197"/>
      <c r="M335" s="197"/>
      <c r="N335" s="197"/>
      <c r="O335" s="197"/>
    </row>
    <row r="336" customFormat="false" ht="12" hidden="false" customHeight="false" outlineLevel="0" collapsed="false">
      <c r="B336" s="197"/>
      <c r="C336" s="197"/>
      <c r="D336" s="197"/>
      <c r="E336" s="197"/>
      <c r="F336" s="197"/>
      <c r="G336" s="197"/>
      <c r="H336" s="197"/>
      <c r="I336" s="197"/>
      <c r="J336" s="197"/>
      <c r="K336" s="197"/>
      <c r="L336" s="197"/>
      <c r="M336" s="197"/>
      <c r="N336" s="197"/>
      <c r="O336" s="197"/>
    </row>
    <row r="337" customFormat="false" ht="12" hidden="false" customHeight="false" outlineLevel="0" collapsed="false">
      <c r="B337" s="197"/>
      <c r="C337" s="197"/>
      <c r="D337" s="197"/>
      <c r="E337" s="197"/>
      <c r="F337" s="197"/>
      <c r="G337" s="197"/>
      <c r="H337" s="197"/>
      <c r="I337" s="197"/>
      <c r="J337" s="197"/>
      <c r="K337" s="197"/>
      <c r="L337" s="197"/>
      <c r="M337" s="197"/>
      <c r="N337" s="197"/>
      <c r="O337" s="197"/>
    </row>
    <row r="338" customFormat="false" ht="12" hidden="false" customHeight="false" outlineLevel="0" collapsed="false">
      <c r="B338" s="197"/>
      <c r="C338" s="197"/>
      <c r="D338" s="197"/>
      <c r="E338" s="197"/>
      <c r="F338" s="197"/>
      <c r="G338" s="197"/>
      <c r="H338" s="197"/>
      <c r="I338" s="197"/>
      <c r="J338" s="197"/>
      <c r="K338" s="197"/>
      <c r="L338" s="197"/>
      <c r="M338" s="197"/>
      <c r="N338" s="197"/>
      <c r="O338" s="197"/>
    </row>
    <row r="339" customFormat="false" ht="12" hidden="false" customHeight="false" outlineLevel="0" collapsed="false">
      <c r="B339" s="197"/>
      <c r="C339" s="197"/>
      <c r="D339" s="197"/>
      <c r="E339" s="197"/>
      <c r="F339" s="197"/>
      <c r="G339" s="197"/>
      <c r="H339" s="197"/>
      <c r="I339" s="197"/>
      <c r="J339" s="197"/>
      <c r="K339" s="197"/>
      <c r="L339" s="197"/>
      <c r="M339" s="197"/>
      <c r="N339" s="197"/>
      <c r="O339" s="197"/>
    </row>
    <row r="340" customFormat="false" ht="12" hidden="false" customHeight="false" outlineLevel="0" collapsed="false">
      <c r="B340" s="197"/>
      <c r="C340" s="197"/>
      <c r="D340" s="197"/>
      <c r="E340" s="197"/>
      <c r="F340" s="197"/>
      <c r="G340" s="197"/>
      <c r="H340" s="197"/>
      <c r="I340" s="197"/>
      <c r="J340" s="197"/>
      <c r="K340" s="197"/>
      <c r="L340" s="197"/>
      <c r="M340" s="197"/>
      <c r="N340" s="197"/>
      <c r="O340" s="197"/>
    </row>
    <row r="341" customFormat="false" ht="12" hidden="false" customHeight="false" outlineLevel="0" collapsed="false">
      <c r="B341" s="197"/>
      <c r="C341" s="197"/>
      <c r="D341" s="197"/>
      <c r="E341" s="197"/>
      <c r="F341" s="197"/>
      <c r="G341" s="197"/>
      <c r="H341" s="197"/>
      <c r="I341" s="197"/>
      <c r="J341" s="197"/>
      <c r="K341" s="197"/>
      <c r="L341" s="197"/>
      <c r="M341" s="197"/>
      <c r="N341" s="197"/>
      <c r="O341" s="197"/>
    </row>
    <row r="342" customFormat="false" ht="12" hidden="false" customHeight="false" outlineLevel="0" collapsed="false">
      <c r="B342" s="197"/>
      <c r="C342" s="197"/>
      <c r="D342" s="197"/>
      <c r="E342" s="197"/>
      <c r="F342" s="197"/>
      <c r="G342" s="197"/>
      <c r="H342" s="197"/>
      <c r="I342" s="197"/>
      <c r="J342" s="197"/>
      <c r="K342" s="197"/>
      <c r="L342" s="197"/>
      <c r="M342" s="197"/>
      <c r="N342" s="197"/>
      <c r="O342" s="197"/>
    </row>
    <row r="343" customFormat="false" ht="12" hidden="false" customHeight="false" outlineLevel="0" collapsed="false">
      <c r="B343" s="197"/>
      <c r="C343" s="197"/>
      <c r="D343" s="197"/>
      <c r="E343" s="197"/>
      <c r="F343" s="197"/>
      <c r="G343" s="197"/>
      <c r="H343" s="197"/>
      <c r="I343" s="197"/>
      <c r="J343" s="197"/>
      <c r="K343" s="197"/>
      <c r="L343" s="197"/>
      <c r="M343" s="197"/>
      <c r="N343" s="197"/>
      <c r="O343" s="197"/>
    </row>
    <row r="344" customFormat="false" ht="12" hidden="false" customHeight="false" outlineLevel="0" collapsed="false">
      <c r="B344" s="197"/>
      <c r="C344" s="197"/>
      <c r="D344" s="197"/>
      <c r="E344" s="197"/>
      <c r="F344" s="197"/>
      <c r="G344" s="197"/>
      <c r="H344" s="197"/>
      <c r="I344" s="197"/>
      <c r="J344" s="197"/>
      <c r="K344" s="197"/>
      <c r="L344" s="197"/>
      <c r="M344" s="197"/>
      <c r="N344" s="197"/>
      <c r="O344" s="197"/>
    </row>
    <row r="345" customFormat="false" ht="12" hidden="false" customHeight="false" outlineLevel="0" collapsed="false">
      <c r="B345" s="197"/>
      <c r="C345" s="197"/>
      <c r="D345" s="197"/>
      <c r="E345" s="197"/>
      <c r="F345" s="197"/>
      <c r="G345" s="197"/>
      <c r="H345" s="197"/>
      <c r="I345" s="197"/>
      <c r="J345" s="197"/>
      <c r="K345" s="197"/>
      <c r="L345" s="197"/>
      <c r="M345" s="197"/>
      <c r="N345" s="197"/>
      <c r="O345" s="197"/>
    </row>
    <row r="346" customFormat="false" ht="12" hidden="false" customHeight="false" outlineLevel="0" collapsed="false">
      <c r="B346" s="197"/>
      <c r="C346" s="197"/>
      <c r="D346" s="197"/>
      <c r="E346" s="197"/>
      <c r="F346" s="197"/>
      <c r="G346" s="197"/>
      <c r="H346" s="197"/>
      <c r="I346" s="197"/>
      <c r="J346" s="197"/>
      <c r="K346" s="197"/>
      <c r="L346" s="197"/>
      <c r="M346" s="197"/>
      <c r="N346" s="197"/>
      <c r="O346" s="197"/>
    </row>
    <row r="347" customFormat="false" ht="12" hidden="false" customHeight="false" outlineLevel="0" collapsed="false">
      <c r="B347" s="197"/>
      <c r="C347" s="197"/>
      <c r="D347" s="197"/>
      <c r="E347" s="197"/>
      <c r="F347" s="197"/>
      <c r="G347" s="197"/>
      <c r="H347" s="197"/>
      <c r="I347" s="197"/>
      <c r="J347" s="197"/>
      <c r="K347" s="197"/>
      <c r="L347" s="197"/>
      <c r="M347" s="197"/>
      <c r="N347" s="197"/>
      <c r="O347" s="197"/>
    </row>
    <row r="348" customFormat="false" ht="12" hidden="false" customHeight="false" outlineLevel="0" collapsed="false">
      <c r="B348" s="197"/>
      <c r="C348" s="197"/>
      <c r="D348" s="197"/>
      <c r="E348" s="197"/>
      <c r="F348" s="197"/>
      <c r="G348" s="197"/>
      <c r="H348" s="197"/>
      <c r="I348" s="197"/>
      <c r="J348" s="197"/>
      <c r="K348" s="197"/>
      <c r="L348" s="197"/>
      <c r="M348" s="197"/>
      <c r="N348" s="197"/>
      <c r="O348" s="197"/>
    </row>
    <row r="349" customFormat="false" ht="12" hidden="false" customHeight="false" outlineLevel="0" collapsed="false">
      <c r="B349" s="197"/>
      <c r="C349" s="197"/>
      <c r="D349" s="197"/>
      <c r="E349" s="197"/>
      <c r="F349" s="197"/>
      <c r="G349" s="197"/>
      <c r="H349" s="197"/>
      <c r="I349" s="197"/>
      <c r="J349" s="197"/>
      <c r="K349" s="197"/>
      <c r="L349" s="197"/>
      <c r="M349" s="197"/>
      <c r="N349" s="197"/>
      <c r="O349" s="197"/>
    </row>
    <row r="350" customFormat="false" ht="12" hidden="false" customHeight="false" outlineLevel="0" collapsed="false">
      <c r="B350" s="197"/>
      <c r="C350" s="197"/>
      <c r="D350" s="197"/>
      <c r="E350" s="197"/>
      <c r="F350" s="197"/>
      <c r="G350" s="197"/>
      <c r="H350" s="197"/>
      <c r="I350" s="197"/>
      <c r="J350" s="197"/>
      <c r="K350" s="197"/>
      <c r="L350" s="197"/>
      <c r="M350" s="197"/>
      <c r="N350" s="197"/>
      <c r="O350" s="197"/>
    </row>
    <row r="351" customFormat="false" ht="12" hidden="false" customHeight="false" outlineLevel="0" collapsed="false">
      <c r="B351" s="197"/>
      <c r="C351" s="197"/>
      <c r="D351" s="197"/>
      <c r="E351" s="197"/>
      <c r="F351" s="197"/>
      <c r="G351" s="197"/>
      <c r="H351" s="197"/>
      <c r="I351" s="197"/>
      <c r="J351" s="197"/>
      <c r="K351" s="197"/>
      <c r="L351" s="197"/>
      <c r="M351" s="197"/>
      <c r="N351" s="197"/>
      <c r="O351" s="197"/>
    </row>
    <row r="352" customFormat="false" ht="12" hidden="false" customHeight="false" outlineLevel="0" collapsed="false">
      <c r="B352" s="197"/>
      <c r="C352" s="197"/>
      <c r="D352" s="197"/>
      <c r="E352" s="197"/>
      <c r="F352" s="197"/>
      <c r="G352" s="197"/>
      <c r="H352" s="197"/>
      <c r="I352" s="197"/>
      <c r="J352" s="197"/>
      <c r="K352" s="197"/>
      <c r="L352" s="197"/>
      <c r="M352" s="197"/>
      <c r="N352" s="197"/>
      <c r="O352" s="197"/>
    </row>
    <row r="353" customFormat="false" ht="12" hidden="false" customHeight="false" outlineLevel="0" collapsed="false">
      <c r="B353" s="197"/>
      <c r="C353" s="197"/>
      <c r="D353" s="197"/>
      <c r="E353" s="197"/>
      <c r="F353" s="197"/>
      <c r="G353" s="197"/>
      <c r="H353" s="197"/>
      <c r="I353" s="197"/>
      <c r="J353" s="197"/>
      <c r="K353" s="197"/>
      <c r="L353" s="197"/>
      <c r="M353" s="197"/>
      <c r="N353" s="197"/>
      <c r="O353" s="197"/>
    </row>
    <row r="354" customFormat="false" ht="12" hidden="false" customHeight="false" outlineLevel="0" collapsed="false">
      <c r="B354" s="197"/>
      <c r="C354" s="197"/>
      <c r="D354" s="197"/>
      <c r="E354" s="197"/>
      <c r="F354" s="197"/>
      <c r="G354" s="197"/>
      <c r="H354" s="197"/>
      <c r="I354" s="197"/>
      <c r="J354" s="197"/>
      <c r="K354" s="197"/>
      <c r="L354" s="197"/>
      <c r="M354" s="197"/>
      <c r="N354" s="197"/>
      <c r="O354" s="197"/>
    </row>
    <row r="355" customFormat="false" ht="12" hidden="false" customHeight="false" outlineLevel="0" collapsed="false">
      <c r="B355" s="197"/>
      <c r="C355" s="197"/>
      <c r="D355" s="197"/>
      <c r="E355" s="197"/>
      <c r="F355" s="197"/>
      <c r="G355" s="197"/>
      <c r="H355" s="197"/>
      <c r="I355" s="197"/>
      <c r="J355" s="197"/>
      <c r="K355" s="197"/>
      <c r="L355" s="197"/>
      <c r="M355" s="197"/>
      <c r="N355" s="197"/>
      <c r="O355" s="197"/>
    </row>
    <row r="356" customFormat="false" ht="12" hidden="false" customHeight="false" outlineLevel="0" collapsed="false">
      <c r="B356" s="197"/>
      <c r="C356" s="197"/>
      <c r="D356" s="197"/>
      <c r="E356" s="197"/>
      <c r="F356" s="197"/>
      <c r="G356" s="197"/>
      <c r="H356" s="197"/>
      <c r="I356" s="197"/>
      <c r="J356" s="197"/>
      <c r="K356" s="197"/>
      <c r="L356" s="197"/>
      <c r="M356" s="197"/>
      <c r="N356" s="197"/>
      <c r="O356" s="197"/>
    </row>
    <row r="357" customFormat="false" ht="12" hidden="false" customHeight="false" outlineLevel="0" collapsed="false">
      <c r="N357" s="197"/>
      <c r="O357" s="197"/>
    </row>
    <row r="358" customFormat="false" ht="12" hidden="false" customHeight="false" outlineLevel="0" collapsed="false">
      <c r="N358" s="197"/>
      <c r="O358" s="197"/>
    </row>
    <row r="359" customFormat="false" ht="12" hidden="false" customHeight="false" outlineLevel="0" collapsed="false">
      <c r="N359" s="197"/>
      <c r="O359" s="197"/>
    </row>
    <row r="360" customFormat="false" ht="12" hidden="false" customHeight="false" outlineLevel="0" collapsed="false">
      <c r="N360" s="197"/>
      <c r="O360" s="197"/>
    </row>
    <row r="361" customFormat="false" ht="12" hidden="false" customHeight="false" outlineLevel="0" collapsed="false">
      <c r="N361" s="197"/>
      <c r="O361" s="197"/>
    </row>
    <row r="362" customFormat="false" ht="12" hidden="false" customHeight="false" outlineLevel="0" collapsed="false">
      <c r="N362" s="197"/>
      <c r="O362" s="197"/>
    </row>
    <row r="363" customFormat="false" ht="12" hidden="false" customHeight="false" outlineLevel="0" collapsed="false">
      <c r="N363" s="197"/>
      <c r="O363" s="197"/>
    </row>
    <row r="364" customFormat="false" ht="12" hidden="false" customHeight="false" outlineLevel="0" collapsed="false">
      <c r="N364" s="197"/>
      <c r="O364" s="197"/>
    </row>
    <row r="365" customFormat="false" ht="12" hidden="false" customHeight="false" outlineLevel="0" collapsed="false">
      <c r="N365" s="197"/>
      <c r="O365" s="197"/>
    </row>
    <row r="366" customFormat="false" ht="12" hidden="false" customHeight="false" outlineLevel="0" collapsed="false">
      <c r="N366" s="197"/>
      <c r="O366" s="197"/>
    </row>
    <row r="367" customFormat="false" ht="12" hidden="false" customHeight="false" outlineLevel="0" collapsed="false">
      <c r="N367" s="197"/>
      <c r="O367" s="197"/>
    </row>
    <row r="368" customFormat="false" ht="12" hidden="false" customHeight="false" outlineLevel="0" collapsed="false">
      <c r="N368" s="197"/>
      <c r="O368" s="197"/>
    </row>
  </sheetData>
  <mergeCells count="4">
    <mergeCell ref="A3:O3"/>
    <mergeCell ref="B6:O6"/>
    <mergeCell ref="A7:A8"/>
    <mergeCell ref="H7:H8"/>
  </mergeCells>
  <hyperlinks>
    <hyperlink ref="B1" location="Index!A1" display="Back to index"/>
  </hyperlinks>
  <printOptions headings="false" gridLines="false" gridLinesSet="true" horizontalCentered="true" verticalCentered="true"/>
  <pageMargins left="0.75" right="0.75" top="0.984027777777778" bottom="0.984027777777778" header="0.511811023622047" footer="0.511811023622047"/>
  <pageSetup paperSize="9" scale="100" fitToWidth="1" fitToHeight="2"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C0C0"/>
    <pageSetUpPr fitToPage="true"/>
  </sheetPr>
  <dimension ref="A1:W2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A4" activeCellId="0" sqref="A4"/>
    </sheetView>
  </sheetViews>
  <sheetFormatPr defaultColWidth="11.0546875" defaultRowHeight="12" zeroHeight="false" outlineLevelRow="0" outlineLevelCol="0"/>
  <cols>
    <col collapsed="false" customWidth="true" hidden="false" outlineLevel="0" max="1" min="1" style="0" width="5.66"/>
    <col collapsed="false" customWidth="true" hidden="false" outlineLevel="0" max="2" min="2" style="0" width="10.66"/>
    <col collapsed="false" customWidth="true" hidden="false" outlineLevel="0" max="5" min="3" style="0" width="6.66"/>
    <col collapsed="false" customWidth="true" hidden="false" outlineLevel="0" max="6" min="6" style="0" width="9.15"/>
    <col collapsed="false" customWidth="true" hidden="false" outlineLevel="0" max="8" min="7" style="0" width="6.66"/>
    <col collapsed="false" customWidth="true" hidden="false" outlineLevel="0" max="9" min="9" style="0" width="8.33"/>
    <col collapsed="false" customWidth="true" hidden="false" outlineLevel="0" max="11" min="10" style="0" width="8.66"/>
    <col collapsed="false" customWidth="true" hidden="false" outlineLevel="0" max="12" min="12" style="0" width="10.32"/>
    <col collapsed="false" customWidth="true" hidden="false" outlineLevel="0" max="17" min="13" style="0" width="6.66"/>
    <col collapsed="false" customWidth="true" hidden="false" outlineLevel="0" max="18" min="18" style="0" width="8.33"/>
    <col collapsed="false" customWidth="true" hidden="false" outlineLevel="0" max="19" min="19" style="0" width="8.66"/>
    <col collapsed="false" customWidth="true" hidden="false" outlineLevel="0" max="20" min="20" style="0" width="9.66"/>
    <col collapsed="false" customWidth="true" hidden="false" outlineLevel="0" max="23" min="22" style="0" width="19.99"/>
  </cols>
  <sheetData>
    <row r="1" customFormat="false" ht="12" hidden="false" customHeight="false" outlineLevel="0" collapsed="false">
      <c r="B1" s="21" t="s">
        <v>9</v>
      </c>
    </row>
    <row r="2" customFormat="false" ht="12" hidden="false" customHeight="false" outlineLevel="0" collapsed="false">
      <c r="B2" s="198"/>
      <c r="C2" s="198"/>
      <c r="D2" s="198"/>
      <c r="E2" s="198"/>
      <c r="F2" s="198"/>
      <c r="G2" s="198"/>
      <c r="H2" s="198"/>
      <c r="I2" s="198"/>
      <c r="J2" s="198"/>
      <c r="K2" s="198"/>
      <c r="L2" s="198"/>
      <c r="M2" s="198"/>
      <c r="N2" s="198"/>
      <c r="O2" s="198"/>
      <c r="P2" s="198"/>
      <c r="Q2" s="198"/>
      <c r="R2" s="198"/>
      <c r="S2" s="198"/>
    </row>
    <row r="3" customFormat="false" ht="13" hidden="false" customHeight="false" outlineLevel="0" collapsed="false"/>
    <row r="4" customFormat="false" ht="19.75" hidden="false" customHeight="true" outlineLevel="0" collapsed="false">
      <c r="A4" s="27" t="s">
        <v>541</v>
      </c>
      <c r="B4" s="27"/>
      <c r="C4" s="27"/>
      <c r="D4" s="27"/>
      <c r="E4" s="27"/>
      <c r="F4" s="27"/>
      <c r="G4" s="27"/>
      <c r="H4" s="27"/>
      <c r="I4" s="27"/>
      <c r="J4" s="27"/>
      <c r="K4" s="27"/>
      <c r="L4" s="27"/>
      <c r="M4" s="27"/>
      <c r="N4" s="27"/>
      <c r="O4" s="27"/>
      <c r="P4" s="27"/>
      <c r="Q4" s="27"/>
      <c r="R4" s="27"/>
      <c r="S4" s="27"/>
    </row>
    <row r="5" customFormat="false" ht="12" hidden="false" customHeight="false" outlineLevel="0" collapsed="false">
      <c r="A5" s="28"/>
      <c r="B5" s="29"/>
      <c r="C5" s="29"/>
      <c r="D5" s="29"/>
      <c r="E5" s="29"/>
      <c r="F5" s="29"/>
      <c r="G5" s="29"/>
      <c r="H5" s="29"/>
      <c r="I5" s="29"/>
      <c r="J5" s="29"/>
      <c r="K5" s="29"/>
      <c r="L5" s="29"/>
      <c r="M5" s="29"/>
      <c r="N5" s="29"/>
      <c r="O5" s="29"/>
      <c r="P5" s="29"/>
      <c r="Q5" s="29"/>
      <c r="R5" s="29"/>
      <c r="S5" s="199"/>
    </row>
    <row r="6" customFormat="false" ht="12" hidden="false" customHeight="false" outlineLevel="0" collapsed="false">
      <c r="A6" s="28"/>
      <c r="B6" s="553" t="s">
        <v>11</v>
      </c>
      <c r="C6" s="553" t="s">
        <v>12</v>
      </c>
      <c r="D6" s="553" t="s">
        <v>13</v>
      </c>
      <c r="E6" s="553" t="s">
        <v>14</v>
      </c>
      <c r="F6" s="553" t="s">
        <v>15</v>
      </c>
      <c r="G6" s="553" t="s">
        <v>16</v>
      </c>
      <c r="H6" s="553" t="s">
        <v>17</v>
      </c>
      <c r="I6" s="485" t="s">
        <v>18</v>
      </c>
      <c r="J6" s="553" t="s">
        <v>19</v>
      </c>
      <c r="K6" s="485" t="s">
        <v>20</v>
      </c>
      <c r="L6" s="553" t="s">
        <v>21</v>
      </c>
      <c r="M6" s="553" t="s">
        <v>22</v>
      </c>
      <c r="N6" s="553" t="s">
        <v>23</v>
      </c>
      <c r="O6" s="553" t="s">
        <v>24</v>
      </c>
      <c r="P6" s="553" t="s">
        <v>25</v>
      </c>
      <c r="Q6" s="485" t="s">
        <v>26</v>
      </c>
      <c r="R6" s="553" t="s">
        <v>27</v>
      </c>
      <c r="S6" s="555" t="s">
        <v>28</v>
      </c>
    </row>
    <row r="7" customFormat="false" ht="15" hidden="false" customHeight="true" outlineLevel="0" collapsed="false">
      <c r="A7" s="28"/>
      <c r="B7" s="1624" t="s">
        <v>474</v>
      </c>
      <c r="C7" s="1624"/>
      <c r="D7" s="1624"/>
      <c r="E7" s="1624"/>
      <c r="F7" s="1624"/>
      <c r="G7" s="1624"/>
      <c r="H7" s="1624"/>
      <c r="I7" s="1624"/>
      <c r="J7" s="1624"/>
      <c r="K7" s="1625"/>
      <c r="L7" s="1626" t="s">
        <v>542</v>
      </c>
      <c r="M7" s="1626"/>
      <c r="N7" s="1626"/>
      <c r="O7" s="1626"/>
      <c r="P7" s="1626"/>
      <c r="Q7" s="1626"/>
      <c r="R7" s="1626"/>
      <c r="S7" s="1626"/>
    </row>
    <row r="8" customFormat="false" ht="79.75" hidden="false" customHeight="true" outlineLevel="0" collapsed="false">
      <c r="A8" s="1590"/>
      <c r="B8" s="1561" t="s">
        <v>543</v>
      </c>
      <c r="C8" s="1348" t="s">
        <v>544</v>
      </c>
      <c r="D8" s="1348" t="s">
        <v>545</v>
      </c>
      <c r="E8" s="1348" t="s">
        <v>546</v>
      </c>
      <c r="F8" s="1627" t="s">
        <v>547</v>
      </c>
      <c r="G8" s="1628" t="s">
        <v>548</v>
      </c>
      <c r="H8" s="1628" t="s">
        <v>549</v>
      </c>
      <c r="I8" s="1348" t="s">
        <v>550</v>
      </c>
      <c r="J8" s="202" t="s">
        <v>551</v>
      </c>
      <c r="K8" s="1629" t="s">
        <v>552</v>
      </c>
      <c r="L8" s="1348" t="s">
        <v>553</v>
      </c>
      <c r="M8" s="1348" t="s">
        <v>544</v>
      </c>
      <c r="N8" s="1348" t="s">
        <v>545</v>
      </c>
      <c r="O8" s="1348" t="s">
        <v>546</v>
      </c>
      <c r="P8" s="1628" t="s">
        <v>548</v>
      </c>
      <c r="Q8" s="1628" t="s">
        <v>554</v>
      </c>
      <c r="R8" s="1348" t="s">
        <v>550</v>
      </c>
      <c r="S8" s="1610" t="s">
        <v>551</v>
      </c>
    </row>
    <row r="9" customFormat="false" ht="30" hidden="false" customHeight="true" outlineLevel="0" collapsed="false">
      <c r="A9" s="1590"/>
      <c r="B9" s="1561"/>
      <c r="C9" s="1348"/>
      <c r="D9" s="1348"/>
      <c r="E9" s="1348"/>
      <c r="F9" s="1627"/>
      <c r="G9" s="1628"/>
      <c r="H9" s="1628"/>
      <c r="I9" s="499" t="s">
        <v>555</v>
      </c>
      <c r="J9" s="1517" t="s">
        <v>556</v>
      </c>
      <c r="K9" s="1629"/>
      <c r="L9" s="1348"/>
      <c r="M9" s="1348"/>
      <c r="N9" s="1348"/>
      <c r="O9" s="1348"/>
      <c r="P9" s="1628"/>
      <c r="Q9" s="1628"/>
      <c r="R9" s="499" t="s">
        <v>555</v>
      </c>
      <c r="S9" s="1630" t="s">
        <v>556</v>
      </c>
    </row>
    <row r="10" customFormat="false" ht="12" hidden="false" customHeight="false" outlineLevel="0" collapsed="false">
      <c r="A10" s="416" t="n">
        <v>1950</v>
      </c>
      <c r="B10" s="1528" t="n">
        <f aca="false">DataDE1!EV11/DataDE1!B11</f>
        <v>0.81196513911438</v>
      </c>
      <c r="C10" s="1529"/>
      <c r="D10" s="1529"/>
      <c r="E10" s="1529"/>
      <c r="F10" s="1529" t="n">
        <f aca="false">DataDE1!EZ11/DataDE1!B11</f>
        <v>0.836673485793907</v>
      </c>
      <c r="G10" s="1631"/>
      <c r="H10" s="1631" t="n">
        <f aca="false">DataDE1!FJ11/DataDE1!B11</f>
        <v>0.0988147178707724</v>
      </c>
      <c r="I10" s="1529" t="n">
        <f aca="false">DataDE1!FI11/DataDE1!B11</f>
        <v>0.0302265415598598</v>
      </c>
      <c r="J10" s="1528" t="n">
        <f aca="false">DataDE1!FK11/DataDE1!B11</f>
        <v>0.129041259430632</v>
      </c>
      <c r="K10" s="1528" t="n">
        <f aca="false">DataDE1!FD11/DataDE1!B11</f>
        <v>0.122895728530392</v>
      </c>
      <c r="L10" s="1529" t="n">
        <f aca="false">B10/$B10</f>
        <v>1</v>
      </c>
      <c r="M10" s="1529"/>
      <c r="N10" s="1529"/>
      <c r="O10" s="1529"/>
      <c r="P10" s="1631"/>
      <c r="Q10" s="1631" t="n">
        <f aca="false">H10/$B10</f>
        <v>0.121698227067422</v>
      </c>
      <c r="R10" s="1529" t="n">
        <f aca="false">I10/$B10</f>
        <v>0.0372264030852707</v>
      </c>
      <c r="S10" s="1569" t="n">
        <f aca="false">J10/$B10</f>
        <v>0.158924630152692</v>
      </c>
      <c r="V10" s="1632"/>
    </row>
    <row r="11" customFormat="false" ht="12" hidden="false" customHeight="false" outlineLevel="0" collapsed="false">
      <c r="A11" s="416" t="n">
        <f aca="false">A10+1</f>
        <v>1951</v>
      </c>
      <c r="B11" s="519" t="n">
        <f aca="false">DataDE1!EV12/DataDE1!B12</f>
        <v>0.787427835247264</v>
      </c>
      <c r="C11" s="518"/>
      <c r="D11" s="518"/>
      <c r="E11" s="518"/>
      <c r="F11" s="518" t="n">
        <f aca="false">DataDE1!EZ12/DataDE1!B12</f>
        <v>0.809876610026131</v>
      </c>
      <c r="G11" s="1602"/>
      <c r="H11" s="1602" t="n">
        <f aca="false">DataDE1!FJ12/DataDE1!B12</f>
        <v>0.113479031116135</v>
      </c>
      <c r="I11" s="518" t="n">
        <f aca="false">DataDE1!FI12/DataDE1!B12</f>
        <v>0.0269925644614136</v>
      </c>
      <c r="J11" s="519" t="n">
        <f aca="false">DataDE1!FK12/DataDE1!B12</f>
        <v>0.140471595577549</v>
      </c>
      <c r="K11" s="519" t="n">
        <f aca="false">DataDE1!FD12/DataDE1!B12</f>
        <v>0.134634923365823</v>
      </c>
      <c r="L11" s="518" t="n">
        <f aca="false">B11/$B11</f>
        <v>1</v>
      </c>
      <c r="M11" s="518"/>
      <c r="N11" s="518"/>
      <c r="O11" s="518"/>
      <c r="P11" s="1602"/>
      <c r="Q11" s="1602" t="n">
        <f aca="false">H11/$B11</f>
        <v>0.144113563220052</v>
      </c>
      <c r="R11" s="518" t="n">
        <f aca="false">I11/$B11</f>
        <v>0.0342794136213607</v>
      </c>
      <c r="S11" s="1573" t="n">
        <f aca="false">J11/$B11</f>
        <v>0.178392976841413</v>
      </c>
      <c r="V11" s="1632"/>
    </row>
    <row r="12" customFormat="false" ht="12" hidden="false" customHeight="false" outlineLevel="0" collapsed="false">
      <c r="A12" s="416" t="n">
        <f aca="false">A11+1</f>
        <v>1952</v>
      </c>
      <c r="B12" s="519" t="n">
        <f aca="false">DataDE1!EV13/DataDE1!B13</f>
        <v>0.778331570211871</v>
      </c>
      <c r="C12" s="518"/>
      <c r="D12" s="518"/>
      <c r="E12" s="518"/>
      <c r="F12" s="518" t="n">
        <f aca="false">DataDE1!EZ13/DataDE1!B13</f>
        <v>0.801425992857281</v>
      </c>
      <c r="G12" s="1602"/>
      <c r="H12" s="1602" t="n">
        <f aca="false">DataDE1!FJ13/DataDE1!B13</f>
        <v>0.106613609202811</v>
      </c>
      <c r="I12" s="518" t="n">
        <f aca="false">DataDE1!FI13/DataDE1!B13</f>
        <v>0.0443064121991936</v>
      </c>
      <c r="J12" s="519" t="n">
        <f aca="false">DataDE1!FK13/DataDE1!B13</f>
        <v>0.150920021402004</v>
      </c>
      <c r="K12" s="519" t="n">
        <f aca="false">DataDE1!FD13/DataDE1!B13</f>
        <v>0.144228596989045</v>
      </c>
      <c r="L12" s="518" t="n">
        <f aca="false">B12/$B12</f>
        <v>1</v>
      </c>
      <c r="M12" s="518"/>
      <c r="N12" s="518"/>
      <c r="O12" s="518"/>
      <c r="P12" s="1602"/>
      <c r="Q12" s="1602" t="n">
        <f aca="false">H12/$B12</f>
        <v>0.136977110120034</v>
      </c>
      <c r="R12" s="518" t="n">
        <f aca="false">I12/$B12</f>
        <v>0.0569248555434194</v>
      </c>
      <c r="S12" s="1573" t="n">
        <f aca="false">J12/$B12</f>
        <v>0.193901965663454</v>
      </c>
      <c r="V12" s="1632"/>
    </row>
    <row r="13" customFormat="false" ht="12" hidden="false" customHeight="false" outlineLevel="0" collapsed="false">
      <c r="A13" s="416" t="n">
        <f aca="false">A12+1</f>
        <v>1953</v>
      </c>
      <c r="B13" s="519" t="n">
        <f aca="false">DataDE1!EV14/DataDE1!B14</f>
        <v>0.774651361027072</v>
      </c>
      <c r="C13" s="518"/>
      <c r="D13" s="518"/>
      <c r="E13" s="518"/>
      <c r="F13" s="518" t="n">
        <f aca="false">DataDE1!EZ14/DataDE1!B14</f>
        <v>0.798335122046656</v>
      </c>
      <c r="G13" s="1602"/>
      <c r="H13" s="1602" t="n">
        <f aca="false">DataDE1!FJ14/DataDE1!B14</f>
        <v>0.0789907003028173</v>
      </c>
      <c r="I13" s="518" t="n">
        <f aca="false">DataDE1!FI14/DataDE1!B14</f>
        <v>0.052432582889028</v>
      </c>
      <c r="J13" s="519" t="n">
        <f aca="false">DataDE1!FK14/DataDE1!B14</f>
        <v>0.131423283191845</v>
      </c>
      <c r="K13" s="519" t="n">
        <f aca="false">DataDE1!FD14/DataDE1!B14</f>
        <v>0.123661780988832</v>
      </c>
      <c r="L13" s="518" t="n">
        <f aca="false">B13/$B13</f>
        <v>1</v>
      </c>
      <c r="M13" s="518"/>
      <c r="N13" s="518"/>
      <c r="O13" s="518"/>
      <c r="P13" s="1602"/>
      <c r="Q13" s="1602" t="n">
        <f aca="false">H13/$B13</f>
        <v>0.101969355863633</v>
      </c>
      <c r="R13" s="518" t="n">
        <f aca="false">I13/$B13</f>
        <v>0.0676853943940798</v>
      </c>
      <c r="S13" s="1573" t="n">
        <f aca="false">J13/$B13</f>
        <v>0.169654750257713</v>
      </c>
      <c r="V13" s="1632"/>
    </row>
    <row r="14" customFormat="false" ht="12" hidden="false" customHeight="false" outlineLevel="0" collapsed="false">
      <c r="A14" s="416" t="n">
        <f aca="false">A13+1</f>
        <v>1954</v>
      </c>
      <c r="B14" s="519" t="n">
        <f aca="false">DataDE1!EV15/DataDE1!B15</f>
        <v>0.773717863283167</v>
      </c>
      <c r="C14" s="518"/>
      <c r="D14" s="518"/>
      <c r="E14" s="518"/>
      <c r="F14" s="518" t="n">
        <f aca="false">DataDE1!EZ15/DataDE1!B15</f>
        <v>0.79708304578875</v>
      </c>
      <c r="G14" s="1602"/>
      <c r="H14" s="1602" t="n">
        <f aca="false">DataDE1!FJ15/DataDE1!B15</f>
        <v>0.0830811677702306</v>
      </c>
      <c r="I14" s="518" t="n">
        <f aca="false">DataDE1!FI15/DataDE1!B15</f>
        <v>0.0564217574399448</v>
      </c>
      <c r="J14" s="519" t="n">
        <f aca="false">DataDE1!FK15/DataDE1!B15</f>
        <v>0.139502925210176</v>
      </c>
      <c r="K14" s="519" t="n">
        <f aca="false">DataDE1!FD15/DataDE1!B15</f>
        <v>0.128383800377838</v>
      </c>
      <c r="L14" s="518" t="n">
        <f aca="false">B14/$B14</f>
        <v>1</v>
      </c>
      <c r="M14" s="518"/>
      <c r="N14" s="518"/>
      <c r="O14" s="518"/>
      <c r="P14" s="1602"/>
      <c r="Q14" s="1602" t="n">
        <f aca="false">H14/$B14</f>
        <v>0.107379151642806</v>
      </c>
      <c r="R14" s="518" t="n">
        <f aca="false">I14/$B14</f>
        <v>0.072922909134509</v>
      </c>
      <c r="S14" s="1573" t="n">
        <f aca="false">J14/$B14</f>
        <v>0.180302060777315</v>
      </c>
      <c r="V14" s="1632"/>
    </row>
    <row r="15" customFormat="false" ht="12" hidden="false" customHeight="false" outlineLevel="0" collapsed="false">
      <c r="A15" s="416" t="n">
        <f aca="false">A14+1</f>
        <v>1955</v>
      </c>
      <c r="B15" s="519" t="n">
        <f aca="false">DataDE1!EV16/DataDE1!B16</f>
        <v>0.783563987343464</v>
      </c>
      <c r="C15" s="518"/>
      <c r="D15" s="518"/>
      <c r="E15" s="518"/>
      <c r="F15" s="518" t="n">
        <f aca="false">DataDE1!EZ16/DataDE1!B16</f>
        <v>0.806522328884201</v>
      </c>
      <c r="G15" s="1602"/>
      <c r="H15" s="1602" t="n">
        <f aca="false">DataDE1!FJ16/DataDE1!B16</f>
        <v>0.107014245558912</v>
      </c>
      <c r="I15" s="518" t="n">
        <f aca="false">DataDE1!FI16/DataDE1!B16</f>
        <v>0.0496286716805891</v>
      </c>
      <c r="J15" s="519" t="n">
        <f aca="false">DataDE1!FK16/DataDE1!B16</f>
        <v>0.156642917239501</v>
      </c>
      <c r="K15" s="519" t="n">
        <f aca="false">DataDE1!FD16/DataDE1!B16</f>
        <v>0.153150704651226</v>
      </c>
      <c r="L15" s="518" t="n">
        <f aca="false">B15/$B15</f>
        <v>1</v>
      </c>
      <c r="M15" s="518"/>
      <c r="N15" s="518"/>
      <c r="O15" s="518"/>
      <c r="P15" s="1602"/>
      <c r="Q15" s="1602" t="n">
        <f aca="false">H15/$B15</f>
        <v>0.136573716106741</v>
      </c>
      <c r="R15" s="518" t="n">
        <f aca="false">I15/$B15</f>
        <v>0.0633371013500076</v>
      </c>
      <c r="S15" s="1573" t="n">
        <f aca="false">J15/$B15</f>
        <v>0.199910817456748</v>
      </c>
      <c r="V15" s="1632"/>
      <c r="W15" s="1632"/>
    </row>
    <row r="16" customFormat="false" ht="12" hidden="false" customHeight="false" outlineLevel="0" collapsed="false">
      <c r="A16" s="416" t="n">
        <f aca="false">A15+1</f>
        <v>1956</v>
      </c>
      <c r="B16" s="519" t="n">
        <f aca="false">DataDE1!EV17/DataDE1!B17</f>
        <v>0.78174591044363</v>
      </c>
      <c r="C16" s="518"/>
      <c r="D16" s="518"/>
      <c r="E16" s="518"/>
      <c r="F16" s="518" t="n">
        <f aca="false">DataDE1!EZ17/DataDE1!B17</f>
        <v>0.804920783101322</v>
      </c>
      <c r="G16" s="1602"/>
      <c r="H16" s="1602" t="n">
        <f aca="false">DataDE1!FJ17/DataDE1!B17</f>
        <v>0.109332423154732</v>
      </c>
      <c r="I16" s="518" t="n">
        <f aca="false">DataDE1!FI17/DataDE1!B17</f>
        <v>0.0441278608660523</v>
      </c>
      <c r="J16" s="519" t="n">
        <f aca="false">DataDE1!FK17/DataDE1!B17</f>
        <v>0.153460284020784</v>
      </c>
      <c r="K16" s="519" t="n">
        <f aca="false">DataDE1!FD17/DataDE1!B17</f>
        <v>0.151779664600362</v>
      </c>
      <c r="L16" s="518" t="n">
        <f aca="false">B16/$B16</f>
        <v>1</v>
      </c>
      <c r="M16" s="518"/>
      <c r="N16" s="518"/>
      <c r="O16" s="518"/>
      <c r="P16" s="1602"/>
      <c r="Q16" s="1602" t="n">
        <f aca="false">H16/$B16</f>
        <v>0.139856725432292</v>
      </c>
      <c r="R16" s="518" t="n">
        <f aca="false">I16/$B16</f>
        <v>0.0564478307804774</v>
      </c>
      <c r="S16" s="1573" t="n">
        <f aca="false">J16/$B16</f>
        <v>0.196304556212769</v>
      </c>
      <c r="V16" s="1632"/>
    </row>
    <row r="17" customFormat="false" ht="12" hidden="false" customHeight="false" outlineLevel="0" collapsed="false">
      <c r="A17" s="416" t="n">
        <f aca="false">A16+1</f>
        <v>1957</v>
      </c>
      <c r="B17" s="519" t="n">
        <f aca="false">DataDE1!EV18/DataDE1!B18</f>
        <v>0.788046598578252</v>
      </c>
      <c r="C17" s="518"/>
      <c r="D17" s="518"/>
      <c r="E17" s="518"/>
      <c r="F17" s="518" t="n">
        <f aca="false">DataDE1!EZ18/DataDE1!B18</f>
        <v>0.813826299901277</v>
      </c>
      <c r="G17" s="1602"/>
      <c r="H17" s="1602" t="n">
        <f aca="false">DataDE1!FJ18/DataDE1!B18</f>
        <v>0.104821460899294</v>
      </c>
      <c r="I17" s="518" t="n">
        <f aca="false">DataDE1!FI18/DataDE1!B18</f>
        <v>0.0600532081980675</v>
      </c>
      <c r="J17" s="519" t="n">
        <f aca="false">DataDE1!FK18/DataDE1!B18</f>
        <v>0.164874669097362</v>
      </c>
      <c r="K17" s="519" t="n">
        <f aca="false">DataDE1!FD18/DataDE1!B18</f>
        <v>0.162103247168578</v>
      </c>
      <c r="L17" s="518" t="n">
        <f aca="false">B17/$B17</f>
        <v>1</v>
      </c>
      <c r="M17" s="518"/>
      <c r="N17" s="518"/>
      <c r="O17" s="518"/>
      <c r="P17" s="1602"/>
      <c r="Q17" s="1602" t="n">
        <f aca="false">H17/$B17</f>
        <v>0.13301429266798</v>
      </c>
      <c r="R17" s="518" t="n">
        <f aca="false">I17/$B17</f>
        <v>0.0762051486630511</v>
      </c>
      <c r="S17" s="1573" t="n">
        <f aca="false">J17/$B17</f>
        <v>0.209219441331032</v>
      </c>
      <c r="V17" s="1632"/>
    </row>
    <row r="18" customFormat="false" ht="12" hidden="false" customHeight="false" outlineLevel="0" collapsed="false">
      <c r="A18" s="416" t="n">
        <f aca="false">A17+1</f>
        <v>1958</v>
      </c>
      <c r="B18" s="519" t="n">
        <f aca="false">DataDE1!EV19/DataDE1!B19</f>
        <v>0.793910779991089</v>
      </c>
      <c r="C18" s="518"/>
      <c r="D18" s="518"/>
      <c r="E18" s="518"/>
      <c r="F18" s="518" t="n">
        <f aca="false">DataDE1!EZ19/DataDE1!B19</f>
        <v>0.821037851153641</v>
      </c>
      <c r="G18" s="1602"/>
      <c r="H18" s="1602" t="n">
        <f aca="false">DataDE1!FJ19/DataDE1!B19</f>
        <v>0.107127428473697</v>
      </c>
      <c r="I18" s="518" t="n">
        <f aca="false">DataDE1!FI19/DataDE1!B19</f>
        <v>0.0631081834329254</v>
      </c>
      <c r="J18" s="519" t="n">
        <f aca="false">DataDE1!FK19/DataDE1!B19</f>
        <v>0.170235611906622</v>
      </c>
      <c r="K18" s="519" t="n">
        <f aca="false">DataDE1!FD19/DataDE1!B19</f>
        <v>0.160428639475334</v>
      </c>
      <c r="L18" s="518" t="n">
        <f aca="false">B18/$B18</f>
        <v>1</v>
      </c>
      <c r="M18" s="518"/>
      <c r="N18" s="518"/>
      <c r="O18" s="518"/>
      <c r="P18" s="1602"/>
      <c r="Q18" s="1602" t="n">
        <f aca="false">H18/$B18</f>
        <v>0.134936357048709</v>
      </c>
      <c r="R18" s="518" t="n">
        <f aca="false">I18/$B18</f>
        <v>0.079490271480674</v>
      </c>
      <c r="S18" s="1573" t="n">
        <f aca="false">J18/$B18</f>
        <v>0.214426628529383</v>
      </c>
      <c r="V18" s="1632"/>
    </row>
    <row r="19" customFormat="false" ht="12" hidden="false" customHeight="false" outlineLevel="0" collapsed="false">
      <c r="A19" s="416" t="n">
        <f aca="false">A18+1</f>
        <v>1959</v>
      </c>
      <c r="B19" s="519" t="n">
        <f aca="false">DataDE1!EV20/DataDE1!B20</f>
        <v>0.782971818276172</v>
      </c>
      <c r="C19" s="518"/>
      <c r="D19" s="518"/>
      <c r="E19" s="518"/>
      <c r="F19" s="518" t="n">
        <f aca="false">DataDE1!EZ20/DataDE1!B20</f>
        <v>0.808693510478179</v>
      </c>
      <c r="G19" s="1602"/>
      <c r="H19" s="1602" t="n">
        <f aca="false">DataDE1!FJ20/DataDE1!B20</f>
        <v>0.108421326535742</v>
      </c>
      <c r="I19" s="518" t="n">
        <f aca="false">DataDE1!FI20/DataDE1!B20</f>
        <v>0.0636457594857226</v>
      </c>
      <c r="J19" s="519" t="n">
        <f aca="false">DataDE1!FK20/DataDE1!B20</f>
        <v>0.172067086021464</v>
      </c>
      <c r="K19" s="519" t="n">
        <f aca="false">DataDE1!FD20/DataDE1!B20</f>
        <v>0.165541720091751</v>
      </c>
      <c r="L19" s="518" t="n">
        <f aca="false">B19/$B19</f>
        <v>1</v>
      </c>
      <c r="M19" s="518"/>
      <c r="N19" s="518"/>
      <c r="O19" s="518"/>
      <c r="P19" s="1602"/>
      <c r="Q19" s="1602" t="n">
        <f aca="false">H19/$B19</f>
        <v>0.138474111079052</v>
      </c>
      <c r="R19" s="518" t="n">
        <f aca="false">I19/$B19</f>
        <v>0.0812874205687864</v>
      </c>
      <c r="S19" s="1573" t="n">
        <f aca="false">J19/$B19</f>
        <v>0.219761531647838</v>
      </c>
      <c r="V19" s="1632"/>
    </row>
    <row r="20" customFormat="false" ht="12" hidden="false" customHeight="false" outlineLevel="0" collapsed="false">
      <c r="A20" s="864" t="n">
        <f aca="false">A19+1</f>
        <v>1960</v>
      </c>
      <c r="B20" s="526" t="n">
        <f aca="false">DataDE1!EV21/DataDE1!B21</f>
        <v>0.772374783736468</v>
      </c>
      <c r="C20" s="525"/>
      <c r="D20" s="525"/>
      <c r="E20" s="525"/>
      <c r="F20" s="525" t="n">
        <f aca="false">DataDE1!EZ21/DataDE1!B21</f>
        <v>0.796279167778889</v>
      </c>
      <c r="G20" s="1606"/>
      <c r="H20" s="1606" t="n">
        <f aca="false">DataDE1!FJ21/DataDE1!B21</f>
        <v>0.112938818202552</v>
      </c>
      <c r="I20" s="525" t="n">
        <f aca="false">DataDE1!FI21/DataDE1!B21</f>
        <v>0.0615432007959414</v>
      </c>
      <c r="J20" s="526" t="n">
        <f aca="false">DataDE1!FK21/DataDE1!B21</f>
        <v>0.174482018998493</v>
      </c>
      <c r="K20" s="526" t="n">
        <f aca="false">DataDE1!FD21/DataDE1!B21</f>
        <v>0.165720198725368</v>
      </c>
      <c r="L20" s="525" t="n">
        <f aca="false">B20/$B20</f>
        <v>1</v>
      </c>
      <c r="M20" s="525"/>
      <c r="N20" s="525"/>
      <c r="O20" s="525"/>
      <c r="P20" s="1606"/>
      <c r="Q20" s="1606" t="n">
        <f aca="false">H20/$B20</f>
        <v>0.146222819000117</v>
      </c>
      <c r="R20" s="525" t="n">
        <f aca="false">I20/$B20</f>
        <v>0.0796804894357346</v>
      </c>
      <c r="S20" s="1583" t="n">
        <f aca="false">J20/$B20</f>
        <v>0.225903308435851</v>
      </c>
      <c r="V20" s="1632"/>
    </row>
    <row r="21" customFormat="false" ht="12" hidden="false" customHeight="false" outlineLevel="0" collapsed="false">
      <c r="A21" s="416" t="n">
        <f aca="false">A20+1</f>
        <v>1961</v>
      </c>
      <c r="B21" s="519" t="n">
        <f aca="false">DataDE1!EV22/DataDE1!B22</f>
        <v>0.758016735376686</v>
      </c>
      <c r="C21" s="518"/>
      <c r="D21" s="518"/>
      <c r="E21" s="518"/>
      <c r="F21" s="518" t="n">
        <f aca="false">DataDE1!EZ22/DataDE1!B22</f>
        <v>0.781843774921514</v>
      </c>
      <c r="G21" s="1602"/>
      <c r="H21" s="1602" t="n">
        <f aca="false">DataDE1!FJ22/DataDE1!B22</f>
        <v>0.0968055996503722</v>
      </c>
      <c r="I21" s="518" t="n">
        <f aca="false">DataDE1!FI22/DataDE1!B22</f>
        <v>0.0668455932929867</v>
      </c>
      <c r="J21" s="519" t="n">
        <f aca="false">DataDE1!FK22/DataDE1!B22</f>
        <v>0.163651192943359</v>
      </c>
      <c r="K21" s="519" t="n">
        <f aca="false">DataDE1!FD22/DataDE1!B22</f>
        <v>0.147528329173891</v>
      </c>
      <c r="L21" s="518" t="n">
        <f aca="false">B21/$B21</f>
        <v>1</v>
      </c>
      <c r="M21" s="518"/>
      <c r="N21" s="518"/>
      <c r="O21" s="518"/>
      <c r="P21" s="1602"/>
      <c r="Q21" s="1602" t="n">
        <f aca="false">H21/$B21</f>
        <v>0.127709053286622</v>
      </c>
      <c r="R21" s="518" t="n">
        <f aca="false">I21/$B21</f>
        <v>0.0881848515650102</v>
      </c>
      <c r="S21" s="1573" t="n">
        <f aca="false">J21/$B21</f>
        <v>0.215893904851632</v>
      </c>
      <c r="V21" s="1632"/>
    </row>
    <row r="22" customFormat="false" ht="12" hidden="false" customHeight="false" outlineLevel="0" collapsed="false">
      <c r="A22" s="416" t="n">
        <f aca="false">A21+1</f>
        <v>1962</v>
      </c>
      <c r="B22" s="519" t="n">
        <f aca="false">DataDE1!EV23/DataDE1!B23</f>
        <v>0.75333182428574</v>
      </c>
      <c r="C22" s="518"/>
      <c r="D22" s="518"/>
      <c r="E22" s="518"/>
      <c r="F22" s="518" t="n">
        <f aca="false">DataDE1!EZ23/DataDE1!B23</f>
        <v>0.777303577133665</v>
      </c>
      <c r="G22" s="1602"/>
      <c r="H22" s="1602" t="n">
        <f aca="false">DataDE1!FJ23/DataDE1!B23</f>
        <v>0.0940845334086447</v>
      </c>
      <c r="I22" s="518" t="n">
        <f aca="false">DataDE1!FI23/DataDE1!B23</f>
        <v>0.0638661766276336</v>
      </c>
      <c r="J22" s="519" t="n">
        <f aca="false">DataDE1!FK23/DataDE1!B23</f>
        <v>0.157950710036278</v>
      </c>
      <c r="K22" s="519" t="n">
        <f aca="false">DataDE1!FD23/DataDE1!B23</f>
        <v>0.138377450181228</v>
      </c>
      <c r="L22" s="518" t="n">
        <f aca="false">B22/$B22</f>
        <v>1</v>
      </c>
      <c r="M22" s="518"/>
      <c r="N22" s="518"/>
      <c r="O22" s="518"/>
      <c r="P22" s="1602"/>
      <c r="Q22" s="1602" t="n">
        <f aca="false">H22/$B22</f>
        <v>0.124891223728467</v>
      </c>
      <c r="R22" s="518" t="n">
        <f aca="false">I22/$B22</f>
        <v>0.0847782803921597</v>
      </c>
      <c r="S22" s="1573" t="n">
        <f aca="false">J22/$B22</f>
        <v>0.209669504120627</v>
      </c>
      <c r="V22" s="1632"/>
    </row>
    <row r="23" customFormat="false" ht="12" hidden="false" customHeight="false" outlineLevel="0" collapsed="false">
      <c r="A23" s="416" t="n">
        <f aca="false">A22+1</f>
        <v>1963</v>
      </c>
      <c r="B23" s="519" t="n">
        <f aca="false">DataDE1!EV24/DataDE1!B24</f>
        <v>0.750608410735371</v>
      </c>
      <c r="C23" s="518"/>
      <c r="D23" s="518"/>
      <c r="E23" s="518"/>
      <c r="F23" s="518" t="n">
        <f aca="false">DataDE1!EZ24/DataDE1!B24</f>
        <v>0.774946404011977</v>
      </c>
      <c r="G23" s="1602"/>
      <c r="H23" s="1602" t="n">
        <f aca="false">DataDE1!FJ24/DataDE1!B24</f>
        <v>0.0719823345404117</v>
      </c>
      <c r="I23" s="518" t="n">
        <f aca="false">DataDE1!FI24/DataDE1!B24</f>
        <v>0.0733324725396677</v>
      </c>
      <c r="J23" s="519" t="n">
        <f aca="false">DataDE1!FK24/DataDE1!B24</f>
        <v>0.145314807080079</v>
      </c>
      <c r="K23" s="519" t="n">
        <f aca="false">DataDE1!FD24/DataDE1!B24</f>
        <v>0.132628367684253</v>
      </c>
      <c r="L23" s="518" t="n">
        <f aca="false">B23/$B23</f>
        <v>1</v>
      </c>
      <c r="M23" s="518"/>
      <c r="N23" s="518"/>
      <c r="O23" s="518"/>
      <c r="P23" s="1602"/>
      <c r="Q23" s="1602" t="n">
        <f aca="false">H23/$B23</f>
        <v>0.0958986516949505</v>
      </c>
      <c r="R23" s="518" t="n">
        <f aca="false">I23/$B23</f>
        <v>0.0976973765426155</v>
      </c>
      <c r="S23" s="1573" t="n">
        <f aca="false">J23/$B23</f>
        <v>0.193596028237566</v>
      </c>
      <c r="V23" s="1632"/>
    </row>
    <row r="24" customFormat="false" ht="12" hidden="false" customHeight="false" outlineLevel="0" collapsed="false">
      <c r="A24" s="416" t="n">
        <f aca="false">A23+1</f>
        <v>1964</v>
      </c>
      <c r="B24" s="519" t="n">
        <f aca="false">DataDE1!EV25/DataDE1!B25</f>
        <v>0.755120132102491</v>
      </c>
      <c r="C24" s="518"/>
      <c r="D24" s="518"/>
      <c r="E24" s="518"/>
      <c r="F24" s="518" t="n">
        <f aca="false">DataDE1!EZ25/DataDE1!B25</f>
        <v>0.779444179390359</v>
      </c>
      <c r="G24" s="1602"/>
      <c r="H24" s="1602" t="n">
        <f aca="false">DataDE1!FJ25/DataDE1!B25</f>
        <v>0.0812394063875652</v>
      </c>
      <c r="I24" s="518" t="n">
        <f aca="false">DataDE1!FI25/DataDE1!B25</f>
        <v>0.0807932197061177</v>
      </c>
      <c r="J24" s="519" t="n">
        <f aca="false">DataDE1!FK25/DataDE1!B25</f>
        <v>0.162032626093683</v>
      </c>
      <c r="K24" s="519" t="n">
        <f aca="false">DataDE1!FD25/DataDE1!B25</f>
        <v>0.148636692635925</v>
      </c>
      <c r="L24" s="518" t="n">
        <f aca="false">B24/$B24</f>
        <v>1</v>
      </c>
      <c r="M24" s="518"/>
      <c r="N24" s="518"/>
      <c r="O24" s="518"/>
      <c r="P24" s="1602"/>
      <c r="Q24" s="1602" t="n">
        <f aca="false">H24/$B24</f>
        <v>0.107584744378844</v>
      </c>
      <c r="R24" s="518" t="n">
        <f aca="false">I24/$B24</f>
        <v>0.106993862660189</v>
      </c>
      <c r="S24" s="1573" t="n">
        <f aca="false">J24/$B24</f>
        <v>0.214578607039033</v>
      </c>
      <c r="V24" s="1632"/>
    </row>
    <row r="25" customFormat="false" ht="12" hidden="false" customHeight="false" outlineLevel="0" collapsed="false">
      <c r="A25" s="416" t="n">
        <f aca="false">A24+1</f>
        <v>1965</v>
      </c>
      <c r="B25" s="519" t="n">
        <f aca="false">DataDE1!EV26/DataDE1!B26</f>
        <v>0.769212609413006</v>
      </c>
      <c r="C25" s="518"/>
      <c r="D25" s="518"/>
      <c r="E25" s="518"/>
      <c r="F25" s="518" t="n">
        <f aca="false">DataDE1!EZ26/DataDE1!B26</f>
        <v>0.794272585504152</v>
      </c>
      <c r="G25" s="1602"/>
      <c r="H25" s="1602" t="n">
        <f aca="false">DataDE1!FJ26/DataDE1!B26</f>
        <v>0.0764359902117456</v>
      </c>
      <c r="I25" s="518" t="n">
        <f aca="false">DataDE1!FI26/DataDE1!B26</f>
        <v>0.0901952115973582</v>
      </c>
      <c r="J25" s="519" t="n">
        <f aca="false">DataDE1!FK26/DataDE1!B26</f>
        <v>0.166631201809104</v>
      </c>
      <c r="K25" s="519" t="n">
        <f aca="false">DataDE1!FD26/DataDE1!B26</f>
        <v>0.153832596718925</v>
      </c>
      <c r="L25" s="518" t="n">
        <f aca="false">B25/$B25</f>
        <v>1</v>
      </c>
      <c r="M25" s="518"/>
      <c r="N25" s="518"/>
      <c r="O25" s="518"/>
      <c r="P25" s="1602"/>
      <c r="Q25" s="1602" t="n">
        <f aca="false">H25/$B25</f>
        <v>0.0993691331582235</v>
      </c>
      <c r="R25" s="518" t="n">
        <f aca="false">I25/$B25</f>
        <v>0.11725654324126</v>
      </c>
      <c r="S25" s="1573" t="n">
        <f aca="false">J25/$B25</f>
        <v>0.216625676399483</v>
      </c>
      <c r="V25" s="1632"/>
      <c r="W25" s="1632"/>
    </row>
    <row r="26" customFormat="false" ht="12" hidden="false" customHeight="false" outlineLevel="0" collapsed="false">
      <c r="A26" s="416" t="n">
        <f aca="false">A25+1</f>
        <v>1966</v>
      </c>
      <c r="B26" s="519" t="n">
        <f aca="false">DataDE1!EV27/DataDE1!B27</f>
        <v>0.76328904503073</v>
      </c>
      <c r="C26" s="518"/>
      <c r="D26" s="518"/>
      <c r="E26" s="518"/>
      <c r="F26" s="518" t="n">
        <f aca="false">DataDE1!EZ27/DataDE1!B27</f>
        <v>0.789199673627094</v>
      </c>
      <c r="G26" s="1602"/>
      <c r="H26" s="1602" t="n">
        <f aca="false">DataDE1!FJ27/DataDE1!B27</f>
        <v>0.0692251978302201</v>
      </c>
      <c r="I26" s="518" t="n">
        <f aca="false">DataDE1!FI27/DataDE1!B27</f>
        <v>0.0864878429910414</v>
      </c>
      <c r="J26" s="519" t="n">
        <f aca="false">DataDE1!FK27/DataDE1!B27</f>
        <v>0.155713040821261</v>
      </c>
      <c r="K26" s="519" t="n">
        <f aca="false">DataDE1!FD27/DataDE1!B27</f>
        <v>0.144489081983951</v>
      </c>
      <c r="L26" s="518" t="n">
        <f aca="false">B26/$B26</f>
        <v>1</v>
      </c>
      <c r="M26" s="518"/>
      <c r="N26" s="518"/>
      <c r="O26" s="518"/>
      <c r="P26" s="1602"/>
      <c r="Q26" s="1602" t="n">
        <f aca="false">H26/$B26</f>
        <v>0.0906932940815797</v>
      </c>
      <c r="R26" s="518" t="n">
        <f aca="false">I26/$B26</f>
        <v>0.113309425248674</v>
      </c>
      <c r="S26" s="1573" t="n">
        <f aca="false">J26/$B26</f>
        <v>0.204002719330254</v>
      </c>
      <c r="V26" s="1632"/>
    </row>
    <row r="27" customFormat="false" ht="12" hidden="false" customHeight="false" outlineLevel="0" collapsed="false">
      <c r="A27" s="416" t="n">
        <f aca="false">A26+1</f>
        <v>1967</v>
      </c>
      <c r="B27" s="519" t="n">
        <f aca="false">DataDE1!EV28/DataDE1!B28</f>
        <v>0.767538252425221</v>
      </c>
      <c r="C27" s="518"/>
      <c r="D27" s="518"/>
      <c r="E27" s="518"/>
      <c r="F27" s="518" t="n">
        <f aca="false">DataDE1!EZ28/DataDE1!B28</f>
        <v>0.795775297740516</v>
      </c>
      <c r="G27" s="1602"/>
      <c r="H27" s="1602" t="n">
        <f aca="false">DataDE1!FJ28/DataDE1!B28</f>
        <v>0.0681842313355684</v>
      </c>
      <c r="I27" s="518" t="n">
        <f aca="false">DataDE1!FI28/DataDE1!B28</f>
        <v>0.0836368767500594</v>
      </c>
      <c r="J27" s="519" t="n">
        <f aca="false">DataDE1!FK28/DataDE1!B28</f>
        <v>0.151821108085628</v>
      </c>
      <c r="K27" s="519" t="n">
        <f aca="false">DataDE1!FD28/DataDE1!B28</f>
        <v>0.139608735305777</v>
      </c>
      <c r="L27" s="518" t="n">
        <f aca="false">B27/$B27</f>
        <v>1</v>
      </c>
      <c r="M27" s="518"/>
      <c r="N27" s="518"/>
      <c r="O27" s="518"/>
      <c r="P27" s="1602"/>
      <c r="Q27" s="1602" t="n">
        <f aca="false">H27/$B27</f>
        <v>0.0888349618017395</v>
      </c>
      <c r="R27" s="518" t="n">
        <f aca="false">I27/$B27</f>
        <v>0.108967698333977</v>
      </c>
      <c r="S27" s="1573" t="n">
        <f aca="false">J27/$B27</f>
        <v>0.197802660135717</v>
      </c>
      <c r="V27" s="1632"/>
    </row>
    <row r="28" customFormat="false" ht="12" hidden="false" customHeight="false" outlineLevel="0" collapsed="false">
      <c r="A28" s="416" t="n">
        <f aca="false">A27+1</f>
        <v>1968</v>
      </c>
      <c r="B28" s="519" t="n">
        <f aca="false">DataDE1!EV29/DataDE1!B29</f>
        <v>0.755554452659605</v>
      </c>
      <c r="C28" s="518"/>
      <c r="D28" s="518"/>
      <c r="E28" s="518"/>
      <c r="F28" s="518" t="n">
        <f aca="false">DataDE1!EZ29/DataDE1!B29</f>
        <v>0.782805810065987</v>
      </c>
      <c r="G28" s="1602"/>
      <c r="H28" s="1602" t="n">
        <f aca="false">DataDE1!FJ29/DataDE1!B29</f>
        <v>0.0703522399425175</v>
      </c>
      <c r="I28" s="518" t="n">
        <f aca="false">DataDE1!FI29/DataDE1!B29</f>
        <v>0.0931137083855779</v>
      </c>
      <c r="J28" s="519" t="n">
        <f aca="false">DataDE1!FK29/DataDE1!B29</f>
        <v>0.163465948328095</v>
      </c>
      <c r="K28" s="519" t="n">
        <f aca="false">DataDE1!FD29/DataDE1!B29</f>
        <v>0.152220721657528</v>
      </c>
      <c r="L28" s="518" t="n">
        <f aca="false">B28/$B28</f>
        <v>1</v>
      </c>
      <c r="M28" s="518"/>
      <c r="N28" s="518"/>
      <c r="O28" s="518"/>
      <c r="P28" s="1602"/>
      <c r="Q28" s="1602" t="n">
        <f aca="false">H28/$B28</f>
        <v>0.0931133946664899</v>
      </c>
      <c r="R28" s="518" t="n">
        <f aca="false">I28/$B28</f>
        <v>0.12323891158051</v>
      </c>
      <c r="S28" s="1573" t="n">
        <f aca="false">J28/$B28</f>
        <v>0.216352306247</v>
      </c>
      <c r="V28" s="1632"/>
    </row>
    <row r="29" customFormat="false" ht="12" hidden="false" customHeight="false" outlineLevel="0" collapsed="false">
      <c r="A29" s="436" t="n">
        <f aca="false">A28+1</f>
        <v>1969</v>
      </c>
      <c r="B29" s="534" t="n">
        <f aca="false">DataDE1!EV30/DataDE1!B30</f>
        <v>0.737943114403818</v>
      </c>
      <c r="C29" s="533"/>
      <c r="D29" s="533"/>
      <c r="E29" s="533"/>
      <c r="F29" s="533" t="n">
        <f aca="false">DataDE1!EZ30/DataDE1!B30</f>
        <v>0.764248434956551</v>
      </c>
      <c r="G29" s="1604"/>
      <c r="H29" s="1604" t="n">
        <f aca="false">DataDE1!FJ30/DataDE1!B30</f>
        <v>0.0589922465581041</v>
      </c>
      <c r="I29" s="533" t="n">
        <f aca="false">DataDE1!FI30/DataDE1!B30</f>
        <v>0.0964638492315008</v>
      </c>
      <c r="J29" s="534" t="n">
        <f aca="false">DataDE1!FK30/DataDE1!B30</f>
        <v>0.155456095789605</v>
      </c>
      <c r="K29" s="534" t="n">
        <f aca="false">DataDE1!FD30/DataDE1!B30</f>
        <v>0.140856822123158</v>
      </c>
      <c r="L29" s="533" t="n">
        <f aca="false">B29/$B29</f>
        <v>1</v>
      </c>
      <c r="M29" s="533"/>
      <c r="N29" s="533"/>
      <c r="O29" s="533"/>
      <c r="P29" s="1604"/>
      <c r="Q29" s="1604" t="n">
        <f aca="false">H29/$B29</f>
        <v>0.0799414553867933</v>
      </c>
      <c r="R29" s="533" t="n">
        <f aca="false">I29/$B29</f>
        <v>0.130719898795226</v>
      </c>
      <c r="S29" s="1578" t="n">
        <f aca="false">J29/$B29</f>
        <v>0.210661354182019</v>
      </c>
      <c r="V29" s="1632"/>
    </row>
    <row r="30" customFormat="false" ht="12" hidden="false" customHeight="false" outlineLevel="0" collapsed="false">
      <c r="A30" s="416" t="n">
        <f aca="false">A29+1</f>
        <v>1970</v>
      </c>
      <c r="B30" s="519" t="n">
        <f aca="false">DataDE1!EV31/DataDE1!B31</f>
        <v>0.738305580848366</v>
      </c>
      <c r="C30" s="518" t="n">
        <f aca="false">DataDE1!EW31/DataDE1!$B31</f>
        <v>0.168630279061504</v>
      </c>
      <c r="D30" s="518" t="n">
        <f aca="false">DataDE1!EX31/DataDE1!$B31</f>
        <v>0.472259021282604</v>
      </c>
      <c r="E30" s="518" t="n">
        <f aca="false">DataDE1!EY31/DataDE1!$B31</f>
        <v>0.0995338689447164</v>
      </c>
      <c r="F30" s="518" t="n">
        <f aca="false">DataDE1!EZ31/DataDE1!B31</f>
        <v>0.763546350274041</v>
      </c>
      <c r="G30" s="1602"/>
      <c r="H30" s="1602" t="n">
        <f aca="false">DataDE1!FJ31/DataDE1!B31</f>
        <v>0.0608262961879797</v>
      </c>
      <c r="I30" s="518" t="n">
        <f aca="false">DataDE1!FI31/DataDE1!B31</f>
        <v>0.102508295242015</v>
      </c>
      <c r="J30" s="519" t="n">
        <f aca="false">DataDE1!FK31/DataDE1!B31</f>
        <v>0.163334591429995</v>
      </c>
      <c r="K30" s="519" t="n">
        <f aca="false">DataDE1!FD31/DataDE1!B31</f>
        <v>0.148418049327354</v>
      </c>
      <c r="L30" s="518" t="n">
        <f aca="false">B30/$B30</f>
        <v>1</v>
      </c>
      <c r="M30" s="518" t="n">
        <f aca="false">C30/$B30</f>
        <v>0.228401739653296</v>
      </c>
      <c r="N30" s="518" t="n">
        <f aca="false">D30/$B30</f>
        <v>0.639652514531916</v>
      </c>
      <c r="O30" s="518" t="n">
        <f aca="false">E30/$B30</f>
        <v>0.13481391923158</v>
      </c>
      <c r="P30" s="1602"/>
      <c r="Q30" s="1602" t="n">
        <f aca="false">H30/$B30</f>
        <v>0.0823863421404535</v>
      </c>
      <c r="R30" s="518" t="n">
        <f aca="false">I30/$B30</f>
        <v>0.138842639011649</v>
      </c>
      <c r="S30" s="1573" t="n">
        <f aca="false">J30/$B30</f>
        <v>0.221228981152102</v>
      </c>
      <c r="V30" s="1632"/>
    </row>
    <row r="31" customFormat="false" ht="12" hidden="false" customHeight="false" outlineLevel="0" collapsed="false">
      <c r="A31" s="416" t="n">
        <v>1971</v>
      </c>
      <c r="B31" s="519" t="n">
        <f aca="false">DataDE1!EV32/DataDE1!B32</f>
        <v>0.734372581703004</v>
      </c>
      <c r="C31" s="518" t="n">
        <f aca="false">DataDE1!EW32/DataDE1!$B32</f>
        <v>0.161575591449741</v>
      </c>
      <c r="D31" s="518" t="n">
        <f aca="false">DataDE1!EX32/DataDE1!$B32</f>
        <v>0.471105346756102</v>
      </c>
      <c r="E31" s="518" t="n">
        <f aca="false">DataDE1!EY32/DataDE1!$B32</f>
        <v>0.100365982076729</v>
      </c>
      <c r="F31" s="518" t="n">
        <f aca="false">DataDE1!EZ32/DataDE1!B32</f>
        <v>0.76008349974615</v>
      </c>
      <c r="G31" s="1602"/>
      <c r="H31" s="1602" t="n">
        <f aca="false">DataDE1!FJ32/DataDE1!B32</f>
        <v>0.0514491026952254</v>
      </c>
      <c r="I31" s="518" t="n">
        <f aca="false">DataDE1!FI32/DataDE1!B32</f>
        <v>0.100607094066776</v>
      </c>
      <c r="J31" s="519" t="n">
        <f aca="false">DataDE1!FK32/DataDE1!B32</f>
        <v>0.152056196762001</v>
      </c>
      <c r="K31" s="519" t="n">
        <f aca="false">DataDE1!FD32/DataDE1!B32</f>
        <v>0.135161065042026</v>
      </c>
      <c r="L31" s="518" t="n">
        <f aca="false">B31/$B31</f>
        <v>1</v>
      </c>
      <c r="M31" s="518" t="n">
        <f aca="false">C31/$B31</f>
        <v>0.220018551176091</v>
      </c>
      <c r="N31" s="518" t="n">
        <f aca="false">D31/$B31</f>
        <v>0.641507265513117</v>
      </c>
      <c r="O31" s="518" t="n">
        <f aca="false">E31/$B31</f>
        <v>0.136669021389634</v>
      </c>
      <c r="P31" s="1602"/>
      <c r="Q31" s="1602" t="n">
        <f aca="false">H31/$B31</f>
        <v>0.0700585833091908</v>
      </c>
      <c r="R31" s="518" t="n">
        <f aca="false">I31/$B31</f>
        <v>0.136997345180656</v>
      </c>
      <c r="S31" s="1573" t="n">
        <f aca="false">J31/$B31</f>
        <v>0.207055928489847</v>
      </c>
      <c r="V31" s="1632"/>
    </row>
    <row r="32" customFormat="false" ht="12" hidden="false" customHeight="false" outlineLevel="0" collapsed="false">
      <c r="A32" s="416" t="n">
        <v>1972</v>
      </c>
      <c r="B32" s="519" t="n">
        <f aca="false">DataDE1!EV33/DataDE1!B33</f>
        <v>0.740018275018504</v>
      </c>
      <c r="C32" s="518" t="n">
        <f aca="false">DataDE1!EW33/DataDE1!$B33</f>
        <v>0.158392464304593</v>
      </c>
      <c r="D32" s="518" t="n">
        <f aca="false">DataDE1!EX33/DataDE1!$B33</f>
        <v>0.474118240035228</v>
      </c>
      <c r="E32" s="518" t="n">
        <f aca="false">DataDE1!EY33/DataDE1!$B33</f>
        <v>0.105483909408447</v>
      </c>
      <c r="F32" s="518" t="n">
        <f aca="false">DataDE1!EZ33/DataDE1!B33</f>
        <v>0.766967631797426</v>
      </c>
      <c r="G32" s="1602"/>
      <c r="H32" s="1602" t="n">
        <f aca="false">DataDE1!FJ33/DataDE1!B33</f>
        <v>0.0398684310345865</v>
      </c>
      <c r="I32" s="518" t="n">
        <f aca="false">DataDE1!FI33/DataDE1!B33</f>
        <v>0.109649013963338</v>
      </c>
      <c r="J32" s="519" t="n">
        <f aca="false">DataDE1!FK33/DataDE1!B33</f>
        <v>0.149517444997924</v>
      </c>
      <c r="K32" s="519" t="n">
        <f aca="false">DataDE1!FD33/DataDE1!B33</f>
        <v>0.132290379825654</v>
      </c>
      <c r="L32" s="518" t="n">
        <f aca="false">B32/$B32</f>
        <v>1</v>
      </c>
      <c r="M32" s="518" t="n">
        <f aca="false">C32/$B32</f>
        <v>0.21403858479121</v>
      </c>
      <c r="N32" s="518" t="n">
        <f aca="false">D32/$B32</f>
        <v>0.640684502046078</v>
      </c>
      <c r="O32" s="518" t="n">
        <f aca="false">E32/$B32</f>
        <v>0.142542303304346</v>
      </c>
      <c r="P32" s="1602"/>
      <c r="Q32" s="1602" t="n">
        <f aca="false">H32/$B32</f>
        <v>0.053874927661198</v>
      </c>
      <c r="R32" s="518" t="n">
        <f aca="false">I32/$B32</f>
        <v>0.148170683974793</v>
      </c>
      <c r="S32" s="1573" t="n">
        <f aca="false">J32/$B32</f>
        <v>0.202045611635991</v>
      </c>
      <c r="V32" s="1632"/>
    </row>
    <row r="33" customFormat="false" ht="12" hidden="false" customHeight="false" outlineLevel="0" collapsed="false">
      <c r="A33" s="416" t="n">
        <v>1973</v>
      </c>
      <c r="B33" s="519" t="n">
        <f aca="false">DataDE1!EV34/DataDE1!B34</f>
        <v>0.719517755399581</v>
      </c>
      <c r="C33" s="518" t="n">
        <f aca="false">DataDE1!EW34/DataDE1!$B34</f>
        <v>0.148104763382524</v>
      </c>
      <c r="D33" s="518" t="n">
        <f aca="false">DataDE1!EX34/DataDE1!$B34</f>
        <v>0.465018725172953</v>
      </c>
      <c r="E33" s="518" t="n">
        <f aca="false">DataDE1!EY34/DataDE1!$B34</f>
        <v>0.103856668483066</v>
      </c>
      <c r="F33" s="518" t="n">
        <f aca="false">DataDE1!EZ34/DataDE1!B34</f>
        <v>0.746635945429995</v>
      </c>
      <c r="G33" s="1602"/>
      <c r="H33" s="1602" t="n">
        <f aca="false">DataDE1!FJ34/DataDE1!B34</f>
        <v>0.0302185511565119</v>
      </c>
      <c r="I33" s="518" t="n">
        <f aca="false">DataDE1!FI34/DataDE1!B34</f>
        <v>0.10322653893987</v>
      </c>
      <c r="J33" s="519" t="n">
        <f aca="false">DataDE1!FK34/DataDE1!B34</f>
        <v>0.133445090096382</v>
      </c>
      <c r="K33" s="519" t="n">
        <f aca="false">DataDE1!FD34/DataDE1!B34</f>
        <v>0.116915779671276</v>
      </c>
      <c r="L33" s="518" t="n">
        <f aca="false">B33/$B33</f>
        <v>1</v>
      </c>
      <c r="M33" s="518" t="n">
        <f aca="false">C33/$B33</f>
        <v>0.205838927908422</v>
      </c>
      <c r="N33" s="518" t="n">
        <f aca="false">D33/$B33</f>
        <v>0.646292216812228</v>
      </c>
      <c r="O33" s="518" t="n">
        <f aca="false">E33/$B33</f>
        <v>0.144342050913517</v>
      </c>
      <c r="P33" s="1602"/>
      <c r="Q33" s="1602" t="n">
        <f aca="false">H33/$B33</f>
        <v>0.0419983397626236</v>
      </c>
      <c r="R33" s="518" t="n">
        <f aca="false">I33/$B33</f>
        <v>0.143466284417879</v>
      </c>
      <c r="S33" s="1573" t="n">
        <f aca="false">J33/$B33</f>
        <v>0.185464624180503</v>
      </c>
      <c r="V33" s="1632"/>
    </row>
    <row r="34" customFormat="false" ht="12" hidden="false" customHeight="false" outlineLevel="0" collapsed="false">
      <c r="A34" s="416" t="n">
        <v>1974</v>
      </c>
      <c r="B34" s="519" t="n">
        <f aca="false">DataDE1!EV35/DataDE1!B35</f>
        <v>0.725776909768968</v>
      </c>
      <c r="C34" s="518" t="n">
        <f aca="false">DataDE1!EW35/DataDE1!$B35</f>
        <v>0.140854321471637</v>
      </c>
      <c r="D34" s="518" t="n">
        <f aca="false">DataDE1!EX35/DataDE1!$B35</f>
        <v>0.471303409590145</v>
      </c>
      <c r="E34" s="518" t="n">
        <f aca="false">DataDE1!EY35/DataDE1!$B35</f>
        <v>0.111629430237345</v>
      </c>
      <c r="F34" s="518" t="n">
        <f aca="false">DataDE1!EZ35/DataDE1!B35</f>
        <v>0.755066297553907</v>
      </c>
      <c r="G34" s="1602"/>
      <c r="H34" s="1602" t="n">
        <f aca="false">DataDE1!FJ35/DataDE1!B35</f>
        <v>0.0307131460374448</v>
      </c>
      <c r="I34" s="518" t="n">
        <f aca="false">DataDE1!FI35/DataDE1!B35</f>
        <v>0.111056441089748</v>
      </c>
      <c r="J34" s="519" t="n">
        <f aca="false">DataDE1!FK35/DataDE1!B35</f>
        <v>0.141769587127193</v>
      </c>
      <c r="K34" s="519" t="n">
        <f aca="false">DataDE1!FD35/DataDE1!B35</f>
        <v>0.124207894110777</v>
      </c>
      <c r="L34" s="518" t="n">
        <f aca="false">B34/$B34</f>
        <v>1</v>
      </c>
      <c r="M34" s="518" t="n">
        <f aca="false">C34/$B34</f>
        <v>0.194073853240212</v>
      </c>
      <c r="N34" s="518" t="n">
        <f aca="false">D34/$B34</f>
        <v>0.649377795361625</v>
      </c>
      <c r="O34" s="518" t="n">
        <f aca="false">E34/$B34</f>
        <v>0.153806808586511</v>
      </c>
      <c r="P34" s="1602"/>
      <c r="Q34" s="1602" t="n">
        <f aca="false">H34/$B34</f>
        <v>0.0423176125115657</v>
      </c>
      <c r="R34" s="518" t="n">
        <f aca="false">I34/$B34</f>
        <v>0.153017324738396</v>
      </c>
      <c r="S34" s="1573" t="n">
        <f aca="false">J34/$B34</f>
        <v>0.195334937249962</v>
      </c>
      <c r="V34" s="1632"/>
    </row>
    <row r="35" customFormat="false" ht="12" hidden="false" customHeight="false" outlineLevel="0" collapsed="false">
      <c r="A35" s="416" t="n">
        <v>1975</v>
      </c>
      <c r="B35" s="519" t="n">
        <f aca="false">DataDE1!EV36/DataDE1!B36</f>
        <v>0.756875126584074</v>
      </c>
      <c r="C35" s="518" t="n">
        <f aca="false">DataDE1!EW36/DataDE1!$B36</f>
        <v>0.148559899413937</v>
      </c>
      <c r="D35" s="518" t="n">
        <f aca="false">DataDE1!EX36/DataDE1!$B36</f>
        <v>0.469247889425389</v>
      </c>
      <c r="E35" s="518" t="n">
        <f aca="false">DataDE1!EY36/DataDE1!$B36</f>
        <v>0.135586266071969</v>
      </c>
      <c r="F35" s="518" t="n">
        <f aca="false">DataDE1!EZ36/DataDE1!B36</f>
        <v>0.791840210521954</v>
      </c>
      <c r="G35" s="1602"/>
      <c r="H35" s="1602" t="n">
        <f aca="false">DataDE1!FJ36/DataDE1!B36</f>
        <v>0.025784623284802</v>
      </c>
      <c r="I35" s="518" t="n">
        <f aca="false">DataDE1!FI36/DataDE1!B36</f>
        <v>0.121352825172545</v>
      </c>
      <c r="J35" s="519" t="n">
        <f aca="false">DataDE1!FK36/DataDE1!B36</f>
        <v>0.147137448457347</v>
      </c>
      <c r="K35" s="519" t="n">
        <f aca="false">DataDE1!FD36/DataDE1!B36</f>
        <v>0.13049875468805</v>
      </c>
      <c r="L35" s="518" t="n">
        <f aca="false">B35/$B35</f>
        <v>1</v>
      </c>
      <c r="M35" s="518" t="n">
        <f aca="false">C35/$B35</f>
        <v>0.196280593979111</v>
      </c>
      <c r="N35" s="518" t="n">
        <f aca="false">D35/$B35</f>
        <v>0.619980592496409</v>
      </c>
      <c r="O35" s="518" t="n">
        <f aca="false">E35/$B35</f>
        <v>0.179139545361857</v>
      </c>
      <c r="P35" s="1602"/>
      <c r="Q35" s="1602" t="n">
        <f aca="false">H35/$B35</f>
        <v>0.0340672092121365</v>
      </c>
      <c r="R35" s="518" t="n">
        <f aca="false">I35/$B35</f>
        <v>0.160334011397935</v>
      </c>
      <c r="S35" s="1573" t="n">
        <f aca="false">J35/$B35</f>
        <v>0.194401220610072</v>
      </c>
      <c r="V35" s="1632"/>
      <c r="W35" s="1632"/>
    </row>
    <row r="36" customFormat="false" ht="12" hidden="false" customHeight="false" outlineLevel="0" collapsed="false">
      <c r="A36" s="416" t="n">
        <v>1976</v>
      </c>
      <c r="B36" s="519" t="n">
        <f aca="false">DataDE1!EV37/DataDE1!B37</f>
        <v>0.741180370113921</v>
      </c>
      <c r="C36" s="518" t="n">
        <f aca="false">DataDE1!EW37/DataDE1!$B37</f>
        <v>0.153811833250483</v>
      </c>
      <c r="D36" s="518" t="n">
        <f aca="false">DataDE1!EX37/DataDE1!$B37</f>
        <v>0.45156517016445</v>
      </c>
      <c r="E36" s="518" t="n">
        <f aca="false">DataDE1!EY37/DataDE1!$B37</f>
        <v>0.132564222595183</v>
      </c>
      <c r="F36" s="518" t="n">
        <f aca="false">DataDE1!EZ37/DataDE1!B37</f>
        <v>0.775755966693977</v>
      </c>
      <c r="G36" s="1602"/>
      <c r="H36" s="1602" t="n">
        <f aca="false">DataDE1!FJ37/DataDE1!B37</f>
        <v>0.0309688347945381</v>
      </c>
      <c r="I36" s="518" t="n">
        <f aca="false">DataDE1!FI37/DataDE1!B37</f>
        <v>0.105951699473701</v>
      </c>
      <c r="J36" s="519" t="n">
        <f aca="false">DataDE1!FK37/DataDE1!B37</f>
        <v>0.136920534268239</v>
      </c>
      <c r="K36" s="519" t="n">
        <f aca="false">DataDE1!FD37/DataDE1!B37</f>
        <v>0.11864795076501</v>
      </c>
      <c r="L36" s="518" t="n">
        <f aca="false">B36/$B36</f>
        <v>1</v>
      </c>
      <c r="M36" s="518" t="n">
        <f aca="false">C36/$B36</f>
        <v>0.20752281017216</v>
      </c>
      <c r="N36" s="518" t="n">
        <f aca="false">D36/$B36</f>
        <v>0.609251389233424</v>
      </c>
      <c r="O36" s="518" t="n">
        <f aca="false">E36/$B36</f>
        <v>0.178855549796614</v>
      </c>
      <c r="P36" s="1602"/>
      <c r="Q36" s="1602" t="n">
        <f aca="false">H36/$B36</f>
        <v>0.0417831287002084</v>
      </c>
      <c r="R36" s="518" t="n">
        <f aca="false">I36/$B36</f>
        <v>0.14294995354156</v>
      </c>
      <c r="S36" s="1573" t="n">
        <f aca="false">J36/$B36</f>
        <v>0.184733082241768</v>
      </c>
      <c r="V36" s="1632"/>
    </row>
    <row r="37" customFormat="false" ht="12" hidden="false" customHeight="false" outlineLevel="0" collapsed="false">
      <c r="A37" s="416" t="n">
        <v>1977</v>
      </c>
      <c r="B37" s="519" t="n">
        <f aca="false">DataDE1!EV38/DataDE1!B38</f>
        <v>0.731293626706376</v>
      </c>
      <c r="C37" s="518" t="n">
        <f aca="false">DataDE1!EW38/DataDE1!$B38</f>
        <v>0.147873518136447</v>
      </c>
      <c r="D37" s="518" t="n">
        <f aca="false">DataDE1!EX38/DataDE1!$B38</f>
        <v>0.449858050554098</v>
      </c>
      <c r="E37" s="518" t="n">
        <f aca="false">DataDE1!EY38/DataDE1!$B38</f>
        <v>0.131268932019308</v>
      </c>
      <c r="F37" s="518" t="n">
        <f aca="false">DataDE1!EZ38/DataDE1!B38</f>
        <v>0.765832429817804</v>
      </c>
      <c r="G37" s="1602"/>
      <c r="H37" s="1602" t="n">
        <f aca="false">DataDE1!FJ38/DataDE1!B38</f>
        <v>0.0296042975341366</v>
      </c>
      <c r="I37" s="518" t="n">
        <f aca="false">DataDE1!FI38/DataDE1!B38</f>
        <v>0.0966430447686635</v>
      </c>
      <c r="J37" s="519" t="n">
        <f aca="false">DataDE1!FK38/DataDE1!B38</f>
        <v>0.1262473423028</v>
      </c>
      <c r="K37" s="519" t="n">
        <f aca="false">DataDE1!FD38/DataDE1!B38</f>
        <v>0.106719941238646</v>
      </c>
      <c r="L37" s="518" t="n">
        <f aca="false">B37/$B37</f>
        <v>1</v>
      </c>
      <c r="M37" s="518" t="n">
        <f aca="false">C37/$B37</f>
        <v>0.202208131913366</v>
      </c>
      <c r="N37" s="518" t="n">
        <f aca="false">D37/$B37</f>
        <v>0.615153796129993</v>
      </c>
      <c r="O37" s="518" t="n">
        <f aca="false">E37/$B37</f>
        <v>0.179502360235957</v>
      </c>
      <c r="P37" s="1602"/>
      <c r="Q37" s="1602" t="n">
        <f aca="false">H37/$B37</f>
        <v>0.0404820942683029</v>
      </c>
      <c r="R37" s="518" t="n">
        <f aca="false">I37/$B37</f>
        <v>0.132153544403125</v>
      </c>
      <c r="S37" s="1573" t="n">
        <f aca="false">J37/$B37</f>
        <v>0.172635638671428</v>
      </c>
      <c r="V37" s="1632"/>
    </row>
    <row r="38" customFormat="false" ht="12" hidden="false" customHeight="false" outlineLevel="0" collapsed="false">
      <c r="A38" s="416" t="n">
        <v>1978</v>
      </c>
      <c r="B38" s="519" t="n">
        <f aca="false">DataDE1!EV39/DataDE1!B39</f>
        <v>0.734310329026801</v>
      </c>
      <c r="C38" s="518" t="n">
        <f aca="false">DataDE1!EW39/DataDE1!$B39</f>
        <v>0.150907412923609</v>
      </c>
      <c r="D38" s="518" t="n">
        <f aca="false">DataDE1!EX39/DataDE1!$B39</f>
        <v>0.451804171985941</v>
      </c>
      <c r="E38" s="518" t="n">
        <f aca="false">DataDE1!EY39/DataDE1!$B39</f>
        <v>0.12943692617919</v>
      </c>
      <c r="F38" s="518" t="n">
        <f aca="false">DataDE1!EZ39/DataDE1!B39</f>
        <v>0.768082189301515</v>
      </c>
      <c r="G38" s="1602"/>
      <c r="H38" s="1602" t="n">
        <f aca="false">DataDE1!FJ39/DataDE1!B39</f>
        <v>0.0367283851237004</v>
      </c>
      <c r="I38" s="518" t="n">
        <f aca="false">DataDE1!FI39/DataDE1!B39</f>
        <v>0.0966675191530123</v>
      </c>
      <c r="J38" s="519" t="n">
        <f aca="false">DataDE1!FK39/DataDE1!B39</f>
        <v>0.133395904276713</v>
      </c>
      <c r="K38" s="519" t="n">
        <f aca="false">DataDE1!FD39/DataDE1!B39</f>
        <v>0.116503559458372</v>
      </c>
      <c r="L38" s="518" t="n">
        <f aca="false">B38/$B38</f>
        <v>1</v>
      </c>
      <c r="M38" s="518" t="n">
        <f aca="false">C38/$B38</f>
        <v>0.205509042918694</v>
      </c>
      <c r="N38" s="518" t="n">
        <f aca="false">D38/$B38</f>
        <v>0.615276885162065</v>
      </c>
      <c r="O38" s="518" t="n">
        <f aca="false">E38/$B38</f>
        <v>0.176270060576072</v>
      </c>
      <c r="P38" s="1602"/>
      <c r="Q38" s="1602" t="n">
        <f aca="false">H38/$B38</f>
        <v>0.0500175248418164</v>
      </c>
      <c r="R38" s="518" t="n">
        <f aca="false">I38/$B38</f>
        <v>0.131643959415807</v>
      </c>
      <c r="S38" s="1573" t="n">
        <f aca="false">J38/$B38</f>
        <v>0.181661484257624</v>
      </c>
      <c r="V38" s="1632"/>
    </row>
    <row r="39" customFormat="false" ht="12.75" hidden="false" customHeight="true" outlineLevel="0" collapsed="false">
      <c r="A39" s="416" t="n">
        <v>1979</v>
      </c>
      <c r="B39" s="519" t="n">
        <f aca="false">DataDE1!EV40/DataDE1!B40</f>
        <v>0.734903387947317</v>
      </c>
      <c r="C39" s="518" t="n">
        <f aca="false">DataDE1!EW40/DataDE1!$B40</f>
        <v>0.152501301036576</v>
      </c>
      <c r="D39" s="518" t="n">
        <f aca="false">DataDE1!EX40/DataDE1!$B40</f>
        <v>0.452159035731364</v>
      </c>
      <c r="E39" s="518" t="n">
        <f aca="false">DataDE1!EY40/DataDE1!$B40</f>
        <v>0.127157875525909</v>
      </c>
      <c r="F39" s="518" t="n">
        <f aca="false">DataDE1!EZ40/DataDE1!B40</f>
        <v>0.767883172614803</v>
      </c>
      <c r="G39" s="1602"/>
      <c r="H39" s="1602" t="n">
        <f aca="false">DataDE1!FJ40/DataDE1!B40</f>
        <v>0.0253117704922306</v>
      </c>
      <c r="I39" s="518" t="n">
        <f aca="false">DataDE1!FI40/DataDE1!B40</f>
        <v>0.101583525777653</v>
      </c>
      <c r="J39" s="519" t="n">
        <f aca="false">DataDE1!FK40/DataDE1!B40</f>
        <v>0.126895296269883</v>
      </c>
      <c r="K39" s="519" t="n">
        <f aca="false">DataDE1!FD40/DataDE1!B40</f>
        <v>0.110415187125981</v>
      </c>
      <c r="L39" s="518" t="n">
        <f aca="false">B39/$B39</f>
        <v>1</v>
      </c>
      <c r="M39" s="518" t="n">
        <f aca="false">C39/$B39</f>
        <v>0.20751203972883</v>
      </c>
      <c r="N39" s="518" t="n">
        <f aca="false">D39/$B39</f>
        <v>0.615263234796487</v>
      </c>
      <c r="O39" s="518" t="n">
        <f aca="false">E39/$B39</f>
        <v>0.173026655763662</v>
      </c>
      <c r="P39" s="1602"/>
      <c r="Q39" s="1602" t="n">
        <f aca="false">H39/$B39</f>
        <v>0.0344423102510518</v>
      </c>
      <c r="R39" s="518" t="n">
        <f aca="false">I39/$B39</f>
        <v>0.13822704785916</v>
      </c>
      <c r="S39" s="1573" t="n">
        <f aca="false">J39/$B39</f>
        <v>0.172669358110212</v>
      </c>
      <c r="V39" s="1632"/>
    </row>
    <row r="40" customFormat="false" ht="12" hidden="false" customHeight="false" outlineLevel="0" collapsed="false">
      <c r="A40" s="864" t="n">
        <v>1980</v>
      </c>
      <c r="B40" s="526" t="n">
        <f aca="false">DataDE1!EV41/DataDE1!B41</f>
        <v>0.732871624990887</v>
      </c>
      <c r="C40" s="525" t="n">
        <f aca="false">DataDE1!EW41/DataDE1!$B41</f>
        <v>0.143521836318508</v>
      </c>
      <c r="D40" s="525" t="n">
        <f aca="false">DataDE1!EX41/DataDE1!$B41</f>
        <v>0.459865857973211</v>
      </c>
      <c r="E40" s="525" t="n">
        <f aca="false">DataDE1!EY41/DataDE1!$B41</f>
        <v>0.126174169089486</v>
      </c>
      <c r="F40" s="525" t="n">
        <f aca="false">DataDE1!EZ41/DataDE1!B41</f>
        <v>0.765721373478166</v>
      </c>
      <c r="G40" s="1606" t="n">
        <f aca="false">(DataDE1!EW41-DataDE1!BU41-DataDE1!FF41)/DataDE1!$B41</f>
        <v>0.125529563955747</v>
      </c>
      <c r="H40" s="1606" t="n">
        <f aca="false">DataDE1!FJ41/DataDE1!B41</f>
        <v>0.00680906903841947</v>
      </c>
      <c r="I40" s="525" t="n">
        <f aca="false">DataDE1!FI41/DataDE1!B41</f>
        <v>0.104468907195451</v>
      </c>
      <c r="J40" s="526" t="n">
        <f aca="false">DataDE1!FK41/DataDE1!B41</f>
        <v>0.11127797623387</v>
      </c>
      <c r="K40" s="526" t="n">
        <f aca="false">DataDE1!FD41/DataDE1!B41</f>
        <v>0.0964934023474521</v>
      </c>
      <c r="L40" s="525" t="n">
        <f aca="false">B40/$B40</f>
        <v>1</v>
      </c>
      <c r="M40" s="525" t="n">
        <f aca="false">C40/$B40</f>
        <v>0.195834893075978</v>
      </c>
      <c r="N40" s="525" t="n">
        <f aca="false">D40/$B40</f>
        <v>0.627484872236566</v>
      </c>
      <c r="O40" s="525" t="n">
        <f aca="false">E40/$B40</f>
        <v>0.172164080020229</v>
      </c>
      <c r="P40" s="1606" t="n">
        <f aca="false">G40/$B40</f>
        <v>0.171284519246202</v>
      </c>
      <c r="Q40" s="1606" t="n">
        <f aca="false">H40/$B40</f>
        <v>0.00929094374271092</v>
      </c>
      <c r="R40" s="525" t="n">
        <f aca="false">I40/$B40</f>
        <v>0.142547348857653</v>
      </c>
      <c r="S40" s="1583" t="n">
        <f aca="false">J40/$B40</f>
        <v>0.151838292600364</v>
      </c>
      <c r="V40" s="1632"/>
    </row>
    <row r="41" customFormat="false" ht="12" hidden="false" customHeight="false" outlineLevel="0" collapsed="false">
      <c r="A41" s="416" t="n">
        <v>1981</v>
      </c>
      <c r="B41" s="519" t="n">
        <f aca="false">DataDE1!EV42/DataDE1!B42</f>
        <v>0.742703603300219</v>
      </c>
      <c r="C41" s="518" t="n">
        <f aca="false">DataDE1!EW42/DataDE1!$B42</f>
        <v>0.144178123871328</v>
      </c>
      <c r="D41" s="518" t="n">
        <f aca="false">DataDE1!EX42/DataDE1!$B42</f>
        <v>0.461994868997378</v>
      </c>
      <c r="E41" s="518" t="n">
        <f aca="false">DataDE1!EY42/DataDE1!$B42</f>
        <v>0.131549412699011</v>
      </c>
      <c r="F41" s="518" t="n">
        <f aca="false">DataDE1!EZ42/DataDE1!B42</f>
        <v>0.777600050513555</v>
      </c>
      <c r="G41" s="1602" t="n">
        <f aca="false">(DataDE1!EW42-DataDE1!BU42-DataDE1!FF42)/DataDE1!$B42</f>
        <v>0.13623627058514</v>
      </c>
      <c r="H41" s="1602" t="n">
        <f aca="false">DataDE1!FJ42/DataDE1!B42</f>
        <v>-0.00133299657630353</v>
      </c>
      <c r="I41" s="518" t="n">
        <f aca="false">DataDE1!FI42/DataDE1!B42</f>
        <v>0.110091485659763</v>
      </c>
      <c r="J41" s="519" t="n">
        <f aca="false">DataDE1!FK42/DataDE1!B42</f>
        <v>0.10875848908346</v>
      </c>
      <c r="K41" s="519" t="n">
        <f aca="false">DataDE1!FD42/DataDE1!B42</f>
        <v>0.0949093562328114</v>
      </c>
      <c r="L41" s="518" t="n">
        <f aca="false">B41/$B41</f>
        <v>1</v>
      </c>
      <c r="M41" s="518" t="n">
        <f aca="false">C41/$B41</f>
        <v>0.194126059481426</v>
      </c>
      <c r="N41" s="518" t="n">
        <f aca="false">D41/$B41</f>
        <v>0.622044738903237</v>
      </c>
      <c r="O41" s="518" t="n">
        <f aca="false">E41/$B41</f>
        <v>0.177122356905862</v>
      </c>
      <c r="P41" s="1602" t="n">
        <f aca="false">G41/$B41</f>
        <v>0.183432892986881</v>
      </c>
      <c r="Q41" s="1602" t="n">
        <f aca="false">H41/$B41</f>
        <v>-0.00179478942929634</v>
      </c>
      <c r="R41" s="518" t="n">
        <f aca="false">I41/$B41</f>
        <v>0.148230714339569</v>
      </c>
      <c r="S41" s="1573" t="n">
        <f aca="false">J41/$B41</f>
        <v>0.146435924910272</v>
      </c>
      <c r="V41" s="1632"/>
    </row>
    <row r="42" customFormat="false" ht="12" hidden="false" customHeight="false" outlineLevel="0" collapsed="false">
      <c r="A42" s="416" t="n">
        <v>1982</v>
      </c>
      <c r="B42" s="519" t="n">
        <f aca="false">DataDE1!EV43/DataDE1!B43</f>
        <v>0.744216274316037</v>
      </c>
      <c r="C42" s="518" t="n">
        <f aca="false">DataDE1!EW43/DataDE1!$B43</f>
        <v>0.146202520485285</v>
      </c>
      <c r="D42" s="518" t="n">
        <f aca="false">DataDE1!EX43/DataDE1!$B43</f>
        <v>0.456420280354288</v>
      </c>
      <c r="E42" s="518" t="n">
        <f aca="false">DataDE1!EY43/DataDE1!$B43</f>
        <v>0.136300462687386</v>
      </c>
      <c r="F42" s="518" t="n">
        <f aca="false">DataDE1!EZ43/DataDE1!B43</f>
        <v>0.778735909896983</v>
      </c>
      <c r="G42" s="1602" t="n">
        <f aca="false">(DataDE1!EW43-DataDE1!BU43-DataDE1!FF43)/DataDE1!$B43</f>
        <v>0.132638334268772</v>
      </c>
      <c r="H42" s="1602" t="n">
        <f aca="false">DataDE1!FJ43/DataDE1!B43</f>
        <v>0.0044537098455416</v>
      </c>
      <c r="I42" s="518" t="n">
        <f aca="false">DataDE1!FI43/DataDE1!B43</f>
        <v>0.104371133462387</v>
      </c>
      <c r="J42" s="519" t="n">
        <f aca="false">DataDE1!FK43/DataDE1!B43</f>
        <v>0.108824843307929</v>
      </c>
      <c r="K42" s="519" t="n">
        <f aca="false">DataDE1!FD43/DataDE1!B43</f>
        <v>0.0939881685641186</v>
      </c>
      <c r="L42" s="518" t="n">
        <f aca="false">B42/$B42</f>
        <v>1</v>
      </c>
      <c r="M42" s="518" t="n">
        <f aca="false">C42/$B42</f>
        <v>0.196451657308422</v>
      </c>
      <c r="N42" s="518" t="n">
        <f aca="false">D42/$B42</f>
        <v>0.613289840743883</v>
      </c>
      <c r="O42" s="518" t="n">
        <f aca="false">E42/$B42</f>
        <v>0.183146307587336</v>
      </c>
      <c r="P42" s="1602" t="n">
        <f aca="false">G42/$B42</f>
        <v>0.178225522400289</v>
      </c>
      <c r="Q42" s="1602" t="n">
        <f aca="false">H42/$B42</f>
        <v>0.00598442952572452</v>
      </c>
      <c r="R42" s="518" t="n">
        <f aca="false">I42/$B42</f>
        <v>0.140243014113482</v>
      </c>
      <c r="S42" s="1573" t="n">
        <f aca="false">J42/$B42</f>
        <v>0.146227443639207</v>
      </c>
      <c r="T42" s="115"/>
      <c r="V42" s="1632"/>
    </row>
    <row r="43" customFormat="false" ht="12" hidden="false" customHeight="false" outlineLevel="0" collapsed="false">
      <c r="A43" s="416" t="n">
        <v>1983</v>
      </c>
      <c r="B43" s="519" t="n">
        <f aca="false">DataDE1!EV44/DataDE1!B44</f>
        <v>0.744935036524662</v>
      </c>
      <c r="C43" s="518" t="n">
        <f aca="false">DataDE1!EW44/DataDE1!$B44</f>
        <v>0.162055078777977</v>
      </c>
      <c r="D43" s="518" t="n">
        <f aca="false">DataDE1!EX44/DataDE1!$B44</f>
        <v>0.446316361582065</v>
      </c>
      <c r="E43" s="518" t="n">
        <f aca="false">DataDE1!EY44/DataDE1!$B44</f>
        <v>0.132232353033196</v>
      </c>
      <c r="F43" s="518" t="n">
        <f aca="false">DataDE1!EZ44/DataDE1!B44</f>
        <v>0.777930058827332</v>
      </c>
      <c r="G43" s="1602" t="n">
        <f aca="false">(DataDE1!EW44-DataDE1!BU44-DataDE1!FF44)/DataDE1!$B44</f>
        <v>0.133365441438783</v>
      </c>
      <c r="H43" s="1602" t="n">
        <f aca="false">DataDE1!FJ44/DataDE1!B44</f>
        <v>0.0189928243583942</v>
      </c>
      <c r="I43" s="518" t="n">
        <f aca="false">DataDE1!FI44/DataDE1!B44</f>
        <v>0.0903872260650334</v>
      </c>
      <c r="J43" s="519" t="n">
        <f aca="false">DataDE1!FK44/DataDE1!B44</f>
        <v>0.109380050423428</v>
      </c>
      <c r="K43" s="519" t="n">
        <f aca="false">DataDE1!FD44/DataDE1!B44</f>
        <v>0.0949382636240223</v>
      </c>
      <c r="L43" s="518" t="n">
        <f aca="false">B43/$B43</f>
        <v>1</v>
      </c>
      <c r="M43" s="518" t="n">
        <f aca="false">C43/$B43</f>
        <v>0.217542565233622</v>
      </c>
      <c r="N43" s="518" t="n">
        <f aca="false">D43/$B43</f>
        <v>0.599134608655622</v>
      </c>
      <c r="O43" s="518" t="n">
        <f aca="false">E43/$B43</f>
        <v>0.177508569942016</v>
      </c>
      <c r="P43" s="1602" t="n">
        <f aca="false">G43/$B43</f>
        <v>0.17902962661143</v>
      </c>
      <c r="Q43" s="1602" t="n">
        <f aca="false">H43/$B43</f>
        <v>0.0254959471996394</v>
      </c>
      <c r="R43" s="518" t="n">
        <f aca="false">I43/$B43</f>
        <v>0.121335716046752</v>
      </c>
      <c r="S43" s="1573" t="n">
        <f aca="false">J43/$B43</f>
        <v>0.146831663246392</v>
      </c>
      <c r="T43" s="115"/>
      <c r="V43" s="1632"/>
    </row>
    <row r="44" customFormat="false" ht="12" hidden="false" customHeight="false" outlineLevel="0" collapsed="false">
      <c r="A44" s="416" t="n">
        <v>1984</v>
      </c>
      <c r="B44" s="519" t="n">
        <f aca="false">DataDE1!EV45/DataDE1!B45</f>
        <v>0.739872963841211</v>
      </c>
      <c r="C44" s="518" t="n">
        <f aca="false">DataDE1!EW45/DataDE1!$B45</f>
        <v>0.169889137973554</v>
      </c>
      <c r="D44" s="518" t="n">
        <f aca="false">DataDE1!EX45/DataDE1!$B45</f>
        <v>0.437990915772697</v>
      </c>
      <c r="E44" s="518" t="n">
        <f aca="false">DataDE1!EY45/DataDE1!$B45</f>
        <v>0.127520671149622</v>
      </c>
      <c r="F44" s="518" t="n">
        <f aca="false">DataDE1!EZ45/DataDE1!B45</f>
        <v>0.771276927424408</v>
      </c>
      <c r="G44" s="1602" t="n">
        <f aca="false">(DataDE1!EW45-DataDE1!BU45-DataDE1!FF45)/DataDE1!$B45</f>
        <v>0.147527943246864</v>
      </c>
      <c r="H44" s="1602" t="n">
        <f aca="false">DataDE1!FJ45/DataDE1!B45</f>
        <v>0.0120897887972871</v>
      </c>
      <c r="I44" s="518" t="n">
        <f aca="false">DataDE1!FI45/DataDE1!B45</f>
        <v>0.0936958631789755</v>
      </c>
      <c r="J44" s="519" t="n">
        <f aca="false">DataDE1!FK45/DataDE1!B45</f>
        <v>0.105785651976263</v>
      </c>
      <c r="K44" s="519" t="n">
        <f aca="false">DataDE1!FD45/DataDE1!B45</f>
        <v>0.0920003440183803</v>
      </c>
      <c r="L44" s="518" t="n">
        <f aca="false">B44/$B44</f>
        <v>1</v>
      </c>
      <c r="M44" s="518" t="n">
        <f aca="false">C44/$B44</f>
        <v>0.229619335043056</v>
      </c>
      <c r="N44" s="518" t="n">
        <f aca="false">D44/$B44</f>
        <v>0.59198124161582</v>
      </c>
      <c r="O44" s="518" t="n">
        <f aca="false">E44/$B44</f>
        <v>0.172354819518706</v>
      </c>
      <c r="P44" s="1602" t="n">
        <f aca="false">G44/$B44</f>
        <v>0.199396315930969</v>
      </c>
      <c r="Q44" s="1602" t="n">
        <f aca="false">H44/$B44</f>
        <v>0.0163403575858758</v>
      </c>
      <c r="R44" s="518" t="n">
        <f aca="false">I44/$B44</f>
        <v>0.126637771290538</v>
      </c>
      <c r="S44" s="1573" t="n">
        <f aca="false">J44/$B44</f>
        <v>0.142978128876413</v>
      </c>
      <c r="T44" s="115"/>
      <c r="V44" s="1632"/>
    </row>
    <row r="45" customFormat="false" ht="12" hidden="false" customHeight="false" outlineLevel="0" collapsed="false">
      <c r="A45" s="416" t="n">
        <v>1985</v>
      </c>
      <c r="B45" s="519" t="n">
        <f aca="false">DataDE1!EV46/DataDE1!B46</f>
        <v>0.733555844918969</v>
      </c>
      <c r="C45" s="518" t="n">
        <f aca="false">DataDE1!EW46/DataDE1!$B46</f>
        <v>0.174174451194738</v>
      </c>
      <c r="D45" s="518" t="n">
        <f aca="false">DataDE1!EX46/DataDE1!$B46</f>
        <v>0.431181289829704</v>
      </c>
      <c r="E45" s="518" t="n">
        <f aca="false">DataDE1!EY46/DataDE1!$B46</f>
        <v>0.124016347680592</v>
      </c>
      <c r="F45" s="518" t="n">
        <f aca="false">DataDE1!EZ46/DataDE1!B46</f>
        <v>0.76419363269911</v>
      </c>
      <c r="G45" s="1602" t="n">
        <f aca="false">(DataDE1!EW46-DataDE1!BU46-DataDE1!FF46)/DataDE1!$B46</f>
        <v>0.152045201332825</v>
      </c>
      <c r="H45" s="1602" t="n">
        <f aca="false">DataDE1!FJ46/DataDE1!B46</f>
        <v>0.0136324640678802</v>
      </c>
      <c r="I45" s="518" t="n">
        <f aca="false">DataDE1!FI46/DataDE1!B46</f>
        <v>0.0916900729806913</v>
      </c>
      <c r="J45" s="519" t="n">
        <f aca="false">DataDE1!FK46/DataDE1!B46</f>
        <v>0.105322537048571</v>
      </c>
      <c r="K45" s="519" t="n">
        <f aca="false">DataDE1!FD46/DataDE1!B46</f>
        <v>0.0931708406294437</v>
      </c>
      <c r="L45" s="518" t="n">
        <f aca="false">B45/$B45</f>
        <v>1</v>
      </c>
      <c r="M45" s="518" t="n">
        <f aca="false">C45/$B45</f>
        <v>0.237438570493536</v>
      </c>
      <c r="N45" s="518" t="n">
        <f aca="false">D45/$B45</f>
        <v>0.587796134154358</v>
      </c>
      <c r="O45" s="518" t="n">
        <f aca="false">E45/$B45</f>
        <v>0.169061903793148</v>
      </c>
      <c r="P45" s="1602" t="n">
        <f aca="false">G45/$B45</f>
        <v>0.207271474129718</v>
      </c>
      <c r="Q45" s="1602" t="n">
        <f aca="false">H45/$B45</f>
        <v>0.0185840848550339</v>
      </c>
      <c r="R45" s="518" t="n">
        <f aca="false">I45/$B45</f>
        <v>0.12499399141291</v>
      </c>
      <c r="S45" s="1573" t="n">
        <f aca="false">J45/$B45</f>
        <v>0.143578076267944</v>
      </c>
      <c r="T45" s="115"/>
      <c r="V45" s="1632"/>
      <c r="W45" s="1632"/>
    </row>
    <row r="46" customFormat="false" ht="12" hidden="false" customHeight="false" outlineLevel="0" collapsed="false">
      <c r="A46" s="416" t="n">
        <v>1986</v>
      </c>
      <c r="B46" s="519" t="n">
        <f aca="false">DataDE1!EV47/DataDE1!B47</f>
        <v>0.735484883733911</v>
      </c>
      <c r="C46" s="518" t="n">
        <f aca="false">DataDE1!EW47/DataDE1!$B47</f>
        <v>0.178982557272513</v>
      </c>
      <c r="D46" s="518" t="n">
        <f aca="false">DataDE1!EX47/DataDE1!$B47</f>
        <v>0.431038623908322</v>
      </c>
      <c r="E46" s="518" t="n">
        <f aca="false">DataDE1!EY47/DataDE1!$B47</f>
        <v>0.121288616874513</v>
      </c>
      <c r="F46" s="518" t="n">
        <f aca="false">DataDE1!EZ47/DataDE1!B47</f>
        <v>0.766898496299356</v>
      </c>
      <c r="G46" s="1602" t="n">
        <f aca="false">(DataDE1!EW47-DataDE1!BU47-DataDE1!FF47)/DataDE1!$B47</f>
        <v>0.143996678885837</v>
      </c>
      <c r="H46" s="1602" t="n">
        <f aca="false">DataDE1!FJ47/DataDE1!B47</f>
        <v>0.0272496902175733</v>
      </c>
      <c r="I46" s="518" t="n">
        <f aca="false">DataDE1!FI47/DataDE1!B47</f>
        <v>0.0955246207258399</v>
      </c>
      <c r="J46" s="519" t="n">
        <f aca="false">DataDE1!FK47/DataDE1!B47</f>
        <v>0.122774310943413</v>
      </c>
      <c r="K46" s="519" t="n">
        <f aca="false">DataDE1!FD47/DataDE1!B47</f>
        <v>0.112403576731154</v>
      </c>
      <c r="L46" s="518" t="n">
        <f aca="false">B46/$B46</f>
        <v>1</v>
      </c>
      <c r="M46" s="518" t="n">
        <f aca="false">C46/$B46</f>
        <v>0.243353141894438</v>
      </c>
      <c r="N46" s="518" t="n">
        <f aca="false">D46/$B46</f>
        <v>0.586060479883726</v>
      </c>
      <c r="O46" s="518" t="n">
        <f aca="false">E46/$B46</f>
        <v>0.164909734458109</v>
      </c>
      <c r="P46" s="1602" t="n">
        <f aca="false">G46/$B46</f>
        <v>0.195784688537438</v>
      </c>
      <c r="Q46" s="1602" t="n">
        <f aca="false">H46/$B46</f>
        <v>0.0370499663830371</v>
      </c>
      <c r="R46" s="518" t="n">
        <f aca="false">I46/$B46</f>
        <v>0.129879787931032</v>
      </c>
      <c r="S46" s="1573" t="n">
        <f aca="false">J46/$B46</f>
        <v>0.166929754314069</v>
      </c>
      <c r="T46" s="115"/>
      <c r="V46" s="1632"/>
    </row>
    <row r="47" customFormat="false" ht="12" hidden="false" customHeight="false" outlineLevel="0" collapsed="false">
      <c r="A47" s="416" t="n">
        <v>1987</v>
      </c>
      <c r="B47" s="519" t="n">
        <f aca="false">DataDE1!EV48/DataDE1!B48</f>
        <v>0.739606965407433</v>
      </c>
      <c r="C47" s="518" t="n">
        <f aca="false">DataDE1!EW48/DataDE1!$B48</f>
        <v>0.173889271654503</v>
      </c>
      <c r="D47" s="518" t="n">
        <f aca="false">DataDE1!EX48/DataDE1!$B48</f>
        <v>0.43781937510226</v>
      </c>
      <c r="E47" s="518" t="n">
        <f aca="false">DataDE1!EY48/DataDE1!$B48</f>
        <v>0.123743284625194</v>
      </c>
      <c r="F47" s="518" t="n">
        <f aca="false">DataDE1!EZ48/DataDE1!B48</f>
        <v>0.771800299904031</v>
      </c>
      <c r="G47" s="1602" t="n">
        <f aca="false">(DataDE1!EW48-DataDE1!BU48-DataDE1!FF48)/DataDE1!$B48</f>
        <v>0.140899828276384</v>
      </c>
      <c r="H47" s="1602" t="n">
        <f aca="false">DataDE1!FJ48/DataDE1!B48</f>
        <v>0.0245048857093003</v>
      </c>
      <c r="I47" s="518" t="n">
        <f aca="false">DataDE1!FI48/DataDE1!B48</f>
        <v>0.0971034723433956</v>
      </c>
      <c r="J47" s="519" t="n">
        <f aca="false">DataDE1!FK48/DataDE1!B48</f>
        <v>0.121608358052696</v>
      </c>
      <c r="K47" s="519" t="n">
        <f aca="false">DataDE1!FD48/DataDE1!B48</f>
        <v>0.111367998604083</v>
      </c>
      <c r="L47" s="518" t="n">
        <f aca="false">B47/$B47</f>
        <v>1</v>
      </c>
      <c r="M47" s="518" t="n">
        <f aca="false">C47/$B47</f>
        <v>0.235110375899058</v>
      </c>
      <c r="N47" s="518" t="n">
        <f aca="false">D47/$B47</f>
        <v>0.59196221179593</v>
      </c>
      <c r="O47" s="518" t="n">
        <f aca="false">E47/$B47</f>
        <v>0.167309517639584</v>
      </c>
      <c r="P47" s="1602" t="n">
        <f aca="false">G47/$B47</f>
        <v>0.190506356573813</v>
      </c>
      <c r="Q47" s="1602" t="n">
        <f aca="false">H47/$B47</f>
        <v>0.0331323079087027</v>
      </c>
      <c r="R47" s="518" t="n">
        <f aca="false">I47/$B47</f>
        <v>0.131290640684953</v>
      </c>
      <c r="S47" s="1573" t="n">
        <f aca="false">J47/$B47</f>
        <v>0.164422948593655</v>
      </c>
      <c r="T47" s="115"/>
      <c r="V47" s="1632"/>
    </row>
    <row r="48" customFormat="false" ht="12" hidden="false" customHeight="false" outlineLevel="0" collapsed="false">
      <c r="A48" s="416" t="n">
        <v>1988</v>
      </c>
      <c r="B48" s="519" t="n">
        <f aca="false">DataDE1!EV49/DataDE1!B49</f>
        <v>0.748937265633022</v>
      </c>
      <c r="C48" s="518" t="n">
        <f aca="false">DataDE1!EW49/DataDE1!$B49</f>
        <v>0.191260868631032</v>
      </c>
      <c r="D48" s="518" t="n">
        <f aca="false">DataDE1!EX49/DataDE1!$B49</f>
        <v>0.430206504190573</v>
      </c>
      <c r="E48" s="518" t="n">
        <f aca="false">DataDE1!EY49/DataDE1!$B49</f>
        <v>0.123465374893767</v>
      </c>
      <c r="F48" s="518" t="n">
        <f aca="false">DataDE1!EZ49/DataDE1!B49</f>
        <v>0.779669373652326</v>
      </c>
      <c r="G48" s="1602" t="n">
        <f aca="false">(DataDE1!EW49-DataDE1!BU49-DataDE1!FF49)/DataDE1!$B49</f>
        <v>0.14474685281832</v>
      </c>
      <c r="H48" s="1602" t="n">
        <f aca="false">DataDE1!FJ49/DataDE1!B49</f>
        <v>0.0388746277851935</v>
      </c>
      <c r="I48" s="518" t="n">
        <f aca="false">DataDE1!FI49/DataDE1!B49</f>
        <v>0.0992504363897731</v>
      </c>
      <c r="J48" s="519" t="n">
        <f aca="false">DataDE1!FK49/DataDE1!B49</f>
        <v>0.138125064174967</v>
      </c>
      <c r="K48" s="519" t="n">
        <f aca="false">DataDE1!FD49/DataDE1!B49</f>
        <v>0.128822261012424</v>
      </c>
      <c r="L48" s="518" t="n">
        <f aca="false">B48/$B48</f>
        <v>1</v>
      </c>
      <c r="M48" s="518" t="n">
        <f aca="false">C48/$B48</f>
        <v>0.255376354479267</v>
      </c>
      <c r="N48" s="518" t="n">
        <f aca="false">D48/$B48</f>
        <v>0.574422617129287</v>
      </c>
      <c r="O48" s="518" t="n">
        <f aca="false">E48/$B48</f>
        <v>0.164854094674286</v>
      </c>
      <c r="P48" s="1602" t="n">
        <f aca="false">G48/$B48</f>
        <v>0.193269662841488</v>
      </c>
      <c r="Q48" s="1602" t="n">
        <f aca="false">H48/$B48</f>
        <v>0.0519063873158129</v>
      </c>
      <c r="R48" s="518" t="n">
        <f aca="false">I48/$B48</f>
        <v>0.132521695666838</v>
      </c>
      <c r="S48" s="1573" t="n">
        <f aca="false">J48/$B48</f>
        <v>0.184428082982651</v>
      </c>
      <c r="T48" s="115"/>
      <c r="V48" s="1632"/>
    </row>
    <row r="49" customFormat="false" ht="12" hidden="false" customHeight="false" outlineLevel="0" collapsed="false">
      <c r="A49" s="436" t="n">
        <v>1989</v>
      </c>
      <c r="B49" s="534" t="n">
        <f aca="false">DataDE1!EV50/DataDE1!B50</f>
        <v>0.73916627024437</v>
      </c>
      <c r="C49" s="533" t="n">
        <f aca="false">DataDE1!EW50/DataDE1!$B50</f>
        <v>0.197642383829736</v>
      </c>
      <c r="D49" s="533" t="n">
        <f aca="false">DataDE1!EX50/DataDE1!$B50</f>
        <v>0.416123429100906</v>
      </c>
      <c r="E49" s="533" t="n">
        <f aca="false">DataDE1!EY50/DataDE1!$B50</f>
        <v>0.119669743370269</v>
      </c>
      <c r="F49" s="533" t="n">
        <f aca="false">DataDE1!EZ50/DataDE1!B50</f>
        <v>0.769381890752276</v>
      </c>
      <c r="G49" s="1604" t="n">
        <f aca="false">(DataDE1!EW50-DataDE1!BU50-DataDE1!FF50)/DataDE1!$B50</f>
        <v>0.158936106877172</v>
      </c>
      <c r="H49" s="1604" t="n">
        <f aca="false">DataDE1!FJ50/DataDE1!B50</f>
        <v>0.0317776712985147</v>
      </c>
      <c r="I49" s="533" t="n">
        <f aca="false">DataDE1!FI50/DataDE1!B50</f>
        <v>0.0943076185912793</v>
      </c>
      <c r="J49" s="534" t="n">
        <f aca="false">DataDE1!FK50/DataDE1!B50</f>
        <v>0.126085289889794</v>
      </c>
      <c r="K49" s="534" t="n">
        <f aca="false">DataDE1!FD50/DataDE1!B50</f>
        <v>0.116780067081936</v>
      </c>
      <c r="L49" s="533" t="n">
        <f aca="false">B49/$B49</f>
        <v>1</v>
      </c>
      <c r="M49" s="533" t="n">
        <f aca="false">C49/$B49</f>
        <v>0.267385555572489</v>
      </c>
      <c r="N49" s="533" t="n">
        <f aca="false">D49/$B49</f>
        <v>0.562963227425589</v>
      </c>
      <c r="O49" s="533" t="n">
        <f aca="false">E49/$B49</f>
        <v>0.161898274025283</v>
      </c>
      <c r="P49" s="1604" t="n">
        <f aca="false">G49/$B49</f>
        <v>0.21502077851121</v>
      </c>
      <c r="Q49" s="1604" t="n">
        <f aca="false">H49/$B49</f>
        <v>0.0429912356363459</v>
      </c>
      <c r="R49" s="533" t="n">
        <f aca="false">I49/$B49</f>
        <v>0.127586474637298</v>
      </c>
      <c r="S49" s="1578" t="n">
        <f aca="false">J49/$B49</f>
        <v>0.170577710273644</v>
      </c>
      <c r="T49" s="115"/>
      <c r="V49" s="1632"/>
    </row>
    <row r="50" customFormat="false" ht="12" hidden="false" customHeight="false" outlineLevel="0" collapsed="false">
      <c r="A50" s="416" t="n">
        <v>1990</v>
      </c>
      <c r="B50" s="519" t="n">
        <f aca="false">DataDE1!EV51/DataDE1!B51</f>
        <v>0.747320723273207</v>
      </c>
      <c r="C50" s="518" t="n">
        <f aca="false">DataDE1!EW51/DataDE1!$B51</f>
        <v>0.206340369101722</v>
      </c>
      <c r="D50" s="518" t="n">
        <f aca="false">DataDE1!EX51/DataDE1!$B51</f>
        <v>0.419263049326484</v>
      </c>
      <c r="E50" s="518" t="n">
        <f aca="false">DataDE1!EY51/DataDE1!$B51</f>
        <v>0.116464335201358</v>
      </c>
      <c r="F50" s="518" t="n">
        <f aca="false">DataDE1!EZ51/DataDE1!B51</f>
        <v>0.775987683238012</v>
      </c>
      <c r="G50" s="1602" t="n">
        <f aca="false">(DataDE1!EW51-DataDE1!BU51-DataDE1!FF51)/DataDE1!$B51</f>
        <v>0.153898662106562</v>
      </c>
      <c r="H50" s="1602" t="n">
        <f aca="false">DataDE1!FJ51/DataDE1!B51</f>
        <v>0.0443730752309723</v>
      </c>
      <c r="I50" s="518" t="n">
        <f aca="false">DataDE1!FI51/DataDE1!B51</f>
        <v>0.100175978882534</v>
      </c>
      <c r="J50" s="519" t="n">
        <f aca="false">DataDE1!FK51/DataDE1!B51</f>
        <v>0.144549054113506</v>
      </c>
      <c r="K50" s="519" t="n">
        <f aca="false">DataDE1!FD51/DataDE1!B51</f>
        <v>0.136612406511219</v>
      </c>
      <c r="L50" s="518" t="n">
        <f aca="false">B50/$B50</f>
        <v>1</v>
      </c>
      <c r="M50" s="518" t="n">
        <f aca="false">C50/$B50</f>
        <v>0.276106847670392</v>
      </c>
      <c r="N50" s="518" t="n">
        <f aca="false">D50/$B50</f>
        <v>0.561021575168081</v>
      </c>
      <c r="O50" s="518" t="n">
        <f aca="false">E50/$B50</f>
        <v>0.155842507205277</v>
      </c>
      <c r="P50" s="1602" t="n">
        <f aca="false">G50/$B50</f>
        <v>0.205933887973155</v>
      </c>
      <c r="Q50" s="1602" t="n">
        <f aca="false">H50/$B50</f>
        <v>0.0593762140525444</v>
      </c>
      <c r="R50" s="518" t="n">
        <f aca="false">I50/$B50</f>
        <v>0.134046836602859</v>
      </c>
      <c r="S50" s="1573" t="n">
        <f aca="false">J50/$B50</f>
        <v>0.193423050655404</v>
      </c>
      <c r="T50" s="115"/>
      <c r="V50" s="1632"/>
    </row>
    <row r="51" customFormat="false" ht="12" hidden="false" customHeight="false" outlineLevel="0" collapsed="false">
      <c r="A51" s="416" t="n">
        <v>1991</v>
      </c>
      <c r="B51" s="519" t="n">
        <f aca="false">DataDE1!EV52/DataDE1!B52</f>
        <v>0.748325905439022</v>
      </c>
      <c r="C51" s="518" t="n">
        <f aca="false">DataDE1!EW52/DataDE1!$B52</f>
        <v>0.180164834780367</v>
      </c>
      <c r="D51" s="518" t="n">
        <f aca="false">DataDE1!EX52/DataDE1!$B52</f>
        <v>0.436245607808353</v>
      </c>
      <c r="E51" s="518" t="n">
        <f aca="false">DataDE1!EY52/DataDE1!$B52</f>
        <v>0.125474614191457</v>
      </c>
      <c r="F51" s="518" t="n">
        <f aca="false">DataDE1!EZ52/DataDE1!B52</f>
        <v>0.778681317029544</v>
      </c>
      <c r="G51" s="1602" t="n">
        <f aca="false">(DataDE1!EW52-DataDE1!BU52-DataDE1!FF52)/DataDE1!$B52</f>
        <v>0.150553465216947</v>
      </c>
      <c r="H51" s="1602" t="n">
        <f aca="false">DataDE1!FJ52/DataDE1!B52</f>
        <v>0.0226293994303194</v>
      </c>
      <c r="I51" s="518" t="n">
        <f aca="false">DataDE1!FI52/DataDE1!B52</f>
        <v>0.102970907205183</v>
      </c>
      <c r="J51" s="519" t="n">
        <f aca="false">DataDE1!FK52/DataDE1!B52</f>
        <v>0.125600306635502</v>
      </c>
      <c r="K51" s="519" t="n">
        <f aca="false">DataDE1!FD52/DataDE1!B52</f>
        <v>0.108321997339486</v>
      </c>
      <c r="L51" s="518" t="n">
        <f aca="false">B51/$B51</f>
        <v>1</v>
      </c>
      <c r="M51" s="518" t="n">
        <f aca="false">C51/$B51</f>
        <v>0.240757180088092</v>
      </c>
      <c r="N51" s="518" t="n">
        <f aca="false">D51/$B51</f>
        <v>0.582962055219002</v>
      </c>
      <c r="O51" s="518" t="n">
        <f aca="false">E51/$B51</f>
        <v>0.167673754549289</v>
      </c>
      <c r="P51" s="1602" t="n">
        <f aca="false">G51/$B51</f>
        <v>0.201187028435988</v>
      </c>
      <c r="Q51" s="1602" t="n">
        <f aca="false">H51/$B51</f>
        <v>0.0302400321381943</v>
      </c>
      <c r="R51" s="518" t="n">
        <f aca="false">I51/$B51</f>
        <v>0.137601687255197</v>
      </c>
      <c r="S51" s="1573" t="n">
        <f aca="false">J51/$B51</f>
        <v>0.167841719393392</v>
      </c>
      <c r="T51" s="115"/>
      <c r="V51" s="1632"/>
    </row>
    <row r="52" customFormat="false" ht="12" hidden="false" customHeight="false" outlineLevel="0" collapsed="false">
      <c r="A52" s="416" t="n">
        <v>1992</v>
      </c>
      <c r="B52" s="519" t="n">
        <f aca="false">DataDE1!EV53/DataDE1!B53</f>
        <v>0.746636141464648</v>
      </c>
      <c r="C52" s="518" t="n">
        <f aca="false">DataDE1!EW53/DataDE1!$B53</f>
        <v>0.170455955825997</v>
      </c>
      <c r="D52" s="518" t="n">
        <f aca="false">DataDE1!EX53/DataDE1!$B53</f>
        <v>0.437699187568438</v>
      </c>
      <c r="E52" s="518" t="n">
        <f aca="false">DataDE1!EY53/DataDE1!$B53</f>
        <v>0.13124764881883</v>
      </c>
      <c r="F52" s="518" t="n">
        <f aca="false">DataDE1!EZ53/DataDE1!B53</f>
        <v>0.778512036854968</v>
      </c>
      <c r="G52" s="1602" t="n">
        <f aca="false">(DataDE1!EW53-DataDE1!BU53-DataDE1!FF53)/DataDE1!$B53</f>
        <v>0.149198336229941</v>
      </c>
      <c r="H52" s="1602" t="n">
        <f aca="false">DataDE1!FJ53/DataDE1!B53</f>
        <v>0.013005983314138</v>
      </c>
      <c r="I52" s="518" t="n">
        <f aca="false">DataDE1!FI53/DataDE1!B53</f>
        <v>0.102727604707997</v>
      </c>
      <c r="J52" s="519" t="n">
        <f aca="false">DataDE1!FK53/DataDE1!B53</f>
        <v>0.115733588022135</v>
      </c>
      <c r="K52" s="519" t="n">
        <f aca="false">DataDE1!FD53/DataDE1!B53</f>
        <v>0.101287957526897</v>
      </c>
      <c r="L52" s="518" t="n">
        <f aca="false">B52/$B52</f>
        <v>1</v>
      </c>
      <c r="M52" s="518" t="n">
        <f aca="false">C52/$B52</f>
        <v>0.228298559846862</v>
      </c>
      <c r="N52" s="518" t="n">
        <f aca="false">D52/$B52</f>
        <v>0.586228235228233</v>
      </c>
      <c r="O52" s="518" t="n">
        <f aca="false">E52/$B52</f>
        <v>0.175785287544969</v>
      </c>
      <c r="P52" s="1602" t="n">
        <f aca="false">G52/$B52</f>
        <v>0.199827369643886</v>
      </c>
      <c r="Q52" s="1602" t="n">
        <f aca="false">H52/$B52</f>
        <v>0.0174194397938261</v>
      </c>
      <c r="R52" s="518" t="n">
        <f aca="false">I52/$B52</f>
        <v>0.137587238285145</v>
      </c>
      <c r="S52" s="1573" t="n">
        <f aca="false">J52/$B52</f>
        <v>0.155006678078971</v>
      </c>
      <c r="T52" s="115"/>
      <c r="V52" s="1632"/>
    </row>
    <row r="53" customFormat="false" ht="12" hidden="false" customHeight="false" outlineLevel="0" collapsed="false">
      <c r="A53" s="416" t="n">
        <v>1993</v>
      </c>
      <c r="B53" s="519" t="n">
        <f aca="false">DataDE1!EV54/DataDE1!B54</f>
        <v>0.746696640954777</v>
      </c>
      <c r="C53" s="518" t="n">
        <f aca="false">DataDE1!EW54/DataDE1!$B54</f>
        <v>0.166984531917667</v>
      </c>
      <c r="D53" s="518" t="n">
        <f aca="false">DataDE1!EX54/DataDE1!$B54</f>
        <v>0.433468247983853</v>
      </c>
      <c r="E53" s="518" t="n">
        <f aca="false">DataDE1!EY54/DataDE1!$B54</f>
        <v>0.14099148579717</v>
      </c>
      <c r="F53" s="518" t="n">
        <f aca="false">DataDE1!EZ54/DataDE1!B54</f>
        <v>0.780287093181537</v>
      </c>
      <c r="G53" s="1602" t="n">
        <f aca="false">(DataDE1!EW54-DataDE1!BU54-DataDE1!FF54)/DataDE1!$B54</f>
        <v>0.153874225317713</v>
      </c>
      <c r="H53" s="1602" t="n">
        <f aca="false">DataDE1!FJ54/DataDE1!B54</f>
        <v>0.00805730160882342</v>
      </c>
      <c r="I53" s="518" t="n">
        <f aca="false">DataDE1!FI54/DataDE1!B54</f>
        <v>0.0991007713566803</v>
      </c>
      <c r="J53" s="519" t="n">
        <f aca="false">DataDE1!FK54/DataDE1!B54</f>
        <v>0.107158072965504</v>
      </c>
      <c r="K53" s="519" t="n">
        <f aca="false">DataDE1!FD54/DataDE1!B54</f>
        <v>0.0936490258356364</v>
      </c>
      <c r="L53" s="518" t="n">
        <f aca="false">B53/$B53</f>
        <v>1</v>
      </c>
      <c r="M53" s="518" t="n">
        <f aca="false">C53/$B53</f>
        <v>0.223631020629944</v>
      </c>
      <c r="N53" s="518" t="n">
        <f aca="false">D53/$B53</f>
        <v>0.580514527867154</v>
      </c>
      <c r="O53" s="518" t="n">
        <f aca="false">E53/$B53</f>
        <v>0.18882030273618</v>
      </c>
      <c r="P53" s="1602" t="n">
        <f aca="false">G53/$B53</f>
        <v>0.206073279131078</v>
      </c>
      <c r="Q53" s="1602" t="n">
        <f aca="false">H53/$B53</f>
        <v>0.0107905957612462</v>
      </c>
      <c r="R53" s="518" t="n">
        <f aca="false">I53/$B53</f>
        <v>0.132718919466362</v>
      </c>
      <c r="S53" s="1573" t="n">
        <f aca="false">J53/$B53</f>
        <v>0.143509515227608</v>
      </c>
      <c r="T53" s="115"/>
      <c r="V53" s="1632"/>
    </row>
    <row r="54" customFormat="false" ht="12" hidden="false" customHeight="false" outlineLevel="0" collapsed="false">
      <c r="A54" s="416" t="n">
        <v>1994</v>
      </c>
      <c r="B54" s="519" t="n">
        <f aca="false">DataDE1!EV55/DataDE1!B55</f>
        <v>0.747410248299858</v>
      </c>
      <c r="C54" s="518" t="n">
        <f aca="false">DataDE1!EW55/DataDE1!$B55</f>
        <v>0.182707286013833</v>
      </c>
      <c r="D54" s="518" t="n">
        <f aca="false">DataDE1!EX55/DataDE1!$B55</f>
        <v>0.414862629859109</v>
      </c>
      <c r="E54" s="518" t="n">
        <f aca="false">DataDE1!EY55/DataDE1!$B55</f>
        <v>0.143448324413841</v>
      </c>
      <c r="F54" s="518" t="n">
        <f aca="false">DataDE1!EZ55/DataDE1!B55</f>
        <v>0.781887553376562</v>
      </c>
      <c r="G54" s="1602" t="n">
        <f aca="false">(DataDE1!EW55-DataDE1!BU55-DataDE1!FF55)/DataDE1!$B55</f>
        <v>0.16688541875673</v>
      </c>
      <c r="H54" s="1602" t="n">
        <f aca="false">DataDE1!FJ55/DataDE1!B55</f>
        <v>0.0100295218514418</v>
      </c>
      <c r="I54" s="518" t="n">
        <f aca="false">DataDE1!FI55/DataDE1!B55</f>
        <v>0.0917944804681322</v>
      </c>
      <c r="J54" s="519" t="n">
        <f aca="false">DataDE1!FK55/DataDE1!B55</f>
        <v>0.101824002319574</v>
      </c>
      <c r="K54" s="519" t="n">
        <f aca="false">DataDE1!FD55/DataDE1!B55</f>
        <v>0.0915572776635563</v>
      </c>
      <c r="L54" s="518" t="n">
        <f aca="false">B54/$B54</f>
        <v>1</v>
      </c>
      <c r="M54" s="518" t="n">
        <f aca="false">C54/$B54</f>
        <v>0.244453814259892</v>
      </c>
      <c r="N54" s="518" t="n">
        <f aca="false">D54/$B54</f>
        <v>0.555066820133657</v>
      </c>
      <c r="O54" s="518" t="n">
        <f aca="false">E54/$B54</f>
        <v>0.191927157461575</v>
      </c>
      <c r="P54" s="1602" t="n">
        <f aca="false">G54/$B54</f>
        <v>0.223284894923967</v>
      </c>
      <c r="Q54" s="1602" t="n">
        <f aca="false">H54/$B54</f>
        <v>0.0134190317489706</v>
      </c>
      <c r="R54" s="518" t="n">
        <f aca="false">I54/$B54</f>
        <v>0.122816727061126</v>
      </c>
      <c r="S54" s="1573" t="n">
        <f aca="false">J54/$B54</f>
        <v>0.136235758810097</v>
      </c>
      <c r="T54" s="115"/>
      <c r="V54" s="1632"/>
    </row>
    <row r="55" customFormat="false" ht="12" hidden="false" customHeight="false" outlineLevel="0" collapsed="false">
      <c r="A55" s="416" t="n">
        <v>1995</v>
      </c>
      <c r="B55" s="519" t="n">
        <f aca="false">DataDE1!EV56/DataDE1!B56</f>
        <v>0.757074494860995</v>
      </c>
      <c r="C55" s="518" t="n">
        <f aca="false">DataDE1!EW56/DataDE1!$B56</f>
        <v>0.195483986665225</v>
      </c>
      <c r="D55" s="518" t="n">
        <f aca="false">DataDE1!EX56/DataDE1!$B56</f>
        <v>0.407736785975465</v>
      </c>
      <c r="E55" s="518" t="n">
        <f aca="false">DataDE1!EY56/DataDE1!$B56</f>
        <v>0.147112163505662</v>
      </c>
      <c r="F55" s="518" t="n">
        <f aca="false">DataDE1!EZ56/DataDE1!B56</f>
        <v>0.792043941199335</v>
      </c>
      <c r="G55" s="1602" t="n">
        <f aca="false">(DataDE1!EW56-DataDE1!BU56-DataDE1!FF56)/DataDE1!$B56</f>
        <v>0.0891801832281772</v>
      </c>
      <c r="H55" s="1602" t="n">
        <f aca="false">DataDE1!FJ56/DataDE1!B56</f>
        <v>0.0996514524936758</v>
      </c>
      <c r="I55" s="518" t="n">
        <f aca="false">DataDE1!FI56/DataDE1!B56</f>
        <v>0.0895964304147525</v>
      </c>
      <c r="J55" s="519" t="n">
        <f aca="false">DataDE1!FK56/DataDE1!B56</f>
        <v>0.189247882908428</v>
      </c>
      <c r="K55" s="519" t="n">
        <f aca="false">DataDE1!FD56/DataDE1!B56</f>
        <v>0.10265902878225</v>
      </c>
      <c r="L55" s="518" t="n">
        <f aca="false">B55/$B55</f>
        <v>1</v>
      </c>
      <c r="M55" s="518" t="n">
        <f aca="false">C55/$B55</f>
        <v>0.258209711187164</v>
      </c>
      <c r="N55" s="518" t="n">
        <f aca="false">D55/$B55</f>
        <v>0.538568910646407</v>
      </c>
      <c r="O55" s="518" t="n">
        <f aca="false">E55/$B55</f>
        <v>0.194316628686154</v>
      </c>
      <c r="P55" s="1602" t="n">
        <f aca="false">G55/$B55</f>
        <v>0.117795783418317</v>
      </c>
      <c r="Q55" s="1602" t="n">
        <f aca="false">H55/$B55</f>
        <v>0.131627010512318</v>
      </c>
      <c r="R55" s="518" t="n">
        <f aca="false">I55/$B55</f>
        <v>0.118345593495661</v>
      </c>
      <c r="S55" s="1633" t="n">
        <f aca="false">J55/$B55</f>
        <v>0.249972604007979</v>
      </c>
      <c r="T55" s="115"/>
      <c r="V55" s="1632"/>
      <c r="W55" s="1632"/>
    </row>
    <row r="56" customFormat="false" ht="12" hidden="false" customHeight="false" outlineLevel="0" collapsed="false">
      <c r="A56" s="416" t="n">
        <v>1996</v>
      </c>
      <c r="B56" s="519" t="n">
        <f aca="false">DataDE1!EV57/DataDE1!B57</f>
        <v>0.75769554141726</v>
      </c>
      <c r="C56" s="518" t="n">
        <f aca="false">DataDE1!EW57/DataDE1!$B57</f>
        <v>0.196337013581753</v>
      </c>
      <c r="D56" s="518" t="n">
        <f aca="false">DataDE1!EX57/DataDE1!$B57</f>
        <v>0.400378791019852</v>
      </c>
      <c r="E56" s="518" t="n">
        <f aca="false">DataDE1!EY57/DataDE1!$B57</f>
        <v>0.155696699006171</v>
      </c>
      <c r="F56" s="518" t="n">
        <f aca="false">DataDE1!EZ57/DataDE1!B57</f>
        <v>0.793127031334312</v>
      </c>
      <c r="G56" s="1602" t="n">
        <f aca="false">(DataDE1!EW57-DataDE1!BU57-DataDE1!FF57)/DataDE1!$B57</f>
        <v>0.168146171683875</v>
      </c>
      <c r="H56" s="1602" t="n">
        <f aca="false">DataDE1!FJ57/DataDE1!B57</f>
        <v>0.0236921030506092</v>
      </c>
      <c r="I56" s="518" t="n">
        <f aca="false">DataDE1!FI57/DataDE1!B57</f>
        <v>0.0871261529194745</v>
      </c>
      <c r="J56" s="519" t="n">
        <f aca="false">DataDE1!FK57/DataDE1!B57</f>
        <v>0.110818255970084</v>
      </c>
      <c r="K56" s="519" t="n">
        <f aca="false">DataDE1!FD57/DataDE1!B57</f>
        <v>0.101946316304634</v>
      </c>
      <c r="L56" s="518" t="n">
        <f aca="false">B56/$B56</f>
        <v>1</v>
      </c>
      <c r="M56" s="518" t="n">
        <f aca="false">C56/$B56</f>
        <v>0.259123886639886</v>
      </c>
      <c r="N56" s="518" t="n">
        <f aca="false">D56/$B56</f>
        <v>0.528416453752583</v>
      </c>
      <c r="O56" s="518" t="n">
        <f aca="false">E56/$B56</f>
        <v>0.205487152154733</v>
      </c>
      <c r="P56" s="1602" t="n">
        <f aca="false">G56/$B56</f>
        <v>0.221917858153632</v>
      </c>
      <c r="Q56" s="1602" t="n">
        <f aca="false">H56/$B56</f>
        <v>0.0312686319973501</v>
      </c>
      <c r="R56" s="518" t="n">
        <f aca="false">I56/$B56</f>
        <v>0.114988340510103</v>
      </c>
      <c r="S56" s="1573" t="n">
        <f aca="false">J56/$B56</f>
        <v>0.146256972507453</v>
      </c>
      <c r="T56" s="115"/>
      <c r="V56" s="1632"/>
    </row>
    <row r="57" customFormat="false" ht="12" hidden="false" customHeight="false" outlineLevel="0" collapsed="false">
      <c r="A57" s="416" t="n">
        <v>1997</v>
      </c>
      <c r="B57" s="519" t="n">
        <f aca="false">DataDE1!EV58/DataDE1!B58</f>
        <v>0.754870149898217</v>
      </c>
      <c r="C57" s="518" t="n">
        <f aca="false">DataDE1!EW58/DataDE1!$B58</f>
        <v>0.207371393688162</v>
      </c>
      <c r="D57" s="518" t="n">
        <f aca="false">DataDE1!EX58/DataDE1!$B58</f>
        <v>0.38601401468842</v>
      </c>
      <c r="E57" s="518" t="n">
        <f aca="false">DataDE1!EY58/DataDE1!$B58</f>
        <v>0.156494302930555</v>
      </c>
      <c r="F57" s="518" t="n">
        <f aca="false">DataDE1!EZ58/DataDE1!B58</f>
        <v>0.790882733946086</v>
      </c>
      <c r="G57" s="1602" t="n">
        <f aca="false">(DataDE1!EW58-DataDE1!BU58-DataDE1!FF58)/DataDE1!$B58</f>
        <v>0.179859210602602</v>
      </c>
      <c r="H57" s="1602" t="n">
        <f aca="false">DataDE1!FJ58/DataDE1!B58</f>
        <v>0.023064585775091</v>
      </c>
      <c r="I57" s="518" t="n">
        <f aca="false">DataDE1!FI58/DataDE1!B58</f>
        <v>0.0850039602738881</v>
      </c>
      <c r="J57" s="519" t="n">
        <f aca="false">DataDE1!FK58/DataDE1!B58</f>
        <v>0.108068546048979</v>
      </c>
      <c r="K57" s="519" t="n">
        <f aca="false">DataDE1!FD58/DataDE1!B58</f>
        <v>0.0988587995805317</v>
      </c>
      <c r="L57" s="518" t="n">
        <f aca="false">B57/$B57</f>
        <v>1</v>
      </c>
      <c r="M57" s="518" t="n">
        <f aca="false">C57/$B57</f>
        <v>0.274711344349916</v>
      </c>
      <c r="N57" s="518" t="n">
        <f aca="false">D57/$B57</f>
        <v>0.511364788686463</v>
      </c>
      <c r="O57" s="518" t="n">
        <f aca="false">E57/$B57</f>
        <v>0.207312877521592</v>
      </c>
      <c r="P57" s="1602" t="n">
        <f aca="false">G57/$B57</f>
        <v>0.238265098476677</v>
      </c>
      <c r="Q57" s="1602" t="n">
        <f aca="false">H57/$B57</f>
        <v>0.0305543751838656</v>
      </c>
      <c r="R57" s="518" t="n">
        <f aca="false">I57/$B57</f>
        <v>0.112607393848266</v>
      </c>
      <c r="S57" s="1573" t="n">
        <f aca="false">J57/$B57</f>
        <v>0.143161769032132</v>
      </c>
      <c r="T57" s="115"/>
      <c r="V57" s="1632"/>
    </row>
    <row r="58" customFormat="false" ht="12" hidden="false" customHeight="false" outlineLevel="0" collapsed="false">
      <c r="A58" s="416" t="n">
        <v>1998</v>
      </c>
      <c r="B58" s="519" t="n">
        <f aca="false">DataDE1!EV59/DataDE1!B59</f>
        <v>0.747831339857436</v>
      </c>
      <c r="C58" s="518" t="n">
        <f aca="false">DataDE1!EW59/DataDE1!$B59</f>
        <v>0.209018346283206</v>
      </c>
      <c r="D58" s="518" t="n">
        <f aca="false">DataDE1!EX59/DataDE1!$B59</f>
        <v>0.380450961774162</v>
      </c>
      <c r="E58" s="518" t="n">
        <f aca="false">DataDE1!EY59/DataDE1!$B59</f>
        <v>0.154556305087491</v>
      </c>
      <c r="F58" s="518" t="n">
        <f aca="false">DataDE1!EZ59/DataDE1!B59</f>
        <v>0.782940678989972</v>
      </c>
      <c r="G58" s="1602" t="n">
        <f aca="false">(DataDE1!EW59-DataDE1!BU59-DataDE1!FF59)/DataDE1!$B59</f>
        <v>0.183900549980198</v>
      </c>
      <c r="H58" s="1602" t="n">
        <f aca="false">DataDE1!FJ59/DataDE1!B59</f>
        <v>0.0198985139543313</v>
      </c>
      <c r="I58" s="518" t="n">
        <f aca="false">DataDE1!FI59/DataDE1!B59</f>
        <v>0.0867766098828078</v>
      </c>
      <c r="J58" s="519" t="n">
        <f aca="false">DataDE1!FK59/DataDE1!B59</f>
        <v>0.106675123837139</v>
      </c>
      <c r="K58" s="519" t="n">
        <f aca="false">DataDE1!FD59/DataDE1!B59</f>
        <v>0.0949256977165641</v>
      </c>
      <c r="L58" s="518" t="n">
        <f aca="false">B58/$B58</f>
        <v>1</v>
      </c>
      <c r="M58" s="518" t="n">
        <f aca="false">C58/$B58</f>
        <v>0.279499313739717</v>
      </c>
      <c r="N58" s="518" t="n">
        <f aca="false">D58/$B58</f>
        <v>0.508738991664471</v>
      </c>
      <c r="O58" s="518" t="n">
        <f aca="false">E58/$B58</f>
        <v>0.206672677180065</v>
      </c>
      <c r="P58" s="1602" t="n">
        <f aca="false">G58/$B58</f>
        <v>0.245911798795776</v>
      </c>
      <c r="Q58" s="1602" t="n">
        <f aca="false">H58/$B58</f>
        <v>0.026608291059485</v>
      </c>
      <c r="R58" s="518" t="n">
        <f aca="false">I58/$B58</f>
        <v>0.116037674884487</v>
      </c>
      <c r="S58" s="1573" t="n">
        <f aca="false">J58/$B58</f>
        <v>0.142645965943972</v>
      </c>
      <c r="T58" s="115"/>
      <c r="V58" s="1632"/>
    </row>
    <row r="59" customFormat="false" ht="12" hidden="false" customHeight="false" outlineLevel="0" collapsed="false">
      <c r="A59" s="446" t="n">
        <f aca="false">A58+1</f>
        <v>1999</v>
      </c>
      <c r="B59" s="519" t="n">
        <f aca="false">DataDE1!EV60/DataDE1!B60</f>
        <v>0.735173999893306</v>
      </c>
      <c r="C59" s="518" t="n">
        <f aca="false">DataDE1!EW60/DataDE1!$B60</f>
        <v>0.194534860339793</v>
      </c>
      <c r="D59" s="518" t="n">
        <f aca="false">DataDE1!EX60/DataDE1!$B60</f>
        <v>0.381406707508509</v>
      </c>
      <c r="E59" s="518" t="n">
        <f aca="false">DataDE1!EY60/DataDE1!$B60</f>
        <v>0.156215366955826</v>
      </c>
      <c r="F59" s="518" t="n">
        <f aca="false">DataDE1!EZ60/DataDE1!B60</f>
        <v>0.770679343477153</v>
      </c>
      <c r="G59" s="1602" t="n">
        <f aca="false">(DataDE1!EW60-DataDE1!BU60-DataDE1!FF60)/DataDE1!$B60</f>
        <v>0.185335479164145</v>
      </c>
      <c r="H59" s="1602" t="n">
        <f aca="false">DataDE1!FJ60/DataDE1!B60</f>
        <v>0.00491384471302318</v>
      </c>
      <c r="I59" s="518" t="n">
        <f aca="false">DataDE1!FI60/DataDE1!B60</f>
        <v>0.0842762896619583</v>
      </c>
      <c r="J59" s="519" t="n">
        <f aca="false">DataDE1!FK60/DataDE1!B60</f>
        <v>0.0891901343749815</v>
      </c>
      <c r="K59" s="519" t="n">
        <f aca="false">DataDE1!FD60/DataDE1!B60</f>
        <v>0.0783784905190656</v>
      </c>
      <c r="L59" s="518" t="n">
        <f aca="false">B59/$B59</f>
        <v>1</v>
      </c>
      <c r="M59" s="518" t="n">
        <f aca="false">C59/$B59</f>
        <v>0.264610636894157</v>
      </c>
      <c r="N59" s="518" t="n">
        <f aca="false">D59/$B59</f>
        <v>0.518797873107402</v>
      </c>
      <c r="O59" s="518" t="n">
        <f aca="false">E59/$B59</f>
        <v>0.2124876110669</v>
      </c>
      <c r="P59" s="1602" t="n">
        <f aca="false">G59/$B59</f>
        <v>0.252097434336691</v>
      </c>
      <c r="Q59" s="1602" t="n">
        <f aca="false">H59/$B59</f>
        <v>0.00668392069596627</v>
      </c>
      <c r="R59" s="518" t="n">
        <f aca="false">I59/$B59</f>
        <v>0.114634480645655</v>
      </c>
      <c r="S59" s="1573" t="n">
        <f aca="false">J59/$B59</f>
        <v>0.121318401341622</v>
      </c>
      <c r="T59" s="115"/>
      <c r="V59" s="1632"/>
    </row>
    <row r="60" customFormat="false" ht="12" hidden="false" customHeight="false" outlineLevel="0" collapsed="false">
      <c r="A60" s="542" t="n">
        <f aca="false">A59+1</f>
        <v>2000</v>
      </c>
      <c r="B60" s="526" t="n">
        <f aca="false">DataDE1!EV61/DataDE1!B61</f>
        <v>0.736502119418044</v>
      </c>
      <c r="C60" s="525" t="n">
        <f aca="false">DataDE1!EW61/DataDE1!$B61</f>
        <v>0.184125539908969</v>
      </c>
      <c r="D60" s="525" t="n">
        <f aca="false">DataDE1!EX61/DataDE1!$B61</f>
        <v>0.393400172284387</v>
      </c>
      <c r="E60" s="525" t="n">
        <f aca="false">DataDE1!EY61/DataDE1!$B61</f>
        <v>0.155033303886387</v>
      </c>
      <c r="F60" s="525" t="n">
        <f aca="false">DataDE1!EZ61/DataDE1!B61</f>
        <v>0.76771062260442</v>
      </c>
      <c r="G60" s="1606" t="n">
        <f aca="false">(DataDE1!EW61-DataDE1!BU61-DataDE1!FF61)/DataDE1!$B61</f>
        <v>0.171467018456748</v>
      </c>
      <c r="H60" s="1606" t="n">
        <f aca="false">DataDE1!FJ61/DataDE1!B61</f>
        <v>0.0022208949684842</v>
      </c>
      <c r="I60" s="525" t="n">
        <f aca="false">DataDE1!FI61/DataDE1!B61</f>
        <v>0.0809553907441448</v>
      </c>
      <c r="J60" s="526" t="n">
        <f aca="false">DataDE1!FK61/DataDE1!B61</f>
        <v>0.083176285712629</v>
      </c>
      <c r="K60" s="526" t="n">
        <f aca="false">DataDE1!FD61/DataDE1!B61</f>
        <v>0.0713121836094472</v>
      </c>
      <c r="L60" s="525" t="n">
        <f aca="false">B60/$B60</f>
        <v>1</v>
      </c>
      <c r="M60" s="525" t="n">
        <f aca="false">C60/$B60</f>
        <v>0.250000013651635</v>
      </c>
      <c r="N60" s="525" t="n">
        <f aca="false">D60/$B60</f>
        <v>0.534146694099451</v>
      </c>
      <c r="O60" s="525" t="n">
        <f aca="false">E60/$B60</f>
        <v>0.210499467413465</v>
      </c>
      <c r="P60" s="1606" t="n">
        <f aca="false">G60/$B60</f>
        <v>0.232812661275482</v>
      </c>
      <c r="Q60" s="1606" t="n">
        <f aca="false">H60/$B60</f>
        <v>0.00301546310584831</v>
      </c>
      <c r="R60" s="525" t="n">
        <f aca="false">I60/$B60</f>
        <v>0.10991874783485</v>
      </c>
      <c r="S60" s="1583" t="n">
        <f aca="false">J60/$B60</f>
        <v>0.112934210940699</v>
      </c>
      <c r="T60" s="115"/>
      <c r="V60" s="1632"/>
    </row>
    <row r="61" customFormat="false" ht="12" hidden="false" customHeight="false" outlineLevel="0" collapsed="false">
      <c r="A61" s="446" t="n">
        <f aca="false">A60+1</f>
        <v>2001</v>
      </c>
      <c r="B61" s="519" t="n">
        <f aca="false">DataDE1!EV62/DataDE1!B62</f>
        <v>0.753688867766538</v>
      </c>
      <c r="C61" s="518" t="n">
        <f aca="false">DataDE1!EW62/DataDE1!$B62</f>
        <v>0.203989764344057</v>
      </c>
      <c r="D61" s="518" t="n">
        <f aca="false">DataDE1!EX62/DataDE1!$B62</f>
        <v>0.389432402551991</v>
      </c>
      <c r="E61" s="518" t="n">
        <f aca="false">DataDE1!EY62/DataDE1!$B62</f>
        <v>0.157737676496804</v>
      </c>
      <c r="F61" s="518" t="n">
        <f aca="false">DataDE1!EZ62/DataDE1!B62</f>
        <v>0.785197003643606</v>
      </c>
      <c r="G61" s="1602" t="n">
        <f aca="false">(DataDE1!EW62-DataDE1!BU62-DataDE1!FF62)/DataDE1!$B62</f>
        <v>0.175819714329347</v>
      </c>
      <c r="H61" s="1602" t="n">
        <f aca="false">DataDE1!FJ62/DataDE1!B62</f>
        <v>0.0192194536854731</v>
      </c>
      <c r="I61" s="518" t="n">
        <f aca="false">DataDE1!FI62/DataDE1!B62</f>
        <v>0.0803912915563401</v>
      </c>
      <c r="J61" s="519" t="n">
        <f aca="false">DataDE1!FK62/DataDE1!B62</f>
        <v>0.0996107452418132</v>
      </c>
      <c r="K61" s="519" t="n">
        <f aca="false">DataDE1!FD62/DataDE1!B62</f>
        <v>0.0848269853124222</v>
      </c>
      <c r="L61" s="518" t="n">
        <f aca="false">B61/$B61</f>
        <v>1</v>
      </c>
      <c r="M61" s="518" t="n">
        <f aca="false">C61/$B61</f>
        <v>0.270655137773967</v>
      </c>
      <c r="N61" s="518" t="n">
        <f aca="false">D61/$B61</f>
        <v>0.516701810530949</v>
      </c>
      <c r="O61" s="518" t="n">
        <f aca="false">E61/$B61</f>
        <v>0.209287523330735</v>
      </c>
      <c r="P61" s="1602" t="n">
        <f aca="false">G61/$B61</f>
        <v>0.233278905724542</v>
      </c>
      <c r="Q61" s="1602" t="n">
        <f aca="false">H61/$B61</f>
        <v>0.0255005142140782</v>
      </c>
      <c r="R61" s="518" t="n">
        <f aca="false">I61/$B61</f>
        <v>0.106663764047052</v>
      </c>
      <c r="S61" s="1573" t="n">
        <f aca="false">J61/$B61</f>
        <v>0.132164278261131</v>
      </c>
      <c r="T61" s="115"/>
      <c r="V61" s="1632"/>
    </row>
    <row r="62" customFormat="false" ht="12" hidden="false" customHeight="false" outlineLevel="0" collapsed="false">
      <c r="A62" s="446" t="n">
        <f aca="false">A61+1</f>
        <v>2002</v>
      </c>
      <c r="B62" s="519" t="n">
        <f aca="false">DataDE1!EV63/DataDE1!B63</f>
        <v>0.757515063695515</v>
      </c>
      <c r="C62" s="518" t="n">
        <f aca="false">DataDE1!EW63/DataDE1!$B63</f>
        <v>0.20837661221716</v>
      </c>
      <c r="D62" s="518" t="n">
        <f aca="false">DataDE1!EX63/DataDE1!$B63</f>
        <v>0.386033416911995</v>
      </c>
      <c r="E62" s="518" t="n">
        <f aca="false">DataDE1!EY63/DataDE1!$B63</f>
        <v>0.161974907734799</v>
      </c>
      <c r="F62" s="518" t="n">
        <f aca="false">DataDE1!EZ63/DataDE1!B63</f>
        <v>0.7910608086561</v>
      </c>
      <c r="G62" s="1602" t="n">
        <f aca="false">(DataDE1!EW63-DataDE1!BU63-DataDE1!FF63)/DataDE1!$B63</f>
        <v>0.169398425902884</v>
      </c>
      <c r="H62" s="1602" t="n">
        <f aca="false">DataDE1!FJ63/DataDE1!B63</f>
        <v>0.0299036035380803</v>
      </c>
      <c r="I62" s="518" t="n">
        <f aca="false">DataDE1!FI63/DataDE1!B63</f>
        <v>0.0781409973089554</v>
      </c>
      <c r="J62" s="519" t="n">
        <f aca="false">DataDE1!FK63/DataDE1!B63</f>
        <v>0.108044600847036</v>
      </c>
      <c r="K62" s="519" t="n">
        <f aca="false">DataDE1!FD63/DataDE1!B63</f>
        <v>0.0938005270195423</v>
      </c>
      <c r="L62" s="518" t="n">
        <f aca="false">B62/$B62</f>
        <v>1</v>
      </c>
      <c r="M62" s="518" t="n">
        <f aca="false">C62/$B62</f>
        <v>0.275079166347664</v>
      </c>
      <c r="N62" s="518" t="n">
        <f aca="false">D62/$B62</f>
        <v>0.50960493779324</v>
      </c>
      <c r="O62" s="518" t="n">
        <f aca="false">E62/$B62</f>
        <v>0.213824008917538</v>
      </c>
      <c r="P62" s="1602" t="n">
        <f aca="false">G62/$B62</f>
        <v>0.223623838021753</v>
      </c>
      <c r="Q62" s="1602" t="n">
        <f aca="false">H62/$B62</f>
        <v>0.0394759193199359</v>
      </c>
      <c r="R62" s="518" t="n">
        <f aca="false">I62/$B62</f>
        <v>0.103154380756136</v>
      </c>
      <c r="S62" s="1573" t="n">
        <f aca="false">J62/$B62</f>
        <v>0.142630300076072</v>
      </c>
      <c r="T62" s="115"/>
      <c r="V62" s="1632"/>
    </row>
    <row r="63" customFormat="false" ht="12" hidden="false" customHeight="false" outlineLevel="0" collapsed="false">
      <c r="A63" s="446" t="n">
        <f aca="false">A62+1</f>
        <v>2003</v>
      </c>
      <c r="B63" s="519" t="n">
        <f aca="false">DataDE1!EV64/DataDE1!B64</f>
        <v>0.759425890146288</v>
      </c>
      <c r="C63" s="518" t="n">
        <f aca="false">DataDE1!EW64/DataDE1!$B64</f>
        <v>0.215600519680615</v>
      </c>
      <c r="D63" s="518" t="n">
        <f aca="false">DataDE1!EX64/DataDE1!$B64</f>
        <v>0.378975192025576</v>
      </c>
      <c r="E63" s="518" t="n">
        <f aca="false">DataDE1!EY64/DataDE1!$B64</f>
        <v>0.163922770214869</v>
      </c>
      <c r="F63" s="518" t="n">
        <f aca="false">DataDE1!EZ64/DataDE1!B64</f>
        <v>0.794650841843776</v>
      </c>
      <c r="G63" s="1602" t="n">
        <f aca="false">(DataDE1!EW64-DataDE1!BU64-DataDE1!FF64)/DataDE1!$B64</f>
        <v>0.186685256086908</v>
      </c>
      <c r="H63" s="1602" t="n">
        <f aca="false">DataDE1!FJ64/DataDE1!B64</f>
        <v>0.0194203698592326</v>
      </c>
      <c r="I63" s="518" t="n">
        <f aca="false">DataDE1!FI64/DataDE1!B64</f>
        <v>0.0897929892354402</v>
      </c>
      <c r="J63" s="519" t="n">
        <f aca="false">DataDE1!FK64/DataDE1!B64</f>
        <v>0.109213359094673</v>
      </c>
      <c r="K63" s="519" t="n">
        <f aca="false">DataDE1!FD64/DataDE1!B64</f>
        <v>0.0943306651945901</v>
      </c>
      <c r="L63" s="518" t="n">
        <f aca="false">B63/$B63</f>
        <v>1</v>
      </c>
      <c r="M63" s="518" t="n">
        <f aca="false">C63/$B63</f>
        <v>0.283899354075331</v>
      </c>
      <c r="N63" s="518" t="n">
        <f aca="false">D63/$B63</f>
        <v>0.499028538456299</v>
      </c>
      <c r="O63" s="518" t="n">
        <f aca="false">E63/$B63</f>
        <v>0.215850910986578</v>
      </c>
      <c r="P63" s="1602" t="n">
        <f aca="false">G63/$B63</f>
        <v>0.245824192339488</v>
      </c>
      <c r="Q63" s="1602" t="n">
        <f aca="false">H63/$B63</f>
        <v>0.0255724358508395</v>
      </c>
      <c r="R63" s="518" t="n">
        <f aca="false">I63/$B63</f>
        <v>0.118237987933416</v>
      </c>
      <c r="S63" s="1573" t="n">
        <f aca="false">J63/$B63</f>
        <v>0.143810423784255</v>
      </c>
      <c r="T63" s="115"/>
      <c r="V63" s="1632"/>
    </row>
    <row r="64" customFormat="false" ht="12" hidden="false" customHeight="false" outlineLevel="0" collapsed="false">
      <c r="A64" s="446" t="n">
        <f aca="false">A63+1</f>
        <v>2004</v>
      </c>
      <c r="B64" s="519" t="n">
        <f aca="false">DataDE1!EV65/DataDE1!B65</f>
        <v>0.767363791116421</v>
      </c>
      <c r="C64" s="518" t="n">
        <f aca="false">DataDE1!EW65/DataDE1!$B65</f>
        <v>0.241476555672613</v>
      </c>
      <c r="D64" s="518" t="n">
        <f aca="false">DataDE1!EX65/DataDE1!$B65</f>
        <v>0.367935690465405</v>
      </c>
      <c r="E64" s="518" t="n">
        <f aca="false">DataDE1!EY65/DataDE1!$B65</f>
        <v>0.157972691321672</v>
      </c>
      <c r="F64" s="518" t="n">
        <f aca="false">DataDE1!EZ65/DataDE1!B65</f>
        <v>0.803201556370865</v>
      </c>
      <c r="G64" s="1602" t="n">
        <f aca="false">(DataDE1!EW65-DataDE1!BU65-DataDE1!FF65)/DataDE1!$B65</f>
        <v>0.186480203416827</v>
      </c>
      <c r="H64" s="1602" t="n">
        <f aca="false">DataDE1!FJ65/DataDE1!B65</f>
        <v>0.0463052051723956</v>
      </c>
      <c r="I64" s="518" t="n">
        <f aca="false">DataDE1!FI65/DataDE1!B65</f>
        <v>0.0883705685194388</v>
      </c>
      <c r="J64" s="519" t="n">
        <f aca="false">DataDE1!FK65/DataDE1!B65</f>
        <v>0.134675773691834</v>
      </c>
      <c r="K64" s="519" t="n">
        <f aca="false">DataDE1!FD65/DataDE1!B65</f>
        <v>0.122030260417217</v>
      </c>
      <c r="L64" s="518" t="n">
        <f aca="false">B64/$B64</f>
        <v>1</v>
      </c>
      <c r="M64" s="518" t="n">
        <f aca="false">C64/$B64</f>
        <v>0.314683281213066</v>
      </c>
      <c r="N64" s="518" t="n">
        <f aca="false">D64/$B64</f>
        <v>0.479480130187147</v>
      </c>
      <c r="O64" s="518" t="n">
        <f aca="false">E64/$B64</f>
        <v>0.205864145729161</v>
      </c>
      <c r="P64" s="1602" t="n">
        <f aca="false">G64/$B64</f>
        <v>0.243014076994069</v>
      </c>
      <c r="Q64" s="1602" t="n">
        <f aca="false">H64/$B64</f>
        <v>0.0603432240463511</v>
      </c>
      <c r="R64" s="518" t="n">
        <f aca="false">I64/$B64</f>
        <v>0.115161243653249</v>
      </c>
      <c r="S64" s="1573" t="n">
        <f aca="false">J64/$B64</f>
        <v>0.1755044676996</v>
      </c>
      <c r="T64" s="115"/>
      <c r="V64" s="1632"/>
    </row>
    <row r="65" customFormat="false" ht="12" hidden="false" customHeight="false" outlineLevel="0" collapsed="false">
      <c r="A65" s="446" t="n">
        <f aca="false">A64+1</f>
        <v>2005</v>
      </c>
      <c r="B65" s="519" t="n">
        <f aca="false">DataDE1!EV66/DataDE1!B66</f>
        <v>0.761863626192347</v>
      </c>
      <c r="C65" s="518" t="n">
        <f aca="false">DataDE1!EW66/DataDE1!$B66</f>
        <v>0.24907033235885</v>
      </c>
      <c r="D65" s="518" t="n">
        <f aca="false">DataDE1!EX66/DataDE1!$B66</f>
        <v>0.359223100912808</v>
      </c>
      <c r="E65" s="518" t="n">
        <f aca="false">DataDE1!EY66/DataDE1!$B66</f>
        <v>0.153263161910557</v>
      </c>
      <c r="F65" s="518" t="n">
        <f aca="false">DataDE1!EZ66/DataDE1!B66</f>
        <v>0.800278929866832</v>
      </c>
      <c r="G65" s="1602" t="n">
        <f aca="false">(DataDE1!EW66-DataDE1!BU66-DataDE1!FF66)/DataDE1!$B66</f>
        <v>0.201974897753853</v>
      </c>
      <c r="H65" s="1602" t="n">
        <f aca="false">DataDE1!FJ66/DataDE1!B66</f>
        <v>0.0389148795553774</v>
      </c>
      <c r="I65" s="518" t="n">
        <f aca="false">DataDE1!FI66/DataDE1!B66</f>
        <v>0.0912194335017667</v>
      </c>
      <c r="J65" s="519" t="n">
        <f aca="false">DataDE1!FK66/DataDE1!B66</f>
        <v>0.130134313057144</v>
      </c>
      <c r="K65" s="519" t="n">
        <f aca="false">DataDE1!FD66/DataDE1!B66</f>
        <v>0.117525225980027</v>
      </c>
      <c r="L65" s="518" t="n">
        <f aca="false">B65/$B65</f>
        <v>1</v>
      </c>
      <c r="M65" s="518" t="n">
        <f aca="false">C65/$B65</f>
        <v>0.326922461968236</v>
      </c>
      <c r="N65" s="518" t="n">
        <f aca="false">D65/$B65</f>
        <v>0.471505776838485</v>
      </c>
      <c r="O65" s="518" t="n">
        <f aca="false">E65/$B65</f>
        <v>0.201168761234261</v>
      </c>
      <c r="P65" s="1602" t="n">
        <f aca="false">G65/$B65</f>
        <v>0.265106366559704</v>
      </c>
      <c r="Q65" s="1602" t="n">
        <f aca="false">H65/$B65</f>
        <v>0.0510785371784538</v>
      </c>
      <c r="R65" s="518" t="n">
        <f aca="false">I65/$B65</f>
        <v>0.119731970874715</v>
      </c>
      <c r="S65" s="1573" t="n">
        <f aca="false">J65/$B65</f>
        <v>0.170810508053169</v>
      </c>
      <c r="T65" s="115"/>
      <c r="V65" s="1632"/>
      <c r="W65" s="1632"/>
    </row>
    <row r="66" customFormat="false" ht="12" hidden="false" customHeight="false" outlineLevel="0" collapsed="false">
      <c r="A66" s="446" t="n">
        <f aca="false">A65+1</f>
        <v>2006</v>
      </c>
      <c r="B66" s="519" t="n">
        <f aca="false">DataDE1!EV67/DataDE1!B67</f>
        <v>0.751318388307328</v>
      </c>
      <c r="C66" s="518" t="n">
        <f aca="false">DataDE1!EW67/DataDE1!$B67</f>
        <v>0.264004307571684</v>
      </c>
      <c r="D66" s="518" t="n">
        <f aca="false">DataDE1!EX67/DataDE1!$B67</f>
        <v>0.345409668550104</v>
      </c>
      <c r="E66" s="518" t="n">
        <f aca="false">DataDE1!EY67/DataDE1!$B67</f>
        <v>0.141938976672998</v>
      </c>
      <c r="F66" s="518" t="n">
        <f aca="false">DataDE1!EZ67/DataDE1!B67</f>
        <v>0.789146750938179</v>
      </c>
      <c r="G66" s="1602" t="n">
        <f aca="false">(DataDE1!EW67-DataDE1!BU67-DataDE1!FF67)/DataDE1!$B67</f>
        <v>0.20301280056003</v>
      </c>
      <c r="H66" s="1602" t="n">
        <f aca="false">DataDE1!FJ67/DataDE1!B67</f>
        <v>0.0503703337941932</v>
      </c>
      <c r="I66" s="518" t="n">
        <f aca="false">DataDE1!FI67/DataDE1!B67</f>
        <v>0.0868704325498712</v>
      </c>
      <c r="J66" s="519" t="n">
        <f aca="false">DataDE1!FK67/DataDE1!B67</f>
        <v>0.137240766344064</v>
      </c>
      <c r="K66" s="519" t="n">
        <f aca="false">DataDE1!FD67/DataDE1!B67</f>
        <v>0.126817104483507</v>
      </c>
      <c r="L66" s="518" t="n">
        <f aca="false">B66/$B66</f>
        <v>1</v>
      </c>
      <c r="M66" s="518" t="n">
        <f aca="false">C66/$B66</f>
        <v>0.351388055557203</v>
      </c>
      <c r="N66" s="518" t="n">
        <f aca="false">D66/$B66</f>
        <v>0.4597380736658</v>
      </c>
      <c r="O66" s="518" t="n">
        <f aca="false">E66/$B66</f>
        <v>0.188919875890137</v>
      </c>
      <c r="P66" s="1602" t="n">
        <f aca="false">G66/$B66</f>
        <v>0.270208747342662</v>
      </c>
      <c r="Q66" s="1602" t="n">
        <f aca="false">H66/$B66</f>
        <v>0.0670425941626084</v>
      </c>
      <c r="R66" s="518" t="n">
        <f aca="false">I66/$B66</f>
        <v>0.11562399363815</v>
      </c>
      <c r="S66" s="1573" t="n">
        <f aca="false">J66/$B66</f>
        <v>0.182666587800758</v>
      </c>
      <c r="T66" s="115"/>
      <c r="V66" s="1632"/>
    </row>
    <row r="67" customFormat="false" ht="12" hidden="false" customHeight="false" outlineLevel="0" collapsed="false">
      <c r="A67" s="446" t="n">
        <f aca="false">A66+1</f>
        <v>2007</v>
      </c>
      <c r="B67" s="519" t="n">
        <f aca="false">DataDE1!EV68/DataDE1!B68</f>
        <v>0.740297450424929</v>
      </c>
      <c r="C67" s="518" t="n">
        <f aca="false">DataDE1!EW68/DataDE1!$B68</f>
        <v>0.268459431671005</v>
      </c>
      <c r="D67" s="518" t="n">
        <f aca="false">DataDE1!EX68/DataDE1!$B68</f>
        <v>0.33806823324686</v>
      </c>
      <c r="E67" s="518" t="n">
        <f aca="false">DataDE1!EY68/DataDE1!$B68</f>
        <v>0.132797169831899</v>
      </c>
      <c r="F67" s="518" t="n">
        <f aca="false">DataDE1!EZ68/DataDE1!B68</f>
        <v>0.7747686496695</v>
      </c>
      <c r="G67" s="1602" t="n">
        <f aca="false">(DataDE1!EW68-DataDE1!BU68-DataDE1!FF68)/DataDE1!$B68</f>
        <v>0.200494370292346</v>
      </c>
      <c r="H67" s="1602" t="n">
        <f aca="false">DataDE1!FJ68/DataDE1!B68</f>
        <v>0.0573748819641171</v>
      </c>
      <c r="I67" s="518" t="n">
        <f aca="false">DataDE1!FI68/DataDE1!B68</f>
        <v>0.0835080264400378</v>
      </c>
      <c r="J67" s="519" t="n">
        <f aca="false">DataDE1!FK68/DataDE1!B68</f>
        <v>0.140882908404155</v>
      </c>
      <c r="K67" s="519" t="n">
        <f aca="false">DataDE1!FD68/DataDE1!B68</f>
        <v>0.131496694995279</v>
      </c>
      <c r="L67" s="518" t="n">
        <f aca="false">B67/$B67</f>
        <v>1</v>
      </c>
      <c r="M67" s="518" t="n">
        <f aca="false">C67/$B67</f>
        <v>0.362637250090366</v>
      </c>
      <c r="N67" s="518" t="n">
        <f aca="false">D67/$B67</f>
        <v>0.456665402606492</v>
      </c>
      <c r="O67" s="518" t="n">
        <f aca="false">E67/$B67</f>
        <v>0.17938352989825</v>
      </c>
      <c r="P67" s="1602" t="n">
        <f aca="false">G67/$B67</f>
        <v>0.270829475607761</v>
      </c>
      <c r="Q67" s="1602" t="n">
        <f aca="false">H67/$B67</f>
        <v>0.0775024713798271</v>
      </c>
      <c r="R67" s="518" t="n">
        <f aca="false">I67/$B67</f>
        <v>0.112803341943302</v>
      </c>
      <c r="S67" s="1573" t="n">
        <f aca="false">J67/$B67</f>
        <v>0.190305813323129</v>
      </c>
      <c r="T67" s="115"/>
      <c r="V67" s="1632"/>
    </row>
    <row r="68" customFormat="false" ht="12" hidden="false" customHeight="false" outlineLevel="0" collapsed="false">
      <c r="A68" s="446" t="n">
        <f aca="false">A67+1</f>
        <v>2008</v>
      </c>
      <c r="B68" s="519" t="n">
        <f aca="false">DataDE1!EV69/DataDE1!B69</f>
        <v>0.733491944040647</v>
      </c>
      <c r="C68" s="518" t="n">
        <f aca="false">DataDE1!EW69/DataDE1!$B69</f>
        <v>0.251176547581103</v>
      </c>
      <c r="D68" s="518" t="n">
        <f aca="false">DataDE1!EX69/DataDE1!$B69</f>
        <v>0.349467353966614</v>
      </c>
      <c r="E68" s="518" t="n">
        <f aca="false">DataDE1!EY69/DataDE1!$B69</f>
        <v>0.131787002299606</v>
      </c>
      <c r="F68" s="518" t="n">
        <f aca="false">DataDE1!EZ69/DataDE1!B69</f>
        <v>0.767520017201004</v>
      </c>
      <c r="G68" s="1602" t="n">
        <f aca="false">(DataDE1!EW69-DataDE1!BU69-DataDE1!FF69)/DataDE1!$B69</f>
        <v>0.193310126465001</v>
      </c>
      <c r="H68" s="1602" t="n">
        <f aca="false">DataDE1!FJ69/DataDE1!B69</f>
        <v>0.0444702044021483</v>
      </c>
      <c r="I68" s="518" t="n">
        <f aca="false">DataDE1!FI69/DataDE1!B69</f>
        <v>0.0826956964770661</v>
      </c>
      <c r="J68" s="519" t="n">
        <f aca="false">DataDE1!FK69/DataDE1!B69</f>
        <v>0.127165900879214</v>
      </c>
      <c r="K68" s="519" t="n">
        <f aca="false">DataDE1!FD69/DataDE1!B69</f>
        <v>0.116924759629991</v>
      </c>
      <c r="L68" s="518" t="n">
        <f aca="false">B68/$B68</f>
        <v>1</v>
      </c>
      <c r="M68" s="518" t="n">
        <f aca="false">C68/$B68</f>
        <v>0.342439408669475</v>
      </c>
      <c r="N68" s="518" t="n">
        <f aca="false">D68/$B68</f>
        <v>0.476443343114956</v>
      </c>
      <c r="O68" s="518" t="n">
        <f aca="false">E68/$B68</f>
        <v>0.179670688097295</v>
      </c>
      <c r="P68" s="1602" t="n">
        <f aca="false">G68/$B68</f>
        <v>0.263547715875511</v>
      </c>
      <c r="Q68" s="1602" t="n">
        <f aca="false">H68/$B68</f>
        <v>0.0606280747368154</v>
      </c>
      <c r="R68" s="518" t="n">
        <f aca="false">I68/$B68</f>
        <v>0.112742474063878</v>
      </c>
      <c r="S68" s="1573" t="n">
        <f aca="false">J68/$B68</f>
        <v>0.173370548800693</v>
      </c>
      <c r="T68" s="115"/>
      <c r="V68" s="1632"/>
    </row>
    <row r="69" customFormat="false" ht="12" hidden="false" customHeight="false" outlineLevel="0" collapsed="false">
      <c r="A69" s="446" t="n">
        <f aca="false">A68+1</f>
        <v>2009</v>
      </c>
      <c r="B69" s="519" t="n">
        <f aca="false">DataDE1!EV70/DataDE1!B70</f>
        <v>0.738904921612979</v>
      </c>
      <c r="C69" s="518" t="n">
        <f aca="false">DataDE1!EW70/DataDE1!$B70</f>
        <v>0.229801847308759</v>
      </c>
      <c r="D69" s="518" t="n">
        <f aca="false">DataDE1!EX70/DataDE1!$B70</f>
        <v>0.364896625930733</v>
      </c>
      <c r="E69" s="518" t="n">
        <f aca="false">DataDE1!EY70/DataDE1!$B70</f>
        <v>0.144576934295022</v>
      </c>
      <c r="F69" s="518" t="n">
        <f aca="false">DataDE1!EZ70/DataDE1!B70</f>
        <v>0.776796856719445</v>
      </c>
      <c r="G69" s="1602" t="n">
        <f aca="false">(DataDE1!EW70-DataDE1!BU70-DataDE1!FF70)/DataDE1!$B70</f>
        <v>0.189233792216315</v>
      </c>
      <c r="H69" s="1602" t="n">
        <f aca="false">DataDE1!FJ70/DataDE1!B70</f>
        <v>0.0262411278371422</v>
      </c>
      <c r="I69" s="518" t="n">
        <f aca="false">DataDE1!FI70/DataDE1!B70</f>
        <v>0.0880391545121285</v>
      </c>
      <c r="J69" s="519" t="n">
        <f aca="false">DataDE1!FK70/DataDE1!B70</f>
        <v>0.114280282349271</v>
      </c>
      <c r="K69" s="519" t="n">
        <f aca="false">DataDE1!FD70/DataDE1!B70</f>
        <v>0.103194953591764</v>
      </c>
      <c r="L69" s="518" t="n">
        <f aca="false">B69/$B69</f>
        <v>1</v>
      </c>
      <c r="M69" s="518" t="n">
        <f aca="false">C69/$B69</f>
        <v>0.311003270633409</v>
      </c>
      <c r="N69" s="518" t="n">
        <f aca="false">D69/$B69</f>
        <v>0.49383434222388</v>
      </c>
      <c r="O69" s="518" t="n">
        <f aca="false">E69/$B69</f>
        <v>0.195663785781018</v>
      </c>
      <c r="P69" s="1602" t="n">
        <f aca="false">G69/$B69</f>
        <v>0.256100327229152</v>
      </c>
      <c r="Q69" s="1602" t="n">
        <f aca="false">H69/$B69</f>
        <v>0.0355135377632343</v>
      </c>
      <c r="R69" s="518" t="n">
        <f aca="false">I69/$B69</f>
        <v>0.119148150102919</v>
      </c>
      <c r="S69" s="1573" t="n">
        <f aca="false">J69/$B69</f>
        <v>0.154661687866153</v>
      </c>
      <c r="T69" s="115"/>
      <c r="V69" s="1632"/>
    </row>
    <row r="70" customFormat="false" ht="12" hidden="false" customHeight="false" outlineLevel="0" collapsed="false">
      <c r="A70" s="542" t="n">
        <f aca="false">A69+1</f>
        <v>2010</v>
      </c>
      <c r="B70" s="526" t="n">
        <f aca="false">DataDE1!EV71/DataDE1!B71</f>
        <v>0.746628705627988</v>
      </c>
      <c r="C70" s="525" t="n">
        <f aca="false">DataDE1!EW71/DataDE1!$B71</f>
        <v>0.246366392296382</v>
      </c>
      <c r="D70" s="525" t="n">
        <f aca="false">DataDE1!EX71/DataDE1!$B71</f>
        <v>0.359340577747484</v>
      </c>
      <c r="E70" s="525" t="n">
        <f aca="false">DataDE1!EY71/DataDE1!$B71</f>
        <v>0.140875138564468</v>
      </c>
      <c r="F70" s="525" t="n">
        <f aca="false">DataDE1!EZ71/DataDE1!B71</f>
        <v>0.783295900394211</v>
      </c>
      <c r="G70" s="1606" t="n">
        <f aca="false">(DataDE1!EW71-DataDE1!BU71-DataDE1!FF71)/DataDE1!$B71</f>
        <v>0.176041911319542</v>
      </c>
      <c r="H70" s="1606" t="n">
        <f aca="false">DataDE1!FJ71/DataDE1!B71</f>
        <v>0.0572863759633934</v>
      </c>
      <c r="I70" s="525" t="n">
        <f aca="false">DataDE1!FI71/DataDE1!B71</f>
        <v>0.0871876834757649</v>
      </c>
      <c r="J70" s="526" t="n">
        <f aca="false">DataDE1!FK71/DataDE1!B71</f>
        <v>0.144474059439158</v>
      </c>
      <c r="K70" s="526" t="n">
        <f aca="false">DataDE1!FD71/DataDE1!B71</f>
        <v>0.120714239117266</v>
      </c>
      <c r="L70" s="525" t="n">
        <f aca="false">B70/$B70</f>
        <v>1</v>
      </c>
      <c r="M70" s="525" t="n">
        <f aca="false">C70/$B70</f>
        <v>0.329971765670547</v>
      </c>
      <c r="N70" s="525" t="n">
        <f aca="false">D70/$B70</f>
        <v>0.481284171153375</v>
      </c>
      <c r="O70" s="525" t="n">
        <f aca="false">E70/$B70</f>
        <v>0.188681653280365</v>
      </c>
      <c r="P70" s="1606" t="n">
        <f aca="false">G70/$B70</f>
        <v>0.235782404282827</v>
      </c>
      <c r="Q70" s="1606" t="n">
        <f aca="false">H70/$B70</f>
        <v>0.0767267257896412</v>
      </c>
      <c r="R70" s="525" t="n">
        <f aca="false">I70/$B70</f>
        <v>0.116775155868715</v>
      </c>
      <c r="S70" s="1583" t="n">
        <f aca="false">J70/$B70</f>
        <v>0.193501881658356</v>
      </c>
      <c r="T70" s="115"/>
      <c r="V70" s="1632"/>
    </row>
    <row r="71" customFormat="false" ht="13" hidden="false" customHeight="false" outlineLevel="0" collapsed="false">
      <c r="A71" s="449" t="n">
        <f aca="false">A70+1</f>
        <v>2011</v>
      </c>
      <c r="B71" s="548" t="n">
        <f aca="false">DataDE1!EV72/DataDE1!B72</f>
        <v>0.728711805088168</v>
      </c>
      <c r="C71" s="605" t="n">
        <f aca="false">DataDE1!EW72/DataDE1!$B72</f>
        <v>0.234445481828897</v>
      </c>
      <c r="D71" s="605" t="n">
        <f aca="false">DataDE1!EX72/DataDE1!$B72</f>
        <v>0.360021534579467</v>
      </c>
      <c r="E71" s="605" t="n">
        <f aca="false">DataDE1!EY72/DataDE1!$B72</f>
        <v>0.133948651918463</v>
      </c>
      <c r="F71" s="605" t="n">
        <f aca="false">DataDE1!EZ72/DataDE1!B72</f>
        <v>0.762767532642348</v>
      </c>
      <c r="G71" s="1607" t="n">
        <f aca="false">(DataDE1!EW72-DataDE1!BU72-DataDE1!FF72)/DataDE1!$B72</f>
        <v>0.196607280186684</v>
      </c>
      <c r="H71" s="1607" t="n">
        <f aca="false">DataDE1!FJ72/DataDE1!B72</f>
        <v>0.0247767756988379</v>
      </c>
      <c r="I71" s="605" t="n">
        <f aca="false">DataDE1!FI72/DataDE1!B72</f>
        <v>0.0837663211737787</v>
      </c>
      <c r="J71" s="548" t="n">
        <f aca="false">DataDE1!FK72/DataDE1!B72</f>
        <v>0.108543096872617</v>
      </c>
      <c r="K71" s="548" t="n">
        <f aca="false">DataDE1!FD72/DataDE1!B72</f>
        <v>0.101381971552924</v>
      </c>
      <c r="L71" s="605" t="n">
        <f aca="false">B71/$B71</f>
        <v>1</v>
      </c>
      <c r="M71" s="605" t="n">
        <f aca="false">C71/$B71</f>
        <v>0.321725928126731</v>
      </c>
      <c r="N71" s="605" t="n">
        <f aca="false">D71/$B71</f>
        <v>0.494052013519813</v>
      </c>
      <c r="O71" s="605" t="n">
        <f aca="false">E71/$B71</f>
        <v>0.183815674431481</v>
      </c>
      <c r="P71" s="1607" t="n">
        <f aca="false">G71/$B71</f>
        <v>0.26980114609629</v>
      </c>
      <c r="Q71" s="1607" t="n">
        <f aca="false">H71/$B71</f>
        <v>0.0340007881385154</v>
      </c>
      <c r="R71" s="605" t="n">
        <f aca="false">I71/$B71</f>
        <v>0.114951233929363</v>
      </c>
      <c r="S71" s="1587" t="n">
        <f aca="false">J71/$B71</f>
        <v>0.148952022067879</v>
      </c>
      <c r="T71" s="115"/>
      <c r="V71" s="1632"/>
    </row>
    <row r="72" customFormat="false" ht="13" hidden="false" customHeight="false" outlineLevel="0" collapsed="false">
      <c r="B72" s="115"/>
      <c r="C72" s="115"/>
      <c r="D72" s="115"/>
      <c r="E72" s="115"/>
      <c r="F72" s="115"/>
      <c r="G72" s="115"/>
      <c r="H72" s="1634"/>
      <c r="I72" s="115"/>
      <c r="J72" s="115"/>
      <c r="K72" s="115"/>
      <c r="L72" s="115"/>
      <c r="M72" s="115"/>
      <c r="N72" s="115"/>
      <c r="O72" s="115"/>
      <c r="P72" s="115"/>
      <c r="Q72" s="115"/>
      <c r="R72" s="115"/>
      <c r="S72" s="115"/>
      <c r="T72" s="115"/>
    </row>
    <row r="73" customFormat="false" ht="12" hidden="false" customHeight="false" outlineLevel="0" collapsed="false">
      <c r="B73" s="197"/>
      <c r="C73" s="197"/>
      <c r="D73" s="197"/>
      <c r="E73" s="197"/>
      <c r="F73" s="197"/>
      <c r="G73" s="197"/>
      <c r="H73" s="617"/>
      <c r="I73" s="197"/>
      <c r="J73" s="26"/>
      <c r="K73" s="26"/>
      <c r="L73" s="197"/>
      <c r="M73" s="197"/>
      <c r="N73" s="197"/>
      <c r="O73" s="197"/>
      <c r="P73" s="197"/>
      <c r="Q73" s="1635"/>
      <c r="R73" s="197"/>
      <c r="S73" s="197"/>
      <c r="T73" s="115"/>
    </row>
    <row r="74" customFormat="false" ht="12" hidden="false" customHeight="false" outlineLevel="0" collapsed="false">
      <c r="B74" s="197"/>
      <c r="C74" s="197"/>
      <c r="D74" s="197"/>
      <c r="E74" s="197"/>
      <c r="F74" s="197"/>
      <c r="G74" s="197"/>
      <c r="H74" s="197"/>
      <c r="I74" s="197"/>
      <c r="J74" s="26"/>
      <c r="K74" s="26"/>
      <c r="L74" s="197"/>
      <c r="M74" s="197"/>
      <c r="N74" s="197"/>
      <c r="O74" s="197"/>
      <c r="P74" s="197"/>
      <c r="Q74" s="197"/>
      <c r="R74" s="197"/>
      <c r="S74" s="197"/>
      <c r="T74" s="115"/>
    </row>
    <row r="75" customFormat="false" ht="12" hidden="false" customHeight="false" outlineLevel="0" collapsed="false">
      <c r="B75" s="197"/>
      <c r="C75" s="197"/>
      <c r="D75" s="197"/>
      <c r="E75" s="197"/>
      <c r="F75" s="197"/>
      <c r="G75" s="197"/>
      <c r="H75" s="197"/>
      <c r="I75" s="197"/>
      <c r="J75" s="26"/>
      <c r="K75" s="26"/>
      <c r="L75" s="197"/>
      <c r="M75" s="197"/>
      <c r="N75" s="197"/>
      <c r="O75" s="197"/>
      <c r="P75" s="197"/>
      <c r="Q75" s="197"/>
      <c r="R75" s="197"/>
      <c r="S75" s="197"/>
      <c r="T75" s="115"/>
    </row>
    <row r="76" customFormat="false" ht="12" hidden="false" customHeight="false" outlineLevel="0" collapsed="false">
      <c r="B76" s="197"/>
      <c r="C76" s="197"/>
      <c r="D76" s="197"/>
      <c r="E76" s="197"/>
      <c r="F76" s="197"/>
      <c r="G76" s="197"/>
      <c r="H76" s="197"/>
      <c r="I76" s="197"/>
      <c r="J76" s="26"/>
      <c r="K76" s="26"/>
      <c r="L76" s="197"/>
      <c r="M76" s="197"/>
      <c r="N76" s="197"/>
      <c r="O76" s="197"/>
      <c r="P76" s="197"/>
      <c r="Q76" s="197"/>
      <c r="R76" s="197"/>
      <c r="S76" s="197"/>
      <c r="T76" s="115"/>
    </row>
    <row r="77" customFormat="false" ht="12" hidden="false" customHeight="false" outlineLevel="0" collapsed="false">
      <c r="B77" s="197"/>
      <c r="C77" s="197"/>
      <c r="D77" s="197"/>
      <c r="E77" s="197"/>
      <c r="F77" s="197"/>
      <c r="G77" s="197"/>
      <c r="H77" s="197"/>
      <c r="I77" s="197"/>
      <c r="J77" s="197"/>
      <c r="K77" s="197"/>
      <c r="L77" s="197"/>
      <c r="M77" s="197"/>
      <c r="N77" s="197"/>
      <c r="O77" s="197"/>
      <c r="P77" s="197"/>
      <c r="Q77" s="197"/>
      <c r="R77" s="197"/>
      <c r="S77" s="197"/>
      <c r="T77" s="115"/>
    </row>
    <row r="78" customFormat="false" ht="12" hidden="false" customHeight="false" outlineLevel="0" collapsed="false">
      <c r="B78" s="197"/>
      <c r="C78" s="197"/>
      <c r="D78" s="197"/>
      <c r="E78" s="197"/>
      <c r="F78" s="197"/>
      <c r="G78" s="197"/>
      <c r="H78" s="197"/>
      <c r="I78" s="197"/>
      <c r="J78" s="197"/>
      <c r="K78" s="197"/>
      <c r="L78" s="197"/>
      <c r="M78" s="197"/>
      <c r="N78" s="197"/>
      <c r="O78" s="197"/>
      <c r="P78" s="197"/>
      <c r="Q78" s="197"/>
      <c r="R78" s="197"/>
      <c r="S78" s="197"/>
      <c r="T78" s="115"/>
    </row>
    <row r="79" customFormat="false" ht="12" hidden="false" customHeight="false" outlineLevel="0" collapsed="false">
      <c r="B79" s="197"/>
      <c r="C79" s="197"/>
      <c r="D79" s="197"/>
      <c r="E79" s="197"/>
      <c r="F79" s="197"/>
      <c r="G79" s="197"/>
      <c r="H79" s="197"/>
      <c r="I79" s="197"/>
      <c r="J79" s="197"/>
      <c r="K79" s="197"/>
      <c r="L79" s="197"/>
      <c r="M79" s="197"/>
      <c r="N79" s="197"/>
      <c r="O79" s="197"/>
      <c r="P79" s="197"/>
      <c r="Q79" s="197"/>
      <c r="R79" s="197"/>
      <c r="S79" s="197"/>
      <c r="T79" s="115"/>
    </row>
    <row r="80" customFormat="false" ht="12" hidden="false" customHeight="false" outlineLevel="0" collapsed="false">
      <c r="B80" s="197"/>
      <c r="C80" s="197"/>
      <c r="D80" s="197"/>
      <c r="E80" s="197"/>
      <c r="F80" s="197"/>
      <c r="G80" s="197"/>
      <c r="H80" s="197"/>
      <c r="I80" s="197"/>
      <c r="J80" s="197"/>
      <c r="K80" s="197"/>
      <c r="L80" s="197"/>
      <c r="M80" s="197"/>
      <c r="N80" s="197"/>
      <c r="O80" s="197"/>
      <c r="P80" s="197"/>
      <c r="Q80" s="197"/>
      <c r="R80" s="197"/>
      <c r="S80" s="197"/>
      <c r="T80" s="115"/>
    </row>
    <row r="81" customFormat="false" ht="12" hidden="false" customHeight="false" outlineLevel="0" collapsed="false">
      <c r="B81" s="197"/>
      <c r="C81" s="197"/>
      <c r="D81" s="197"/>
      <c r="E81" s="197"/>
      <c r="F81" s="197"/>
      <c r="G81" s="197"/>
      <c r="H81" s="197"/>
      <c r="I81" s="197"/>
      <c r="J81" s="197"/>
      <c r="K81" s="197"/>
      <c r="L81" s="197"/>
      <c r="M81" s="197"/>
      <c r="N81" s="197"/>
      <c r="O81" s="197"/>
      <c r="P81" s="197"/>
      <c r="Q81" s="197"/>
      <c r="R81" s="197"/>
      <c r="S81" s="197"/>
      <c r="T81" s="115"/>
    </row>
    <row r="82" customFormat="false" ht="12" hidden="false" customHeight="false" outlineLevel="0" collapsed="false">
      <c r="B82" s="197"/>
      <c r="C82" s="197"/>
      <c r="D82" s="197"/>
      <c r="E82" s="197"/>
      <c r="F82" s="197"/>
      <c r="G82" s="197"/>
      <c r="H82" s="197"/>
      <c r="I82" s="197"/>
      <c r="J82" s="197"/>
      <c r="K82" s="197"/>
      <c r="L82" s="197"/>
      <c r="M82" s="197"/>
      <c r="N82" s="197"/>
      <c r="O82" s="197"/>
      <c r="P82" s="197"/>
      <c r="Q82" s="197"/>
      <c r="R82" s="197"/>
      <c r="S82" s="197"/>
      <c r="T82" s="115"/>
    </row>
    <row r="83" customFormat="false" ht="12" hidden="false" customHeight="false" outlineLevel="0" collapsed="false">
      <c r="B83" s="197"/>
      <c r="C83" s="197"/>
      <c r="D83" s="197"/>
      <c r="E83" s="197"/>
      <c r="F83" s="197"/>
      <c r="G83" s="197"/>
      <c r="H83" s="197"/>
      <c r="I83" s="197"/>
      <c r="J83" s="197"/>
      <c r="K83" s="197"/>
      <c r="L83" s="197"/>
      <c r="M83" s="197"/>
      <c r="N83" s="197"/>
      <c r="O83" s="197"/>
      <c r="P83" s="197"/>
      <c r="Q83" s="197"/>
      <c r="R83" s="197"/>
      <c r="S83" s="197"/>
      <c r="T83" s="115"/>
    </row>
    <row r="84" customFormat="false" ht="12" hidden="false" customHeight="false" outlineLevel="0" collapsed="false">
      <c r="B84" s="197"/>
      <c r="C84" s="197"/>
      <c r="D84" s="197"/>
      <c r="E84" s="197"/>
      <c r="F84" s="197"/>
      <c r="G84" s="197"/>
      <c r="H84" s="197"/>
      <c r="I84" s="197"/>
      <c r="J84" s="197"/>
      <c r="K84" s="197"/>
      <c r="L84" s="197"/>
      <c r="M84" s="197"/>
      <c r="N84" s="197"/>
      <c r="O84" s="197"/>
      <c r="P84" s="197"/>
      <c r="Q84" s="197"/>
      <c r="R84" s="197"/>
      <c r="S84" s="197"/>
      <c r="T84" s="115"/>
    </row>
    <row r="85" customFormat="false" ht="12" hidden="false" customHeight="false" outlineLevel="0" collapsed="false">
      <c r="B85" s="197"/>
      <c r="C85" s="197"/>
      <c r="D85" s="197"/>
      <c r="E85" s="197"/>
      <c r="F85" s="197"/>
      <c r="G85" s="197"/>
      <c r="H85" s="197"/>
      <c r="I85" s="197"/>
      <c r="J85" s="197"/>
      <c r="K85" s="197"/>
      <c r="L85" s="197"/>
      <c r="M85" s="197"/>
      <c r="N85" s="197"/>
      <c r="O85" s="197"/>
      <c r="P85" s="197"/>
      <c r="Q85" s="197"/>
      <c r="R85" s="197"/>
      <c r="S85" s="197"/>
      <c r="T85" s="197"/>
    </row>
    <row r="86" customFormat="false" ht="12" hidden="false" customHeight="false" outlineLevel="0" collapsed="false">
      <c r="B86" s="197"/>
      <c r="C86" s="197"/>
      <c r="D86" s="197"/>
      <c r="E86" s="197"/>
      <c r="F86" s="197"/>
      <c r="G86" s="197"/>
      <c r="H86" s="197"/>
      <c r="I86" s="197"/>
      <c r="J86" s="197"/>
      <c r="K86" s="197"/>
      <c r="L86" s="197"/>
      <c r="M86" s="197"/>
      <c r="N86" s="197"/>
      <c r="O86" s="197"/>
      <c r="P86" s="197"/>
      <c r="Q86" s="197"/>
      <c r="R86" s="197"/>
      <c r="S86" s="197"/>
      <c r="T86" s="197"/>
    </row>
    <row r="87" customFormat="false" ht="12" hidden="false" customHeight="false" outlineLevel="0" collapsed="false">
      <c r="B87" s="197"/>
      <c r="C87" s="197"/>
      <c r="D87" s="197"/>
      <c r="E87" s="197"/>
      <c r="F87" s="197"/>
      <c r="G87" s="197"/>
      <c r="H87" s="197"/>
      <c r="I87" s="197"/>
      <c r="J87" s="197"/>
      <c r="K87" s="197"/>
      <c r="L87" s="197"/>
      <c r="M87" s="197"/>
      <c r="N87" s="197"/>
      <c r="O87" s="197"/>
      <c r="P87" s="197"/>
      <c r="Q87" s="197"/>
      <c r="R87" s="197"/>
      <c r="S87" s="197"/>
      <c r="T87" s="197"/>
    </row>
    <row r="88" customFormat="false" ht="12" hidden="false" customHeight="false" outlineLevel="0" collapsed="false">
      <c r="B88" s="197"/>
      <c r="C88" s="197"/>
      <c r="D88" s="197"/>
      <c r="E88" s="197"/>
      <c r="F88" s="197"/>
      <c r="G88" s="197"/>
      <c r="H88" s="197"/>
      <c r="I88" s="197"/>
      <c r="J88" s="197"/>
      <c r="K88" s="197"/>
      <c r="L88" s="197"/>
      <c r="M88" s="197"/>
      <c r="N88" s="197"/>
      <c r="O88" s="197"/>
      <c r="P88" s="197"/>
      <c r="Q88" s="197"/>
      <c r="R88" s="197"/>
      <c r="S88" s="197"/>
      <c r="T88" s="197"/>
    </row>
    <row r="89" customFormat="false" ht="12" hidden="false" customHeight="false" outlineLevel="0" collapsed="false">
      <c r="B89" s="197"/>
      <c r="C89" s="197"/>
      <c r="D89" s="197"/>
      <c r="E89" s="197"/>
      <c r="F89" s="197"/>
      <c r="G89" s="197"/>
      <c r="H89" s="197"/>
      <c r="I89" s="197"/>
      <c r="J89" s="197"/>
      <c r="K89" s="197"/>
      <c r="L89" s="197"/>
      <c r="M89" s="197"/>
      <c r="N89" s="197"/>
      <c r="O89" s="197"/>
      <c r="P89" s="197"/>
      <c r="Q89" s="197"/>
      <c r="R89" s="197"/>
      <c r="S89" s="197"/>
      <c r="T89" s="197"/>
    </row>
    <row r="90" customFormat="false" ht="12" hidden="false" customHeight="false" outlineLevel="0" collapsed="false">
      <c r="B90" s="197"/>
      <c r="C90" s="197"/>
      <c r="D90" s="197"/>
      <c r="E90" s="197"/>
      <c r="F90" s="197"/>
      <c r="G90" s="197"/>
      <c r="H90" s="197"/>
      <c r="I90" s="197"/>
      <c r="J90" s="197"/>
      <c r="K90" s="197"/>
      <c r="L90" s="197"/>
      <c r="M90" s="197"/>
      <c r="N90" s="197"/>
      <c r="O90" s="197"/>
      <c r="P90" s="197"/>
      <c r="Q90" s="197"/>
      <c r="R90" s="197"/>
      <c r="S90" s="197"/>
      <c r="T90" s="197"/>
    </row>
    <row r="91" customFormat="false" ht="12" hidden="false" customHeight="false" outlineLevel="0" collapsed="false">
      <c r="B91" s="197"/>
      <c r="C91" s="197"/>
      <c r="D91" s="197"/>
      <c r="E91" s="197"/>
      <c r="F91" s="197"/>
      <c r="G91" s="197"/>
      <c r="H91" s="197"/>
      <c r="I91" s="197"/>
      <c r="J91" s="197"/>
      <c r="K91" s="197"/>
      <c r="L91" s="197"/>
      <c r="M91" s="197"/>
      <c r="N91" s="197"/>
      <c r="O91" s="197"/>
      <c r="P91" s="197"/>
      <c r="Q91" s="197"/>
      <c r="R91" s="197"/>
      <c r="S91" s="197"/>
      <c r="T91" s="197"/>
    </row>
    <row r="92" customFormat="false" ht="12" hidden="false" customHeight="false" outlineLevel="0" collapsed="false">
      <c r="B92" s="197"/>
      <c r="C92" s="197"/>
      <c r="D92" s="197"/>
      <c r="E92" s="197"/>
      <c r="F92" s="197"/>
      <c r="G92" s="197"/>
      <c r="H92" s="197"/>
      <c r="I92" s="197"/>
      <c r="J92" s="197"/>
      <c r="K92" s="197"/>
      <c r="L92" s="197"/>
      <c r="M92" s="197"/>
      <c r="N92" s="197"/>
      <c r="O92" s="197"/>
      <c r="P92" s="197"/>
      <c r="Q92" s="197"/>
      <c r="R92" s="197"/>
      <c r="S92" s="197"/>
      <c r="T92" s="197"/>
    </row>
    <row r="93" customFormat="false" ht="12" hidden="false" customHeight="false" outlineLevel="0" collapsed="false">
      <c r="B93" s="197"/>
      <c r="C93" s="197"/>
      <c r="D93" s="197"/>
      <c r="E93" s="197"/>
      <c r="F93" s="197"/>
      <c r="G93" s="197"/>
      <c r="H93" s="197"/>
      <c r="I93" s="197"/>
      <c r="J93" s="197"/>
      <c r="K93" s="197"/>
      <c r="L93" s="197"/>
      <c r="M93" s="197"/>
      <c r="N93" s="197"/>
      <c r="O93" s="197"/>
      <c r="P93" s="197"/>
      <c r="Q93" s="197"/>
      <c r="R93" s="197"/>
      <c r="S93" s="197"/>
      <c r="T93" s="197"/>
    </row>
    <row r="94" customFormat="false" ht="12" hidden="false" customHeight="false" outlineLevel="0" collapsed="false">
      <c r="B94" s="197"/>
      <c r="C94" s="197"/>
      <c r="D94" s="197"/>
      <c r="E94" s="197"/>
      <c r="F94" s="197"/>
      <c r="G94" s="197"/>
      <c r="H94" s="197"/>
      <c r="I94" s="197"/>
      <c r="J94" s="197"/>
      <c r="K94" s="197"/>
      <c r="L94" s="197"/>
      <c r="M94" s="197"/>
      <c r="N94" s="197"/>
      <c r="O94" s="197"/>
      <c r="P94" s="197"/>
      <c r="Q94" s="197"/>
      <c r="R94" s="197"/>
      <c r="S94" s="197"/>
      <c r="T94" s="197"/>
    </row>
    <row r="95" customFormat="false" ht="12" hidden="false" customHeight="false" outlineLevel="0" collapsed="false">
      <c r="B95" s="197"/>
      <c r="C95" s="197"/>
      <c r="D95" s="197"/>
      <c r="E95" s="197"/>
      <c r="F95" s="197"/>
      <c r="G95" s="197"/>
      <c r="H95" s="197"/>
      <c r="I95" s="197"/>
      <c r="J95" s="197"/>
      <c r="K95" s="197"/>
      <c r="L95" s="197"/>
      <c r="M95" s="197"/>
      <c r="N95" s="197"/>
      <c r="O95" s="197"/>
      <c r="P95" s="197"/>
      <c r="Q95" s="197"/>
      <c r="R95" s="197"/>
      <c r="S95" s="197"/>
      <c r="T95" s="197"/>
    </row>
    <row r="96" customFormat="false" ht="12" hidden="false" customHeight="false" outlineLevel="0" collapsed="false">
      <c r="B96" s="197"/>
      <c r="C96" s="197"/>
      <c r="D96" s="197"/>
      <c r="E96" s="197"/>
      <c r="F96" s="197"/>
      <c r="G96" s="197"/>
      <c r="H96" s="197"/>
      <c r="I96" s="197"/>
      <c r="J96" s="197"/>
      <c r="K96" s="197"/>
      <c r="L96" s="197"/>
      <c r="M96" s="197"/>
      <c r="N96" s="197"/>
      <c r="O96" s="197"/>
      <c r="P96" s="197"/>
      <c r="Q96" s="197"/>
      <c r="R96" s="197"/>
      <c r="S96" s="197"/>
      <c r="T96" s="197"/>
    </row>
    <row r="97" customFormat="false" ht="12" hidden="false" customHeight="false" outlineLevel="0" collapsed="false">
      <c r="B97" s="197"/>
      <c r="C97" s="197"/>
      <c r="D97" s="197"/>
      <c r="E97" s="197"/>
      <c r="F97" s="197"/>
      <c r="G97" s="197"/>
      <c r="H97" s="197"/>
      <c r="I97" s="197"/>
      <c r="J97" s="197"/>
      <c r="K97" s="197"/>
      <c r="L97" s="197"/>
      <c r="M97" s="197"/>
      <c r="N97" s="197"/>
      <c r="O97" s="197"/>
      <c r="P97" s="197"/>
      <c r="Q97" s="197"/>
      <c r="R97" s="197"/>
      <c r="S97" s="197"/>
      <c r="T97" s="197"/>
    </row>
    <row r="98" customFormat="false" ht="12" hidden="false" customHeight="false" outlineLevel="0" collapsed="false">
      <c r="B98" s="197"/>
      <c r="C98" s="197"/>
      <c r="D98" s="197"/>
      <c r="E98" s="197"/>
      <c r="F98" s="197"/>
      <c r="G98" s="197"/>
      <c r="H98" s="197"/>
      <c r="I98" s="197"/>
      <c r="J98" s="197"/>
      <c r="K98" s="197"/>
      <c r="L98" s="197"/>
      <c r="M98" s="197"/>
      <c r="N98" s="197"/>
      <c r="O98" s="197"/>
      <c r="P98" s="197"/>
      <c r="Q98" s="197"/>
      <c r="R98" s="197"/>
      <c r="S98" s="197"/>
      <c r="T98" s="197"/>
    </row>
    <row r="99" customFormat="false" ht="12" hidden="false" customHeight="false" outlineLevel="0" collapsed="false">
      <c r="B99" s="197"/>
      <c r="C99" s="197"/>
      <c r="D99" s="197"/>
      <c r="E99" s="197"/>
      <c r="F99" s="197"/>
      <c r="G99" s="197"/>
      <c r="H99" s="197"/>
      <c r="I99" s="197"/>
      <c r="J99" s="197"/>
      <c r="K99" s="197"/>
      <c r="L99" s="197"/>
      <c r="M99" s="197"/>
      <c r="N99" s="197"/>
      <c r="O99" s="197"/>
      <c r="P99" s="197"/>
      <c r="Q99" s="197"/>
      <c r="R99" s="197"/>
      <c r="S99" s="197"/>
      <c r="T99" s="197"/>
    </row>
    <row r="100" customFormat="false" ht="12" hidden="false" customHeight="false" outlineLevel="0" collapsed="false">
      <c r="B100" s="197"/>
      <c r="C100" s="197"/>
      <c r="D100" s="197"/>
      <c r="E100" s="197"/>
      <c r="F100" s="197"/>
      <c r="G100" s="197"/>
      <c r="H100" s="197"/>
      <c r="I100" s="197"/>
      <c r="J100" s="197"/>
      <c r="K100" s="197"/>
      <c r="L100" s="197"/>
      <c r="M100" s="197"/>
      <c r="N100" s="197"/>
      <c r="O100" s="197"/>
      <c r="P100" s="197"/>
      <c r="Q100" s="197"/>
      <c r="R100" s="197"/>
      <c r="S100" s="197"/>
      <c r="T100" s="197"/>
    </row>
    <row r="101" customFormat="false" ht="12" hidden="false" customHeight="false" outlineLevel="0" collapsed="false">
      <c r="B101" s="197"/>
      <c r="C101" s="197"/>
      <c r="D101" s="197"/>
      <c r="E101" s="197"/>
      <c r="F101" s="197"/>
      <c r="G101" s="197"/>
      <c r="H101" s="197"/>
      <c r="I101" s="197"/>
      <c r="J101" s="197"/>
      <c r="K101" s="197"/>
      <c r="L101" s="197"/>
      <c r="M101" s="197"/>
      <c r="N101" s="197"/>
      <c r="O101" s="197"/>
      <c r="P101" s="197"/>
      <c r="Q101" s="197"/>
      <c r="R101" s="197"/>
      <c r="S101" s="197"/>
      <c r="T101" s="197"/>
    </row>
    <row r="102" customFormat="false" ht="12" hidden="false" customHeight="false" outlineLevel="0" collapsed="false">
      <c r="B102" s="197"/>
      <c r="C102" s="197"/>
      <c r="D102" s="197"/>
      <c r="E102" s="197"/>
      <c r="F102" s="197"/>
      <c r="G102" s="197"/>
      <c r="H102" s="197"/>
      <c r="I102" s="197"/>
      <c r="J102" s="197"/>
      <c r="K102" s="197"/>
      <c r="L102" s="197"/>
      <c r="M102" s="197"/>
      <c r="N102" s="197"/>
      <c r="O102" s="197"/>
      <c r="P102" s="197"/>
      <c r="Q102" s="197"/>
      <c r="R102" s="197"/>
      <c r="S102" s="197"/>
      <c r="T102" s="197"/>
    </row>
    <row r="103" customFormat="false" ht="12" hidden="false" customHeight="false" outlineLevel="0" collapsed="false">
      <c r="B103" s="197"/>
      <c r="C103" s="197"/>
      <c r="D103" s="197"/>
      <c r="E103" s="197"/>
      <c r="F103" s="197"/>
      <c r="G103" s="197"/>
      <c r="H103" s="197"/>
      <c r="I103" s="197"/>
      <c r="J103" s="197"/>
      <c r="K103" s="197"/>
      <c r="L103" s="197"/>
      <c r="M103" s="197"/>
      <c r="N103" s="197"/>
      <c r="O103" s="197"/>
      <c r="P103" s="197"/>
      <c r="Q103" s="197"/>
      <c r="R103" s="197"/>
      <c r="S103" s="197"/>
      <c r="T103" s="197"/>
    </row>
    <row r="104" customFormat="false" ht="12" hidden="false" customHeight="false" outlineLevel="0" collapsed="false">
      <c r="B104" s="197"/>
      <c r="C104" s="197"/>
      <c r="D104" s="197"/>
      <c r="E104" s="197"/>
      <c r="F104" s="197"/>
      <c r="G104" s="197"/>
      <c r="H104" s="197"/>
      <c r="I104" s="197"/>
      <c r="J104" s="197"/>
      <c r="K104" s="197"/>
      <c r="L104" s="197"/>
      <c r="M104" s="197"/>
      <c r="N104" s="197"/>
      <c r="O104" s="197"/>
      <c r="P104" s="197"/>
      <c r="Q104" s="197"/>
      <c r="R104" s="197"/>
      <c r="S104" s="197"/>
      <c r="T104" s="197"/>
    </row>
    <row r="105" customFormat="false" ht="12" hidden="false" customHeight="false" outlineLevel="0" collapsed="false">
      <c r="B105" s="197"/>
      <c r="C105" s="197"/>
      <c r="D105" s="197"/>
      <c r="E105" s="197"/>
      <c r="F105" s="197"/>
      <c r="G105" s="197"/>
      <c r="H105" s="197"/>
      <c r="I105" s="197"/>
      <c r="J105" s="197"/>
      <c r="K105" s="197"/>
      <c r="L105" s="197"/>
      <c r="M105" s="197"/>
      <c r="N105" s="197"/>
      <c r="O105" s="197"/>
      <c r="P105" s="197"/>
      <c r="Q105" s="197"/>
      <c r="R105" s="197"/>
      <c r="S105" s="197"/>
      <c r="T105" s="197"/>
    </row>
    <row r="106" customFormat="false" ht="12" hidden="false" customHeight="false" outlineLevel="0" collapsed="false">
      <c r="B106" s="197"/>
      <c r="C106" s="197"/>
      <c r="D106" s="197"/>
      <c r="E106" s="197"/>
      <c r="F106" s="197"/>
      <c r="G106" s="197"/>
      <c r="H106" s="197"/>
      <c r="I106" s="197"/>
      <c r="J106" s="197"/>
      <c r="K106" s="197"/>
      <c r="L106" s="197"/>
      <c r="M106" s="197"/>
      <c r="N106" s="197"/>
      <c r="O106" s="197"/>
      <c r="P106" s="197"/>
      <c r="Q106" s="197"/>
      <c r="R106" s="197"/>
      <c r="S106" s="197"/>
      <c r="T106" s="197"/>
    </row>
    <row r="107" customFormat="false" ht="12" hidden="false" customHeight="false" outlineLevel="0" collapsed="false">
      <c r="B107" s="197"/>
      <c r="C107" s="197"/>
      <c r="D107" s="197"/>
      <c r="E107" s="197"/>
      <c r="F107" s="197"/>
      <c r="G107" s="197"/>
      <c r="H107" s="197"/>
      <c r="I107" s="197"/>
      <c r="J107" s="197"/>
      <c r="K107" s="197"/>
      <c r="L107" s="197"/>
      <c r="M107" s="197"/>
      <c r="N107" s="197"/>
      <c r="O107" s="197"/>
      <c r="P107" s="197"/>
      <c r="Q107" s="197"/>
      <c r="R107" s="197"/>
      <c r="S107" s="197"/>
      <c r="T107" s="197"/>
    </row>
    <row r="108" customFormat="false" ht="12" hidden="false" customHeight="false" outlineLevel="0" collapsed="false">
      <c r="B108" s="197"/>
      <c r="C108" s="197"/>
      <c r="D108" s="197"/>
      <c r="E108" s="197"/>
      <c r="F108" s="197"/>
      <c r="G108" s="197"/>
      <c r="H108" s="197"/>
      <c r="I108" s="197"/>
      <c r="J108" s="197"/>
      <c r="K108" s="197"/>
      <c r="L108" s="197"/>
      <c r="M108" s="197"/>
      <c r="N108" s="197"/>
      <c r="O108" s="197"/>
      <c r="P108" s="197"/>
      <c r="Q108" s="197"/>
      <c r="R108" s="197"/>
      <c r="S108" s="197"/>
      <c r="T108" s="197"/>
    </row>
    <row r="109" customFormat="false" ht="12" hidden="false" customHeight="false" outlineLevel="0" collapsed="false">
      <c r="B109" s="197"/>
      <c r="C109" s="197"/>
      <c r="D109" s="197"/>
      <c r="E109" s="197"/>
      <c r="F109" s="197"/>
      <c r="G109" s="197"/>
      <c r="H109" s="197"/>
      <c r="I109" s="197"/>
      <c r="J109" s="197"/>
      <c r="K109" s="197"/>
      <c r="L109" s="197"/>
      <c r="M109" s="197"/>
      <c r="N109" s="197"/>
      <c r="O109" s="197"/>
      <c r="P109" s="197"/>
      <c r="Q109" s="197"/>
      <c r="R109" s="197"/>
      <c r="S109" s="197"/>
      <c r="T109" s="197"/>
    </row>
    <row r="110" customFormat="false" ht="12" hidden="false" customHeight="false" outlineLevel="0" collapsed="false">
      <c r="B110" s="197"/>
      <c r="C110" s="197"/>
      <c r="D110" s="197"/>
      <c r="E110" s="197"/>
      <c r="F110" s="197"/>
      <c r="G110" s="197"/>
      <c r="H110" s="197"/>
      <c r="I110" s="197"/>
      <c r="J110" s="197"/>
      <c r="K110" s="197"/>
      <c r="L110" s="197"/>
      <c r="M110" s="197"/>
      <c r="N110" s="197"/>
      <c r="O110" s="197"/>
      <c r="P110" s="197"/>
      <c r="Q110" s="197"/>
      <c r="R110" s="197"/>
      <c r="S110" s="197"/>
      <c r="T110" s="197"/>
    </row>
    <row r="111" customFormat="false" ht="12" hidden="false" customHeight="false" outlineLevel="0" collapsed="false">
      <c r="B111" s="197"/>
      <c r="C111" s="197"/>
      <c r="D111" s="197"/>
      <c r="E111" s="197"/>
      <c r="F111" s="197"/>
      <c r="G111" s="197"/>
      <c r="H111" s="197"/>
      <c r="I111" s="197"/>
      <c r="J111" s="197"/>
      <c r="K111" s="197"/>
      <c r="L111" s="197"/>
      <c r="M111" s="197"/>
      <c r="N111" s="197"/>
      <c r="O111" s="197"/>
      <c r="P111" s="197"/>
      <c r="Q111" s="197"/>
      <c r="R111" s="197"/>
      <c r="S111" s="197"/>
      <c r="T111" s="197"/>
    </row>
    <row r="112" customFormat="false" ht="12" hidden="false" customHeight="false" outlineLevel="0" collapsed="false">
      <c r="B112" s="197"/>
      <c r="C112" s="197"/>
      <c r="D112" s="197"/>
      <c r="E112" s="197"/>
      <c r="F112" s="197"/>
      <c r="G112" s="197"/>
      <c r="H112" s="197"/>
      <c r="I112" s="197"/>
      <c r="J112" s="197"/>
      <c r="K112" s="197"/>
      <c r="L112" s="197"/>
      <c r="M112" s="197"/>
      <c r="N112" s="197"/>
      <c r="O112" s="197"/>
      <c r="P112" s="197"/>
      <c r="Q112" s="197"/>
      <c r="R112" s="197"/>
      <c r="S112" s="197"/>
      <c r="T112" s="197"/>
    </row>
    <row r="113" customFormat="false" ht="12" hidden="false" customHeight="false" outlineLevel="0" collapsed="false">
      <c r="B113" s="197"/>
      <c r="C113" s="197"/>
      <c r="D113" s="197"/>
      <c r="E113" s="197"/>
      <c r="F113" s="197"/>
      <c r="G113" s="197"/>
      <c r="H113" s="197"/>
      <c r="I113" s="197"/>
      <c r="J113" s="197"/>
      <c r="K113" s="197"/>
      <c r="L113" s="197"/>
      <c r="M113" s="197"/>
      <c r="N113" s="197"/>
      <c r="O113" s="197"/>
      <c r="P113" s="197"/>
      <c r="Q113" s="197"/>
      <c r="R113" s="197"/>
      <c r="S113" s="197"/>
      <c r="T113" s="197"/>
    </row>
    <row r="114" customFormat="false" ht="12" hidden="false" customHeight="false" outlineLevel="0" collapsed="false">
      <c r="B114" s="197"/>
      <c r="C114" s="197"/>
      <c r="D114" s="197"/>
      <c r="E114" s="197"/>
      <c r="F114" s="197"/>
      <c r="G114" s="197"/>
      <c r="H114" s="197"/>
      <c r="I114" s="197"/>
      <c r="J114" s="197"/>
      <c r="K114" s="197"/>
      <c r="L114" s="197"/>
      <c r="M114" s="197"/>
      <c r="N114" s="197"/>
      <c r="O114" s="197"/>
      <c r="P114" s="197"/>
      <c r="Q114" s="197"/>
      <c r="R114" s="197"/>
      <c r="S114" s="197"/>
      <c r="T114" s="197"/>
    </row>
    <row r="115" customFormat="false" ht="12" hidden="false" customHeight="false" outlineLevel="0" collapsed="false">
      <c r="B115" s="197"/>
      <c r="C115" s="197"/>
      <c r="D115" s="197"/>
      <c r="E115" s="197"/>
      <c r="F115" s="197"/>
      <c r="G115" s="197"/>
      <c r="H115" s="197"/>
      <c r="I115" s="197"/>
      <c r="J115" s="197"/>
      <c r="K115" s="197"/>
      <c r="L115" s="197"/>
      <c r="M115" s="197"/>
      <c r="N115" s="197"/>
      <c r="O115" s="197"/>
      <c r="P115" s="197"/>
      <c r="Q115" s="197"/>
      <c r="R115" s="197"/>
      <c r="S115" s="197"/>
      <c r="T115" s="197"/>
    </row>
    <row r="116" customFormat="false" ht="12" hidden="false" customHeight="false" outlineLevel="0" collapsed="false">
      <c r="B116" s="197"/>
      <c r="C116" s="197"/>
      <c r="D116" s="197"/>
      <c r="E116" s="197"/>
      <c r="F116" s="197"/>
      <c r="G116" s="197"/>
      <c r="H116" s="197"/>
      <c r="I116" s="197"/>
      <c r="J116" s="197"/>
      <c r="K116" s="197"/>
      <c r="L116" s="197"/>
      <c r="M116" s="197"/>
      <c r="N116" s="197"/>
      <c r="O116" s="197"/>
      <c r="P116" s="197"/>
      <c r="Q116" s="197"/>
      <c r="R116" s="197"/>
      <c r="S116" s="197"/>
      <c r="T116" s="197"/>
    </row>
    <row r="117" customFormat="false" ht="12" hidden="false" customHeight="false" outlineLevel="0" collapsed="false">
      <c r="B117" s="197"/>
      <c r="C117" s="197"/>
      <c r="D117" s="197"/>
      <c r="E117" s="197"/>
      <c r="F117" s="197"/>
      <c r="G117" s="197"/>
      <c r="H117" s="197"/>
      <c r="I117" s="197"/>
      <c r="J117" s="197"/>
      <c r="K117" s="197"/>
      <c r="L117" s="197"/>
      <c r="M117" s="197"/>
      <c r="N117" s="197"/>
      <c r="O117" s="197"/>
      <c r="P117" s="197"/>
      <c r="Q117" s="197"/>
      <c r="R117" s="197"/>
      <c r="S117" s="197"/>
      <c r="T117" s="197"/>
    </row>
    <row r="118" customFormat="false" ht="12" hidden="false" customHeight="false" outlineLevel="0" collapsed="false">
      <c r="B118" s="197"/>
      <c r="C118" s="197"/>
      <c r="D118" s="197"/>
      <c r="E118" s="197"/>
      <c r="F118" s="197"/>
      <c r="G118" s="197"/>
      <c r="H118" s="197"/>
      <c r="I118" s="197"/>
      <c r="J118" s="197"/>
      <c r="K118" s="197"/>
      <c r="L118" s="197"/>
      <c r="M118" s="197"/>
      <c r="N118" s="197"/>
      <c r="O118" s="197"/>
      <c r="P118" s="197"/>
      <c r="Q118" s="197"/>
      <c r="R118" s="197"/>
      <c r="S118" s="197"/>
      <c r="T118" s="197"/>
    </row>
    <row r="119" customFormat="false" ht="12" hidden="false" customHeight="false" outlineLevel="0" collapsed="false">
      <c r="B119" s="197"/>
      <c r="C119" s="197"/>
      <c r="D119" s="197"/>
      <c r="E119" s="197"/>
      <c r="F119" s="197"/>
      <c r="G119" s="197"/>
      <c r="H119" s="197"/>
      <c r="I119" s="197"/>
      <c r="J119" s="197"/>
      <c r="K119" s="197"/>
      <c r="L119" s="197"/>
      <c r="M119" s="197"/>
      <c r="N119" s="197"/>
      <c r="O119" s="197"/>
      <c r="P119" s="197"/>
      <c r="Q119" s="197"/>
      <c r="R119" s="197"/>
      <c r="S119" s="197"/>
      <c r="T119" s="197"/>
    </row>
    <row r="120" customFormat="false" ht="12" hidden="false" customHeight="false" outlineLevel="0" collapsed="false">
      <c r="B120" s="197"/>
      <c r="C120" s="197"/>
      <c r="D120" s="197"/>
      <c r="E120" s="197"/>
      <c r="F120" s="197"/>
      <c r="G120" s="197"/>
      <c r="H120" s="197"/>
      <c r="I120" s="197"/>
      <c r="J120" s="197"/>
      <c r="K120" s="197"/>
      <c r="L120" s="197"/>
      <c r="M120" s="197"/>
      <c r="N120" s="197"/>
      <c r="O120" s="197"/>
      <c r="P120" s="197"/>
      <c r="Q120" s="197"/>
      <c r="R120" s="197"/>
      <c r="S120" s="197"/>
      <c r="T120" s="197"/>
    </row>
    <row r="121" customFormat="false" ht="12" hidden="false" customHeight="false" outlineLevel="0" collapsed="false">
      <c r="B121" s="197"/>
      <c r="C121" s="197"/>
      <c r="D121" s="197"/>
      <c r="E121" s="197"/>
      <c r="F121" s="197"/>
      <c r="G121" s="197"/>
      <c r="H121" s="197"/>
      <c r="I121" s="197"/>
      <c r="J121" s="197"/>
      <c r="K121" s="197"/>
      <c r="L121" s="197"/>
      <c r="M121" s="197"/>
      <c r="N121" s="197"/>
      <c r="O121" s="197"/>
      <c r="P121" s="197"/>
      <c r="Q121" s="197"/>
      <c r="R121" s="197"/>
      <c r="S121" s="197"/>
      <c r="T121" s="197"/>
    </row>
    <row r="122" customFormat="false" ht="12" hidden="false" customHeight="false" outlineLevel="0" collapsed="false">
      <c r="B122" s="197"/>
      <c r="C122" s="197"/>
      <c r="D122" s="197"/>
      <c r="E122" s="197"/>
      <c r="F122" s="197"/>
      <c r="G122" s="197"/>
      <c r="H122" s="197"/>
      <c r="I122" s="197"/>
      <c r="J122" s="197"/>
      <c r="K122" s="197"/>
      <c r="L122" s="197"/>
      <c r="M122" s="197"/>
      <c r="N122" s="197"/>
      <c r="O122" s="197"/>
      <c r="P122" s="197"/>
      <c r="Q122" s="197"/>
      <c r="R122" s="197"/>
      <c r="S122" s="197"/>
      <c r="T122" s="197"/>
    </row>
    <row r="123" customFormat="false" ht="12" hidden="false" customHeight="false" outlineLevel="0" collapsed="false">
      <c r="B123" s="197"/>
      <c r="C123" s="197"/>
      <c r="D123" s="197"/>
      <c r="E123" s="197"/>
      <c r="F123" s="197"/>
      <c r="G123" s="197"/>
      <c r="H123" s="197"/>
      <c r="I123" s="197"/>
      <c r="J123" s="197"/>
      <c r="K123" s="197"/>
      <c r="L123" s="197"/>
      <c r="M123" s="197"/>
      <c r="N123" s="197"/>
      <c r="O123" s="197"/>
      <c r="P123" s="197"/>
      <c r="Q123" s="197"/>
      <c r="R123" s="197"/>
      <c r="S123" s="197"/>
      <c r="T123" s="197"/>
    </row>
    <row r="124" customFormat="false" ht="12" hidden="false" customHeight="false" outlineLevel="0" collapsed="false">
      <c r="B124" s="197"/>
      <c r="C124" s="197"/>
      <c r="D124" s="197"/>
      <c r="E124" s="197"/>
      <c r="F124" s="197"/>
      <c r="G124" s="197"/>
      <c r="H124" s="197"/>
      <c r="I124" s="197"/>
      <c r="J124" s="197"/>
      <c r="K124" s="197"/>
      <c r="L124" s="197"/>
      <c r="M124" s="197"/>
      <c r="N124" s="197"/>
      <c r="O124" s="197"/>
      <c r="P124" s="197"/>
      <c r="Q124" s="197"/>
      <c r="R124" s="197"/>
      <c r="S124" s="197"/>
      <c r="T124" s="197"/>
    </row>
    <row r="125" customFormat="false" ht="12" hidden="false" customHeight="false" outlineLevel="0" collapsed="false">
      <c r="B125" s="197"/>
      <c r="C125" s="197"/>
      <c r="D125" s="197"/>
      <c r="E125" s="197"/>
      <c r="F125" s="197"/>
      <c r="G125" s="197"/>
      <c r="H125" s="197"/>
      <c r="I125" s="197"/>
      <c r="J125" s="197"/>
      <c r="K125" s="197"/>
      <c r="L125" s="197"/>
      <c r="M125" s="197"/>
      <c r="N125" s="197"/>
      <c r="O125" s="197"/>
      <c r="P125" s="197"/>
      <c r="Q125" s="197"/>
      <c r="R125" s="197"/>
      <c r="S125" s="197"/>
      <c r="T125" s="197"/>
    </row>
    <row r="126" customFormat="false" ht="12" hidden="false" customHeight="false" outlineLevel="0" collapsed="false">
      <c r="B126" s="197"/>
      <c r="C126" s="197"/>
      <c r="D126" s="197"/>
      <c r="E126" s="197"/>
      <c r="F126" s="197"/>
      <c r="G126" s="197"/>
      <c r="H126" s="197"/>
      <c r="I126" s="197"/>
      <c r="J126" s="197"/>
      <c r="K126" s="197"/>
      <c r="L126" s="197"/>
      <c r="M126" s="197"/>
      <c r="N126" s="197"/>
      <c r="O126" s="197"/>
      <c r="P126" s="197"/>
      <c r="Q126" s="197"/>
      <c r="R126" s="197"/>
      <c r="S126" s="197"/>
      <c r="T126" s="197"/>
    </row>
    <row r="127" customFormat="false" ht="12" hidden="false" customHeight="false" outlineLevel="0" collapsed="false">
      <c r="B127" s="197"/>
      <c r="C127" s="197"/>
      <c r="D127" s="197"/>
      <c r="E127" s="197"/>
      <c r="F127" s="197"/>
      <c r="G127" s="197"/>
      <c r="H127" s="197"/>
      <c r="I127" s="197"/>
      <c r="J127" s="197"/>
      <c r="K127" s="197"/>
      <c r="L127" s="197"/>
      <c r="M127" s="197"/>
      <c r="N127" s="197"/>
      <c r="O127" s="197"/>
      <c r="P127" s="197"/>
      <c r="Q127" s="197"/>
      <c r="R127" s="197"/>
      <c r="S127" s="197"/>
      <c r="T127" s="197"/>
    </row>
    <row r="128" customFormat="false" ht="12" hidden="false" customHeight="false" outlineLevel="0" collapsed="false">
      <c r="B128" s="197"/>
      <c r="C128" s="197"/>
      <c r="D128" s="197"/>
      <c r="E128" s="197"/>
      <c r="F128" s="197"/>
      <c r="G128" s="197"/>
      <c r="H128" s="197"/>
      <c r="I128" s="197"/>
      <c r="J128" s="197"/>
      <c r="K128" s="197"/>
      <c r="L128" s="197"/>
      <c r="M128" s="197"/>
      <c r="N128" s="197"/>
      <c r="O128" s="197"/>
      <c r="P128" s="197"/>
      <c r="Q128" s="197"/>
      <c r="R128" s="197"/>
      <c r="S128" s="197"/>
      <c r="T128" s="197"/>
    </row>
    <row r="129" customFormat="false" ht="12" hidden="false" customHeight="false" outlineLevel="0" collapsed="false">
      <c r="B129" s="197"/>
      <c r="C129" s="197"/>
      <c r="D129" s="197"/>
      <c r="E129" s="197"/>
      <c r="F129" s="197"/>
      <c r="G129" s="197"/>
      <c r="H129" s="197"/>
      <c r="I129" s="197"/>
      <c r="J129" s="197"/>
      <c r="K129" s="197"/>
      <c r="L129" s="197"/>
      <c r="M129" s="197"/>
      <c r="N129" s="197"/>
      <c r="O129" s="197"/>
      <c r="P129" s="197"/>
      <c r="Q129" s="197"/>
      <c r="R129" s="197"/>
      <c r="S129" s="197"/>
      <c r="T129" s="197"/>
    </row>
    <row r="130" customFormat="false" ht="12" hidden="false" customHeight="false" outlineLevel="0" collapsed="false">
      <c r="B130" s="197"/>
      <c r="C130" s="197"/>
      <c r="D130" s="197"/>
      <c r="E130" s="197"/>
      <c r="F130" s="197"/>
      <c r="G130" s="197"/>
      <c r="H130" s="197"/>
      <c r="I130" s="197"/>
      <c r="J130" s="197"/>
      <c r="K130" s="197"/>
      <c r="L130" s="197"/>
      <c r="M130" s="197"/>
      <c r="N130" s="197"/>
      <c r="O130" s="197"/>
      <c r="P130" s="197"/>
      <c r="Q130" s="197"/>
      <c r="R130" s="197"/>
      <c r="S130" s="197"/>
      <c r="T130" s="197"/>
    </row>
    <row r="131" customFormat="false" ht="12" hidden="false" customHeight="false" outlineLevel="0" collapsed="false">
      <c r="B131" s="197"/>
      <c r="C131" s="197"/>
      <c r="D131" s="197"/>
      <c r="E131" s="197"/>
      <c r="F131" s="197"/>
      <c r="G131" s="197"/>
      <c r="H131" s="197"/>
      <c r="I131" s="197"/>
      <c r="J131" s="197"/>
      <c r="K131" s="197"/>
      <c r="L131" s="197"/>
      <c r="M131" s="197"/>
      <c r="N131" s="197"/>
      <c r="O131" s="197"/>
      <c r="P131" s="197"/>
      <c r="Q131" s="197"/>
      <c r="R131" s="197"/>
      <c r="S131" s="197"/>
      <c r="T131" s="197"/>
    </row>
    <row r="132" customFormat="false" ht="12" hidden="false" customHeight="false" outlineLevel="0" collapsed="false">
      <c r="B132" s="197"/>
      <c r="C132" s="197"/>
      <c r="D132" s="197"/>
      <c r="E132" s="197"/>
      <c r="F132" s="197"/>
      <c r="G132" s="197"/>
      <c r="H132" s="197"/>
      <c r="I132" s="197"/>
      <c r="J132" s="197"/>
      <c r="K132" s="197"/>
      <c r="L132" s="197"/>
      <c r="M132" s="197"/>
      <c r="N132" s="197"/>
      <c r="O132" s="197"/>
      <c r="P132" s="197"/>
      <c r="Q132" s="197"/>
      <c r="R132" s="197"/>
      <c r="S132" s="197"/>
      <c r="T132" s="197"/>
    </row>
    <row r="133" customFormat="false" ht="12" hidden="false" customHeight="false" outlineLevel="0" collapsed="false">
      <c r="B133" s="197"/>
      <c r="C133" s="197"/>
      <c r="D133" s="197"/>
      <c r="E133" s="197"/>
      <c r="F133" s="197"/>
      <c r="G133" s="197"/>
      <c r="H133" s="197"/>
      <c r="I133" s="197"/>
      <c r="J133" s="197"/>
      <c r="K133" s="197"/>
      <c r="L133" s="197"/>
      <c r="M133" s="197"/>
      <c r="N133" s="197"/>
      <c r="O133" s="197"/>
      <c r="P133" s="197"/>
      <c r="Q133" s="197"/>
      <c r="R133" s="197"/>
      <c r="S133" s="197"/>
      <c r="T133" s="197"/>
    </row>
    <row r="134" customFormat="false" ht="12" hidden="false" customHeight="false" outlineLevel="0" collapsed="false">
      <c r="B134" s="197"/>
      <c r="C134" s="197"/>
      <c r="D134" s="197"/>
      <c r="E134" s="197"/>
      <c r="F134" s="197"/>
      <c r="G134" s="197"/>
      <c r="H134" s="197"/>
      <c r="I134" s="197"/>
      <c r="J134" s="197"/>
      <c r="K134" s="197"/>
      <c r="L134" s="197"/>
      <c r="M134" s="197"/>
      <c r="N134" s="197"/>
      <c r="O134" s="197"/>
      <c r="P134" s="197"/>
      <c r="Q134" s="197"/>
      <c r="R134" s="197"/>
      <c r="S134" s="197"/>
      <c r="T134" s="197"/>
    </row>
    <row r="135" customFormat="false" ht="12" hidden="false" customHeight="false" outlineLevel="0" collapsed="false">
      <c r="B135" s="197"/>
      <c r="C135" s="197"/>
      <c r="D135" s="197"/>
      <c r="E135" s="197"/>
      <c r="F135" s="197"/>
      <c r="G135" s="197"/>
      <c r="H135" s="197"/>
      <c r="I135" s="197"/>
      <c r="J135" s="197"/>
      <c r="K135" s="197"/>
      <c r="L135" s="197"/>
      <c r="M135" s="197"/>
      <c r="N135" s="197"/>
      <c r="O135" s="197"/>
      <c r="P135" s="197"/>
      <c r="Q135" s="197"/>
      <c r="R135" s="197"/>
      <c r="S135" s="197"/>
      <c r="T135" s="197"/>
    </row>
    <row r="136" customFormat="false" ht="12" hidden="false" customHeight="false" outlineLevel="0" collapsed="false">
      <c r="B136" s="197"/>
      <c r="C136" s="197"/>
      <c r="D136" s="197"/>
      <c r="E136" s="197"/>
      <c r="F136" s="197"/>
      <c r="G136" s="197"/>
      <c r="H136" s="197"/>
      <c r="I136" s="197"/>
      <c r="J136" s="197"/>
      <c r="K136" s="197"/>
      <c r="L136" s="197"/>
      <c r="M136" s="197"/>
      <c r="N136" s="197"/>
      <c r="O136" s="197"/>
      <c r="P136" s="197"/>
      <c r="Q136" s="197"/>
      <c r="R136" s="197"/>
      <c r="S136" s="197"/>
      <c r="T136" s="197"/>
    </row>
    <row r="137" customFormat="false" ht="12" hidden="false" customHeight="false" outlineLevel="0" collapsed="false">
      <c r="B137" s="197"/>
      <c r="C137" s="197"/>
      <c r="D137" s="197"/>
      <c r="E137" s="197"/>
      <c r="F137" s="197"/>
      <c r="G137" s="197"/>
      <c r="H137" s="197"/>
      <c r="I137" s="197"/>
      <c r="J137" s="197"/>
      <c r="K137" s="197"/>
      <c r="L137" s="197"/>
      <c r="M137" s="197"/>
      <c r="N137" s="197"/>
      <c r="O137" s="197"/>
      <c r="P137" s="197"/>
      <c r="Q137" s="197"/>
      <c r="R137" s="197"/>
      <c r="S137" s="197"/>
      <c r="T137" s="197"/>
    </row>
    <row r="138" customFormat="false" ht="12" hidden="false" customHeight="false" outlineLevel="0" collapsed="false">
      <c r="B138" s="197"/>
      <c r="C138" s="197"/>
      <c r="D138" s="197"/>
      <c r="E138" s="197"/>
      <c r="F138" s="197"/>
      <c r="G138" s="197"/>
      <c r="H138" s="197"/>
      <c r="I138" s="197"/>
      <c r="J138" s="197"/>
      <c r="K138" s="197"/>
      <c r="L138" s="197"/>
      <c r="M138" s="197"/>
      <c r="N138" s="197"/>
      <c r="O138" s="197"/>
      <c r="P138" s="197"/>
      <c r="Q138" s="197"/>
      <c r="R138" s="197"/>
      <c r="S138" s="197"/>
      <c r="T138" s="197"/>
    </row>
    <row r="139" customFormat="false" ht="12" hidden="false" customHeight="false" outlineLevel="0" collapsed="false">
      <c r="B139" s="197"/>
      <c r="C139" s="197"/>
      <c r="D139" s="197"/>
      <c r="E139" s="197"/>
      <c r="F139" s="197"/>
      <c r="G139" s="197"/>
      <c r="H139" s="197"/>
      <c r="I139" s="197"/>
      <c r="J139" s="197"/>
      <c r="K139" s="197"/>
      <c r="L139" s="197"/>
      <c r="M139" s="197"/>
      <c r="N139" s="197"/>
      <c r="O139" s="197"/>
      <c r="P139" s="197"/>
      <c r="Q139" s="197"/>
      <c r="R139" s="197"/>
      <c r="S139" s="197"/>
      <c r="T139" s="197"/>
    </row>
    <row r="140" customFormat="false" ht="12" hidden="false" customHeight="false" outlineLevel="0" collapsed="false">
      <c r="B140" s="197"/>
      <c r="C140" s="197"/>
      <c r="D140" s="197"/>
      <c r="E140" s="197"/>
      <c r="F140" s="197"/>
      <c r="G140" s="197"/>
      <c r="H140" s="197"/>
      <c r="I140" s="197"/>
      <c r="J140" s="197"/>
      <c r="K140" s="197"/>
      <c r="L140" s="197"/>
      <c r="M140" s="197"/>
      <c r="N140" s="197"/>
      <c r="O140" s="197"/>
      <c r="P140" s="197"/>
      <c r="Q140" s="197"/>
      <c r="R140" s="197"/>
      <c r="S140" s="197"/>
      <c r="T140" s="197"/>
    </row>
    <row r="141" customFormat="false" ht="12" hidden="false" customHeight="false" outlineLevel="0" collapsed="false">
      <c r="B141" s="197"/>
      <c r="C141" s="197"/>
      <c r="D141" s="197"/>
      <c r="E141" s="197"/>
      <c r="F141" s="197"/>
      <c r="G141" s="197"/>
      <c r="H141" s="197"/>
      <c r="I141" s="197"/>
      <c r="J141" s="197"/>
      <c r="K141" s="197"/>
      <c r="L141" s="197"/>
      <c r="M141" s="197"/>
      <c r="N141" s="197"/>
      <c r="O141" s="197"/>
      <c r="P141" s="197"/>
      <c r="Q141" s="197"/>
      <c r="R141" s="197"/>
      <c r="S141" s="197"/>
      <c r="T141" s="197"/>
    </row>
    <row r="142" customFormat="false" ht="12" hidden="false" customHeight="false" outlineLevel="0" collapsed="false">
      <c r="B142" s="197"/>
      <c r="C142" s="197"/>
      <c r="D142" s="197"/>
      <c r="E142" s="197"/>
      <c r="F142" s="197"/>
      <c r="G142" s="197"/>
      <c r="H142" s="197"/>
      <c r="I142" s="197"/>
      <c r="J142" s="197"/>
      <c r="K142" s="197"/>
      <c r="L142" s="197"/>
      <c r="M142" s="197"/>
      <c r="N142" s="197"/>
      <c r="O142" s="197"/>
      <c r="P142" s="197"/>
      <c r="Q142" s="197"/>
      <c r="R142" s="197"/>
      <c r="S142" s="197"/>
      <c r="T142" s="197"/>
    </row>
    <row r="143" customFormat="false" ht="12" hidden="false" customHeight="false" outlineLevel="0" collapsed="false">
      <c r="B143" s="197"/>
      <c r="C143" s="197"/>
      <c r="D143" s="197"/>
      <c r="E143" s="197"/>
      <c r="F143" s="197"/>
      <c r="G143" s="197"/>
      <c r="H143" s="197"/>
      <c r="I143" s="197"/>
      <c r="J143" s="197"/>
      <c r="K143" s="197"/>
      <c r="L143" s="197"/>
      <c r="M143" s="197"/>
      <c r="N143" s="197"/>
      <c r="O143" s="197"/>
      <c r="P143" s="197"/>
      <c r="Q143" s="197"/>
      <c r="R143" s="197"/>
      <c r="S143" s="197"/>
      <c r="T143" s="197"/>
    </row>
    <row r="144" customFormat="false" ht="12" hidden="false" customHeight="false" outlineLevel="0" collapsed="false">
      <c r="B144" s="197"/>
      <c r="C144" s="197"/>
      <c r="D144" s="197"/>
      <c r="E144" s="197"/>
      <c r="F144" s="197"/>
      <c r="G144" s="197"/>
      <c r="H144" s="197"/>
      <c r="I144" s="197"/>
      <c r="J144" s="197"/>
      <c r="K144" s="197"/>
      <c r="L144" s="197"/>
      <c r="M144" s="197"/>
      <c r="N144" s="197"/>
      <c r="O144" s="197"/>
      <c r="P144" s="197"/>
      <c r="Q144" s="197"/>
      <c r="R144" s="197"/>
      <c r="S144" s="197"/>
      <c r="T144" s="197"/>
    </row>
    <row r="145" customFormat="false" ht="12" hidden="false" customHeight="false" outlineLevel="0" collapsed="false">
      <c r="B145" s="197"/>
      <c r="C145" s="197"/>
      <c r="D145" s="197"/>
      <c r="E145" s="197"/>
      <c r="F145" s="197"/>
      <c r="G145" s="197"/>
      <c r="H145" s="197"/>
      <c r="I145" s="197"/>
      <c r="J145" s="197"/>
      <c r="K145" s="197"/>
      <c r="L145" s="197"/>
      <c r="M145" s="197"/>
      <c r="N145" s="197"/>
      <c r="O145" s="197"/>
      <c r="P145" s="197"/>
      <c r="Q145" s="197"/>
      <c r="R145" s="197"/>
      <c r="S145" s="197"/>
      <c r="T145" s="197"/>
    </row>
    <row r="146" customFormat="false" ht="12" hidden="false" customHeight="false" outlineLevel="0" collapsed="false">
      <c r="B146" s="197"/>
      <c r="C146" s="197"/>
      <c r="D146" s="197"/>
      <c r="E146" s="197"/>
      <c r="F146" s="197"/>
      <c r="G146" s="197"/>
      <c r="H146" s="197"/>
      <c r="I146" s="197"/>
      <c r="J146" s="197"/>
      <c r="K146" s="197"/>
      <c r="L146" s="197"/>
      <c r="M146" s="197"/>
      <c r="N146" s="197"/>
      <c r="O146" s="197"/>
      <c r="P146" s="197"/>
      <c r="Q146" s="197"/>
      <c r="R146" s="197"/>
      <c r="S146" s="197"/>
      <c r="T146" s="197"/>
    </row>
    <row r="147" customFormat="false" ht="12" hidden="false" customHeight="false" outlineLevel="0" collapsed="false">
      <c r="B147" s="197"/>
      <c r="C147" s="197"/>
      <c r="D147" s="197"/>
      <c r="E147" s="197"/>
      <c r="F147" s="197"/>
      <c r="G147" s="197"/>
      <c r="H147" s="197"/>
      <c r="I147" s="197"/>
      <c r="J147" s="197"/>
      <c r="K147" s="197"/>
      <c r="L147" s="197"/>
      <c r="M147" s="197"/>
      <c r="N147" s="197"/>
      <c r="O147" s="197"/>
      <c r="P147" s="197"/>
      <c r="Q147" s="197"/>
      <c r="R147" s="197"/>
      <c r="S147" s="197"/>
      <c r="T147" s="197"/>
    </row>
    <row r="148" customFormat="false" ht="12" hidden="false" customHeight="false" outlineLevel="0" collapsed="false">
      <c r="B148" s="197"/>
      <c r="C148" s="197"/>
      <c r="D148" s="197"/>
      <c r="E148" s="197"/>
      <c r="F148" s="197"/>
      <c r="G148" s="197"/>
      <c r="H148" s="197"/>
      <c r="I148" s="197"/>
      <c r="J148" s="197"/>
      <c r="K148" s="197"/>
      <c r="L148" s="197"/>
      <c r="M148" s="197"/>
      <c r="N148" s="197"/>
      <c r="O148" s="197"/>
      <c r="P148" s="197"/>
      <c r="Q148" s="197"/>
      <c r="R148" s="197"/>
      <c r="S148" s="197"/>
      <c r="T148" s="197"/>
    </row>
    <row r="149" customFormat="false" ht="12" hidden="false" customHeight="false" outlineLevel="0" collapsed="false">
      <c r="B149" s="197"/>
      <c r="C149" s="197"/>
      <c r="D149" s="197"/>
      <c r="E149" s="197"/>
      <c r="F149" s="197"/>
      <c r="G149" s="197"/>
      <c r="H149" s="197"/>
      <c r="I149" s="197"/>
      <c r="J149" s="197"/>
      <c r="K149" s="197"/>
      <c r="L149" s="197"/>
      <c r="M149" s="197"/>
      <c r="N149" s="197"/>
      <c r="O149" s="197"/>
      <c r="P149" s="197"/>
      <c r="Q149" s="197"/>
      <c r="R149" s="197"/>
      <c r="S149" s="197"/>
      <c r="T149" s="197"/>
    </row>
    <row r="150" customFormat="false" ht="12" hidden="false" customHeight="false" outlineLevel="0" collapsed="false">
      <c r="B150" s="197"/>
      <c r="C150" s="197"/>
      <c r="D150" s="197"/>
      <c r="E150" s="197"/>
      <c r="F150" s="197"/>
      <c r="G150" s="197"/>
      <c r="H150" s="197"/>
      <c r="I150" s="197"/>
      <c r="J150" s="197"/>
      <c r="K150" s="197"/>
      <c r="L150" s="197"/>
      <c r="M150" s="197"/>
      <c r="N150" s="197"/>
      <c r="O150" s="197"/>
      <c r="P150" s="197"/>
      <c r="Q150" s="197"/>
      <c r="R150" s="197"/>
      <c r="S150" s="197"/>
      <c r="T150" s="197"/>
    </row>
    <row r="151" customFormat="false" ht="12" hidden="false" customHeight="false" outlineLevel="0" collapsed="false">
      <c r="B151" s="197"/>
      <c r="C151" s="197"/>
      <c r="D151" s="197"/>
      <c r="E151" s="197"/>
      <c r="F151" s="197"/>
      <c r="G151" s="197"/>
      <c r="H151" s="197"/>
      <c r="I151" s="197"/>
      <c r="J151" s="197"/>
      <c r="K151" s="197"/>
      <c r="L151" s="197"/>
      <c r="M151" s="197"/>
      <c r="N151" s="197"/>
      <c r="O151" s="197"/>
      <c r="P151" s="197"/>
      <c r="Q151" s="197"/>
      <c r="R151" s="197"/>
      <c r="S151" s="197"/>
      <c r="T151" s="197"/>
    </row>
    <row r="152" customFormat="false" ht="12" hidden="false" customHeight="false" outlineLevel="0" collapsed="false">
      <c r="B152" s="197"/>
      <c r="C152" s="197"/>
      <c r="D152" s="197"/>
      <c r="E152" s="197"/>
      <c r="F152" s="197"/>
      <c r="G152" s="197"/>
      <c r="H152" s="197"/>
      <c r="I152" s="197"/>
      <c r="J152" s="197"/>
      <c r="K152" s="197"/>
      <c r="L152" s="197"/>
      <c r="M152" s="197"/>
      <c r="N152" s="197"/>
      <c r="O152" s="197"/>
      <c r="P152" s="197"/>
      <c r="Q152" s="197"/>
      <c r="R152" s="197"/>
      <c r="S152" s="197"/>
      <c r="T152" s="197"/>
    </row>
    <row r="153" customFormat="false" ht="12" hidden="false" customHeight="false" outlineLevel="0" collapsed="false">
      <c r="B153" s="197"/>
      <c r="C153" s="197"/>
      <c r="D153" s="197"/>
      <c r="E153" s="197"/>
      <c r="F153" s="197"/>
      <c r="G153" s="197"/>
      <c r="H153" s="197"/>
      <c r="I153" s="197"/>
      <c r="J153" s="197"/>
      <c r="K153" s="197"/>
      <c r="L153" s="197"/>
      <c r="M153" s="197"/>
      <c r="N153" s="197"/>
      <c r="O153" s="197"/>
      <c r="P153" s="197"/>
      <c r="Q153" s="197"/>
      <c r="R153" s="197"/>
      <c r="S153" s="197"/>
      <c r="T153" s="197"/>
    </row>
    <row r="154" customFormat="false" ht="12" hidden="false" customHeight="false" outlineLevel="0" collapsed="false">
      <c r="B154" s="197"/>
      <c r="C154" s="197"/>
      <c r="D154" s="197"/>
      <c r="E154" s="197"/>
      <c r="F154" s="197"/>
      <c r="G154" s="197"/>
      <c r="H154" s="197"/>
      <c r="I154" s="197"/>
      <c r="J154" s="197"/>
      <c r="K154" s="197"/>
      <c r="L154" s="197"/>
      <c r="M154" s="197"/>
      <c r="N154" s="197"/>
      <c r="O154" s="197"/>
      <c r="P154" s="197"/>
      <c r="Q154" s="197"/>
      <c r="R154" s="197"/>
      <c r="S154" s="197"/>
      <c r="T154" s="197"/>
    </row>
    <row r="155" customFormat="false" ht="12" hidden="false" customHeight="false" outlineLevel="0" collapsed="false">
      <c r="B155" s="197"/>
      <c r="C155" s="197"/>
      <c r="D155" s="197"/>
      <c r="E155" s="197"/>
      <c r="F155" s="197"/>
      <c r="G155" s="197"/>
      <c r="H155" s="197"/>
      <c r="I155" s="197"/>
      <c r="J155" s="197"/>
      <c r="K155" s="197"/>
      <c r="L155" s="197"/>
      <c r="M155" s="197"/>
      <c r="N155" s="197"/>
      <c r="O155" s="197"/>
      <c r="P155" s="197"/>
      <c r="Q155" s="197"/>
      <c r="R155" s="197"/>
      <c r="S155" s="197"/>
      <c r="T155" s="197"/>
    </row>
    <row r="156" customFormat="false" ht="12" hidden="false" customHeight="false" outlineLevel="0" collapsed="false">
      <c r="B156" s="197"/>
      <c r="C156" s="197"/>
      <c r="D156" s="197"/>
      <c r="E156" s="197"/>
      <c r="F156" s="197"/>
      <c r="G156" s="197"/>
      <c r="H156" s="197"/>
      <c r="I156" s="197"/>
      <c r="J156" s="197"/>
      <c r="K156" s="197"/>
      <c r="L156" s="197"/>
      <c r="M156" s="197"/>
      <c r="N156" s="197"/>
      <c r="O156" s="197"/>
      <c r="P156" s="197"/>
      <c r="Q156" s="197"/>
      <c r="R156" s="197"/>
      <c r="S156" s="197"/>
      <c r="T156" s="197"/>
    </row>
    <row r="157" customFormat="false" ht="12" hidden="false" customHeight="false" outlineLevel="0" collapsed="false">
      <c r="B157" s="197"/>
      <c r="C157" s="197"/>
      <c r="D157" s="197"/>
      <c r="E157" s="197"/>
      <c r="F157" s="197"/>
      <c r="G157" s="197"/>
      <c r="H157" s="197"/>
      <c r="I157" s="197"/>
      <c r="J157" s="197"/>
      <c r="K157" s="197"/>
      <c r="L157" s="197"/>
      <c r="M157" s="197"/>
      <c r="N157" s="197"/>
      <c r="O157" s="197"/>
      <c r="P157" s="197"/>
      <c r="Q157" s="197"/>
      <c r="R157" s="197"/>
      <c r="S157" s="197"/>
      <c r="T157" s="197"/>
    </row>
    <row r="158" customFormat="false" ht="12" hidden="false" customHeight="false" outlineLevel="0" collapsed="false">
      <c r="B158" s="197"/>
      <c r="C158" s="197"/>
      <c r="D158" s="197"/>
      <c r="E158" s="197"/>
      <c r="F158" s="197"/>
      <c r="G158" s="197"/>
      <c r="H158" s="197"/>
      <c r="I158" s="197"/>
      <c r="J158" s="197"/>
      <c r="K158" s="197"/>
      <c r="L158" s="197"/>
      <c r="M158" s="197"/>
      <c r="N158" s="197"/>
      <c r="O158" s="197"/>
      <c r="P158" s="197"/>
      <c r="Q158" s="197"/>
      <c r="R158" s="197"/>
      <c r="S158" s="197"/>
      <c r="T158" s="197"/>
    </row>
    <row r="159" customFormat="false" ht="12" hidden="false" customHeight="false" outlineLevel="0" collapsed="false">
      <c r="B159" s="197"/>
      <c r="C159" s="197"/>
      <c r="D159" s="197"/>
      <c r="E159" s="197"/>
      <c r="F159" s="197"/>
      <c r="G159" s="197"/>
      <c r="H159" s="197"/>
      <c r="I159" s="197"/>
      <c r="J159" s="197"/>
      <c r="K159" s="197"/>
      <c r="L159" s="197"/>
      <c r="M159" s="197"/>
      <c r="N159" s="197"/>
      <c r="O159" s="197"/>
      <c r="P159" s="197"/>
      <c r="Q159" s="197"/>
      <c r="R159" s="197"/>
      <c r="S159" s="197"/>
      <c r="T159" s="197"/>
    </row>
    <row r="160" customFormat="false" ht="12" hidden="false" customHeight="false" outlineLevel="0" collapsed="false">
      <c r="B160" s="197"/>
      <c r="C160" s="197"/>
      <c r="D160" s="197"/>
      <c r="E160" s="197"/>
      <c r="F160" s="197"/>
      <c r="G160" s="197"/>
      <c r="H160" s="197"/>
      <c r="I160" s="197"/>
      <c r="J160" s="197"/>
      <c r="K160" s="197"/>
      <c r="L160" s="197"/>
      <c r="M160" s="197"/>
      <c r="N160" s="197"/>
      <c r="O160" s="197"/>
      <c r="P160" s="197"/>
      <c r="Q160" s="197"/>
      <c r="R160" s="197"/>
      <c r="S160" s="197"/>
      <c r="T160" s="197"/>
    </row>
    <row r="161" customFormat="false" ht="12" hidden="false" customHeight="false" outlineLevel="0" collapsed="false">
      <c r="B161" s="197"/>
      <c r="C161" s="197"/>
      <c r="D161" s="197"/>
      <c r="E161" s="197"/>
      <c r="F161" s="197"/>
      <c r="G161" s="197"/>
      <c r="H161" s="197"/>
      <c r="I161" s="197"/>
      <c r="J161" s="197"/>
      <c r="K161" s="197"/>
      <c r="L161" s="197"/>
      <c r="M161" s="197"/>
      <c r="N161" s="197"/>
      <c r="O161" s="197"/>
      <c r="P161" s="197"/>
      <c r="Q161" s="197"/>
      <c r="R161" s="197"/>
      <c r="S161" s="197"/>
      <c r="T161" s="197"/>
    </row>
    <row r="162" customFormat="false" ht="12" hidden="false" customHeight="false" outlineLevel="0" collapsed="false">
      <c r="B162" s="197"/>
      <c r="C162" s="197"/>
      <c r="D162" s="197"/>
      <c r="E162" s="197"/>
      <c r="F162" s="197"/>
      <c r="G162" s="197"/>
      <c r="H162" s="197"/>
      <c r="I162" s="197"/>
      <c r="J162" s="197"/>
      <c r="K162" s="197"/>
      <c r="L162" s="197"/>
      <c r="M162" s="197"/>
      <c r="N162" s="197"/>
      <c r="O162" s="197"/>
      <c r="P162" s="197"/>
      <c r="Q162" s="197"/>
      <c r="R162" s="197"/>
      <c r="S162" s="197"/>
      <c r="T162" s="197"/>
    </row>
    <row r="163" customFormat="false" ht="12" hidden="false" customHeight="false" outlineLevel="0" collapsed="false">
      <c r="B163" s="197"/>
      <c r="C163" s="197"/>
      <c r="D163" s="197"/>
      <c r="E163" s="197"/>
      <c r="F163" s="197"/>
      <c r="G163" s="197"/>
      <c r="H163" s="197"/>
      <c r="I163" s="197"/>
      <c r="J163" s="197"/>
      <c r="K163" s="197"/>
      <c r="L163" s="197"/>
      <c r="M163" s="197"/>
      <c r="N163" s="197"/>
      <c r="O163" s="197"/>
      <c r="P163" s="197"/>
      <c r="Q163" s="197"/>
      <c r="R163" s="197"/>
      <c r="S163" s="197"/>
      <c r="T163" s="197"/>
    </row>
    <row r="164" customFormat="false" ht="12" hidden="false" customHeight="false" outlineLevel="0" collapsed="false">
      <c r="B164" s="197"/>
      <c r="C164" s="197"/>
      <c r="D164" s="197"/>
      <c r="E164" s="197"/>
      <c r="F164" s="197"/>
      <c r="G164" s="197"/>
      <c r="H164" s="197"/>
      <c r="I164" s="197"/>
      <c r="J164" s="197"/>
      <c r="K164" s="197"/>
      <c r="L164" s="197"/>
      <c r="M164" s="197"/>
      <c r="N164" s="197"/>
      <c r="O164" s="197"/>
      <c r="P164" s="197"/>
      <c r="Q164" s="197"/>
      <c r="R164" s="197"/>
      <c r="S164" s="197"/>
      <c r="T164" s="197"/>
    </row>
    <row r="165" customFormat="false" ht="12" hidden="false" customHeight="false" outlineLevel="0" collapsed="false">
      <c r="B165" s="197"/>
      <c r="C165" s="197"/>
      <c r="D165" s="197"/>
      <c r="E165" s="197"/>
      <c r="F165" s="197"/>
      <c r="G165" s="197"/>
      <c r="H165" s="197"/>
      <c r="I165" s="197"/>
      <c r="J165" s="197"/>
      <c r="K165" s="197"/>
      <c r="L165" s="197"/>
      <c r="M165" s="197"/>
      <c r="N165" s="197"/>
      <c r="O165" s="197"/>
      <c r="P165" s="197"/>
      <c r="Q165" s="197"/>
      <c r="R165" s="197"/>
      <c r="S165" s="197"/>
      <c r="T165" s="197"/>
    </row>
    <row r="166" customFormat="false" ht="12" hidden="false" customHeight="false" outlineLevel="0" collapsed="false">
      <c r="B166" s="197"/>
      <c r="C166" s="197"/>
      <c r="D166" s="197"/>
      <c r="E166" s="197"/>
      <c r="F166" s="197"/>
      <c r="G166" s="197"/>
      <c r="H166" s="197"/>
      <c r="I166" s="197"/>
      <c r="J166" s="197"/>
      <c r="K166" s="197"/>
      <c r="L166" s="197"/>
      <c r="M166" s="197"/>
      <c r="N166" s="197"/>
      <c r="O166" s="197"/>
      <c r="P166" s="197"/>
      <c r="Q166" s="197"/>
      <c r="R166" s="197"/>
      <c r="S166" s="197"/>
      <c r="T166" s="197"/>
    </row>
    <row r="167" customFormat="false" ht="12" hidden="false" customHeight="false" outlineLevel="0" collapsed="false">
      <c r="B167" s="197"/>
      <c r="C167" s="197"/>
      <c r="D167" s="197"/>
      <c r="E167" s="197"/>
      <c r="F167" s="197"/>
      <c r="G167" s="197"/>
      <c r="H167" s="197"/>
      <c r="I167" s="197"/>
      <c r="J167" s="197"/>
      <c r="K167" s="197"/>
      <c r="L167" s="197"/>
      <c r="M167" s="197"/>
      <c r="N167" s="197"/>
      <c r="O167" s="197"/>
      <c r="P167" s="197"/>
      <c r="Q167" s="197"/>
      <c r="R167" s="197"/>
      <c r="S167" s="197"/>
      <c r="T167" s="197"/>
    </row>
    <row r="168" customFormat="false" ht="12" hidden="false" customHeight="false" outlineLevel="0" collapsed="false">
      <c r="B168" s="197"/>
      <c r="C168" s="197"/>
      <c r="D168" s="197"/>
      <c r="E168" s="197"/>
      <c r="F168" s="197"/>
      <c r="G168" s="197"/>
      <c r="H168" s="197"/>
      <c r="I168" s="197"/>
      <c r="J168" s="197"/>
      <c r="K168" s="197"/>
      <c r="L168" s="197"/>
      <c r="M168" s="197"/>
      <c r="N168" s="197"/>
      <c r="O168" s="197"/>
      <c r="P168" s="197"/>
      <c r="Q168" s="197"/>
      <c r="R168" s="197"/>
      <c r="S168" s="197"/>
      <c r="T168" s="197"/>
    </row>
    <row r="169" customFormat="false" ht="12" hidden="false" customHeight="false" outlineLevel="0" collapsed="false">
      <c r="B169" s="197"/>
      <c r="C169" s="197"/>
      <c r="D169" s="197"/>
      <c r="E169" s="197"/>
      <c r="F169" s="197"/>
      <c r="G169" s="197"/>
      <c r="H169" s="197"/>
      <c r="I169" s="197"/>
      <c r="J169" s="197"/>
      <c r="K169" s="197"/>
      <c r="L169" s="197"/>
      <c r="M169" s="197"/>
      <c r="N169" s="197"/>
      <c r="O169" s="197"/>
      <c r="P169" s="197"/>
      <c r="Q169" s="197"/>
      <c r="R169" s="197"/>
      <c r="S169" s="197"/>
      <c r="T169" s="197"/>
    </row>
    <row r="170" customFormat="false" ht="12" hidden="false" customHeight="false" outlineLevel="0" collapsed="false">
      <c r="B170" s="197"/>
      <c r="C170" s="197"/>
      <c r="D170" s="197"/>
      <c r="E170" s="197"/>
      <c r="F170" s="197"/>
      <c r="G170" s="197"/>
      <c r="H170" s="197"/>
      <c r="I170" s="197"/>
      <c r="J170" s="197"/>
      <c r="K170" s="197"/>
      <c r="L170" s="197"/>
      <c r="M170" s="197"/>
      <c r="N170" s="197"/>
      <c r="O170" s="197"/>
      <c r="P170" s="197"/>
      <c r="Q170" s="197"/>
      <c r="R170" s="197"/>
      <c r="S170" s="197"/>
      <c r="T170" s="197"/>
    </row>
    <row r="171" customFormat="false" ht="12" hidden="false" customHeight="false" outlineLevel="0" collapsed="false">
      <c r="B171" s="197"/>
      <c r="C171" s="197"/>
      <c r="D171" s="197"/>
      <c r="E171" s="197"/>
      <c r="F171" s="197"/>
      <c r="G171" s="197"/>
      <c r="H171" s="197"/>
      <c r="I171" s="197"/>
      <c r="J171" s="197"/>
      <c r="K171" s="197"/>
      <c r="L171" s="197"/>
      <c r="M171" s="197"/>
      <c r="N171" s="197"/>
      <c r="O171" s="197"/>
      <c r="P171" s="197"/>
      <c r="Q171" s="197"/>
      <c r="R171" s="197"/>
      <c r="S171" s="197"/>
      <c r="T171" s="197"/>
    </row>
    <row r="172" customFormat="false" ht="12" hidden="false" customHeight="false" outlineLevel="0" collapsed="false">
      <c r="B172" s="197"/>
      <c r="C172" s="197"/>
      <c r="D172" s="197"/>
      <c r="E172" s="197"/>
      <c r="F172" s="197"/>
      <c r="G172" s="197"/>
      <c r="H172" s="197"/>
      <c r="I172" s="197"/>
      <c r="J172" s="197"/>
      <c r="K172" s="197"/>
      <c r="L172" s="197"/>
      <c r="M172" s="197"/>
      <c r="N172" s="197"/>
      <c r="O172" s="197"/>
      <c r="P172" s="197"/>
      <c r="Q172" s="197"/>
      <c r="R172" s="197"/>
      <c r="S172" s="197"/>
      <c r="T172" s="197"/>
    </row>
    <row r="173" customFormat="false" ht="12" hidden="false" customHeight="false" outlineLevel="0" collapsed="false">
      <c r="B173" s="197"/>
      <c r="C173" s="197"/>
      <c r="D173" s="197"/>
      <c r="E173" s="197"/>
      <c r="F173" s="197"/>
      <c r="G173" s="197"/>
      <c r="H173" s="197"/>
      <c r="I173" s="197"/>
      <c r="J173" s="197"/>
      <c r="K173" s="197"/>
      <c r="L173" s="197"/>
      <c r="M173" s="197"/>
      <c r="N173" s="197"/>
      <c r="O173" s="197"/>
      <c r="P173" s="197"/>
      <c r="Q173" s="197"/>
      <c r="R173" s="197"/>
      <c r="S173" s="197"/>
      <c r="T173" s="197"/>
    </row>
    <row r="174" customFormat="false" ht="12" hidden="false" customHeight="false" outlineLevel="0" collapsed="false">
      <c r="B174" s="197"/>
      <c r="C174" s="197"/>
      <c r="D174" s="197"/>
      <c r="E174" s="197"/>
      <c r="F174" s="197"/>
      <c r="G174" s="197"/>
      <c r="H174" s="197"/>
      <c r="I174" s="197"/>
      <c r="J174" s="197"/>
      <c r="K174" s="197"/>
      <c r="L174" s="197"/>
      <c r="M174" s="197"/>
      <c r="N174" s="197"/>
      <c r="O174" s="197"/>
      <c r="P174" s="197"/>
      <c r="Q174" s="197"/>
      <c r="R174" s="197"/>
      <c r="S174" s="197"/>
      <c r="T174" s="197"/>
    </row>
    <row r="175" customFormat="false" ht="12" hidden="false" customHeight="false" outlineLevel="0" collapsed="false">
      <c r="B175" s="197"/>
      <c r="C175" s="197"/>
      <c r="D175" s="197"/>
      <c r="E175" s="197"/>
      <c r="F175" s="197"/>
      <c r="G175" s="197"/>
      <c r="H175" s="197"/>
      <c r="I175" s="197"/>
      <c r="J175" s="197"/>
      <c r="K175" s="197"/>
      <c r="L175" s="197"/>
      <c r="M175" s="197"/>
      <c r="N175" s="197"/>
      <c r="O175" s="197"/>
      <c r="P175" s="197"/>
      <c r="Q175" s="197"/>
      <c r="R175" s="197"/>
      <c r="S175" s="197"/>
      <c r="T175" s="197"/>
    </row>
    <row r="176" customFormat="false" ht="12" hidden="false" customHeight="false" outlineLevel="0" collapsed="false">
      <c r="B176" s="197"/>
      <c r="C176" s="197"/>
      <c r="D176" s="197"/>
      <c r="E176" s="197"/>
      <c r="F176" s="197"/>
      <c r="G176" s="197"/>
      <c r="H176" s="197"/>
      <c r="I176" s="197"/>
      <c r="J176" s="197"/>
      <c r="K176" s="197"/>
      <c r="L176" s="197"/>
      <c r="M176" s="197"/>
      <c r="N176" s="197"/>
      <c r="O176" s="197"/>
      <c r="P176" s="197"/>
      <c r="Q176" s="197"/>
      <c r="R176" s="197"/>
      <c r="S176" s="197"/>
      <c r="T176" s="197"/>
    </row>
    <row r="177" customFormat="false" ht="12" hidden="false" customHeight="false" outlineLevel="0" collapsed="false">
      <c r="B177" s="197"/>
      <c r="C177" s="197"/>
      <c r="D177" s="197"/>
      <c r="E177" s="197"/>
      <c r="F177" s="197"/>
      <c r="G177" s="197"/>
      <c r="H177" s="197"/>
      <c r="I177" s="197"/>
      <c r="J177" s="197"/>
      <c r="K177" s="197"/>
      <c r="L177" s="197"/>
      <c r="M177" s="197"/>
      <c r="N177" s="197"/>
      <c r="O177" s="197"/>
      <c r="P177" s="197"/>
      <c r="Q177" s="197"/>
      <c r="R177" s="197"/>
      <c r="S177" s="197"/>
      <c r="T177" s="197"/>
    </row>
    <row r="178" customFormat="false" ht="12" hidden="false" customHeight="false" outlineLevel="0" collapsed="false">
      <c r="B178" s="197"/>
      <c r="C178" s="197"/>
      <c r="D178" s="197"/>
      <c r="E178" s="197"/>
      <c r="F178" s="197"/>
      <c r="G178" s="197"/>
      <c r="H178" s="197"/>
      <c r="I178" s="197"/>
      <c r="J178" s="197"/>
      <c r="K178" s="197"/>
      <c r="L178" s="197"/>
      <c r="M178" s="197"/>
      <c r="N178" s="197"/>
      <c r="O178" s="197"/>
      <c r="P178" s="197"/>
      <c r="Q178" s="197"/>
      <c r="R178" s="197"/>
      <c r="S178" s="197"/>
      <c r="T178" s="197"/>
    </row>
    <row r="179" customFormat="false" ht="12" hidden="false" customHeight="false" outlineLevel="0" collapsed="false">
      <c r="B179" s="197"/>
      <c r="C179" s="197"/>
      <c r="D179" s="197"/>
      <c r="E179" s="197"/>
      <c r="F179" s="197"/>
      <c r="G179" s="197"/>
      <c r="H179" s="197"/>
      <c r="I179" s="197"/>
      <c r="J179" s="197"/>
      <c r="K179" s="197"/>
      <c r="L179" s="197"/>
      <c r="M179" s="197"/>
      <c r="N179" s="197"/>
      <c r="O179" s="197"/>
      <c r="P179" s="197"/>
      <c r="Q179" s="197"/>
      <c r="R179" s="197"/>
      <c r="S179" s="197"/>
      <c r="T179" s="197"/>
    </row>
    <row r="180" customFormat="false" ht="12" hidden="false" customHeight="false" outlineLevel="0" collapsed="false">
      <c r="B180" s="197"/>
      <c r="C180" s="197"/>
      <c r="D180" s="197"/>
      <c r="E180" s="197"/>
      <c r="F180" s="197"/>
      <c r="G180" s="197"/>
      <c r="H180" s="197"/>
      <c r="I180" s="197"/>
      <c r="J180" s="197"/>
      <c r="K180" s="197"/>
      <c r="L180" s="197"/>
      <c r="M180" s="197"/>
      <c r="N180" s="197"/>
      <c r="O180" s="197"/>
      <c r="P180" s="197"/>
      <c r="Q180" s="197"/>
      <c r="R180" s="197"/>
      <c r="S180" s="197"/>
      <c r="T180" s="197"/>
    </row>
    <row r="181" customFormat="false" ht="12" hidden="false" customHeight="false" outlineLevel="0" collapsed="false">
      <c r="B181" s="197"/>
      <c r="C181" s="197"/>
      <c r="D181" s="197"/>
      <c r="E181" s="197"/>
      <c r="F181" s="197"/>
      <c r="G181" s="197"/>
      <c r="H181" s="197"/>
      <c r="I181" s="197"/>
      <c r="J181" s="197"/>
      <c r="K181" s="197"/>
      <c r="L181" s="197"/>
      <c r="M181" s="197"/>
      <c r="N181" s="197"/>
      <c r="O181" s="197"/>
      <c r="P181" s="197"/>
      <c r="Q181" s="197"/>
      <c r="R181" s="197"/>
      <c r="S181" s="197"/>
      <c r="T181" s="197"/>
    </row>
    <row r="182" customFormat="false" ht="12" hidden="false" customHeight="false" outlineLevel="0" collapsed="false">
      <c r="B182" s="197"/>
      <c r="C182" s="197"/>
      <c r="D182" s="197"/>
      <c r="E182" s="197"/>
      <c r="F182" s="197"/>
      <c r="G182" s="197"/>
      <c r="H182" s="197"/>
      <c r="I182" s="197"/>
      <c r="J182" s="197"/>
      <c r="K182" s="197"/>
      <c r="L182" s="197"/>
      <c r="M182" s="197"/>
      <c r="N182" s="197"/>
      <c r="O182" s="197"/>
      <c r="P182" s="197"/>
      <c r="Q182" s="197"/>
      <c r="R182" s="197"/>
      <c r="S182" s="197"/>
      <c r="T182" s="197"/>
    </row>
    <row r="183" customFormat="false" ht="12" hidden="false" customHeight="false" outlineLevel="0" collapsed="false">
      <c r="B183" s="197"/>
      <c r="C183" s="197"/>
      <c r="D183" s="197"/>
      <c r="E183" s="197"/>
      <c r="F183" s="197"/>
      <c r="G183" s="197"/>
      <c r="H183" s="197"/>
      <c r="I183" s="197"/>
      <c r="J183" s="197"/>
      <c r="K183" s="197"/>
      <c r="L183" s="197"/>
      <c r="M183" s="197"/>
      <c r="N183" s="197"/>
      <c r="O183" s="197"/>
      <c r="P183" s="197"/>
      <c r="Q183" s="197"/>
      <c r="R183" s="197"/>
      <c r="S183" s="197"/>
      <c r="T183" s="197"/>
    </row>
    <row r="184" customFormat="false" ht="12" hidden="false" customHeight="false" outlineLevel="0" collapsed="false">
      <c r="B184" s="197"/>
      <c r="C184" s="197"/>
      <c r="D184" s="197"/>
      <c r="E184" s="197"/>
      <c r="F184" s="197"/>
      <c r="G184" s="197"/>
      <c r="H184" s="197"/>
      <c r="I184" s="197"/>
      <c r="J184" s="197"/>
      <c r="K184" s="197"/>
      <c r="L184" s="197"/>
      <c r="M184" s="197"/>
      <c r="N184" s="197"/>
      <c r="O184" s="197"/>
      <c r="P184" s="197"/>
      <c r="Q184" s="197"/>
      <c r="R184" s="197"/>
      <c r="S184" s="197"/>
      <c r="T184" s="197"/>
    </row>
    <row r="185" customFormat="false" ht="12" hidden="false" customHeight="false" outlineLevel="0" collapsed="false">
      <c r="B185" s="197"/>
      <c r="C185" s="197"/>
      <c r="D185" s="197"/>
      <c r="E185" s="197"/>
      <c r="F185" s="197"/>
      <c r="G185" s="197"/>
      <c r="H185" s="197"/>
      <c r="I185" s="197"/>
      <c r="J185" s="197"/>
      <c r="K185" s="197"/>
      <c r="L185" s="197"/>
      <c r="M185" s="197"/>
      <c r="N185" s="197"/>
      <c r="O185" s="197"/>
      <c r="P185" s="197"/>
      <c r="Q185" s="197"/>
      <c r="R185" s="197"/>
      <c r="S185" s="197"/>
      <c r="T185" s="197"/>
    </row>
    <row r="186" customFormat="false" ht="12" hidden="false" customHeight="false" outlineLevel="0" collapsed="false">
      <c r="B186" s="197"/>
      <c r="C186" s="197"/>
      <c r="D186" s="197"/>
      <c r="E186" s="197"/>
      <c r="F186" s="197"/>
      <c r="G186" s="197"/>
      <c r="H186" s="197"/>
      <c r="I186" s="197"/>
      <c r="J186" s="197"/>
      <c r="K186" s="197"/>
      <c r="L186" s="197"/>
      <c r="M186" s="197"/>
      <c r="N186" s="197"/>
      <c r="O186" s="197"/>
      <c r="P186" s="197"/>
      <c r="Q186" s="197"/>
      <c r="R186" s="197"/>
      <c r="S186" s="197"/>
      <c r="T186" s="197"/>
    </row>
    <row r="187" customFormat="false" ht="12" hidden="false" customHeight="false" outlineLevel="0" collapsed="false">
      <c r="B187" s="197"/>
      <c r="C187" s="197"/>
      <c r="D187" s="197"/>
      <c r="E187" s="197"/>
      <c r="F187" s="197"/>
      <c r="G187" s="197"/>
      <c r="H187" s="197"/>
      <c r="I187" s="197"/>
      <c r="J187" s="197"/>
      <c r="K187" s="197"/>
      <c r="L187" s="197"/>
      <c r="M187" s="197"/>
      <c r="N187" s="197"/>
      <c r="O187" s="197"/>
      <c r="P187" s="197"/>
      <c r="Q187" s="197"/>
      <c r="R187" s="197"/>
      <c r="S187" s="197"/>
      <c r="T187" s="197"/>
    </row>
    <row r="188" customFormat="false" ht="12" hidden="false" customHeight="false" outlineLevel="0" collapsed="false">
      <c r="B188" s="197"/>
      <c r="C188" s="197"/>
      <c r="D188" s="197"/>
      <c r="E188" s="197"/>
      <c r="F188" s="197"/>
      <c r="G188" s="197"/>
      <c r="H188" s="197"/>
      <c r="I188" s="197"/>
      <c r="J188" s="197"/>
      <c r="K188" s="197"/>
      <c r="L188" s="197"/>
      <c r="M188" s="197"/>
      <c r="N188" s="197"/>
      <c r="O188" s="197"/>
      <c r="P188" s="197"/>
      <c r="Q188" s="197"/>
      <c r="R188" s="197"/>
      <c r="S188" s="197"/>
      <c r="T188" s="197"/>
    </row>
    <row r="189" customFormat="false" ht="12" hidden="false" customHeight="false" outlineLevel="0" collapsed="false">
      <c r="B189" s="197"/>
      <c r="C189" s="197"/>
      <c r="D189" s="197"/>
      <c r="E189" s="197"/>
      <c r="F189" s="197"/>
      <c r="G189" s="197"/>
      <c r="H189" s="197"/>
      <c r="I189" s="197"/>
      <c r="J189" s="197"/>
      <c r="K189" s="197"/>
      <c r="L189" s="197"/>
      <c r="M189" s="197"/>
      <c r="N189" s="197"/>
      <c r="O189" s="197"/>
      <c r="P189" s="197"/>
      <c r="Q189" s="197"/>
      <c r="R189" s="197"/>
      <c r="S189" s="197"/>
      <c r="T189" s="197"/>
    </row>
    <row r="190" customFormat="false" ht="12" hidden="false" customHeight="false" outlineLevel="0" collapsed="false">
      <c r="B190" s="197"/>
      <c r="C190" s="197"/>
      <c r="D190" s="197"/>
      <c r="E190" s="197"/>
      <c r="F190" s="197"/>
      <c r="G190" s="197"/>
      <c r="H190" s="197"/>
      <c r="I190" s="197"/>
      <c r="J190" s="197"/>
      <c r="K190" s="197"/>
      <c r="L190" s="197"/>
      <c r="M190" s="197"/>
      <c r="N190" s="197"/>
      <c r="O190" s="197"/>
      <c r="P190" s="197"/>
      <c r="Q190" s="197"/>
      <c r="R190" s="197"/>
      <c r="S190" s="197"/>
      <c r="T190" s="197"/>
    </row>
    <row r="191" customFormat="false" ht="12" hidden="false" customHeight="false" outlineLevel="0" collapsed="false">
      <c r="B191" s="197"/>
      <c r="C191" s="197"/>
      <c r="D191" s="197"/>
      <c r="E191" s="197"/>
      <c r="F191" s="197"/>
      <c r="G191" s="197"/>
      <c r="H191" s="197"/>
      <c r="I191" s="197"/>
      <c r="J191" s="197"/>
      <c r="K191" s="197"/>
      <c r="L191" s="197"/>
      <c r="M191" s="197"/>
      <c r="N191" s="197"/>
      <c r="O191" s="197"/>
      <c r="P191" s="197"/>
      <c r="Q191" s="197"/>
      <c r="R191" s="197"/>
      <c r="S191" s="197"/>
      <c r="T191" s="197"/>
    </row>
    <row r="192" customFormat="false" ht="12" hidden="false" customHeight="false" outlineLevel="0" collapsed="false">
      <c r="B192" s="197"/>
      <c r="C192" s="197"/>
      <c r="D192" s="197"/>
      <c r="E192" s="197"/>
      <c r="F192" s="197"/>
      <c r="G192" s="197"/>
      <c r="H192" s="197"/>
      <c r="I192" s="197"/>
      <c r="J192" s="197"/>
      <c r="K192" s="197"/>
      <c r="L192" s="197"/>
      <c r="M192" s="197"/>
      <c r="N192" s="197"/>
      <c r="O192" s="197"/>
      <c r="P192" s="197"/>
      <c r="Q192" s="197"/>
      <c r="R192" s="197"/>
      <c r="S192" s="197"/>
      <c r="T192" s="197"/>
    </row>
    <row r="193" customFormat="false" ht="12" hidden="false" customHeight="false" outlineLevel="0" collapsed="false">
      <c r="B193" s="197"/>
      <c r="C193" s="197"/>
      <c r="D193" s="197"/>
      <c r="E193" s="197"/>
      <c r="F193" s="197"/>
      <c r="G193" s="197"/>
      <c r="H193" s="197"/>
      <c r="I193" s="197"/>
      <c r="J193" s="197"/>
      <c r="K193" s="197"/>
      <c r="L193" s="197"/>
      <c r="M193" s="197"/>
      <c r="N193" s="197"/>
      <c r="O193" s="197"/>
      <c r="P193" s="197"/>
      <c r="Q193" s="197"/>
      <c r="R193" s="197"/>
      <c r="S193" s="197"/>
      <c r="T193" s="197"/>
    </row>
    <row r="194" customFormat="false" ht="12" hidden="false" customHeight="false" outlineLevel="0" collapsed="false">
      <c r="B194" s="197"/>
      <c r="C194" s="197"/>
      <c r="D194" s="197"/>
      <c r="E194" s="197"/>
      <c r="F194" s="197"/>
      <c r="G194" s="197"/>
      <c r="H194" s="197"/>
      <c r="I194" s="197"/>
      <c r="J194" s="197"/>
      <c r="K194" s="197"/>
      <c r="L194" s="197"/>
      <c r="M194" s="197"/>
      <c r="N194" s="197"/>
      <c r="O194" s="197"/>
      <c r="P194" s="197"/>
      <c r="Q194" s="197"/>
      <c r="R194" s="197"/>
      <c r="S194" s="197"/>
      <c r="T194" s="197"/>
    </row>
    <row r="195" customFormat="false" ht="12" hidden="false" customHeight="false" outlineLevel="0" collapsed="false">
      <c r="B195" s="197"/>
      <c r="C195" s="197"/>
      <c r="D195" s="197"/>
      <c r="E195" s="197"/>
      <c r="F195" s="197"/>
      <c r="G195" s="197"/>
      <c r="H195" s="197"/>
      <c r="I195" s="197"/>
      <c r="J195" s="197"/>
      <c r="K195" s="197"/>
      <c r="L195" s="197"/>
      <c r="M195" s="197"/>
      <c r="N195" s="197"/>
      <c r="O195" s="197"/>
      <c r="P195" s="197"/>
      <c r="Q195" s="197"/>
      <c r="R195" s="197"/>
      <c r="S195" s="197"/>
      <c r="T195" s="197"/>
    </row>
    <row r="196" customFormat="false" ht="12" hidden="false" customHeight="false" outlineLevel="0" collapsed="false">
      <c r="B196" s="197"/>
      <c r="C196" s="197"/>
      <c r="D196" s="197"/>
      <c r="E196" s="197"/>
      <c r="F196" s="197"/>
      <c r="G196" s="197"/>
      <c r="H196" s="197"/>
      <c r="I196" s="197"/>
      <c r="J196" s="197"/>
      <c r="K196" s="197"/>
      <c r="L196" s="197"/>
      <c r="M196" s="197"/>
      <c r="N196" s="197"/>
      <c r="O196" s="197"/>
      <c r="P196" s="197"/>
      <c r="Q196" s="197"/>
      <c r="R196" s="197"/>
      <c r="S196" s="197"/>
      <c r="T196" s="197"/>
    </row>
    <row r="197" customFormat="false" ht="12" hidden="false" customHeight="false" outlineLevel="0" collapsed="false">
      <c r="B197" s="197"/>
      <c r="C197" s="197"/>
      <c r="D197" s="197"/>
      <c r="E197" s="197"/>
      <c r="F197" s="197"/>
      <c r="G197" s="197"/>
      <c r="H197" s="197"/>
      <c r="I197" s="197"/>
      <c r="J197" s="197"/>
      <c r="K197" s="197"/>
      <c r="L197" s="197"/>
      <c r="M197" s="197"/>
      <c r="N197" s="197"/>
      <c r="O197" s="197"/>
      <c r="P197" s="197"/>
      <c r="Q197" s="197"/>
      <c r="R197" s="197"/>
      <c r="S197" s="197"/>
      <c r="T197" s="197"/>
    </row>
    <row r="198" customFormat="false" ht="12" hidden="false" customHeight="false" outlineLevel="0" collapsed="false">
      <c r="B198" s="197"/>
      <c r="C198" s="197"/>
      <c r="D198" s="197"/>
      <c r="E198" s="197"/>
      <c r="F198" s="197"/>
      <c r="G198" s="197"/>
      <c r="H198" s="197"/>
      <c r="I198" s="197"/>
      <c r="J198" s="197"/>
      <c r="K198" s="197"/>
      <c r="L198" s="197"/>
      <c r="M198" s="197"/>
      <c r="N198" s="197"/>
      <c r="O198" s="197"/>
      <c r="P198" s="197"/>
      <c r="Q198" s="197"/>
      <c r="R198" s="197"/>
      <c r="S198" s="197"/>
      <c r="T198" s="197"/>
    </row>
    <row r="199" customFormat="false" ht="12" hidden="false" customHeight="false" outlineLevel="0" collapsed="false">
      <c r="B199" s="197"/>
      <c r="C199" s="197"/>
      <c r="D199" s="197"/>
      <c r="E199" s="197"/>
      <c r="F199" s="197"/>
      <c r="G199" s="197"/>
      <c r="H199" s="197"/>
      <c r="I199" s="197"/>
      <c r="J199" s="197"/>
      <c r="K199" s="197"/>
      <c r="L199" s="197"/>
      <c r="M199" s="197"/>
      <c r="N199" s="197"/>
      <c r="O199" s="197"/>
      <c r="P199" s="197"/>
      <c r="Q199" s="197"/>
      <c r="R199" s="197"/>
      <c r="S199" s="197"/>
      <c r="T199" s="197"/>
    </row>
    <row r="200" customFormat="false" ht="12" hidden="false" customHeight="false" outlineLevel="0" collapsed="false">
      <c r="B200" s="197"/>
      <c r="C200" s="197"/>
      <c r="D200" s="197"/>
      <c r="E200" s="197"/>
      <c r="F200" s="197"/>
      <c r="G200" s="197"/>
      <c r="H200" s="197"/>
      <c r="I200" s="197"/>
      <c r="J200" s="197"/>
      <c r="K200" s="197"/>
      <c r="L200" s="197"/>
      <c r="M200" s="197"/>
      <c r="N200" s="197"/>
      <c r="O200" s="197"/>
      <c r="P200" s="197"/>
      <c r="Q200" s="197"/>
      <c r="R200" s="197"/>
      <c r="S200" s="197"/>
      <c r="T200" s="197"/>
    </row>
    <row r="201" customFormat="false" ht="12" hidden="false" customHeight="false" outlineLevel="0" collapsed="false">
      <c r="B201" s="197"/>
      <c r="C201" s="197"/>
      <c r="D201" s="197"/>
      <c r="E201" s="197"/>
      <c r="F201" s="197"/>
      <c r="G201" s="197"/>
      <c r="H201" s="197"/>
      <c r="I201" s="197"/>
      <c r="J201" s="197"/>
      <c r="K201" s="197"/>
      <c r="L201" s="197"/>
      <c r="M201" s="197"/>
      <c r="N201" s="197"/>
      <c r="O201" s="197"/>
      <c r="P201" s="197"/>
      <c r="Q201" s="197"/>
      <c r="R201" s="197"/>
      <c r="S201" s="197"/>
      <c r="T201" s="197"/>
    </row>
    <row r="202" customFormat="false" ht="12" hidden="false" customHeight="false" outlineLevel="0" collapsed="false">
      <c r="B202" s="197"/>
      <c r="C202" s="197"/>
      <c r="D202" s="197"/>
      <c r="E202" s="197"/>
      <c r="F202" s="197"/>
      <c r="G202" s="197"/>
      <c r="H202" s="197"/>
      <c r="I202" s="197"/>
      <c r="J202" s="197"/>
      <c r="K202" s="197"/>
      <c r="L202" s="197"/>
      <c r="M202" s="197"/>
      <c r="N202" s="197"/>
      <c r="O202" s="197"/>
      <c r="P202" s="197"/>
      <c r="Q202" s="197"/>
      <c r="R202" s="197"/>
      <c r="S202" s="197"/>
      <c r="T202" s="197"/>
    </row>
    <row r="203" customFormat="false" ht="12" hidden="false" customHeight="false" outlineLevel="0" collapsed="false">
      <c r="B203" s="197"/>
      <c r="C203" s="197"/>
      <c r="D203" s="197"/>
      <c r="E203" s="197"/>
      <c r="F203" s="197"/>
      <c r="G203" s="197"/>
      <c r="H203" s="197"/>
      <c r="I203" s="197"/>
      <c r="J203" s="197"/>
      <c r="K203" s="197"/>
      <c r="L203" s="197"/>
      <c r="M203" s="197"/>
      <c r="N203" s="197"/>
      <c r="O203" s="197"/>
      <c r="P203" s="197"/>
      <c r="Q203" s="197"/>
      <c r="R203" s="197"/>
      <c r="S203" s="197"/>
      <c r="T203" s="197"/>
    </row>
    <row r="204" customFormat="false" ht="12" hidden="false" customHeight="false" outlineLevel="0" collapsed="false">
      <c r="B204" s="197"/>
      <c r="C204" s="197"/>
      <c r="D204" s="197"/>
      <c r="E204" s="197"/>
      <c r="F204" s="197"/>
      <c r="G204" s="197"/>
      <c r="H204" s="197"/>
      <c r="I204" s="197"/>
      <c r="J204" s="197"/>
      <c r="K204" s="197"/>
      <c r="L204" s="197"/>
      <c r="M204" s="197"/>
      <c r="N204" s="197"/>
      <c r="O204" s="197"/>
      <c r="P204" s="197"/>
      <c r="Q204" s="197"/>
      <c r="R204" s="197"/>
      <c r="S204" s="197"/>
      <c r="T204" s="197"/>
    </row>
    <row r="205" customFormat="false" ht="12" hidden="false" customHeight="false" outlineLevel="0" collapsed="false">
      <c r="B205" s="197"/>
      <c r="C205" s="197"/>
      <c r="D205" s="197"/>
      <c r="E205" s="197"/>
      <c r="F205" s="197"/>
      <c r="G205" s="197"/>
      <c r="H205" s="197"/>
      <c r="I205" s="197"/>
      <c r="J205" s="197"/>
      <c r="K205" s="197"/>
      <c r="L205" s="197"/>
      <c r="M205" s="197"/>
      <c r="N205" s="197"/>
      <c r="O205" s="197"/>
      <c r="P205" s="197"/>
      <c r="Q205" s="197"/>
      <c r="R205" s="197"/>
      <c r="S205" s="197"/>
      <c r="T205" s="197"/>
    </row>
    <row r="206" customFormat="false" ht="12" hidden="false" customHeight="false" outlineLevel="0" collapsed="false">
      <c r="B206" s="197"/>
      <c r="C206" s="197"/>
      <c r="D206" s="197"/>
      <c r="E206" s="197"/>
      <c r="F206" s="197"/>
      <c r="G206" s="197"/>
      <c r="H206" s="197"/>
      <c r="I206" s="197"/>
      <c r="J206" s="197"/>
      <c r="K206" s="197"/>
      <c r="L206" s="197"/>
      <c r="M206" s="197"/>
      <c r="N206" s="197"/>
      <c r="O206" s="197"/>
      <c r="P206" s="197"/>
      <c r="Q206" s="197"/>
      <c r="R206" s="197"/>
      <c r="S206" s="197"/>
      <c r="T206" s="197"/>
    </row>
    <row r="207" customFormat="false" ht="12" hidden="false" customHeight="false" outlineLevel="0" collapsed="false">
      <c r="B207" s="197"/>
      <c r="C207" s="197"/>
      <c r="D207" s="197"/>
      <c r="E207" s="197"/>
      <c r="F207" s="197"/>
      <c r="G207" s="197"/>
      <c r="H207" s="197"/>
      <c r="I207" s="197"/>
      <c r="J207" s="197"/>
      <c r="K207" s="197"/>
      <c r="L207" s="197"/>
      <c r="M207" s="197"/>
      <c r="N207" s="197"/>
      <c r="O207" s="197"/>
      <c r="P207" s="197"/>
      <c r="Q207" s="197"/>
      <c r="R207" s="197"/>
      <c r="S207" s="197"/>
      <c r="T207" s="197"/>
    </row>
    <row r="208" customFormat="false" ht="12" hidden="false" customHeight="false" outlineLevel="0" collapsed="false">
      <c r="B208" s="197"/>
      <c r="C208" s="197"/>
      <c r="D208" s="197"/>
      <c r="E208" s="197"/>
      <c r="F208" s="197"/>
      <c r="G208" s="197"/>
      <c r="H208" s="197"/>
      <c r="I208" s="197"/>
      <c r="J208" s="197"/>
      <c r="K208" s="197"/>
      <c r="L208" s="197"/>
      <c r="M208" s="197"/>
      <c r="N208" s="197"/>
      <c r="O208" s="197"/>
      <c r="P208" s="197"/>
      <c r="Q208" s="197"/>
      <c r="R208" s="197"/>
      <c r="S208" s="197"/>
      <c r="T208" s="197"/>
    </row>
    <row r="209" customFormat="false" ht="12" hidden="false" customHeight="false" outlineLevel="0" collapsed="false">
      <c r="B209" s="197"/>
      <c r="C209" s="197"/>
      <c r="D209" s="197"/>
      <c r="E209" s="197"/>
      <c r="F209" s="197"/>
      <c r="G209" s="197"/>
      <c r="H209" s="197"/>
      <c r="I209" s="197"/>
      <c r="J209" s="197"/>
      <c r="K209" s="197"/>
      <c r="L209" s="197"/>
      <c r="M209" s="197"/>
      <c r="N209" s="197"/>
      <c r="O209" s="197"/>
      <c r="P209" s="197"/>
      <c r="Q209" s="197"/>
      <c r="R209" s="197"/>
      <c r="S209" s="197"/>
      <c r="T209" s="197"/>
    </row>
    <row r="210" customFormat="false" ht="12" hidden="false" customHeight="false" outlineLevel="0" collapsed="false">
      <c r="B210" s="197"/>
      <c r="C210" s="197"/>
      <c r="D210" s="197"/>
      <c r="E210" s="197"/>
      <c r="F210" s="197"/>
      <c r="G210" s="197"/>
      <c r="H210" s="197"/>
      <c r="I210" s="197"/>
      <c r="J210" s="197"/>
      <c r="K210" s="197"/>
      <c r="L210" s="197"/>
      <c r="M210" s="197"/>
      <c r="N210" s="197"/>
      <c r="O210" s="197"/>
      <c r="P210" s="197"/>
      <c r="Q210" s="197"/>
      <c r="R210" s="197"/>
      <c r="S210" s="197"/>
      <c r="T210" s="197"/>
    </row>
    <row r="211" customFormat="false" ht="12" hidden="false" customHeight="false" outlineLevel="0" collapsed="false">
      <c r="B211" s="197"/>
      <c r="C211" s="197"/>
      <c r="D211" s="197"/>
      <c r="E211" s="197"/>
      <c r="F211" s="197"/>
      <c r="G211" s="197"/>
      <c r="H211" s="197"/>
      <c r="I211" s="197"/>
      <c r="J211" s="197"/>
      <c r="K211" s="197"/>
      <c r="L211" s="197"/>
      <c r="M211" s="197"/>
      <c r="N211" s="197"/>
      <c r="O211" s="197"/>
      <c r="P211" s="197"/>
      <c r="Q211" s="197"/>
      <c r="R211" s="197"/>
      <c r="S211" s="197"/>
      <c r="T211" s="197"/>
    </row>
    <row r="212" customFormat="false" ht="12" hidden="false" customHeight="false" outlineLevel="0" collapsed="false">
      <c r="B212" s="197"/>
      <c r="C212" s="197"/>
      <c r="D212" s="197"/>
      <c r="E212" s="197"/>
      <c r="F212" s="197"/>
      <c r="G212" s="197"/>
      <c r="H212" s="197"/>
      <c r="I212" s="197"/>
      <c r="J212" s="197"/>
      <c r="K212" s="197"/>
      <c r="L212" s="197"/>
      <c r="M212" s="197"/>
      <c r="N212" s="197"/>
      <c r="O212" s="197"/>
      <c r="P212" s="197"/>
      <c r="Q212" s="197"/>
      <c r="R212" s="197"/>
      <c r="S212" s="197"/>
      <c r="T212" s="197"/>
    </row>
    <row r="213" customFormat="false" ht="12" hidden="false" customHeight="false" outlineLevel="0" collapsed="false">
      <c r="B213" s="197"/>
      <c r="C213" s="197"/>
      <c r="D213" s="197"/>
      <c r="E213" s="197"/>
      <c r="F213" s="197"/>
      <c r="G213" s="197"/>
      <c r="H213" s="197"/>
      <c r="I213" s="197"/>
      <c r="J213" s="197"/>
      <c r="K213" s="197"/>
      <c r="L213" s="197"/>
      <c r="M213" s="197"/>
      <c r="N213" s="197"/>
      <c r="O213" s="197"/>
      <c r="P213" s="197"/>
      <c r="Q213" s="197"/>
      <c r="R213" s="197"/>
      <c r="S213" s="197"/>
      <c r="T213" s="197"/>
    </row>
    <row r="214" customFormat="false" ht="12" hidden="false" customHeight="false" outlineLevel="0" collapsed="false">
      <c r="B214" s="197"/>
      <c r="C214" s="197"/>
      <c r="D214" s="197"/>
      <c r="E214" s="197"/>
      <c r="F214" s="197"/>
      <c r="G214" s="197"/>
      <c r="H214" s="197"/>
      <c r="I214" s="197"/>
      <c r="J214" s="197"/>
      <c r="K214" s="197"/>
      <c r="L214" s="197"/>
      <c r="M214" s="197"/>
      <c r="N214" s="197"/>
      <c r="O214" s="197"/>
      <c r="P214" s="197"/>
      <c r="Q214" s="197"/>
      <c r="R214" s="197"/>
      <c r="S214" s="197"/>
      <c r="T214" s="197"/>
    </row>
    <row r="215" customFormat="false" ht="12" hidden="false" customHeight="false" outlineLevel="0" collapsed="false">
      <c r="B215" s="197"/>
      <c r="C215" s="197"/>
      <c r="D215" s="197"/>
      <c r="E215" s="197"/>
      <c r="F215" s="197"/>
      <c r="G215" s="197"/>
      <c r="H215" s="197"/>
      <c r="I215" s="197"/>
      <c r="J215" s="197"/>
      <c r="K215" s="197"/>
      <c r="L215" s="197"/>
      <c r="M215" s="197"/>
      <c r="N215" s="197"/>
      <c r="O215" s="197"/>
      <c r="P215" s="197"/>
      <c r="Q215" s="197"/>
      <c r="R215" s="197"/>
      <c r="S215" s="197"/>
      <c r="T215" s="197"/>
    </row>
    <row r="216" customFormat="false" ht="12" hidden="false" customHeight="false" outlineLevel="0" collapsed="false">
      <c r="B216" s="197"/>
      <c r="C216" s="197"/>
      <c r="D216" s="197"/>
      <c r="E216" s="197"/>
      <c r="F216" s="197"/>
      <c r="G216" s="197"/>
      <c r="H216" s="197"/>
      <c r="I216" s="197"/>
      <c r="J216" s="197"/>
      <c r="K216" s="197"/>
      <c r="L216" s="197"/>
      <c r="M216" s="197"/>
      <c r="N216" s="197"/>
      <c r="O216" s="197"/>
      <c r="P216" s="197"/>
      <c r="Q216" s="197"/>
      <c r="R216" s="197"/>
      <c r="S216" s="197"/>
      <c r="T216" s="197"/>
    </row>
    <row r="217" customFormat="false" ht="12" hidden="false" customHeight="false" outlineLevel="0" collapsed="false">
      <c r="B217" s="197"/>
      <c r="C217" s="197"/>
      <c r="D217" s="197"/>
      <c r="E217" s="197"/>
      <c r="F217" s="197"/>
      <c r="G217" s="197"/>
      <c r="H217" s="197"/>
      <c r="I217" s="197"/>
      <c r="J217" s="197"/>
      <c r="K217" s="197"/>
      <c r="L217" s="197"/>
      <c r="M217" s="197"/>
      <c r="N217" s="197"/>
      <c r="O217" s="197"/>
      <c r="P217" s="197"/>
      <c r="Q217" s="197"/>
      <c r="R217" s="197"/>
      <c r="S217" s="197"/>
      <c r="T217" s="197"/>
    </row>
    <row r="218" customFormat="false" ht="12" hidden="false" customHeight="false" outlineLevel="0" collapsed="false">
      <c r="B218" s="197"/>
      <c r="C218" s="197"/>
      <c r="D218" s="197"/>
      <c r="E218" s="197"/>
      <c r="F218" s="197"/>
      <c r="G218" s="197"/>
      <c r="H218" s="197"/>
      <c r="I218" s="197"/>
      <c r="J218" s="197"/>
      <c r="K218" s="197"/>
      <c r="L218" s="197"/>
      <c r="M218" s="197"/>
      <c r="N218" s="197"/>
      <c r="O218" s="197"/>
      <c r="P218" s="197"/>
      <c r="Q218" s="197"/>
      <c r="R218" s="197"/>
      <c r="S218" s="197"/>
      <c r="T218" s="197"/>
    </row>
    <row r="219" customFormat="false" ht="12" hidden="false" customHeight="false" outlineLevel="0" collapsed="false">
      <c r="B219" s="197"/>
      <c r="C219" s="197"/>
      <c r="D219" s="197"/>
      <c r="E219" s="197"/>
      <c r="F219" s="197"/>
      <c r="G219" s="197"/>
      <c r="H219" s="197"/>
      <c r="I219" s="197"/>
      <c r="J219" s="197"/>
      <c r="K219" s="197"/>
      <c r="L219" s="197"/>
      <c r="M219" s="197"/>
      <c r="N219" s="197"/>
      <c r="O219" s="197"/>
      <c r="P219" s="197"/>
      <c r="Q219" s="197"/>
      <c r="R219" s="197"/>
      <c r="S219" s="197"/>
      <c r="T219" s="197"/>
    </row>
    <row r="220" customFormat="false" ht="12" hidden="false" customHeight="false" outlineLevel="0" collapsed="false">
      <c r="B220" s="197"/>
      <c r="C220" s="197"/>
      <c r="D220" s="197"/>
      <c r="E220" s="197"/>
      <c r="F220" s="197"/>
      <c r="G220" s="197"/>
      <c r="H220" s="197"/>
      <c r="I220" s="197"/>
      <c r="J220" s="197"/>
      <c r="K220" s="197"/>
      <c r="L220" s="197"/>
      <c r="M220" s="197"/>
      <c r="N220" s="197"/>
      <c r="O220" s="197"/>
      <c r="P220" s="197"/>
      <c r="Q220" s="197"/>
      <c r="R220" s="197"/>
      <c r="S220" s="197"/>
      <c r="T220" s="197"/>
    </row>
    <row r="221" customFormat="false" ht="12" hidden="false" customHeight="false" outlineLevel="0" collapsed="false">
      <c r="B221" s="197"/>
      <c r="C221" s="197"/>
      <c r="D221" s="197"/>
      <c r="E221" s="197"/>
      <c r="F221" s="197"/>
      <c r="G221" s="197"/>
      <c r="H221" s="197"/>
      <c r="I221" s="197"/>
      <c r="J221" s="197"/>
      <c r="K221" s="197"/>
      <c r="L221" s="197"/>
      <c r="M221" s="197"/>
      <c r="N221" s="197"/>
      <c r="O221" s="197"/>
      <c r="P221" s="197"/>
      <c r="Q221" s="197"/>
      <c r="R221" s="197"/>
      <c r="S221" s="197"/>
      <c r="T221" s="197"/>
    </row>
    <row r="222" customFormat="false" ht="12" hidden="false" customHeight="false" outlineLevel="0" collapsed="false">
      <c r="B222" s="197"/>
      <c r="C222" s="197"/>
      <c r="D222" s="197"/>
      <c r="E222" s="197"/>
      <c r="F222" s="197"/>
      <c r="G222" s="197"/>
      <c r="H222" s="197"/>
      <c r="I222" s="197"/>
      <c r="J222" s="197"/>
      <c r="K222" s="197"/>
      <c r="L222" s="197"/>
      <c r="M222" s="197"/>
      <c r="N222" s="197"/>
      <c r="O222" s="197"/>
      <c r="P222" s="197"/>
      <c r="Q222" s="197"/>
      <c r="R222" s="197"/>
      <c r="S222" s="197"/>
      <c r="T222" s="197"/>
    </row>
    <row r="223" customFormat="false" ht="12" hidden="false" customHeight="false" outlineLevel="0" collapsed="false">
      <c r="B223" s="197"/>
      <c r="C223" s="197"/>
      <c r="D223" s="197"/>
      <c r="E223" s="197"/>
      <c r="F223" s="197"/>
      <c r="G223" s="197"/>
      <c r="H223" s="197"/>
      <c r="I223" s="197"/>
      <c r="J223" s="197"/>
      <c r="K223" s="197"/>
      <c r="L223" s="197"/>
      <c r="M223" s="197"/>
      <c r="N223" s="197"/>
      <c r="O223" s="197"/>
      <c r="P223" s="197"/>
      <c r="Q223" s="197"/>
      <c r="R223" s="197"/>
      <c r="S223" s="197"/>
      <c r="T223" s="197"/>
    </row>
    <row r="224" customFormat="false" ht="12" hidden="false" customHeight="false" outlineLevel="0" collapsed="false">
      <c r="B224" s="197"/>
      <c r="C224" s="197"/>
      <c r="D224" s="197"/>
      <c r="E224" s="197"/>
      <c r="F224" s="197"/>
      <c r="G224" s="197"/>
      <c r="H224" s="197"/>
      <c r="I224" s="197"/>
      <c r="J224" s="197"/>
      <c r="K224" s="197"/>
      <c r="L224" s="197"/>
      <c r="M224" s="197"/>
      <c r="N224" s="197"/>
      <c r="O224" s="197"/>
      <c r="P224" s="197"/>
      <c r="Q224" s="197"/>
      <c r="R224" s="197"/>
      <c r="S224" s="197"/>
      <c r="T224" s="197"/>
    </row>
    <row r="225" customFormat="false" ht="12" hidden="false" customHeight="false" outlineLevel="0" collapsed="false">
      <c r="B225" s="197"/>
      <c r="C225" s="197"/>
      <c r="D225" s="197"/>
      <c r="E225" s="197"/>
      <c r="F225" s="197"/>
      <c r="G225" s="197"/>
      <c r="H225" s="197"/>
      <c r="I225" s="197"/>
      <c r="J225" s="197"/>
      <c r="K225" s="197"/>
      <c r="L225" s="197"/>
      <c r="M225" s="197"/>
      <c r="N225" s="197"/>
      <c r="O225" s="197"/>
      <c r="P225" s="197"/>
      <c r="Q225" s="197"/>
      <c r="R225" s="197"/>
      <c r="S225" s="197"/>
      <c r="T225" s="197"/>
    </row>
    <row r="226" customFormat="false" ht="12" hidden="false" customHeight="false" outlineLevel="0" collapsed="false">
      <c r="B226" s="197"/>
      <c r="C226" s="197"/>
      <c r="D226" s="197"/>
      <c r="E226" s="197"/>
      <c r="F226" s="197"/>
      <c r="G226" s="197"/>
      <c r="H226" s="197"/>
      <c r="I226" s="197"/>
      <c r="J226" s="197"/>
      <c r="K226" s="197"/>
      <c r="L226" s="197"/>
      <c r="M226" s="197"/>
      <c r="N226" s="197"/>
      <c r="O226" s="197"/>
      <c r="P226" s="197"/>
      <c r="Q226" s="197"/>
      <c r="R226" s="197"/>
      <c r="S226" s="197"/>
      <c r="T226" s="197"/>
    </row>
    <row r="227" customFormat="false" ht="12" hidden="false" customHeight="false" outlineLevel="0" collapsed="false">
      <c r="B227" s="197"/>
      <c r="C227" s="197"/>
      <c r="D227" s="197"/>
      <c r="E227" s="197"/>
      <c r="F227" s="197"/>
      <c r="G227" s="197"/>
      <c r="H227" s="197"/>
      <c r="I227" s="197"/>
      <c r="J227" s="197"/>
      <c r="K227" s="197"/>
      <c r="L227" s="197"/>
      <c r="M227" s="197"/>
      <c r="N227" s="197"/>
      <c r="O227" s="197"/>
      <c r="P227" s="197"/>
      <c r="Q227" s="197"/>
      <c r="R227" s="197"/>
      <c r="S227" s="197"/>
      <c r="T227" s="197"/>
    </row>
    <row r="228" customFormat="false" ht="12" hidden="false" customHeight="false" outlineLevel="0" collapsed="false">
      <c r="B228" s="197"/>
      <c r="C228" s="197"/>
      <c r="D228" s="197"/>
      <c r="E228" s="197"/>
      <c r="F228" s="197"/>
      <c r="G228" s="197"/>
      <c r="H228" s="197"/>
      <c r="I228" s="197"/>
      <c r="J228" s="197"/>
      <c r="K228" s="197"/>
      <c r="L228" s="197"/>
      <c r="M228" s="197"/>
      <c r="N228" s="197"/>
      <c r="O228" s="197"/>
      <c r="P228" s="197"/>
      <c r="Q228" s="197"/>
      <c r="R228" s="197"/>
      <c r="S228" s="197"/>
      <c r="T228" s="197"/>
    </row>
    <row r="229" customFormat="false" ht="12" hidden="false" customHeight="false" outlineLevel="0" collapsed="false">
      <c r="B229" s="197"/>
      <c r="C229" s="197"/>
      <c r="D229" s="197"/>
      <c r="E229" s="197"/>
      <c r="F229" s="197"/>
      <c r="G229" s="197"/>
      <c r="H229" s="197"/>
      <c r="I229" s="197"/>
      <c r="J229" s="197"/>
      <c r="K229" s="197"/>
      <c r="L229" s="197"/>
      <c r="M229" s="197"/>
      <c r="N229" s="197"/>
      <c r="O229" s="197"/>
      <c r="P229" s="197"/>
      <c r="Q229" s="197"/>
      <c r="R229" s="197"/>
      <c r="S229" s="197"/>
      <c r="T229" s="197"/>
    </row>
    <row r="230" customFormat="false" ht="12" hidden="false" customHeight="false" outlineLevel="0" collapsed="false">
      <c r="B230" s="197"/>
      <c r="C230" s="197"/>
      <c r="D230" s="197"/>
      <c r="E230" s="197"/>
      <c r="F230" s="197"/>
      <c r="G230" s="197"/>
      <c r="H230" s="197"/>
      <c r="I230" s="197"/>
      <c r="J230" s="197"/>
      <c r="K230" s="197"/>
      <c r="L230" s="197"/>
      <c r="M230" s="197"/>
      <c r="N230" s="197"/>
      <c r="O230" s="197"/>
      <c r="P230" s="197"/>
      <c r="Q230" s="197"/>
      <c r="R230" s="197"/>
      <c r="S230" s="197"/>
      <c r="T230" s="197"/>
    </row>
    <row r="231" customFormat="false" ht="12" hidden="false" customHeight="false" outlineLevel="0" collapsed="false">
      <c r="B231" s="197"/>
      <c r="C231" s="197"/>
      <c r="D231" s="197"/>
      <c r="E231" s="197"/>
      <c r="F231" s="197"/>
      <c r="G231" s="197"/>
      <c r="H231" s="197"/>
      <c r="I231" s="197"/>
      <c r="J231" s="197"/>
      <c r="K231" s="197"/>
      <c r="L231" s="197"/>
      <c r="M231" s="197"/>
      <c r="N231" s="197"/>
      <c r="O231" s="197"/>
      <c r="P231" s="197"/>
      <c r="Q231" s="197"/>
      <c r="R231" s="197"/>
      <c r="S231" s="197"/>
      <c r="T231" s="197"/>
    </row>
    <row r="232" customFormat="false" ht="12" hidden="false" customHeight="false" outlineLevel="0" collapsed="false">
      <c r="B232" s="197"/>
      <c r="C232" s="197"/>
      <c r="D232" s="197"/>
      <c r="E232" s="197"/>
      <c r="F232" s="197"/>
      <c r="G232" s="197"/>
      <c r="H232" s="197"/>
      <c r="I232" s="197"/>
      <c r="J232" s="197"/>
      <c r="K232" s="197"/>
      <c r="L232" s="197"/>
      <c r="M232" s="197"/>
      <c r="N232" s="197"/>
      <c r="O232" s="197"/>
      <c r="P232" s="197"/>
      <c r="Q232" s="197"/>
      <c r="R232" s="197"/>
      <c r="S232" s="197"/>
      <c r="T232" s="197"/>
    </row>
    <row r="233" customFormat="false" ht="12" hidden="false" customHeight="false" outlineLevel="0" collapsed="false">
      <c r="B233" s="197"/>
      <c r="C233" s="197"/>
      <c r="D233" s="197"/>
      <c r="E233" s="197"/>
      <c r="F233" s="197"/>
      <c r="G233" s="197"/>
      <c r="H233" s="197"/>
      <c r="I233" s="197"/>
      <c r="J233" s="197"/>
      <c r="K233" s="197"/>
      <c r="L233" s="197"/>
      <c r="M233" s="197"/>
      <c r="N233" s="197"/>
      <c r="O233" s="197"/>
      <c r="P233" s="197"/>
      <c r="Q233" s="197"/>
      <c r="R233" s="197"/>
      <c r="S233" s="197"/>
      <c r="T233" s="197"/>
    </row>
    <row r="234" customFormat="false" ht="12" hidden="false" customHeight="false" outlineLevel="0" collapsed="false">
      <c r="B234" s="197"/>
      <c r="C234" s="197"/>
      <c r="D234" s="197"/>
      <c r="E234" s="197"/>
      <c r="F234" s="197"/>
      <c r="G234" s="197"/>
      <c r="H234" s="197"/>
      <c r="I234" s="197"/>
      <c r="J234" s="197"/>
      <c r="K234" s="197"/>
      <c r="L234" s="197"/>
      <c r="M234" s="197"/>
      <c r="N234" s="197"/>
      <c r="O234" s="197"/>
      <c r="P234" s="197"/>
      <c r="Q234" s="197"/>
      <c r="R234" s="197"/>
      <c r="S234" s="197"/>
      <c r="T234" s="197"/>
    </row>
    <row r="235" customFormat="false" ht="12" hidden="false" customHeight="false" outlineLevel="0" collapsed="false">
      <c r="B235" s="197"/>
      <c r="C235" s="197"/>
      <c r="D235" s="197"/>
      <c r="E235" s="197"/>
      <c r="F235" s="197"/>
      <c r="G235" s="197"/>
      <c r="H235" s="197"/>
      <c r="I235" s="197"/>
      <c r="J235" s="197"/>
      <c r="K235" s="197"/>
      <c r="L235" s="197"/>
      <c r="M235" s="197"/>
      <c r="N235" s="197"/>
      <c r="O235" s="197"/>
      <c r="P235" s="197"/>
      <c r="Q235" s="197"/>
      <c r="R235" s="197"/>
      <c r="S235" s="197"/>
      <c r="T235" s="197"/>
    </row>
    <row r="236" customFormat="false" ht="12" hidden="false" customHeight="false" outlineLevel="0" collapsed="false">
      <c r="B236" s="197"/>
      <c r="C236" s="197"/>
      <c r="D236" s="197"/>
      <c r="E236" s="197"/>
      <c r="F236" s="197"/>
      <c r="G236" s="197"/>
      <c r="H236" s="197"/>
      <c r="I236" s="197"/>
      <c r="J236" s="197"/>
      <c r="K236" s="197"/>
      <c r="L236" s="197"/>
      <c r="M236" s="197"/>
      <c r="N236" s="197"/>
      <c r="O236" s="197"/>
      <c r="P236" s="197"/>
      <c r="Q236" s="197"/>
      <c r="R236" s="197"/>
      <c r="S236" s="197"/>
      <c r="T236" s="197"/>
    </row>
    <row r="237" customFormat="false" ht="12" hidden="false" customHeight="false" outlineLevel="0" collapsed="false">
      <c r="B237" s="197"/>
      <c r="C237" s="197"/>
      <c r="D237" s="197"/>
      <c r="E237" s="197"/>
      <c r="F237" s="197"/>
      <c r="G237" s="197"/>
      <c r="H237" s="197"/>
      <c r="I237" s="197"/>
      <c r="J237" s="197"/>
      <c r="K237" s="197"/>
      <c r="L237" s="197"/>
      <c r="M237" s="197"/>
      <c r="N237" s="197"/>
      <c r="O237" s="197"/>
      <c r="P237" s="197"/>
      <c r="Q237" s="197"/>
      <c r="R237" s="197"/>
      <c r="S237" s="197"/>
      <c r="T237" s="197"/>
    </row>
    <row r="238" customFormat="false" ht="12" hidden="false" customHeight="false" outlineLevel="0" collapsed="false">
      <c r="B238" s="197"/>
      <c r="C238" s="197"/>
      <c r="D238" s="197"/>
      <c r="E238" s="197"/>
      <c r="F238" s="197"/>
      <c r="G238" s="197"/>
      <c r="H238" s="197"/>
      <c r="I238" s="197"/>
      <c r="J238" s="197"/>
      <c r="K238" s="197"/>
      <c r="L238" s="197"/>
      <c r="M238" s="197"/>
      <c r="N238" s="197"/>
      <c r="O238" s="197"/>
      <c r="P238" s="197"/>
      <c r="Q238" s="197"/>
      <c r="R238" s="197"/>
      <c r="S238" s="197"/>
      <c r="T238" s="197"/>
    </row>
    <row r="239" customFormat="false" ht="12" hidden="false" customHeight="false" outlineLevel="0" collapsed="false">
      <c r="B239" s="197"/>
      <c r="C239" s="197"/>
      <c r="D239" s="197"/>
      <c r="E239" s="197"/>
      <c r="F239" s="197"/>
      <c r="G239" s="197"/>
      <c r="H239" s="197"/>
      <c r="I239" s="197"/>
      <c r="J239" s="197"/>
      <c r="K239" s="197"/>
      <c r="L239" s="197"/>
      <c r="M239" s="197"/>
      <c r="N239" s="197"/>
      <c r="O239" s="197"/>
      <c r="P239" s="197"/>
      <c r="Q239" s="197"/>
      <c r="R239" s="197"/>
      <c r="S239" s="197"/>
      <c r="T239" s="197"/>
    </row>
    <row r="240" customFormat="false" ht="12" hidden="false" customHeight="false" outlineLevel="0" collapsed="false">
      <c r="B240" s="197"/>
      <c r="C240" s="197"/>
      <c r="D240" s="197"/>
      <c r="E240" s="197"/>
      <c r="F240" s="197"/>
      <c r="G240" s="197"/>
      <c r="H240" s="197"/>
      <c r="I240" s="197"/>
      <c r="J240" s="197"/>
      <c r="K240" s="197"/>
      <c r="L240" s="197"/>
      <c r="M240" s="197"/>
      <c r="N240" s="197"/>
      <c r="O240" s="197"/>
      <c r="P240" s="197"/>
      <c r="Q240" s="197"/>
      <c r="R240" s="197"/>
      <c r="S240" s="197"/>
      <c r="T240" s="197"/>
    </row>
    <row r="241" customFormat="false" ht="12" hidden="false" customHeight="false" outlineLevel="0" collapsed="false">
      <c r="B241" s="197"/>
      <c r="C241" s="197"/>
      <c r="D241" s="197"/>
      <c r="E241" s="197"/>
      <c r="F241" s="197"/>
      <c r="G241" s="197"/>
      <c r="H241" s="197"/>
      <c r="I241" s="197"/>
      <c r="J241" s="197"/>
      <c r="K241" s="197"/>
      <c r="L241" s="197"/>
      <c r="M241" s="197"/>
      <c r="N241" s="197"/>
      <c r="O241" s="197"/>
      <c r="P241" s="197"/>
      <c r="Q241" s="197"/>
      <c r="R241" s="197"/>
      <c r="S241" s="197"/>
      <c r="T241" s="197"/>
    </row>
    <row r="242" customFormat="false" ht="12" hidden="false" customHeight="false" outlineLevel="0" collapsed="false">
      <c r="B242" s="197"/>
      <c r="C242" s="197"/>
      <c r="D242" s="197"/>
      <c r="E242" s="197"/>
      <c r="F242" s="197"/>
      <c r="G242" s="197"/>
      <c r="H242" s="197"/>
      <c r="I242" s="197"/>
      <c r="J242" s="197"/>
      <c r="K242" s="197"/>
      <c r="L242" s="197"/>
      <c r="M242" s="197"/>
      <c r="N242" s="197"/>
      <c r="O242" s="197"/>
      <c r="P242" s="197"/>
      <c r="Q242" s="197"/>
      <c r="R242" s="197"/>
      <c r="S242" s="197"/>
      <c r="T242" s="197"/>
    </row>
    <row r="243" customFormat="false" ht="12" hidden="false" customHeight="false" outlineLevel="0" collapsed="false">
      <c r="B243" s="197"/>
      <c r="C243" s="197"/>
      <c r="D243" s="197"/>
      <c r="E243" s="197"/>
      <c r="F243" s="197"/>
      <c r="G243" s="197"/>
      <c r="H243" s="197"/>
      <c r="I243" s="197"/>
      <c r="J243" s="197"/>
      <c r="K243" s="197"/>
      <c r="L243" s="197"/>
      <c r="M243" s="197"/>
      <c r="N243" s="197"/>
      <c r="O243" s="197"/>
      <c r="P243" s="197"/>
      <c r="Q243" s="197"/>
      <c r="R243" s="197"/>
      <c r="S243" s="197"/>
      <c r="T243" s="197"/>
    </row>
    <row r="244" customFormat="false" ht="12" hidden="false" customHeight="false" outlineLevel="0" collapsed="false">
      <c r="B244" s="197"/>
      <c r="C244" s="197"/>
      <c r="D244" s="197"/>
      <c r="E244" s="197"/>
      <c r="F244" s="197"/>
      <c r="G244" s="197"/>
      <c r="H244" s="197"/>
      <c r="I244" s="197"/>
      <c r="J244" s="197"/>
      <c r="K244" s="197"/>
      <c r="L244" s="197"/>
      <c r="M244" s="197"/>
      <c r="N244" s="197"/>
      <c r="O244" s="197"/>
      <c r="P244" s="197"/>
      <c r="Q244" s="197"/>
      <c r="R244" s="197"/>
      <c r="S244" s="197"/>
      <c r="T244" s="197"/>
    </row>
    <row r="245" customFormat="false" ht="12" hidden="false" customHeight="false" outlineLevel="0" collapsed="false">
      <c r="B245" s="197"/>
      <c r="C245" s="197"/>
      <c r="D245" s="197"/>
      <c r="E245" s="197"/>
      <c r="F245" s="197"/>
      <c r="G245" s="197"/>
      <c r="H245" s="197"/>
      <c r="I245" s="197"/>
      <c r="J245" s="197"/>
      <c r="K245" s="197"/>
      <c r="L245" s="197"/>
      <c r="M245" s="197"/>
      <c r="N245" s="197"/>
      <c r="O245" s="197"/>
      <c r="P245" s="197"/>
      <c r="Q245" s="197"/>
      <c r="R245" s="197"/>
      <c r="S245" s="197"/>
      <c r="T245" s="197"/>
    </row>
    <row r="246" customFormat="false" ht="12" hidden="false" customHeight="false" outlineLevel="0" collapsed="false">
      <c r="B246" s="197"/>
      <c r="C246" s="197"/>
      <c r="D246" s="197"/>
      <c r="E246" s="197"/>
      <c r="F246" s="197"/>
      <c r="G246" s="197"/>
      <c r="H246" s="197"/>
      <c r="I246" s="197"/>
      <c r="J246" s="197"/>
      <c r="K246" s="197"/>
      <c r="L246" s="197"/>
      <c r="M246" s="197"/>
      <c r="N246" s="197"/>
      <c r="O246" s="197"/>
      <c r="P246" s="197"/>
      <c r="Q246" s="197"/>
      <c r="R246" s="197"/>
      <c r="S246" s="197"/>
      <c r="T246" s="197"/>
    </row>
    <row r="247" customFormat="false" ht="12" hidden="false" customHeight="false" outlineLevel="0" collapsed="false">
      <c r="B247" s="197"/>
      <c r="C247" s="197"/>
      <c r="D247" s="197"/>
      <c r="E247" s="197"/>
      <c r="F247" s="197"/>
      <c r="G247" s="197"/>
      <c r="H247" s="197"/>
      <c r="I247" s="197"/>
      <c r="J247" s="197"/>
      <c r="K247" s="197"/>
      <c r="L247" s="197"/>
      <c r="M247" s="197"/>
      <c r="N247" s="197"/>
      <c r="O247" s="197"/>
      <c r="P247" s="197"/>
      <c r="Q247" s="197"/>
      <c r="R247" s="197"/>
      <c r="S247" s="197"/>
      <c r="T247" s="197"/>
    </row>
    <row r="248" customFormat="false" ht="12" hidden="false" customHeight="false" outlineLevel="0" collapsed="false">
      <c r="B248" s="197"/>
      <c r="C248" s="197"/>
      <c r="D248" s="197"/>
      <c r="E248" s="197"/>
      <c r="F248" s="197"/>
      <c r="G248" s="197"/>
      <c r="H248" s="197"/>
      <c r="I248" s="197"/>
      <c r="J248" s="197"/>
      <c r="K248" s="197"/>
      <c r="L248" s="197"/>
      <c r="M248" s="197"/>
      <c r="N248" s="197"/>
      <c r="O248" s="197"/>
      <c r="P248" s="197"/>
      <c r="Q248" s="197"/>
      <c r="R248" s="197"/>
      <c r="S248" s="197"/>
      <c r="T248" s="197"/>
    </row>
    <row r="249" customFormat="false" ht="12" hidden="false" customHeight="false" outlineLevel="0" collapsed="false">
      <c r="B249" s="197"/>
      <c r="C249" s="197"/>
      <c r="D249" s="197"/>
      <c r="E249" s="197"/>
      <c r="F249" s="197"/>
      <c r="G249" s="197"/>
      <c r="H249" s="197"/>
      <c r="I249" s="197"/>
      <c r="J249" s="197"/>
      <c r="K249" s="197"/>
      <c r="L249" s="197"/>
      <c r="M249" s="197"/>
      <c r="N249" s="197"/>
      <c r="O249" s="197"/>
      <c r="P249" s="197"/>
      <c r="Q249" s="197"/>
      <c r="R249" s="197"/>
      <c r="S249" s="197"/>
      <c r="T249" s="197"/>
    </row>
    <row r="250" customFormat="false" ht="12" hidden="false" customHeight="false" outlineLevel="0" collapsed="false">
      <c r="B250" s="197"/>
      <c r="C250" s="197"/>
      <c r="D250" s="197"/>
      <c r="E250" s="197"/>
      <c r="F250" s="197"/>
      <c r="G250" s="197"/>
      <c r="H250" s="197"/>
      <c r="I250" s="197"/>
      <c r="J250" s="197"/>
      <c r="K250" s="197"/>
      <c r="L250" s="197"/>
      <c r="M250" s="197"/>
      <c r="N250" s="197"/>
      <c r="O250" s="197"/>
      <c r="P250" s="197"/>
      <c r="Q250" s="197"/>
      <c r="R250" s="197"/>
      <c r="S250" s="197"/>
      <c r="T250" s="197"/>
    </row>
    <row r="251" customFormat="false" ht="12" hidden="false" customHeight="false" outlineLevel="0" collapsed="false">
      <c r="B251" s="197"/>
      <c r="C251" s="197"/>
      <c r="D251" s="197"/>
      <c r="E251" s="197"/>
      <c r="F251" s="197"/>
      <c r="G251" s="197"/>
      <c r="H251" s="197"/>
      <c r="I251" s="197"/>
      <c r="J251" s="197"/>
      <c r="K251" s="197"/>
      <c r="L251" s="197"/>
      <c r="M251" s="197"/>
      <c r="N251" s="197"/>
      <c r="O251" s="197"/>
      <c r="P251" s="197"/>
      <c r="Q251" s="197"/>
      <c r="R251" s="197"/>
      <c r="S251" s="197"/>
      <c r="T251" s="197"/>
    </row>
    <row r="252" customFormat="false" ht="12" hidden="false" customHeight="false" outlineLevel="0" collapsed="false">
      <c r="B252" s="197"/>
      <c r="C252" s="197"/>
      <c r="D252" s="197"/>
      <c r="E252" s="197"/>
      <c r="F252" s="197"/>
      <c r="G252" s="197"/>
      <c r="H252" s="197"/>
      <c r="I252" s="197"/>
      <c r="J252" s="197"/>
      <c r="K252" s="197"/>
      <c r="L252" s="197"/>
      <c r="M252" s="197"/>
      <c r="N252" s="197"/>
      <c r="O252" s="197"/>
      <c r="P252" s="197"/>
      <c r="Q252" s="197"/>
      <c r="R252" s="197"/>
      <c r="S252" s="197"/>
      <c r="T252" s="197"/>
    </row>
    <row r="253" customFormat="false" ht="12" hidden="false" customHeight="false" outlineLevel="0" collapsed="false">
      <c r="B253" s="197"/>
      <c r="C253" s="197"/>
      <c r="D253" s="197"/>
      <c r="E253" s="197"/>
      <c r="F253" s="197"/>
      <c r="G253" s="197"/>
      <c r="H253" s="197"/>
      <c r="I253" s="197"/>
      <c r="J253" s="197"/>
      <c r="K253" s="197"/>
      <c r="L253" s="197"/>
      <c r="M253" s="197"/>
      <c r="N253" s="197"/>
      <c r="O253" s="197"/>
      <c r="P253" s="197"/>
      <c r="Q253" s="197"/>
      <c r="R253" s="197"/>
      <c r="S253" s="197"/>
      <c r="T253" s="197"/>
    </row>
    <row r="254" customFormat="false" ht="12" hidden="false" customHeight="false" outlineLevel="0" collapsed="false">
      <c r="B254" s="197"/>
      <c r="C254" s="197"/>
      <c r="D254" s="197"/>
      <c r="E254" s="197"/>
      <c r="F254" s="197"/>
      <c r="G254" s="197"/>
      <c r="H254" s="197"/>
      <c r="I254" s="197"/>
      <c r="J254" s="197"/>
      <c r="K254" s="197"/>
      <c r="L254" s="197"/>
      <c r="M254" s="197"/>
      <c r="N254" s="197"/>
      <c r="O254" s="197"/>
      <c r="P254" s="197"/>
      <c r="Q254" s="197"/>
      <c r="R254" s="197"/>
      <c r="S254" s="197"/>
      <c r="T254" s="197"/>
    </row>
    <row r="255" customFormat="false" ht="12" hidden="false" customHeight="false" outlineLevel="0" collapsed="false">
      <c r="B255" s="197"/>
      <c r="C255" s="197"/>
      <c r="D255" s="197"/>
      <c r="E255" s="197"/>
      <c r="F255" s="197"/>
      <c r="G255" s="197"/>
      <c r="H255" s="197"/>
      <c r="I255" s="197"/>
      <c r="J255" s="197"/>
      <c r="K255" s="197"/>
      <c r="L255" s="197"/>
      <c r="M255" s="197"/>
      <c r="N255" s="197"/>
      <c r="O255" s="197"/>
      <c r="P255" s="197"/>
      <c r="Q255" s="197"/>
      <c r="R255" s="197"/>
      <c r="S255" s="197"/>
      <c r="T255" s="197"/>
    </row>
    <row r="256" customFormat="false" ht="12" hidden="false" customHeight="false" outlineLevel="0" collapsed="false">
      <c r="B256" s="197"/>
      <c r="C256" s="197"/>
      <c r="D256" s="197"/>
      <c r="E256" s="197"/>
      <c r="F256" s="197"/>
      <c r="G256" s="197"/>
      <c r="H256" s="197"/>
      <c r="I256" s="197"/>
      <c r="J256" s="197"/>
      <c r="K256" s="197"/>
      <c r="L256" s="197"/>
      <c r="M256" s="197"/>
      <c r="N256" s="197"/>
      <c r="O256" s="197"/>
      <c r="P256" s="197"/>
      <c r="Q256" s="197"/>
      <c r="R256" s="197"/>
      <c r="S256" s="197"/>
      <c r="T256" s="197"/>
    </row>
    <row r="257" customFormat="false" ht="12" hidden="false" customHeight="false" outlineLevel="0" collapsed="false">
      <c r="B257" s="197"/>
      <c r="C257" s="197"/>
      <c r="D257" s="197"/>
      <c r="E257" s="197"/>
      <c r="F257" s="197"/>
      <c r="G257" s="197"/>
      <c r="H257" s="197"/>
      <c r="I257" s="197"/>
      <c r="J257" s="197"/>
      <c r="K257" s="197"/>
      <c r="L257" s="197"/>
      <c r="M257" s="197"/>
      <c r="N257" s="197"/>
      <c r="O257" s="197"/>
      <c r="P257" s="197"/>
      <c r="Q257" s="197"/>
      <c r="R257" s="197"/>
      <c r="S257" s="197"/>
      <c r="T257" s="197"/>
    </row>
    <row r="258" customFormat="false" ht="12" hidden="false" customHeight="false" outlineLevel="0" collapsed="false">
      <c r="B258" s="197"/>
      <c r="C258" s="197"/>
      <c r="D258" s="197"/>
      <c r="E258" s="197"/>
      <c r="F258" s="197"/>
      <c r="G258" s="197"/>
      <c r="H258" s="197"/>
      <c r="I258" s="197"/>
      <c r="J258" s="197"/>
      <c r="K258" s="197"/>
      <c r="L258" s="197"/>
      <c r="M258" s="197"/>
      <c r="N258" s="197"/>
      <c r="O258" s="197"/>
      <c r="P258" s="197"/>
      <c r="Q258" s="197"/>
      <c r="R258" s="197"/>
      <c r="S258" s="197"/>
      <c r="T258" s="197"/>
    </row>
    <row r="259" customFormat="false" ht="12" hidden="false" customHeight="false" outlineLevel="0" collapsed="false">
      <c r="B259" s="197"/>
      <c r="C259" s="197"/>
      <c r="D259" s="197"/>
      <c r="E259" s="197"/>
      <c r="F259" s="197"/>
      <c r="G259" s="197"/>
      <c r="H259" s="197"/>
      <c r="I259" s="197"/>
      <c r="J259" s="197"/>
      <c r="K259" s="197"/>
      <c r="L259" s="197"/>
      <c r="M259" s="197"/>
      <c r="N259" s="197"/>
      <c r="O259" s="197"/>
      <c r="P259" s="197"/>
      <c r="Q259" s="197"/>
      <c r="R259" s="197"/>
      <c r="S259" s="197"/>
      <c r="T259" s="197"/>
    </row>
    <row r="260" customFormat="false" ht="12" hidden="false" customHeight="false" outlineLevel="0" collapsed="false">
      <c r="B260" s="197"/>
      <c r="C260" s="197"/>
      <c r="D260" s="197"/>
      <c r="E260" s="197"/>
      <c r="F260" s="197"/>
      <c r="G260" s="197"/>
      <c r="H260" s="197"/>
      <c r="I260" s="197"/>
      <c r="J260" s="197"/>
      <c r="K260" s="197"/>
      <c r="L260" s="197"/>
      <c r="M260" s="197"/>
      <c r="N260" s="197"/>
      <c r="O260" s="197"/>
      <c r="P260" s="197"/>
      <c r="Q260" s="197"/>
      <c r="R260" s="197"/>
      <c r="S260" s="197"/>
      <c r="T260" s="197"/>
    </row>
    <row r="261" customFormat="false" ht="12" hidden="false" customHeight="false" outlineLevel="0" collapsed="false">
      <c r="B261" s="197"/>
      <c r="C261" s="197"/>
      <c r="D261" s="197"/>
      <c r="E261" s="197"/>
      <c r="F261" s="197"/>
      <c r="G261" s="197"/>
      <c r="H261" s="197"/>
      <c r="I261" s="197"/>
      <c r="J261" s="197"/>
      <c r="K261" s="197"/>
      <c r="L261" s="197"/>
      <c r="M261" s="197"/>
      <c r="N261" s="197"/>
      <c r="O261" s="197"/>
      <c r="P261" s="197"/>
      <c r="Q261" s="197"/>
      <c r="R261" s="197"/>
      <c r="S261" s="197"/>
      <c r="T261" s="197"/>
    </row>
    <row r="262" customFormat="false" ht="12" hidden="false" customHeight="false" outlineLevel="0" collapsed="false">
      <c r="B262" s="197"/>
      <c r="C262" s="197"/>
      <c r="D262" s="197"/>
      <c r="E262" s="197"/>
      <c r="F262" s="197"/>
      <c r="G262" s="197"/>
      <c r="H262" s="197"/>
      <c r="I262" s="197"/>
      <c r="J262" s="197"/>
      <c r="K262" s="197"/>
      <c r="L262" s="197"/>
      <c r="M262" s="197"/>
      <c r="N262" s="197"/>
      <c r="O262" s="197"/>
      <c r="P262" s="197"/>
      <c r="Q262" s="197"/>
      <c r="R262" s="197"/>
      <c r="S262" s="197"/>
      <c r="T262" s="197"/>
    </row>
    <row r="263" customFormat="false" ht="12" hidden="false" customHeight="false" outlineLevel="0" collapsed="false">
      <c r="B263" s="197"/>
      <c r="C263" s="197"/>
      <c r="D263" s="197"/>
      <c r="E263" s="197"/>
      <c r="F263" s="197"/>
      <c r="G263" s="197"/>
      <c r="H263" s="197"/>
      <c r="I263" s="197"/>
      <c r="J263" s="197"/>
      <c r="K263" s="197"/>
      <c r="L263" s="197"/>
      <c r="M263" s="197"/>
      <c r="N263" s="197"/>
      <c r="O263" s="197"/>
      <c r="P263" s="197"/>
      <c r="Q263" s="197"/>
      <c r="R263" s="197"/>
      <c r="S263" s="197"/>
      <c r="T263" s="197"/>
    </row>
    <row r="264" customFormat="false" ht="12" hidden="false" customHeight="false" outlineLevel="0" collapsed="false">
      <c r="B264" s="197"/>
      <c r="C264" s="197"/>
      <c r="D264" s="197"/>
      <c r="E264" s="197"/>
      <c r="F264" s="197"/>
      <c r="G264" s="197"/>
      <c r="H264" s="197"/>
      <c r="I264" s="197"/>
      <c r="J264" s="197"/>
      <c r="K264" s="197"/>
      <c r="L264" s="197"/>
      <c r="M264" s="197"/>
      <c r="N264" s="197"/>
      <c r="O264" s="197"/>
      <c r="P264" s="197"/>
      <c r="Q264" s="197"/>
      <c r="R264" s="197"/>
      <c r="S264" s="197"/>
      <c r="T264" s="197"/>
    </row>
    <row r="265" customFormat="false" ht="12" hidden="false" customHeight="false" outlineLevel="0" collapsed="false">
      <c r="B265" s="197"/>
      <c r="C265" s="197"/>
      <c r="D265" s="197"/>
      <c r="E265" s="197"/>
      <c r="F265" s="197"/>
      <c r="G265" s="197"/>
      <c r="H265" s="197"/>
      <c r="I265" s="197"/>
      <c r="J265" s="197"/>
      <c r="K265" s="197"/>
      <c r="L265" s="197"/>
      <c r="M265" s="197"/>
      <c r="N265" s="197"/>
      <c r="O265" s="197"/>
      <c r="P265" s="197"/>
      <c r="Q265" s="197"/>
      <c r="R265" s="197"/>
      <c r="S265" s="197"/>
      <c r="T265" s="197"/>
    </row>
    <row r="266" customFormat="false" ht="12" hidden="false" customHeight="false" outlineLevel="0" collapsed="false">
      <c r="B266" s="197"/>
      <c r="C266" s="197"/>
      <c r="D266" s="197"/>
      <c r="E266" s="197"/>
      <c r="F266" s="197"/>
      <c r="G266" s="197"/>
      <c r="H266" s="197"/>
      <c r="I266" s="197"/>
      <c r="J266" s="197"/>
      <c r="K266" s="197"/>
      <c r="L266" s="197"/>
      <c r="M266" s="197"/>
      <c r="N266" s="197"/>
      <c r="O266" s="197"/>
      <c r="P266" s="197"/>
      <c r="Q266" s="197"/>
      <c r="R266" s="197"/>
      <c r="S266" s="197"/>
      <c r="T266" s="197"/>
    </row>
    <row r="267" customFormat="false" ht="12" hidden="false" customHeight="false" outlineLevel="0" collapsed="false">
      <c r="B267" s="197"/>
      <c r="C267" s="197"/>
      <c r="D267" s="197"/>
      <c r="E267" s="197"/>
      <c r="F267" s="197"/>
      <c r="G267" s="197"/>
      <c r="H267" s="197"/>
      <c r="I267" s="197"/>
      <c r="J267" s="197"/>
      <c r="K267" s="197"/>
      <c r="L267" s="197"/>
      <c r="M267" s="197"/>
      <c r="N267" s="197"/>
      <c r="O267" s="197"/>
      <c r="P267" s="197"/>
      <c r="Q267" s="197"/>
      <c r="R267" s="197"/>
      <c r="S267" s="197"/>
      <c r="T267" s="197"/>
    </row>
    <row r="268" customFormat="false" ht="12" hidden="false" customHeight="false" outlineLevel="0" collapsed="false">
      <c r="B268" s="197"/>
      <c r="C268" s="197"/>
      <c r="D268" s="197"/>
      <c r="E268" s="197"/>
      <c r="F268" s="197"/>
      <c r="G268" s="197"/>
      <c r="H268" s="197"/>
      <c r="I268" s="197"/>
      <c r="J268" s="197"/>
      <c r="K268" s="197"/>
      <c r="L268" s="197"/>
      <c r="M268" s="197"/>
      <c r="N268" s="197"/>
      <c r="O268" s="197"/>
      <c r="P268" s="197"/>
      <c r="Q268" s="197"/>
      <c r="R268" s="197"/>
      <c r="S268" s="197"/>
      <c r="T268" s="197"/>
    </row>
    <row r="269" customFormat="false" ht="12" hidden="false" customHeight="false" outlineLevel="0" collapsed="false">
      <c r="B269" s="197"/>
      <c r="C269" s="197"/>
      <c r="D269" s="197"/>
      <c r="E269" s="197"/>
      <c r="F269" s="197"/>
      <c r="G269" s="197"/>
      <c r="H269" s="197"/>
      <c r="I269" s="197"/>
      <c r="J269" s="197"/>
      <c r="K269" s="197"/>
      <c r="L269" s="197"/>
      <c r="M269" s="197"/>
      <c r="N269" s="197"/>
      <c r="O269" s="197"/>
      <c r="P269" s="197"/>
      <c r="Q269" s="197"/>
      <c r="R269" s="197"/>
      <c r="S269" s="197"/>
      <c r="T269" s="197"/>
    </row>
    <row r="270" customFormat="false" ht="12" hidden="false" customHeight="false" outlineLevel="0" collapsed="false">
      <c r="B270" s="197"/>
      <c r="C270" s="197"/>
      <c r="D270" s="197"/>
      <c r="E270" s="197"/>
      <c r="F270" s="197"/>
      <c r="G270" s="197"/>
      <c r="H270" s="197"/>
      <c r="I270" s="197"/>
      <c r="J270" s="197"/>
      <c r="K270" s="197"/>
      <c r="L270" s="197"/>
      <c r="M270" s="197"/>
      <c r="N270" s="197"/>
      <c r="O270" s="197"/>
      <c r="P270" s="197"/>
      <c r="Q270" s="197"/>
      <c r="R270" s="197"/>
      <c r="S270" s="197"/>
      <c r="T270" s="197"/>
    </row>
    <row r="271" customFormat="false" ht="12" hidden="false" customHeight="false" outlineLevel="0" collapsed="false">
      <c r="B271" s="197"/>
      <c r="C271" s="197"/>
      <c r="D271" s="197"/>
      <c r="E271" s="197"/>
      <c r="F271" s="197"/>
      <c r="G271" s="197"/>
      <c r="H271" s="197"/>
      <c r="I271" s="197"/>
      <c r="J271" s="197"/>
      <c r="K271" s="197"/>
      <c r="L271" s="197"/>
      <c r="M271" s="197"/>
      <c r="N271" s="197"/>
      <c r="O271" s="197"/>
      <c r="P271" s="197"/>
      <c r="Q271" s="197"/>
      <c r="R271" s="197"/>
      <c r="S271" s="197"/>
      <c r="T271" s="197"/>
    </row>
    <row r="272" customFormat="false" ht="12" hidden="false" customHeight="false" outlineLevel="0" collapsed="false">
      <c r="B272" s="197"/>
      <c r="C272" s="197"/>
      <c r="D272" s="197"/>
      <c r="E272" s="197"/>
      <c r="F272" s="197"/>
      <c r="G272" s="197"/>
      <c r="H272" s="197"/>
      <c r="I272" s="197"/>
      <c r="J272" s="197"/>
      <c r="K272" s="197"/>
      <c r="L272" s="197"/>
      <c r="M272" s="197"/>
      <c r="N272" s="197"/>
      <c r="O272" s="197"/>
      <c r="P272" s="197"/>
      <c r="Q272" s="197"/>
      <c r="R272" s="197"/>
      <c r="S272" s="197"/>
      <c r="T272" s="197"/>
    </row>
    <row r="273" customFormat="false" ht="12" hidden="false" customHeight="false" outlineLevel="0" collapsed="false">
      <c r="B273" s="197"/>
      <c r="C273" s="197"/>
      <c r="D273" s="197"/>
      <c r="E273" s="197"/>
      <c r="F273" s="197"/>
      <c r="G273" s="197"/>
      <c r="H273" s="197"/>
      <c r="I273" s="197"/>
      <c r="J273" s="197"/>
      <c r="K273" s="197"/>
      <c r="L273" s="197"/>
      <c r="M273" s="197"/>
      <c r="N273" s="197"/>
      <c r="O273" s="197"/>
      <c r="P273" s="197"/>
      <c r="Q273" s="197"/>
      <c r="R273" s="197"/>
      <c r="S273" s="197"/>
      <c r="T273" s="197"/>
    </row>
    <row r="274" customFormat="false" ht="12" hidden="false" customHeight="false" outlineLevel="0" collapsed="false">
      <c r="B274" s="197"/>
      <c r="C274" s="197"/>
      <c r="D274" s="197"/>
      <c r="E274" s="197"/>
      <c r="F274" s="197"/>
      <c r="G274" s="197"/>
      <c r="H274" s="197"/>
      <c r="I274" s="197"/>
      <c r="J274" s="197"/>
      <c r="K274" s="197"/>
      <c r="L274" s="197"/>
      <c r="M274" s="197"/>
      <c r="N274" s="197"/>
      <c r="O274" s="197"/>
      <c r="P274" s="197"/>
      <c r="Q274" s="197"/>
      <c r="R274" s="197"/>
      <c r="S274" s="197"/>
      <c r="T274" s="197"/>
    </row>
    <row r="275" customFormat="false" ht="12" hidden="false" customHeight="false" outlineLevel="0" collapsed="false">
      <c r="B275" s="197"/>
      <c r="C275" s="197"/>
      <c r="D275" s="197"/>
      <c r="E275" s="197"/>
      <c r="F275" s="197"/>
      <c r="G275" s="197"/>
      <c r="H275" s="197"/>
      <c r="I275" s="197"/>
      <c r="J275" s="197"/>
      <c r="K275" s="197"/>
      <c r="L275" s="197"/>
      <c r="M275" s="197"/>
      <c r="N275" s="197"/>
      <c r="O275" s="197"/>
      <c r="P275" s="197"/>
      <c r="Q275" s="197"/>
      <c r="R275" s="197"/>
      <c r="S275" s="197"/>
      <c r="T275" s="197"/>
    </row>
    <row r="276" customFormat="false" ht="12" hidden="false" customHeight="false" outlineLevel="0" collapsed="false">
      <c r="B276" s="197"/>
      <c r="C276" s="197"/>
      <c r="D276" s="197"/>
      <c r="E276" s="197"/>
      <c r="F276" s="197"/>
      <c r="G276" s="197"/>
      <c r="H276" s="197"/>
      <c r="I276" s="197"/>
      <c r="J276" s="197"/>
      <c r="K276" s="197"/>
      <c r="L276" s="197"/>
      <c r="M276" s="197"/>
      <c r="N276" s="197"/>
      <c r="O276" s="197"/>
      <c r="P276" s="197"/>
      <c r="Q276" s="197"/>
      <c r="R276" s="197"/>
      <c r="S276" s="197"/>
      <c r="T276" s="197"/>
    </row>
    <row r="277" customFormat="false" ht="12" hidden="false" customHeight="false" outlineLevel="0" collapsed="false">
      <c r="B277" s="197"/>
      <c r="C277" s="197"/>
      <c r="D277" s="197"/>
      <c r="E277" s="197"/>
      <c r="F277" s="197"/>
      <c r="G277" s="197"/>
      <c r="H277" s="197"/>
      <c r="I277" s="197"/>
      <c r="J277" s="197"/>
      <c r="K277" s="197"/>
      <c r="L277" s="197"/>
      <c r="M277" s="197"/>
      <c r="N277" s="197"/>
      <c r="O277" s="197"/>
      <c r="P277" s="197"/>
      <c r="Q277" s="197"/>
      <c r="R277" s="197"/>
      <c r="S277" s="197"/>
      <c r="T277" s="197"/>
    </row>
    <row r="278" customFormat="false" ht="12" hidden="false" customHeight="false" outlineLevel="0" collapsed="false">
      <c r="B278" s="197"/>
      <c r="C278" s="197"/>
      <c r="D278" s="197"/>
      <c r="E278" s="197"/>
      <c r="F278" s="197"/>
      <c r="G278" s="197"/>
      <c r="H278" s="197"/>
      <c r="I278" s="197"/>
      <c r="J278" s="197"/>
      <c r="K278" s="197"/>
      <c r="L278" s="197"/>
      <c r="M278" s="197"/>
      <c r="N278" s="197"/>
      <c r="O278" s="197"/>
      <c r="P278" s="197"/>
      <c r="Q278" s="197"/>
      <c r="R278" s="197"/>
      <c r="S278" s="197"/>
      <c r="T278" s="197"/>
    </row>
    <row r="279" customFormat="false" ht="12" hidden="false" customHeight="false" outlineLevel="0" collapsed="false">
      <c r="T279" s="197"/>
    </row>
    <row r="280" customFormat="false" ht="12" hidden="false" customHeight="false" outlineLevel="0" collapsed="false">
      <c r="T280" s="197"/>
    </row>
    <row r="281" customFormat="false" ht="12" hidden="false" customHeight="false" outlineLevel="0" collapsed="false">
      <c r="T281" s="197"/>
    </row>
    <row r="282" customFormat="false" ht="12" hidden="false" customHeight="false" outlineLevel="0" collapsed="false">
      <c r="T282" s="197"/>
    </row>
    <row r="283" customFormat="false" ht="12" hidden="false" customHeight="false" outlineLevel="0" collapsed="false">
      <c r="T283" s="197"/>
    </row>
    <row r="284" customFormat="false" ht="12" hidden="false" customHeight="false" outlineLevel="0" collapsed="false">
      <c r="T284" s="197"/>
    </row>
    <row r="285" customFormat="false" ht="12" hidden="false" customHeight="false" outlineLevel="0" collapsed="false">
      <c r="T285" s="197"/>
    </row>
    <row r="286" customFormat="false" ht="12" hidden="false" customHeight="false" outlineLevel="0" collapsed="false">
      <c r="T286" s="197"/>
    </row>
    <row r="287" customFormat="false" ht="12" hidden="false" customHeight="false" outlineLevel="0" collapsed="false">
      <c r="T287" s="197"/>
    </row>
    <row r="288" customFormat="false" ht="12" hidden="false" customHeight="false" outlineLevel="0" collapsed="false">
      <c r="T288" s="197"/>
    </row>
    <row r="289" customFormat="false" ht="12" hidden="false" customHeight="false" outlineLevel="0" collapsed="false">
      <c r="T289" s="197"/>
    </row>
    <row r="290" customFormat="false" ht="12" hidden="false" customHeight="false" outlineLevel="0" collapsed="false">
      <c r="T290" s="197"/>
    </row>
  </sheetData>
  <mergeCells count="18">
    <mergeCell ref="A4:S4"/>
    <mergeCell ref="B7:J7"/>
    <mergeCell ref="L7:S7"/>
    <mergeCell ref="A8:A9"/>
    <mergeCell ref="B8:B9"/>
    <mergeCell ref="C8:C9"/>
    <mergeCell ref="D8:D9"/>
    <mergeCell ref="E8:E9"/>
    <mergeCell ref="F8:F9"/>
    <mergeCell ref="G8:G9"/>
    <mergeCell ref="H8:H9"/>
    <mergeCell ref="K8:K9"/>
    <mergeCell ref="L8:L9"/>
    <mergeCell ref="M8:M9"/>
    <mergeCell ref="N8:N9"/>
    <mergeCell ref="O8:O9"/>
    <mergeCell ref="P8:P9"/>
    <mergeCell ref="Q8:Q9"/>
  </mergeCells>
  <hyperlinks>
    <hyperlink ref="B1" location="Index!A1" display="Back to index"/>
  </hyperlinks>
  <printOptions headings="false" gridLines="false" gridLinesSet="true" horizontalCentered="true" verticalCentered="true"/>
  <pageMargins left="0.75" right="0.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C0C0"/>
    <pageSetUpPr fitToPage="true"/>
  </sheetPr>
  <dimension ref="A1:R37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A3" activeCellId="0" sqref="A3"/>
    </sheetView>
  </sheetViews>
  <sheetFormatPr defaultColWidth="10.328125" defaultRowHeight="12" zeroHeight="false" outlineLevelRow="0" outlineLevelCol="0"/>
  <cols>
    <col collapsed="false" customWidth="true" hidden="false" outlineLevel="0" max="1" min="1" style="1636" width="8.66"/>
    <col collapsed="false" customWidth="true" hidden="false" outlineLevel="0" max="2" min="2" style="1636" width="11.66"/>
    <col collapsed="false" customWidth="true" hidden="false" outlineLevel="0" max="4" min="3" style="1636" width="8.82"/>
    <col collapsed="false" customWidth="true" hidden="false" outlineLevel="0" max="5" min="5" style="1636" width="8.66"/>
    <col collapsed="false" customWidth="true" hidden="false" outlineLevel="0" max="7" min="6" style="1636" width="9.66"/>
    <col collapsed="false" customWidth="true" hidden="false" outlineLevel="0" max="13" min="8" style="1636" width="8.66"/>
    <col collapsed="false" customWidth="false" hidden="false" outlineLevel="0" max="257" min="14" style="1636" width="10.32"/>
  </cols>
  <sheetData>
    <row r="1" customFormat="false" ht="12" hidden="false" customHeight="false" outlineLevel="0" collapsed="false">
      <c r="B1" s="21" t="s">
        <v>9</v>
      </c>
      <c r="C1" s="1637"/>
      <c r="D1" s="1637"/>
      <c r="E1" s="1637"/>
      <c r="F1" s="1637"/>
      <c r="G1" s="1637"/>
      <c r="H1" s="1637"/>
      <c r="I1" s="1637"/>
      <c r="J1" s="1637"/>
      <c r="K1" s="1637"/>
      <c r="L1" s="1637"/>
    </row>
    <row r="2" customFormat="false" ht="13" hidden="false" customHeight="false" outlineLevel="0" collapsed="false"/>
    <row r="3" customFormat="false" ht="19.75" hidden="false" customHeight="true" outlineLevel="0" collapsed="false">
      <c r="A3" s="1638" t="s">
        <v>557</v>
      </c>
      <c r="B3" s="1638"/>
      <c r="C3" s="1638"/>
      <c r="D3" s="1638"/>
      <c r="E3" s="1638"/>
      <c r="F3" s="1638"/>
      <c r="G3" s="1638"/>
      <c r="H3" s="1638"/>
      <c r="I3" s="1638"/>
      <c r="J3" s="1638"/>
      <c r="K3" s="1638"/>
      <c r="L3" s="1638"/>
    </row>
    <row r="4" customFormat="false" ht="12" hidden="false" customHeight="false" outlineLevel="0" collapsed="false">
      <c r="A4" s="1639"/>
      <c r="B4" s="1640"/>
      <c r="C4" s="1640"/>
      <c r="D4" s="1640"/>
      <c r="E4" s="1640"/>
      <c r="F4" s="1640"/>
      <c r="G4" s="1640"/>
      <c r="H4" s="1640"/>
      <c r="I4" s="1640"/>
      <c r="J4" s="1640"/>
      <c r="K4" s="1640"/>
      <c r="L4" s="1641"/>
    </row>
    <row r="5" customFormat="false" ht="12" hidden="false" customHeight="false" outlineLevel="0" collapsed="false">
      <c r="A5" s="1642"/>
      <c r="B5" s="1643" t="s">
        <v>11</v>
      </c>
      <c r="C5" s="1643" t="s">
        <v>12</v>
      </c>
      <c r="D5" s="1643" t="s">
        <v>13</v>
      </c>
      <c r="E5" s="1643" t="s">
        <v>14</v>
      </c>
      <c r="F5" s="1643" t="s">
        <v>15</v>
      </c>
      <c r="G5" s="1643" t="s">
        <v>16</v>
      </c>
      <c r="H5" s="1643" t="s">
        <v>17</v>
      </c>
      <c r="I5" s="1643" t="s">
        <v>18</v>
      </c>
      <c r="J5" s="1643" t="s">
        <v>19</v>
      </c>
      <c r="K5" s="1643" t="s">
        <v>20</v>
      </c>
      <c r="L5" s="1644" t="s">
        <v>21</v>
      </c>
    </row>
    <row r="6" customFormat="false" ht="15" hidden="false" customHeight="true" outlineLevel="0" collapsed="false">
      <c r="A6" s="1642"/>
      <c r="B6" s="1645" t="s">
        <v>558</v>
      </c>
      <c r="C6" s="1645"/>
      <c r="D6" s="1645"/>
      <c r="E6" s="1645"/>
      <c r="F6" s="1645"/>
      <c r="G6" s="1645"/>
      <c r="H6" s="1645"/>
      <c r="I6" s="1645"/>
      <c r="J6" s="1645"/>
      <c r="K6" s="1645"/>
      <c r="L6" s="1645"/>
    </row>
    <row r="7" customFormat="false" ht="19.75" hidden="false" customHeight="true" outlineLevel="0" collapsed="false">
      <c r="A7" s="1646"/>
      <c r="B7" s="1647" t="s">
        <v>559</v>
      </c>
      <c r="C7" s="1647"/>
      <c r="D7" s="1647"/>
      <c r="E7" s="1647"/>
      <c r="F7" s="1647"/>
      <c r="G7" s="1647"/>
      <c r="H7" s="1648" t="s">
        <v>560</v>
      </c>
      <c r="I7" s="1648"/>
      <c r="J7" s="1648"/>
      <c r="K7" s="1648"/>
      <c r="L7" s="1648"/>
    </row>
    <row r="8" customFormat="false" ht="70" hidden="false" customHeight="true" outlineLevel="0" collapsed="false">
      <c r="A8" s="1646"/>
      <c r="B8" s="1649" t="s">
        <v>561</v>
      </c>
      <c r="C8" s="1650" t="s">
        <v>562</v>
      </c>
      <c r="D8" s="1650" t="s">
        <v>563</v>
      </c>
      <c r="E8" s="1649" t="s">
        <v>564</v>
      </c>
      <c r="F8" s="1651" t="s">
        <v>565</v>
      </c>
      <c r="G8" s="1652" t="s">
        <v>566</v>
      </c>
      <c r="H8" s="1653" t="s">
        <v>567</v>
      </c>
      <c r="I8" s="1651" t="s">
        <v>568</v>
      </c>
      <c r="J8" s="1651" t="s">
        <v>569</v>
      </c>
      <c r="K8" s="1651" t="s">
        <v>570</v>
      </c>
      <c r="L8" s="1654" t="s">
        <v>571</v>
      </c>
      <c r="O8" s="1655" t="s">
        <v>572</v>
      </c>
    </row>
    <row r="9" customFormat="false" ht="30" hidden="false" customHeight="true" outlineLevel="0" collapsed="false">
      <c r="A9" s="1646"/>
      <c r="B9" s="1656" t="s">
        <v>573</v>
      </c>
      <c r="C9" s="1657"/>
      <c r="D9" s="1657"/>
      <c r="E9" s="1656" t="s">
        <v>574</v>
      </c>
      <c r="F9" s="1657" t="s">
        <v>575</v>
      </c>
      <c r="G9" s="1658" t="s">
        <v>576</v>
      </c>
      <c r="H9" s="1653" t="s">
        <v>577</v>
      </c>
      <c r="I9" s="1659" t="s">
        <v>578</v>
      </c>
      <c r="J9" s="1659" t="s">
        <v>579</v>
      </c>
      <c r="K9" s="1651" t="s">
        <v>580</v>
      </c>
      <c r="L9" s="1654" t="s">
        <v>581</v>
      </c>
    </row>
    <row r="10" customFormat="false" ht="12" hidden="false" customHeight="true" outlineLevel="0" collapsed="false">
      <c r="A10" s="1660" t="n">
        <v>1870</v>
      </c>
      <c r="B10" s="1661" t="n">
        <f aca="false">C10+D10</f>
        <v>0.87107797452625</v>
      </c>
      <c r="C10" s="1662" t="n">
        <f aca="false">DataDE1c!I33/DataDE1c!H33</f>
        <v>0.795821683752718</v>
      </c>
      <c r="D10" s="1662" t="n">
        <f aca="false">DataDE1c!J33/DataDE1c!H33</f>
        <v>0.0752562907735322</v>
      </c>
      <c r="E10" s="1663" t="n">
        <f aca="false">F10+G10</f>
        <v>0.12892202547375</v>
      </c>
      <c r="F10" s="1662" t="n">
        <f aca="false">DataDE1c!O33/DataDE1c!H33</f>
        <v>0.123485554520037</v>
      </c>
      <c r="G10" s="1664" t="n">
        <f aca="false">H10+K10+L10</f>
        <v>0.00543647095371233</v>
      </c>
      <c r="H10" s="1665" t="n">
        <f aca="false">DataDE1c!Q33/DataDE1c!H33</f>
        <v>0.00543647095371233</v>
      </c>
      <c r="I10" s="1666"/>
      <c r="J10" s="1666"/>
      <c r="K10" s="1666" t="n">
        <f aca="false">DataDE1c!T33/DataDE1c!$H33</f>
        <v>0</v>
      </c>
      <c r="L10" s="811" t="n">
        <f aca="false">DataDE1c!U33/DataDE1c!$H33</f>
        <v>0</v>
      </c>
      <c r="N10" s="1667"/>
      <c r="O10" s="1668" t="n">
        <f aca="false">DataDE1c!H33/DataDE1c!B33</f>
        <v>1</v>
      </c>
    </row>
    <row r="11" customFormat="false" ht="12" hidden="false" customHeight="true" outlineLevel="0" collapsed="false">
      <c r="A11" s="1660" t="n">
        <v>1871</v>
      </c>
      <c r="B11" s="1661" t="n">
        <f aca="false">C11+D11</f>
        <v>0.887604367373153</v>
      </c>
      <c r="C11" s="1662" t="n">
        <f aca="false">DataDE1c!I34/DataDE1c!H34</f>
        <v>0.792835224434454</v>
      </c>
      <c r="D11" s="1662" t="n">
        <f aca="false">DataDE1c!J34/DataDE1c!H34</f>
        <v>0.0947691429386998</v>
      </c>
      <c r="E11" s="1663" t="n">
        <f aca="false">F11+G11</f>
        <v>0.141440091343752</v>
      </c>
      <c r="F11" s="1662" t="n">
        <f aca="false">DataDE1c!O34/DataDE1c!H34</f>
        <v>0.105616213516021</v>
      </c>
      <c r="G11" s="1664" t="n">
        <f aca="false">H11+K11+L11</f>
        <v>0.0358238778277314</v>
      </c>
      <c r="H11" s="1669" t="n">
        <f aca="false">DataDE1c!Q34/DataDE1c!H34</f>
        <v>0.00677941911082566</v>
      </c>
      <c r="I11" s="1670"/>
      <c r="J11" s="1670"/>
      <c r="K11" s="1670" t="n">
        <f aca="false">DataDE1c!T34/DataDE1c!$H34</f>
        <v>0</v>
      </c>
      <c r="L11" s="822" t="n">
        <f aca="false">DataDE1c!U34/DataDE1c!$H34</f>
        <v>0.0290444587169057</v>
      </c>
      <c r="N11" s="1667"/>
      <c r="O11" s="1668" t="n">
        <f aca="false">DataDE1c!H34/DataDE1c!B34</f>
        <v>1</v>
      </c>
    </row>
    <row r="12" customFormat="false" ht="12" hidden="false" customHeight="true" outlineLevel="0" collapsed="false">
      <c r="A12" s="1660" t="n">
        <v>1872</v>
      </c>
      <c r="B12" s="1661" t="n">
        <f aca="false">C12+D12</f>
        <v>0.833523786612137</v>
      </c>
      <c r="C12" s="1662" t="n">
        <f aca="false">DataDE1c!I35/DataDE1c!H35</f>
        <v>0.76899019666807</v>
      </c>
      <c r="D12" s="1662" t="n">
        <f aca="false">DataDE1c!J35/DataDE1c!H35</f>
        <v>0.0645335899440669</v>
      </c>
      <c r="E12" s="1663" t="n">
        <f aca="false">F12+G12</f>
        <v>0.235460395741866</v>
      </c>
      <c r="F12" s="1662" t="n">
        <f aca="false">DataDE1c!O35/DataDE1c!H35</f>
        <v>0.156372165754496</v>
      </c>
      <c r="G12" s="1664" t="n">
        <f aca="false">H12+K12+L12</f>
        <v>0.07908822998737</v>
      </c>
      <c r="H12" s="1669" t="n">
        <f aca="false">DataDE1c!Q35/DataDE1c!H35</f>
        <v>0.0101040476333674</v>
      </c>
      <c r="I12" s="1670"/>
      <c r="J12" s="1670"/>
      <c r="K12" s="1670" t="n">
        <f aca="false">DataDE1c!T35/DataDE1c!$H35</f>
        <v>0</v>
      </c>
      <c r="L12" s="822" t="n">
        <f aca="false">DataDE1c!U35/DataDE1c!$H35</f>
        <v>0.0689841823540025</v>
      </c>
      <c r="N12" s="1667"/>
      <c r="O12" s="1668" t="n">
        <f aca="false">DataDE1c!H35/DataDE1c!B35</f>
        <v>1</v>
      </c>
    </row>
    <row r="13" customFormat="false" ht="12" hidden="false" customHeight="true" outlineLevel="0" collapsed="false">
      <c r="A13" s="1660" t="n">
        <v>1873</v>
      </c>
      <c r="B13" s="1661" t="n">
        <f aca="false">C13+D13</f>
        <v>0.841559888579387</v>
      </c>
      <c r="C13" s="1662" t="n">
        <f aca="false">DataDE1c!I36/DataDE1c!H36</f>
        <v>0.78100278551532</v>
      </c>
      <c r="D13" s="1662" t="n">
        <f aca="false">DataDE1c!J36/DataDE1c!H36</f>
        <v>0.0605571030640669</v>
      </c>
      <c r="E13" s="1663" t="n">
        <f aca="false">F13+G13</f>
        <v>0.244623955431755</v>
      </c>
      <c r="F13" s="1662" t="n">
        <f aca="false">DataDE1c!O36/DataDE1c!H36</f>
        <v>0.132033426183844</v>
      </c>
      <c r="G13" s="1664" t="n">
        <f aca="false">H13+K13+L13</f>
        <v>0.112590529247911</v>
      </c>
      <c r="H13" s="1669" t="n">
        <f aca="false">DataDE1c!Q36/DataDE1c!H36</f>
        <v>0.0261838440111421</v>
      </c>
      <c r="I13" s="1670"/>
      <c r="J13" s="1670"/>
      <c r="K13" s="1670" t="n">
        <f aca="false">DataDE1c!T36/DataDE1c!$H36</f>
        <v>0.000222841225626741</v>
      </c>
      <c r="L13" s="822" t="n">
        <f aca="false">DataDE1c!U36/DataDE1c!$H36</f>
        <v>0.0861838440111421</v>
      </c>
      <c r="N13" s="1667"/>
      <c r="O13" s="1668" t="n">
        <f aca="false">DataDE1c!H36/DataDE1c!B36</f>
        <v>1</v>
      </c>
    </row>
    <row r="14" customFormat="false" ht="12" hidden="false" customHeight="true" outlineLevel="0" collapsed="false">
      <c r="A14" s="1660" t="n">
        <v>1874</v>
      </c>
      <c r="B14" s="1661" t="n">
        <f aca="false">C14+D14</f>
        <v>0.821735571019239</v>
      </c>
      <c r="C14" s="1662" t="n">
        <f aca="false">DataDE1c!I37/DataDE1c!H37</f>
        <v>0.755730659025788</v>
      </c>
      <c r="D14" s="1662" t="n">
        <f aca="false">DataDE1c!J37/DataDE1c!H37</f>
        <v>0.0660049119934507</v>
      </c>
      <c r="E14" s="1663" t="n">
        <f aca="false">F14+G14</f>
        <v>0.208503888661482</v>
      </c>
      <c r="F14" s="1662" t="n">
        <f aca="false">DataDE1c!O37/DataDE1c!H37</f>
        <v>0.172431436758084</v>
      </c>
      <c r="G14" s="1664" t="n">
        <f aca="false">H14+K14+L14</f>
        <v>0.0360724519033975</v>
      </c>
      <c r="H14" s="1669" t="n">
        <f aca="false">DataDE1c!Q37/DataDE1c!H37</f>
        <v>0.00537249283667622</v>
      </c>
      <c r="I14" s="1670"/>
      <c r="J14" s="1670"/>
      <c r="K14" s="1670" t="n">
        <f aca="false">DataDE1c!T37/DataDE1c!$H37</f>
        <v>0.000460499386000819</v>
      </c>
      <c r="L14" s="822" t="n">
        <f aca="false">DataDE1c!U37/DataDE1c!$H37</f>
        <v>0.0302394596807204</v>
      </c>
      <c r="N14" s="1667"/>
      <c r="O14" s="1668" t="n">
        <f aca="false">DataDE1c!H37/DataDE1c!B37</f>
        <v>1</v>
      </c>
    </row>
    <row r="15" customFormat="false" ht="12" hidden="false" customHeight="true" outlineLevel="0" collapsed="false">
      <c r="A15" s="1660" t="n">
        <v>1875</v>
      </c>
      <c r="B15" s="1661" t="n">
        <f aca="false">C15+D15</f>
        <v>0.855169389321347</v>
      </c>
      <c r="C15" s="1662" t="n">
        <f aca="false">DataDE1c!I38/DataDE1c!H38</f>
        <v>0.785056463107116</v>
      </c>
      <c r="D15" s="1662" t="n">
        <f aca="false">DataDE1c!J38/DataDE1c!H38</f>
        <v>0.0701129262142309</v>
      </c>
      <c r="E15" s="1663" t="n">
        <f aca="false">F15+G15</f>
        <v>0.156397324854731</v>
      </c>
      <c r="F15" s="1662" t="n">
        <f aca="false">DataDE1c!O38/DataDE1c!H38</f>
        <v>0.135950005481855</v>
      </c>
      <c r="G15" s="1664" t="n">
        <f aca="false">H15+K15+L15</f>
        <v>0.0204473193728758</v>
      </c>
      <c r="H15" s="1669" t="n">
        <f aca="false">DataDE1c!Q38/DataDE1c!H38</f>
        <v>0.00805832693783577</v>
      </c>
      <c r="I15" s="1670"/>
      <c r="J15" s="1670"/>
      <c r="K15" s="1670" t="n">
        <f aca="false">DataDE1c!T38/DataDE1c!$H38</f>
        <v>0.000822278258962833</v>
      </c>
      <c r="L15" s="822" t="n">
        <f aca="false">DataDE1c!U38/DataDE1c!$H38</f>
        <v>0.0115667141760772</v>
      </c>
      <c r="N15" s="1667"/>
      <c r="O15" s="1668" t="n">
        <f aca="false">DataDE1c!H38/DataDE1c!B38</f>
        <v>1</v>
      </c>
    </row>
    <row r="16" customFormat="false" ht="12" hidden="false" customHeight="true" outlineLevel="0" collapsed="false">
      <c r="A16" s="1660" t="n">
        <v>1876</v>
      </c>
      <c r="B16" s="1661" t="n">
        <f aca="false">C16+D16</f>
        <v>0.852947744528808</v>
      </c>
      <c r="C16" s="1662" t="n">
        <f aca="false">DataDE1c!I39/DataDE1c!H39</f>
        <v>0.788130861991961</v>
      </c>
      <c r="D16" s="1662" t="n">
        <f aca="false">DataDE1c!J39/DataDE1c!H39</f>
        <v>0.0648168825368468</v>
      </c>
      <c r="E16" s="1663" t="n">
        <f aca="false">F16+G16</f>
        <v>0.15514738722644</v>
      </c>
      <c r="F16" s="1662" t="n">
        <f aca="false">DataDE1c!O39/DataDE1c!H39</f>
        <v>0.133430102724431</v>
      </c>
      <c r="G16" s="1664" t="n">
        <f aca="false">H16+K16+L16</f>
        <v>0.0217172845020098</v>
      </c>
      <c r="H16" s="1669" t="n">
        <f aca="false">DataDE1c!Q39/DataDE1c!H39</f>
        <v>0.0122264403751675</v>
      </c>
      <c r="I16" s="1670"/>
      <c r="J16" s="1670"/>
      <c r="K16" s="1670" t="n">
        <f aca="false">DataDE1c!T39/DataDE1c!$H39</f>
        <v>0.00139571237159446</v>
      </c>
      <c r="L16" s="822" t="n">
        <f aca="false">DataDE1c!U39/DataDE1c!$H39</f>
        <v>0.00809513175524788</v>
      </c>
      <c r="N16" s="1667"/>
      <c r="O16" s="1668" t="n">
        <f aca="false">DataDE1c!H39/DataDE1c!B39</f>
        <v>1</v>
      </c>
    </row>
    <row r="17" customFormat="false" ht="12" hidden="false" customHeight="true" outlineLevel="0" collapsed="false">
      <c r="A17" s="1660" t="n">
        <v>1877</v>
      </c>
      <c r="B17" s="1661" t="n">
        <f aca="false">C17+D17</f>
        <v>0.880728149764557</v>
      </c>
      <c r="C17" s="1662" t="n">
        <f aca="false">DataDE1c!I40/DataDE1c!H40</f>
        <v>0.810784426323648</v>
      </c>
      <c r="D17" s="1662" t="n">
        <f aca="false">DataDE1c!J40/DataDE1c!H40</f>
        <v>0.0699437234409096</v>
      </c>
      <c r="E17" s="1663" t="n">
        <f aca="false">F17+G17</f>
        <v>0.124440105662111</v>
      </c>
      <c r="F17" s="1662" t="n">
        <f aca="false">DataDE1c!O40/DataDE1c!H40</f>
        <v>0.105087860342253</v>
      </c>
      <c r="G17" s="1664" t="n">
        <f aca="false">H17+K17+L17</f>
        <v>0.0193522453198576</v>
      </c>
      <c r="H17" s="1669" t="n">
        <f aca="false">DataDE1c!Q40/DataDE1c!H40</f>
        <v>0.0125186631445963</v>
      </c>
      <c r="I17" s="1670"/>
      <c r="J17" s="1670"/>
      <c r="K17" s="1670" t="n">
        <f aca="false">DataDE1c!T40/DataDE1c!$H40</f>
        <v>0.00166532674859309</v>
      </c>
      <c r="L17" s="822" t="n">
        <f aca="false">DataDE1c!U40/DataDE1c!$H40</f>
        <v>0.0051682554266682</v>
      </c>
      <c r="N17" s="1667"/>
      <c r="O17" s="1668" t="n">
        <f aca="false">DataDE1c!H40/DataDE1c!B40</f>
        <v>1</v>
      </c>
    </row>
    <row r="18" customFormat="false" ht="12" hidden="false" customHeight="true" outlineLevel="0" collapsed="false">
      <c r="A18" s="1660" t="n">
        <v>1878</v>
      </c>
      <c r="B18" s="1661" t="n">
        <f aca="false">C18+D18</f>
        <v>0.875013986796464</v>
      </c>
      <c r="C18" s="1662" t="n">
        <f aca="false">DataDE1c!I41/DataDE1c!H41</f>
        <v>0.808324941255455</v>
      </c>
      <c r="D18" s="1662" t="n">
        <f aca="false">DataDE1c!J41/DataDE1c!H41</f>
        <v>0.0666890455410093</v>
      </c>
      <c r="E18" s="1663" t="n">
        <f aca="false">F18+G18</f>
        <v>0.127503636567081</v>
      </c>
      <c r="F18" s="1662" t="n">
        <f aca="false">DataDE1c!O41/DataDE1c!H41</f>
        <v>0.101823878258924</v>
      </c>
      <c r="G18" s="1664" t="n">
        <f aca="false">H18+K18+L18</f>
        <v>0.0256797583081571</v>
      </c>
      <c r="H18" s="1669" t="n">
        <f aca="false">DataDE1c!Q41/DataDE1c!H41</f>
        <v>0.0210361418820633</v>
      </c>
      <c r="I18" s="1670"/>
      <c r="J18" s="1670"/>
      <c r="K18" s="1670" t="n">
        <f aca="false">DataDE1c!T41/DataDE1c!$H41</f>
        <v>0.00212599306254895</v>
      </c>
      <c r="L18" s="822" t="n">
        <f aca="false">DataDE1c!U41/DataDE1c!$H41</f>
        <v>0.00251762336354481</v>
      </c>
      <c r="N18" s="1667"/>
      <c r="O18" s="1668" t="n">
        <f aca="false">DataDE1c!H41/DataDE1c!B41</f>
        <v>1</v>
      </c>
    </row>
    <row r="19" customFormat="false" ht="12" hidden="false" customHeight="true" outlineLevel="0" collapsed="false">
      <c r="A19" s="1671" t="n">
        <v>1879</v>
      </c>
      <c r="B19" s="1672" t="n">
        <f aca="false">C19+D19</f>
        <v>0.907063197026022</v>
      </c>
      <c r="C19" s="1673" t="n">
        <f aca="false">DataDE1c!I42/DataDE1c!H42</f>
        <v>0.834452572250869</v>
      </c>
      <c r="D19" s="1673" t="n">
        <f aca="false">DataDE1c!J42/DataDE1c!H42</f>
        <v>0.0726106247751529</v>
      </c>
      <c r="E19" s="1674" t="n">
        <f aca="false">F19+G19</f>
        <v>0.0943758244393812</v>
      </c>
      <c r="F19" s="1673" t="n">
        <f aca="false">DataDE1c!O42/DataDE1c!H42</f>
        <v>0.0725506655474277</v>
      </c>
      <c r="G19" s="1675" t="n">
        <f aca="false">H19+K19+L19</f>
        <v>0.0218251588919535</v>
      </c>
      <c r="H19" s="1676" t="n">
        <f aca="false">DataDE1c!Q42/DataDE1c!H42</f>
        <v>0.0174481352680178</v>
      </c>
      <c r="I19" s="1677"/>
      <c r="J19" s="1677"/>
      <c r="K19" s="1677" t="n">
        <f aca="false">DataDE1c!T42/DataDE1c!$H42</f>
        <v>0.0029380021585322</v>
      </c>
      <c r="L19" s="828" t="n">
        <f aca="false">DataDE1c!U42/DataDE1c!$H42</f>
        <v>0.00143902146540353</v>
      </c>
      <c r="N19" s="1667"/>
      <c r="O19" s="1668" t="n">
        <f aca="false">DataDE1c!H42/DataDE1c!B42</f>
        <v>1</v>
      </c>
    </row>
    <row r="20" customFormat="false" ht="12" hidden="false" customHeight="true" outlineLevel="0" collapsed="false">
      <c r="A20" s="1660" t="n">
        <v>1880</v>
      </c>
      <c r="B20" s="1661" t="n">
        <f aca="false">C20+D20</f>
        <v>0.903630128887312</v>
      </c>
      <c r="C20" s="1662" t="n">
        <f aca="false">DataDE1c!I43/DataDE1c!H43</f>
        <v>0.832091758306728</v>
      </c>
      <c r="D20" s="1662" t="n">
        <f aca="false">DataDE1c!J43/DataDE1c!H43</f>
        <v>0.0715383705805841</v>
      </c>
      <c r="E20" s="1663" t="n">
        <f aca="false">F20+G20</f>
        <v>0.0963698711126877</v>
      </c>
      <c r="F20" s="1662" t="n">
        <f aca="false">DataDE1c!O43/DataDE1c!H43</f>
        <v>0.078633085018328</v>
      </c>
      <c r="G20" s="1664" t="n">
        <f aca="false">H20+K20+L20</f>
        <v>0.0177367860943597</v>
      </c>
      <c r="H20" s="1669" t="n">
        <f aca="false">I20-J20</f>
        <v>0.0141894288754878</v>
      </c>
      <c r="I20" s="1670" t="n">
        <f aca="false">DataDE1c!R43/DataDE1c!$H43</f>
        <v>0.182334161050018</v>
      </c>
      <c r="J20" s="1670" t="n">
        <f aca="false">DataDE1c!S43/DataDE1c!$H43</f>
        <v>0.16814473217453</v>
      </c>
      <c r="K20" s="1670" t="n">
        <f aca="false">DataDE1c!T43/DataDE1c!$H43</f>
        <v>0.00354735721887194</v>
      </c>
      <c r="L20" s="822" t="n">
        <f aca="false">DataDE1c!U43/DataDE1c!$H43</f>
        <v>0</v>
      </c>
      <c r="N20" s="1667"/>
      <c r="O20" s="1668" t="n">
        <f aca="false">DataDE1c!H43/DataDE1c!B43</f>
        <v>1</v>
      </c>
      <c r="P20" s="1678"/>
    </row>
    <row r="21" customFormat="false" ht="12" hidden="false" customHeight="true" outlineLevel="0" collapsed="false">
      <c r="A21" s="1660" t="n">
        <v>1881</v>
      </c>
      <c r="B21" s="1661" t="n">
        <f aca="false">C21+D21</f>
        <v>0.88570935052971</v>
      </c>
      <c r="C21" s="1662" t="n">
        <f aca="false">DataDE1c!I44/DataDE1c!H44</f>
        <v>0.8148894518655</v>
      </c>
      <c r="D21" s="1662" t="n">
        <f aca="false">DataDE1c!J44/DataDE1c!H44</f>
        <v>0.07081989866421</v>
      </c>
      <c r="E21" s="1663" t="n">
        <f aca="false">F21+G21</f>
        <v>0.11429064947029</v>
      </c>
      <c r="F21" s="1662" t="n">
        <f aca="false">DataDE1c!O44/DataDE1c!H44</f>
        <v>0.0915476738830032</v>
      </c>
      <c r="G21" s="1664" t="n">
        <f aca="false">H21+K21+L21</f>
        <v>0.0227429755872869</v>
      </c>
      <c r="H21" s="1669" t="n">
        <f aca="false">I21-J21</f>
        <v>0.018136803316444</v>
      </c>
      <c r="I21" s="1670" t="n">
        <f aca="false">DataDE1c!R44/DataDE1c!$H44</f>
        <v>0.190292491939199</v>
      </c>
      <c r="J21" s="1670" t="n">
        <f aca="false">DataDE1c!S44/DataDE1c!$H44</f>
        <v>0.172155688622755</v>
      </c>
      <c r="K21" s="1670" t="n">
        <f aca="false">DataDE1c!T44/DataDE1c!$H44</f>
        <v>0.00460617227084293</v>
      </c>
      <c r="L21" s="822" t="n">
        <f aca="false">DataDE1c!U44/DataDE1c!$H44</f>
        <v>0</v>
      </c>
      <c r="N21" s="1667"/>
      <c r="O21" s="1668" t="n">
        <f aca="false">DataDE1c!H44/DataDE1c!B44</f>
        <v>1</v>
      </c>
      <c r="P21" s="1678"/>
    </row>
    <row r="22" customFormat="false" ht="12" hidden="false" customHeight="true" outlineLevel="0" collapsed="false">
      <c r="A22" s="1660" t="n">
        <v>1882</v>
      </c>
      <c r="B22" s="1661" t="n">
        <f aca="false">C22+D22</f>
        <v>0.885487463590154</v>
      </c>
      <c r="C22" s="1662" t="n">
        <f aca="false">DataDE1c!I45/DataDE1c!H45</f>
        <v>0.815980352961334</v>
      </c>
      <c r="D22" s="1662" t="n">
        <f aca="false">DataDE1c!J45/DataDE1c!H45</f>
        <v>0.0695071106288195</v>
      </c>
      <c r="E22" s="1663" t="n">
        <f aca="false">F22+G22</f>
        <v>0.114512536409846</v>
      </c>
      <c r="F22" s="1662" t="n">
        <f aca="false">DataDE1c!O45/DataDE1c!H45</f>
        <v>0.0873836312753441</v>
      </c>
      <c r="G22" s="1664" t="n">
        <f aca="false">H22+K22+L22</f>
        <v>0.0271289051345023</v>
      </c>
      <c r="H22" s="1669" t="n">
        <f aca="false">I22-J22</f>
        <v>0.0214175566851334</v>
      </c>
      <c r="I22" s="1670" t="n">
        <f aca="false">DataDE1c!R45/DataDE1c!$H45</f>
        <v>0.200411217088355</v>
      </c>
      <c r="J22" s="1670" t="n">
        <f aca="false">DataDE1c!S45/DataDE1c!$H45</f>
        <v>0.178993660403221</v>
      </c>
      <c r="K22" s="1670" t="n">
        <f aca="false">DataDE1c!T45/DataDE1c!$H45</f>
        <v>0.0057113484493689</v>
      </c>
      <c r="L22" s="822" t="n">
        <f aca="false">DataDE1c!U45/DataDE1c!$H45</f>
        <v>0</v>
      </c>
      <c r="N22" s="1667"/>
      <c r="O22" s="1668" t="n">
        <f aca="false">DataDE1c!H45/DataDE1c!B45</f>
        <v>1</v>
      </c>
      <c r="P22" s="1678"/>
    </row>
    <row r="23" customFormat="false" ht="12" hidden="false" customHeight="true" outlineLevel="0" collapsed="false">
      <c r="A23" s="1660" t="n">
        <v>1883</v>
      </c>
      <c r="B23" s="1661" t="n">
        <f aca="false">C23+D23</f>
        <v>0.883108969032187</v>
      </c>
      <c r="C23" s="1662" t="n">
        <f aca="false">DataDE1c!I46/DataDE1c!H46</f>
        <v>0.815799678688161</v>
      </c>
      <c r="D23" s="1662" t="n">
        <f aca="false">DataDE1c!J46/DataDE1c!H46</f>
        <v>0.0673092903440253</v>
      </c>
      <c r="E23" s="1663" t="n">
        <f aca="false">F23+G23</f>
        <v>0.116891030967813</v>
      </c>
      <c r="F23" s="1662" t="n">
        <f aca="false">DataDE1c!O46/DataDE1c!H46</f>
        <v>0.100271453105091</v>
      </c>
      <c r="G23" s="1664" t="n">
        <f aca="false">H23+K23+L23</f>
        <v>0.0166195778627223</v>
      </c>
      <c r="H23" s="1669" t="n">
        <f aca="false">I23-J23</f>
        <v>0.0105257326463908</v>
      </c>
      <c r="I23" s="1670" t="n">
        <f aca="false">DataDE1c!R46/DataDE1c!$H46</f>
        <v>0.190460362306797</v>
      </c>
      <c r="J23" s="1670" t="n">
        <f aca="false">DataDE1c!S46/DataDE1c!$H46</f>
        <v>0.179934629660407</v>
      </c>
      <c r="K23" s="1670" t="n">
        <f aca="false">DataDE1c!T46/DataDE1c!$H46</f>
        <v>0.0060938452163315</v>
      </c>
      <c r="L23" s="822" t="n">
        <f aca="false">DataDE1c!U46/DataDE1c!$H46</f>
        <v>0</v>
      </c>
      <c r="N23" s="1667"/>
      <c r="O23" s="1668" t="n">
        <f aca="false">DataDE1c!H46/DataDE1c!B46</f>
        <v>1</v>
      </c>
      <c r="P23" s="1678"/>
    </row>
    <row r="24" customFormat="false" ht="12" hidden="false" customHeight="true" outlineLevel="0" collapsed="false">
      <c r="A24" s="1660" t="n">
        <v>1884</v>
      </c>
      <c r="B24" s="1661" t="n">
        <f aca="false">C24+D24</f>
        <v>0.865992142511167</v>
      </c>
      <c r="C24" s="1662" t="n">
        <f aca="false">DataDE1c!I47/DataDE1c!H47</f>
        <v>0.798611484850116</v>
      </c>
      <c r="D24" s="1662" t="n">
        <f aca="false">DataDE1c!J47/DataDE1c!H47</f>
        <v>0.0673806576610516</v>
      </c>
      <c r="E24" s="1663" t="n">
        <f aca="false">F24+G24</f>
        <v>0.134007857488833</v>
      </c>
      <c r="F24" s="1662" t="n">
        <f aca="false">DataDE1c!O47/DataDE1c!H47</f>
        <v>0.105484096657876</v>
      </c>
      <c r="G24" s="1664" t="n">
        <f aca="false">H24+K24+L24</f>
        <v>0.0285237608309563</v>
      </c>
      <c r="H24" s="1669" t="n">
        <f aca="false">I24-J24</f>
        <v>0.0215273666648727</v>
      </c>
      <c r="I24" s="1670" t="n">
        <f aca="false">DataDE1c!R47/DataDE1c!$H47</f>
        <v>0.197029223400248</v>
      </c>
      <c r="J24" s="1670" t="n">
        <f aca="false">DataDE1c!S47/DataDE1c!$H47</f>
        <v>0.175501856735375</v>
      </c>
      <c r="K24" s="1670" t="n">
        <f aca="false">DataDE1c!T47/DataDE1c!$H47</f>
        <v>0.00699639416608363</v>
      </c>
      <c r="L24" s="822" t="n">
        <f aca="false">DataDE1c!U47/DataDE1c!$H47</f>
        <v>0</v>
      </c>
      <c r="N24" s="1667"/>
      <c r="O24" s="1668" t="n">
        <f aca="false">DataDE1c!H47/DataDE1c!B47</f>
        <v>1</v>
      </c>
      <c r="P24" s="1678"/>
    </row>
    <row r="25" customFormat="false" ht="12" hidden="false" customHeight="true" outlineLevel="0" collapsed="false">
      <c r="A25" s="1660" t="n">
        <v>1885</v>
      </c>
      <c r="B25" s="1661" t="n">
        <f aca="false">C25+D25</f>
        <v>0.86815415821501</v>
      </c>
      <c r="C25" s="1662" t="n">
        <f aca="false">DataDE1c!I48/DataDE1c!H48</f>
        <v>0.800950144122985</v>
      </c>
      <c r="D25" s="1662" t="n">
        <f aca="false">DataDE1c!J48/DataDE1c!H48</f>
        <v>0.0672040140920252</v>
      </c>
      <c r="E25" s="1663" t="n">
        <f aca="false">F25+G25</f>
        <v>0.13184584178499</v>
      </c>
      <c r="F25" s="1662" t="n">
        <f aca="false">DataDE1c!O48/DataDE1c!H48</f>
        <v>0.104622611294972</v>
      </c>
      <c r="G25" s="1664" t="n">
        <f aca="false">H25+K25+L25</f>
        <v>0.0272232304900181</v>
      </c>
      <c r="H25" s="1669" t="n">
        <f aca="false">I25-J25</f>
        <v>0.019216397992954</v>
      </c>
      <c r="I25" s="1670" t="n">
        <f aca="false">DataDE1c!R48/DataDE1c!$H48</f>
        <v>0.178018575851393</v>
      </c>
      <c r="J25" s="1670" t="n">
        <f aca="false">DataDE1c!S48/DataDE1c!$H48</f>
        <v>0.158802177858439</v>
      </c>
      <c r="K25" s="1670" t="n">
        <f aca="false">DataDE1c!T48/DataDE1c!$H48</f>
        <v>0.00800683249706416</v>
      </c>
      <c r="L25" s="822" t="n">
        <f aca="false">DataDE1c!U48/DataDE1c!$H48</f>
        <v>0</v>
      </c>
      <c r="N25" s="1667"/>
      <c r="O25" s="1668" t="n">
        <f aca="false">DataDE1c!H48/DataDE1c!B48</f>
        <v>1</v>
      </c>
      <c r="P25" s="1678"/>
    </row>
    <row r="26" customFormat="false" ht="12" hidden="false" customHeight="true" outlineLevel="0" collapsed="false">
      <c r="A26" s="1660" t="n">
        <v>1886</v>
      </c>
      <c r="B26" s="1661" t="n">
        <f aca="false">C26+D26</f>
        <v>0.869810922150628</v>
      </c>
      <c r="C26" s="1662" t="n">
        <f aca="false">DataDE1c!I49/DataDE1c!H49</f>
        <v>0.801468258159924</v>
      </c>
      <c r="D26" s="1662" t="n">
        <f aca="false">DataDE1c!J49/DataDE1c!H49</f>
        <v>0.0683426639907045</v>
      </c>
      <c r="E26" s="1663" t="n">
        <f aca="false">F26+G26</f>
        <v>0.130189077849371</v>
      </c>
      <c r="F26" s="1662" t="n">
        <f aca="false">DataDE1c!O49/DataDE1c!H49</f>
        <v>0.104573782613288</v>
      </c>
      <c r="G26" s="1664" t="n">
        <f aca="false">H26+K26+L26</f>
        <v>0.0256152952360832</v>
      </c>
      <c r="H26" s="1669" t="n">
        <f aca="false">I26-J26</f>
        <v>0.0166367381430231</v>
      </c>
      <c r="I26" s="1670" t="n">
        <f aca="false">DataDE1c!R49/DataDE1c!$H49</f>
        <v>0.171965775852963</v>
      </c>
      <c r="J26" s="1670" t="n">
        <f aca="false">DataDE1c!S49/DataDE1c!$H49</f>
        <v>0.15532903770994</v>
      </c>
      <c r="K26" s="1670" t="n">
        <f aca="false">DataDE1c!T49/DataDE1c!$H49</f>
        <v>0.0089785570930601</v>
      </c>
      <c r="L26" s="822" t="n">
        <f aca="false">DataDE1c!U49/DataDE1c!$H49</f>
        <v>0</v>
      </c>
      <c r="N26" s="1667"/>
      <c r="O26" s="1668" t="n">
        <f aca="false">DataDE1c!H49/DataDE1c!B49</f>
        <v>1</v>
      </c>
      <c r="P26" s="1678"/>
    </row>
    <row r="27" customFormat="false" ht="12" hidden="false" customHeight="true" outlineLevel="0" collapsed="false">
      <c r="A27" s="1660" t="n">
        <v>1887</v>
      </c>
      <c r="B27" s="1661" t="n">
        <f aca="false">C27+D27</f>
        <v>0.862921231631964</v>
      </c>
      <c r="C27" s="1662" t="n">
        <f aca="false">DataDE1c!I50/DataDE1c!H50</f>
        <v>0.791318344670024</v>
      </c>
      <c r="D27" s="1662" t="n">
        <f aca="false">DataDE1c!J50/DataDE1c!H50</f>
        <v>0.0716028869619399</v>
      </c>
      <c r="E27" s="1663" t="n">
        <f aca="false">F27+G27</f>
        <v>0.137078768368036</v>
      </c>
      <c r="F27" s="1662" t="n">
        <f aca="false">DataDE1c!O50/DataDE1c!H50</f>
        <v>0.115790020250273</v>
      </c>
      <c r="G27" s="1664" t="n">
        <f aca="false">H27+K27+L27</f>
        <v>0.0212887481177631</v>
      </c>
      <c r="H27" s="1669" t="n">
        <f aca="false">I27-J27</f>
        <v>0.0114232306973363</v>
      </c>
      <c r="I27" s="1670" t="n">
        <f aca="false">DataDE1c!R50/DataDE1c!$H50</f>
        <v>0.176852380705125</v>
      </c>
      <c r="J27" s="1670" t="n">
        <f aca="false">DataDE1c!S50/DataDE1c!$H50</f>
        <v>0.165429150007789</v>
      </c>
      <c r="K27" s="1670" t="n">
        <f aca="false">DataDE1c!T50/DataDE1c!$H50</f>
        <v>0.00986551742042681</v>
      </c>
      <c r="L27" s="822" t="n">
        <f aca="false">DataDE1c!U50/DataDE1c!$H50</f>
        <v>0</v>
      </c>
      <c r="N27" s="1667"/>
      <c r="O27" s="1668" t="n">
        <f aca="false">DataDE1c!H50/DataDE1c!B50</f>
        <v>1</v>
      </c>
      <c r="P27" s="1678"/>
    </row>
    <row r="28" customFormat="false" ht="12" hidden="false" customHeight="true" outlineLevel="0" collapsed="false">
      <c r="A28" s="1660" t="n">
        <v>1888</v>
      </c>
      <c r="B28" s="1661" t="n">
        <f aca="false">C28+D28</f>
        <v>0.851690821256039</v>
      </c>
      <c r="C28" s="1662" t="n">
        <f aca="false">DataDE1c!I51/DataDE1c!H51</f>
        <v>0.768888888888889</v>
      </c>
      <c r="D28" s="1662" t="n">
        <f aca="false">DataDE1c!J51/DataDE1c!H51</f>
        <v>0.0828019323671498</v>
      </c>
      <c r="E28" s="1663" t="n">
        <f aca="false">F28+G28</f>
        <v>0.148309178743961</v>
      </c>
      <c r="F28" s="1662" t="n">
        <f aca="false">DataDE1c!O51/DataDE1c!H51</f>
        <v>0.115942028985507</v>
      </c>
      <c r="G28" s="1664" t="n">
        <f aca="false">H28+K28+L28</f>
        <v>0.0323671497584541</v>
      </c>
      <c r="H28" s="1669" t="n">
        <f aca="false">I28-J28</f>
        <v>0.0217391304347826</v>
      </c>
      <c r="I28" s="1670" t="n">
        <f aca="false">DataDE1c!R51/DataDE1c!$H51</f>
        <v>0.187391304347826</v>
      </c>
      <c r="J28" s="1670" t="n">
        <f aca="false">DataDE1c!S51/DataDE1c!$H51</f>
        <v>0.165652173913044</v>
      </c>
      <c r="K28" s="1670" t="n">
        <f aca="false">DataDE1c!T51/DataDE1c!$H51</f>
        <v>0.0106280193236715</v>
      </c>
      <c r="L28" s="822" t="n">
        <f aca="false">DataDE1c!U51/DataDE1c!$H51</f>
        <v>0</v>
      </c>
      <c r="N28" s="1667"/>
      <c r="O28" s="1668" t="n">
        <f aca="false">DataDE1c!H51/DataDE1c!B51</f>
        <v>1</v>
      </c>
      <c r="P28" s="1678"/>
    </row>
    <row r="29" customFormat="false" ht="12" hidden="false" customHeight="true" outlineLevel="0" collapsed="false">
      <c r="A29" s="1671" t="n">
        <v>1889</v>
      </c>
      <c r="B29" s="1672" t="n">
        <f aca="false">C29+D29</f>
        <v>0.841568133794902</v>
      </c>
      <c r="C29" s="1673" t="n">
        <f aca="false">DataDE1c!I52/DataDE1c!H52</f>
        <v>0.76352110776424</v>
      </c>
      <c r="D29" s="1673" t="n">
        <f aca="false">DataDE1c!J52/DataDE1c!H52</f>
        <v>0.0780470260306613</v>
      </c>
      <c r="E29" s="1674" t="n">
        <f aca="false">F29+G29</f>
        <v>0.158431866205098</v>
      </c>
      <c r="F29" s="1673" t="n">
        <f aca="false">DataDE1c!O52/DataDE1c!H52</f>
        <v>0.132176415051926</v>
      </c>
      <c r="G29" s="1675" t="n">
        <f aca="false">H29+K29+L29</f>
        <v>0.0262554511531718</v>
      </c>
      <c r="H29" s="1676" t="n">
        <f aca="false">I29-J29</f>
        <v>0.0154655397203615</v>
      </c>
      <c r="I29" s="1677" t="n">
        <f aca="false">DataDE1c!R52/DataDE1c!$H52</f>
        <v>0.199253697792564</v>
      </c>
      <c r="J29" s="1677" t="n">
        <f aca="false">DataDE1c!S52/DataDE1c!$H52</f>
        <v>0.183788158072202</v>
      </c>
      <c r="K29" s="1677" t="n">
        <f aca="false">DataDE1c!T52/DataDE1c!$H52</f>
        <v>0.0107899114328103</v>
      </c>
      <c r="L29" s="828" t="n">
        <f aca="false">DataDE1c!U52/DataDE1c!$H52</f>
        <v>0</v>
      </c>
      <c r="N29" s="1667"/>
      <c r="O29" s="1668" t="n">
        <f aca="false">DataDE1c!H52/DataDE1c!B52</f>
        <v>1</v>
      </c>
      <c r="P29" s="1678"/>
    </row>
    <row r="30" customFormat="false" ht="12" hidden="false" customHeight="true" outlineLevel="0" collapsed="false">
      <c r="A30" s="1660" t="n">
        <v>1890</v>
      </c>
      <c r="B30" s="1661" t="n">
        <f aca="false">C30+D30</f>
        <v>0.841486120514557</v>
      </c>
      <c r="C30" s="1662" t="n">
        <f aca="false">DataDE1c!I53/DataDE1c!H53</f>
        <v>0.75939404197698</v>
      </c>
      <c r="D30" s="1662" t="n">
        <f aca="false">DataDE1c!J53/DataDE1c!H53</f>
        <v>0.0820920785375762</v>
      </c>
      <c r="E30" s="1663" t="n">
        <f aca="false">F30+G30</f>
        <v>0.158513879485443</v>
      </c>
      <c r="F30" s="1662" t="n">
        <f aca="false">DataDE1c!O53/DataDE1c!H53</f>
        <v>0.14218009478673</v>
      </c>
      <c r="G30" s="1664" t="n">
        <f aca="false">H30+K30+L30</f>
        <v>0.0163337846987136</v>
      </c>
      <c r="H30" s="1669" t="n">
        <f aca="false">I30-J30</f>
        <v>0.00575490859851049</v>
      </c>
      <c r="I30" s="1670" t="n">
        <f aca="false">DataDE1c!R53/DataDE1c!$H53</f>
        <v>0.186569058903182</v>
      </c>
      <c r="J30" s="1670" t="n">
        <f aca="false">DataDE1c!S53/DataDE1c!$H53</f>
        <v>0.180814150304672</v>
      </c>
      <c r="K30" s="1670" t="n">
        <f aca="false">DataDE1c!T53/DataDE1c!$H53</f>
        <v>0.0105788761002031</v>
      </c>
      <c r="L30" s="822" t="n">
        <f aca="false">DataDE1c!U53/DataDE1c!$H53</f>
        <v>0</v>
      </c>
      <c r="N30" s="1667"/>
      <c r="O30" s="1668" t="n">
        <f aca="false">DataDE1c!H53/DataDE1c!B53</f>
        <v>1</v>
      </c>
      <c r="P30" s="1678"/>
    </row>
    <row r="31" customFormat="false" ht="12" hidden="false" customHeight="true" outlineLevel="0" collapsed="false">
      <c r="A31" s="1660" t="n">
        <v>1891</v>
      </c>
      <c r="B31" s="1661" t="n">
        <f aca="false">C31+D31</f>
        <v>0.896111382077772</v>
      </c>
      <c r="C31" s="1662" t="n">
        <f aca="false">DataDE1c!I54/DataDE1c!H54</f>
        <v>0.817673923646522</v>
      </c>
      <c r="D31" s="1662" t="n">
        <f aca="false">DataDE1c!J54/DataDE1c!H54</f>
        <v>0.0784374584312508</v>
      </c>
      <c r="E31" s="1663" t="n">
        <f aca="false">F31+G31</f>
        <v>0.103888617922228</v>
      </c>
      <c r="F31" s="1662" t="n">
        <f aca="false">DataDE1c!O54/DataDE1c!H54</f>
        <v>0.092227198155456</v>
      </c>
      <c r="G31" s="1664" t="n">
        <f aca="false">H31+K31+L31</f>
        <v>0.0116614197667716</v>
      </c>
      <c r="H31" s="1669" t="n">
        <f aca="false">I31-J31</f>
        <v>0.000133019997339612</v>
      </c>
      <c r="I31" s="1670" t="n">
        <f aca="false">DataDE1c!R54/DataDE1c!$H54</f>
        <v>0.194741276105175</v>
      </c>
      <c r="J31" s="1670" t="n">
        <f aca="false">DataDE1c!S54/DataDE1c!$H54</f>
        <v>0.194608256107835</v>
      </c>
      <c r="K31" s="1670" t="n">
        <f aca="false">DataDE1c!T54/DataDE1c!$H54</f>
        <v>0.011528399769432</v>
      </c>
      <c r="L31" s="822" t="n">
        <f aca="false">DataDE1c!U54/DataDE1c!$H54</f>
        <v>0</v>
      </c>
      <c r="N31" s="1667"/>
      <c r="O31" s="1668" t="n">
        <f aca="false">DataDE1c!H54/DataDE1c!B54</f>
        <v>1</v>
      </c>
      <c r="P31" s="1678"/>
    </row>
    <row r="32" customFormat="false" ht="12" hidden="false" customHeight="true" outlineLevel="0" collapsed="false">
      <c r="A32" s="1660" t="n">
        <v>1892</v>
      </c>
      <c r="B32" s="1661" t="n">
        <f aca="false">C32+D32</f>
        <v>0.862275449101796</v>
      </c>
      <c r="C32" s="1662" t="n">
        <f aca="false">DataDE1c!I55/DataDE1c!H55</f>
        <v>0.786260811709914</v>
      </c>
      <c r="D32" s="1662" t="n">
        <f aca="false">DataDE1c!J55/DataDE1c!H55</f>
        <v>0.0760146373918829</v>
      </c>
      <c r="E32" s="1663" t="n">
        <f aca="false">F32+G32</f>
        <v>0.137724550898204</v>
      </c>
      <c r="F32" s="1662" t="n">
        <f aca="false">DataDE1c!O55/DataDE1c!H55</f>
        <v>0.130572188955423</v>
      </c>
      <c r="G32" s="1664" t="n">
        <f aca="false">H32+K32+L32</f>
        <v>0.00715236194278111</v>
      </c>
      <c r="H32" s="1669" t="n">
        <f aca="false">I32-J32</f>
        <v>-0.00407518296739853</v>
      </c>
      <c r="I32" s="1670" t="n">
        <f aca="false">DataDE1c!R55/DataDE1c!$H55</f>
        <v>0.171739853626081</v>
      </c>
      <c r="J32" s="1670" t="n">
        <f aca="false">DataDE1c!S55/DataDE1c!$H55</f>
        <v>0.17581503659348</v>
      </c>
      <c r="K32" s="1670" t="n">
        <f aca="false">DataDE1c!T55/DataDE1c!$H55</f>
        <v>0.0112275449101796</v>
      </c>
      <c r="L32" s="822" t="n">
        <f aca="false">DataDE1c!U55/DataDE1c!$H55</f>
        <v>0</v>
      </c>
      <c r="N32" s="1667"/>
      <c r="O32" s="1668" t="n">
        <f aca="false">DataDE1c!H55/DataDE1c!B55</f>
        <v>1</v>
      </c>
      <c r="P32" s="1678"/>
    </row>
    <row r="33" customFormat="false" ht="12" hidden="false" customHeight="true" outlineLevel="0" collapsed="false">
      <c r="A33" s="1660" t="n">
        <v>1893</v>
      </c>
      <c r="B33" s="1661" t="n">
        <f aca="false">C33+D33</f>
        <v>0.865560029583368</v>
      </c>
      <c r="C33" s="1662" t="n">
        <f aca="false">DataDE1c!I56/DataDE1c!H56</f>
        <v>0.786095817240529</v>
      </c>
      <c r="D33" s="1662" t="n">
        <f aca="false">DataDE1c!J56/DataDE1c!H56</f>
        <v>0.0794642123428384</v>
      </c>
      <c r="E33" s="1663" t="n">
        <f aca="false">F33+G33</f>
        <v>0.134439970416632</v>
      </c>
      <c r="F33" s="1662" t="n">
        <f aca="false">DataDE1c!O56/DataDE1c!H56</f>
        <v>0.120387870819295</v>
      </c>
      <c r="G33" s="1664" t="n">
        <f aca="false">H33+K33+L33</f>
        <v>0.0140520995973375</v>
      </c>
      <c r="H33" s="1669" t="n">
        <f aca="false">I33-J33</f>
        <v>0.00254745665214887</v>
      </c>
      <c r="I33" s="1670" t="n">
        <f aca="false">DataDE1c!R56/DataDE1c!$H56</f>
        <v>0.172405292135755</v>
      </c>
      <c r="J33" s="1670" t="n">
        <f aca="false">DataDE1c!S56/DataDE1c!$H56</f>
        <v>0.169857835483606</v>
      </c>
      <c r="K33" s="1670" t="n">
        <f aca="false">DataDE1c!T56/DataDE1c!$H56</f>
        <v>0.0115046429451886</v>
      </c>
      <c r="L33" s="822" t="n">
        <f aca="false">DataDE1c!U56/DataDE1c!$H56</f>
        <v>0</v>
      </c>
      <c r="N33" s="1667"/>
      <c r="O33" s="1668" t="n">
        <f aca="false">DataDE1c!H56/DataDE1c!B56</f>
        <v>1</v>
      </c>
      <c r="P33" s="1678"/>
    </row>
    <row r="34" customFormat="false" ht="12" hidden="false" customHeight="true" outlineLevel="0" collapsed="false">
      <c r="A34" s="1660" t="n">
        <v>1894</v>
      </c>
      <c r="B34" s="1661" t="n">
        <f aca="false">C34+D34</f>
        <v>0.879107202124129</v>
      </c>
      <c r="C34" s="1662" t="n">
        <f aca="false">DataDE1c!I57/DataDE1c!H57</f>
        <v>0.798871556588118</v>
      </c>
      <c r="D34" s="1662" t="n">
        <f aca="false">DataDE1c!J57/DataDE1c!H57</f>
        <v>0.0802356455360106</v>
      </c>
      <c r="E34" s="1663" t="n">
        <f aca="false">F34+G34</f>
        <v>0.120892797875871</v>
      </c>
      <c r="F34" s="1662" t="n">
        <f aca="false">DataDE1c!O57/DataDE1c!H57</f>
        <v>0.104961832061069</v>
      </c>
      <c r="G34" s="1664" t="n">
        <f aca="false">H34+K34+L34</f>
        <v>0.0159309658148025</v>
      </c>
      <c r="H34" s="1669" t="n">
        <f aca="false">I34-J34</f>
        <v>0.00348489877198804</v>
      </c>
      <c r="I34" s="1670" t="n">
        <f aca="false">DataDE1c!R57/DataDE1c!$H57</f>
        <v>0.181256223033521</v>
      </c>
      <c r="J34" s="1670" t="n">
        <f aca="false">DataDE1c!S57/DataDE1c!$H57</f>
        <v>0.177771324261533</v>
      </c>
      <c r="K34" s="1670" t="n">
        <f aca="false">DataDE1c!T57/DataDE1c!$H57</f>
        <v>0.0124460670428145</v>
      </c>
      <c r="L34" s="822" t="n">
        <f aca="false">DataDE1c!U57/DataDE1c!$H57</f>
        <v>0</v>
      </c>
      <c r="N34" s="1667"/>
      <c r="O34" s="1668" t="n">
        <f aca="false">DataDE1c!H57/DataDE1c!B57</f>
        <v>1</v>
      </c>
      <c r="P34" s="1678"/>
    </row>
    <row r="35" customFormat="false" ht="12" hidden="false" customHeight="true" outlineLevel="0" collapsed="false">
      <c r="A35" s="1660" t="n">
        <v>1895</v>
      </c>
      <c r="B35" s="1661" t="n">
        <f aca="false">C35+D35</f>
        <v>0.875252625321974</v>
      </c>
      <c r="C35" s="1662" t="n">
        <f aca="false">DataDE1c!I58/DataDE1c!H58</f>
        <v>0.797622349910838</v>
      </c>
      <c r="D35" s="1662" t="n">
        <f aca="false">DataDE1c!J58/DataDE1c!H58</f>
        <v>0.0776302754111353</v>
      </c>
      <c r="E35" s="1663" t="n">
        <f aca="false">F35+G35</f>
        <v>0.124747374678027</v>
      </c>
      <c r="F35" s="1662" t="n">
        <f aca="false">DataDE1c!O58/DataDE1c!H58</f>
        <v>0.112145829205469</v>
      </c>
      <c r="G35" s="1664" t="n">
        <f aca="false">H35+K35+L35</f>
        <v>0.0126015454725579</v>
      </c>
      <c r="H35" s="1669" t="n">
        <f aca="false">I35-J35</f>
        <v>0.000317020011888214</v>
      </c>
      <c r="I35" s="1670" t="n">
        <f aca="false">DataDE1c!R58/DataDE1c!$H58</f>
        <v>0.168575391321577</v>
      </c>
      <c r="J35" s="1670" t="n">
        <f aca="false">DataDE1c!S58/DataDE1c!$H58</f>
        <v>0.168258371309689</v>
      </c>
      <c r="K35" s="1670" t="n">
        <f aca="false">DataDE1c!T58/DataDE1c!$H58</f>
        <v>0.0122845254606697</v>
      </c>
      <c r="L35" s="822" t="n">
        <f aca="false">DataDE1c!U58/DataDE1c!$H58</f>
        <v>0</v>
      </c>
      <c r="N35" s="1667"/>
      <c r="O35" s="1668" t="n">
        <f aca="false">DataDE1c!H58/DataDE1c!B58</f>
        <v>1</v>
      </c>
      <c r="P35" s="1678"/>
    </row>
    <row r="36" customFormat="false" ht="12" hidden="false" customHeight="true" outlineLevel="0" collapsed="false">
      <c r="A36" s="1660" t="n">
        <v>1896</v>
      </c>
      <c r="B36" s="1661" t="n">
        <f aca="false">C36+D36</f>
        <v>0.845754349519605</v>
      </c>
      <c r="C36" s="1662" t="n">
        <f aca="false">DataDE1c!I59/DataDE1c!H59</f>
        <v>0.769336350484104</v>
      </c>
      <c r="D36" s="1662" t="n">
        <f aca="false">DataDE1c!J59/DataDE1c!H59</f>
        <v>0.076417999035501</v>
      </c>
      <c r="E36" s="1663" t="n">
        <f aca="false">F36+G36</f>
        <v>0.154245650480395</v>
      </c>
      <c r="F36" s="1662" t="n">
        <f aca="false">DataDE1c!O59/DataDE1c!H59</f>
        <v>0.133175056571577</v>
      </c>
      <c r="G36" s="1664" t="n">
        <f aca="false">H36+K36+L36</f>
        <v>0.0210705939088177</v>
      </c>
      <c r="H36" s="1669" t="n">
        <f aca="false">I36-J36</f>
        <v>0.00845791445635641</v>
      </c>
      <c r="I36" s="1670" t="n">
        <f aca="false">DataDE1c!R59/DataDE1c!$H59</f>
        <v>0.177542011351412</v>
      </c>
      <c r="J36" s="1670" t="n">
        <f aca="false">DataDE1c!S59/DataDE1c!$H59</f>
        <v>0.169084096895055</v>
      </c>
      <c r="K36" s="1670" t="n">
        <f aca="false">DataDE1c!T59/DataDE1c!$H59</f>
        <v>0.0126126794524613</v>
      </c>
      <c r="L36" s="822" t="n">
        <f aca="false">DataDE1c!U59/DataDE1c!$H59</f>
        <v>0</v>
      </c>
      <c r="N36" s="1667"/>
      <c r="O36" s="1668" t="n">
        <f aca="false">DataDE1c!H59/DataDE1c!B59</f>
        <v>1</v>
      </c>
      <c r="P36" s="1678"/>
    </row>
    <row r="37" customFormat="false" ht="12" hidden="false" customHeight="true" outlineLevel="0" collapsed="false">
      <c r="A37" s="1660" t="n">
        <v>1897</v>
      </c>
      <c r="B37" s="1661" t="n">
        <f aca="false">C37+D37</f>
        <v>0.833234545517939</v>
      </c>
      <c r="C37" s="1662" t="n">
        <f aca="false">DataDE1c!I60/DataDE1c!H60</f>
        <v>0.757086572992573</v>
      </c>
      <c r="D37" s="1662" t="n">
        <f aca="false">DataDE1c!J60/DataDE1c!H60</f>
        <v>0.0761479725253652</v>
      </c>
      <c r="E37" s="1663" t="n">
        <f aca="false">F37+G37</f>
        <v>0.166765454482061</v>
      </c>
      <c r="F37" s="1662" t="n">
        <f aca="false">DataDE1c!O60/DataDE1c!H60</f>
        <v>0.144695094313308</v>
      </c>
      <c r="G37" s="1664" t="n">
        <f aca="false">H37+K37+L37</f>
        <v>0.0220703601687528</v>
      </c>
      <c r="H37" s="1669" t="n">
        <f aca="false">I37-J37</f>
        <v>0.00951849656567064</v>
      </c>
      <c r="I37" s="1670" t="n">
        <f aca="false">DataDE1c!R60/DataDE1c!$H60</f>
        <v>0.179142986646212</v>
      </c>
      <c r="J37" s="1670" t="n">
        <f aca="false">DataDE1c!S60/DataDE1c!$H60</f>
        <v>0.169624490080541</v>
      </c>
      <c r="K37" s="1670" t="n">
        <f aca="false">DataDE1c!T60/DataDE1c!$H60</f>
        <v>0.0125518636030822</v>
      </c>
      <c r="L37" s="822" t="n">
        <f aca="false">DataDE1c!U60/DataDE1c!$H60</f>
        <v>0</v>
      </c>
      <c r="N37" s="1667"/>
      <c r="O37" s="1668" t="n">
        <f aca="false">DataDE1c!H60/DataDE1c!B60</f>
        <v>1</v>
      </c>
      <c r="P37" s="1678"/>
    </row>
    <row r="38" customFormat="false" ht="12" hidden="false" customHeight="true" outlineLevel="0" collapsed="false">
      <c r="A38" s="1660" t="n">
        <v>1898</v>
      </c>
      <c r="B38" s="1661" t="n">
        <f aca="false">C38+D38</f>
        <v>0.804676131035152</v>
      </c>
      <c r="C38" s="1662" t="n">
        <f aca="false">DataDE1c!I61/DataDE1c!H61</f>
        <v>0.731688387284545</v>
      </c>
      <c r="D38" s="1662" t="n">
        <f aca="false">DataDE1c!J61/DataDE1c!H61</f>
        <v>0.0729877437506064</v>
      </c>
      <c r="E38" s="1663" t="n">
        <f aca="false">F38+G38</f>
        <v>0.195323868964848</v>
      </c>
      <c r="F38" s="1662" t="n">
        <f aca="false">DataDE1c!O61/DataDE1c!H61</f>
        <v>0.172363612844808</v>
      </c>
      <c r="G38" s="1664" t="n">
        <f aca="false">H38+K38+L38</f>
        <v>0.0229602561200401</v>
      </c>
      <c r="H38" s="1669" t="n">
        <f aca="false">I38-J38</f>
        <v>0.0103482844484688</v>
      </c>
      <c r="I38" s="1670" t="n">
        <f aca="false">DataDE1c!R61/DataDE1c!$H61</f>
        <v>0.186269120072438</v>
      </c>
      <c r="J38" s="1670" t="n">
        <f aca="false">DataDE1c!S61/DataDE1c!$H61</f>
        <v>0.175920835623969</v>
      </c>
      <c r="K38" s="1670" t="n">
        <f aca="false">DataDE1c!T61/DataDE1c!$H61</f>
        <v>0.0126119716715713</v>
      </c>
      <c r="L38" s="822" t="n">
        <f aca="false">DataDE1c!U61/DataDE1c!$H61</f>
        <v>0</v>
      </c>
      <c r="N38" s="1667"/>
      <c r="O38" s="1668" t="n">
        <f aca="false">DataDE1c!H61/DataDE1c!B61</f>
        <v>1</v>
      </c>
      <c r="P38" s="1678"/>
    </row>
    <row r="39" customFormat="false" ht="12" hidden="false" customHeight="true" outlineLevel="0" collapsed="false">
      <c r="A39" s="1671" t="n">
        <v>1899</v>
      </c>
      <c r="B39" s="1672" t="n">
        <f aca="false">C39+D39</f>
        <v>0.82214351222289</v>
      </c>
      <c r="C39" s="1673" t="n">
        <f aca="false">DataDE1c!I62/DataDE1c!H62</f>
        <v>0.747193320894342</v>
      </c>
      <c r="D39" s="1673" t="n">
        <f aca="false">DataDE1c!J62/DataDE1c!H62</f>
        <v>0.0749501913285475</v>
      </c>
      <c r="E39" s="1674" t="n">
        <f aca="false">F39+G39</f>
        <v>0.17785648777711</v>
      </c>
      <c r="F39" s="1673" t="n">
        <f aca="false">DataDE1c!O62/DataDE1c!H62</f>
        <v>0.170456342304165</v>
      </c>
      <c r="G39" s="1675" t="n">
        <f aca="false">H39+K39+L39</f>
        <v>0.0074001454729452</v>
      </c>
      <c r="H39" s="1676" t="n">
        <f aca="false">I39-J39</f>
        <v>-0.00524967584832864</v>
      </c>
      <c r="I39" s="1677" t="n">
        <f aca="false">DataDE1c!R62/DataDE1c!$H62</f>
        <v>0.177666740457291</v>
      </c>
      <c r="J39" s="1677" t="n">
        <f aca="false">DataDE1c!S62/DataDE1c!$H62</f>
        <v>0.18291641630562</v>
      </c>
      <c r="K39" s="1677" t="n">
        <f aca="false">DataDE1c!T62/DataDE1c!$H62</f>
        <v>0.0126498213212738</v>
      </c>
      <c r="L39" s="828" t="n">
        <f aca="false">DataDE1c!U62/DataDE1c!$H62</f>
        <v>0</v>
      </c>
      <c r="N39" s="1667"/>
      <c r="O39" s="1668" t="n">
        <f aca="false">DataDE1c!H62/DataDE1c!B62</f>
        <v>1</v>
      </c>
      <c r="P39" s="1678"/>
    </row>
    <row r="40" customFormat="false" ht="12" hidden="false" customHeight="true" outlineLevel="0" collapsed="false">
      <c r="A40" s="1660" t="n">
        <v>1900</v>
      </c>
      <c r="B40" s="1661" t="n">
        <f aca="false">C40+D40</f>
        <v>0.833653131963357</v>
      </c>
      <c r="C40" s="1662" t="n">
        <f aca="false">DataDE1c!I63/DataDE1c!H63</f>
        <v>0.752816291161179</v>
      </c>
      <c r="D40" s="1662" t="n">
        <f aca="false">DataDE1c!J63/DataDE1c!H63</f>
        <v>0.0808368408021788</v>
      </c>
      <c r="E40" s="1663" t="n">
        <f aca="false">F40+G40</f>
        <v>0.166346868036643</v>
      </c>
      <c r="F40" s="1662" t="n">
        <f aca="false">DataDE1c!O63/DataDE1c!H63</f>
        <v>0.15783609804407</v>
      </c>
      <c r="G40" s="1664" t="n">
        <f aca="false">H40+K40+L40</f>
        <v>0.00851076999257242</v>
      </c>
      <c r="H40" s="1669" t="n">
        <f aca="false">I40-J40</f>
        <v>-0.00386853181480565</v>
      </c>
      <c r="I40" s="1670" t="n">
        <f aca="false">DataDE1c!R63/DataDE1c!$H63</f>
        <v>0.183151770240158</v>
      </c>
      <c r="J40" s="1670" t="n">
        <f aca="false">DataDE1c!S63/DataDE1c!$H63</f>
        <v>0.187020302054964</v>
      </c>
      <c r="K40" s="1670" t="n">
        <f aca="false">DataDE1c!T63/DataDE1c!$H63</f>
        <v>0.0123793018073781</v>
      </c>
      <c r="L40" s="822" t="n">
        <f aca="false">DataDE1c!U63/DataDE1c!$H63</f>
        <v>0</v>
      </c>
      <c r="N40" s="1667"/>
      <c r="O40" s="1668" t="n">
        <f aca="false">DataDE1c!H63/DataDE1c!B63</f>
        <v>1</v>
      </c>
      <c r="P40" s="1678"/>
    </row>
    <row r="41" customFormat="false" ht="12" hidden="false" customHeight="true" outlineLevel="0" collapsed="false">
      <c r="A41" s="1660" t="n">
        <v>1901</v>
      </c>
      <c r="B41" s="1661" t="n">
        <f aca="false">C41+D41</f>
        <v>0.869464166321755</v>
      </c>
      <c r="C41" s="1662" t="n">
        <f aca="false">DataDE1c!I64/DataDE1c!H64</f>
        <v>0.782896621987329</v>
      </c>
      <c r="D41" s="1662" t="n">
        <f aca="false">DataDE1c!J64/DataDE1c!H64</f>
        <v>0.0865675443344264</v>
      </c>
      <c r="E41" s="1663" t="n">
        <f aca="false">F41+G41</f>
        <v>0.130535833678245</v>
      </c>
      <c r="F41" s="1662" t="n">
        <f aca="false">DataDE1c!O64/DataDE1c!H64</f>
        <v>0.123849851953262</v>
      </c>
      <c r="G41" s="1664" t="n">
        <f aca="false">H41+K41+L41</f>
        <v>0.00668598172498328</v>
      </c>
      <c r="H41" s="1669" t="n">
        <f aca="false">I41-J41</f>
        <v>-0.00636760164284123</v>
      </c>
      <c r="I41" s="1670" t="n">
        <f aca="false">DataDE1c!R64/DataDE1c!$H64</f>
        <v>0.175427425260276</v>
      </c>
      <c r="J41" s="1670" t="n">
        <f aca="false">DataDE1c!S64/DataDE1c!$H64</f>
        <v>0.181795026903117</v>
      </c>
      <c r="K41" s="1670" t="n">
        <f aca="false">DataDE1c!T64/DataDE1c!$H64</f>
        <v>0.0130535833678245</v>
      </c>
      <c r="L41" s="822" t="n">
        <f aca="false">DataDE1c!U64/DataDE1c!$H64</f>
        <v>0</v>
      </c>
      <c r="N41" s="1667"/>
      <c r="O41" s="1668" t="n">
        <f aca="false">DataDE1c!H64/DataDE1c!B64</f>
        <v>1</v>
      </c>
      <c r="P41" s="1678"/>
    </row>
    <row r="42" customFormat="false" ht="12" hidden="false" customHeight="true" outlineLevel="0" collapsed="false">
      <c r="A42" s="1660" t="n">
        <v>1902</v>
      </c>
      <c r="B42" s="1661" t="n">
        <f aca="false">C42+D42</f>
        <v>0.875376317109885</v>
      </c>
      <c r="C42" s="1662" t="n">
        <f aca="false">DataDE1c!I65/DataDE1c!H65</f>
        <v>0.790704967385851</v>
      </c>
      <c r="D42" s="1662" t="n">
        <f aca="false">DataDE1c!J65/DataDE1c!H65</f>
        <v>0.0846713497240341</v>
      </c>
      <c r="E42" s="1663" t="n">
        <f aca="false">F42+G42</f>
        <v>0.124623682890115</v>
      </c>
      <c r="F42" s="1662" t="n">
        <f aca="false">DataDE1c!O65/DataDE1c!H65</f>
        <v>0.110386352232815</v>
      </c>
      <c r="G42" s="1664" t="n">
        <f aca="false">H42+K42+L42</f>
        <v>0.0142373306573006</v>
      </c>
      <c r="H42" s="1669" t="n">
        <f aca="false">I42-J42</f>
        <v>0.000752634219769205</v>
      </c>
      <c r="I42" s="1670" t="n">
        <f aca="false">DataDE1c!R65/DataDE1c!$H65</f>
        <v>0.1828273958856</v>
      </c>
      <c r="J42" s="1670" t="n">
        <f aca="false">DataDE1c!S65/DataDE1c!$H65</f>
        <v>0.18207476166583</v>
      </c>
      <c r="K42" s="1670" t="n">
        <f aca="false">DataDE1c!T65/DataDE1c!$H65</f>
        <v>0.0134846964375314</v>
      </c>
      <c r="L42" s="822" t="n">
        <f aca="false">DataDE1c!U65/DataDE1c!$H65</f>
        <v>0</v>
      </c>
      <c r="N42" s="1667"/>
      <c r="O42" s="1668" t="n">
        <f aca="false">DataDE1c!H65/DataDE1c!B65</f>
        <v>1</v>
      </c>
      <c r="P42" s="1678"/>
    </row>
    <row r="43" customFormat="false" ht="12" hidden="false" customHeight="true" outlineLevel="0" collapsed="false">
      <c r="A43" s="1660" t="n">
        <v>1903</v>
      </c>
      <c r="B43" s="1661" t="n">
        <f aca="false">C43+D43</f>
        <v>0.847894736842105</v>
      </c>
      <c r="C43" s="1662" t="n">
        <f aca="false">DataDE1c!I66/DataDE1c!H66</f>
        <v>0.766520467836257</v>
      </c>
      <c r="D43" s="1662" t="n">
        <f aca="false">DataDE1c!J66/DataDE1c!H66</f>
        <v>0.081374269005848</v>
      </c>
      <c r="E43" s="1663" t="n">
        <f aca="false">F43+G43</f>
        <v>0.152105263157895</v>
      </c>
      <c r="F43" s="1662" t="n">
        <f aca="false">DataDE1c!O66/DataDE1c!H66</f>
        <v>0.145029239766082</v>
      </c>
      <c r="G43" s="1664" t="n">
        <f aca="false">H43+K43+L43</f>
        <v>0.00707602339181288</v>
      </c>
      <c r="H43" s="1669" t="n">
        <f aca="false">I43-J43</f>
        <v>-0.00578947368421051</v>
      </c>
      <c r="I43" s="1670" t="n">
        <f aca="false">DataDE1c!R66/DataDE1c!$H66</f>
        <v>0.179035087719298</v>
      </c>
      <c r="J43" s="1670" t="n">
        <f aca="false">DataDE1c!S66/DataDE1c!$H66</f>
        <v>0.184824561403509</v>
      </c>
      <c r="K43" s="1670" t="n">
        <f aca="false">DataDE1c!T66/DataDE1c!$H66</f>
        <v>0.0128654970760234</v>
      </c>
      <c r="L43" s="822" t="n">
        <f aca="false">DataDE1c!U66/DataDE1c!$H66</f>
        <v>0</v>
      </c>
      <c r="N43" s="1667"/>
      <c r="O43" s="1668" t="n">
        <f aca="false">DataDE1c!H66/DataDE1c!B66</f>
        <v>1</v>
      </c>
      <c r="P43" s="1678"/>
    </row>
    <row r="44" customFormat="false" ht="12" hidden="false" customHeight="true" outlineLevel="0" collapsed="false">
      <c r="A44" s="1660" t="n">
        <v>1904</v>
      </c>
      <c r="B44" s="1661" t="n">
        <f aca="false">C44+D44</f>
        <v>0.836608412074588</v>
      </c>
      <c r="C44" s="1662" t="n">
        <f aca="false">DataDE1c!I67/DataDE1c!H67</f>
        <v>0.754355157900605</v>
      </c>
      <c r="D44" s="1662" t="n">
        <f aca="false">DataDE1c!J67/DataDE1c!H67</f>
        <v>0.0822532541739833</v>
      </c>
      <c r="E44" s="1663" t="n">
        <f aca="false">F44+G44</f>
        <v>0.163391587925412</v>
      </c>
      <c r="F44" s="1662" t="n">
        <f aca="false">DataDE1c!O67/DataDE1c!H67</f>
        <v>0.156925049474594</v>
      </c>
      <c r="G44" s="1664" t="n">
        <f aca="false">H44+K44+L44</f>
        <v>0.00646653845081806</v>
      </c>
      <c r="H44" s="1669" t="n">
        <f aca="false">I44-J44</f>
        <v>-0.00579758619728518</v>
      </c>
      <c r="I44" s="1670" t="n">
        <f aca="false">DataDE1c!R67/DataDE1c!$H67</f>
        <v>0.185244028207487</v>
      </c>
      <c r="J44" s="1670" t="n">
        <f aca="false">DataDE1c!S67/DataDE1c!$H67</f>
        <v>0.191041614404772</v>
      </c>
      <c r="K44" s="1670" t="n">
        <f aca="false">DataDE1c!T67/DataDE1c!$H67</f>
        <v>0.0122641246481032</v>
      </c>
      <c r="L44" s="822" t="n">
        <f aca="false">DataDE1c!U67/DataDE1c!$H67</f>
        <v>0</v>
      </c>
      <c r="N44" s="1667"/>
      <c r="O44" s="1668" t="n">
        <f aca="false">DataDE1c!H67/DataDE1c!B67</f>
        <v>1</v>
      </c>
      <c r="P44" s="1678"/>
    </row>
    <row r="45" customFormat="false" ht="12" hidden="false" customHeight="true" outlineLevel="0" collapsed="false">
      <c r="A45" s="1660" t="n">
        <v>1905</v>
      </c>
      <c r="B45" s="1661" t="n">
        <f aca="false">C45+D45</f>
        <v>0.814947907241281</v>
      </c>
      <c r="C45" s="1662" t="n">
        <f aca="false">DataDE1c!I68/DataDE1c!H68</f>
        <v>0.731806313177012</v>
      </c>
      <c r="D45" s="1662" t="n">
        <f aca="false">DataDE1c!J68/DataDE1c!H68</f>
        <v>0.0831415940642693</v>
      </c>
      <c r="E45" s="1663" t="n">
        <f aca="false">F45+G45</f>
        <v>0.185052092758719</v>
      </c>
      <c r="F45" s="1662" t="n">
        <f aca="false">DataDE1c!O68/DataDE1c!H68</f>
        <v>0.156407538584835</v>
      </c>
      <c r="G45" s="1664" t="n">
        <f aca="false">H45+K45+L45</f>
        <v>0.0286445541738838</v>
      </c>
      <c r="H45" s="1669" t="n">
        <f aca="false">I45-J45</f>
        <v>0.016235361029963</v>
      </c>
      <c r="I45" s="1670" t="n">
        <f aca="false">DataDE1c!R68/DataDE1c!$H68</f>
        <v>0.208474444817869</v>
      </c>
      <c r="J45" s="1670" t="n">
        <f aca="false">DataDE1c!S68/DataDE1c!$H68</f>
        <v>0.192239083787906</v>
      </c>
      <c r="K45" s="1670" t="n">
        <f aca="false">DataDE1c!T68/DataDE1c!$H68</f>
        <v>0.0124091931439208</v>
      </c>
      <c r="L45" s="822" t="n">
        <f aca="false">DataDE1c!U68/DataDE1c!$H68</f>
        <v>0</v>
      </c>
      <c r="N45" s="1667"/>
      <c r="O45" s="1668" t="n">
        <f aca="false">DataDE1c!H68/DataDE1c!B68</f>
        <v>1</v>
      </c>
      <c r="P45" s="1678"/>
    </row>
    <row r="46" customFormat="false" ht="12" hidden="false" customHeight="true" outlineLevel="0" collapsed="false">
      <c r="A46" s="1660" t="n">
        <v>1906</v>
      </c>
      <c r="B46" s="1661" t="n">
        <f aca="false">C46+D46</f>
        <v>0.828954543201309</v>
      </c>
      <c r="C46" s="1662" t="n">
        <f aca="false">DataDE1c!I69/DataDE1c!H69</f>
        <v>0.742204927378179</v>
      </c>
      <c r="D46" s="1662" t="n">
        <f aca="false">DataDE1c!J69/DataDE1c!H69</f>
        <v>0.0867496158231299</v>
      </c>
      <c r="E46" s="1663" t="n">
        <f aca="false">F46+G46</f>
        <v>0.171045456798691</v>
      </c>
      <c r="F46" s="1662" t="n">
        <f aca="false">DataDE1c!O69/DataDE1c!H69</f>
        <v>0.165567838199574</v>
      </c>
      <c r="G46" s="1664" t="n">
        <f aca="false">H46+K46+L46</f>
        <v>0.00547761859911764</v>
      </c>
      <c r="H46" s="1669" t="n">
        <f aca="false">I46-J46</f>
        <v>-0.00666732761612054</v>
      </c>
      <c r="I46" s="1670" t="n">
        <f aca="false">DataDE1c!R69/DataDE1c!$H69</f>
        <v>0.202498388935706</v>
      </c>
      <c r="J46" s="1670" t="n">
        <f aca="false">DataDE1c!S69/DataDE1c!$H69</f>
        <v>0.209165716551827</v>
      </c>
      <c r="K46" s="1670" t="n">
        <f aca="false">DataDE1c!T69/DataDE1c!$H69</f>
        <v>0.0121449462152382</v>
      </c>
      <c r="L46" s="822" t="n">
        <f aca="false">DataDE1c!U69/DataDE1c!$H69</f>
        <v>0</v>
      </c>
      <c r="N46" s="1667"/>
      <c r="O46" s="1668" t="n">
        <f aca="false">DataDE1c!H69/DataDE1c!B69</f>
        <v>1</v>
      </c>
      <c r="P46" s="1678"/>
    </row>
    <row r="47" customFormat="false" ht="12" hidden="false" customHeight="true" outlineLevel="0" collapsed="false">
      <c r="A47" s="1660" t="n">
        <v>1907</v>
      </c>
      <c r="B47" s="1661" t="n">
        <f aca="false">C47+D47</f>
        <v>0.819351685942336</v>
      </c>
      <c r="C47" s="1662" t="n">
        <f aca="false">DataDE1c!I70/DataDE1c!H70</f>
        <v>0.732273753286948</v>
      </c>
      <c r="D47" s="1662" t="n">
        <f aca="false">DataDE1c!J70/DataDE1c!H70</f>
        <v>0.0870779326553883</v>
      </c>
      <c r="E47" s="1663" t="n">
        <f aca="false">F47+G47</f>
        <v>0.180648314057664</v>
      </c>
      <c r="F47" s="1662" t="n">
        <f aca="false">DataDE1c!O70/DataDE1c!H70</f>
        <v>0.177087938938403</v>
      </c>
      <c r="G47" s="1664" t="n">
        <f aca="false">H47+K47+L47</f>
        <v>0.00356037511926094</v>
      </c>
      <c r="H47" s="1669" t="n">
        <f aca="false">I47-J47</f>
        <v>-0.00784213343262047</v>
      </c>
      <c r="I47" s="1670" t="n">
        <f aca="false">DataDE1c!R70/DataDE1c!$H70</f>
        <v>0.201614967537756</v>
      </c>
      <c r="J47" s="1670" t="n">
        <f aca="false">DataDE1c!S70/DataDE1c!$H70</f>
        <v>0.209457100970377</v>
      </c>
      <c r="K47" s="1670" t="n">
        <f aca="false">DataDE1c!T70/DataDE1c!$H70</f>
        <v>0.0114025085518814</v>
      </c>
      <c r="L47" s="822" t="n">
        <f aca="false">DataDE1c!U70/DataDE1c!$H70</f>
        <v>0</v>
      </c>
      <c r="N47" s="1667"/>
      <c r="O47" s="1668" t="n">
        <f aca="false">DataDE1c!H70/DataDE1c!B70</f>
        <v>1</v>
      </c>
      <c r="P47" s="1678"/>
    </row>
    <row r="48" customFormat="false" ht="12" hidden="false" customHeight="true" outlineLevel="0" collapsed="false">
      <c r="A48" s="1660" t="n">
        <v>1908</v>
      </c>
      <c r="B48" s="1661" t="n">
        <f aca="false">C48+D48</f>
        <v>0.861369680851064</v>
      </c>
      <c r="C48" s="1662" t="n">
        <f aca="false">DataDE1c!I71/DataDE1c!H71</f>
        <v>0.7725351443769</v>
      </c>
      <c r="D48" s="1662" t="n">
        <f aca="false">DataDE1c!J71/DataDE1c!H71</f>
        <v>0.0888345364741641</v>
      </c>
      <c r="E48" s="1663" t="n">
        <f aca="false">F48+G48</f>
        <v>0.138630319148936</v>
      </c>
      <c r="F48" s="1662" t="n">
        <f aca="false">DataDE1c!O71/DataDE1c!H71</f>
        <v>0.133216185410334</v>
      </c>
      <c r="G48" s="1664" t="n">
        <f aca="false">H48+K48+L48</f>
        <v>0.00541413373860184</v>
      </c>
      <c r="H48" s="1669" t="n">
        <f aca="false">I48-J48</f>
        <v>-0.00645896656534953</v>
      </c>
      <c r="I48" s="1670" t="n">
        <f aca="false">DataDE1c!R71/DataDE1c!$H71</f>
        <v>0.185362841945289</v>
      </c>
      <c r="J48" s="1670" t="n">
        <f aca="false">DataDE1c!S71/DataDE1c!$H71</f>
        <v>0.191821808510638</v>
      </c>
      <c r="K48" s="1670" t="n">
        <f aca="false">DataDE1c!T71/DataDE1c!$H71</f>
        <v>0.0118731003039514</v>
      </c>
      <c r="L48" s="822" t="n">
        <f aca="false">DataDE1c!U71/DataDE1c!$H71</f>
        <v>0</v>
      </c>
      <c r="N48" s="1667"/>
      <c r="O48" s="1668" t="n">
        <f aca="false">DataDE1c!H71/DataDE1c!B71</f>
        <v>1</v>
      </c>
      <c r="P48" s="1678"/>
    </row>
    <row r="49" customFormat="false" ht="12" hidden="false" customHeight="true" outlineLevel="0" collapsed="false">
      <c r="A49" s="1671" t="n">
        <v>1909</v>
      </c>
      <c r="B49" s="1672" t="n">
        <f aca="false">C49+D49</f>
        <v>0.855765539976066</v>
      </c>
      <c r="C49" s="1673" t="n">
        <f aca="false">DataDE1c!I72/DataDE1c!H72</f>
        <v>0.765856081645555</v>
      </c>
      <c r="D49" s="1673" t="n">
        <f aca="false">DataDE1c!J72/DataDE1c!H72</f>
        <v>0.089909458330511</v>
      </c>
      <c r="E49" s="1674" t="n">
        <f aca="false">F49+G49</f>
        <v>0.144234460023934</v>
      </c>
      <c r="F49" s="1673" t="n">
        <f aca="false">DataDE1c!O72/DataDE1c!H72</f>
        <v>0.136376978482242</v>
      </c>
      <c r="G49" s="1675" t="n">
        <f aca="false">H49+K49+L49</f>
        <v>0.00785748154169206</v>
      </c>
      <c r="H49" s="1676" t="n">
        <f aca="false">I49-J49</f>
        <v>-0.00365779313147735</v>
      </c>
      <c r="I49" s="1677" t="n">
        <f aca="false">DataDE1c!R72/DataDE1c!$H72</f>
        <v>0.196414459572354</v>
      </c>
      <c r="J49" s="1677" t="n">
        <f aca="false">DataDE1c!S72/DataDE1c!$H72</f>
        <v>0.200072252703832</v>
      </c>
      <c r="K49" s="1677" t="n">
        <f aca="false">DataDE1c!T72/DataDE1c!$H72</f>
        <v>0.0115152746731694</v>
      </c>
      <c r="L49" s="828" t="n">
        <f aca="false">DataDE1c!U72/DataDE1c!$H72</f>
        <v>0</v>
      </c>
      <c r="N49" s="1667"/>
      <c r="O49" s="1668" t="n">
        <f aca="false">DataDE1c!H72/DataDE1c!B72</f>
        <v>1</v>
      </c>
      <c r="P49" s="1678"/>
    </row>
    <row r="50" customFormat="false" ht="12" hidden="false" customHeight="true" outlineLevel="0" collapsed="false">
      <c r="A50" s="1660" t="n">
        <v>1910</v>
      </c>
      <c r="B50" s="1661" t="n">
        <f aca="false">C50+D50</f>
        <v>0.854187235349613</v>
      </c>
      <c r="C50" s="1662" t="n">
        <f aca="false">DataDE1c!I73/DataDE1c!H73</f>
        <v>0.764452927883455</v>
      </c>
      <c r="D50" s="1662" t="n">
        <f aca="false">DataDE1c!J73/DataDE1c!H73</f>
        <v>0.0897343074661576</v>
      </c>
      <c r="E50" s="1663" t="n">
        <f aca="false">F50+G50</f>
        <v>0.145812764650387</v>
      </c>
      <c r="F50" s="1662" t="n">
        <f aca="false">DataDE1c!O73/DataDE1c!H73</f>
        <v>0.133833563702582</v>
      </c>
      <c r="G50" s="1664" t="n">
        <f aca="false">H50+K50+L50</f>
        <v>0.0119792009478049</v>
      </c>
      <c r="H50" s="1669" t="n">
        <f aca="false">I50-J50</f>
        <v>0.000351038855613328</v>
      </c>
      <c r="I50" s="1670" t="n">
        <f aca="false">DataDE1c!R73/DataDE1c!$H73</f>
        <v>0.20461177296562</v>
      </c>
      <c r="J50" s="1670" t="n">
        <f aca="false">DataDE1c!S73/DataDE1c!$H73</f>
        <v>0.204260734110007</v>
      </c>
      <c r="K50" s="1670" t="n">
        <f aca="false">DataDE1c!T73/DataDE1c!$H73</f>
        <v>0.0116281620921916</v>
      </c>
      <c r="L50" s="822" t="n">
        <f aca="false">DataDE1c!U73/DataDE1c!$H73</f>
        <v>0</v>
      </c>
      <c r="N50" s="1667"/>
      <c r="O50" s="1668" t="n">
        <f aca="false">DataDE1c!H73/DataDE1c!B73</f>
        <v>1</v>
      </c>
      <c r="P50" s="1678"/>
    </row>
    <row r="51" customFormat="false" ht="12" hidden="false" customHeight="true" outlineLevel="0" collapsed="false">
      <c r="A51" s="1660" t="n">
        <v>1911</v>
      </c>
      <c r="B51" s="1661" t="n">
        <f aca="false">C51+D51</f>
        <v>0.838699580577176</v>
      </c>
      <c r="C51" s="1662" t="n">
        <f aca="false">DataDE1c!I74/DataDE1c!H74</f>
        <v>0.749806982033679</v>
      </c>
      <c r="D51" s="1662" t="n">
        <f aca="false">DataDE1c!J74/DataDE1c!H74</f>
        <v>0.0888925985434969</v>
      </c>
      <c r="E51" s="1663" t="n">
        <f aca="false">F51+G51</f>
        <v>0.161300419422824</v>
      </c>
      <c r="F51" s="1662" t="n">
        <f aca="false">DataDE1c!O74/DataDE1c!H74</f>
        <v>0.1517016881247</v>
      </c>
      <c r="G51" s="1664" t="n">
        <f aca="false">H51+K51+L51</f>
        <v>0.00959873129812409</v>
      </c>
      <c r="H51" s="1669" t="n">
        <f aca="false">I51-J51</f>
        <v>-0.00166934457358678</v>
      </c>
      <c r="I51" s="1670" t="n">
        <f aca="false">DataDE1c!R74/DataDE1c!$H74</f>
        <v>0.207165661582121</v>
      </c>
      <c r="J51" s="1670" t="n">
        <f aca="false">DataDE1c!S74/DataDE1c!$H74</f>
        <v>0.208835006155708</v>
      </c>
      <c r="K51" s="1670" t="n">
        <f aca="false">DataDE1c!T74/DataDE1c!$H74</f>
        <v>0.0112680758717109</v>
      </c>
      <c r="L51" s="822" t="n">
        <f aca="false">DataDE1c!U74/DataDE1c!$H74</f>
        <v>0</v>
      </c>
      <c r="N51" s="1667"/>
      <c r="O51" s="1668" t="n">
        <f aca="false">DataDE1c!H74/DataDE1c!B74</f>
        <v>1</v>
      </c>
      <c r="P51" s="1678"/>
    </row>
    <row r="52" customFormat="false" ht="12" hidden="false" customHeight="true" outlineLevel="0" collapsed="false">
      <c r="A52" s="1660" t="n">
        <v>1912</v>
      </c>
      <c r="B52" s="1661" t="n">
        <f aca="false">C52+D52</f>
        <v>0.827948618139354</v>
      </c>
      <c r="C52" s="1662" t="n">
        <f aca="false">DataDE1c!I75/DataDE1c!H75</f>
        <v>0.739256520046711</v>
      </c>
      <c r="D52" s="1662" t="n">
        <f aca="false">DataDE1c!J75/DataDE1c!H75</f>
        <v>0.0886920980926431</v>
      </c>
      <c r="E52" s="1663" t="n">
        <f aca="false">F52+G52</f>
        <v>0.172051381860646</v>
      </c>
      <c r="F52" s="1662" t="n">
        <f aca="false">DataDE1c!O75/DataDE1c!H75</f>
        <v>0.166796418840016</v>
      </c>
      <c r="G52" s="1664" t="n">
        <f aca="false">H52+K52+L52</f>
        <v>0.00525496302063057</v>
      </c>
      <c r="H52" s="1669" t="n">
        <f aca="false">I52-J52</f>
        <v>-0.00544959128065398</v>
      </c>
      <c r="I52" s="1670" t="n">
        <f aca="false">DataDE1c!R75/DataDE1c!$H75</f>
        <v>0.208991825613079</v>
      </c>
      <c r="J52" s="1670" t="n">
        <f aca="false">DataDE1c!S75/DataDE1c!$H75</f>
        <v>0.214441416893733</v>
      </c>
      <c r="K52" s="1670" t="n">
        <f aca="false">DataDE1c!T75/DataDE1c!$H75</f>
        <v>0.0107045543012845</v>
      </c>
      <c r="L52" s="822" t="n">
        <f aca="false">DataDE1c!U75/DataDE1c!$H75</f>
        <v>0</v>
      </c>
      <c r="N52" s="1667"/>
      <c r="O52" s="1668" t="n">
        <f aca="false">DataDE1c!H75/DataDE1c!B75</f>
        <v>1</v>
      </c>
      <c r="P52" s="1678"/>
    </row>
    <row r="53" customFormat="false" ht="12" hidden="false" customHeight="true" outlineLevel="0" collapsed="false">
      <c r="A53" s="1660" t="n">
        <v>1913</v>
      </c>
      <c r="B53" s="1661" t="n">
        <f aca="false">C53+D53</f>
        <v>0.831609250551771</v>
      </c>
      <c r="C53" s="1662" t="n">
        <f aca="false">DataDE1c!I76/DataDE1c!H76</f>
        <v>0.733173399865656</v>
      </c>
      <c r="D53" s="1662" t="n">
        <f aca="false">DataDE1c!J76/DataDE1c!H76</f>
        <v>0.0984358506861146</v>
      </c>
      <c r="E53" s="1663" t="n">
        <f aca="false">F53+G53</f>
        <v>0.16839074944823</v>
      </c>
      <c r="F53" s="1662" t="n">
        <f aca="false">DataDE1c!O76/DataDE1c!H76</f>
        <v>0.156798771710968</v>
      </c>
      <c r="G53" s="1664" t="n">
        <f aca="false">H53+K53+L53</f>
        <v>0.0115919777372613</v>
      </c>
      <c r="H53" s="1669" t="n">
        <f aca="false">I53-J53</f>
        <v>0.000652528548123976</v>
      </c>
      <c r="I53" s="1670" t="n">
        <f aca="false">DataDE1c!R76/DataDE1c!$H76</f>
        <v>0.215718261203339</v>
      </c>
      <c r="J53" s="1670" t="n">
        <f aca="false">DataDE1c!S76/DataDE1c!$H76</f>
        <v>0.215065732655215</v>
      </c>
      <c r="K53" s="1670" t="n">
        <f aca="false">DataDE1c!T76/DataDE1c!$H76</f>
        <v>0.0109394491891373</v>
      </c>
      <c r="L53" s="822" t="n">
        <f aca="false">DataDE1c!U76/DataDE1c!$H76</f>
        <v>0</v>
      </c>
      <c r="N53" s="1667"/>
      <c r="O53" s="1668" t="n">
        <f aca="false">DataDE1c!H76/DataDE1c!B76</f>
        <v>1</v>
      </c>
      <c r="P53" s="1678"/>
    </row>
    <row r="54" customFormat="false" ht="12" hidden="false" customHeight="true" outlineLevel="0" collapsed="false">
      <c r="A54" s="1660" t="n">
        <v>1914</v>
      </c>
      <c r="B54" s="1679"/>
      <c r="C54" s="1680"/>
      <c r="D54" s="1680"/>
      <c r="E54" s="1681" t="n">
        <f aca="false">F54+G54</f>
        <v>-0.0221834010862901</v>
      </c>
      <c r="F54" s="493" t="n">
        <v>0</v>
      </c>
      <c r="G54" s="1664" t="n">
        <f aca="false">H54+K54+L54</f>
        <v>-0.0221834010862901</v>
      </c>
      <c r="H54" s="1669" t="n">
        <f aca="false">I54-J54</f>
        <v>-0.0221834010862901</v>
      </c>
      <c r="I54" s="1670" t="n">
        <f aca="false">DataDE1c!R77/TableDE1!B54</f>
        <v>0.149233789125951</v>
      </c>
      <c r="J54" s="1670" t="n">
        <f aca="false">DataDE1c!S77/TableDE1!B54</f>
        <v>0.171417190212241</v>
      </c>
      <c r="K54" s="493" t="n">
        <v>0</v>
      </c>
      <c r="L54" s="822" t="n">
        <v>0</v>
      </c>
      <c r="O54" s="1668"/>
      <c r="P54" s="1678"/>
    </row>
    <row r="55" customFormat="false" ht="12" hidden="false" customHeight="true" outlineLevel="0" collapsed="false">
      <c r="A55" s="1660" t="n">
        <v>1915</v>
      </c>
      <c r="B55" s="1679"/>
      <c r="C55" s="1680"/>
      <c r="D55" s="1680"/>
      <c r="E55" s="1681" t="n">
        <f aca="false">F55+G55</f>
        <v>-0.0701227424942381</v>
      </c>
      <c r="F55" s="493" t="n">
        <v>0</v>
      </c>
      <c r="G55" s="1664" t="n">
        <f aca="false">H55+K55+L55</f>
        <v>-0.0701227424942381</v>
      </c>
      <c r="H55" s="1669" t="n">
        <f aca="false">I55-J55</f>
        <v>-0.0701227424942381</v>
      </c>
      <c r="I55" s="1670" t="n">
        <f aca="false">DataDE1c!R78/TableDE1!B55</f>
        <v>0.0543451254330345</v>
      </c>
      <c r="J55" s="1670" t="n">
        <f aca="false">DataDE1c!S78/TableDE1!B55</f>
        <v>0.124467867927273</v>
      </c>
      <c r="K55" s="493" t="n">
        <v>0</v>
      </c>
      <c r="L55" s="822" t="n">
        <v>0</v>
      </c>
      <c r="O55" s="1668"/>
      <c r="P55" s="1678"/>
    </row>
    <row r="56" customFormat="false" ht="12" hidden="false" customHeight="true" outlineLevel="0" collapsed="false">
      <c r="A56" s="1660" t="n">
        <v>1916</v>
      </c>
      <c r="B56" s="1679"/>
      <c r="C56" s="1680"/>
      <c r="D56" s="1680"/>
      <c r="E56" s="1681" t="n">
        <f aca="false">F56+G56</f>
        <v>-0.0648907105370445</v>
      </c>
      <c r="F56" s="493" t="n">
        <v>0</v>
      </c>
      <c r="G56" s="1664" t="n">
        <f aca="false">H56+K56+L56</f>
        <v>-0.0648907105370445</v>
      </c>
      <c r="H56" s="1669" t="n">
        <f aca="false">I56-J56</f>
        <v>-0.0648907105370445</v>
      </c>
      <c r="I56" s="1670" t="n">
        <f aca="false">DataDE1c!R79/TableDE1!B56</f>
        <v>0.0536053695740802</v>
      </c>
      <c r="J56" s="1670" t="n">
        <f aca="false">DataDE1c!S79/TableDE1!B56</f>
        <v>0.118496080111125</v>
      </c>
      <c r="K56" s="493" t="n">
        <v>0</v>
      </c>
      <c r="L56" s="822" t="n">
        <v>0</v>
      </c>
      <c r="O56" s="1668"/>
      <c r="P56" s="1678"/>
    </row>
    <row r="57" customFormat="false" ht="12" hidden="false" customHeight="true" outlineLevel="0" collapsed="false">
      <c r="A57" s="1660" t="n">
        <v>1917</v>
      </c>
      <c r="B57" s="1679"/>
      <c r="C57" s="1680"/>
      <c r="D57" s="1680"/>
      <c r="E57" s="1681" t="n">
        <f aca="false">F57+G57</f>
        <v>-0.0349247920391921</v>
      </c>
      <c r="F57" s="493" t="n">
        <v>0</v>
      </c>
      <c r="G57" s="1664" t="n">
        <f aca="false">H57+K57+L57</f>
        <v>-0.0349247920391921</v>
      </c>
      <c r="H57" s="1669" t="n">
        <f aca="false">I57-J57</f>
        <v>-0.0349247920391921</v>
      </c>
      <c r="I57" s="1670" t="n">
        <f aca="false">DataDE1c!R80/TableDE1!B57</f>
        <v>0.0339546589269924</v>
      </c>
      <c r="J57" s="1670" t="n">
        <f aca="false">DataDE1c!S80/TableDE1!B57</f>
        <v>0.0688794509661845</v>
      </c>
      <c r="K57" s="493" t="n">
        <v>0</v>
      </c>
      <c r="L57" s="822" t="n">
        <v>0</v>
      </c>
      <c r="O57" s="1668"/>
      <c r="P57" s="1678"/>
    </row>
    <row r="58" customFormat="false" ht="12" hidden="false" customHeight="true" outlineLevel="0" collapsed="false">
      <c r="A58" s="1660" t="n">
        <v>1918</v>
      </c>
      <c r="B58" s="1679"/>
      <c r="C58" s="1680"/>
      <c r="D58" s="1680"/>
      <c r="E58" s="1681" t="n">
        <f aca="false">F58+G58</f>
        <v>-0.0199568189780009</v>
      </c>
      <c r="F58" s="493" t="n">
        <v>0</v>
      </c>
      <c r="G58" s="1664" t="n">
        <f aca="false">H58+K58+L58</f>
        <v>-0.0199568189780009</v>
      </c>
      <c r="H58" s="1669" t="n">
        <f aca="false">I58-J58</f>
        <v>-0.0199568189780009</v>
      </c>
      <c r="I58" s="1670" t="n">
        <f aca="false">DataDE1c!R81/TableDE1!B58</f>
        <v>0.0390821038319184</v>
      </c>
      <c r="J58" s="1670" t="n">
        <f aca="false">DataDE1c!S81/TableDE1!B58</f>
        <v>0.0590389228099192</v>
      </c>
      <c r="K58" s="493" t="n">
        <v>0</v>
      </c>
      <c r="L58" s="822" t="n">
        <v>0</v>
      </c>
      <c r="O58" s="1668"/>
      <c r="P58" s="1678"/>
    </row>
    <row r="59" customFormat="false" ht="12" hidden="false" customHeight="true" outlineLevel="0" collapsed="false">
      <c r="A59" s="1671" t="n">
        <v>1919</v>
      </c>
      <c r="B59" s="1682"/>
      <c r="C59" s="1683"/>
      <c r="D59" s="1683"/>
      <c r="E59" s="1684" t="n">
        <f aca="false">F59+G59</f>
        <v>0</v>
      </c>
      <c r="F59" s="504" t="n">
        <v>0</v>
      </c>
      <c r="G59" s="1685" t="n">
        <f aca="false">H59+K59+L59</f>
        <v>0</v>
      </c>
      <c r="H59" s="1686" t="n">
        <v>0</v>
      </c>
      <c r="I59" s="1687"/>
      <c r="J59" s="1687"/>
      <c r="K59" s="504" t="n">
        <v>0</v>
      </c>
      <c r="L59" s="828" t="n">
        <v>0</v>
      </c>
      <c r="O59" s="1668"/>
      <c r="P59" s="1678"/>
    </row>
    <row r="60" customFormat="false" ht="12" hidden="false" customHeight="true" outlineLevel="0" collapsed="false">
      <c r="A60" s="1660" t="n">
        <v>1920</v>
      </c>
      <c r="B60" s="1679"/>
      <c r="C60" s="1680"/>
      <c r="D60" s="1680"/>
      <c r="E60" s="1681" t="n">
        <f aca="false">F60+G60</f>
        <v>0.0888666896014685</v>
      </c>
      <c r="F60" s="493" t="n">
        <f aca="false">AVERAGE(F$65:F$69)</f>
        <v>0.0888666896014685</v>
      </c>
      <c r="G60" s="1688" t="n">
        <f aca="false">H60+K60+L60</f>
        <v>0</v>
      </c>
      <c r="H60" s="1653" t="n">
        <v>0</v>
      </c>
      <c r="I60" s="1659"/>
      <c r="J60" s="1659"/>
      <c r="K60" s="493" t="n">
        <v>0</v>
      </c>
      <c r="L60" s="822" t="n">
        <v>0</v>
      </c>
      <c r="O60" s="1668"/>
      <c r="P60" s="1678"/>
    </row>
    <row r="61" customFormat="false" ht="12" hidden="false" customHeight="true" outlineLevel="0" collapsed="false">
      <c r="A61" s="1660" t="n">
        <v>1921</v>
      </c>
      <c r="B61" s="1679"/>
      <c r="C61" s="1680"/>
      <c r="D61" s="1680"/>
      <c r="E61" s="1681" t="n">
        <f aca="false">F61+G61</f>
        <v>0.0388666896014685</v>
      </c>
      <c r="F61" s="493" t="n">
        <f aca="false">AVERAGE(F$65:F$69)</f>
        <v>0.0888666896014685</v>
      </c>
      <c r="G61" s="1688" t="n">
        <f aca="false">H61+K61+L61</f>
        <v>-0.05</v>
      </c>
      <c r="H61" s="1653" t="n">
        <v>0</v>
      </c>
      <c r="I61" s="1659"/>
      <c r="J61" s="1659"/>
      <c r="K61" s="493" t="n">
        <v>0</v>
      </c>
      <c r="L61" s="822" t="n">
        <v>-0.05</v>
      </c>
      <c r="O61" s="1668"/>
      <c r="P61" s="1678"/>
    </row>
    <row r="62" customFormat="false" ht="12" hidden="false" customHeight="true" outlineLevel="0" collapsed="false">
      <c r="A62" s="1660" t="n">
        <v>1922</v>
      </c>
      <c r="B62" s="1679"/>
      <c r="C62" s="1680"/>
      <c r="D62" s="1680"/>
      <c r="E62" s="1681" t="n">
        <f aca="false">F62+G62</f>
        <v>0.0388666896014685</v>
      </c>
      <c r="F62" s="493" t="n">
        <f aca="false">AVERAGE(F$65:F$69)</f>
        <v>0.0888666896014685</v>
      </c>
      <c r="G62" s="1688" t="n">
        <f aca="false">H62+K62+L62</f>
        <v>-0.05</v>
      </c>
      <c r="H62" s="1653" t="n">
        <v>0</v>
      </c>
      <c r="I62" s="1659"/>
      <c r="J62" s="1659"/>
      <c r="K62" s="493" t="n">
        <v>0</v>
      </c>
      <c r="L62" s="822" t="n">
        <v>-0.05</v>
      </c>
      <c r="O62" s="1668"/>
      <c r="P62" s="1678"/>
    </row>
    <row r="63" customFormat="false" ht="12" hidden="false" customHeight="true" outlineLevel="0" collapsed="false">
      <c r="A63" s="1660" t="n">
        <v>1923</v>
      </c>
      <c r="B63" s="1679"/>
      <c r="C63" s="1680"/>
      <c r="D63" s="1680"/>
      <c r="E63" s="1681" t="n">
        <f aca="false">F63+G63</f>
        <v>0.0388666896014685</v>
      </c>
      <c r="F63" s="493" t="n">
        <f aca="false">AVERAGE(F$65:F$69)</f>
        <v>0.0888666896014685</v>
      </c>
      <c r="G63" s="1688" t="n">
        <f aca="false">H63+K63+L63</f>
        <v>-0.05</v>
      </c>
      <c r="H63" s="1653" t="n">
        <v>0</v>
      </c>
      <c r="I63" s="1659"/>
      <c r="J63" s="1659"/>
      <c r="K63" s="493" t="n">
        <v>0</v>
      </c>
      <c r="L63" s="822" t="n">
        <v>-0.05</v>
      </c>
      <c r="O63" s="1668"/>
    </row>
    <row r="64" customFormat="false" ht="12" hidden="false" customHeight="true" outlineLevel="0" collapsed="false">
      <c r="A64" s="1660" t="n">
        <v>1924</v>
      </c>
      <c r="B64" s="1679"/>
      <c r="C64" s="1680"/>
      <c r="D64" s="1680"/>
      <c r="E64" s="1681" t="n">
        <f aca="false">F64+G64</f>
        <v>0.0388666896014685</v>
      </c>
      <c r="F64" s="493" t="n">
        <f aca="false">AVERAGE(F$65:F$69)</f>
        <v>0.0888666896014685</v>
      </c>
      <c r="G64" s="1688" t="n">
        <f aca="false">H64+K64+L64</f>
        <v>-0.05</v>
      </c>
      <c r="H64" s="1653" t="n">
        <v>0</v>
      </c>
      <c r="I64" s="1659"/>
      <c r="J64" s="1659"/>
      <c r="K64" s="493" t="n">
        <v>0</v>
      </c>
      <c r="L64" s="822" t="n">
        <v>-0.05</v>
      </c>
      <c r="O64" s="1668"/>
    </row>
    <row r="65" customFormat="false" ht="12" hidden="false" customHeight="true" outlineLevel="0" collapsed="false">
      <c r="A65" s="1660" t="n">
        <v>1925</v>
      </c>
      <c r="B65" s="1661" t="n">
        <f aca="false">C65+D65</f>
        <v>0.938745823405415</v>
      </c>
      <c r="C65" s="1662" t="n">
        <f aca="false">DataDE1c!I88/DataDE1c!B88</f>
        <v>0.815737194702193</v>
      </c>
      <c r="D65" s="1662" t="n">
        <f aca="false">DataDE1c!J88/DataDE1c!B88</f>
        <v>0.123008628703222</v>
      </c>
      <c r="E65" s="1689" t="n">
        <f aca="false">F65+G65</f>
        <v>0.0451201958668313</v>
      </c>
      <c r="F65" s="1662" t="n">
        <f aca="false">DataDE1c!O88/DataDE1c!H88</f>
        <v>0.0915988820693013</v>
      </c>
      <c r="G65" s="1664" t="n">
        <f aca="false">H65+K65+L65</f>
        <v>-0.04647868620247</v>
      </c>
      <c r="H65" s="1669" t="n">
        <f aca="false">I65-J65</f>
        <v>-0.0302531218565831</v>
      </c>
      <c r="I65" s="1670" t="n">
        <f aca="false">DataDE1c!R88/DataDE1c!$B88</f>
        <v>0.161828253240915</v>
      </c>
      <c r="J65" s="1670" t="n">
        <f aca="false">DataDE1c!S88/DataDE1c!$B88</f>
        <v>0.192081375097498</v>
      </c>
      <c r="K65" s="1690" t="n">
        <f aca="false">DataDE1c!T88/DataDE1c!$B88</f>
        <v>-9.15836181329459E-005</v>
      </c>
      <c r="L65" s="1691" t="n">
        <f aca="false">DataDE1c!U88/DataDE1c!$B88</f>
        <v>-0.016133980727754</v>
      </c>
      <c r="N65" s="1667"/>
      <c r="O65" s="1668" t="n">
        <f aca="false">DataDE1c!H88/DataDE1c!B88</f>
        <v>1</v>
      </c>
    </row>
    <row r="66" customFormat="false" ht="12" hidden="false" customHeight="true" outlineLevel="0" collapsed="false">
      <c r="A66" s="1660" t="n">
        <v>1926</v>
      </c>
      <c r="B66" s="1661" t="n">
        <f aca="false">C66+D66</f>
        <v>0.924473923884673</v>
      </c>
      <c r="C66" s="1662" t="n">
        <f aca="false">DataDE1c!I89/DataDE1c!B89</f>
        <v>0.814215295172762</v>
      </c>
      <c r="D66" s="1662" t="n">
        <f aca="false">DataDE1c!J89/DataDE1c!B89</f>
        <v>0.110258628711912</v>
      </c>
      <c r="E66" s="1689" t="n">
        <f aca="false">F66+G66</f>
        <v>0.0579539806565743</v>
      </c>
      <c r="F66" s="1662" t="n">
        <f aca="false">DataDE1c!O89/DataDE1c!H89</f>
        <v>0.0585293893239894</v>
      </c>
      <c r="G66" s="1664" t="n">
        <f aca="false">H66+K66+L66</f>
        <v>-0.000575408667415064</v>
      </c>
      <c r="H66" s="1669" t="n">
        <f aca="false">I66-J66</f>
        <v>0.0195491406237172</v>
      </c>
      <c r="I66" s="1670" t="n">
        <f aca="false">DataDE1c!R89/DataDE1c!$B89</f>
        <v>0.175617676108759</v>
      </c>
      <c r="J66" s="1670" t="n">
        <f aca="false">DataDE1c!S89/DataDE1c!$B89</f>
        <v>0.156068535485042</v>
      </c>
      <c r="K66" s="1670" t="n">
        <f aca="false">DataDE1c!T89/DataDE1c!$B89</f>
        <v>-0.00255245383237967</v>
      </c>
      <c r="L66" s="1691" t="n">
        <f aca="false">DataDE1c!U89/DataDE1c!$B89</f>
        <v>-0.0175720954587525</v>
      </c>
      <c r="N66" s="1667"/>
      <c r="O66" s="1668" t="n">
        <f aca="false">DataDE1c!H89/DataDE1c!B89</f>
        <v>1</v>
      </c>
    </row>
    <row r="67" customFormat="false" ht="12" hidden="false" customHeight="true" outlineLevel="0" collapsed="false">
      <c r="A67" s="1660" t="n">
        <v>1927</v>
      </c>
      <c r="B67" s="1661" t="n">
        <f aca="false">C67+D67</f>
        <v>0.918068971119338</v>
      </c>
      <c r="C67" s="1662" t="n">
        <f aca="false">DataDE1c!I90/DataDE1c!B90</f>
        <v>0.8028716086453</v>
      </c>
      <c r="D67" s="1662" t="n">
        <f aca="false">DataDE1c!J90/DataDE1c!B90</f>
        <v>0.115197362474039</v>
      </c>
      <c r="E67" s="1689" t="n">
        <f aca="false">F67+G67</f>
        <v>0.0611962869495276</v>
      </c>
      <c r="F67" s="1662" t="n">
        <f aca="false">DataDE1c!O90/DataDE1c!H90</f>
        <v>0.116750734396329</v>
      </c>
      <c r="G67" s="1664" t="n">
        <f aca="false">H67+K67+L67</f>
        <v>-0.0555544474468011</v>
      </c>
      <c r="H67" s="1669" t="n">
        <f aca="false">I67-J67</f>
        <v>-0.0303036158905147</v>
      </c>
      <c r="I67" s="1670" t="n">
        <f aca="false">DataDE1c!R90/DataDE1c!$B90</f>
        <v>0.165720854070806</v>
      </c>
      <c r="J67" s="1670" t="n">
        <f aca="false">DataDE1c!S90/DataDE1c!$B90</f>
        <v>0.196024469961321</v>
      </c>
      <c r="K67" s="1670" t="n">
        <f aca="false">DataDE1c!T90/DataDE1c!$B90</f>
        <v>-0.0045160896251523</v>
      </c>
      <c r="L67" s="1691" t="n">
        <f aca="false">DataDE1c!U90/DataDE1c!$B90</f>
        <v>-0.0207347419311341</v>
      </c>
      <c r="N67" s="1667"/>
      <c r="O67" s="1668" t="n">
        <f aca="false">DataDE1c!H90/DataDE1c!B90</f>
        <v>1</v>
      </c>
    </row>
    <row r="68" customFormat="false" ht="12" hidden="false" customHeight="true" outlineLevel="0" collapsed="false">
      <c r="A68" s="1660" t="n">
        <v>1928</v>
      </c>
      <c r="B68" s="1661" t="n">
        <f aca="false">C68+D68</f>
        <v>0.91340564565785</v>
      </c>
      <c r="C68" s="1662" t="n">
        <f aca="false">DataDE1c!I91/DataDE1c!B91</f>
        <v>0.805246495152399</v>
      </c>
      <c r="D68" s="1662" t="n">
        <f aca="false">DataDE1c!J91/DataDE1c!B91</f>
        <v>0.108159150505451</v>
      </c>
      <c r="E68" s="1689" t="n">
        <f aca="false">F68+G68</f>
        <v>0.0622618543222576</v>
      </c>
      <c r="F68" s="1662" t="n">
        <f aca="false">DataDE1c!O91/DataDE1c!H91</f>
        <v>0.101291673449643</v>
      </c>
      <c r="G68" s="1664" t="n">
        <f aca="false">H68+K68+L68</f>
        <v>-0.0390298191273853</v>
      </c>
      <c r="H68" s="1669" t="n">
        <f aca="false">I68-J68</f>
        <v>-0.00781330025764385</v>
      </c>
      <c r="I68" s="1670" t="n">
        <f aca="false">DataDE1c!R91/DataDE1c!$B91</f>
        <v>0.174386992604878</v>
      </c>
      <c r="J68" s="1670" t="n">
        <f aca="false">DataDE1c!S91/DataDE1c!$B91</f>
        <v>0.182200292862522</v>
      </c>
      <c r="K68" s="1670" t="n">
        <f aca="false">DataDE1c!T91/DataDE1c!$B91</f>
        <v>-0.00688401884984898</v>
      </c>
      <c r="L68" s="1691" t="n">
        <f aca="false">DataDE1c!U91/DataDE1c!$B91</f>
        <v>-0.0243325000198925</v>
      </c>
      <c r="N68" s="1667"/>
      <c r="O68" s="1668" t="n">
        <f aca="false">DataDE1c!H91/DataDE1c!B91</f>
        <v>1</v>
      </c>
    </row>
    <row r="69" customFormat="false" ht="12" hidden="false" customHeight="true" outlineLevel="0" collapsed="false">
      <c r="A69" s="1671" t="n">
        <v>1929</v>
      </c>
      <c r="B69" s="1672" t="n">
        <f aca="false">C69+D69</f>
        <v>0.92545667154722</v>
      </c>
      <c r="C69" s="1673" t="n">
        <f aca="false">DataDE1c!I92/DataDE1c!B92</f>
        <v>0.799991332769673</v>
      </c>
      <c r="D69" s="1673" t="n">
        <f aca="false">DataDE1c!J92/DataDE1c!B92</f>
        <v>0.125465338777548</v>
      </c>
      <c r="E69" s="1692" t="n">
        <f aca="false">F69+G69</f>
        <v>0.0458718737796153</v>
      </c>
      <c r="F69" s="1673" t="n">
        <f aca="false">DataDE1c!O92/DataDE1c!H92</f>
        <v>0.0761627687680802</v>
      </c>
      <c r="G69" s="1675" t="n">
        <f aca="false">H69+K69+L69</f>
        <v>-0.0302908949884649</v>
      </c>
      <c r="H69" s="1676" t="n">
        <f aca="false">I69-J69</f>
        <v>0.00819534947440037</v>
      </c>
      <c r="I69" s="1677" t="n">
        <f aca="false">DataDE1c!R92/DataDE1c!$B92</f>
        <v>0.1949339937107</v>
      </c>
      <c r="J69" s="1677" t="n">
        <f aca="false">DataDE1c!S92/DataDE1c!$B92</f>
        <v>0.1867386442363</v>
      </c>
      <c r="K69" s="1677" t="n">
        <f aca="false">DataDE1c!T92/DataDE1c!$B92</f>
        <v>-0.00981478978970106</v>
      </c>
      <c r="L69" s="1693" t="n">
        <f aca="false">DataDE1c!U92/DataDE1c!$B92</f>
        <v>-0.0286714546731642</v>
      </c>
      <c r="N69" s="1667"/>
      <c r="O69" s="1668" t="n">
        <f aca="false">DataDE1c!H92/DataDE1c!B92</f>
        <v>1</v>
      </c>
    </row>
    <row r="70" customFormat="false" ht="12" hidden="false" customHeight="true" outlineLevel="0" collapsed="false">
      <c r="A70" s="1660" t="n">
        <v>1930</v>
      </c>
      <c r="B70" s="1661" t="n">
        <f aca="false">C70+D70</f>
        <v>0.962067104533661</v>
      </c>
      <c r="C70" s="1662" t="n">
        <f aca="false">DataDE1c!I93/DataDE1c!B93</f>
        <v>0.829808521153907</v>
      </c>
      <c r="D70" s="1662" t="n">
        <f aca="false">DataDE1c!J93/DataDE1c!B93</f>
        <v>0.132258583379754</v>
      </c>
      <c r="E70" s="1689" t="n">
        <f aca="false">F70+G70</f>
        <v>0.0152024705750238</v>
      </c>
      <c r="F70" s="1662" t="n">
        <f aca="false">DataDE1c!O93/DataDE1c!H93</f>
        <v>0.0233299964740286</v>
      </c>
      <c r="G70" s="1664" t="n">
        <f aca="false">H70+K70+L70</f>
        <v>-0.00812752589900479</v>
      </c>
      <c r="H70" s="1669" t="n">
        <f aca="false">I70-J70</f>
        <v>0.0279267119414985</v>
      </c>
      <c r="I70" s="1670" t="n">
        <f aca="false">DataDE1c!R93/DataDE1c!$B93</f>
        <v>0.186746562295822</v>
      </c>
      <c r="J70" s="1670" t="n">
        <f aca="false">DataDE1c!S93/DataDE1c!$B93</f>
        <v>0.158819850354324</v>
      </c>
      <c r="K70" s="1670" t="n">
        <f aca="false">DataDE1c!T93/DataDE1c!$B93</f>
        <v>-0.0133238129491882</v>
      </c>
      <c r="L70" s="1691" t="n">
        <f aca="false">DataDE1c!U93/DataDE1c!$B93</f>
        <v>-0.0227304248913151</v>
      </c>
      <c r="N70" s="1667"/>
      <c r="O70" s="1668" t="n">
        <f aca="false">DataDE1c!H93/DataDE1c!B93</f>
        <v>1</v>
      </c>
    </row>
    <row r="71" customFormat="false" ht="12" hidden="false" customHeight="true" outlineLevel="0" collapsed="false">
      <c r="A71" s="1660" t="n">
        <v>1931</v>
      </c>
      <c r="B71" s="1661" t="n">
        <f aca="false">C71+D71</f>
        <v>1.01667479444217</v>
      </c>
      <c r="C71" s="1662" t="n">
        <f aca="false">DataDE1c!I94/DataDE1c!B94</f>
        <v>0.887592526096731</v>
      </c>
      <c r="D71" s="1662" t="n">
        <f aca="false">DataDE1c!J94/DataDE1c!B94</f>
        <v>0.129082268345436</v>
      </c>
      <c r="E71" s="1689" t="n">
        <f aca="false">F71+G71</f>
        <v>-0.0327163688422254</v>
      </c>
      <c r="F71" s="1662" t="n">
        <f aca="false">DataDE1c!O94/DataDE1c!H94</f>
        <v>-0.0496022366317611</v>
      </c>
      <c r="G71" s="1664" t="n">
        <f aca="false">H71+K71+L71</f>
        <v>0.0168858677895357</v>
      </c>
      <c r="H71" s="1669" t="n">
        <f aca="false">I71-J71</f>
        <v>0.052411135792905</v>
      </c>
      <c r="I71" s="1670" t="n">
        <f aca="false">DataDE1c!R94/DataDE1c!$B94</f>
        <v>0.182643391119699</v>
      </c>
      <c r="J71" s="1670" t="n">
        <f aca="false">DataDE1c!S94/DataDE1c!$B94</f>
        <v>0.130232255326794</v>
      </c>
      <c r="K71" s="1670" t="n">
        <f aca="false">DataDE1c!T94/DataDE1c!$B94</f>
        <v>-0.0194836936033104</v>
      </c>
      <c r="L71" s="1691" t="n">
        <f aca="false">DataDE1c!U94/DataDE1c!$B94</f>
        <v>-0.0160415744000589</v>
      </c>
      <c r="N71" s="1667"/>
      <c r="O71" s="1668" t="n">
        <f aca="false">DataDE1c!H94/DataDE1c!B94</f>
        <v>1</v>
      </c>
    </row>
    <row r="72" customFormat="false" ht="12" hidden="false" customHeight="true" outlineLevel="0" collapsed="false">
      <c r="A72" s="1660" t="n">
        <v>1932</v>
      </c>
      <c r="B72" s="1661" t="n">
        <f aca="false">C72+D72</f>
        <v>1.05440821766238</v>
      </c>
      <c r="C72" s="1662" t="n">
        <f aca="false">DataDE1c!I95/DataDE1c!B95</f>
        <v>0.923869221165146</v>
      </c>
      <c r="D72" s="1662" t="n">
        <f aca="false">DataDE1c!J95/DataDE1c!B95</f>
        <v>0.13053899649723</v>
      </c>
      <c r="E72" s="1689" t="n">
        <f aca="false">F72+G72</f>
        <v>-0.0576264486516479</v>
      </c>
      <c r="F72" s="1662" t="n">
        <f aca="false">DataDE1c!O95/DataDE1c!H95</f>
        <v>-0.0627957321781657</v>
      </c>
      <c r="G72" s="1664" t="n">
        <f aca="false">H72+K72+L72</f>
        <v>0.00516928352651781</v>
      </c>
      <c r="H72" s="1669" t="n">
        <f aca="false">I72-J72</f>
        <v>0.0264900638304434</v>
      </c>
      <c r="I72" s="1670" t="n">
        <f aca="false">DataDE1c!R95/DataDE1c!$B95</f>
        <v>0.140737263949592</v>
      </c>
      <c r="J72" s="1670" t="n">
        <f aca="false">DataDE1c!S95/DataDE1c!$B95</f>
        <v>0.114247200119148</v>
      </c>
      <c r="K72" s="1670" t="n">
        <f aca="false">DataDE1c!T95/DataDE1c!$B95</f>
        <v>-0.0181025493146538</v>
      </c>
      <c r="L72" s="822" t="n">
        <f aca="false">DataDE1c!U95/DataDE1c!$B95</f>
        <v>-0.00321823098927179</v>
      </c>
      <c r="N72" s="1667"/>
      <c r="O72" s="1668" t="n">
        <f aca="false">DataDE1c!H95/DataDE1c!B95</f>
        <v>1</v>
      </c>
    </row>
    <row r="73" customFormat="false" ht="12" hidden="false" customHeight="true" outlineLevel="0" collapsed="false">
      <c r="A73" s="1660" t="n">
        <v>1933</v>
      </c>
      <c r="B73" s="1661" t="n">
        <f aca="false">C73+D73</f>
        <v>1.00062489259621</v>
      </c>
      <c r="C73" s="1662" t="n">
        <f aca="false">DataDE1c!I96/DataDE1c!B96</f>
        <v>0.846417340046636</v>
      </c>
      <c r="D73" s="1662" t="n">
        <f aca="false">DataDE1c!J96/DataDE1c!B96</f>
        <v>0.154207552549575</v>
      </c>
      <c r="E73" s="1689" t="n">
        <f aca="false">F73+G73</f>
        <v>-0.00353454874731658</v>
      </c>
      <c r="F73" s="1662" t="n">
        <f aca="false">DataDE1c!O96/DataDE1c!H96</f>
        <v>-0.00611223070668559</v>
      </c>
      <c r="G73" s="1664" t="n">
        <f aca="false">H73+K73+L73</f>
        <v>0.00257768195936901</v>
      </c>
      <c r="H73" s="1669" t="n">
        <f aca="false">I73-J73</f>
        <v>0.0191178078653201</v>
      </c>
      <c r="I73" s="1670" t="n">
        <f aca="false">DataDE1c!R96/DataDE1c!$B96</f>
        <v>0.111152770550972</v>
      </c>
      <c r="J73" s="1670" t="n">
        <f aca="false">DataDE1c!S96/DataDE1c!$B96</f>
        <v>0.0920349626856524</v>
      </c>
      <c r="K73" s="1670" t="n">
        <f aca="false">DataDE1c!T96/DataDE1c!$B96</f>
        <v>-0.0136304697548452</v>
      </c>
      <c r="L73" s="822" t="n">
        <f aca="false">DataDE1c!U96/DataDE1c!$B96</f>
        <v>-0.00290965615110592</v>
      </c>
      <c r="N73" s="1667"/>
      <c r="O73" s="1668" t="n">
        <f aca="false">DataDE1c!H96/DataDE1c!B96</f>
        <v>1</v>
      </c>
    </row>
    <row r="74" customFormat="false" ht="12" hidden="false" customHeight="true" outlineLevel="0" collapsed="false">
      <c r="A74" s="1660" t="n">
        <v>1934</v>
      </c>
      <c r="B74" s="1661" t="n">
        <f aca="false">C74+D74</f>
        <v>0.950505869520402</v>
      </c>
      <c r="C74" s="1662" t="n">
        <f aca="false">DataDE1c!I97/DataDE1c!B97</f>
        <v>0.774884472577277</v>
      </c>
      <c r="D74" s="1662" t="n">
        <f aca="false">DataDE1c!J97/DataDE1c!B97</f>
        <v>0.175621396943126</v>
      </c>
      <c r="E74" s="1689" t="n">
        <f aca="false">F74+G74</f>
        <v>0.0494941304795976</v>
      </c>
      <c r="F74" s="1662" t="n">
        <f aca="false">DataDE1c!O97/DataDE1c!H97</f>
        <v>0.058712779128396</v>
      </c>
      <c r="G74" s="1664" t="n">
        <f aca="false">H74+K74+L74</f>
        <v>-0.00921864864879844</v>
      </c>
      <c r="H74" s="1669" t="n">
        <f aca="false">I74-J74</f>
        <v>0.00157096821543194</v>
      </c>
      <c r="I74" s="1670" t="n">
        <f aca="false">DataDE1c!R97/DataDE1c!$B97</f>
        <v>0.0884921216736719</v>
      </c>
      <c r="J74" s="1670" t="n">
        <f aca="false">DataDE1c!S97/DataDE1c!$B97</f>
        <v>0.0869211534582399</v>
      </c>
      <c r="K74" s="1670" t="n">
        <f aca="false">DataDE1c!T97/DataDE1c!$B97</f>
        <v>-0.0107896168642304</v>
      </c>
      <c r="L74" s="822" t="n">
        <f aca="false">DataDE1c!U97/DataDE1c!$B97</f>
        <v>0</v>
      </c>
      <c r="N74" s="1667"/>
      <c r="O74" s="1668" t="n">
        <f aca="false">DataDE1c!H97/DataDE1c!B97</f>
        <v>1</v>
      </c>
    </row>
    <row r="75" customFormat="false" ht="12" hidden="false" customHeight="true" outlineLevel="0" collapsed="false">
      <c r="A75" s="1660" t="n">
        <v>1935</v>
      </c>
      <c r="B75" s="1661" t="n">
        <f aca="false">C75+D75</f>
        <v>0.90226415080246</v>
      </c>
      <c r="C75" s="1662" t="n">
        <f aca="false">DataDE1c!I98/DataDE1c!B98</f>
        <v>0.7484506942318</v>
      </c>
      <c r="D75" s="1662" t="n">
        <f aca="false">DataDE1c!J98/DataDE1c!B98</f>
        <v>0.15381345657066</v>
      </c>
      <c r="E75" s="1689" t="n">
        <f aca="false">F75+G75</f>
        <v>0.0977358491975398</v>
      </c>
      <c r="F75" s="1662" t="n">
        <f aca="false">DataDE1c!O98/DataDE1c!H98</f>
        <v>0.0993871575607384</v>
      </c>
      <c r="G75" s="1664" t="n">
        <f aca="false">H75+K75+L75</f>
        <v>-0.00165130836319859</v>
      </c>
      <c r="H75" s="1669" t="n">
        <f aca="false">I75-J75</f>
        <v>0.00683672527941105</v>
      </c>
      <c r="I75" s="1670" t="n">
        <f aca="false">DataDE1c!R98/DataDE1c!$B98</f>
        <v>0.0813616606615237</v>
      </c>
      <c r="J75" s="1670" t="n">
        <f aca="false">DataDE1c!S98/DataDE1c!$B98</f>
        <v>0.0745249353821127</v>
      </c>
      <c r="K75" s="1670" t="n">
        <f aca="false">DataDE1c!T98/DataDE1c!$B98</f>
        <v>-0.00848803364260965</v>
      </c>
      <c r="L75" s="822" t="n">
        <f aca="false">DataDE1c!U98/DataDE1c!$B98</f>
        <v>0</v>
      </c>
      <c r="N75" s="1667"/>
      <c r="O75" s="1668" t="n">
        <f aca="false">DataDE1c!H98/DataDE1c!B98</f>
        <v>1</v>
      </c>
    </row>
    <row r="76" customFormat="false" ht="12" hidden="false" customHeight="true" outlineLevel="0" collapsed="false">
      <c r="A76" s="1660" t="n">
        <v>1936</v>
      </c>
      <c r="B76" s="1661" t="n">
        <f aca="false">C76+D76</f>
        <v>0.877582840406545</v>
      </c>
      <c r="C76" s="1662" t="n">
        <f aca="false">DataDE1c!I99/DataDE1c!B99</f>
        <v>0.729117530331889</v>
      </c>
      <c r="D76" s="1662" t="n">
        <f aca="false">DataDE1c!J99/DataDE1c!B99</f>
        <v>0.148465310074656</v>
      </c>
      <c r="E76" s="1689" t="n">
        <f aca="false">F76+G76</f>
        <v>0.122417159593455</v>
      </c>
      <c r="F76" s="1662" t="n">
        <f aca="false">DataDE1c!O99/DataDE1c!H99</f>
        <v>0.113895761387459</v>
      </c>
      <c r="G76" s="1664" t="n">
        <f aca="false">H76+K76+L76</f>
        <v>0.00852139820599598</v>
      </c>
      <c r="H76" s="1669" t="n">
        <f aca="false">I76-J76</f>
        <v>0.0151029659260742</v>
      </c>
      <c r="I76" s="1670" t="n">
        <f aca="false">DataDE1c!R99/DataDE1c!$B99</f>
        <v>0.0893707616726409</v>
      </c>
      <c r="J76" s="1670" t="n">
        <f aca="false">DataDE1c!S99/DataDE1c!$B99</f>
        <v>0.0742677957465667</v>
      </c>
      <c r="K76" s="1670" t="n">
        <f aca="false">DataDE1c!T99/DataDE1c!$B99</f>
        <v>-0.0065815677200782</v>
      </c>
      <c r="L76" s="822" t="n">
        <f aca="false">DataDE1c!U99/DataDE1c!$B99</f>
        <v>0</v>
      </c>
      <c r="N76" s="1667"/>
      <c r="O76" s="1668" t="n">
        <f aca="false">DataDE1c!H99/DataDE1c!B99</f>
        <v>1</v>
      </c>
    </row>
    <row r="77" customFormat="false" ht="12" hidden="false" customHeight="true" outlineLevel="0" collapsed="false">
      <c r="A77" s="1660" t="n">
        <v>1937</v>
      </c>
      <c r="B77" s="1661" t="n">
        <f aca="false">C77+D77</f>
        <v>0.871346066936033</v>
      </c>
      <c r="C77" s="1662" t="n">
        <f aca="false">DataDE1c!I100/DataDE1c!B100</f>
        <v>0.678243354360588</v>
      </c>
      <c r="D77" s="1662" t="n">
        <f aca="false">DataDE1c!J100/DataDE1c!B100</f>
        <v>0.193102712575446</v>
      </c>
      <c r="E77" s="1689" t="n">
        <f aca="false">F77+G77</f>
        <v>0.128653933063967</v>
      </c>
      <c r="F77" s="1662" t="n">
        <f aca="false">DataDE1c!O100/DataDE1c!H100</f>
        <v>0.12546498018201</v>
      </c>
      <c r="G77" s="1664" t="n">
        <f aca="false">H77+K77+L77</f>
        <v>0.00318895288195686</v>
      </c>
      <c r="H77" s="1669" t="n">
        <f aca="false">I77-J77</f>
        <v>0.00923441954234615</v>
      </c>
      <c r="I77" s="1670" t="n">
        <f aca="false">DataDE1c!R100/DataDE1c!$B100</f>
        <v>0.100999924674487</v>
      </c>
      <c r="J77" s="1670" t="n">
        <f aca="false">DataDE1c!S100/DataDE1c!$B100</f>
        <v>0.0917655051321413</v>
      </c>
      <c r="K77" s="1670" t="n">
        <f aca="false">DataDE1c!T100/DataDE1c!$B100</f>
        <v>-0.00604546666038929</v>
      </c>
      <c r="L77" s="822" t="n">
        <f aca="false">DataDE1c!U100/DataDE1c!$B100</f>
        <v>0</v>
      </c>
      <c r="N77" s="1667"/>
      <c r="O77" s="1668" t="n">
        <f aca="false">DataDE1c!H100/DataDE1c!B100</f>
        <v>1</v>
      </c>
    </row>
    <row r="78" customFormat="false" ht="12" hidden="false" customHeight="true" outlineLevel="0" collapsed="false">
      <c r="A78" s="1660" t="n">
        <v>1938</v>
      </c>
      <c r="B78" s="1661" t="n">
        <f aca="false">C78+D78</f>
        <v>0.863572245173531</v>
      </c>
      <c r="C78" s="1662" t="n">
        <f aca="false">DataDE1c!I101/DataDE1c!B101</f>
        <v>0.61942344736092</v>
      </c>
      <c r="D78" s="1662" t="n">
        <f aca="false">DataDE1c!J101/DataDE1c!B101</f>
        <v>0.244148797812611</v>
      </c>
      <c r="E78" s="1689" t="n">
        <f aca="false">F78+G78</f>
        <v>0.136427754826469</v>
      </c>
      <c r="F78" s="1662" t="n">
        <f aca="false">DataDE1c!O101/DataDE1c!H101</f>
        <v>0.142653013552024</v>
      </c>
      <c r="G78" s="1664" t="n">
        <f aca="false">H78+K78+L78</f>
        <v>-0.00622525872555479</v>
      </c>
      <c r="H78" s="1669" t="n">
        <f aca="false">I78-J78</f>
        <v>-0.00105587427147219</v>
      </c>
      <c r="I78" s="1670" t="n">
        <f aca="false">DataDE1c!R101/DataDE1c!$B101</f>
        <v>0.0853828330149856</v>
      </c>
      <c r="J78" s="1670" t="n">
        <f aca="false">DataDE1c!S101/DataDE1c!$B101</f>
        <v>0.0864387072864578</v>
      </c>
      <c r="K78" s="1670" t="n">
        <f aca="false">DataDE1c!T101/DataDE1c!$B101</f>
        <v>-0.0051693844540826</v>
      </c>
      <c r="L78" s="822" t="n">
        <f aca="false">DataDE1c!U101/DataDE1c!$B101</f>
        <v>0</v>
      </c>
      <c r="N78" s="1667"/>
      <c r="O78" s="1668" t="n">
        <f aca="false">DataDE1c!H101/DataDE1c!B101</f>
        <v>1</v>
      </c>
    </row>
    <row r="79" customFormat="false" ht="12" hidden="false" customHeight="true" outlineLevel="0" collapsed="false">
      <c r="A79" s="1671" t="n">
        <v>1939</v>
      </c>
      <c r="B79" s="1682"/>
      <c r="C79" s="1683"/>
      <c r="D79" s="1683"/>
      <c r="E79" s="1694" t="n">
        <f aca="false">F79+G79</f>
        <v>-0.05</v>
      </c>
      <c r="F79" s="1673" t="n">
        <v>0</v>
      </c>
      <c r="G79" s="1685" t="n">
        <f aca="false">H79+K79+L79</f>
        <v>-0.05</v>
      </c>
      <c r="H79" s="1676" t="n">
        <v>-0.05</v>
      </c>
      <c r="I79" s="1687"/>
      <c r="J79" s="1687"/>
      <c r="K79" s="504" t="n">
        <v>0</v>
      </c>
      <c r="L79" s="828" t="n">
        <v>0</v>
      </c>
      <c r="R79" s="158"/>
    </row>
    <row r="80" customFormat="false" ht="12" hidden="false" customHeight="true" outlineLevel="0" collapsed="false">
      <c r="A80" s="1660" t="n">
        <v>1940</v>
      </c>
      <c r="B80" s="1679"/>
      <c r="C80" s="1680"/>
      <c r="D80" s="1680"/>
      <c r="E80" s="1695" t="n">
        <f aca="false">F80+G80</f>
        <v>-0.05</v>
      </c>
      <c r="F80" s="1662" t="n">
        <v>0</v>
      </c>
      <c r="G80" s="1688" t="n">
        <f aca="false">H80+K80+L80</f>
        <v>-0.05</v>
      </c>
      <c r="H80" s="1696" t="n">
        <v>-0.05</v>
      </c>
      <c r="I80" s="1659"/>
      <c r="J80" s="1659"/>
      <c r="K80" s="493" t="n">
        <v>0</v>
      </c>
      <c r="L80" s="822" t="n">
        <v>0</v>
      </c>
      <c r="O80" s="1697"/>
      <c r="R80" s="158"/>
    </row>
    <row r="81" customFormat="false" ht="12" hidden="false" customHeight="true" outlineLevel="0" collapsed="false">
      <c r="A81" s="1660" t="n">
        <v>1941</v>
      </c>
      <c r="B81" s="1679"/>
      <c r="C81" s="1680"/>
      <c r="D81" s="1680"/>
      <c r="E81" s="1695" t="n">
        <f aca="false">F81+G81</f>
        <v>-0.05</v>
      </c>
      <c r="F81" s="1662" t="n">
        <v>0</v>
      </c>
      <c r="G81" s="1688" t="n">
        <f aca="false">H81+K81+L81</f>
        <v>-0.05</v>
      </c>
      <c r="H81" s="1696" t="n">
        <v>-0.05</v>
      </c>
      <c r="I81" s="1659"/>
      <c r="J81" s="1659"/>
      <c r="K81" s="493" t="n">
        <v>0</v>
      </c>
      <c r="L81" s="822" t="n">
        <v>0</v>
      </c>
      <c r="O81" s="1697"/>
      <c r="R81" s="158"/>
    </row>
    <row r="82" customFormat="false" ht="12" hidden="false" customHeight="true" outlineLevel="0" collapsed="false">
      <c r="A82" s="1660" t="n">
        <v>1942</v>
      </c>
      <c r="B82" s="1679"/>
      <c r="C82" s="1680"/>
      <c r="D82" s="1680"/>
      <c r="E82" s="1695" t="n">
        <f aca="false">F82+G82</f>
        <v>-0.05</v>
      </c>
      <c r="F82" s="1662" t="n">
        <v>0</v>
      </c>
      <c r="G82" s="1688" t="n">
        <f aca="false">H82+K82+L82</f>
        <v>-0.05</v>
      </c>
      <c r="H82" s="1696" t="n">
        <v>-0.05</v>
      </c>
      <c r="I82" s="1659"/>
      <c r="J82" s="1659"/>
      <c r="K82" s="493" t="n">
        <v>0</v>
      </c>
      <c r="L82" s="822" t="n">
        <v>0</v>
      </c>
      <c r="R82" s="158"/>
    </row>
    <row r="83" customFormat="false" ht="12" hidden="false" customHeight="true" outlineLevel="0" collapsed="false">
      <c r="A83" s="1660" t="n">
        <v>1943</v>
      </c>
      <c r="B83" s="1679"/>
      <c r="C83" s="1680"/>
      <c r="D83" s="1680"/>
      <c r="E83" s="1695" t="n">
        <f aca="false">F83+G83</f>
        <v>-0.05</v>
      </c>
      <c r="F83" s="1662" t="n">
        <v>0</v>
      </c>
      <c r="G83" s="1688" t="n">
        <f aca="false">H83+K83+L83</f>
        <v>-0.05</v>
      </c>
      <c r="H83" s="1696" t="n">
        <v>-0.05</v>
      </c>
      <c r="I83" s="1659"/>
      <c r="J83" s="1659"/>
      <c r="K83" s="493" t="n">
        <v>0</v>
      </c>
      <c r="L83" s="822" t="n">
        <v>0</v>
      </c>
      <c r="O83" s="1697"/>
      <c r="R83" s="158"/>
    </row>
    <row r="84" customFormat="false" ht="12" hidden="false" customHeight="true" outlineLevel="0" collapsed="false">
      <c r="A84" s="1660" t="n">
        <v>1944</v>
      </c>
      <c r="B84" s="1679"/>
      <c r="C84" s="1680"/>
      <c r="D84" s="1680"/>
      <c r="E84" s="1695" t="n">
        <f aca="false">F84+G84</f>
        <v>-0.05</v>
      </c>
      <c r="F84" s="1662" t="n">
        <v>0</v>
      </c>
      <c r="G84" s="1688" t="n">
        <f aca="false">H84+K84+L84</f>
        <v>-0.05</v>
      </c>
      <c r="H84" s="1696" t="n">
        <v>-0.05</v>
      </c>
      <c r="I84" s="1659"/>
      <c r="J84" s="1659"/>
      <c r="K84" s="493" t="n">
        <v>0</v>
      </c>
      <c r="L84" s="822" t="n">
        <v>0</v>
      </c>
      <c r="R84" s="158"/>
    </row>
    <row r="85" customFormat="false" ht="12" hidden="false" customHeight="true" outlineLevel="0" collapsed="false">
      <c r="A85" s="1660" t="n">
        <v>1945</v>
      </c>
      <c r="B85" s="1679"/>
      <c r="C85" s="1680"/>
      <c r="D85" s="1680"/>
      <c r="E85" s="1695" t="n">
        <f aca="false">F85+G85</f>
        <v>-0.05</v>
      </c>
      <c r="F85" s="1662" t="n">
        <v>0</v>
      </c>
      <c r="G85" s="1688" t="n">
        <f aca="false">H85+K85+L85</f>
        <v>-0.05</v>
      </c>
      <c r="H85" s="1696" t="n">
        <v>-0.05</v>
      </c>
      <c r="I85" s="1659"/>
      <c r="J85" s="1659"/>
      <c r="K85" s="493" t="n">
        <v>0</v>
      </c>
      <c r="L85" s="822" t="n">
        <v>0</v>
      </c>
    </row>
    <row r="86" customFormat="false" ht="12" hidden="false" customHeight="true" outlineLevel="0" collapsed="false">
      <c r="A86" s="1660" t="n">
        <v>1946</v>
      </c>
      <c r="B86" s="1679"/>
      <c r="C86" s="1680"/>
      <c r="D86" s="1680"/>
      <c r="E86" s="1695" t="n">
        <f aca="false">F86+G86</f>
        <v>0.111553767451315</v>
      </c>
      <c r="F86" s="1662" t="n">
        <f aca="false">F$90</f>
        <v>0.161553767451315</v>
      </c>
      <c r="G86" s="1688" t="n">
        <f aca="false">H86+K86+L86</f>
        <v>-0.05</v>
      </c>
      <c r="H86" s="1696" t="n">
        <v>-0.05</v>
      </c>
      <c r="I86" s="1659"/>
      <c r="J86" s="1659"/>
      <c r="K86" s="493" t="n">
        <v>0</v>
      </c>
      <c r="L86" s="822" t="n">
        <v>0</v>
      </c>
    </row>
    <row r="87" customFormat="false" ht="12" hidden="false" customHeight="true" outlineLevel="0" collapsed="false">
      <c r="A87" s="1660" t="n">
        <v>1947</v>
      </c>
      <c r="B87" s="1679"/>
      <c r="C87" s="1680"/>
      <c r="D87" s="1680"/>
      <c r="E87" s="1681" t="n">
        <f aca="false">F87+G87</f>
        <v>0.147254646587545</v>
      </c>
      <c r="F87" s="1662" t="n">
        <f aca="false">F$90</f>
        <v>0.161553767451315</v>
      </c>
      <c r="G87" s="1698" t="n">
        <f aca="false">H87+K87+L87</f>
        <v>-0.01429912086377</v>
      </c>
      <c r="H87" s="1699" t="n">
        <f aca="false">H$90</f>
        <v>0.00943492760873047</v>
      </c>
      <c r="I87" s="1659"/>
      <c r="J87" s="1659"/>
      <c r="K87" s="1699" t="n">
        <f aca="false">K$90</f>
        <v>0.0152054732270404</v>
      </c>
      <c r="L87" s="1700" t="n">
        <f aca="false">L$90</f>
        <v>-0.0389395216995408</v>
      </c>
    </row>
    <row r="88" customFormat="false" ht="12" hidden="false" customHeight="true" outlineLevel="0" collapsed="false">
      <c r="A88" s="1660" t="n">
        <v>1948</v>
      </c>
      <c r="B88" s="1679"/>
      <c r="C88" s="1680"/>
      <c r="D88" s="1680"/>
      <c r="E88" s="1681" t="n">
        <f aca="false">F88+G88</f>
        <v>0.147254646587545</v>
      </c>
      <c r="F88" s="1662" t="n">
        <f aca="false">F$90</f>
        <v>0.161553767451315</v>
      </c>
      <c r="G88" s="1698" t="n">
        <f aca="false">H88+K88+L88</f>
        <v>-0.01429912086377</v>
      </c>
      <c r="H88" s="1699" t="n">
        <f aca="false">H$90</f>
        <v>0.00943492760873047</v>
      </c>
      <c r="I88" s="1659"/>
      <c r="J88" s="1659"/>
      <c r="K88" s="1699" t="n">
        <f aca="false">K$90</f>
        <v>0.0152054732270404</v>
      </c>
      <c r="L88" s="1700" t="n">
        <f aca="false">L$90</f>
        <v>-0.0389395216995408</v>
      </c>
    </row>
    <row r="89" customFormat="false" ht="12" hidden="false" customHeight="true" outlineLevel="0" collapsed="false">
      <c r="A89" s="1671" t="n">
        <v>1949</v>
      </c>
      <c r="B89" s="1682"/>
      <c r="C89" s="1683"/>
      <c r="D89" s="1683"/>
      <c r="E89" s="1684" t="n">
        <f aca="false">F89+G89</f>
        <v>0.147254646587545</v>
      </c>
      <c r="F89" s="1673" t="n">
        <f aca="false">F$90</f>
        <v>0.161553767451315</v>
      </c>
      <c r="G89" s="1701" t="n">
        <f aca="false">H89+K89+L89</f>
        <v>-0.01429912086377</v>
      </c>
      <c r="H89" s="1702" t="n">
        <f aca="false">H$90</f>
        <v>0.00943492760873047</v>
      </c>
      <c r="I89" s="1687"/>
      <c r="J89" s="1687"/>
      <c r="K89" s="1702" t="n">
        <f aca="false">K$90</f>
        <v>0.0152054732270404</v>
      </c>
      <c r="L89" s="1703" t="n">
        <f aca="false">L$90</f>
        <v>-0.0389395216995408</v>
      </c>
    </row>
    <row r="90" customFormat="false" ht="12" hidden="false" customHeight="false" outlineLevel="0" collapsed="false">
      <c r="A90" s="1704" t="n">
        <v>1950</v>
      </c>
      <c r="B90" s="1661" t="n">
        <f aca="false">C90+D90</f>
        <v>0.815467592046907</v>
      </c>
      <c r="C90" s="1705" t="n">
        <f aca="false">DataDE1!R11/DataDE1!B11</f>
        <v>0.704225008528221</v>
      </c>
      <c r="D90" s="1705" t="n">
        <f aca="false">DataDE1!S11/DataDE1!B11</f>
        <v>0.111242583518687</v>
      </c>
      <c r="E90" s="1661" t="n">
        <f aca="false">F90+G90</f>
        <v>0.147254646587545</v>
      </c>
      <c r="F90" s="1705" t="n">
        <f aca="false">(DataDE1!T11-DataDE1!H11)/DataDE1!B11</f>
        <v>0.161553767451315</v>
      </c>
      <c r="G90" s="1698" t="n">
        <f aca="false">H90+K90+L90</f>
        <v>-0.01429912086377</v>
      </c>
      <c r="H90" s="1706" t="n">
        <f aca="false">I90-J90</f>
        <v>0.00943492760873047</v>
      </c>
      <c r="I90" s="1707" t="n">
        <f aca="false">DataDE1!U11/DataDE1!B11</f>
        <v>0.126639525094378</v>
      </c>
      <c r="J90" s="1707" t="n">
        <f aca="false">DataDE1!V11/DataDE1!B11</f>
        <v>0.117204597485647</v>
      </c>
      <c r="K90" s="1705" t="n">
        <f aca="false">TableDE8!E8</f>
        <v>0.0152054732270404</v>
      </c>
      <c r="L90" s="1700" t="n">
        <f aca="false">TableDE8!K8+TableDE8!L8</f>
        <v>-0.0389395216995408</v>
      </c>
      <c r="N90" s="1667"/>
      <c r="O90" s="1678" t="n">
        <f aca="false">B90+E90-L90</f>
        <v>1.00166176033399</v>
      </c>
    </row>
    <row r="91" customFormat="false" ht="12" hidden="false" customHeight="false" outlineLevel="0" collapsed="false">
      <c r="A91" s="1704" t="n">
        <f aca="false">A90+1</f>
        <v>1951</v>
      </c>
      <c r="B91" s="1661" t="n">
        <f aca="false">C91+D91</f>
        <v>0.778474777409456</v>
      </c>
      <c r="C91" s="1705" t="n">
        <f aca="false">DataDE1!R12/DataDE1!B12</f>
        <v>0.665993439823266</v>
      </c>
      <c r="D91" s="1705" t="n">
        <f aca="false">DataDE1!S12/DataDE1!B12</f>
        <v>0.11248133758619</v>
      </c>
      <c r="E91" s="1661" t="n">
        <f aca="false">F91+G91</f>
        <v>0.182382159995876</v>
      </c>
      <c r="F91" s="1705" t="n">
        <f aca="false">(DataDE1!T12-DataDE1!H12)/DataDE1!B12</f>
        <v>0.165421794697331</v>
      </c>
      <c r="G91" s="1698" t="n">
        <f aca="false">H91+K91+L91</f>
        <v>0.0169603652985455</v>
      </c>
      <c r="H91" s="1706" t="n">
        <f aca="false">I91-J91</f>
        <v>0.0410815796685715</v>
      </c>
      <c r="I91" s="1707" t="n">
        <f aca="false">DataDE1!U12/DataDE1!B12</f>
        <v>0.16612640937959</v>
      </c>
      <c r="J91" s="1707" t="n">
        <f aca="false">DataDE1!V12/DataDE1!B12</f>
        <v>0.125044829711019</v>
      </c>
      <c r="K91" s="1705" t="n">
        <f aca="false">TableDE8!E9</f>
        <v>0.0124447913572438</v>
      </c>
      <c r="L91" s="1700" t="n">
        <f aca="false">TableDE8!K9+TableDE8!L9</f>
        <v>-0.0365660057272699</v>
      </c>
      <c r="N91" s="1667"/>
      <c r="O91" s="1678" t="n">
        <f aca="false">B91+E91-L91</f>
        <v>0.997422943132603</v>
      </c>
    </row>
    <row r="92" customFormat="false" ht="12" hidden="false" customHeight="false" outlineLevel="0" collapsed="false">
      <c r="A92" s="1704" t="n">
        <f aca="false">A91+1</f>
        <v>1952</v>
      </c>
      <c r="B92" s="1661" t="n">
        <f aca="false">C92+D92</f>
        <v>0.758788388233874</v>
      </c>
      <c r="C92" s="1705" t="n">
        <f aca="false">DataDE1!R13/DataDE1!B13</f>
        <v>0.643058607536628</v>
      </c>
      <c r="D92" s="1705" t="n">
        <f aca="false">DataDE1!S13/DataDE1!B13</f>
        <v>0.115729780697246</v>
      </c>
      <c r="E92" s="1661" t="n">
        <f aca="false">F92+G92</f>
        <v>0.201546948957406</v>
      </c>
      <c r="F92" s="1705" t="n">
        <f aca="false">(DataDE1!T13-DataDE1!H13)/DataDE1!B13</f>
        <v>0.1780963503155</v>
      </c>
      <c r="G92" s="1698" t="n">
        <f aca="false">H92+K92+L92</f>
        <v>0.0234505986419053</v>
      </c>
      <c r="H92" s="1706" t="n">
        <f aca="false">I92-J92</f>
        <v>0.0485742173742041</v>
      </c>
      <c r="I92" s="1707" t="n">
        <f aca="false">DataDE1!U13/DataDE1!B13</f>
        <v>0.17328703585592</v>
      </c>
      <c r="J92" s="1707" t="n">
        <f aca="false">DataDE1!V13/DataDE1!B13</f>
        <v>0.124712818481716</v>
      </c>
      <c r="K92" s="1705" t="n">
        <f aca="false">TableDE8!E10</f>
        <v>0.0115664276983102</v>
      </c>
      <c r="L92" s="1700" t="n">
        <f aca="false">TableDE8!K10+TableDE8!L10</f>
        <v>-0.036690046430609</v>
      </c>
      <c r="N92" s="1667"/>
      <c r="O92" s="1678" t="n">
        <f aca="false">B92+E92-L92</f>
        <v>0.997025383621888</v>
      </c>
    </row>
    <row r="93" customFormat="false" ht="12" hidden="false" customHeight="false" outlineLevel="0" collapsed="false">
      <c r="A93" s="1704" t="n">
        <f aca="false">A92+1</f>
        <v>1953</v>
      </c>
      <c r="B93" s="1661" t="n">
        <f aca="false">C93+D93</f>
        <v>0.771662305570686</v>
      </c>
      <c r="C93" s="1705" t="n">
        <f aca="false">DataDE1!R14/DataDE1!B14</f>
        <v>0.653569998374835</v>
      </c>
      <c r="D93" s="1705" t="n">
        <f aca="false">DataDE1!S14/DataDE1!B14</f>
        <v>0.118092307195851</v>
      </c>
      <c r="E93" s="1661" t="n">
        <f aca="false">F93+G93</f>
        <v>0.252390828201594</v>
      </c>
      <c r="F93" s="1705" t="n">
        <f aca="false">(DataDE1!T14-DataDE1!H14)/DataDE1!B14</f>
        <v>0.160391898305747</v>
      </c>
      <c r="G93" s="1698" t="n">
        <f aca="false">H93+K93+L93</f>
        <v>0.0919989298958468</v>
      </c>
      <c r="H93" s="1706" t="n">
        <f aca="false">I93-J93</f>
        <v>0.054529489017441</v>
      </c>
      <c r="I93" s="1707" t="n">
        <f aca="false">DataDE1!U14/DataDE1!B14</f>
        <v>0.175278879962787</v>
      </c>
      <c r="J93" s="1707" t="n">
        <f aca="false">DataDE1!V14/DataDE1!B14</f>
        <v>0.120749390945346</v>
      </c>
      <c r="K93" s="1705" t="n">
        <f aca="false">TableDE8!E11</f>
        <v>0.00985450254813389</v>
      </c>
      <c r="L93" s="1700" t="n">
        <f aca="false">TableDE8!K11+TableDE8!L11</f>
        <v>0.0276149383302719</v>
      </c>
      <c r="N93" s="1667"/>
      <c r="O93" s="1678" t="n">
        <f aca="false">B93+E93-L93</f>
        <v>0.996438195442008</v>
      </c>
    </row>
    <row r="94" customFormat="false" ht="12" hidden="false" customHeight="false" outlineLevel="0" collapsed="false">
      <c r="A94" s="1704" t="n">
        <f aca="false">A93+1</f>
        <v>1954</v>
      </c>
      <c r="B94" s="1661" t="n">
        <f aca="false">C94+D94</f>
        <v>0.768648059794186</v>
      </c>
      <c r="C94" s="1705" t="n">
        <f aca="false">DataDE1!R15/DataDE1!B15</f>
        <v>0.650725144045214</v>
      </c>
      <c r="D94" s="1705" t="n">
        <f aca="false">DataDE1!S15/DataDE1!B15</f>
        <v>0.117922915748972</v>
      </c>
      <c r="E94" s="1661" t="n">
        <f aca="false">F94+G94</f>
        <v>0.198872675779271</v>
      </c>
      <c r="F94" s="1705" t="n">
        <f aca="false">(DataDE1!T15-DataDE1!H15)/DataDE1!B15</f>
        <v>0.171471666554973</v>
      </c>
      <c r="G94" s="1698" t="n">
        <f aca="false">H94+K94+L94</f>
        <v>0.0274010092242979</v>
      </c>
      <c r="H94" s="1706" t="n">
        <f aca="false">I94-J94</f>
        <v>0.0510868065998135</v>
      </c>
      <c r="I94" s="1707" t="n">
        <f aca="false">DataDE1!U15/DataDE1!B15</f>
        <v>0.191444774530285</v>
      </c>
      <c r="J94" s="1707" t="n">
        <f aca="false">DataDE1!V15/DataDE1!B15</f>
        <v>0.140357967930471</v>
      </c>
      <c r="K94" s="1705" t="n">
        <f aca="false">TableDE8!E12</f>
        <v>0.0063266377327785</v>
      </c>
      <c r="L94" s="1700" t="n">
        <f aca="false">TableDE8!K12+TableDE8!L12</f>
        <v>-0.0300124351082941</v>
      </c>
      <c r="N94" s="1667"/>
      <c r="O94" s="1678" t="n">
        <f aca="false">B94+E94-L94</f>
        <v>0.997533170681751</v>
      </c>
    </row>
    <row r="95" customFormat="false" ht="12" hidden="false" customHeight="false" outlineLevel="0" collapsed="false">
      <c r="A95" s="1704" t="n">
        <f aca="false">A94+1</f>
        <v>1955</v>
      </c>
      <c r="B95" s="1661" t="n">
        <f aca="false">C95+D95</f>
        <v>0.748127789787077</v>
      </c>
      <c r="C95" s="1705" t="n">
        <f aca="false">DataDE1!R16/DataDE1!B16</f>
        <v>0.635276305738286</v>
      </c>
      <c r="D95" s="1705" t="n">
        <f aca="false">DataDE1!S16/DataDE1!B16</f>
        <v>0.112851484048791</v>
      </c>
      <c r="E95" s="1661" t="n">
        <f aca="false">F95+G95</f>
        <v>0.223078429648801</v>
      </c>
      <c r="F95" s="1705" t="n">
        <f aca="false">(DataDE1!T16-DataDE1!H16)/DataDE1!B16</f>
        <v>0.206555286003782</v>
      </c>
      <c r="G95" s="1698" t="n">
        <f aca="false">H95+K95+L95</f>
        <v>0.0165231436450191</v>
      </c>
      <c r="H95" s="1706" t="n">
        <f aca="false">I95-J95</f>
        <v>0.0407485321118683</v>
      </c>
      <c r="I95" s="1707" t="n">
        <f aca="false">DataDE1!U16/DataDE1!B16</f>
        <v>0.195170014484723</v>
      </c>
      <c r="J95" s="1707" t="n">
        <f aca="false">DataDE1!V16/DataDE1!B16</f>
        <v>0.154421482372854</v>
      </c>
      <c r="K95" s="1705" t="n">
        <f aca="false">TableDE8!E13</f>
        <v>0.00533671897511044</v>
      </c>
      <c r="L95" s="1700" t="n">
        <f aca="false">TableDE8!K13+TableDE8!L13</f>
        <v>-0.0295621074419596</v>
      </c>
      <c r="N95" s="1667"/>
      <c r="O95" s="1678" t="n">
        <f aca="false">B95+E95-L95</f>
        <v>1.00076832687784</v>
      </c>
    </row>
    <row r="96" customFormat="false" ht="12" hidden="false" customHeight="false" outlineLevel="0" collapsed="false">
      <c r="A96" s="1704" t="n">
        <f aca="false">A95+1</f>
        <v>1956</v>
      </c>
      <c r="B96" s="1661" t="n">
        <f aca="false">C96+D96</f>
        <v>0.755976680117043</v>
      </c>
      <c r="C96" s="1705" t="n">
        <f aca="false">DataDE1!R17/DataDE1!B17</f>
        <v>0.637469747924391</v>
      </c>
      <c r="D96" s="1705" t="n">
        <f aca="false">DataDE1!S17/DataDE1!B17</f>
        <v>0.118506932192652</v>
      </c>
      <c r="E96" s="1661" t="n">
        <f aca="false">F96+G96</f>
        <v>0.221024312592824</v>
      </c>
      <c r="F96" s="1705" t="n">
        <f aca="false">(DataDE1!T17-DataDE1!H17)/DataDE1!B17</f>
        <v>0.197157295623106</v>
      </c>
      <c r="G96" s="1698" t="n">
        <f aca="false">H96+K96+L96</f>
        <v>0.0238670169697177</v>
      </c>
      <c r="H96" s="1706" t="n">
        <f aca="false">I96-J96</f>
        <v>0.0419480173098395</v>
      </c>
      <c r="I96" s="1707" t="n">
        <f aca="false">DataDE1!U17/DataDE1!B17</f>
        <v>0.203648894810997</v>
      </c>
      <c r="J96" s="1707" t="n">
        <f aca="false">DataDE1!V17/DataDE1!B17</f>
        <v>0.161700877501157</v>
      </c>
      <c r="K96" s="1705" t="n">
        <f aca="false">TableDE8!E14</f>
        <v>0.00482882870130185</v>
      </c>
      <c r="L96" s="1700" t="n">
        <f aca="false">TableDE8!K14+TableDE8!L14</f>
        <v>-0.0229098290414237</v>
      </c>
      <c r="N96" s="1667"/>
      <c r="O96" s="1678" t="n">
        <f aca="false">B96+E96-L96</f>
        <v>0.999910821751291</v>
      </c>
    </row>
    <row r="97" customFormat="false" ht="12" hidden="false" customHeight="false" outlineLevel="0" collapsed="false">
      <c r="A97" s="1704" t="n">
        <f aca="false">A96+1</f>
        <v>1957</v>
      </c>
      <c r="B97" s="1661" t="n">
        <f aca="false">C97+D97</f>
        <v>0.762678436190454</v>
      </c>
      <c r="C97" s="1705" t="n">
        <f aca="false">DataDE1!R18/DataDE1!B18</f>
        <v>0.63666952155021</v>
      </c>
      <c r="D97" s="1705" t="n">
        <f aca="false">DataDE1!S18/DataDE1!B18</f>
        <v>0.126008914640244</v>
      </c>
      <c r="E97" s="1661" t="n">
        <f aca="false">F97+G97</f>
        <v>0.216856888453796</v>
      </c>
      <c r="F97" s="1705" t="n">
        <f aca="false">(DataDE1!T18-DataDE1!H18)/DataDE1!B18</f>
        <v>0.188846276171097</v>
      </c>
      <c r="G97" s="1698" t="n">
        <f aca="false">H97+K97+L97</f>
        <v>0.0280106122826989</v>
      </c>
      <c r="H97" s="1706" t="n">
        <f aca="false">I97-J97</f>
        <v>0.0429378286564662</v>
      </c>
      <c r="I97" s="1707" t="n">
        <f aca="false">DataDE1!U18/DataDE1!B18</f>
        <v>0.214173386051398</v>
      </c>
      <c r="J97" s="1707" t="n">
        <f aca="false">DataDE1!V18/DataDE1!B18</f>
        <v>0.171235557394932</v>
      </c>
      <c r="K97" s="1705" t="n">
        <f aca="false">TableDE8!E15</f>
        <v>0.00452607999236802</v>
      </c>
      <c r="L97" s="1700" t="n">
        <f aca="false">TableDE8!K15+TableDE8!L15</f>
        <v>-0.0194532963661354</v>
      </c>
      <c r="N97" s="1667"/>
      <c r="O97" s="1678" t="n">
        <f aca="false">B97+E97-L97</f>
        <v>0.998988621010385</v>
      </c>
    </row>
    <row r="98" customFormat="false" ht="12" hidden="false" customHeight="false" outlineLevel="0" collapsed="false">
      <c r="A98" s="1704" t="n">
        <f aca="false">A97+1</f>
        <v>1958</v>
      </c>
      <c r="B98" s="1661" t="n">
        <f aca="false">C98+D98</f>
        <v>0.782145010421225</v>
      </c>
      <c r="C98" s="1705" t="n">
        <f aca="false">DataDE1!R19/DataDE1!B19</f>
        <v>0.642204590849805</v>
      </c>
      <c r="D98" s="1705" t="n">
        <f aca="false">DataDE1!S19/DataDE1!B19</f>
        <v>0.13994041957142</v>
      </c>
      <c r="E98" s="1661" t="n">
        <f aca="false">F98+G98</f>
        <v>0.202682722612648</v>
      </c>
      <c r="F98" s="1705" t="n">
        <f aca="false">(DataDE1!T19-DataDE1!H19)/DataDE1!B19</f>
        <v>0.177190520503146</v>
      </c>
      <c r="G98" s="1698" t="n">
        <f aca="false">H98+K98+L98</f>
        <v>0.0254922021095018</v>
      </c>
      <c r="H98" s="1706" t="n">
        <f aca="false">I98-J98</f>
        <v>0.0370658085674371</v>
      </c>
      <c r="I98" s="1707" t="n">
        <f aca="false">DataDE1!U19/DataDE1!B19</f>
        <v>0.203054103984636</v>
      </c>
      <c r="J98" s="1707" t="n">
        <f aca="false">DataDE1!V19/DataDE1!B19</f>
        <v>0.165988295417199</v>
      </c>
      <c r="K98" s="1705" t="n">
        <f aca="false">TableDE8!E16</f>
        <v>0.00297591953460357</v>
      </c>
      <c r="L98" s="1700" t="n">
        <f aca="false">TableDE8!K16+TableDE8!L16</f>
        <v>-0.0145495259925388</v>
      </c>
      <c r="N98" s="1667"/>
      <c r="O98" s="1678" t="n">
        <f aca="false">B98+E98-L98</f>
        <v>0.999377259026412</v>
      </c>
    </row>
    <row r="99" customFormat="false" ht="12" hidden="false" customHeight="false" outlineLevel="0" collapsed="false">
      <c r="A99" s="1704" t="n">
        <f aca="false">A98+1</f>
        <v>1959</v>
      </c>
      <c r="B99" s="1661" t="n">
        <f aca="false">C99+D99</f>
        <v>0.769979736200255</v>
      </c>
      <c r="C99" s="1705" t="n">
        <f aca="false">DataDE1!R20/DataDE1!B20</f>
        <v>0.628313835121472</v>
      </c>
      <c r="D99" s="1705" t="n">
        <f aca="false">DataDE1!S20/DataDE1!B20</f>
        <v>0.141665901078783</v>
      </c>
      <c r="E99" s="1661" t="n">
        <f aca="false">F99+G99</f>
        <v>0.213356701730686</v>
      </c>
      <c r="F99" s="1705" t="n">
        <f aca="false">(DataDE1!T20-DataDE1!H20)/DataDE1!B20</f>
        <v>0.19324070023539</v>
      </c>
      <c r="G99" s="1698" t="n">
        <f aca="false">H99+K99+L99</f>
        <v>0.0201160014952957</v>
      </c>
      <c r="H99" s="1706" t="n">
        <f aca="false">I99-J99</f>
        <v>0.0360357294503633</v>
      </c>
      <c r="I99" s="1707" t="n">
        <f aca="false">DataDE1!U20/DataDE1!B20</f>
        <v>0.204893227486531</v>
      </c>
      <c r="J99" s="1707" t="n">
        <f aca="false">DataDE1!V20/DataDE1!B20</f>
        <v>0.168857498036168</v>
      </c>
      <c r="K99" s="1705" t="n">
        <f aca="false">TableDE8!E17</f>
        <v>0.000996874078762978</v>
      </c>
      <c r="L99" s="1700" t="n">
        <f aca="false">TableDE8!K17+TableDE8!L17</f>
        <v>-0.0169166020338306</v>
      </c>
      <c r="N99" s="1667"/>
      <c r="O99" s="1678" t="n">
        <f aca="false">B99+E99-L99</f>
        <v>1.00025303996477</v>
      </c>
    </row>
    <row r="100" customFormat="false" ht="12" hidden="false" customHeight="false" outlineLevel="0" collapsed="false">
      <c r="A100" s="1708" t="n">
        <f aca="false">A99+1</f>
        <v>1960</v>
      </c>
      <c r="B100" s="1709" t="n">
        <f aca="false">C100+D100</f>
        <v>0.757831598252345</v>
      </c>
      <c r="C100" s="1710" t="n">
        <f aca="false">DataDE1!R21/DataDE1!B21</f>
        <v>0.61593794959162</v>
      </c>
      <c r="D100" s="1710" t="n">
        <f aca="false">DataDE1!S21/DataDE1!B21</f>
        <v>0.141893648660725</v>
      </c>
      <c r="E100" s="1709" t="n">
        <f aca="false">F100+G100</f>
        <v>0.231130077716259</v>
      </c>
      <c r="F100" s="1710" t="n">
        <f aca="false">(DataDE1!T21-DataDE1!H21)/DataDE1!B21</f>
        <v>0.213400801907351</v>
      </c>
      <c r="G100" s="1711" t="n">
        <f aca="false">H100+K100+L100</f>
        <v>0.0177292758089084</v>
      </c>
      <c r="H100" s="1712" t="n">
        <f aca="false">I100-J100</f>
        <v>0.0287024095843846</v>
      </c>
      <c r="I100" s="1713" t="n">
        <f aca="false">DataDE1!U21/DataDE1!B21</f>
        <v>0.209922620703693</v>
      </c>
      <c r="J100" s="1713" t="n">
        <f aca="false">DataDE1!V21/DataDE1!B21</f>
        <v>0.181220211119308</v>
      </c>
      <c r="K100" s="1710" t="n">
        <f aca="false">TableDE8!E18</f>
        <v>0.00173820092006972</v>
      </c>
      <c r="L100" s="1714" t="n">
        <f aca="false">TableDE8!K18+TableDE8!L18</f>
        <v>-0.0127113346955459</v>
      </c>
      <c r="N100" s="1667"/>
      <c r="O100" s="1678" t="n">
        <f aca="false">B100+E100-L100</f>
        <v>1.00167301066415</v>
      </c>
    </row>
    <row r="101" customFormat="false" ht="12" hidden="false" customHeight="false" outlineLevel="0" collapsed="false">
      <c r="A101" s="1704" t="n">
        <f aca="false">A100+1</f>
        <v>1961</v>
      </c>
      <c r="B101" s="1661" t="n">
        <f aca="false">C101+D101</f>
        <v>0.76732074294808</v>
      </c>
      <c r="C101" s="1705" t="n">
        <f aca="false">DataDE1!R22/DataDE1!B22</f>
        <v>0.619858571599536</v>
      </c>
      <c r="D101" s="1705" t="n">
        <f aca="false">DataDE1!S22/DataDE1!B22</f>
        <v>0.147462171348543</v>
      </c>
      <c r="E101" s="1661" t="n">
        <f aca="false">F101+G101</f>
        <v>0.220200412330917</v>
      </c>
      <c r="F101" s="1705" t="n">
        <f aca="false">(DataDE1!T22-DataDE1!H22)/DataDE1!B22</f>
        <v>0.208649536003426</v>
      </c>
      <c r="G101" s="1698" t="n">
        <f aca="false">H101+K101+L101</f>
        <v>0.0115508763274911</v>
      </c>
      <c r="H101" s="1706" t="n">
        <f aca="false">I101-J101</f>
        <v>0.0257231879356953</v>
      </c>
      <c r="I101" s="1707" t="n">
        <f aca="false">DataDE1!U22/DataDE1!B22</f>
        <v>0.200640647886217</v>
      </c>
      <c r="J101" s="1707" t="n">
        <f aca="false">DataDE1!V22/DataDE1!B22</f>
        <v>0.174917459950522</v>
      </c>
      <c r="K101" s="1705" t="n">
        <f aca="false">TableDE8!E19</f>
        <v>-2.87034010076736E-005</v>
      </c>
      <c r="L101" s="1700" t="n">
        <f aca="false">TableDE8!K19+TableDE8!L19</f>
        <v>-0.0141436082071966</v>
      </c>
      <c r="N101" s="1667"/>
      <c r="O101" s="1678" t="n">
        <f aca="false">B101+E101-L101</f>
        <v>1.00166476348619</v>
      </c>
    </row>
    <row r="102" customFormat="false" ht="12" hidden="false" customHeight="false" outlineLevel="0" collapsed="false">
      <c r="A102" s="1704" t="n">
        <f aca="false">A101+1</f>
        <v>1962</v>
      </c>
      <c r="B102" s="1661" t="n">
        <f aca="false">C102+D102</f>
        <v>0.780194068001465</v>
      </c>
      <c r="C102" s="1705" t="n">
        <f aca="false">DataDE1!R23/DataDE1!B23</f>
        <v>0.62292614382718</v>
      </c>
      <c r="D102" s="1705" t="n">
        <f aca="false">DataDE1!S23/DataDE1!B23</f>
        <v>0.157267924174285</v>
      </c>
      <c r="E102" s="1661" t="n">
        <f aca="false">F102+G102</f>
        <v>0.205531316135816</v>
      </c>
      <c r="F102" s="1705" t="n">
        <f aca="false">(DataDE1!T23-DataDE1!H23)/DataDE1!B23</f>
        <v>0.205672468084848</v>
      </c>
      <c r="G102" s="1698" t="n">
        <f aca="false">H102+K102+L102</f>
        <v>-0.000141151949032645</v>
      </c>
      <c r="H102" s="1706" t="n">
        <f aca="false">I102-J102</f>
        <v>0.0149882815884605</v>
      </c>
      <c r="I102" s="1707" t="n">
        <f aca="false">DataDE1!U23/DataDE1!B23</f>
        <v>0.194165665121276</v>
      </c>
      <c r="J102" s="1707" t="n">
        <f aca="false">DataDE1!V23/DataDE1!B23</f>
        <v>0.179177383532816</v>
      </c>
      <c r="K102" s="1705" t="n">
        <f aca="false">TableDE8!E20</f>
        <v>0.00011626679362873</v>
      </c>
      <c r="L102" s="1700" t="n">
        <f aca="false">TableDE8!K20+TableDE8!L20</f>
        <v>-0.0152457003311219</v>
      </c>
      <c r="N102" s="1667"/>
      <c r="O102" s="1678" t="n">
        <f aca="false">B102+E102-L102</f>
        <v>1.0009710844684</v>
      </c>
    </row>
    <row r="103" customFormat="false" ht="12" hidden="false" customHeight="false" outlineLevel="0" collapsed="false">
      <c r="A103" s="1704" t="n">
        <f aca="false">A102+1</f>
        <v>1963</v>
      </c>
      <c r="B103" s="1661" t="n">
        <f aca="false">C103+D103</f>
        <v>0.793344622435228</v>
      </c>
      <c r="C103" s="1705" t="n">
        <f aca="false">DataDE1!R24/DataDE1!B24</f>
        <v>0.625614026944416</v>
      </c>
      <c r="D103" s="1705" t="n">
        <f aca="false">DataDE1!S24/DataDE1!B24</f>
        <v>0.167730595490812</v>
      </c>
      <c r="E103" s="1661" t="n">
        <f aca="false">F103+G103</f>
        <v>0.192494959304561</v>
      </c>
      <c r="F103" s="1705" t="n">
        <f aca="false">(DataDE1!T24-DataDE1!H24)/DataDE1!B24</f>
        <v>0.18819979644799</v>
      </c>
      <c r="G103" s="1698" t="n">
        <f aca="false">H103+K103+L103</f>
        <v>0.00429516285657124</v>
      </c>
      <c r="H103" s="1706" t="n">
        <f aca="false">I103-J103</f>
        <v>0.0180972908867606</v>
      </c>
      <c r="I103" s="1707" t="n">
        <f aca="false">DataDE1!U24/DataDE1!B24</f>
        <v>0.200643049456078</v>
      </c>
      <c r="J103" s="1707" t="n">
        <f aca="false">DataDE1!V24/DataDE1!B24</f>
        <v>0.182545758569317</v>
      </c>
      <c r="K103" s="1705" t="n">
        <f aca="false">TableDE8!E21</f>
        <v>0.000142072832382792</v>
      </c>
      <c r="L103" s="1700" t="n">
        <f aca="false">TableDE8!K21+TableDE8!L21</f>
        <v>-0.0139442008625721</v>
      </c>
      <c r="N103" s="1667"/>
      <c r="O103" s="1678" t="n">
        <f aca="false">B103+E103-L103</f>
        <v>0.999783782602362</v>
      </c>
    </row>
    <row r="104" customFormat="false" ht="12" hidden="false" customHeight="false" outlineLevel="0" collapsed="false">
      <c r="A104" s="1704" t="n">
        <f aca="false">A103+1</f>
        <v>1964</v>
      </c>
      <c r="B104" s="1661" t="n">
        <f aca="false">C104+D104</f>
        <v>0.774201977973619</v>
      </c>
      <c r="C104" s="1705" t="n">
        <f aca="false">DataDE1!R25/DataDE1!B25</f>
        <v>0.614310772202457</v>
      </c>
      <c r="D104" s="1705" t="n">
        <f aca="false">DataDE1!S25/DataDE1!B25</f>
        <v>0.159891205771162</v>
      </c>
      <c r="E104" s="1661" t="n">
        <f aca="false">F104+G104</f>
        <v>0.212838203750957</v>
      </c>
      <c r="F104" s="1705" t="n">
        <f aca="false">(DataDE1!T25-DataDE1!H25)/DataDE1!B25</f>
        <v>0.208606640264891</v>
      </c>
      <c r="G104" s="1698" t="n">
        <f aca="false">H104+K104+L104</f>
        <v>0.00423156348606621</v>
      </c>
      <c r="H104" s="1706" t="n">
        <f aca="false">I104-J104</f>
        <v>0.0181898067080213</v>
      </c>
      <c r="I104" s="1707" t="n">
        <f aca="false">DataDE1!U25/DataDE1!B25</f>
        <v>0.203314482927287</v>
      </c>
      <c r="J104" s="1707" t="n">
        <f aca="false">DataDE1!V25/DataDE1!B25</f>
        <v>0.185124676219266</v>
      </c>
      <c r="K104" s="1705" t="n">
        <f aca="false">TableDE8!E22</f>
        <v>-0.000545800783251758</v>
      </c>
      <c r="L104" s="1700" t="n">
        <f aca="false">TableDE8!K22+TableDE8!L22</f>
        <v>-0.0134124424387033</v>
      </c>
      <c r="N104" s="1667"/>
      <c r="O104" s="1678" t="n">
        <f aca="false">B104+E104-L104</f>
        <v>1.00045262416328</v>
      </c>
    </row>
    <row r="105" customFormat="false" ht="12" hidden="false" customHeight="false" outlineLevel="0" collapsed="false">
      <c r="A105" s="1704" t="n">
        <f aca="false">A104+1</f>
        <v>1965</v>
      </c>
      <c r="B105" s="1661" t="n">
        <f aca="false">C105+D105</f>
        <v>0.786065004085523</v>
      </c>
      <c r="C105" s="1705" t="n">
        <f aca="false">DataDE1!R26/DataDE1!B26</f>
        <v>0.621596771199637</v>
      </c>
      <c r="D105" s="1705" t="n">
        <f aca="false">DataDE1!S26/DataDE1!B26</f>
        <v>0.164468232885886</v>
      </c>
      <c r="E105" s="1661" t="n">
        <f aca="false">F105+G105</f>
        <v>0.198965692823902</v>
      </c>
      <c r="F105" s="1705" t="n">
        <f aca="false">(DataDE1!T26-DataDE1!H26)/DataDE1!B26</f>
        <v>0.210961163239805</v>
      </c>
      <c r="G105" s="1698" t="n">
        <f aca="false">H105+K105+L105</f>
        <v>-0.0119954704159029</v>
      </c>
      <c r="H105" s="1706" t="n">
        <f aca="false">I105-J105</f>
        <v>0.00408247586547572</v>
      </c>
      <c r="I105" s="1707" t="n">
        <f aca="false">DataDE1!U26/DataDE1!B26</f>
        <v>0.203719756475713</v>
      </c>
      <c r="J105" s="1707" t="n">
        <f aca="false">DataDE1!V26/DataDE1!B26</f>
        <v>0.199637280610237</v>
      </c>
      <c r="K105" s="1705" t="n">
        <f aca="false">TableDE8!E23</f>
        <v>-0.00128085382978885</v>
      </c>
      <c r="L105" s="1700" t="n">
        <f aca="false">TableDE8!K23+TableDE8!L23</f>
        <v>-0.0147970924515897</v>
      </c>
      <c r="N105" s="1667"/>
      <c r="O105" s="1678" t="n">
        <f aca="false">B105+E105-L105</f>
        <v>0.999827789361015</v>
      </c>
    </row>
    <row r="106" customFormat="false" ht="12" hidden="false" customHeight="false" outlineLevel="0" collapsed="false">
      <c r="A106" s="1704" t="n">
        <f aca="false">A105+1</f>
        <v>1966</v>
      </c>
      <c r="B106" s="1661" t="n">
        <f aca="false">C106+D106</f>
        <v>0.794722643970839</v>
      </c>
      <c r="C106" s="1705" t="n">
        <f aca="false">DataDE1!R27/DataDE1!B27</f>
        <v>0.626530485373654</v>
      </c>
      <c r="D106" s="1705" t="n">
        <f aca="false">DataDE1!S27/DataDE1!B27</f>
        <v>0.168192158597184</v>
      </c>
      <c r="E106" s="1661" t="n">
        <f aca="false">F106+G106</f>
        <v>0.190273407530237</v>
      </c>
      <c r="F106" s="1705" t="n">
        <f aca="false">(DataDE1!T27-DataDE1!H27)/DataDE1!B27</f>
        <v>0.18504217621751</v>
      </c>
      <c r="G106" s="1698" t="n">
        <f aca="false">H106+K106+L106</f>
        <v>0.00523123131272662</v>
      </c>
      <c r="H106" s="1706" t="n">
        <f aca="false">I106-J106</f>
        <v>0.0200190690481085</v>
      </c>
      <c r="I106" s="1707" t="n">
        <f aca="false">DataDE1!U27/DataDE1!B27</f>
        <v>0.217053286642692</v>
      </c>
      <c r="J106" s="1707" t="n">
        <f aca="false">DataDE1!V27/DataDE1!B27</f>
        <v>0.197034217594583</v>
      </c>
      <c r="K106" s="1705" t="n">
        <f aca="false">TableDE8!E24</f>
        <v>-0.000910984059580878</v>
      </c>
      <c r="L106" s="1700" t="n">
        <f aca="false">TableDE8!K24+TableDE8!L24</f>
        <v>-0.013876853675801</v>
      </c>
      <c r="N106" s="1667"/>
      <c r="O106" s="1678" t="n">
        <f aca="false">B106+E106-L106</f>
        <v>0.998872905176876</v>
      </c>
    </row>
    <row r="107" customFormat="false" ht="12" hidden="false" customHeight="false" outlineLevel="0" collapsed="false">
      <c r="A107" s="1704" t="n">
        <f aca="false">A106+1</f>
        <v>1967</v>
      </c>
      <c r="B107" s="1661" t="n">
        <f aca="false">C107+D107</f>
        <v>0.81620696350961</v>
      </c>
      <c r="C107" s="1705" t="n">
        <f aca="false">DataDE1!R28/DataDE1!B28</f>
        <v>0.639065514845604</v>
      </c>
      <c r="D107" s="1705" t="n">
        <f aca="false">DataDE1!S28/DataDE1!B28</f>
        <v>0.177141448664006</v>
      </c>
      <c r="E107" s="1661" t="n">
        <f aca="false">F107+G107</f>
        <v>0.167372304397925</v>
      </c>
      <c r="F107" s="1705" t="n">
        <f aca="false">(DataDE1!T28-DataDE1!H28)/DataDE1!B28</f>
        <v>0.139610277639915</v>
      </c>
      <c r="G107" s="1698" t="n">
        <f aca="false">H107+K107+L107</f>
        <v>0.0277620267580101</v>
      </c>
      <c r="H107" s="1706" t="n">
        <f aca="false">I107-J107</f>
        <v>0.0422852750971849</v>
      </c>
      <c r="I107" s="1707" t="n">
        <f aca="false">DataDE1!U28/DataDE1!B28</f>
        <v>0.23267285956053</v>
      </c>
      <c r="J107" s="1707" t="n">
        <f aca="false">DataDE1!V28/DataDE1!B28</f>
        <v>0.190387584463345</v>
      </c>
      <c r="K107" s="1705" t="n">
        <f aca="false">TableDE8!E25</f>
        <v>-0.000465928016510101</v>
      </c>
      <c r="L107" s="1700" t="n">
        <f aca="false">TableDE8!K25+TableDE8!L25</f>
        <v>-0.0140573203226647</v>
      </c>
      <c r="N107" s="1667"/>
      <c r="O107" s="1678" t="n">
        <f aca="false">B107+E107-L107</f>
        <v>0.9976365882302</v>
      </c>
    </row>
    <row r="108" customFormat="false" ht="12" hidden="false" customHeight="false" outlineLevel="0" collapsed="false">
      <c r="A108" s="1704" t="n">
        <f aca="false">A107+1</f>
        <v>1968</v>
      </c>
      <c r="B108" s="1661" t="n">
        <f aca="false">C108+D108</f>
        <v>0.796159716287328</v>
      </c>
      <c r="C108" s="1705" t="n">
        <f aca="false">DataDE1!R29/DataDE1!B29</f>
        <v>0.627283826443825</v>
      </c>
      <c r="D108" s="1705" t="n">
        <f aca="false">DataDE1!S29/DataDE1!B29</f>
        <v>0.168875889843503</v>
      </c>
      <c r="E108" s="1661" t="n">
        <f aca="false">F108+G108</f>
        <v>0.186174453473155</v>
      </c>
      <c r="F108" s="1705" t="n">
        <f aca="false">(DataDE1!T29-DataDE1!H29)/DataDE1!B29</f>
        <v>0.157688155734485</v>
      </c>
      <c r="G108" s="1698" t="n">
        <f aca="false">H108+K108+L108</f>
        <v>0.0284862977386702</v>
      </c>
      <c r="H108" s="1706" t="n">
        <f aca="false">I108-J108</f>
        <v>0.0419409255028152</v>
      </c>
      <c r="I108" s="1707" t="n">
        <f aca="false">DataDE1!U29/DataDE1!B29</f>
        <v>0.241998525348363</v>
      </c>
      <c r="J108" s="1707" t="n">
        <f aca="false">DataDE1!V29/DataDE1!B29</f>
        <v>0.200057599845548</v>
      </c>
      <c r="K108" s="1705" t="n">
        <f aca="false">TableDE8!E26</f>
        <v>0.00142134115745587</v>
      </c>
      <c r="L108" s="1700" t="n">
        <f aca="false">TableDE8!K26+TableDE8!L26</f>
        <v>-0.0148759689216008</v>
      </c>
      <c r="N108" s="1667"/>
      <c r="O108" s="1678" t="n">
        <f aca="false">B108+E108-L108</f>
        <v>0.997210138682084</v>
      </c>
    </row>
    <row r="109" customFormat="false" ht="12" hidden="false" customHeight="false" outlineLevel="0" collapsed="false">
      <c r="A109" s="1715" t="n">
        <f aca="false">A108+1</f>
        <v>1969</v>
      </c>
      <c r="B109" s="1672" t="n">
        <f aca="false">C109+D109</f>
        <v>0.784378688852829</v>
      </c>
      <c r="C109" s="1716" t="n">
        <f aca="false">DataDE1!R30/DataDE1!B30</f>
        <v>0.615001748916681</v>
      </c>
      <c r="D109" s="1716" t="n">
        <f aca="false">DataDE1!S30/DataDE1!B30</f>
        <v>0.169376939936148</v>
      </c>
      <c r="E109" s="1672" t="n">
        <f aca="false">F109+G109</f>
        <v>0.19918740713178</v>
      </c>
      <c r="F109" s="1716" t="n">
        <f aca="false">(DataDE1!T30-DataDE1!H30)/DataDE1!B30</f>
        <v>0.18050700333261</v>
      </c>
      <c r="G109" s="1701" t="n">
        <f aca="false">H109+K109+L109</f>
        <v>0.0186804037991703</v>
      </c>
      <c r="H109" s="1717" t="n">
        <f aca="false">I109-J109</f>
        <v>0.0326201523844952</v>
      </c>
      <c r="I109" s="1718" t="n">
        <f aca="false">DataDE1!U30/DataDE1!B30</f>
        <v>0.245114734288237</v>
      </c>
      <c r="J109" s="1718" t="n">
        <f aca="false">DataDE1!V30/DataDE1!B30</f>
        <v>0.212494581903741</v>
      </c>
      <c r="K109" s="1716" t="n">
        <f aca="false">TableDE8!E27</f>
        <v>0.00192389303141242</v>
      </c>
      <c r="L109" s="1703" t="n">
        <f aca="false">TableDE8!K27+TableDE8!L27</f>
        <v>-0.0158636416167373</v>
      </c>
      <c r="N109" s="1667"/>
      <c r="O109" s="1678" t="n">
        <f aca="false">B109+E109-L109</f>
        <v>0.999429737601346</v>
      </c>
    </row>
    <row r="110" customFormat="false" ht="12" hidden="false" customHeight="false" outlineLevel="0" collapsed="false">
      <c r="A110" s="1704" t="n">
        <f aca="false">A109+1</f>
        <v>1970</v>
      </c>
      <c r="B110" s="1661" t="n">
        <f aca="false">C110+D110</f>
        <v>0.779552815146986</v>
      </c>
      <c r="C110" s="1705" t="n">
        <f aca="false">DataDE1!R31/DataDE1!B31</f>
        <v>0.607841305430992</v>
      </c>
      <c r="D110" s="1705" t="n">
        <f aca="false">DataDE1!S31/DataDE1!B31</f>
        <v>0.171711509715994</v>
      </c>
      <c r="E110" s="1661" t="n">
        <f aca="false">F110+G110</f>
        <v>0.205094668659691</v>
      </c>
      <c r="F110" s="1705" t="n">
        <f aca="false">(DataDE1!T31-DataDE1!H31)/DataDE1!B31</f>
        <v>0.193198804185351</v>
      </c>
      <c r="G110" s="1698" t="n">
        <f aca="false">H110+K110+L110</f>
        <v>0.0118958644743398</v>
      </c>
      <c r="H110" s="1706" t="n">
        <f aca="false">I110-J110</f>
        <v>0.024009715994021</v>
      </c>
      <c r="I110" s="1707" t="n">
        <f aca="false">DataDE1!U31/DataDE1!B31</f>
        <v>0.240066018933732</v>
      </c>
      <c r="J110" s="1707" t="n">
        <f aca="false">DataDE1!V31/DataDE1!B31</f>
        <v>0.216056302939711</v>
      </c>
      <c r="K110" s="1705" t="n">
        <f aca="false">TableDE8!E28</f>
        <v>0.00323866467364225</v>
      </c>
      <c r="L110" s="1700" t="n">
        <f aca="false">TableDE8!K28+TableDE8!L28</f>
        <v>-0.0153525161933234</v>
      </c>
      <c r="N110" s="1667"/>
      <c r="O110" s="1678" t="n">
        <f aca="false">B110+E110-L110</f>
        <v>1</v>
      </c>
    </row>
    <row r="111" customFormat="false" ht="12" hidden="false" customHeight="false" outlineLevel="0" collapsed="false">
      <c r="A111" s="1704" t="n">
        <v>1971</v>
      </c>
      <c r="B111" s="1661" t="n">
        <f aca="false">C111+D111</f>
        <v>0.797625091668077</v>
      </c>
      <c r="C111" s="1705" t="n">
        <f aca="false">DataDE1!R32/DataDE1!B32</f>
        <v>0.613329948665877</v>
      </c>
      <c r="D111" s="1705" t="n">
        <f aca="false">DataDE1!S32/DataDE1!B32</f>
        <v>0.1842951430022</v>
      </c>
      <c r="E111" s="1661" t="n">
        <f aca="false">F111+G111</f>
        <v>0.18779263270717</v>
      </c>
      <c r="F111" s="1705" t="n">
        <f aca="false">(DataDE1!T32-DataDE1!H32)/DataDE1!B32</f>
        <v>0.18170023128561</v>
      </c>
      <c r="G111" s="1698" t="n">
        <f aca="false">H111+K111+L111</f>
        <v>0.00609240142156031</v>
      </c>
      <c r="H111" s="1706" t="n">
        <f aca="false">I111-J111</f>
        <v>0.0189823433181023</v>
      </c>
      <c r="I111" s="1707" t="n">
        <f aca="false">DataDE1!U32/DataDE1!B32</f>
        <v>0.232272804196988</v>
      </c>
      <c r="J111" s="1707" t="n">
        <f aca="false">DataDE1!V32/DataDE1!B32</f>
        <v>0.213290460878885</v>
      </c>
      <c r="K111" s="1705" t="n">
        <f aca="false">TableDE8!E29</f>
        <v>0.0016923337282112</v>
      </c>
      <c r="L111" s="1700" t="n">
        <f aca="false">TableDE8!K29+TableDE8!L29</f>
        <v>-0.0145822756247532</v>
      </c>
      <c r="N111" s="1667"/>
      <c r="O111" s="1678" t="n">
        <f aca="false">B111+E111-L111</f>
        <v>1</v>
      </c>
    </row>
    <row r="112" customFormat="false" ht="12" hidden="false" customHeight="false" outlineLevel="0" collapsed="false">
      <c r="A112" s="1704" t="n">
        <v>1972</v>
      </c>
      <c r="B112" s="1661" t="n">
        <f aca="false">C112+D112</f>
        <v>0.810657949356579</v>
      </c>
      <c r="C112" s="1705" t="n">
        <f aca="false">DataDE1!R33/DataDE1!B33</f>
        <v>0.622042341220423</v>
      </c>
      <c r="D112" s="1705" t="n">
        <f aca="false">DataDE1!S33/DataDE1!B33</f>
        <v>0.188615608136156</v>
      </c>
      <c r="E112" s="1661" t="n">
        <f aca="false">F112+G112</f>
        <v>0.174086757990868</v>
      </c>
      <c r="F112" s="1705" t="n">
        <f aca="false">(DataDE1!T33-DataDE1!H33)/DataDE1!B33</f>
        <v>0.168404939809049</v>
      </c>
      <c r="G112" s="1698" t="n">
        <f aca="false">H112+K112+L112</f>
        <v>0.00568181818181816</v>
      </c>
      <c r="H112" s="1706" t="n">
        <f aca="false">I112-J112</f>
        <v>0.020288501452885</v>
      </c>
      <c r="I112" s="1707" t="n">
        <f aca="false">DataDE1!U33/DataDE1!B33</f>
        <v>0.232824823578248</v>
      </c>
      <c r="J112" s="1707" t="n">
        <f aca="false">DataDE1!V33/DataDE1!B33</f>
        <v>0.212536322125363</v>
      </c>
      <c r="K112" s="1705" t="n">
        <f aca="false">TableDE8!E30</f>
        <v>0.000648609381486094</v>
      </c>
      <c r="L112" s="1700" t="n">
        <f aca="false">TableDE8!K30+TableDE8!L30</f>
        <v>-0.0152552926525529</v>
      </c>
      <c r="N112" s="1667"/>
      <c r="O112" s="1678" t="n">
        <f aca="false">B112+E112-L112</f>
        <v>1</v>
      </c>
    </row>
    <row r="113" customFormat="false" ht="12" hidden="false" customHeight="false" outlineLevel="0" collapsed="false">
      <c r="A113" s="1704" t="n">
        <v>1973</v>
      </c>
      <c r="B113" s="1661" t="n">
        <f aca="false">C113+D113</f>
        <v>0.812497089910136</v>
      </c>
      <c r="C113" s="1705" t="n">
        <f aca="false">DataDE1!R34/DataDE1!B34</f>
        <v>0.616706243888811</v>
      </c>
      <c r="D113" s="1705" t="n">
        <f aca="false">DataDE1!S34/DataDE1!B34</f>
        <v>0.195790846021325</v>
      </c>
      <c r="E113" s="1661" t="n">
        <f aca="false">F113+G113</f>
        <v>0.172160916329096</v>
      </c>
      <c r="F113" s="1705" t="n">
        <f aca="false">(DataDE1!T34-DataDE1!H34)/DataDE1!B34</f>
        <v>0.156120501001071</v>
      </c>
      <c r="G113" s="1698" t="n">
        <f aca="false">H113+K113+L113</f>
        <v>0.0160404153280253</v>
      </c>
      <c r="H113" s="1706" t="n">
        <f aca="false">I113-J113</f>
        <v>0.0308935139917121</v>
      </c>
      <c r="I113" s="1707" t="n">
        <f aca="false">DataDE1!U34/DataDE1!B34</f>
        <v>0.245518461610095</v>
      </c>
      <c r="J113" s="1707" t="n">
        <f aca="false">DataDE1!V34/DataDE1!B34</f>
        <v>0.214624947618382</v>
      </c>
      <c r="K113" s="1705" t="n">
        <f aca="false">TableDE8!E31</f>
        <v>0.000488895097080597</v>
      </c>
      <c r="L113" s="1700" t="n">
        <f aca="false">TableDE8!K31+TableDE8!L31</f>
        <v>-0.0153419937607673</v>
      </c>
      <c r="N113" s="1667"/>
      <c r="O113" s="1678" t="n">
        <f aca="false">B113+E113-L113</f>
        <v>1</v>
      </c>
    </row>
    <row r="114" customFormat="false" ht="12" hidden="false" customHeight="false" outlineLevel="0" collapsed="false">
      <c r="A114" s="1704" t="n">
        <v>1974</v>
      </c>
      <c r="B114" s="1661" t="n">
        <f aca="false">C114+D114</f>
        <v>0.829789995025629</v>
      </c>
      <c r="C114" s="1705" t="n">
        <f aca="false">DataDE1!R35/DataDE1!B35</f>
        <v>0.6176438782793</v>
      </c>
      <c r="D114" s="1705" t="n">
        <f aca="false">DataDE1!S35/DataDE1!B35</f>
        <v>0.212146116746329</v>
      </c>
      <c r="E114" s="1661" t="n">
        <f aca="false">F114+G114</f>
        <v>0.153599930791358</v>
      </c>
      <c r="F114" s="1705" t="n">
        <f aca="false">(DataDE1!T35-DataDE1!H35)/DataDE1!B35</f>
        <v>0.123580682137682</v>
      </c>
      <c r="G114" s="1698" t="n">
        <f aca="false">H114+K114+L114</f>
        <v>0.0300192486536756</v>
      </c>
      <c r="H114" s="1706" t="n">
        <f aca="false">I114-J114</f>
        <v>0.0461318857192292</v>
      </c>
      <c r="I114" s="1707" t="n">
        <f aca="false">DataDE1!U35/DataDE1!B35</f>
        <v>0.293185111490797</v>
      </c>
      <c r="J114" s="1707" t="n">
        <f aca="false">DataDE1!V35/DataDE1!B35</f>
        <v>0.247053225771568</v>
      </c>
      <c r="K114" s="1705" t="n">
        <f aca="false">TableDE8!E32</f>
        <v>0.000497437117460042</v>
      </c>
      <c r="L114" s="1700" t="n">
        <f aca="false">TableDE8!K32+TableDE8!L32</f>
        <v>-0.0166100741830136</v>
      </c>
      <c r="N114" s="1667"/>
      <c r="O114" s="1678" t="n">
        <f aca="false">B114+E114-L114</f>
        <v>1</v>
      </c>
    </row>
    <row r="115" customFormat="false" ht="12" hidden="false" customHeight="false" outlineLevel="0" collapsed="false">
      <c r="A115" s="1704" t="n">
        <v>1975</v>
      </c>
      <c r="B115" s="1661" t="n">
        <f aca="false">C115+D115</f>
        <v>0.872174219348957</v>
      </c>
      <c r="C115" s="1705" t="n">
        <f aca="false">DataDE1!R36/DataDE1!B36</f>
        <v>0.647272124489754</v>
      </c>
      <c r="D115" s="1705" t="n">
        <f aca="false">DataDE1!S36/DataDE1!B36</f>
        <v>0.224902094859203</v>
      </c>
      <c r="E115" s="1661" t="n">
        <f aca="false">F115+G115</f>
        <v>0.111477176187812</v>
      </c>
      <c r="F115" s="1705" t="n">
        <f aca="false">(DataDE1!T36-DataDE1!H36)/DataDE1!B36</f>
        <v>0.098671805391517</v>
      </c>
      <c r="G115" s="1698" t="n">
        <f aca="false">H115+K115+L115</f>
        <v>0.0128053707962951</v>
      </c>
      <c r="H115" s="1706" t="n">
        <f aca="false">I115-J115</f>
        <v>0.027061188122915</v>
      </c>
      <c r="I115" s="1707" t="n">
        <f aca="false">DataDE1!U36/DataDE1!B36</f>
        <v>0.276061416050227</v>
      </c>
      <c r="J115" s="1707" t="n">
        <f aca="false">DataDE1!V36/DataDE1!B36</f>
        <v>0.249000227927312</v>
      </c>
      <c r="K115" s="1705" t="n">
        <f aca="false">TableDE8!E33</f>
        <v>0.00209278713661134</v>
      </c>
      <c r="L115" s="1700" t="n">
        <f aca="false">TableDE8!K33+TableDE8!L33</f>
        <v>-0.0163486044632312</v>
      </c>
      <c r="N115" s="1667"/>
      <c r="O115" s="1678" t="n">
        <f aca="false">B115+E115-L115</f>
        <v>1</v>
      </c>
    </row>
    <row r="116" customFormat="false" ht="12" hidden="false" customHeight="false" outlineLevel="0" collapsed="false">
      <c r="A116" s="1704" t="n">
        <v>1976</v>
      </c>
      <c r="B116" s="1661" t="n">
        <f aca="false">C116+D116</f>
        <v>0.86264123620982</v>
      </c>
      <c r="C116" s="1705" t="n">
        <f aca="false">DataDE1!R37/DataDE1!B37</f>
        <v>0.644113331936056</v>
      </c>
      <c r="D116" s="1705" t="n">
        <f aca="false">DataDE1!S37/DataDE1!B37</f>
        <v>0.218527904273765</v>
      </c>
      <c r="E116" s="1661" t="n">
        <f aca="false">F116+G116</f>
        <v>0.12118209706</v>
      </c>
      <c r="F116" s="1705" t="n">
        <f aca="false">(DataDE1!T37-DataDE1!H37)/DataDE1!B37</f>
        <v>0.111731417792428</v>
      </c>
      <c r="G116" s="1698" t="n">
        <f aca="false">H116+K116+L116</f>
        <v>0.00945067926757235</v>
      </c>
      <c r="H116" s="1706" t="n">
        <f aca="false">I116-J116</f>
        <v>0.0225977935712516</v>
      </c>
      <c r="I116" s="1707" t="n">
        <f aca="false">DataDE1!U37/DataDE1!B37</f>
        <v>0.290684602633234</v>
      </c>
      <c r="J116" s="1707" t="n">
        <f aca="false">DataDE1!V37/DataDE1!B37</f>
        <v>0.268086809061982</v>
      </c>
      <c r="K116" s="1705" t="n">
        <f aca="false">TableDE8!E34</f>
        <v>0.00302955242650001</v>
      </c>
      <c r="L116" s="1700" t="n">
        <f aca="false">TableDE8!K34+TableDE8!L34</f>
        <v>-0.0161766667301793</v>
      </c>
      <c r="N116" s="1667"/>
      <c r="O116" s="1678" t="n">
        <f aca="false">B116+E116-L116</f>
        <v>1</v>
      </c>
    </row>
    <row r="117" customFormat="false" ht="12" hidden="false" customHeight="false" outlineLevel="0" collapsed="false">
      <c r="A117" s="1704" t="n">
        <v>1977</v>
      </c>
      <c r="B117" s="1661" t="n">
        <f aca="false">C117+D117</f>
        <v>0.867016607248428</v>
      </c>
      <c r="C117" s="1705" t="n">
        <f aca="false">DataDE1!R38/DataDE1!B38</f>
        <v>0.648488865798384</v>
      </c>
      <c r="D117" s="1705" t="n">
        <f aca="false">DataDE1!S38/DataDE1!B38</f>
        <v>0.218527741450044</v>
      </c>
      <c r="E117" s="1661" t="n">
        <f aca="false">F117+G117</f>
        <v>0.118382629570576</v>
      </c>
      <c r="F117" s="1705" t="n">
        <f aca="false">(DataDE1!T38-DataDE1!H38)/DataDE1!B38</f>
        <v>0.108296458195238</v>
      </c>
      <c r="G117" s="1698" t="n">
        <f aca="false">H117+K117+L117</f>
        <v>0.0100861713753381</v>
      </c>
      <c r="H117" s="1706" t="n">
        <f aca="false">I117-J117</f>
        <v>0.0234687113706802</v>
      </c>
      <c r="I117" s="1707" t="n">
        <f aca="false">DataDE1!U38/DataDE1!B38</f>
        <v>0.289740052670238</v>
      </c>
      <c r="J117" s="1707" t="n">
        <f aca="false">DataDE1!V38/DataDE1!B38</f>
        <v>0.266271341299558</v>
      </c>
      <c r="K117" s="1705" t="n">
        <f aca="false">TableDE8!E35</f>
        <v>0.00121822318565363</v>
      </c>
      <c r="L117" s="1700" t="n">
        <f aca="false">TableDE8!K35+TableDE8!L35</f>
        <v>-0.0146007631809957</v>
      </c>
      <c r="N117" s="1667"/>
      <c r="O117" s="1678" t="n">
        <f aca="false">B117+E117-L117</f>
        <v>1</v>
      </c>
    </row>
    <row r="118" customFormat="false" ht="12" hidden="false" customHeight="false" outlineLevel="0" collapsed="false">
      <c r="A118" s="1704" t="n">
        <v>1978</v>
      </c>
      <c r="B118" s="1661" t="n">
        <f aca="false">C118+D118</f>
        <v>0.859934307547929</v>
      </c>
      <c r="C118" s="1705" t="n">
        <f aca="false">DataDE1!R39/DataDE1!B39</f>
        <v>0.640601957366939</v>
      </c>
      <c r="D118" s="1705" t="n">
        <f aca="false">DataDE1!S39/DataDE1!B39</f>
        <v>0.219332350180989</v>
      </c>
      <c r="E118" s="1661" t="n">
        <f aca="false">F118+G118</f>
        <v>0.124480493363722</v>
      </c>
      <c r="F118" s="1705" t="n">
        <f aca="false">(DataDE1!T39-DataDE1!H39)/DataDE1!B39</f>
        <v>0.109213701568575</v>
      </c>
      <c r="G118" s="1698" t="n">
        <f aca="false">H118+K118+L118</f>
        <v>0.0152667917951468</v>
      </c>
      <c r="H118" s="1706" t="n">
        <f aca="false">I118-J118</f>
        <v>0.0255563748491755</v>
      </c>
      <c r="I118" s="1707" t="n">
        <f aca="false">DataDE1!U39/DataDE1!B39</f>
        <v>0.283566832015015</v>
      </c>
      <c r="J118" s="1707" t="n">
        <f aca="false">DataDE1!V39/DataDE1!B39</f>
        <v>0.25801045716584</v>
      </c>
      <c r="K118" s="1705" t="n">
        <f aca="false">TableDE8!E36</f>
        <v>0.00529561603432095</v>
      </c>
      <c r="L118" s="1700" t="n">
        <f aca="false">TableDE8!K36+TableDE8!L36</f>
        <v>-0.0155851990883496</v>
      </c>
      <c r="N118" s="1667"/>
      <c r="O118" s="1678" t="n">
        <f aca="false">B118+E118-L118</f>
        <v>1</v>
      </c>
    </row>
    <row r="119" customFormat="false" ht="12.75" hidden="false" customHeight="true" outlineLevel="0" collapsed="false">
      <c r="A119" s="1704" t="n">
        <v>1979</v>
      </c>
      <c r="B119" s="1661" t="n">
        <f aca="false">C119+D119</f>
        <v>0.866391739791014</v>
      </c>
      <c r="C119" s="1705" t="n">
        <f aca="false">DataDE1!R40/DataDE1!B40</f>
        <v>0.646972186908933</v>
      </c>
      <c r="D119" s="1705" t="n">
        <f aca="false">DataDE1!S40/DataDE1!B40</f>
        <v>0.219419552882081</v>
      </c>
      <c r="E119" s="1661" t="n">
        <f aca="false">F119+G119</f>
        <v>0.117190164646057</v>
      </c>
      <c r="F119" s="1705" t="n">
        <f aca="false">(DataDE1!T40-DataDE1!H40)/DataDE1!B40</f>
        <v>0.127592942854485</v>
      </c>
      <c r="G119" s="1698" t="n">
        <f aca="false">H119+K119+L119</f>
        <v>-0.0104027782084277</v>
      </c>
      <c r="H119" s="1706" t="n">
        <f aca="false">I119-J119</f>
        <v>0.00409289634429938</v>
      </c>
      <c r="I119" s="1707" t="n">
        <f aca="false">DataDE1!U40/DataDE1!B40</f>
        <v>0.287944559858609</v>
      </c>
      <c r="J119" s="1707" t="n">
        <f aca="false">DataDE1!V40/DataDE1!B40</f>
        <v>0.28385166351431</v>
      </c>
      <c r="K119" s="1705" t="n">
        <f aca="false">TableDE8!E37</f>
        <v>0.00192242101020124</v>
      </c>
      <c r="L119" s="1700" t="n">
        <f aca="false">TableDE8!K37+TableDE8!L37</f>
        <v>-0.0164180955629283</v>
      </c>
      <c r="N119" s="1667"/>
      <c r="O119" s="1678" t="n">
        <f aca="false">B119+E119-L119</f>
        <v>1</v>
      </c>
    </row>
    <row r="120" customFormat="false" ht="12" hidden="false" customHeight="false" outlineLevel="0" collapsed="false">
      <c r="A120" s="1708" t="n">
        <v>1980</v>
      </c>
      <c r="B120" s="1709" t="n">
        <f aca="false">C120+D120</f>
        <v>0.885076911861194</v>
      </c>
      <c r="C120" s="1710" t="n">
        <f aca="false">DataDE1!R41/DataDE1!B41</f>
        <v>0.659182036888533</v>
      </c>
      <c r="D120" s="1710" t="n">
        <f aca="false">DataDE1!S41/DataDE1!B41</f>
        <v>0.225894874972662</v>
      </c>
      <c r="E120" s="1709" t="n">
        <f aca="false">F120+G120</f>
        <v>0.0971641029379602</v>
      </c>
      <c r="F120" s="1710" t="n">
        <f aca="false">(DataDE1!T41-DataDE1!H41)/DataDE1!B41</f>
        <v>0.120186629729533</v>
      </c>
      <c r="G120" s="1711" t="n">
        <f aca="false">H120+K120+L120</f>
        <v>-0.0230225267915725</v>
      </c>
      <c r="H120" s="1712" t="n">
        <f aca="false">I120-J120</f>
        <v>-0.00739228694320915</v>
      </c>
      <c r="I120" s="1713" t="n">
        <f aca="false">DataDE1!U41/DataDE1!B41</f>
        <v>0.302529707662025</v>
      </c>
      <c r="J120" s="1713" t="n">
        <f aca="false">DataDE1!V41/DataDE1!B41</f>
        <v>0.309921994605234</v>
      </c>
      <c r="K120" s="1710" t="n">
        <f aca="false">TableDE8!E38</f>
        <v>0.00212874535248232</v>
      </c>
      <c r="L120" s="1714" t="n">
        <f aca="false">TableDE8!K38+TableDE8!L38</f>
        <v>-0.0177589852008457</v>
      </c>
      <c r="N120" s="1667"/>
      <c r="O120" s="1678" t="n">
        <f aca="false">B120+E120-L120</f>
        <v>1</v>
      </c>
    </row>
    <row r="121" customFormat="false" ht="12" hidden="false" customHeight="false" outlineLevel="0" collapsed="false">
      <c r="A121" s="1704" t="n">
        <v>1981</v>
      </c>
      <c r="B121" s="1661" t="n">
        <f aca="false">C121+D121</f>
        <v>0.904389066621766</v>
      </c>
      <c r="C121" s="1705" t="n">
        <f aca="false">DataDE1!R42/DataDE1!B42</f>
        <v>0.670805971824662</v>
      </c>
      <c r="D121" s="1705" t="n">
        <f aca="false">DataDE1!S42/DataDE1!B42</f>
        <v>0.233583094797104</v>
      </c>
      <c r="E121" s="1661" t="n">
        <f aca="false">F121+G121</f>
        <v>0.0795027221193243</v>
      </c>
      <c r="F121" s="1705" t="n">
        <f aca="false">(DataDE1!T42-DataDE1!H42)/DataDE1!B42</f>
        <v>0.0890862659258012</v>
      </c>
      <c r="G121" s="1698" t="n">
        <f aca="false">H121+K121+L121</f>
        <v>-0.00958354380647692</v>
      </c>
      <c r="H121" s="1706" t="n">
        <f aca="false">I121-J121</f>
        <v>0.00637032048044006</v>
      </c>
      <c r="I121" s="1707" t="n">
        <f aca="false">DataDE1!U42/DataDE1!B42</f>
        <v>0.329685132177134</v>
      </c>
      <c r="J121" s="1707" t="n">
        <f aca="false">DataDE1!V42/DataDE1!B42</f>
        <v>0.323314811696694</v>
      </c>
      <c r="K121" s="1705" t="n">
        <f aca="false">TableDE8!E39</f>
        <v>0.000154346971993045</v>
      </c>
      <c r="L121" s="1700" t="n">
        <f aca="false">TableDE8!K39+TableDE8!L39</f>
        <v>-0.01610821125891</v>
      </c>
      <c r="N121" s="1667"/>
      <c r="O121" s="1678" t="n">
        <f aca="false">B121+E121-L121</f>
        <v>1</v>
      </c>
    </row>
    <row r="122" customFormat="false" ht="12" hidden="false" customHeight="false" outlineLevel="0" collapsed="false">
      <c r="A122" s="1704" t="n">
        <v>1982</v>
      </c>
      <c r="B122" s="1661" t="n">
        <f aca="false">C122+D122</f>
        <v>0.904360303772793</v>
      </c>
      <c r="C122" s="1705" t="n">
        <f aca="false">DataDE1!R43/DataDE1!B43</f>
        <v>0.672997522708505</v>
      </c>
      <c r="D122" s="1705" t="n">
        <f aca="false">DataDE1!S43/DataDE1!B43</f>
        <v>0.231362781064288</v>
      </c>
      <c r="E122" s="1661" t="n">
        <f aca="false">F122+G122</f>
        <v>0.0799772576518525</v>
      </c>
      <c r="F122" s="1705" t="n">
        <f aca="false">(DataDE1!T43-DataDE1!H43)/DataDE1!B43</f>
        <v>0.070853244168889</v>
      </c>
      <c r="G122" s="1698" t="n">
        <f aca="false">H122+K122+L122</f>
        <v>0.00912401348296352</v>
      </c>
      <c r="H122" s="1706" t="n">
        <f aca="false">I122-J122</f>
        <v>0.0256663643378321</v>
      </c>
      <c r="I122" s="1707" t="n">
        <f aca="false">DataDE1!U43/DataDE1!B43</f>
        <v>0.34342299413843</v>
      </c>
      <c r="J122" s="1707" t="n">
        <f aca="false">DataDE1!V43/DataDE1!B43</f>
        <v>0.317756629800598</v>
      </c>
      <c r="K122" s="1705" t="n">
        <f aca="false">TableDE8!E40</f>
        <v>-0.000879912279514292</v>
      </c>
      <c r="L122" s="1700" t="n">
        <f aca="false">TableDE8!K40+TableDE8!L40</f>
        <v>-0.0156624385753543</v>
      </c>
      <c r="M122" s="1719"/>
      <c r="N122" s="1667"/>
      <c r="O122" s="1678" t="n">
        <f aca="false">B122+E122-L122</f>
        <v>1</v>
      </c>
    </row>
    <row r="123" customFormat="false" ht="12" hidden="false" customHeight="false" outlineLevel="0" collapsed="false">
      <c r="A123" s="1704" t="n">
        <v>1983</v>
      </c>
      <c r="B123" s="1661" t="n">
        <f aca="false">C123+D123</f>
        <v>0.900342620725322</v>
      </c>
      <c r="C123" s="1705" t="n">
        <f aca="false">DataDE1!R44/DataDE1!B44</f>
        <v>0.672377012088693</v>
      </c>
      <c r="D123" s="1705" t="n">
        <f aca="false">DataDE1!S44/DataDE1!B44</f>
        <v>0.227965608636628</v>
      </c>
      <c r="E123" s="1661" t="n">
        <f aca="false">F123+G123</f>
        <v>0.0846596418643738</v>
      </c>
      <c r="F123" s="1705" t="n">
        <f aca="false">(DataDE1!T44-DataDE1!H44)/DataDE1!B44</f>
        <v>0.0776520783502488</v>
      </c>
      <c r="G123" s="1698" t="n">
        <f aca="false">H123+K123+L123</f>
        <v>0.00700756351412498</v>
      </c>
      <c r="H123" s="1706" t="n">
        <f aca="false">I123-J123</f>
        <v>0.0192514060378822</v>
      </c>
      <c r="I123" s="1707" t="n">
        <f aca="false">DataDE1!U44/DataDE1!B44</f>
        <v>0.333014415928631</v>
      </c>
      <c r="J123" s="1707" t="n">
        <f aca="false">DataDE1!V44/DataDE1!B44</f>
        <v>0.313763009890749</v>
      </c>
      <c r="K123" s="1705" t="n">
        <f aca="false">TableDE8!E41</f>
        <v>0.00275389488654729</v>
      </c>
      <c r="L123" s="1700" t="n">
        <f aca="false">TableDE8!K41+TableDE8!L41</f>
        <v>-0.0149977374103045</v>
      </c>
      <c r="M123" s="1719"/>
      <c r="N123" s="1667"/>
      <c r="O123" s="1678" t="n">
        <f aca="false">B123+E123-L123</f>
        <v>1</v>
      </c>
    </row>
    <row r="124" customFormat="false" ht="12" hidden="false" customHeight="false" outlineLevel="0" collapsed="false">
      <c r="A124" s="1704" t="n">
        <v>1984</v>
      </c>
      <c r="B124" s="1661" t="n">
        <f aca="false">C124+D124</f>
        <v>0.892727697165534</v>
      </c>
      <c r="C124" s="1705" t="n">
        <f aca="false">DataDE1!R45/DataDE1!B45</f>
        <v>0.667739676376995</v>
      </c>
      <c r="D124" s="1705" t="n">
        <f aca="false">DataDE1!S45/DataDE1!B45</f>
        <v>0.224988020788539</v>
      </c>
      <c r="E124" s="1661" t="n">
        <f aca="false">F124+G124</f>
        <v>0.0902065338919536</v>
      </c>
      <c r="F124" s="1705" t="n">
        <f aca="false">(DataDE1!T45-DataDE1!H45)/DataDE1!B45</f>
        <v>0.0739025199346365</v>
      </c>
      <c r="G124" s="1698" t="n">
        <f aca="false">H124+K124+L124</f>
        <v>0.0163040139573171</v>
      </c>
      <c r="H124" s="1706" t="n">
        <f aca="false">I124-J124</f>
        <v>0.0260839650575616</v>
      </c>
      <c r="I124" s="1707" t="n">
        <f aca="false">DataDE1!U45/DataDE1!B45</f>
        <v>0.355321841481245</v>
      </c>
      <c r="J124" s="1707" t="n">
        <f aca="false">DataDE1!V45/DataDE1!B45</f>
        <v>0.329237876423683</v>
      </c>
      <c r="K124" s="1705" t="n">
        <f aca="false">TableDE8!E42</f>
        <v>0.00728581784226757</v>
      </c>
      <c r="L124" s="1700" t="n">
        <f aca="false">TableDE8!K42+TableDE8!L42</f>
        <v>-0.0170657689425121</v>
      </c>
      <c r="M124" s="1719"/>
      <c r="N124" s="1667"/>
      <c r="O124" s="1678" t="n">
        <f aca="false">B124+E124-L124</f>
        <v>1</v>
      </c>
    </row>
    <row r="125" customFormat="false" ht="12" hidden="false" customHeight="false" outlineLevel="0" collapsed="false">
      <c r="A125" s="1704" t="n">
        <v>1985</v>
      </c>
      <c r="B125" s="1661" t="n">
        <f aca="false">C125+D125</f>
        <v>0.884582388266679</v>
      </c>
      <c r="C125" s="1705" t="n">
        <f aca="false">DataDE1!R46/DataDE1!B46</f>
        <v>0.66045762771621</v>
      </c>
      <c r="D125" s="1705" t="n">
        <f aca="false">DataDE1!S46/DataDE1!B46</f>
        <v>0.224124760550469</v>
      </c>
      <c r="E125" s="1661" t="n">
        <f aca="false">F125+G125</f>
        <v>0.0992584409632041</v>
      </c>
      <c r="F125" s="1705" t="n">
        <f aca="false">(DataDE1!T46-DataDE1!H46)/DataDE1!B46</f>
        <v>0.0683033458297587</v>
      </c>
      <c r="G125" s="1698" t="n">
        <f aca="false">H125+K125+L125</f>
        <v>0.0309550951334454</v>
      </c>
      <c r="H125" s="1706" t="n">
        <f aca="false">I125-J125</f>
        <v>0.0397456840323889</v>
      </c>
      <c r="I125" s="1707" t="n">
        <f aca="false">DataDE1!U46/DataDE1!B46</f>
        <v>0.375010283108672</v>
      </c>
      <c r="J125" s="1707" t="n">
        <f aca="false">DataDE1!V46/DataDE1!B46</f>
        <v>0.335264599076283</v>
      </c>
      <c r="K125" s="1705" t="n">
        <f aca="false">TableDE8!E43</f>
        <v>0.00736858187117322</v>
      </c>
      <c r="L125" s="1700" t="n">
        <f aca="false">TableDE8!K43+TableDE8!L43</f>
        <v>-0.0161591707701167</v>
      </c>
      <c r="M125" s="1719"/>
      <c r="N125" s="1667"/>
      <c r="O125" s="1678" t="n">
        <f aca="false">B125+E125-L125</f>
        <v>1</v>
      </c>
    </row>
    <row r="126" customFormat="false" ht="12" hidden="false" customHeight="false" outlineLevel="0" collapsed="false">
      <c r="A126" s="1704" t="n">
        <v>1986</v>
      </c>
      <c r="B126" s="1661" t="n">
        <f aca="false">C126+D126</f>
        <v>0.867502428024426</v>
      </c>
      <c r="C126" s="1705" t="n">
        <f aca="false">DataDE1!R47/DataDE1!B47</f>
        <v>0.644481407472734</v>
      </c>
      <c r="D126" s="1705" t="n">
        <f aca="false">DataDE1!S47/DataDE1!B47</f>
        <v>0.223021020551692</v>
      </c>
      <c r="E126" s="1661" t="n">
        <f aca="false">F126+G126</f>
        <v>0.118253162013418</v>
      </c>
      <c r="F126" s="1705" t="n">
        <f aca="false">(DataDE1!T47-DataDE1!H47)/DataDE1!B47</f>
        <v>0.0706303932841403</v>
      </c>
      <c r="G126" s="1698" t="n">
        <f aca="false">H126+K126+L126</f>
        <v>0.0476227687292781</v>
      </c>
      <c r="H126" s="1706" t="n">
        <f aca="false">I126-J126</f>
        <v>0.0573348664307483</v>
      </c>
      <c r="I126" s="1707" t="n">
        <f aca="false">DataDE1!U47/DataDE1!B47</f>
        <v>0.348273590908584</v>
      </c>
      <c r="J126" s="1707" t="n">
        <f aca="false">DataDE1!V47/DataDE1!B47</f>
        <v>0.290938724477835</v>
      </c>
      <c r="K126" s="1705" t="n">
        <f aca="false">TableDE8!E44</f>
        <v>0.0045323122606861</v>
      </c>
      <c r="L126" s="1700" t="n">
        <f aca="false">TableDE8!K44+TableDE8!L44</f>
        <v>-0.0142444099621563</v>
      </c>
      <c r="M126" s="1719"/>
      <c r="N126" s="1667"/>
      <c r="O126" s="1678" t="n">
        <f aca="false">B126+E126-L126</f>
        <v>1</v>
      </c>
    </row>
    <row r="127" customFormat="false" ht="12" hidden="false" customHeight="false" outlineLevel="0" collapsed="false">
      <c r="A127" s="1704" t="n">
        <v>1987</v>
      </c>
      <c r="B127" s="1661" t="n">
        <f aca="false">C127+D127</f>
        <v>0.877475571453499</v>
      </c>
      <c r="C127" s="1705" t="n">
        <f aca="false">DataDE1!R48/DataDE1!B48</f>
        <v>0.651347932298028</v>
      </c>
      <c r="D127" s="1705" t="n">
        <f aca="false">DataDE1!S48/DataDE1!B48</f>
        <v>0.22612763915547</v>
      </c>
      <c r="E127" s="1661" t="n">
        <f aca="false">F127+G127</f>
        <v>0.108576164718199</v>
      </c>
      <c r="F127" s="1705" t="n">
        <f aca="false">(DataDE1!T48-DataDE1!H48)/DataDE1!B48</f>
        <v>0.0632852032804048</v>
      </c>
      <c r="G127" s="1698" t="n">
        <f aca="false">H127+K127+L127</f>
        <v>0.0452909614377944</v>
      </c>
      <c r="H127" s="1706" t="n">
        <f aca="false">I127-J127</f>
        <v>0.0563819577735125</v>
      </c>
      <c r="I127" s="1707" t="n">
        <f aca="false">DataDE1!U48/DataDE1!B48</f>
        <v>0.339502268365032</v>
      </c>
      <c r="J127" s="1707" t="n">
        <f aca="false">DataDE1!V48/DataDE1!B48</f>
        <v>0.28312031059152</v>
      </c>
      <c r="K127" s="1705" t="n">
        <f aca="false">TableDE8!E45</f>
        <v>0.00285726749258419</v>
      </c>
      <c r="L127" s="1700" t="n">
        <f aca="false">TableDE8!K45+TableDE8!L45</f>
        <v>-0.0139482638283022</v>
      </c>
      <c r="M127" s="1719"/>
      <c r="N127" s="1667"/>
      <c r="O127" s="1678" t="n">
        <f aca="false">B127+E127-L127</f>
        <v>1</v>
      </c>
    </row>
    <row r="128" customFormat="false" ht="12" hidden="false" customHeight="false" outlineLevel="0" collapsed="false">
      <c r="A128" s="1704" t="n">
        <v>1988</v>
      </c>
      <c r="B128" s="1661" t="n">
        <f aca="false">C128+D128</f>
        <v>0.863066023205668</v>
      </c>
      <c r="C128" s="1705" t="n">
        <f aca="false">DataDE1!R49/DataDE1!B49</f>
        <v>0.641236266557141</v>
      </c>
      <c r="D128" s="1705" t="n">
        <f aca="false">DataDE1!S49/DataDE1!B49</f>
        <v>0.221829756648527</v>
      </c>
      <c r="E128" s="1661" t="n">
        <f aca="false">F128+G128</f>
        <v>0.12236369237088</v>
      </c>
      <c r="F128" s="1705" t="n">
        <f aca="false">(DataDE1!T49-DataDE1!H49)/DataDE1!B49</f>
        <v>0.0714755108327344</v>
      </c>
      <c r="G128" s="1698" t="n">
        <f aca="false">H128+K128+L128</f>
        <v>0.0508881815381456</v>
      </c>
      <c r="H128" s="1706" t="n">
        <f aca="false">I128-J128</f>
        <v>0.0568641544306397</v>
      </c>
      <c r="I128" s="1707" t="n">
        <f aca="false">DataDE1!U49/DataDE1!B49</f>
        <v>0.343741657254338</v>
      </c>
      <c r="J128" s="1707" t="n">
        <f aca="false">DataDE1!V49/DataDE1!B49</f>
        <v>0.286877502823698</v>
      </c>
      <c r="K128" s="1705" t="n">
        <f aca="false">TableDE8!E46</f>
        <v>0.008594311530958</v>
      </c>
      <c r="L128" s="1700" t="n">
        <f aca="false">TableDE8!K46+TableDE8!L46</f>
        <v>-0.0145702844234521</v>
      </c>
      <c r="M128" s="1719"/>
      <c r="N128" s="1667"/>
      <c r="O128" s="1678" t="n">
        <f aca="false">B128+E128-L128</f>
        <v>1</v>
      </c>
    </row>
    <row r="129" customFormat="false" ht="12" hidden="false" customHeight="false" outlineLevel="0" collapsed="false">
      <c r="A129" s="1715" t="n">
        <v>1989</v>
      </c>
      <c r="B129" s="1672" t="n">
        <f aca="false">C129+D129</f>
        <v>0.851327264015333</v>
      </c>
      <c r="C129" s="1716" t="n">
        <f aca="false">DataDE1!R50/DataDE1!B50</f>
        <v>0.640450407283182</v>
      </c>
      <c r="D129" s="1716" t="n">
        <f aca="false">DataDE1!S50/DataDE1!B50</f>
        <v>0.210876856732151</v>
      </c>
      <c r="E129" s="1672" t="n">
        <f aca="false">F129+G129</f>
        <v>0.134039290848107</v>
      </c>
      <c r="F129" s="1716" t="n">
        <f aca="false">(DataDE1!T50-DataDE1!H50)/DataDE1!B50</f>
        <v>0.0820220412074749</v>
      </c>
      <c r="G129" s="1701" t="n">
        <f aca="false">H129+K129+L129</f>
        <v>0.0520172496406325</v>
      </c>
      <c r="H129" s="1717" t="n">
        <f aca="false">I129-J129</f>
        <v>0.0566363200766651</v>
      </c>
      <c r="I129" s="1718" t="n">
        <f aca="false">DataDE1!U50/DataDE1!B50</f>
        <v>0.362577862961188</v>
      </c>
      <c r="J129" s="1718" t="n">
        <f aca="false">DataDE1!V50/DataDE1!B50</f>
        <v>0.305941542884523</v>
      </c>
      <c r="K129" s="1716" t="n">
        <f aca="false">TableDE8!E47</f>
        <v>0.0100143747005271</v>
      </c>
      <c r="L129" s="1703" t="n">
        <f aca="false">TableDE8!K47+TableDE8!L47</f>
        <v>-0.0146334451365597</v>
      </c>
      <c r="M129" s="1719"/>
      <c r="N129" s="1667"/>
      <c r="O129" s="1678" t="n">
        <f aca="false">B129+E129-L129</f>
        <v>1</v>
      </c>
    </row>
    <row r="130" customFormat="false" ht="12" hidden="false" customHeight="false" outlineLevel="0" collapsed="false">
      <c r="A130" s="1704" t="n">
        <v>1990</v>
      </c>
      <c r="B130" s="1661" t="n">
        <f aca="false">C130+D130</f>
        <v>0.837668279806423</v>
      </c>
      <c r="C130" s="1705" t="n">
        <f aca="false">DataDE1!R51/DataDE1!B51</f>
        <v>0.631069071711395</v>
      </c>
      <c r="D130" s="1705" t="n">
        <f aca="false">DataDE1!S51/DataDE1!B51</f>
        <v>0.206599208095029</v>
      </c>
      <c r="E130" s="1661" t="n">
        <f aca="false">F130+G130</f>
        <v>0.129406071271448</v>
      </c>
      <c r="F130" s="1705" t="n">
        <f aca="false">(DataDE1!T51-DataDE1!H51)/DataDE1!B51</f>
        <v>0.0886053673559173</v>
      </c>
      <c r="G130" s="1698" t="n">
        <f aca="false">H130+K130+L130</f>
        <v>0.0408007039155302</v>
      </c>
      <c r="H130" s="1706" t="n">
        <f aca="false">I130-J130</f>
        <v>0.06381874175099</v>
      </c>
      <c r="I130" s="1707" t="n">
        <f aca="false">DataDE1!U51/DataDE1!B51</f>
        <v>0.371016278046634</v>
      </c>
      <c r="J130" s="1707" t="n">
        <f aca="false">DataDE1!V51/DataDE1!B51</f>
        <v>0.307197536295645</v>
      </c>
      <c r="K130" s="1705" t="n">
        <f aca="false">TableDE8!E48</f>
        <v>0.0099076110866696</v>
      </c>
      <c r="L130" s="1700" t="n">
        <f aca="false">TableDE8!K48+TableDE8!L48</f>
        <v>-0.0329256489221293</v>
      </c>
      <c r="M130" s="1719"/>
      <c r="N130" s="1667"/>
      <c r="O130" s="1678" t="n">
        <f aca="false">B130+E130-L130</f>
        <v>1</v>
      </c>
    </row>
    <row r="131" customFormat="false" ht="12" hidden="false" customHeight="false" outlineLevel="0" collapsed="false">
      <c r="A131" s="1704" t="n">
        <v>1991</v>
      </c>
      <c r="B131" s="1661" t="n">
        <f aca="false">C131+D131</f>
        <v>0.880442216493683</v>
      </c>
      <c r="C131" s="1705" t="n">
        <f aca="false">DataDE1!R52/DataDE1!B52</f>
        <v>0.663287162644581</v>
      </c>
      <c r="D131" s="1705" t="n">
        <f aca="false">DataDE1!S52/DataDE1!B52</f>
        <v>0.217155053849102</v>
      </c>
      <c r="E131" s="1661" t="n">
        <f aca="false">F131+G131</f>
        <v>0.101054435317195</v>
      </c>
      <c r="F131" s="1705" t="n">
        <f aca="false">(DataDE1!T52-DataDE1!H52)/DataDE1!B52</f>
        <v>0.118625852078433</v>
      </c>
      <c r="G131" s="1698" t="n">
        <f aca="false">H131+K131+L131</f>
        <v>-0.0175714167612377</v>
      </c>
      <c r="H131" s="1706" t="n">
        <f aca="false">I131-J131</f>
        <v>-0.00435903409816846</v>
      </c>
      <c r="I131" s="1707" t="n">
        <f aca="false">DataDE1!U52/DataDE1!B52</f>
        <v>0.296414318675455</v>
      </c>
      <c r="J131" s="1707" t="n">
        <f aca="false">DataDE1!V52/DataDE1!B52</f>
        <v>0.300773352773623</v>
      </c>
      <c r="K131" s="1705" t="n">
        <f aca="false">TableDE8!E49</f>
        <v>0.00529096552605274</v>
      </c>
      <c r="L131" s="1700" t="n">
        <f aca="false">TableDE8!K49+TableDE8!L49</f>
        <v>-0.018503348189122</v>
      </c>
      <c r="M131" s="1719"/>
      <c r="N131" s="1667"/>
      <c r="O131" s="1678" t="n">
        <f aca="false">B131+E131-L131</f>
        <v>1</v>
      </c>
    </row>
    <row r="132" customFormat="false" ht="12" hidden="false" customHeight="false" outlineLevel="0" collapsed="false">
      <c r="A132" s="1704" t="n">
        <v>1992</v>
      </c>
      <c r="B132" s="1661" t="n">
        <f aca="false">C132+D132</f>
        <v>0.8903972021686</v>
      </c>
      <c r="C132" s="1705" t="n">
        <f aca="false">DataDE1!R53/DataDE1!B53</f>
        <v>0.667006095676845</v>
      </c>
      <c r="D132" s="1705" t="n">
        <f aca="false">DataDE1!S53/DataDE1!B53</f>
        <v>0.223391106491755</v>
      </c>
      <c r="E132" s="1661" t="n">
        <f aca="false">F132+G132</f>
        <v>0.0973973988033372</v>
      </c>
      <c r="F132" s="1705" t="n">
        <f aca="false">(DataDE1!T53-DataDE1!H53)/DataDE1!B53</f>
        <v>0.110691311553695</v>
      </c>
      <c r="G132" s="1698" t="n">
        <f aca="false">H132+K132+L132</f>
        <v>-0.0132939127503582</v>
      </c>
      <c r="H132" s="1706" t="n">
        <f aca="false">I132-J132</f>
        <v>-0.00468412034045901</v>
      </c>
      <c r="I132" s="1707" t="n">
        <f aca="false">DataDE1!U53/DataDE1!B53</f>
        <v>0.277999382005113</v>
      </c>
      <c r="J132" s="1707" t="n">
        <f aca="false">DataDE1!V53/DataDE1!B53</f>
        <v>0.282683502345572</v>
      </c>
      <c r="K132" s="1705" t="n">
        <f aca="false">TableDE8!E50</f>
        <v>0.00359560661816344</v>
      </c>
      <c r="L132" s="1700" t="n">
        <f aca="false">TableDE8!K50+TableDE8!L50</f>
        <v>-0.0122053990280626</v>
      </c>
      <c r="M132" s="1719"/>
      <c r="N132" s="1667"/>
      <c r="O132" s="1678" t="n">
        <f aca="false">B132+E132-L132</f>
        <v>1</v>
      </c>
    </row>
    <row r="133" customFormat="false" ht="12" hidden="false" customHeight="false" outlineLevel="0" collapsed="false">
      <c r="A133" s="1704" t="n">
        <v>1993</v>
      </c>
      <c r="B133" s="1661" t="n">
        <f aca="false">C133+D133</f>
        <v>0.906020982001678</v>
      </c>
      <c r="C133" s="1705" t="n">
        <f aca="false">DataDE1!R54/DataDE1!B54</f>
        <v>0.679996975071842</v>
      </c>
      <c r="D133" s="1705" t="n">
        <f aca="false">DataDE1!S54/DataDE1!B54</f>
        <v>0.226024006929835</v>
      </c>
      <c r="E133" s="1661" t="n">
        <f aca="false">F133+G133</f>
        <v>0.0802018452061763</v>
      </c>
      <c r="F133" s="1705" t="n">
        <f aca="false">(DataDE1!T54-DataDE1!H54)/DataDE1!B54</f>
        <v>0.0906378473511254</v>
      </c>
      <c r="G133" s="1698" t="n">
        <f aca="false">H133+K133+L133</f>
        <v>-0.0104360021449491</v>
      </c>
      <c r="H133" s="1706" t="n">
        <f aca="false">I133-J133</f>
        <v>0.00202120199645256</v>
      </c>
      <c r="I133" s="1707" t="n">
        <f aca="false">DataDE1!U54/DataDE1!B54</f>
        <v>0.256555156815026</v>
      </c>
      <c r="J133" s="1707" t="n">
        <f aca="false">DataDE1!V54/DataDE1!B54</f>
        <v>0.254533954818573</v>
      </c>
      <c r="K133" s="1705" t="n">
        <f aca="false">TableDE8!E51</f>
        <v>0.00131996865074454</v>
      </c>
      <c r="L133" s="1700" t="n">
        <f aca="false">TableDE8!K51+TableDE8!L51</f>
        <v>-0.0137771727921462</v>
      </c>
      <c r="M133" s="1719"/>
      <c r="N133" s="1667"/>
      <c r="O133" s="1678" t="n">
        <f aca="false">B133+E133-L133</f>
        <v>1</v>
      </c>
    </row>
    <row r="134" customFormat="false" ht="12" hidden="false" customHeight="false" outlineLevel="0" collapsed="false">
      <c r="A134" s="1704" t="n">
        <v>1994</v>
      </c>
      <c r="B134" s="1661" t="n">
        <f aca="false">C134+D134</f>
        <v>0.906729400600981</v>
      </c>
      <c r="C134" s="1705" t="n">
        <f aca="false">DataDE1!R55/DataDE1!B55</f>
        <v>0.680551162422901</v>
      </c>
      <c r="D134" s="1705" t="n">
        <f aca="false">DataDE1!S55/DataDE1!B55</f>
        <v>0.22617823817808</v>
      </c>
      <c r="E134" s="1661" t="n">
        <f aca="false">F134+G134</f>
        <v>0.0791027465865359</v>
      </c>
      <c r="F134" s="1705" t="n">
        <f aca="false">(DataDE1!T55-DataDE1!H55)/DataDE1!B55</f>
        <v>0.0963084506299752</v>
      </c>
      <c r="G134" s="1698" t="n">
        <f aca="false">H134+K134+L134</f>
        <v>-0.0172057040434393</v>
      </c>
      <c r="H134" s="1706" t="n">
        <f aca="false">I134-J134</f>
        <v>0.00392746059360005</v>
      </c>
      <c r="I134" s="1707" t="n">
        <f aca="false">DataDE1!U55/DataDE1!B55</f>
        <v>0.268174389793874</v>
      </c>
      <c r="J134" s="1707" t="n">
        <f aca="false">DataDE1!V55/DataDE1!B55</f>
        <v>0.264246929200274</v>
      </c>
      <c r="K134" s="1705" t="n">
        <f aca="false">TableDE8!E52</f>
        <v>-0.00696531182455585</v>
      </c>
      <c r="L134" s="1700" t="n">
        <f aca="false">TableDE8!K52+TableDE8!L52</f>
        <v>-0.0141678528124835</v>
      </c>
      <c r="M134" s="1719"/>
      <c r="N134" s="1667"/>
      <c r="O134" s="1678" t="n">
        <f aca="false">B134+E134-L134</f>
        <v>1</v>
      </c>
    </row>
    <row r="135" customFormat="false" ht="12" hidden="false" customHeight="false" outlineLevel="0" collapsed="false">
      <c r="A135" s="1704" t="n">
        <v>1995</v>
      </c>
      <c r="B135" s="1661" t="n">
        <f aca="false">C135+D135</f>
        <v>0.90775279252184</v>
      </c>
      <c r="C135" s="1705" t="n">
        <f aca="false">DataDE1!R56/DataDE1!B56</f>
        <v>0.679552941626258</v>
      </c>
      <c r="D135" s="1705" t="n">
        <f aca="false">DataDE1!S56/DataDE1!B56</f>
        <v>0.228199850895582</v>
      </c>
      <c r="E135" s="1661" t="n">
        <f aca="false">F135+G135</f>
        <v>0.0805227575396497</v>
      </c>
      <c r="F135" s="1705" t="n">
        <f aca="false">(DataDE1!T56-DataDE1!H56)/DataDE1!B56</f>
        <v>0.0953885954236414</v>
      </c>
      <c r="G135" s="1698" t="n">
        <f aca="false">H135+K135+L135</f>
        <v>-0.0148658378839917</v>
      </c>
      <c r="H135" s="1706" t="n">
        <f aca="false">I135-J135</f>
        <v>0.00700281004479503</v>
      </c>
      <c r="I135" s="1707" t="n">
        <f aca="false">DataDE1!U56/DataDE1!B56</f>
        <v>0.279634503017134</v>
      </c>
      <c r="J135" s="1707" t="n">
        <f aca="false">DataDE1!V56/DataDE1!B56</f>
        <v>0.272631692972339</v>
      </c>
      <c r="K135" s="1705" t="n">
        <f aca="false">TableDE8!E53</f>
        <v>-0.0101441979902764</v>
      </c>
      <c r="L135" s="1700" t="n">
        <f aca="false">TableDE8!K53+TableDE8!L53</f>
        <v>-0.0117244499385104</v>
      </c>
      <c r="M135" s="1719"/>
      <c r="N135" s="1667"/>
      <c r="O135" s="1678" t="n">
        <f aca="false">B135+E135-L135</f>
        <v>1</v>
      </c>
    </row>
    <row r="136" customFormat="false" ht="12" hidden="false" customHeight="false" outlineLevel="0" collapsed="false">
      <c r="A136" s="1704" t="n">
        <v>1996</v>
      </c>
      <c r="B136" s="1661" t="n">
        <f aca="false">C136+D136</f>
        <v>0.914825132703384</v>
      </c>
      <c r="C136" s="1705" t="n">
        <f aca="false">DataDE1!R57/DataDE1!B57</f>
        <v>0.683055377781124</v>
      </c>
      <c r="D136" s="1705" t="n">
        <f aca="false">DataDE1!S57/DataDE1!B57</f>
        <v>0.23176975492226</v>
      </c>
      <c r="E136" s="1661" t="n">
        <f aca="false">F136+G136</f>
        <v>0.0733601877297996</v>
      </c>
      <c r="F136" s="1705" t="n">
        <f aca="false">(DataDE1!T57-DataDE1!H57)/DataDE1!B57</f>
        <v>0.0814165066696784</v>
      </c>
      <c r="G136" s="1698" t="n">
        <f aca="false">H136+K136+L136</f>
        <v>-0.0080563189398788</v>
      </c>
      <c r="H136" s="1706" t="n">
        <f aca="false">I136-J136</f>
        <v>0.0113001794476025</v>
      </c>
      <c r="I136" s="1707" t="n">
        <f aca="false">DataDE1!U57/DataDE1!B57</f>
        <v>0.291803134686092</v>
      </c>
      <c r="J136" s="1707" t="n">
        <f aca="false">DataDE1!V57/DataDE1!B57</f>
        <v>0.28050295523849</v>
      </c>
      <c r="K136" s="1705" t="n">
        <f aca="false">TableDE8!E54</f>
        <v>-0.00754181882066534</v>
      </c>
      <c r="L136" s="1700" t="n">
        <f aca="false">TableDE8!K54+TableDE8!L54</f>
        <v>-0.011814679566816</v>
      </c>
      <c r="M136" s="1719"/>
      <c r="N136" s="1667"/>
      <c r="O136" s="1678" t="n">
        <f aca="false">B136+E136-L136</f>
        <v>1</v>
      </c>
    </row>
    <row r="137" customFormat="false" ht="12" hidden="false" customHeight="false" outlineLevel="0" collapsed="false">
      <c r="A137" s="1704" t="n">
        <v>1997</v>
      </c>
      <c r="B137" s="1661" t="n">
        <f aca="false">C137+D137</f>
        <v>0.91292949232003</v>
      </c>
      <c r="C137" s="1705" t="n">
        <f aca="false">DataDE1!R58/DataDE1!B58</f>
        <v>0.685226081056073</v>
      </c>
      <c r="D137" s="1705" t="n">
        <f aca="false">DataDE1!S58/DataDE1!B58</f>
        <v>0.227703411263957</v>
      </c>
      <c r="E137" s="1661" t="n">
        <f aca="false">F137+G137</f>
        <v>0.0757633705508605</v>
      </c>
      <c r="F137" s="1705" t="n">
        <f aca="false">(DataDE1!T58-DataDE1!H58)/DataDE1!B58</f>
        <v>0.0815125532046142</v>
      </c>
      <c r="G137" s="1698" t="n">
        <f aca="false">H137+K137+L137</f>
        <v>-0.00574918265375369</v>
      </c>
      <c r="H137" s="1706" t="n">
        <f aca="false">I137-J137</f>
        <v>0.0152180618098821</v>
      </c>
      <c r="I137" s="1707" t="n">
        <f aca="false">DataDE1!U58/DataDE1!B58</f>
        <v>0.323249645302572</v>
      </c>
      <c r="J137" s="1707" t="n">
        <f aca="false">DataDE1!V58/DataDE1!B58</f>
        <v>0.30803158349269</v>
      </c>
      <c r="K137" s="1705" t="n">
        <f aca="false">TableDE8!E55</f>
        <v>-0.00966010733452594</v>
      </c>
      <c r="L137" s="1700" t="n">
        <f aca="false">TableDE8!K55+TableDE8!L55</f>
        <v>-0.0113071371291099</v>
      </c>
      <c r="M137" s="1719"/>
      <c r="N137" s="1667"/>
      <c r="O137" s="1678" t="n">
        <f aca="false">B137+E137-L137</f>
        <v>1</v>
      </c>
    </row>
    <row r="138" customFormat="false" ht="12" hidden="false" customHeight="false" outlineLevel="0" collapsed="false">
      <c r="A138" s="1704" t="n">
        <v>1998</v>
      </c>
      <c r="B138" s="1661" t="n">
        <f aca="false">C138+D138</f>
        <v>0.908922314848375</v>
      </c>
      <c r="C138" s="1705" t="n">
        <f aca="false">DataDE1!R59/DataDE1!B59</f>
        <v>0.682699045547904</v>
      </c>
      <c r="D138" s="1705" t="n">
        <f aca="false">DataDE1!S59/DataDE1!B59</f>
        <v>0.226223269300471</v>
      </c>
      <c r="E138" s="1661" t="n">
        <f aca="false">F138+G138</f>
        <v>0.0792920140147397</v>
      </c>
      <c r="F138" s="1705" t="n">
        <f aca="false">(DataDE1!T59-DataDE1!H59)/DataDE1!B59</f>
        <v>0.0880874713060288</v>
      </c>
      <c r="G138" s="1698" t="n">
        <f aca="false">H138+K138+L138</f>
        <v>-0.00879545729128912</v>
      </c>
      <c r="H138" s="1706" t="n">
        <f aca="false">I138-J138</f>
        <v>0.0162679714872538</v>
      </c>
      <c r="I138" s="1707" t="n">
        <f aca="false">DataDE1!U59/DataDE1!B59</f>
        <v>0.338371390600459</v>
      </c>
      <c r="J138" s="1707" t="n">
        <f aca="false">DataDE1!V59/DataDE1!B59</f>
        <v>0.322103419113205</v>
      </c>
      <c r="K138" s="1705" t="n">
        <f aca="false">TableDE8!E56</f>
        <v>-0.0132777576416576</v>
      </c>
      <c r="L138" s="1700" t="n">
        <f aca="false">TableDE8!K56+TableDE8!L56</f>
        <v>-0.0117856711368853</v>
      </c>
      <c r="M138" s="1719"/>
      <c r="N138" s="1667"/>
      <c r="O138" s="1678" t="n">
        <f aca="false">B138+E138-L138</f>
        <v>1</v>
      </c>
    </row>
    <row r="139" customFormat="false" ht="12" hidden="false" customHeight="false" outlineLevel="0" collapsed="false">
      <c r="A139" s="1720" t="n">
        <f aca="false">A138+1</f>
        <v>1999</v>
      </c>
      <c r="B139" s="1661" t="n">
        <f aca="false">C139+D139</f>
        <v>0.916761011694832</v>
      </c>
      <c r="C139" s="1705" t="n">
        <f aca="false">DataDE1!R60/DataDE1!B60</f>
        <v>0.688685116800133</v>
      </c>
      <c r="D139" s="1705" t="n">
        <f aca="false">DataDE1!S60/DataDE1!B60</f>
        <v>0.228075894894699</v>
      </c>
      <c r="E139" s="1661" t="n">
        <f aca="false">F139+G139</f>
        <v>0.0716212131091182</v>
      </c>
      <c r="F139" s="1705" t="n">
        <f aca="false">(DataDE1!T60-DataDE1!H60)/DataDE1!B60</f>
        <v>0.087068112170805</v>
      </c>
      <c r="G139" s="1698" t="n">
        <f aca="false">H139+K139+L139</f>
        <v>-0.0154468990616868</v>
      </c>
      <c r="H139" s="1706" t="n">
        <f aca="false">I139-J139</f>
        <v>0.0104204330584979</v>
      </c>
      <c r="I139" s="1707" t="n">
        <f aca="false">DataDE1!U60/DataDE1!B60</f>
        <v>0.348610312553717</v>
      </c>
      <c r="J139" s="1707" t="n">
        <f aca="false">DataDE1!V60/DataDE1!B60</f>
        <v>0.338189879495219</v>
      </c>
      <c r="K139" s="1705" t="n">
        <f aca="false">TableDE8!E57</f>
        <v>-0.0142495569241347</v>
      </c>
      <c r="L139" s="1700" t="n">
        <f aca="false">TableDE8!K57+TableDE8!L57</f>
        <v>-0.01161777519605</v>
      </c>
      <c r="M139" s="1719"/>
      <c r="N139" s="1667"/>
      <c r="O139" s="1678" t="n">
        <f aca="false">B139+E139-L139</f>
        <v>1</v>
      </c>
    </row>
    <row r="140" customFormat="false" ht="12" hidden="false" customHeight="false" outlineLevel="0" collapsed="false">
      <c r="A140" s="1721" t="n">
        <f aca="false">A139+1</f>
        <v>2000</v>
      </c>
      <c r="B140" s="1709" t="n">
        <f aca="false">C140+D140</f>
        <v>0.91886485013308</v>
      </c>
      <c r="C140" s="1710" t="n">
        <f aca="false">DataDE1!R61/DataDE1!B61</f>
        <v>0.692965619618099</v>
      </c>
      <c r="D140" s="1710" t="n">
        <f aca="false">DataDE1!S61/DataDE1!B61</f>
        <v>0.225899230514981</v>
      </c>
      <c r="E140" s="1709" t="n">
        <f aca="false">F140+G140</f>
        <v>0.0680881167622482</v>
      </c>
      <c r="F140" s="1710" t="n">
        <f aca="false">(DataDE1!T61-DataDE1!H61)/DataDE1!B61</f>
        <v>0.0900245284222368</v>
      </c>
      <c r="G140" s="1711" t="n">
        <f aca="false">H140+K140+L140</f>
        <v>-0.0219364116599885</v>
      </c>
      <c r="H140" s="1712" t="n">
        <f aca="false">I140-J140</f>
        <v>0.00365316926930814</v>
      </c>
      <c r="I140" s="1713" t="n">
        <f aca="false">DataDE1!U61/DataDE1!B61</f>
        <v>0.396368865719935</v>
      </c>
      <c r="J140" s="1713" t="n">
        <f aca="false">DataDE1!V61/DataDE1!B61</f>
        <v>0.392715696450627</v>
      </c>
      <c r="K140" s="1710" t="n">
        <f aca="false">TableDE8!E58</f>
        <v>-0.0125425478246247</v>
      </c>
      <c r="L140" s="1714" t="n">
        <f aca="false">TableDE8!K58+TableDE8!L58</f>
        <v>-0.013047033104672</v>
      </c>
      <c r="M140" s="1719"/>
      <c r="N140" s="1667"/>
      <c r="O140" s="1678" t="n">
        <f aca="false">B140+E140-L140</f>
        <v>1</v>
      </c>
    </row>
    <row r="141" customFormat="false" ht="12" hidden="false" customHeight="false" outlineLevel="0" collapsed="false">
      <c r="A141" s="1720" t="n">
        <f aca="false">A140+1</f>
        <v>2001</v>
      </c>
      <c r="B141" s="1661" t="n">
        <f aca="false">C141+D141</f>
        <v>0.92367098920497</v>
      </c>
      <c r="C141" s="1705" t="n">
        <f aca="false">DataDE1!R62/DataDE1!B62</f>
        <v>0.697846651730147</v>
      </c>
      <c r="D141" s="1705" t="n">
        <f aca="false">DataDE1!S62/DataDE1!B62</f>
        <v>0.225824337474823</v>
      </c>
      <c r="E141" s="1661" t="n">
        <f aca="false">F141+G141</f>
        <v>0.0639837508769548</v>
      </c>
      <c r="F141" s="1705" t="n">
        <f aca="false">(DataDE1!T62-DataDE1!H62)/DataDE1!B62</f>
        <v>0.0661902822096997</v>
      </c>
      <c r="G141" s="1698" t="n">
        <f aca="false">H141+K141+L141</f>
        <v>-0.00220653133274487</v>
      </c>
      <c r="H141" s="1706" t="n">
        <f aca="false">I141-J141</f>
        <v>0.0235815963971304</v>
      </c>
      <c r="I141" s="1707" t="n">
        <f aca="false">DataDE1!U62/DataDE1!B62</f>
        <v>0.413713309344377</v>
      </c>
      <c r="J141" s="1707" t="n">
        <f aca="false">DataDE1!V62/DataDE1!B62</f>
        <v>0.390131712947247</v>
      </c>
      <c r="K141" s="1705" t="n">
        <f aca="false">TableDE8!E59</f>
        <v>-0.0134428678117998</v>
      </c>
      <c r="L141" s="1700" t="n">
        <f aca="false">TableDE8!K59+TableDE8!L59</f>
        <v>-0.0123452599180755</v>
      </c>
      <c r="M141" s="1719"/>
      <c r="N141" s="1667"/>
      <c r="O141" s="1678" t="n">
        <f aca="false">B141+E141-L141</f>
        <v>1</v>
      </c>
    </row>
    <row r="142" customFormat="false" ht="12" hidden="false" customHeight="false" outlineLevel="0" collapsed="false">
      <c r="A142" s="1720" t="n">
        <f aca="false">A141+1</f>
        <v>2002</v>
      </c>
      <c r="B142" s="1661" t="n">
        <f aca="false">C142+D142</f>
        <v>0.9236604919968</v>
      </c>
      <c r="C142" s="1705" t="n">
        <f aca="false">DataDE1!R63/DataDE1!B63</f>
        <v>0.694065715196849</v>
      </c>
      <c r="D142" s="1705" t="n">
        <f aca="false">DataDE1!S63/DataDE1!B63</f>
        <v>0.229594776799951</v>
      </c>
      <c r="E142" s="1661" t="n">
        <f aca="false">F142+G142</f>
        <v>0.0622688694815404</v>
      </c>
      <c r="F142" s="1705" t="n">
        <f aca="false">(DataDE1!T63-DataDE1!H63)/DataDE1!B63</f>
        <v>0.038726425386453</v>
      </c>
      <c r="G142" s="1698" t="n">
        <f aca="false">H142+K142+L142</f>
        <v>0.0235424440950874</v>
      </c>
      <c r="H142" s="1706" t="n">
        <f aca="false">I142-J142</f>
        <v>0.0536530510627109</v>
      </c>
      <c r="I142" s="1707" t="n">
        <f aca="false">DataDE1!U63/DataDE1!B63</f>
        <v>0.425515130831762</v>
      </c>
      <c r="J142" s="1707" t="n">
        <f aca="false">DataDE1!V63/DataDE1!B63</f>
        <v>0.371862079769051</v>
      </c>
      <c r="K142" s="1705" t="n">
        <f aca="false">TableDE8!E60</f>
        <v>-0.0160399684459637</v>
      </c>
      <c r="L142" s="1700" t="n">
        <f aca="false">TableDE8!K60+TableDE8!L60</f>
        <v>-0.0140706385216598</v>
      </c>
      <c r="M142" s="1719"/>
      <c r="N142" s="1667"/>
      <c r="O142" s="1678" t="n">
        <f aca="false">B142+E142-L142</f>
        <v>1</v>
      </c>
    </row>
    <row r="143" customFormat="false" ht="12" hidden="false" customHeight="false" outlineLevel="0" collapsed="false">
      <c r="A143" s="1720" t="n">
        <f aca="false">A142+1</f>
        <v>2003</v>
      </c>
      <c r="B143" s="1661" t="n">
        <f aca="false">C143+D143</f>
        <v>0.927386144079492</v>
      </c>
      <c r="C143" s="1705" t="n">
        <f aca="false">DataDE1!R64/DataDE1!B64</f>
        <v>0.698045818382556</v>
      </c>
      <c r="D143" s="1705" t="n">
        <f aca="false">DataDE1!S64/DataDE1!B64</f>
        <v>0.229340325696936</v>
      </c>
      <c r="E143" s="1661" t="n">
        <f aca="false">F143+G143</f>
        <v>0.0585481645045543</v>
      </c>
      <c r="F143" s="1705" t="n">
        <f aca="false">(DataDE1!T64-DataDE1!H64)/DataDE1!B64</f>
        <v>0.0361799613579906</v>
      </c>
      <c r="G143" s="1698" t="n">
        <f aca="false">H143+K143+L143</f>
        <v>0.0223682031465637</v>
      </c>
      <c r="H143" s="1706" t="n">
        <f aca="false">I143-J143</f>
        <v>0.0464532155672096</v>
      </c>
      <c r="I143" s="1707" t="n">
        <f aca="false">DataDE1!U64/DataDE1!B64</f>
        <v>0.423450179409329</v>
      </c>
      <c r="J143" s="1707" t="n">
        <f aca="false">DataDE1!V64/DataDE1!B64</f>
        <v>0.37699696384212</v>
      </c>
      <c r="K143" s="1705" t="n">
        <f aca="false">TableDE8!E61</f>
        <v>-0.0100193210046922</v>
      </c>
      <c r="L143" s="1700" t="n">
        <f aca="false">TableDE8!K61+TableDE8!L61</f>
        <v>-0.0140656914159536</v>
      </c>
      <c r="M143" s="1719"/>
      <c r="N143" s="1667"/>
      <c r="O143" s="1678" t="n">
        <f aca="false">B143+E143-L143</f>
        <v>1</v>
      </c>
    </row>
    <row r="144" customFormat="false" ht="12" hidden="false" customHeight="false" outlineLevel="0" collapsed="false">
      <c r="A144" s="1720" t="n">
        <f aca="false">A143+1</f>
        <v>2004</v>
      </c>
      <c r="B144" s="1661" t="n">
        <f aca="false">C144+D144</f>
        <v>0.897561826621131</v>
      </c>
      <c r="C144" s="1705" t="n">
        <f aca="false">DataDE1!R65/DataDE1!B65</f>
        <v>0.678591442074879</v>
      </c>
      <c r="D144" s="1705" t="n">
        <f aca="false">DataDE1!S65/DataDE1!B65</f>
        <v>0.218970384546252</v>
      </c>
      <c r="E144" s="1661" t="n">
        <f aca="false">F144+G144</f>
        <v>0.0880005075122385</v>
      </c>
      <c r="F144" s="1705" t="n">
        <f aca="false">(DataDE1!T65-DataDE1!H65)/DataDE1!B65</f>
        <v>0.0339345943602703</v>
      </c>
      <c r="G144" s="1698" t="n">
        <f aca="false">H144+K144+L144</f>
        <v>0.0540659131519682</v>
      </c>
      <c r="H144" s="1706" t="n">
        <f aca="false">I144-J144</f>
        <v>0.0585595110965437</v>
      </c>
      <c r="I144" s="1707" t="n">
        <f aca="false">DataDE1!U65/DataDE1!B65</f>
        <v>0.447477769906639</v>
      </c>
      <c r="J144" s="1707" t="n">
        <f aca="false">DataDE1!V65/DataDE1!B65</f>
        <v>0.388918258810095</v>
      </c>
      <c r="K144" s="1705" t="n">
        <f aca="false">TableDE8!E62</f>
        <v>0.00994406792205457</v>
      </c>
      <c r="L144" s="1700" t="n">
        <f aca="false">TableDE8!K62+TableDE8!L62</f>
        <v>-0.01443766586663</v>
      </c>
      <c r="M144" s="1719"/>
      <c r="N144" s="1667"/>
      <c r="O144" s="1678" t="n">
        <f aca="false">B144+E144-L144</f>
        <v>1</v>
      </c>
    </row>
    <row r="145" customFormat="false" ht="12" hidden="false" customHeight="false" outlineLevel="0" collapsed="false">
      <c r="A145" s="1720" t="n">
        <f aca="false">A144+1</f>
        <v>2005</v>
      </c>
      <c r="B145" s="1661" t="n">
        <f aca="false">C145+D145</f>
        <v>0.897300729068551</v>
      </c>
      <c r="C145" s="1705" t="n">
        <f aca="false">DataDE1!R66/DataDE1!B66</f>
        <v>0.680141338342969</v>
      </c>
      <c r="D145" s="1705" t="n">
        <f aca="false">DataDE1!S66/DataDE1!B66</f>
        <v>0.217159390725582</v>
      </c>
      <c r="E145" s="1661" t="n">
        <f aca="false">F145+G145</f>
        <v>0.0877380140817951</v>
      </c>
      <c r="F145" s="1705" t="n">
        <f aca="false">(DataDE1!T66-DataDE1!H66)/DataDE1!B66</f>
        <v>0.0292303929476538</v>
      </c>
      <c r="G145" s="1698" t="n">
        <f aca="false">H145+K145+L145</f>
        <v>0.0585076211341414</v>
      </c>
      <c r="H145" s="1706" t="n">
        <f aca="false">I145-J145</f>
        <v>0.0603602150257854</v>
      </c>
      <c r="I145" s="1707" t="n">
        <f aca="false">DataDE1!U66/DataDE1!B66</f>
        <v>0.478276255054303</v>
      </c>
      <c r="J145" s="1707" t="n">
        <f aca="false">DataDE1!V66/DataDE1!B66</f>
        <v>0.417916040028517</v>
      </c>
      <c r="K145" s="1705" t="n">
        <f aca="false">TableDE8!E63</f>
        <v>0.0131086629580096</v>
      </c>
      <c r="L145" s="1700" t="n">
        <f aca="false">TableDE8!K63+TableDE8!L63</f>
        <v>-0.0149612568496537</v>
      </c>
      <c r="M145" s="1719"/>
      <c r="N145" s="1667"/>
      <c r="O145" s="1678" t="n">
        <f aca="false">B145+E145-L145</f>
        <v>1</v>
      </c>
    </row>
    <row r="146" customFormat="false" ht="12" hidden="false" customHeight="false" outlineLevel="0" collapsed="false">
      <c r="A146" s="1720" t="n">
        <f aca="false">A145+1</f>
        <v>2006</v>
      </c>
      <c r="B146" s="1661" t="n">
        <f aca="false">C146+D146</f>
        <v>0.871138652972546</v>
      </c>
      <c r="C146" s="1705" t="n">
        <f aca="false">DataDE1!R67/DataDE1!B67</f>
        <v>0.661435907564685</v>
      </c>
      <c r="D146" s="1705" t="n">
        <f aca="false">DataDE1!S67/DataDE1!B67</f>
        <v>0.209702745407861</v>
      </c>
      <c r="E146" s="1661" t="n">
        <f aca="false">F146+G146</f>
        <v>0.115425636974126</v>
      </c>
      <c r="F146" s="1705" t="n">
        <f aca="false">(DataDE1!T67-DataDE1!H67)/DataDE1!B67</f>
        <v>0.0413736914872605</v>
      </c>
      <c r="G146" s="1698" t="n">
        <f aca="false">H146+K146+L146</f>
        <v>0.0740519454868655</v>
      </c>
      <c r="H146" s="1706" t="n">
        <f aca="false">I146-J146</f>
        <v>0.064215879913095</v>
      </c>
      <c r="I146" s="1707" t="n">
        <f aca="false">DataDE1!U67/DataDE1!B67</f>
        <v>0.520017776022121</v>
      </c>
      <c r="J146" s="1707" t="n">
        <f aca="false">DataDE1!V67/DataDE1!B67</f>
        <v>0.455801896109026</v>
      </c>
      <c r="K146" s="1705" t="n">
        <f aca="false">TableDE8!E64</f>
        <v>0.0232717756270986</v>
      </c>
      <c r="L146" s="1700" t="n">
        <f aca="false">TableDE8!K64+TableDE8!L64</f>
        <v>-0.0134357100533281</v>
      </c>
      <c r="M146" s="1719"/>
      <c r="N146" s="1667"/>
      <c r="O146" s="1678" t="n">
        <f aca="false">B146+E146-L146</f>
        <v>1</v>
      </c>
    </row>
    <row r="147" customFormat="false" ht="12" hidden="false" customHeight="false" outlineLevel="0" collapsed="false">
      <c r="A147" s="1720" t="n">
        <f aca="false">A146+1</f>
        <v>2007</v>
      </c>
      <c r="B147" s="1661" t="n">
        <f aca="false">C147+D147</f>
        <v>0.845500472143532</v>
      </c>
      <c r="C147" s="1705" t="n">
        <f aca="false">DataDE1!R68/DataDE1!B68</f>
        <v>0.640571293673277</v>
      </c>
      <c r="D147" s="1705" t="n">
        <f aca="false">DataDE1!S68/DataDE1!B68</f>
        <v>0.204929178470255</v>
      </c>
      <c r="E147" s="1661" t="n">
        <f aca="false">F147+G147</f>
        <v>0.140868744098206</v>
      </c>
      <c r="F147" s="1705" t="n">
        <f aca="false">(DataDE1!T68-DataDE1!H68)/DataDE1!B68</f>
        <v>0.054494806421152</v>
      </c>
      <c r="G147" s="1698" t="n">
        <f aca="false">H147+K147+L147</f>
        <v>0.0863739376770538</v>
      </c>
      <c r="H147" s="1706" t="n">
        <f aca="false">I147-J147</f>
        <v>0.0802549575070822</v>
      </c>
      <c r="I147" s="1707" t="n">
        <f aca="false">DataDE1!U68/DataDE1!B68</f>
        <v>0.540797922568461</v>
      </c>
      <c r="J147" s="1707" t="n">
        <f aca="false">DataDE1!V68/DataDE1!B68</f>
        <v>0.460542965061379</v>
      </c>
      <c r="K147" s="1705" t="n">
        <f aca="false">TableDE8!E65</f>
        <v>0.0197497639282342</v>
      </c>
      <c r="L147" s="1700" t="n">
        <f aca="false">TableDE8!K65+TableDE8!L65</f>
        <v>-0.0136307837582625</v>
      </c>
      <c r="M147" s="1719"/>
      <c r="N147" s="1667"/>
      <c r="O147" s="1678" t="n">
        <f aca="false">B147+E147-L147</f>
        <v>1</v>
      </c>
    </row>
    <row r="148" customFormat="false" ht="12" hidden="false" customHeight="false" outlineLevel="0" collapsed="false">
      <c r="A148" s="1720" t="n">
        <f aca="false">A147+1</f>
        <v>2008</v>
      </c>
      <c r="B148" s="1661" t="n">
        <f aca="false">C148+D148</f>
        <v>0.860195100518367</v>
      </c>
      <c r="C148" s="1705" t="n">
        <f aca="false">DataDE1!R69/DataDE1!B69</f>
        <v>0.648636773689943</v>
      </c>
      <c r="D148" s="1705" t="n">
        <f aca="false">DataDE1!S69/DataDE1!B69</f>
        <v>0.211558326828425</v>
      </c>
      <c r="E148" s="1661" t="n">
        <f aca="false">F148+G148</f>
        <v>0.124581076091072</v>
      </c>
      <c r="F148" s="1705" t="n">
        <f aca="false">(DataDE1!T69-DataDE1!H69)/DataDE1!B69</f>
        <v>0.0529258066476271</v>
      </c>
      <c r="G148" s="1698" t="n">
        <f aca="false">H148+K148+L148</f>
        <v>0.0716552694434447</v>
      </c>
      <c r="H148" s="1706" t="n">
        <f aca="false">I148-J148</f>
        <v>0.0720619236144545</v>
      </c>
      <c r="I148" s="1707" t="n">
        <f aca="false">DataDE1!U69/DataDE1!B69</f>
        <v>0.555830813168117</v>
      </c>
      <c r="J148" s="1707" t="n">
        <f aca="false">DataDE1!V69/DataDE1!B69</f>
        <v>0.483768889553662</v>
      </c>
      <c r="K148" s="1705" t="n">
        <f aca="false">TableDE8!E66</f>
        <v>0.0148171692195512</v>
      </c>
      <c r="L148" s="1700" t="n">
        <f aca="false">TableDE8!K66+TableDE8!L66</f>
        <v>-0.015223823390561</v>
      </c>
      <c r="M148" s="1719"/>
      <c r="N148" s="1667"/>
      <c r="O148" s="1678" t="n">
        <f aca="false">B148+E148-L148</f>
        <v>1</v>
      </c>
    </row>
    <row r="149" customFormat="false" ht="12" hidden="false" customHeight="false" outlineLevel="0" collapsed="false">
      <c r="A149" s="1720" t="n">
        <f aca="false">A148+1</f>
        <v>2009</v>
      </c>
      <c r="B149" s="1661" t="n">
        <f aca="false">C149+D149</f>
        <v>0.908294984790578</v>
      </c>
      <c r="C149" s="1705" t="n">
        <f aca="false">DataDE1!R70/DataDE1!B70</f>
        <v>0.676346423835894</v>
      </c>
      <c r="D149" s="1705" t="n">
        <f aca="false">DataDE1!S70/DataDE1!B70</f>
        <v>0.231948560954684</v>
      </c>
      <c r="E149" s="1661" t="n">
        <f aca="false">F149+G149</f>
        <v>0.0760129865065128</v>
      </c>
      <c r="F149" s="1705" t="n">
        <f aca="false">(DataDE1!T70-DataDE1!H70)/DataDE1!B70</f>
        <v>0.00938889322205756</v>
      </c>
      <c r="G149" s="1698" t="n">
        <f aca="false">H149+K149+L149</f>
        <v>0.0666240932844552</v>
      </c>
      <c r="H149" s="1706" t="n">
        <f aca="false">I149-J149</f>
        <v>0.057771429685672</v>
      </c>
      <c r="I149" s="1707" t="n">
        <f aca="false">DataDE1!U70/DataDE1!B70</f>
        <v>0.485492551283051</v>
      </c>
      <c r="J149" s="1707" t="n">
        <f aca="false">DataDE1!V70/DataDE1!B70</f>
        <v>0.427721121597379</v>
      </c>
      <c r="K149" s="1705" t="n">
        <f aca="false">TableDE8!E67</f>
        <v>0.0245446923016925</v>
      </c>
      <c r="L149" s="1700" t="n">
        <f aca="false">TableDE8!K67+TableDE8!L67</f>
        <v>-0.0156920287029093</v>
      </c>
      <c r="M149" s="1719"/>
      <c r="N149" s="1667"/>
      <c r="O149" s="1678" t="n">
        <f aca="false">B149+E149-L149</f>
        <v>1</v>
      </c>
    </row>
    <row r="150" customFormat="false" ht="12" hidden="false" customHeight="false" outlineLevel="0" collapsed="false">
      <c r="A150" s="1721" t="n">
        <f aca="false">A149+1</f>
        <v>2010</v>
      </c>
      <c r="B150" s="1709" t="n">
        <f aca="false">C150+D150</f>
        <v>0.890837162055115</v>
      </c>
      <c r="C150" s="1710" t="n">
        <f aca="false">DataDE1!R71/DataDE1!B71</f>
        <v>0.663084909089215</v>
      </c>
      <c r="D150" s="1710" t="n">
        <f aca="false">DataDE1!S71/DataDE1!B71</f>
        <v>0.2277522529659</v>
      </c>
      <c r="E150" s="1709" t="n">
        <f aca="false">F150+G150</f>
        <v>0.091381415244681</v>
      </c>
      <c r="F150" s="1710" t="n">
        <f aca="false">(DataDE1!T71-DataDE1!H71)/DataDE1!B71</f>
        <v>0.0246358442913991</v>
      </c>
      <c r="G150" s="1711" t="n">
        <f aca="false">H150+K150+L150</f>
        <v>0.0667455709532819</v>
      </c>
      <c r="H150" s="1712" t="n">
        <f aca="false">I150-J150</f>
        <v>0.0631156631221868</v>
      </c>
      <c r="I150" s="1713" t="n">
        <f aca="false">DataDE1!U71/DataDE1!B71</f>
        <v>0.540432233954316</v>
      </c>
      <c r="J150" s="1713" t="n">
        <f aca="false">DataDE1!V71/DataDE1!B71</f>
        <v>0.47731657083213</v>
      </c>
      <c r="K150" s="1710" t="n">
        <f aca="false">TableDE8!E68</f>
        <v>0.0214113305312992</v>
      </c>
      <c r="L150" s="1714" t="n">
        <f aca="false">TableDE8!K68+TableDE8!L68</f>
        <v>-0.0177814227002041</v>
      </c>
      <c r="M150" s="1719"/>
      <c r="N150" s="1667"/>
      <c r="O150" s="1678" t="n">
        <f aca="false">B150+E150-L150</f>
        <v>1</v>
      </c>
    </row>
    <row r="151" customFormat="false" ht="13" hidden="false" customHeight="false" outlineLevel="0" collapsed="false">
      <c r="A151" s="1722" t="n">
        <f aca="false">A150+1</f>
        <v>2011</v>
      </c>
      <c r="B151" s="1723" t="n">
        <f aca="false">C151+D151</f>
        <v>0.88721676313546</v>
      </c>
      <c r="C151" s="1724" t="n">
        <f aca="false">DataDE1!R72/DataDE1!B72</f>
        <v>0.661560550993853</v>
      </c>
      <c r="D151" s="1724" t="n">
        <f aca="false">DataDE1!S72/DataDE1!B72</f>
        <v>0.225656212141607</v>
      </c>
      <c r="E151" s="1723" t="n">
        <f aca="false">F151+G151</f>
        <v>0.0957105038811864</v>
      </c>
      <c r="F151" s="1724" t="n">
        <f aca="false">(DataDE1!T72-DataDE1!H72)/DataDE1!B72</f>
        <v>0.0351415623457621</v>
      </c>
      <c r="G151" s="1725" t="n">
        <f aca="false">H151+K151+L151</f>
        <v>0.0605689415354243</v>
      </c>
      <c r="H151" s="1726" t="n">
        <f aca="false">I151-J151</f>
        <v>0.0589671108718087</v>
      </c>
      <c r="I151" s="1727" t="n">
        <f aca="false">DataDE1!U72/DataDE1!B72</f>
        <v>0.578435859469646</v>
      </c>
      <c r="J151" s="1727" t="n">
        <f aca="false">DataDE1!V72/DataDE1!B72</f>
        <v>0.519468748597837</v>
      </c>
      <c r="K151" s="1724" t="n">
        <f aca="false">TableDE8!E69</f>
        <v>0.0186745636469691</v>
      </c>
      <c r="L151" s="1728" t="n">
        <f aca="false">TableDE8!K69+TableDE8!L69</f>
        <v>-0.0170727329833535</v>
      </c>
      <c r="M151" s="1719"/>
      <c r="N151" s="1667"/>
      <c r="O151" s="1678" t="n">
        <f aca="false">B151+E151-L151</f>
        <v>1</v>
      </c>
    </row>
    <row r="152" customFormat="false" ht="13" hidden="false" customHeight="false" outlineLevel="0" collapsed="false">
      <c r="B152" s="1719"/>
      <c r="C152" s="1719"/>
      <c r="D152" s="1719"/>
      <c r="E152" s="1719"/>
      <c r="F152" s="1719"/>
      <c r="G152" s="1719"/>
      <c r="H152" s="1719"/>
      <c r="I152" s="1719"/>
      <c r="J152" s="1719"/>
      <c r="K152" s="1719"/>
      <c r="L152" s="1719"/>
      <c r="M152" s="1719"/>
    </row>
    <row r="153" customFormat="false" ht="12" hidden="false" customHeight="false" outlineLevel="0" collapsed="false">
      <c r="B153" s="1729"/>
      <c r="C153" s="1729"/>
      <c r="D153" s="1729"/>
      <c r="E153" s="1729"/>
      <c r="F153" s="1729"/>
      <c r="G153" s="1729"/>
      <c r="H153" s="1729"/>
      <c r="I153" s="1729"/>
      <c r="J153" s="1729"/>
      <c r="K153" s="1729"/>
      <c r="L153" s="1729"/>
      <c r="M153" s="1719"/>
    </row>
    <row r="154" customFormat="false" ht="12" hidden="false" customHeight="false" outlineLevel="0" collapsed="false">
      <c r="A154" s="1697"/>
      <c r="B154" s="1729"/>
      <c r="C154" s="1729"/>
      <c r="D154" s="1729"/>
      <c r="E154" s="1729"/>
      <c r="F154" s="1729"/>
      <c r="G154" s="1729"/>
      <c r="H154" s="1729"/>
      <c r="I154" s="1729"/>
      <c r="J154" s="1729"/>
      <c r="K154" s="1729"/>
      <c r="L154" s="1729"/>
      <c r="M154" s="1719"/>
    </row>
    <row r="155" customFormat="false" ht="12" hidden="false" customHeight="false" outlineLevel="0" collapsed="false">
      <c r="B155" s="1729"/>
      <c r="C155" s="1729"/>
      <c r="D155" s="1729"/>
      <c r="E155" s="1729"/>
      <c r="F155" s="1729"/>
      <c r="G155" s="1729"/>
      <c r="H155" s="1729"/>
      <c r="I155" s="1729"/>
      <c r="J155" s="1729"/>
      <c r="K155" s="1729"/>
      <c r="L155" s="1729"/>
      <c r="M155" s="1719"/>
    </row>
    <row r="156" customFormat="false" ht="12" hidden="false" customHeight="false" outlineLevel="0" collapsed="false">
      <c r="B156" s="1729"/>
      <c r="C156" s="1729"/>
      <c r="D156" s="1729"/>
      <c r="E156" s="1729"/>
      <c r="F156" s="1729"/>
      <c r="G156" s="1729"/>
      <c r="H156" s="1729"/>
      <c r="I156" s="1729"/>
      <c r="J156" s="1729"/>
      <c r="K156" s="1729"/>
      <c r="L156" s="1729"/>
      <c r="M156" s="1719"/>
    </row>
    <row r="157" customFormat="false" ht="12" hidden="false" customHeight="false" outlineLevel="0" collapsed="false">
      <c r="B157" s="1729"/>
      <c r="C157" s="1729"/>
      <c r="D157" s="1729"/>
      <c r="E157" s="1729"/>
      <c r="F157" s="1729"/>
      <c r="G157" s="1729"/>
      <c r="H157" s="1729"/>
      <c r="I157" s="1729"/>
      <c r="J157" s="1729"/>
      <c r="K157" s="1729"/>
      <c r="L157" s="1729"/>
      <c r="M157" s="1719"/>
    </row>
    <row r="158" customFormat="false" ht="12" hidden="false" customHeight="false" outlineLevel="0" collapsed="false">
      <c r="B158" s="1729"/>
      <c r="C158" s="1729"/>
      <c r="D158" s="1729"/>
      <c r="E158" s="1729"/>
      <c r="F158" s="1729"/>
      <c r="G158" s="1729"/>
      <c r="H158" s="1729"/>
      <c r="I158" s="1729"/>
      <c r="J158" s="1729"/>
      <c r="K158" s="1729"/>
      <c r="L158" s="1729"/>
      <c r="M158" s="1719"/>
    </row>
    <row r="159" customFormat="false" ht="12" hidden="false" customHeight="false" outlineLevel="0" collapsed="false">
      <c r="B159" s="1729"/>
      <c r="C159" s="1729"/>
      <c r="D159" s="1729"/>
      <c r="E159" s="1729"/>
      <c r="F159" s="1729"/>
      <c r="G159" s="1729"/>
      <c r="H159" s="1729"/>
      <c r="I159" s="1729"/>
      <c r="J159" s="1729"/>
      <c r="K159" s="1729"/>
      <c r="L159" s="1729"/>
      <c r="M159" s="1719"/>
    </row>
    <row r="160" customFormat="false" ht="12" hidden="false" customHeight="false" outlineLevel="0" collapsed="false">
      <c r="B160" s="1729"/>
      <c r="C160" s="1729"/>
      <c r="D160" s="1729"/>
      <c r="E160" s="1729"/>
      <c r="F160" s="1729"/>
      <c r="G160" s="1729"/>
      <c r="H160" s="1729"/>
      <c r="I160" s="1729"/>
      <c r="J160" s="1729"/>
      <c r="K160" s="1729"/>
      <c r="L160" s="1729"/>
      <c r="M160" s="1719"/>
    </row>
    <row r="161" customFormat="false" ht="12" hidden="false" customHeight="false" outlineLevel="0" collapsed="false">
      <c r="B161" s="1729"/>
      <c r="C161" s="1729"/>
      <c r="D161" s="1729"/>
      <c r="E161" s="1729"/>
      <c r="F161" s="1729"/>
      <c r="G161" s="1729"/>
      <c r="H161" s="1729"/>
      <c r="I161" s="1729"/>
      <c r="J161" s="1729"/>
      <c r="K161" s="1729"/>
      <c r="L161" s="1729"/>
      <c r="M161" s="1719"/>
    </row>
    <row r="162" customFormat="false" ht="12" hidden="false" customHeight="false" outlineLevel="0" collapsed="false">
      <c r="B162" s="1729"/>
      <c r="C162" s="1729"/>
      <c r="D162" s="1729"/>
      <c r="E162" s="1729"/>
      <c r="F162" s="1729"/>
      <c r="G162" s="1729"/>
      <c r="H162" s="1729"/>
      <c r="I162" s="1729"/>
      <c r="J162" s="1729"/>
      <c r="K162" s="1729"/>
      <c r="L162" s="1729"/>
      <c r="M162" s="1719"/>
    </row>
    <row r="163" customFormat="false" ht="12" hidden="false" customHeight="false" outlineLevel="0" collapsed="false">
      <c r="B163" s="1729"/>
      <c r="C163" s="1729"/>
      <c r="D163" s="1729"/>
      <c r="E163" s="1729"/>
      <c r="F163" s="1729"/>
      <c r="G163" s="1729"/>
      <c r="H163" s="1729"/>
      <c r="I163" s="1729"/>
      <c r="J163" s="1729"/>
      <c r="K163" s="1729"/>
      <c r="L163" s="1729"/>
      <c r="M163" s="1719"/>
    </row>
    <row r="164" customFormat="false" ht="12" hidden="false" customHeight="false" outlineLevel="0" collapsed="false">
      <c r="B164" s="1729"/>
      <c r="C164" s="1729"/>
      <c r="D164" s="1729"/>
      <c r="E164" s="1729"/>
      <c r="F164" s="1729"/>
      <c r="G164" s="1729"/>
      <c r="H164" s="1729"/>
      <c r="I164" s="1729"/>
      <c r="J164" s="1729"/>
      <c r="K164" s="1729"/>
      <c r="L164" s="1729"/>
      <c r="M164" s="1719"/>
    </row>
    <row r="165" customFormat="false" ht="12" hidden="false" customHeight="false" outlineLevel="0" collapsed="false">
      <c r="B165" s="1729"/>
      <c r="C165" s="1729"/>
      <c r="D165" s="1729"/>
      <c r="E165" s="1729"/>
      <c r="F165" s="1729"/>
      <c r="G165" s="1729"/>
      <c r="H165" s="1729"/>
      <c r="I165" s="1729"/>
      <c r="J165" s="1729"/>
      <c r="K165" s="1729"/>
      <c r="L165" s="1729"/>
      <c r="M165" s="1729"/>
    </row>
    <row r="166" customFormat="false" ht="12" hidden="false" customHeight="false" outlineLevel="0" collapsed="false">
      <c r="B166" s="1729"/>
      <c r="C166" s="1729"/>
      <c r="D166" s="1729"/>
      <c r="E166" s="1729"/>
      <c r="F166" s="1729"/>
      <c r="G166" s="1729"/>
      <c r="H166" s="1729"/>
      <c r="I166" s="1729"/>
      <c r="J166" s="1729"/>
      <c r="K166" s="1729"/>
      <c r="L166" s="1729"/>
      <c r="M166" s="1729"/>
    </row>
    <row r="167" customFormat="false" ht="12" hidden="false" customHeight="false" outlineLevel="0" collapsed="false">
      <c r="B167" s="1729"/>
      <c r="C167" s="1729"/>
      <c r="D167" s="1729"/>
      <c r="E167" s="1729"/>
      <c r="F167" s="1729"/>
      <c r="G167" s="1729"/>
      <c r="H167" s="1729"/>
      <c r="I167" s="1729"/>
      <c r="J167" s="1729"/>
      <c r="K167" s="1729"/>
      <c r="L167" s="1729"/>
      <c r="M167" s="1729"/>
    </row>
    <row r="168" customFormat="false" ht="12" hidden="false" customHeight="false" outlineLevel="0" collapsed="false">
      <c r="B168" s="1729"/>
      <c r="C168" s="1729"/>
      <c r="D168" s="1729"/>
      <c r="E168" s="1729"/>
      <c r="F168" s="1729"/>
      <c r="G168" s="1729"/>
      <c r="H168" s="1729"/>
      <c r="I168" s="1729"/>
      <c r="J168" s="1729"/>
      <c r="K168" s="1729"/>
      <c r="L168" s="1729"/>
      <c r="M168" s="1729"/>
    </row>
    <row r="169" customFormat="false" ht="12" hidden="false" customHeight="false" outlineLevel="0" collapsed="false">
      <c r="B169" s="1729"/>
      <c r="C169" s="1729"/>
      <c r="D169" s="1729"/>
      <c r="E169" s="1729"/>
      <c r="F169" s="1729"/>
      <c r="G169" s="1729"/>
      <c r="H169" s="1729"/>
      <c r="I169" s="1729"/>
      <c r="J169" s="1729"/>
      <c r="K169" s="1729"/>
      <c r="L169" s="1729"/>
      <c r="M169" s="1729"/>
    </row>
    <row r="170" customFormat="false" ht="12" hidden="false" customHeight="false" outlineLevel="0" collapsed="false">
      <c r="B170" s="1729"/>
      <c r="C170" s="1729"/>
      <c r="D170" s="1729"/>
      <c r="E170" s="1729"/>
      <c r="F170" s="1729"/>
      <c r="G170" s="1729"/>
      <c r="H170" s="1729"/>
      <c r="I170" s="1729"/>
      <c r="J170" s="1729"/>
      <c r="K170" s="1729"/>
      <c r="L170" s="1729"/>
      <c r="M170" s="1729"/>
    </row>
    <row r="171" customFormat="false" ht="12" hidden="false" customHeight="false" outlineLevel="0" collapsed="false">
      <c r="B171" s="1729"/>
      <c r="C171" s="1729"/>
      <c r="D171" s="1729"/>
      <c r="E171" s="1729"/>
      <c r="F171" s="1729"/>
      <c r="G171" s="1729"/>
      <c r="H171" s="1729"/>
      <c r="I171" s="1729"/>
      <c r="J171" s="1729"/>
      <c r="K171" s="1729"/>
      <c r="L171" s="1729"/>
      <c r="M171" s="1729"/>
    </row>
    <row r="172" customFormat="false" ht="12" hidden="false" customHeight="false" outlineLevel="0" collapsed="false">
      <c r="B172" s="1729"/>
      <c r="C172" s="1729"/>
      <c r="D172" s="1729"/>
      <c r="E172" s="1729"/>
      <c r="F172" s="1729"/>
      <c r="G172" s="1729"/>
      <c r="H172" s="1729"/>
      <c r="I172" s="1729"/>
      <c r="J172" s="1729"/>
      <c r="K172" s="1729"/>
      <c r="L172" s="1729"/>
      <c r="M172" s="1729"/>
    </row>
    <row r="173" customFormat="false" ht="12" hidden="false" customHeight="false" outlineLevel="0" collapsed="false">
      <c r="B173" s="1729"/>
      <c r="C173" s="1729"/>
      <c r="D173" s="1729"/>
      <c r="E173" s="1729"/>
      <c r="F173" s="1729"/>
      <c r="G173" s="1729"/>
      <c r="H173" s="1729"/>
      <c r="I173" s="1729"/>
      <c r="J173" s="1729"/>
      <c r="K173" s="1729"/>
      <c r="L173" s="1729"/>
      <c r="M173" s="1729"/>
    </row>
    <row r="174" customFormat="false" ht="12" hidden="false" customHeight="false" outlineLevel="0" collapsed="false">
      <c r="B174" s="1729"/>
      <c r="C174" s="1729"/>
      <c r="D174" s="1729"/>
      <c r="E174" s="1729"/>
      <c r="F174" s="1729"/>
      <c r="G174" s="1729"/>
      <c r="H174" s="1729"/>
      <c r="I174" s="1729"/>
      <c r="J174" s="1729"/>
      <c r="K174" s="1729"/>
      <c r="L174" s="1729"/>
      <c r="M174" s="1729"/>
    </row>
    <row r="175" customFormat="false" ht="12" hidden="false" customHeight="false" outlineLevel="0" collapsed="false">
      <c r="B175" s="1729"/>
      <c r="C175" s="1729"/>
      <c r="D175" s="1729"/>
      <c r="E175" s="1729"/>
      <c r="F175" s="1729"/>
      <c r="G175" s="1729"/>
      <c r="H175" s="1729"/>
      <c r="I175" s="1729"/>
      <c r="J175" s="1729"/>
      <c r="K175" s="1729"/>
      <c r="L175" s="1729"/>
      <c r="M175" s="1729"/>
    </row>
    <row r="176" customFormat="false" ht="12" hidden="false" customHeight="false" outlineLevel="0" collapsed="false">
      <c r="B176" s="1729"/>
      <c r="C176" s="1729"/>
      <c r="D176" s="1729"/>
      <c r="E176" s="1729"/>
      <c r="F176" s="1729"/>
      <c r="G176" s="1729"/>
      <c r="H176" s="1729"/>
      <c r="I176" s="1729"/>
      <c r="J176" s="1729"/>
      <c r="K176" s="1729"/>
      <c r="L176" s="1729"/>
      <c r="M176" s="1729"/>
    </row>
    <row r="177" customFormat="false" ht="12" hidden="false" customHeight="false" outlineLevel="0" collapsed="false">
      <c r="B177" s="1729"/>
      <c r="C177" s="1729"/>
      <c r="D177" s="1729"/>
      <c r="E177" s="1729"/>
      <c r="F177" s="1729"/>
      <c r="G177" s="1729"/>
      <c r="H177" s="1729"/>
      <c r="I177" s="1729"/>
      <c r="J177" s="1729"/>
      <c r="K177" s="1729"/>
      <c r="L177" s="1729"/>
      <c r="M177" s="1729"/>
    </row>
    <row r="178" customFormat="false" ht="12" hidden="false" customHeight="false" outlineLevel="0" collapsed="false">
      <c r="B178" s="1729"/>
      <c r="C178" s="1729"/>
      <c r="D178" s="1729"/>
      <c r="E178" s="1729"/>
      <c r="F178" s="1729"/>
      <c r="G178" s="1729"/>
      <c r="H178" s="1729"/>
      <c r="I178" s="1729"/>
      <c r="J178" s="1729"/>
      <c r="K178" s="1729"/>
      <c r="L178" s="1729"/>
      <c r="M178" s="1729"/>
    </row>
    <row r="179" customFormat="false" ht="12" hidden="false" customHeight="false" outlineLevel="0" collapsed="false">
      <c r="B179" s="1729"/>
      <c r="C179" s="1729"/>
      <c r="D179" s="1729"/>
      <c r="E179" s="1729"/>
      <c r="F179" s="1729"/>
      <c r="G179" s="1729"/>
      <c r="H179" s="1729"/>
      <c r="I179" s="1729"/>
      <c r="J179" s="1729"/>
      <c r="K179" s="1729"/>
      <c r="L179" s="1729"/>
      <c r="M179" s="1729"/>
    </row>
    <row r="180" customFormat="false" ht="12" hidden="false" customHeight="false" outlineLevel="0" collapsed="false">
      <c r="B180" s="1729"/>
      <c r="C180" s="1729"/>
      <c r="D180" s="1729"/>
      <c r="E180" s="1729"/>
      <c r="F180" s="1729"/>
      <c r="G180" s="1729"/>
      <c r="H180" s="1729"/>
      <c r="I180" s="1729"/>
      <c r="J180" s="1729"/>
      <c r="K180" s="1729"/>
      <c r="L180" s="1729"/>
      <c r="M180" s="1729"/>
    </row>
    <row r="181" customFormat="false" ht="12" hidden="false" customHeight="false" outlineLevel="0" collapsed="false">
      <c r="B181" s="1729"/>
      <c r="C181" s="1729"/>
      <c r="D181" s="1729"/>
      <c r="E181" s="1729"/>
      <c r="F181" s="1729"/>
      <c r="G181" s="1729"/>
      <c r="H181" s="1729"/>
      <c r="I181" s="1729"/>
      <c r="J181" s="1729"/>
      <c r="K181" s="1729"/>
      <c r="L181" s="1729"/>
      <c r="M181" s="1729"/>
    </row>
    <row r="182" customFormat="false" ht="12" hidden="false" customHeight="false" outlineLevel="0" collapsed="false">
      <c r="B182" s="1729"/>
      <c r="C182" s="1729"/>
      <c r="D182" s="1729"/>
      <c r="E182" s="1729"/>
      <c r="F182" s="1729"/>
      <c r="G182" s="1729"/>
      <c r="H182" s="1729"/>
      <c r="I182" s="1729"/>
      <c r="J182" s="1729"/>
      <c r="K182" s="1729"/>
      <c r="L182" s="1729"/>
      <c r="M182" s="1729"/>
    </row>
    <row r="183" customFormat="false" ht="12" hidden="false" customHeight="false" outlineLevel="0" collapsed="false">
      <c r="B183" s="1729"/>
      <c r="C183" s="1729"/>
      <c r="D183" s="1729"/>
      <c r="E183" s="1729"/>
      <c r="F183" s="1729"/>
      <c r="G183" s="1729"/>
      <c r="H183" s="1729"/>
      <c r="I183" s="1729"/>
      <c r="J183" s="1729"/>
      <c r="K183" s="1729"/>
      <c r="L183" s="1729"/>
      <c r="M183" s="1729"/>
    </row>
    <row r="184" customFormat="false" ht="12" hidden="false" customHeight="false" outlineLevel="0" collapsed="false">
      <c r="B184" s="1729"/>
      <c r="C184" s="1729"/>
      <c r="D184" s="1729"/>
      <c r="E184" s="1729"/>
      <c r="F184" s="1729"/>
      <c r="G184" s="1729"/>
      <c r="H184" s="1729"/>
      <c r="I184" s="1729"/>
      <c r="J184" s="1729"/>
      <c r="K184" s="1729"/>
      <c r="L184" s="1729"/>
      <c r="M184" s="1729"/>
    </row>
    <row r="185" customFormat="false" ht="12" hidden="false" customHeight="false" outlineLevel="0" collapsed="false">
      <c r="B185" s="1729"/>
      <c r="C185" s="1729"/>
      <c r="D185" s="1729"/>
      <c r="E185" s="1729"/>
      <c r="F185" s="1729"/>
      <c r="G185" s="1729"/>
      <c r="H185" s="1729"/>
      <c r="I185" s="1729"/>
      <c r="J185" s="1729"/>
      <c r="K185" s="1729"/>
      <c r="L185" s="1729"/>
      <c r="M185" s="1729"/>
    </row>
    <row r="186" customFormat="false" ht="12" hidden="false" customHeight="false" outlineLevel="0" collapsed="false">
      <c r="B186" s="1729"/>
      <c r="C186" s="1729"/>
      <c r="D186" s="1729"/>
      <c r="E186" s="1729"/>
      <c r="F186" s="1729"/>
      <c r="G186" s="1729"/>
      <c r="H186" s="1729"/>
      <c r="I186" s="1729"/>
      <c r="J186" s="1729"/>
      <c r="K186" s="1729"/>
      <c r="L186" s="1729"/>
      <c r="M186" s="1729"/>
    </row>
    <row r="187" customFormat="false" ht="12" hidden="false" customHeight="false" outlineLevel="0" collapsed="false">
      <c r="B187" s="1729"/>
      <c r="C187" s="1729"/>
      <c r="D187" s="1729"/>
      <c r="E187" s="1729"/>
      <c r="F187" s="1729"/>
      <c r="G187" s="1729"/>
      <c r="H187" s="1729"/>
      <c r="I187" s="1729"/>
      <c r="J187" s="1729"/>
      <c r="K187" s="1729"/>
      <c r="L187" s="1729"/>
      <c r="M187" s="1729"/>
    </row>
    <row r="188" customFormat="false" ht="12" hidden="false" customHeight="false" outlineLevel="0" collapsed="false">
      <c r="B188" s="1729"/>
      <c r="C188" s="1729"/>
      <c r="D188" s="1729"/>
      <c r="E188" s="1729"/>
      <c r="F188" s="1729"/>
      <c r="G188" s="1729"/>
      <c r="H188" s="1729"/>
      <c r="I188" s="1729"/>
      <c r="J188" s="1729"/>
      <c r="K188" s="1729"/>
      <c r="L188" s="1729"/>
      <c r="M188" s="1729"/>
    </row>
    <row r="189" customFormat="false" ht="12" hidden="false" customHeight="false" outlineLevel="0" collapsed="false">
      <c r="B189" s="1729"/>
      <c r="C189" s="1729"/>
      <c r="D189" s="1729"/>
      <c r="E189" s="1729"/>
      <c r="F189" s="1729"/>
      <c r="G189" s="1729"/>
      <c r="H189" s="1729"/>
      <c r="I189" s="1729"/>
      <c r="J189" s="1729"/>
      <c r="K189" s="1729"/>
      <c r="L189" s="1729"/>
      <c r="M189" s="1729"/>
    </row>
    <row r="190" customFormat="false" ht="12" hidden="false" customHeight="false" outlineLevel="0" collapsed="false">
      <c r="B190" s="1729"/>
      <c r="C190" s="1729"/>
      <c r="D190" s="1729"/>
      <c r="E190" s="1729"/>
      <c r="F190" s="1729"/>
      <c r="G190" s="1729"/>
      <c r="H190" s="1729"/>
      <c r="I190" s="1729"/>
      <c r="J190" s="1729"/>
      <c r="K190" s="1729"/>
      <c r="L190" s="1729"/>
      <c r="M190" s="1729"/>
    </row>
    <row r="191" customFormat="false" ht="12" hidden="false" customHeight="false" outlineLevel="0" collapsed="false">
      <c r="B191" s="1729"/>
      <c r="C191" s="1729"/>
      <c r="D191" s="1729"/>
      <c r="E191" s="1729"/>
      <c r="F191" s="1729"/>
      <c r="G191" s="1729"/>
      <c r="H191" s="1729"/>
      <c r="I191" s="1729"/>
      <c r="J191" s="1729"/>
      <c r="K191" s="1729"/>
      <c r="L191" s="1729"/>
      <c r="M191" s="1729"/>
    </row>
    <row r="192" customFormat="false" ht="12" hidden="false" customHeight="false" outlineLevel="0" collapsed="false">
      <c r="B192" s="1729"/>
      <c r="C192" s="1729"/>
      <c r="D192" s="1729"/>
      <c r="E192" s="1729"/>
      <c r="F192" s="1729"/>
      <c r="G192" s="1729"/>
      <c r="H192" s="1729"/>
      <c r="I192" s="1729"/>
      <c r="J192" s="1729"/>
      <c r="K192" s="1729"/>
      <c r="L192" s="1729"/>
      <c r="M192" s="1729"/>
    </row>
    <row r="193" customFormat="false" ht="12" hidden="false" customHeight="false" outlineLevel="0" collapsed="false">
      <c r="B193" s="1729"/>
      <c r="C193" s="1729"/>
      <c r="D193" s="1729"/>
      <c r="E193" s="1729"/>
      <c r="F193" s="1729"/>
      <c r="G193" s="1729"/>
      <c r="H193" s="1729"/>
      <c r="I193" s="1729"/>
      <c r="J193" s="1729"/>
      <c r="K193" s="1729"/>
      <c r="L193" s="1729"/>
      <c r="M193" s="1729"/>
    </row>
    <row r="194" customFormat="false" ht="12" hidden="false" customHeight="false" outlineLevel="0" collapsed="false">
      <c r="B194" s="1729"/>
      <c r="C194" s="1729"/>
      <c r="D194" s="1729"/>
      <c r="E194" s="1729"/>
      <c r="F194" s="1729"/>
      <c r="G194" s="1729"/>
      <c r="H194" s="1729"/>
      <c r="I194" s="1729"/>
      <c r="J194" s="1729"/>
      <c r="K194" s="1729"/>
      <c r="L194" s="1729"/>
      <c r="M194" s="1729"/>
    </row>
    <row r="195" customFormat="false" ht="12" hidden="false" customHeight="false" outlineLevel="0" collapsed="false">
      <c r="B195" s="1729"/>
      <c r="C195" s="1729"/>
      <c r="D195" s="1729"/>
      <c r="E195" s="1729"/>
      <c r="F195" s="1729"/>
      <c r="G195" s="1729"/>
      <c r="H195" s="1729"/>
      <c r="I195" s="1729"/>
      <c r="J195" s="1729"/>
      <c r="K195" s="1729"/>
      <c r="L195" s="1729"/>
      <c r="M195" s="1729"/>
    </row>
    <row r="196" customFormat="false" ht="12" hidden="false" customHeight="false" outlineLevel="0" collapsed="false">
      <c r="B196" s="1729"/>
      <c r="C196" s="1729"/>
      <c r="D196" s="1729"/>
      <c r="E196" s="1729"/>
      <c r="F196" s="1729"/>
      <c r="G196" s="1729"/>
      <c r="H196" s="1729"/>
      <c r="I196" s="1729"/>
      <c r="J196" s="1729"/>
      <c r="K196" s="1729"/>
      <c r="L196" s="1729"/>
      <c r="M196" s="1729"/>
    </row>
    <row r="197" customFormat="false" ht="12" hidden="false" customHeight="false" outlineLevel="0" collapsed="false">
      <c r="B197" s="1729"/>
      <c r="C197" s="1729"/>
      <c r="D197" s="1729"/>
      <c r="E197" s="1729"/>
      <c r="F197" s="1729"/>
      <c r="G197" s="1729"/>
      <c r="H197" s="1729"/>
      <c r="I197" s="1729"/>
      <c r="J197" s="1729"/>
      <c r="K197" s="1729"/>
      <c r="L197" s="1729"/>
      <c r="M197" s="1729"/>
    </row>
    <row r="198" customFormat="false" ht="12" hidden="false" customHeight="false" outlineLevel="0" collapsed="false">
      <c r="B198" s="1729"/>
      <c r="C198" s="1729"/>
      <c r="D198" s="1729"/>
      <c r="E198" s="1729"/>
      <c r="F198" s="1729"/>
      <c r="G198" s="1729"/>
      <c r="H198" s="1729"/>
      <c r="I198" s="1729"/>
      <c r="J198" s="1729"/>
      <c r="K198" s="1729"/>
      <c r="L198" s="1729"/>
      <c r="M198" s="1729"/>
    </row>
    <row r="199" customFormat="false" ht="12" hidden="false" customHeight="false" outlineLevel="0" collapsed="false">
      <c r="B199" s="1729"/>
      <c r="C199" s="1729"/>
      <c r="D199" s="1729"/>
      <c r="E199" s="1729"/>
      <c r="F199" s="1729"/>
      <c r="G199" s="1729"/>
      <c r="H199" s="1729"/>
      <c r="I199" s="1729"/>
      <c r="J199" s="1729"/>
      <c r="K199" s="1729"/>
      <c r="L199" s="1729"/>
      <c r="M199" s="1729"/>
    </row>
    <row r="200" customFormat="false" ht="12" hidden="false" customHeight="false" outlineLevel="0" collapsed="false">
      <c r="B200" s="1729"/>
      <c r="C200" s="1729"/>
      <c r="D200" s="1729"/>
      <c r="E200" s="1729"/>
      <c r="F200" s="1729"/>
      <c r="G200" s="1729"/>
      <c r="H200" s="1729"/>
      <c r="I200" s="1729"/>
      <c r="J200" s="1729"/>
      <c r="K200" s="1729"/>
      <c r="L200" s="1729"/>
      <c r="M200" s="1729"/>
    </row>
    <row r="201" customFormat="false" ht="12" hidden="false" customHeight="false" outlineLevel="0" collapsed="false">
      <c r="B201" s="1729"/>
      <c r="C201" s="1729"/>
      <c r="D201" s="1729"/>
      <c r="E201" s="1729"/>
      <c r="F201" s="1729"/>
      <c r="G201" s="1729"/>
      <c r="H201" s="1729"/>
      <c r="I201" s="1729"/>
      <c r="J201" s="1729"/>
      <c r="K201" s="1729"/>
      <c r="L201" s="1729"/>
      <c r="M201" s="1729"/>
    </row>
    <row r="202" customFormat="false" ht="12" hidden="false" customHeight="false" outlineLevel="0" collapsed="false">
      <c r="B202" s="1729"/>
      <c r="C202" s="1729"/>
      <c r="D202" s="1729"/>
      <c r="E202" s="1729"/>
      <c r="F202" s="1729"/>
      <c r="G202" s="1729"/>
      <c r="H202" s="1729"/>
      <c r="I202" s="1729"/>
      <c r="J202" s="1729"/>
      <c r="K202" s="1729"/>
      <c r="L202" s="1729"/>
      <c r="M202" s="1729"/>
    </row>
    <row r="203" customFormat="false" ht="12" hidden="false" customHeight="false" outlineLevel="0" collapsed="false">
      <c r="B203" s="1729"/>
      <c r="C203" s="1729"/>
      <c r="D203" s="1729"/>
      <c r="E203" s="1729"/>
      <c r="F203" s="1729"/>
      <c r="G203" s="1729"/>
      <c r="H203" s="1729"/>
      <c r="I203" s="1729"/>
      <c r="J203" s="1729"/>
      <c r="K203" s="1729"/>
      <c r="L203" s="1729"/>
      <c r="M203" s="1729"/>
    </row>
    <row r="204" customFormat="false" ht="12" hidden="false" customHeight="false" outlineLevel="0" collapsed="false">
      <c r="B204" s="1729"/>
      <c r="C204" s="1729"/>
      <c r="D204" s="1729"/>
      <c r="E204" s="1729"/>
      <c r="F204" s="1729"/>
      <c r="G204" s="1729"/>
      <c r="H204" s="1729"/>
      <c r="I204" s="1729"/>
      <c r="J204" s="1729"/>
      <c r="K204" s="1729"/>
      <c r="L204" s="1729"/>
      <c r="M204" s="1729"/>
    </row>
    <row r="205" customFormat="false" ht="12" hidden="false" customHeight="false" outlineLevel="0" collapsed="false">
      <c r="B205" s="1729"/>
      <c r="C205" s="1729"/>
      <c r="D205" s="1729"/>
      <c r="E205" s="1729"/>
      <c r="F205" s="1729"/>
      <c r="G205" s="1729"/>
      <c r="H205" s="1729"/>
      <c r="I205" s="1729"/>
      <c r="J205" s="1729"/>
      <c r="K205" s="1729"/>
      <c r="L205" s="1729"/>
      <c r="M205" s="1729"/>
    </row>
    <row r="206" customFormat="false" ht="12" hidden="false" customHeight="false" outlineLevel="0" collapsed="false">
      <c r="B206" s="1729"/>
      <c r="C206" s="1729"/>
      <c r="D206" s="1729"/>
      <c r="E206" s="1729"/>
      <c r="F206" s="1729"/>
      <c r="G206" s="1729"/>
      <c r="H206" s="1729"/>
      <c r="I206" s="1729"/>
      <c r="J206" s="1729"/>
      <c r="K206" s="1729"/>
      <c r="L206" s="1729"/>
      <c r="M206" s="1729"/>
    </row>
    <row r="207" customFormat="false" ht="12" hidden="false" customHeight="false" outlineLevel="0" collapsed="false">
      <c r="B207" s="1729"/>
      <c r="C207" s="1729"/>
      <c r="D207" s="1729"/>
      <c r="E207" s="1729"/>
      <c r="F207" s="1729"/>
      <c r="G207" s="1729"/>
      <c r="H207" s="1729"/>
      <c r="I207" s="1729"/>
      <c r="J207" s="1729"/>
      <c r="K207" s="1729"/>
      <c r="L207" s="1729"/>
      <c r="M207" s="1729"/>
    </row>
    <row r="208" customFormat="false" ht="12" hidden="false" customHeight="false" outlineLevel="0" collapsed="false">
      <c r="B208" s="1729"/>
      <c r="C208" s="1729"/>
      <c r="D208" s="1729"/>
      <c r="E208" s="1729"/>
      <c r="F208" s="1729"/>
      <c r="G208" s="1729"/>
      <c r="H208" s="1729"/>
      <c r="I208" s="1729"/>
      <c r="J208" s="1729"/>
      <c r="K208" s="1729"/>
      <c r="L208" s="1729"/>
      <c r="M208" s="1729"/>
    </row>
    <row r="209" customFormat="false" ht="12" hidden="false" customHeight="false" outlineLevel="0" collapsed="false">
      <c r="B209" s="1729"/>
      <c r="C209" s="1729"/>
      <c r="D209" s="1729"/>
      <c r="E209" s="1729"/>
      <c r="F209" s="1729"/>
      <c r="G209" s="1729"/>
      <c r="H209" s="1729"/>
      <c r="I209" s="1729"/>
      <c r="J209" s="1729"/>
      <c r="K209" s="1729"/>
      <c r="L209" s="1729"/>
      <c r="M209" s="1729"/>
    </row>
    <row r="210" customFormat="false" ht="12" hidden="false" customHeight="false" outlineLevel="0" collapsed="false">
      <c r="B210" s="1729"/>
      <c r="C210" s="1729"/>
      <c r="D210" s="1729"/>
      <c r="E210" s="1729"/>
      <c r="F210" s="1729"/>
      <c r="G210" s="1729"/>
      <c r="H210" s="1729"/>
      <c r="I210" s="1729"/>
      <c r="J210" s="1729"/>
      <c r="K210" s="1729"/>
      <c r="L210" s="1729"/>
      <c r="M210" s="1729"/>
    </row>
    <row r="211" customFormat="false" ht="12" hidden="false" customHeight="false" outlineLevel="0" collapsed="false">
      <c r="B211" s="1729"/>
      <c r="C211" s="1729"/>
      <c r="D211" s="1729"/>
      <c r="E211" s="1729"/>
      <c r="F211" s="1729"/>
      <c r="G211" s="1729"/>
      <c r="H211" s="1729"/>
      <c r="I211" s="1729"/>
      <c r="J211" s="1729"/>
      <c r="K211" s="1729"/>
      <c r="L211" s="1729"/>
      <c r="M211" s="1729"/>
    </row>
    <row r="212" customFormat="false" ht="12" hidden="false" customHeight="false" outlineLevel="0" collapsed="false">
      <c r="B212" s="1729"/>
      <c r="C212" s="1729"/>
      <c r="D212" s="1729"/>
      <c r="E212" s="1729"/>
      <c r="F212" s="1729"/>
      <c r="G212" s="1729"/>
      <c r="H212" s="1729"/>
      <c r="I212" s="1729"/>
      <c r="J212" s="1729"/>
      <c r="K212" s="1729"/>
      <c r="L212" s="1729"/>
      <c r="M212" s="1729"/>
    </row>
    <row r="213" customFormat="false" ht="12" hidden="false" customHeight="false" outlineLevel="0" collapsed="false">
      <c r="B213" s="1729"/>
      <c r="C213" s="1729"/>
      <c r="D213" s="1729"/>
      <c r="E213" s="1729"/>
      <c r="F213" s="1729"/>
      <c r="G213" s="1729"/>
      <c r="H213" s="1729"/>
      <c r="I213" s="1729"/>
      <c r="J213" s="1729"/>
      <c r="K213" s="1729"/>
      <c r="L213" s="1729"/>
      <c r="M213" s="1729"/>
    </row>
    <row r="214" customFormat="false" ht="12" hidden="false" customHeight="false" outlineLevel="0" collapsed="false">
      <c r="B214" s="1729"/>
      <c r="C214" s="1729"/>
      <c r="D214" s="1729"/>
      <c r="E214" s="1729"/>
      <c r="F214" s="1729"/>
      <c r="G214" s="1729"/>
      <c r="H214" s="1729"/>
      <c r="I214" s="1729"/>
      <c r="J214" s="1729"/>
      <c r="K214" s="1729"/>
      <c r="L214" s="1729"/>
      <c r="M214" s="1729"/>
    </row>
    <row r="215" customFormat="false" ht="12" hidden="false" customHeight="false" outlineLevel="0" collapsed="false">
      <c r="B215" s="1729"/>
      <c r="C215" s="1729"/>
      <c r="D215" s="1729"/>
      <c r="E215" s="1729"/>
      <c r="F215" s="1729"/>
      <c r="G215" s="1729"/>
      <c r="H215" s="1729"/>
      <c r="I215" s="1729"/>
      <c r="J215" s="1729"/>
      <c r="K215" s="1729"/>
      <c r="L215" s="1729"/>
      <c r="M215" s="1729"/>
    </row>
    <row r="216" customFormat="false" ht="12" hidden="false" customHeight="false" outlineLevel="0" collapsed="false">
      <c r="B216" s="1729"/>
      <c r="C216" s="1729"/>
      <c r="D216" s="1729"/>
      <c r="E216" s="1729"/>
      <c r="F216" s="1729"/>
      <c r="G216" s="1729"/>
      <c r="H216" s="1729"/>
      <c r="I216" s="1729"/>
      <c r="J216" s="1729"/>
      <c r="K216" s="1729"/>
      <c r="L216" s="1729"/>
      <c r="M216" s="1729"/>
    </row>
    <row r="217" customFormat="false" ht="12" hidden="false" customHeight="false" outlineLevel="0" collapsed="false">
      <c r="B217" s="1729"/>
      <c r="C217" s="1729"/>
      <c r="D217" s="1729"/>
      <c r="E217" s="1729"/>
      <c r="F217" s="1729"/>
      <c r="G217" s="1729"/>
      <c r="H217" s="1729"/>
      <c r="I217" s="1729"/>
      <c r="J217" s="1729"/>
      <c r="K217" s="1729"/>
      <c r="L217" s="1729"/>
      <c r="M217" s="1729"/>
    </row>
    <row r="218" customFormat="false" ht="12" hidden="false" customHeight="false" outlineLevel="0" collapsed="false">
      <c r="B218" s="1729"/>
      <c r="C218" s="1729"/>
      <c r="D218" s="1729"/>
      <c r="E218" s="1729"/>
      <c r="F218" s="1729"/>
      <c r="G218" s="1729"/>
      <c r="H218" s="1729"/>
      <c r="I218" s="1729"/>
      <c r="J218" s="1729"/>
      <c r="K218" s="1729"/>
      <c r="L218" s="1729"/>
      <c r="M218" s="1729"/>
    </row>
    <row r="219" customFormat="false" ht="12" hidden="false" customHeight="false" outlineLevel="0" collapsed="false">
      <c r="B219" s="1729"/>
      <c r="C219" s="1729"/>
      <c r="D219" s="1729"/>
      <c r="E219" s="1729"/>
      <c r="F219" s="1729"/>
      <c r="G219" s="1729"/>
      <c r="H219" s="1729"/>
      <c r="I219" s="1729"/>
      <c r="J219" s="1729"/>
      <c r="K219" s="1729"/>
      <c r="L219" s="1729"/>
      <c r="M219" s="1729"/>
    </row>
    <row r="220" customFormat="false" ht="12" hidden="false" customHeight="false" outlineLevel="0" collapsed="false">
      <c r="B220" s="1729"/>
      <c r="C220" s="1729"/>
      <c r="D220" s="1729"/>
      <c r="E220" s="1729"/>
      <c r="F220" s="1729"/>
      <c r="G220" s="1729"/>
      <c r="H220" s="1729"/>
      <c r="I220" s="1729"/>
      <c r="J220" s="1729"/>
      <c r="K220" s="1729"/>
      <c r="L220" s="1729"/>
      <c r="M220" s="1729"/>
    </row>
    <row r="221" customFormat="false" ht="12" hidden="false" customHeight="false" outlineLevel="0" collapsed="false">
      <c r="B221" s="1729"/>
      <c r="C221" s="1729"/>
      <c r="D221" s="1729"/>
      <c r="E221" s="1729"/>
      <c r="F221" s="1729"/>
      <c r="G221" s="1729"/>
      <c r="H221" s="1729"/>
      <c r="I221" s="1729"/>
      <c r="J221" s="1729"/>
      <c r="K221" s="1729"/>
      <c r="L221" s="1729"/>
      <c r="M221" s="1729"/>
    </row>
    <row r="222" customFormat="false" ht="12" hidden="false" customHeight="false" outlineLevel="0" collapsed="false">
      <c r="B222" s="1729"/>
      <c r="C222" s="1729"/>
      <c r="D222" s="1729"/>
      <c r="E222" s="1729"/>
      <c r="F222" s="1729"/>
      <c r="G222" s="1729"/>
      <c r="H222" s="1729"/>
      <c r="I222" s="1729"/>
      <c r="J222" s="1729"/>
      <c r="K222" s="1729"/>
      <c r="L222" s="1729"/>
      <c r="M222" s="1729"/>
    </row>
    <row r="223" customFormat="false" ht="12" hidden="false" customHeight="false" outlineLevel="0" collapsed="false">
      <c r="B223" s="1729"/>
      <c r="C223" s="1729"/>
      <c r="D223" s="1729"/>
      <c r="E223" s="1729"/>
      <c r="F223" s="1729"/>
      <c r="G223" s="1729"/>
      <c r="H223" s="1729"/>
      <c r="I223" s="1729"/>
      <c r="J223" s="1729"/>
      <c r="K223" s="1729"/>
      <c r="L223" s="1729"/>
      <c r="M223" s="1729"/>
    </row>
    <row r="224" customFormat="false" ht="12" hidden="false" customHeight="false" outlineLevel="0" collapsed="false">
      <c r="B224" s="1729"/>
      <c r="C224" s="1729"/>
      <c r="D224" s="1729"/>
      <c r="E224" s="1729"/>
      <c r="F224" s="1729"/>
      <c r="G224" s="1729"/>
      <c r="H224" s="1729"/>
      <c r="I224" s="1729"/>
      <c r="J224" s="1729"/>
      <c r="K224" s="1729"/>
      <c r="L224" s="1729"/>
      <c r="M224" s="1729"/>
    </row>
    <row r="225" customFormat="false" ht="12" hidden="false" customHeight="false" outlineLevel="0" collapsed="false">
      <c r="B225" s="1729"/>
      <c r="C225" s="1729"/>
      <c r="D225" s="1729"/>
      <c r="E225" s="1729"/>
      <c r="F225" s="1729"/>
      <c r="G225" s="1729"/>
      <c r="H225" s="1729"/>
      <c r="I225" s="1729"/>
      <c r="J225" s="1729"/>
      <c r="K225" s="1729"/>
      <c r="L225" s="1729"/>
      <c r="M225" s="1729"/>
    </row>
    <row r="226" customFormat="false" ht="12" hidden="false" customHeight="false" outlineLevel="0" collapsed="false">
      <c r="B226" s="1729"/>
      <c r="C226" s="1729"/>
      <c r="D226" s="1729"/>
      <c r="E226" s="1729"/>
      <c r="F226" s="1729"/>
      <c r="G226" s="1729"/>
      <c r="H226" s="1729"/>
      <c r="I226" s="1729"/>
      <c r="J226" s="1729"/>
      <c r="K226" s="1729"/>
      <c r="L226" s="1729"/>
      <c r="M226" s="1729"/>
    </row>
    <row r="227" customFormat="false" ht="12" hidden="false" customHeight="false" outlineLevel="0" collapsed="false">
      <c r="B227" s="1729"/>
      <c r="C227" s="1729"/>
      <c r="D227" s="1729"/>
      <c r="E227" s="1729"/>
      <c r="F227" s="1729"/>
      <c r="G227" s="1729"/>
      <c r="H227" s="1729"/>
      <c r="I227" s="1729"/>
      <c r="J227" s="1729"/>
      <c r="K227" s="1729"/>
      <c r="L227" s="1729"/>
      <c r="M227" s="1729"/>
    </row>
    <row r="228" customFormat="false" ht="12" hidden="false" customHeight="false" outlineLevel="0" collapsed="false">
      <c r="B228" s="1729"/>
      <c r="C228" s="1729"/>
      <c r="D228" s="1729"/>
      <c r="E228" s="1729"/>
      <c r="F228" s="1729"/>
      <c r="G228" s="1729"/>
      <c r="H228" s="1729"/>
      <c r="I228" s="1729"/>
      <c r="J228" s="1729"/>
      <c r="K228" s="1729"/>
      <c r="L228" s="1729"/>
      <c r="M228" s="1729"/>
    </row>
    <row r="229" customFormat="false" ht="12" hidden="false" customHeight="false" outlineLevel="0" collapsed="false">
      <c r="B229" s="1729"/>
      <c r="C229" s="1729"/>
      <c r="D229" s="1729"/>
      <c r="E229" s="1729"/>
      <c r="F229" s="1729"/>
      <c r="G229" s="1729"/>
      <c r="H229" s="1729"/>
      <c r="I229" s="1729"/>
      <c r="J229" s="1729"/>
      <c r="K229" s="1729"/>
      <c r="L229" s="1729"/>
      <c r="M229" s="1729"/>
    </row>
    <row r="230" customFormat="false" ht="12" hidden="false" customHeight="false" outlineLevel="0" collapsed="false">
      <c r="B230" s="1729"/>
      <c r="C230" s="1729"/>
      <c r="D230" s="1729"/>
      <c r="E230" s="1729"/>
      <c r="F230" s="1729"/>
      <c r="G230" s="1729"/>
      <c r="H230" s="1729"/>
      <c r="I230" s="1729"/>
      <c r="J230" s="1729"/>
      <c r="K230" s="1729"/>
      <c r="L230" s="1729"/>
      <c r="M230" s="1729"/>
    </row>
    <row r="231" customFormat="false" ht="12" hidden="false" customHeight="false" outlineLevel="0" collapsed="false">
      <c r="B231" s="1729"/>
      <c r="C231" s="1729"/>
      <c r="D231" s="1729"/>
      <c r="E231" s="1729"/>
      <c r="F231" s="1729"/>
      <c r="G231" s="1729"/>
      <c r="H231" s="1729"/>
      <c r="I231" s="1729"/>
      <c r="J231" s="1729"/>
      <c r="K231" s="1729"/>
      <c r="L231" s="1729"/>
      <c r="M231" s="1729"/>
    </row>
    <row r="232" customFormat="false" ht="12" hidden="false" customHeight="false" outlineLevel="0" collapsed="false">
      <c r="B232" s="1729"/>
      <c r="C232" s="1729"/>
      <c r="D232" s="1729"/>
      <c r="E232" s="1729"/>
      <c r="F232" s="1729"/>
      <c r="G232" s="1729"/>
      <c r="H232" s="1729"/>
      <c r="I232" s="1729"/>
      <c r="J232" s="1729"/>
      <c r="K232" s="1729"/>
      <c r="L232" s="1729"/>
      <c r="M232" s="1729"/>
    </row>
    <row r="233" customFormat="false" ht="12" hidden="false" customHeight="false" outlineLevel="0" collapsed="false">
      <c r="B233" s="1729"/>
      <c r="C233" s="1729"/>
      <c r="D233" s="1729"/>
      <c r="E233" s="1729"/>
      <c r="F233" s="1729"/>
      <c r="G233" s="1729"/>
      <c r="H233" s="1729"/>
      <c r="I233" s="1729"/>
      <c r="J233" s="1729"/>
      <c r="K233" s="1729"/>
      <c r="L233" s="1729"/>
      <c r="M233" s="1729"/>
    </row>
    <row r="234" customFormat="false" ht="12" hidden="false" customHeight="false" outlineLevel="0" collapsed="false">
      <c r="B234" s="1729"/>
      <c r="C234" s="1729"/>
      <c r="D234" s="1729"/>
      <c r="E234" s="1729"/>
      <c r="F234" s="1729"/>
      <c r="G234" s="1729"/>
      <c r="H234" s="1729"/>
      <c r="I234" s="1729"/>
      <c r="J234" s="1729"/>
      <c r="K234" s="1729"/>
      <c r="L234" s="1729"/>
      <c r="M234" s="1729"/>
    </row>
    <row r="235" customFormat="false" ht="12" hidden="false" customHeight="false" outlineLevel="0" collapsed="false">
      <c r="B235" s="1729"/>
      <c r="C235" s="1729"/>
      <c r="D235" s="1729"/>
      <c r="E235" s="1729"/>
      <c r="F235" s="1729"/>
      <c r="G235" s="1729"/>
      <c r="H235" s="1729"/>
      <c r="I235" s="1729"/>
      <c r="J235" s="1729"/>
      <c r="K235" s="1729"/>
      <c r="L235" s="1729"/>
      <c r="M235" s="1729"/>
    </row>
    <row r="236" customFormat="false" ht="12" hidden="false" customHeight="false" outlineLevel="0" collapsed="false">
      <c r="B236" s="1729"/>
      <c r="C236" s="1729"/>
      <c r="D236" s="1729"/>
      <c r="E236" s="1729"/>
      <c r="F236" s="1729"/>
      <c r="G236" s="1729"/>
      <c r="H236" s="1729"/>
      <c r="I236" s="1729"/>
      <c r="J236" s="1729"/>
      <c r="K236" s="1729"/>
      <c r="L236" s="1729"/>
      <c r="M236" s="1729"/>
    </row>
    <row r="237" customFormat="false" ht="12" hidden="false" customHeight="false" outlineLevel="0" collapsed="false">
      <c r="B237" s="1729"/>
      <c r="C237" s="1729"/>
      <c r="D237" s="1729"/>
      <c r="E237" s="1729"/>
      <c r="F237" s="1729"/>
      <c r="G237" s="1729"/>
      <c r="H237" s="1729"/>
      <c r="I237" s="1729"/>
      <c r="J237" s="1729"/>
      <c r="K237" s="1729"/>
      <c r="L237" s="1729"/>
      <c r="M237" s="1729"/>
    </row>
    <row r="238" customFormat="false" ht="12" hidden="false" customHeight="false" outlineLevel="0" collapsed="false">
      <c r="B238" s="1729"/>
      <c r="C238" s="1729"/>
      <c r="D238" s="1729"/>
      <c r="E238" s="1729"/>
      <c r="F238" s="1729"/>
      <c r="G238" s="1729"/>
      <c r="H238" s="1729"/>
      <c r="I238" s="1729"/>
      <c r="J238" s="1729"/>
      <c r="K238" s="1729"/>
      <c r="L238" s="1729"/>
      <c r="M238" s="1729"/>
    </row>
    <row r="239" customFormat="false" ht="12" hidden="false" customHeight="false" outlineLevel="0" collapsed="false">
      <c r="B239" s="1729"/>
      <c r="C239" s="1729"/>
      <c r="D239" s="1729"/>
      <c r="E239" s="1729"/>
      <c r="F239" s="1729"/>
      <c r="G239" s="1729"/>
      <c r="H239" s="1729"/>
      <c r="I239" s="1729"/>
      <c r="J239" s="1729"/>
      <c r="K239" s="1729"/>
      <c r="L239" s="1729"/>
      <c r="M239" s="1729"/>
    </row>
    <row r="240" customFormat="false" ht="12" hidden="false" customHeight="false" outlineLevel="0" collapsed="false">
      <c r="B240" s="1729"/>
      <c r="C240" s="1729"/>
      <c r="D240" s="1729"/>
      <c r="E240" s="1729"/>
      <c r="F240" s="1729"/>
      <c r="G240" s="1729"/>
      <c r="H240" s="1729"/>
      <c r="I240" s="1729"/>
      <c r="J240" s="1729"/>
      <c r="K240" s="1729"/>
      <c r="L240" s="1729"/>
      <c r="M240" s="1729"/>
    </row>
    <row r="241" customFormat="false" ht="12" hidden="false" customHeight="false" outlineLevel="0" collapsed="false">
      <c r="B241" s="1729"/>
      <c r="C241" s="1729"/>
      <c r="D241" s="1729"/>
      <c r="E241" s="1729"/>
      <c r="F241" s="1729"/>
      <c r="G241" s="1729"/>
      <c r="H241" s="1729"/>
      <c r="I241" s="1729"/>
      <c r="J241" s="1729"/>
      <c r="K241" s="1729"/>
      <c r="L241" s="1729"/>
      <c r="M241" s="1729"/>
    </row>
    <row r="242" customFormat="false" ht="12" hidden="false" customHeight="false" outlineLevel="0" collapsed="false">
      <c r="B242" s="1729"/>
      <c r="C242" s="1729"/>
      <c r="D242" s="1729"/>
      <c r="E242" s="1729"/>
      <c r="F242" s="1729"/>
      <c r="G242" s="1729"/>
      <c r="H242" s="1729"/>
      <c r="I242" s="1729"/>
      <c r="J242" s="1729"/>
      <c r="K242" s="1729"/>
      <c r="L242" s="1729"/>
      <c r="M242" s="1729"/>
    </row>
    <row r="243" customFormat="false" ht="12" hidden="false" customHeight="false" outlineLevel="0" collapsed="false">
      <c r="B243" s="1729"/>
      <c r="C243" s="1729"/>
      <c r="D243" s="1729"/>
      <c r="E243" s="1729"/>
      <c r="F243" s="1729"/>
      <c r="G243" s="1729"/>
      <c r="H243" s="1729"/>
      <c r="I243" s="1729"/>
      <c r="J243" s="1729"/>
      <c r="K243" s="1729"/>
      <c r="L243" s="1729"/>
      <c r="M243" s="1729"/>
    </row>
    <row r="244" customFormat="false" ht="12" hidden="false" customHeight="false" outlineLevel="0" collapsed="false">
      <c r="B244" s="1729"/>
      <c r="C244" s="1729"/>
      <c r="D244" s="1729"/>
      <c r="E244" s="1729"/>
      <c r="F244" s="1729"/>
      <c r="G244" s="1729"/>
      <c r="H244" s="1729"/>
      <c r="I244" s="1729"/>
      <c r="J244" s="1729"/>
      <c r="K244" s="1729"/>
      <c r="L244" s="1729"/>
      <c r="M244" s="1729"/>
    </row>
    <row r="245" customFormat="false" ht="12" hidden="false" customHeight="false" outlineLevel="0" collapsed="false">
      <c r="B245" s="1729"/>
      <c r="C245" s="1729"/>
      <c r="D245" s="1729"/>
      <c r="E245" s="1729"/>
      <c r="F245" s="1729"/>
      <c r="G245" s="1729"/>
      <c r="H245" s="1729"/>
      <c r="I245" s="1729"/>
      <c r="J245" s="1729"/>
      <c r="K245" s="1729"/>
      <c r="L245" s="1729"/>
      <c r="M245" s="1729"/>
    </row>
    <row r="246" customFormat="false" ht="12" hidden="false" customHeight="false" outlineLevel="0" collapsed="false">
      <c r="B246" s="1729"/>
      <c r="C246" s="1729"/>
      <c r="D246" s="1729"/>
      <c r="E246" s="1729"/>
      <c r="F246" s="1729"/>
      <c r="G246" s="1729"/>
      <c r="H246" s="1729"/>
      <c r="I246" s="1729"/>
      <c r="J246" s="1729"/>
      <c r="K246" s="1729"/>
      <c r="L246" s="1729"/>
      <c r="M246" s="1729"/>
    </row>
    <row r="247" customFormat="false" ht="12" hidden="false" customHeight="false" outlineLevel="0" collapsed="false">
      <c r="B247" s="1729"/>
      <c r="C247" s="1729"/>
      <c r="D247" s="1729"/>
      <c r="E247" s="1729"/>
      <c r="F247" s="1729"/>
      <c r="G247" s="1729"/>
      <c r="H247" s="1729"/>
      <c r="I247" s="1729"/>
      <c r="J247" s="1729"/>
      <c r="K247" s="1729"/>
      <c r="L247" s="1729"/>
      <c r="M247" s="1729"/>
    </row>
    <row r="248" customFormat="false" ht="12" hidden="false" customHeight="false" outlineLevel="0" collapsed="false">
      <c r="B248" s="1729"/>
      <c r="C248" s="1729"/>
      <c r="D248" s="1729"/>
      <c r="E248" s="1729"/>
      <c r="F248" s="1729"/>
      <c r="G248" s="1729"/>
      <c r="H248" s="1729"/>
      <c r="I248" s="1729"/>
      <c r="J248" s="1729"/>
      <c r="K248" s="1729"/>
      <c r="L248" s="1729"/>
      <c r="M248" s="1729"/>
    </row>
    <row r="249" customFormat="false" ht="12" hidden="false" customHeight="false" outlineLevel="0" collapsed="false">
      <c r="B249" s="1729"/>
      <c r="C249" s="1729"/>
      <c r="D249" s="1729"/>
      <c r="E249" s="1729"/>
      <c r="F249" s="1729"/>
      <c r="G249" s="1729"/>
      <c r="H249" s="1729"/>
      <c r="I249" s="1729"/>
      <c r="J249" s="1729"/>
      <c r="K249" s="1729"/>
      <c r="L249" s="1729"/>
      <c r="M249" s="1729"/>
    </row>
    <row r="250" customFormat="false" ht="12" hidden="false" customHeight="false" outlineLevel="0" collapsed="false">
      <c r="B250" s="1729"/>
      <c r="C250" s="1729"/>
      <c r="D250" s="1729"/>
      <c r="E250" s="1729"/>
      <c r="F250" s="1729"/>
      <c r="G250" s="1729"/>
      <c r="H250" s="1729"/>
      <c r="I250" s="1729"/>
      <c r="J250" s="1729"/>
      <c r="K250" s="1729"/>
      <c r="L250" s="1729"/>
      <c r="M250" s="1729"/>
    </row>
    <row r="251" customFormat="false" ht="12" hidden="false" customHeight="false" outlineLevel="0" collapsed="false">
      <c r="B251" s="1729"/>
      <c r="C251" s="1729"/>
      <c r="D251" s="1729"/>
      <c r="E251" s="1729"/>
      <c r="F251" s="1729"/>
      <c r="G251" s="1729"/>
      <c r="H251" s="1729"/>
      <c r="I251" s="1729"/>
      <c r="J251" s="1729"/>
      <c r="K251" s="1729"/>
      <c r="L251" s="1729"/>
      <c r="M251" s="1729"/>
    </row>
    <row r="252" customFormat="false" ht="12" hidden="false" customHeight="false" outlineLevel="0" collapsed="false">
      <c r="B252" s="1729"/>
      <c r="C252" s="1729"/>
      <c r="D252" s="1729"/>
      <c r="E252" s="1729"/>
      <c r="F252" s="1729"/>
      <c r="G252" s="1729"/>
      <c r="H252" s="1729"/>
      <c r="I252" s="1729"/>
      <c r="J252" s="1729"/>
      <c r="K252" s="1729"/>
      <c r="L252" s="1729"/>
      <c r="M252" s="1729"/>
    </row>
    <row r="253" customFormat="false" ht="12" hidden="false" customHeight="false" outlineLevel="0" collapsed="false">
      <c r="B253" s="1729"/>
      <c r="C253" s="1729"/>
      <c r="D253" s="1729"/>
      <c r="E253" s="1729"/>
      <c r="F253" s="1729"/>
      <c r="G253" s="1729"/>
      <c r="H253" s="1729"/>
      <c r="I253" s="1729"/>
      <c r="J253" s="1729"/>
      <c r="K253" s="1729"/>
      <c r="L253" s="1729"/>
      <c r="M253" s="1729"/>
    </row>
    <row r="254" customFormat="false" ht="12" hidden="false" customHeight="false" outlineLevel="0" collapsed="false">
      <c r="B254" s="1729"/>
      <c r="C254" s="1729"/>
      <c r="D254" s="1729"/>
      <c r="E254" s="1729"/>
      <c r="F254" s="1729"/>
      <c r="G254" s="1729"/>
      <c r="H254" s="1729"/>
      <c r="I254" s="1729"/>
      <c r="J254" s="1729"/>
      <c r="K254" s="1729"/>
      <c r="L254" s="1729"/>
      <c r="M254" s="1729"/>
    </row>
    <row r="255" customFormat="false" ht="12" hidden="false" customHeight="false" outlineLevel="0" collapsed="false">
      <c r="B255" s="1729"/>
      <c r="C255" s="1729"/>
      <c r="D255" s="1729"/>
      <c r="E255" s="1729"/>
      <c r="F255" s="1729"/>
      <c r="G255" s="1729"/>
      <c r="H255" s="1729"/>
      <c r="I255" s="1729"/>
      <c r="J255" s="1729"/>
      <c r="K255" s="1729"/>
      <c r="L255" s="1729"/>
      <c r="M255" s="1729"/>
    </row>
    <row r="256" customFormat="false" ht="12" hidden="false" customHeight="false" outlineLevel="0" collapsed="false">
      <c r="B256" s="1729"/>
      <c r="C256" s="1729"/>
      <c r="D256" s="1729"/>
      <c r="E256" s="1729"/>
      <c r="F256" s="1729"/>
      <c r="G256" s="1729"/>
      <c r="H256" s="1729"/>
      <c r="I256" s="1729"/>
      <c r="J256" s="1729"/>
      <c r="K256" s="1729"/>
      <c r="L256" s="1729"/>
      <c r="M256" s="1729"/>
    </row>
    <row r="257" customFormat="false" ht="12" hidden="false" customHeight="false" outlineLevel="0" collapsed="false">
      <c r="B257" s="1729"/>
      <c r="C257" s="1729"/>
      <c r="D257" s="1729"/>
      <c r="E257" s="1729"/>
      <c r="F257" s="1729"/>
      <c r="G257" s="1729"/>
      <c r="H257" s="1729"/>
      <c r="I257" s="1729"/>
      <c r="J257" s="1729"/>
      <c r="K257" s="1729"/>
      <c r="L257" s="1729"/>
      <c r="M257" s="1729"/>
    </row>
    <row r="258" customFormat="false" ht="12" hidden="false" customHeight="false" outlineLevel="0" collapsed="false">
      <c r="B258" s="1729"/>
      <c r="C258" s="1729"/>
      <c r="D258" s="1729"/>
      <c r="E258" s="1729"/>
      <c r="F258" s="1729"/>
      <c r="G258" s="1729"/>
      <c r="H258" s="1729"/>
      <c r="I258" s="1729"/>
      <c r="J258" s="1729"/>
      <c r="K258" s="1729"/>
      <c r="L258" s="1729"/>
      <c r="M258" s="1729"/>
    </row>
    <row r="259" customFormat="false" ht="12" hidden="false" customHeight="false" outlineLevel="0" collapsed="false">
      <c r="B259" s="1729"/>
      <c r="C259" s="1729"/>
      <c r="D259" s="1729"/>
      <c r="E259" s="1729"/>
      <c r="F259" s="1729"/>
      <c r="G259" s="1729"/>
      <c r="H259" s="1729"/>
      <c r="I259" s="1729"/>
      <c r="J259" s="1729"/>
      <c r="K259" s="1729"/>
      <c r="L259" s="1729"/>
      <c r="M259" s="1729"/>
    </row>
    <row r="260" customFormat="false" ht="12" hidden="false" customHeight="false" outlineLevel="0" collapsed="false">
      <c r="B260" s="1729"/>
      <c r="C260" s="1729"/>
      <c r="D260" s="1729"/>
      <c r="E260" s="1729"/>
      <c r="F260" s="1729"/>
      <c r="G260" s="1729"/>
      <c r="H260" s="1729"/>
      <c r="I260" s="1729"/>
      <c r="J260" s="1729"/>
      <c r="K260" s="1729"/>
      <c r="L260" s="1729"/>
      <c r="M260" s="1729"/>
    </row>
    <row r="261" customFormat="false" ht="12" hidden="false" customHeight="false" outlineLevel="0" collapsed="false">
      <c r="B261" s="1729"/>
      <c r="C261" s="1729"/>
      <c r="D261" s="1729"/>
      <c r="E261" s="1729"/>
      <c r="F261" s="1729"/>
      <c r="G261" s="1729"/>
      <c r="H261" s="1729"/>
      <c r="I261" s="1729"/>
      <c r="J261" s="1729"/>
      <c r="K261" s="1729"/>
      <c r="L261" s="1729"/>
      <c r="M261" s="1729"/>
    </row>
    <row r="262" customFormat="false" ht="12" hidden="false" customHeight="false" outlineLevel="0" collapsed="false">
      <c r="B262" s="1729"/>
      <c r="C262" s="1729"/>
      <c r="D262" s="1729"/>
      <c r="E262" s="1729"/>
      <c r="F262" s="1729"/>
      <c r="G262" s="1729"/>
      <c r="H262" s="1729"/>
      <c r="I262" s="1729"/>
      <c r="J262" s="1729"/>
      <c r="K262" s="1729"/>
      <c r="L262" s="1729"/>
      <c r="M262" s="1729"/>
    </row>
    <row r="263" customFormat="false" ht="12" hidden="false" customHeight="false" outlineLevel="0" collapsed="false">
      <c r="B263" s="1729"/>
      <c r="C263" s="1729"/>
      <c r="D263" s="1729"/>
      <c r="E263" s="1729"/>
      <c r="F263" s="1729"/>
      <c r="G263" s="1729"/>
      <c r="H263" s="1729"/>
      <c r="I263" s="1729"/>
      <c r="J263" s="1729"/>
      <c r="K263" s="1729"/>
      <c r="L263" s="1729"/>
      <c r="M263" s="1729"/>
    </row>
    <row r="264" customFormat="false" ht="12" hidden="false" customHeight="false" outlineLevel="0" collapsed="false">
      <c r="B264" s="1729"/>
      <c r="C264" s="1729"/>
      <c r="D264" s="1729"/>
      <c r="E264" s="1729"/>
      <c r="F264" s="1729"/>
      <c r="G264" s="1729"/>
      <c r="H264" s="1729"/>
      <c r="I264" s="1729"/>
      <c r="J264" s="1729"/>
      <c r="K264" s="1729"/>
      <c r="L264" s="1729"/>
      <c r="M264" s="1729"/>
    </row>
    <row r="265" customFormat="false" ht="12" hidden="false" customHeight="false" outlineLevel="0" collapsed="false">
      <c r="B265" s="1729"/>
      <c r="C265" s="1729"/>
      <c r="D265" s="1729"/>
      <c r="E265" s="1729"/>
      <c r="F265" s="1729"/>
      <c r="G265" s="1729"/>
      <c r="H265" s="1729"/>
      <c r="I265" s="1729"/>
      <c r="J265" s="1729"/>
      <c r="K265" s="1729"/>
      <c r="L265" s="1729"/>
      <c r="M265" s="1729"/>
    </row>
    <row r="266" customFormat="false" ht="12" hidden="false" customHeight="false" outlineLevel="0" collapsed="false">
      <c r="B266" s="1729"/>
      <c r="C266" s="1729"/>
      <c r="D266" s="1729"/>
      <c r="E266" s="1729"/>
      <c r="F266" s="1729"/>
      <c r="G266" s="1729"/>
      <c r="H266" s="1729"/>
      <c r="I266" s="1729"/>
      <c r="J266" s="1729"/>
      <c r="K266" s="1729"/>
      <c r="L266" s="1729"/>
      <c r="M266" s="1729"/>
    </row>
    <row r="267" customFormat="false" ht="12" hidden="false" customHeight="false" outlineLevel="0" collapsed="false">
      <c r="B267" s="1729"/>
      <c r="C267" s="1729"/>
      <c r="D267" s="1729"/>
      <c r="E267" s="1729"/>
      <c r="F267" s="1729"/>
      <c r="G267" s="1729"/>
      <c r="H267" s="1729"/>
      <c r="I267" s="1729"/>
      <c r="J267" s="1729"/>
      <c r="K267" s="1729"/>
      <c r="L267" s="1729"/>
      <c r="M267" s="1729"/>
    </row>
    <row r="268" customFormat="false" ht="12" hidden="false" customHeight="false" outlineLevel="0" collapsed="false">
      <c r="B268" s="1729"/>
      <c r="C268" s="1729"/>
      <c r="D268" s="1729"/>
      <c r="E268" s="1729"/>
      <c r="F268" s="1729"/>
      <c r="G268" s="1729"/>
      <c r="H268" s="1729"/>
      <c r="I268" s="1729"/>
      <c r="J268" s="1729"/>
      <c r="K268" s="1729"/>
      <c r="L268" s="1729"/>
      <c r="M268" s="1729"/>
    </row>
    <row r="269" customFormat="false" ht="12" hidden="false" customHeight="false" outlineLevel="0" collapsed="false">
      <c r="B269" s="1729"/>
      <c r="C269" s="1729"/>
      <c r="D269" s="1729"/>
      <c r="E269" s="1729"/>
      <c r="F269" s="1729"/>
      <c r="G269" s="1729"/>
      <c r="H269" s="1729"/>
      <c r="I269" s="1729"/>
      <c r="J269" s="1729"/>
      <c r="K269" s="1729"/>
      <c r="L269" s="1729"/>
      <c r="M269" s="1729"/>
    </row>
    <row r="270" customFormat="false" ht="12" hidden="false" customHeight="false" outlineLevel="0" collapsed="false">
      <c r="B270" s="1729"/>
      <c r="C270" s="1729"/>
      <c r="D270" s="1729"/>
      <c r="E270" s="1729"/>
      <c r="F270" s="1729"/>
      <c r="G270" s="1729"/>
      <c r="H270" s="1729"/>
      <c r="I270" s="1729"/>
      <c r="J270" s="1729"/>
      <c r="K270" s="1729"/>
      <c r="L270" s="1729"/>
      <c r="M270" s="1729"/>
    </row>
    <row r="271" customFormat="false" ht="12" hidden="false" customHeight="false" outlineLevel="0" collapsed="false">
      <c r="B271" s="1729"/>
      <c r="C271" s="1729"/>
      <c r="D271" s="1729"/>
      <c r="E271" s="1729"/>
      <c r="F271" s="1729"/>
      <c r="G271" s="1729"/>
      <c r="H271" s="1729"/>
      <c r="I271" s="1729"/>
      <c r="J271" s="1729"/>
      <c r="K271" s="1729"/>
      <c r="L271" s="1729"/>
      <c r="M271" s="1729"/>
    </row>
    <row r="272" customFormat="false" ht="12" hidden="false" customHeight="false" outlineLevel="0" collapsed="false">
      <c r="B272" s="1729"/>
      <c r="C272" s="1729"/>
      <c r="D272" s="1729"/>
      <c r="E272" s="1729"/>
      <c r="F272" s="1729"/>
      <c r="G272" s="1729"/>
      <c r="H272" s="1729"/>
      <c r="I272" s="1729"/>
      <c r="J272" s="1729"/>
      <c r="K272" s="1729"/>
      <c r="L272" s="1729"/>
      <c r="M272" s="1729"/>
    </row>
    <row r="273" customFormat="false" ht="12" hidden="false" customHeight="false" outlineLevel="0" collapsed="false">
      <c r="B273" s="1729"/>
      <c r="C273" s="1729"/>
      <c r="D273" s="1729"/>
      <c r="E273" s="1729"/>
      <c r="F273" s="1729"/>
      <c r="G273" s="1729"/>
      <c r="H273" s="1729"/>
      <c r="I273" s="1729"/>
      <c r="J273" s="1729"/>
      <c r="K273" s="1729"/>
      <c r="L273" s="1729"/>
      <c r="M273" s="1729"/>
    </row>
    <row r="274" customFormat="false" ht="12" hidden="false" customHeight="false" outlineLevel="0" collapsed="false">
      <c r="B274" s="1729"/>
      <c r="C274" s="1729"/>
      <c r="D274" s="1729"/>
      <c r="E274" s="1729"/>
      <c r="F274" s="1729"/>
      <c r="G274" s="1729"/>
      <c r="H274" s="1729"/>
      <c r="I274" s="1729"/>
      <c r="J274" s="1729"/>
      <c r="K274" s="1729"/>
      <c r="L274" s="1729"/>
      <c r="M274" s="1729"/>
    </row>
    <row r="275" customFormat="false" ht="12" hidden="false" customHeight="false" outlineLevel="0" collapsed="false">
      <c r="B275" s="1729"/>
      <c r="C275" s="1729"/>
      <c r="D275" s="1729"/>
      <c r="E275" s="1729"/>
      <c r="F275" s="1729"/>
      <c r="G275" s="1729"/>
      <c r="H275" s="1729"/>
      <c r="I275" s="1729"/>
      <c r="J275" s="1729"/>
      <c r="K275" s="1729"/>
      <c r="L275" s="1729"/>
      <c r="M275" s="1729"/>
    </row>
    <row r="276" customFormat="false" ht="12" hidden="false" customHeight="false" outlineLevel="0" collapsed="false">
      <c r="B276" s="1729"/>
      <c r="C276" s="1729"/>
      <c r="D276" s="1729"/>
      <c r="E276" s="1729"/>
      <c r="F276" s="1729"/>
      <c r="G276" s="1729"/>
      <c r="H276" s="1729"/>
      <c r="I276" s="1729"/>
      <c r="J276" s="1729"/>
      <c r="K276" s="1729"/>
      <c r="L276" s="1729"/>
      <c r="M276" s="1729"/>
    </row>
    <row r="277" customFormat="false" ht="12" hidden="false" customHeight="false" outlineLevel="0" collapsed="false">
      <c r="B277" s="1729"/>
      <c r="C277" s="1729"/>
      <c r="D277" s="1729"/>
      <c r="E277" s="1729"/>
      <c r="F277" s="1729"/>
      <c r="G277" s="1729"/>
      <c r="H277" s="1729"/>
      <c r="I277" s="1729"/>
      <c r="J277" s="1729"/>
      <c r="K277" s="1729"/>
      <c r="L277" s="1729"/>
      <c r="M277" s="1729"/>
    </row>
    <row r="278" customFormat="false" ht="12" hidden="false" customHeight="false" outlineLevel="0" collapsed="false">
      <c r="B278" s="1729"/>
      <c r="C278" s="1729"/>
      <c r="D278" s="1729"/>
      <c r="E278" s="1729"/>
      <c r="F278" s="1729"/>
      <c r="G278" s="1729"/>
      <c r="H278" s="1729"/>
      <c r="I278" s="1729"/>
      <c r="J278" s="1729"/>
      <c r="K278" s="1729"/>
      <c r="L278" s="1729"/>
      <c r="M278" s="1729"/>
    </row>
    <row r="279" customFormat="false" ht="12" hidden="false" customHeight="false" outlineLevel="0" collapsed="false">
      <c r="B279" s="1729"/>
      <c r="C279" s="1729"/>
      <c r="D279" s="1729"/>
      <c r="E279" s="1729"/>
      <c r="F279" s="1729"/>
      <c r="G279" s="1729"/>
      <c r="H279" s="1729"/>
      <c r="I279" s="1729"/>
      <c r="J279" s="1729"/>
      <c r="K279" s="1729"/>
      <c r="L279" s="1729"/>
      <c r="M279" s="1729"/>
    </row>
    <row r="280" customFormat="false" ht="12" hidden="false" customHeight="false" outlineLevel="0" collapsed="false">
      <c r="B280" s="1729"/>
      <c r="C280" s="1729"/>
      <c r="D280" s="1729"/>
      <c r="E280" s="1729"/>
      <c r="F280" s="1729"/>
      <c r="G280" s="1729"/>
      <c r="H280" s="1729"/>
      <c r="I280" s="1729"/>
      <c r="J280" s="1729"/>
      <c r="K280" s="1729"/>
      <c r="L280" s="1729"/>
      <c r="M280" s="1729"/>
    </row>
    <row r="281" customFormat="false" ht="12" hidden="false" customHeight="false" outlineLevel="0" collapsed="false">
      <c r="B281" s="1729"/>
      <c r="C281" s="1729"/>
      <c r="D281" s="1729"/>
      <c r="E281" s="1729"/>
      <c r="F281" s="1729"/>
      <c r="G281" s="1729"/>
      <c r="H281" s="1729"/>
      <c r="I281" s="1729"/>
      <c r="J281" s="1729"/>
      <c r="K281" s="1729"/>
      <c r="L281" s="1729"/>
      <c r="M281" s="1729"/>
    </row>
    <row r="282" customFormat="false" ht="12" hidden="false" customHeight="false" outlineLevel="0" collapsed="false">
      <c r="B282" s="1729"/>
      <c r="C282" s="1729"/>
      <c r="D282" s="1729"/>
      <c r="E282" s="1729"/>
      <c r="F282" s="1729"/>
      <c r="G282" s="1729"/>
      <c r="H282" s="1729"/>
      <c r="I282" s="1729"/>
      <c r="J282" s="1729"/>
      <c r="K282" s="1729"/>
      <c r="L282" s="1729"/>
      <c r="M282" s="1729"/>
    </row>
    <row r="283" customFormat="false" ht="12" hidden="false" customHeight="false" outlineLevel="0" collapsed="false">
      <c r="B283" s="1729"/>
      <c r="C283" s="1729"/>
      <c r="D283" s="1729"/>
      <c r="E283" s="1729"/>
      <c r="F283" s="1729"/>
      <c r="G283" s="1729"/>
      <c r="H283" s="1729"/>
      <c r="I283" s="1729"/>
      <c r="J283" s="1729"/>
      <c r="K283" s="1729"/>
      <c r="L283" s="1729"/>
      <c r="M283" s="1729"/>
    </row>
    <row r="284" customFormat="false" ht="12" hidden="false" customHeight="false" outlineLevel="0" collapsed="false">
      <c r="B284" s="1729"/>
      <c r="C284" s="1729"/>
      <c r="D284" s="1729"/>
      <c r="E284" s="1729"/>
      <c r="F284" s="1729"/>
      <c r="G284" s="1729"/>
      <c r="H284" s="1729"/>
      <c r="I284" s="1729"/>
      <c r="J284" s="1729"/>
      <c r="K284" s="1729"/>
      <c r="L284" s="1729"/>
      <c r="M284" s="1729"/>
    </row>
    <row r="285" customFormat="false" ht="12" hidden="false" customHeight="false" outlineLevel="0" collapsed="false">
      <c r="B285" s="1729"/>
      <c r="C285" s="1729"/>
      <c r="D285" s="1729"/>
      <c r="E285" s="1729"/>
      <c r="F285" s="1729"/>
      <c r="G285" s="1729"/>
      <c r="H285" s="1729"/>
      <c r="I285" s="1729"/>
      <c r="J285" s="1729"/>
      <c r="K285" s="1729"/>
      <c r="L285" s="1729"/>
      <c r="M285" s="1729"/>
    </row>
    <row r="286" customFormat="false" ht="12" hidden="false" customHeight="false" outlineLevel="0" collapsed="false">
      <c r="B286" s="1729"/>
      <c r="C286" s="1729"/>
      <c r="D286" s="1729"/>
      <c r="E286" s="1729"/>
      <c r="F286" s="1729"/>
      <c r="G286" s="1729"/>
      <c r="H286" s="1729"/>
      <c r="I286" s="1729"/>
      <c r="J286" s="1729"/>
      <c r="K286" s="1729"/>
      <c r="L286" s="1729"/>
      <c r="M286" s="1729"/>
    </row>
    <row r="287" customFormat="false" ht="12" hidden="false" customHeight="false" outlineLevel="0" collapsed="false">
      <c r="B287" s="1729"/>
      <c r="C287" s="1729"/>
      <c r="D287" s="1729"/>
      <c r="E287" s="1729"/>
      <c r="F287" s="1729"/>
      <c r="G287" s="1729"/>
      <c r="H287" s="1729"/>
      <c r="I287" s="1729"/>
      <c r="J287" s="1729"/>
      <c r="K287" s="1729"/>
      <c r="L287" s="1729"/>
      <c r="M287" s="1729"/>
    </row>
    <row r="288" customFormat="false" ht="12" hidden="false" customHeight="false" outlineLevel="0" collapsed="false">
      <c r="B288" s="1729"/>
      <c r="C288" s="1729"/>
      <c r="D288" s="1729"/>
      <c r="E288" s="1729"/>
      <c r="F288" s="1729"/>
      <c r="G288" s="1729"/>
      <c r="H288" s="1729"/>
      <c r="I288" s="1729"/>
      <c r="J288" s="1729"/>
      <c r="K288" s="1729"/>
      <c r="L288" s="1729"/>
      <c r="M288" s="1729"/>
    </row>
    <row r="289" customFormat="false" ht="12" hidden="false" customHeight="false" outlineLevel="0" collapsed="false">
      <c r="B289" s="1729"/>
      <c r="C289" s="1729"/>
      <c r="D289" s="1729"/>
      <c r="E289" s="1729"/>
      <c r="F289" s="1729"/>
      <c r="G289" s="1729"/>
      <c r="H289" s="1729"/>
      <c r="I289" s="1729"/>
      <c r="J289" s="1729"/>
      <c r="K289" s="1729"/>
      <c r="L289" s="1729"/>
      <c r="M289" s="1729"/>
    </row>
    <row r="290" customFormat="false" ht="12" hidden="false" customHeight="false" outlineLevel="0" collapsed="false">
      <c r="B290" s="1729"/>
      <c r="C290" s="1729"/>
      <c r="D290" s="1729"/>
      <c r="E290" s="1729"/>
      <c r="F290" s="1729"/>
      <c r="G290" s="1729"/>
      <c r="H290" s="1729"/>
      <c r="I290" s="1729"/>
      <c r="J290" s="1729"/>
      <c r="K290" s="1729"/>
      <c r="L290" s="1729"/>
      <c r="M290" s="1729"/>
    </row>
    <row r="291" customFormat="false" ht="12" hidden="false" customHeight="false" outlineLevel="0" collapsed="false">
      <c r="B291" s="1729"/>
      <c r="C291" s="1729"/>
      <c r="D291" s="1729"/>
      <c r="E291" s="1729"/>
      <c r="F291" s="1729"/>
      <c r="G291" s="1729"/>
      <c r="H291" s="1729"/>
      <c r="I291" s="1729"/>
      <c r="J291" s="1729"/>
      <c r="K291" s="1729"/>
      <c r="L291" s="1729"/>
      <c r="M291" s="1729"/>
    </row>
    <row r="292" customFormat="false" ht="12" hidden="false" customHeight="false" outlineLevel="0" collapsed="false">
      <c r="B292" s="1729"/>
      <c r="C292" s="1729"/>
      <c r="D292" s="1729"/>
      <c r="E292" s="1729"/>
      <c r="F292" s="1729"/>
      <c r="G292" s="1729"/>
      <c r="H292" s="1729"/>
      <c r="I292" s="1729"/>
      <c r="J292" s="1729"/>
      <c r="K292" s="1729"/>
      <c r="L292" s="1729"/>
      <c r="M292" s="1729"/>
    </row>
    <row r="293" customFormat="false" ht="12" hidden="false" customHeight="false" outlineLevel="0" collapsed="false">
      <c r="B293" s="1729"/>
      <c r="C293" s="1729"/>
      <c r="D293" s="1729"/>
      <c r="E293" s="1729"/>
      <c r="F293" s="1729"/>
      <c r="G293" s="1729"/>
      <c r="H293" s="1729"/>
      <c r="I293" s="1729"/>
      <c r="J293" s="1729"/>
      <c r="K293" s="1729"/>
      <c r="L293" s="1729"/>
      <c r="M293" s="1729"/>
    </row>
    <row r="294" customFormat="false" ht="12" hidden="false" customHeight="false" outlineLevel="0" collapsed="false">
      <c r="B294" s="1729"/>
      <c r="C294" s="1729"/>
      <c r="D294" s="1729"/>
      <c r="E294" s="1729"/>
      <c r="F294" s="1729"/>
      <c r="G294" s="1729"/>
      <c r="H294" s="1729"/>
      <c r="I294" s="1729"/>
      <c r="J294" s="1729"/>
      <c r="K294" s="1729"/>
      <c r="L294" s="1729"/>
      <c r="M294" s="1729"/>
    </row>
    <row r="295" customFormat="false" ht="12" hidden="false" customHeight="false" outlineLevel="0" collapsed="false">
      <c r="B295" s="1729"/>
      <c r="C295" s="1729"/>
      <c r="D295" s="1729"/>
      <c r="E295" s="1729"/>
      <c r="F295" s="1729"/>
      <c r="G295" s="1729"/>
      <c r="H295" s="1729"/>
      <c r="I295" s="1729"/>
      <c r="J295" s="1729"/>
      <c r="K295" s="1729"/>
      <c r="L295" s="1729"/>
      <c r="M295" s="1729"/>
    </row>
    <row r="296" customFormat="false" ht="12" hidden="false" customHeight="false" outlineLevel="0" collapsed="false">
      <c r="B296" s="1729"/>
      <c r="C296" s="1729"/>
      <c r="D296" s="1729"/>
      <c r="E296" s="1729"/>
      <c r="F296" s="1729"/>
      <c r="G296" s="1729"/>
      <c r="H296" s="1729"/>
      <c r="I296" s="1729"/>
      <c r="J296" s="1729"/>
      <c r="K296" s="1729"/>
      <c r="L296" s="1729"/>
      <c r="M296" s="1729"/>
    </row>
    <row r="297" customFormat="false" ht="12" hidden="false" customHeight="false" outlineLevel="0" collapsed="false">
      <c r="B297" s="1729"/>
      <c r="C297" s="1729"/>
      <c r="D297" s="1729"/>
      <c r="E297" s="1729"/>
      <c r="F297" s="1729"/>
      <c r="G297" s="1729"/>
      <c r="H297" s="1729"/>
      <c r="I297" s="1729"/>
      <c r="J297" s="1729"/>
      <c r="K297" s="1729"/>
      <c r="L297" s="1729"/>
      <c r="M297" s="1729"/>
    </row>
    <row r="298" customFormat="false" ht="12" hidden="false" customHeight="false" outlineLevel="0" collapsed="false">
      <c r="B298" s="1729"/>
      <c r="C298" s="1729"/>
      <c r="D298" s="1729"/>
      <c r="E298" s="1729"/>
      <c r="F298" s="1729"/>
      <c r="G298" s="1729"/>
      <c r="H298" s="1729"/>
      <c r="I298" s="1729"/>
      <c r="J298" s="1729"/>
      <c r="K298" s="1729"/>
      <c r="L298" s="1729"/>
      <c r="M298" s="1729"/>
    </row>
    <row r="299" customFormat="false" ht="12" hidden="false" customHeight="false" outlineLevel="0" collapsed="false">
      <c r="B299" s="1729"/>
      <c r="C299" s="1729"/>
      <c r="D299" s="1729"/>
      <c r="E299" s="1729"/>
      <c r="F299" s="1729"/>
      <c r="G299" s="1729"/>
      <c r="H299" s="1729"/>
      <c r="I299" s="1729"/>
      <c r="J299" s="1729"/>
      <c r="K299" s="1729"/>
      <c r="L299" s="1729"/>
      <c r="M299" s="1729"/>
    </row>
    <row r="300" customFormat="false" ht="12" hidden="false" customHeight="false" outlineLevel="0" collapsed="false">
      <c r="B300" s="1729"/>
      <c r="C300" s="1729"/>
      <c r="D300" s="1729"/>
      <c r="E300" s="1729"/>
      <c r="F300" s="1729"/>
      <c r="G300" s="1729"/>
      <c r="H300" s="1729"/>
      <c r="I300" s="1729"/>
      <c r="J300" s="1729"/>
      <c r="K300" s="1729"/>
      <c r="L300" s="1729"/>
      <c r="M300" s="1729"/>
    </row>
    <row r="301" customFormat="false" ht="12" hidden="false" customHeight="false" outlineLevel="0" collapsed="false">
      <c r="B301" s="1729"/>
      <c r="C301" s="1729"/>
      <c r="D301" s="1729"/>
      <c r="E301" s="1729"/>
      <c r="F301" s="1729"/>
      <c r="G301" s="1729"/>
      <c r="H301" s="1729"/>
      <c r="I301" s="1729"/>
      <c r="J301" s="1729"/>
      <c r="K301" s="1729"/>
      <c r="L301" s="1729"/>
      <c r="M301" s="1729"/>
    </row>
    <row r="302" customFormat="false" ht="12" hidden="false" customHeight="false" outlineLevel="0" collapsed="false">
      <c r="B302" s="1729"/>
      <c r="C302" s="1729"/>
      <c r="D302" s="1729"/>
      <c r="E302" s="1729"/>
      <c r="F302" s="1729"/>
      <c r="G302" s="1729"/>
      <c r="H302" s="1729"/>
      <c r="I302" s="1729"/>
      <c r="J302" s="1729"/>
      <c r="K302" s="1729"/>
      <c r="L302" s="1729"/>
      <c r="M302" s="1729"/>
    </row>
    <row r="303" customFormat="false" ht="12" hidden="false" customHeight="false" outlineLevel="0" collapsed="false">
      <c r="B303" s="1729"/>
      <c r="C303" s="1729"/>
      <c r="D303" s="1729"/>
      <c r="E303" s="1729"/>
      <c r="F303" s="1729"/>
      <c r="G303" s="1729"/>
      <c r="H303" s="1729"/>
      <c r="I303" s="1729"/>
      <c r="J303" s="1729"/>
      <c r="K303" s="1729"/>
      <c r="L303" s="1729"/>
      <c r="M303" s="1729"/>
    </row>
    <row r="304" customFormat="false" ht="12" hidden="false" customHeight="false" outlineLevel="0" collapsed="false">
      <c r="B304" s="1729"/>
      <c r="C304" s="1729"/>
      <c r="D304" s="1729"/>
      <c r="E304" s="1729"/>
      <c r="F304" s="1729"/>
      <c r="G304" s="1729"/>
      <c r="H304" s="1729"/>
      <c r="I304" s="1729"/>
      <c r="J304" s="1729"/>
      <c r="K304" s="1729"/>
      <c r="L304" s="1729"/>
      <c r="M304" s="1729"/>
    </row>
    <row r="305" customFormat="false" ht="12" hidden="false" customHeight="false" outlineLevel="0" collapsed="false">
      <c r="B305" s="1729"/>
      <c r="C305" s="1729"/>
      <c r="D305" s="1729"/>
      <c r="E305" s="1729"/>
      <c r="F305" s="1729"/>
      <c r="G305" s="1729"/>
      <c r="H305" s="1729"/>
      <c r="I305" s="1729"/>
      <c r="J305" s="1729"/>
      <c r="K305" s="1729"/>
      <c r="L305" s="1729"/>
      <c r="M305" s="1729"/>
    </row>
    <row r="306" customFormat="false" ht="12" hidden="false" customHeight="false" outlineLevel="0" collapsed="false">
      <c r="B306" s="1729"/>
      <c r="C306" s="1729"/>
      <c r="D306" s="1729"/>
      <c r="E306" s="1729"/>
      <c r="F306" s="1729"/>
      <c r="G306" s="1729"/>
      <c r="H306" s="1729"/>
      <c r="I306" s="1729"/>
      <c r="J306" s="1729"/>
      <c r="K306" s="1729"/>
      <c r="L306" s="1729"/>
      <c r="M306" s="1729"/>
    </row>
    <row r="307" customFormat="false" ht="12" hidden="false" customHeight="false" outlineLevel="0" collapsed="false">
      <c r="B307" s="1729"/>
      <c r="C307" s="1729"/>
      <c r="D307" s="1729"/>
      <c r="E307" s="1729"/>
      <c r="F307" s="1729"/>
      <c r="G307" s="1729"/>
      <c r="H307" s="1729"/>
      <c r="I307" s="1729"/>
      <c r="J307" s="1729"/>
      <c r="K307" s="1729"/>
      <c r="L307" s="1729"/>
      <c r="M307" s="1729"/>
    </row>
    <row r="308" customFormat="false" ht="12" hidden="false" customHeight="false" outlineLevel="0" collapsed="false">
      <c r="B308" s="1729"/>
      <c r="C308" s="1729"/>
      <c r="D308" s="1729"/>
      <c r="E308" s="1729"/>
      <c r="F308" s="1729"/>
      <c r="G308" s="1729"/>
      <c r="H308" s="1729"/>
      <c r="I308" s="1729"/>
      <c r="J308" s="1729"/>
      <c r="K308" s="1729"/>
      <c r="L308" s="1729"/>
      <c r="M308" s="1729"/>
    </row>
    <row r="309" customFormat="false" ht="12" hidden="false" customHeight="false" outlineLevel="0" collapsed="false">
      <c r="B309" s="1729"/>
      <c r="C309" s="1729"/>
      <c r="D309" s="1729"/>
      <c r="E309" s="1729"/>
      <c r="F309" s="1729"/>
      <c r="G309" s="1729"/>
      <c r="H309" s="1729"/>
      <c r="I309" s="1729"/>
      <c r="J309" s="1729"/>
      <c r="K309" s="1729"/>
      <c r="L309" s="1729"/>
      <c r="M309" s="1729"/>
    </row>
    <row r="310" customFormat="false" ht="12" hidden="false" customHeight="false" outlineLevel="0" collapsed="false">
      <c r="B310" s="1729"/>
      <c r="C310" s="1729"/>
      <c r="D310" s="1729"/>
      <c r="E310" s="1729"/>
      <c r="F310" s="1729"/>
      <c r="G310" s="1729"/>
      <c r="H310" s="1729"/>
      <c r="I310" s="1729"/>
      <c r="J310" s="1729"/>
      <c r="K310" s="1729"/>
      <c r="L310" s="1729"/>
      <c r="M310" s="1729"/>
    </row>
    <row r="311" customFormat="false" ht="12" hidden="false" customHeight="false" outlineLevel="0" collapsed="false">
      <c r="B311" s="1729"/>
      <c r="C311" s="1729"/>
      <c r="D311" s="1729"/>
      <c r="E311" s="1729"/>
      <c r="F311" s="1729"/>
      <c r="G311" s="1729"/>
      <c r="H311" s="1729"/>
      <c r="I311" s="1729"/>
      <c r="J311" s="1729"/>
      <c r="K311" s="1729"/>
      <c r="L311" s="1729"/>
      <c r="M311" s="1729"/>
    </row>
    <row r="312" customFormat="false" ht="12" hidden="false" customHeight="false" outlineLevel="0" collapsed="false">
      <c r="B312" s="1729"/>
      <c r="C312" s="1729"/>
      <c r="D312" s="1729"/>
      <c r="E312" s="1729"/>
      <c r="F312" s="1729"/>
      <c r="G312" s="1729"/>
      <c r="H312" s="1729"/>
      <c r="I312" s="1729"/>
      <c r="J312" s="1729"/>
      <c r="K312" s="1729"/>
      <c r="L312" s="1729"/>
      <c r="M312" s="1729"/>
    </row>
    <row r="313" customFormat="false" ht="12" hidden="false" customHeight="false" outlineLevel="0" collapsed="false">
      <c r="B313" s="1729"/>
      <c r="C313" s="1729"/>
      <c r="D313" s="1729"/>
      <c r="E313" s="1729"/>
      <c r="F313" s="1729"/>
      <c r="G313" s="1729"/>
      <c r="H313" s="1729"/>
      <c r="I313" s="1729"/>
      <c r="J313" s="1729"/>
      <c r="K313" s="1729"/>
      <c r="L313" s="1729"/>
      <c r="M313" s="1729"/>
    </row>
    <row r="314" customFormat="false" ht="12" hidden="false" customHeight="false" outlineLevel="0" collapsed="false">
      <c r="B314" s="1729"/>
      <c r="C314" s="1729"/>
      <c r="D314" s="1729"/>
      <c r="E314" s="1729"/>
      <c r="F314" s="1729"/>
      <c r="G314" s="1729"/>
      <c r="H314" s="1729"/>
      <c r="I314" s="1729"/>
      <c r="J314" s="1729"/>
      <c r="K314" s="1729"/>
      <c r="L314" s="1729"/>
      <c r="M314" s="1729"/>
    </row>
    <row r="315" customFormat="false" ht="12" hidden="false" customHeight="false" outlineLevel="0" collapsed="false">
      <c r="B315" s="1729"/>
      <c r="C315" s="1729"/>
      <c r="D315" s="1729"/>
      <c r="E315" s="1729"/>
      <c r="F315" s="1729"/>
      <c r="G315" s="1729"/>
      <c r="H315" s="1729"/>
      <c r="I315" s="1729"/>
      <c r="J315" s="1729"/>
      <c r="K315" s="1729"/>
      <c r="L315" s="1729"/>
      <c r="M315" s="1729"/>
    </row>
    <row r="316" customFormat="false" ht="12" hidden="false" customHeight="false" outlineLevel="0" collapsed="false">
      <c r="B316" s="1729"/>
      <c r="C316" s="1729"/>
      <c r="D316" s="1729"/>
      <c r="E316" s="1729"/>
      <c r="F316" s="1729"/>
      <c r="G316" s="1729"/>
      <c r="H316" s="1729"/>
      <c r="I316" s="1729"/>
      <c r="J316" s="1729"/>
      <c r="K316" s="1729"/>
      <c r="L316" s="1729"/>
      <c r="M316" s="1729"/>
    </row>
    <row r="317" customFormat="false" ht="12" hidden="false" customHeight="false" outlineLevel="0" collapsed="false">
      <c r="B317" s="1729"/>
      <c r="C317" s="1729"/>
      <c r="D317" s="1729"/>
      <c r="E317" s="1729"/>
      <c r="F317" s="1729"/>
      <c r="G317" s="1729"/>
      <c r="H317" s="1729"/>
      <c r="I317" s="1729"/>
      <c r="J317" s="1729"/>
      <c r="K317" s="1729"/>
      <c r="L317" s="1729"/>
      <c r="M317" s="1729"/>
    </row>
    <row r="318" customFormat="false" ht="12" hidden="false" customHeight="false" outlineLevel="0" collapsed="false">
      <c r="B318" s="1729"/>
      <c r="C318" s="1729"/>
      <c r="D318" s="1729"/>
      <c r="E318" s="1729"/>
      <c r="F318" s="1729"/>
      <c r="G318" s="1729"/>
      <c r="H318" s="1729"/>
      <c r="I318" s="1729"/>
      <c r="J318" s="1729"/>
      <c r="K318" s="1729"/>
      <c r="L318" s="1729"/>
      <c r="M318" s="1729"/>
    </row>
    <row r="319" customFormat="false" ht="12" hidden="false" customHeight="false" outlineLevel="0" collapsed="false">
      <c r="B319" s="1729"/>
      <c r="C319" s="1729"/>
      <c r="D319" s="1729"/>
      <c r="E319" s="1729"/>
      <c r="F319" s="1729"/>
      <c r="G319" s="1729"/>
      <c r="H319" s="1729"/>
      <c r="I319" s="1729"/>
      <c r="J319" s="1729"/>
      <c r="K319" s="1729"/>
      <c r="L319" s="1729"/>
      <c r="M319" s="1729"/>
    </row>
    <row r="320" customFormat="false" ht="12" hidden="false" customHeight="false" outlineLevel="0" collapsed="false">
      <c r="B320" s="1729"/>
      <c r="C320" s="1729"/>
      <c r="D320" s="1729"/>
      <c r="E320" s="1729"/>
      <c r="F320" s="1729"/>
      <c r="G320" s="1729"/>
      <c r="H320" s="1729"/>
      <c r="I320" s="1729"/>
      <c r="J320" s="1729"/>
      <c r="K320" s="1729"/>
      <c r="L320" s="1729"/>
      <c r="M320" s="1729"/>
    </row>
    <row r="321" customFormat="false" ht="12" hidden="false" customHeight="false" outlineLevel="0" collapsed="false">
      <c r="B321" s="1729"/>
      <c r="C321" s="1729"/>
      <c r="D321" s="1729"/>
      <c r="E321" s="1729"/>
      <c r="F321" s="1729"/>
      <c r="G321" s="1729"/>
      <c r="H321" s="1729"/>
      <c r="I321" s="1729"/>
      <c r="J321" s="1729"/>
      <c r="K321" s="1729"/>
      <c r="L321" s="1729"/>
      <c r="M321" s="1729"/>
    </row>
    <row r="322" customFormat="false" ht="12" hidden="false" customHeight="false" outlineLevel="0" collapsed="false">
      <c r="B322" s="1729"/>
      <c r="C322" s="1729"/>
      <c r="D322" s="1729"/>
      <c r="E322" s="1729"/>
      <c r="F322" s="1729"/>
      <c r="G322" s="1729"/>
      <c r="H322" s="1729"/>
      <c r="I322" s="1729"/>
      <c r="J322" s="1729"/>
      <c r="K322" s="1729"/>
      <c r="L322" s="1729"/>
      <c r="M322" s="1729"/>
    </row>
    <row r="323" customFormat="false" ht="12" hidden="false" customHeight="false" outlineLevel="0" collapsed="false">
      <c r="B323" s="1729"/>
      <c r="C323" s="1729"/>
      <c r="D323" s="1729"/>
      <c r="E323" s="1729"/>
      <c r="F323" s="1729"/>
      <c r="G323" s="1729"/>
      <c r="H323" s="1729"/>
      <c r="I323" s="1729"/>
      <c r="J323" s="1729"/>
      <c r="K323" s="1729"/>
      <c r="L323" s="1729"/>
      <c r="M323" s="1729"/>
    </row>
    <row r="324" customFormat="false" ht="12" hidden="false" customHeight="false" outlineLevel="0" collapsed="false">
      <c r="B324" s="1729"/>
      <c r="C324" s="1729"/>
      <c r="D324" s="1729"/>
      <c r="E324" s="1729"/>
      <c r="F324" s="1729"/>
      <c r="G324" s="1729"/>
      <c r="H324" s="1729"/>
      <c r="I324" s="1729"/>
      <c r="J324" s="1729"/>
      <c r="K324" s="1729"/>
      <c r="L324" s="1729"/>
      <c r="M324" s="1729"/>
    </row>
    <row r="325" customFormat="false" ht="12" hidden="false" customHeight="false" outlineLevel="0" collapsed="false">
      <c r="B325" s="1729"/>
      <c r="C325" s="1729"/>
      <c r="D325" s="1729"/>
      <c r="E325" s="1729"/>
      <c r="F325" s="1729"/>
      <c r="G325" s="1729"/>
      <c r="H325" s="1729"/>
      <c r="I325" s="1729"/>
      <c r="J325" s="1729"/>
      <c r="K325" s="1729"/>
      <c r="L325" s="1729"/>
      <c r="M325" s="1729"/>
    </row>
    <row r="326" customFormat="false" ht="12" hidden="false" customHeight="false" outlineLevel="0" collapsed="false">
      <c r="B326" s="1729"/>
      <c r="C326" s="1729"/>
      <c r="D326" s="1729"/>
      <c r="E326" s="1729"/>
      <c r="F326" s="1729"/>
      <c r="G326" s="1729"/>
      <c r="H326" s="1729"/>
      <c r="I326" s="1729"/>
      <c r="J326" s="1729"/>
      <c r="K326" s="1729"/>
      <c r="L326" s="1729"/>
      <c r="M326" s="1729"/>
    </row>
    <row r="327" customFormat="false" ht="12" hidden="false" customHeight="false" outlineLevel="0" collapsed="false">
      <c r="B327" s="1729"/>
      <c r="C327" s="1729"/>
      <c r="D327" s="1729"/>
      <c r="E327" s="1729"/>
      <c r="F327" s="1729"/>
      <c r="G327" s="1729"/>
      <c r="H327" s="1729"/>
      <c r="I327" s="1729"/>
      <c r="J327" s="1729"/>
      <c r="K327" s="1729"/>
      <c r="L327" s="1729"/>
      <c r="M327" s="1729"/>
    </row>
    <row r="328" customFormat="false" ht="12" hidden="false" customHeight="false" outlineLevel="0" collapsed="false">
      <c r="B328" s="1729"/>
      <c r="C328" s="1729"/>
      <c r="D328" s="1729"/>
      <c r="E328" s="1729"/>
      <c r="F328" s="1729"/>
      <c r="G328" s="1729"/>
      <c r="H328" s="1729"/>
      <c r="I328" s="1729"/>
      <c r="J328" s="1729"/>
      <c r="K328" s="1729"/>
      <c r="L328" s="1729"/>
      <c r="M328" s="1729"/>
    </row>
    <row r="329" customFormat="false" ht="12" hidden="false" customHeight="false" outlineLevel="0" collapsed="false">
      <c r="B329" s="1729"/>
      <c r="C329" s="1729"/>
      <c r="D329" s="1729"/>
      <c r="E329" s="1729"/>
      <c r="F329" s="1729"/>
      <c r="G329" s="1729"/>
      <c r="H329" s="1729"/>
      <c r="I329" s="1729"/>
      <c r="J329" s="1729"/>
      <c r="K329" s="1729"/>
      <c r="L329" s="1729"/>
      <c r="M329" s="1729"/>
    </row>
    <row r="330" customFormat="false" ht="12" hidden="false" customHeight="false" outlineLevel="0" collapsed="false">
      <c r="B330" s="1729"/>
      <c r="C330" s="1729"/>
      <c r="D330" s="1729"/>
      <c r="E330" s="1729"/>
      <c r="F330" s="1729"/>
      <c r="G330" s="1729"/>
      <c r="H330" s="1729"/>
      <c r="I330" s="1729"/>
      <c r="J330" s="1729"/>
      <c r="K330" s="1729"/>
      <c r="L330" s="1729"/>
      <c r="M330" s="1729"/>
    </row>
    <row r="331" customFormat="false" ht="12" hidden="false" customHeight="false" outlineLevel="0" collapsed="false">
      <c r="B331" s="1729"/>
      <c r="C331" s="1729"/>
      <c r="D331" s="1729"/>
      <c r="E331" s="1729"/>
      <c r="F331" s="1729"/>
      <c r="G331" s="1729"/>
      <c r="H331" s="1729"/>
      <c r="I331" s="1729"/>
      <c r="J331" s="1729"/>
      <c r="K331" s="1729"/>
      <c r="L331" s="1729"/>
      <c r="M331" s="1729"/>
    </row>
    <row r="332" customFormat="false" ht="12" hidden="false" customHeight="false" outlineLevel="0" collapsed="false">
      <c r="B332" s="1729"/>
      <c r="C332" s="1729"/>
      <c r="D332" s="1729"/>
      <c r="E332" s="1729"/>
      <c r="F332" s="1729"/>
      <c r="G332" s="1729"/>
      <c r="H332" s="1729"/>
      <c r="I332" s="1729"/>
      <c r="J332" s="1729"/>
      <c r="K332" s="1729"/>
      <c r="L332" s="1729"/>
      <c r="M332" s="1729"/>
    </row>
    <row r="333" customFormat="false" ht="12" hidden="false" customHeight="false" outlineLevel="0" collapsed="false">
      <c r="B333" s="1729"/>
      <c r="C333" s="1729"/>
      <c r="D333" s="1729"/>
      <c r="E333" s="1729"/>
      <c r="F333" s="1729"/>
      <c r="G333" s="1729"/>
      <c r="H333" s="1729"/>
      <c r="I333" s="1729"/>
      <c r="J333" s="1729"/>
      <c r="K333" s="1729"/>
      <c r="L333" s="1729"/>
      <c r="M333" s="1729"/>
    </row>
    <row r="334" customFormat="false" ht="12" hidden="false" customHeight="false" outlineLevel="0" collapsed="false">
      <c r="B334" s="1729"/>
      <c r="C334" s="1729"/>
      <c r="D334" s="1729"/>
      <c r="E334" s="1729"/>
      <c r="F334" s="1729"/>
      <c r="G334" s="1729"/>
      <c r="H334" s="1729"/>
      <c r="I334" s="1729"/>
      <c r="J334" s="1729"/>
      <c r="K334" s="1729"/>
      <c r="L334" s="1729"/>
      <c r="M334" s="1729"/>
    </row>
    <row r="335" customFormat="false" ht="12" hidden="false" customHeight="false" outlineLevel="0" collapsed="false">
      <c r="B335" s="1729"/>
      <c r="C335" s="1729"/>
      <c r="D335" s="1729"/>
      <c r="E335" s="1729"/>
      <c r="F335" s="1729"/>
      <c r="G335" s="1729"/>
      <c r="H335" s="1729"/>
      <c r="I335" s="1729"/>
      <c r="J335" s="1729"/>
      <c r="K335" s="1729"/>
      <c r="L335" s="1729"/>
      <c r="M335" s="1729"/>
    </row>
    <row r="336" customFormat="false" ht="12" hidden="false" customHeight="false" outlineLevel="0" collapsed="false">
      <c r="B336" s="1729"/>
      <c r="C336" s="1729"/>
      <c r="D336" s="1729"/>
      <c r="E336" s="1729"/>
      <c r="F336" s="1729"/>
      <c r="G336" s="1729"/>
      <c r="H336" s="1729"/>
      <c r="I336" s="1729"/>
      <c r="J336" s="1729"/>
      <c r="K336" s="1729"/>
      <c r="L336" s="1729"/>
      <c r="M336" s="1729"/>
    </row>
    <row r="337" customFormat="false" ht="12" hidden="false" customHeight="false" outlineLevel="0" collapsed="false">
      <c r="B337" s="1729"/>
      <c r="C337" s="1729"/>
      <c r="D337" s="1729"/>
      <c r="E337" s="1729"/>
      <c r="F337" s="1729"/>
      <c r="G337" s="1729"/>
      <c r="H337" s="1729"/>
      <c r="I337" s="1729"/>
      <c r="J337" s="1729"/>
      <c r="K337" s="1729"/>
      <c r="L337" s="1729"/>
      <c r="M337" s="1729"/>
    </row>
    <row r="338" customFormat="false" ht="12" hidden="false" customHeight="false" outlineLevel="0" collapsed="false">
      <c r="B338" s="1729"/>
      <c r="C338" s="1729"/>
      <c r="D338" s="1729"/>
      <c r="E338" s="1729"/>
      <c r="F338" s="1729"/>
      <c r="G338" s="1729"/>
      <c r="H338" s="1729"/>
      <c r="I338" s="1729"/>
      <c r="J338" s="1729"/>
      <c r="K338" s="1729"/>
      <c r="L338" s="1729"/>
      <c r="M338" s="1729"/>
    </row>
    <row r="339" customFormat="false" ht="12" hidden="false" customHeight="false" outlineLevel="0" collapsed="false">
      <c r="B339" s="1729"/>
      <c r="C339" s="1729"/>
      <c r="D339" s="1729"/>
      <c r="E339" s="1729"/>
      <c r="F339" s="1729"/>
      <c r="G339" s="1729"/>
      <c r="H339" s="1729"/>
      <c r="I339" s="1729"/>
      <c r="J339" s="1729"/>
      <c r="K339" s="1729"/>
      <c r="L339" s="1729"/>
      <c r="M339" s="1729"/>
    </row>
    <row r="340" customFormat="false" ht="12" hidden="false" customHeight="false" outlineLevel="0" collapsed="false">
      <c r="B340" s="1729"/>
      <c r="C340" s="1729"/>
      <c r="D340" s="1729"/>
      <c r="E340" s="1729"/>
      <c r="F340" s="1729"/>
      <c r="G340" s="1729"/>
      <c r="H340" s="1729"/>
      <c r="I340" s="1729"/>
      <c r="J340" s="1729"/>
      <c r="K340" s="1729"/>
      <c r="L340" s="1729"/>
      <c r="M340" s="1729"/>
    </row>
    <row r="341" customFormat="false" ht="12" hidden="false" customHeight="false" outlineLevel="0" collapsed="false">
      <c r="B341" s="1729"/>
      <c r="C341" s="1729"/>
      <c r="D341" s="1729"/>
      <c r="E341" s="1729"/>
      <c r="F341" s="1729"/>
      <c r="G341" s="1729"/>
      <c r="H341" s="1729"/>
      <c r="I341" s="1729"/>
      <c r="J341" s="1729"/>
      <c r="K341" s="1729"/>
      <c r="L341" s="1729"/>
      <c r="M341" s="1729"/>
    </row>
    <row r="342" customFormat="false" ht="12" hidden="false" customHeight="false" outlineLevel="0" collapsed="false">
      <c r="B342" s="1729"/>
      <c r="C342" s="1729"/>
      <c r="D342" s="1729"/>
      <c r="E342" s="1729"/>
      <c r="F342" s="1729"/>
      <c r="G342" s="1729"/>
      <c r="H342" s="1729"/>
      <c r="I342" s="1729"/>
      <c r="J342" s="1729"/>
      <c r="K342" s="1729"/>
      <c r="L342" s="1729"/>
      <c r="M342" s="1729"/>
    </row>
    <row r="343" customFormat="false" ht="12" hidden="false" customHeight="false" outlineLevel="0" collapsed="false">
      <c r="B343" s="1729"/>
      <c r="C343" s="1729"/>
      <c r="D343" s="1729"/>
      <c r="E343" s="1729"/>
      <c r="F343" s="1729"/>
      <c r="G343" s="1729"/>
      <c r="H343" s="1729"/>
      <c r="I343" s="1729"/>
      <c r="J343" s="1729"/>
      <c r="K343" s="1729"/>
      <c r="L343" s="1729"/>
      <c r="M343" s="1729"/>
    </row>
    <row r="344" customFormat="false" ht="12" hidden="false" customHeight="false" outlineLevel="0" collapsed="false">
      <c r="B344" s="1729"/>
      <c r="C344" s="1729"/>
      <c r="D344" s="1729"/>
      <c r="E344" s="1729"/>
      <c r="F344" s="1729"/>
      <c r="G344" s="1729"/>
      <c r="H344" s="1729"/>
      <c r="I344" s="1729"/>
      <c r="J344" s="1729"/>
      <c r="K344" s="1729"/>
      <c r="L344" s="1729"/>
      <c r="M344" s="1729"/>
    </row>
    <row r="345" customFormat="false" ht="12" hidden="false" customHeight="false" outlineLevel="0" collapsed="false">
      <c r="B345" s="1729"/>
      <c r="C345" s="1729"/>
      <c r="D345" s="1729"/>
      <c r="E345" s="1729"/>
      <c r="F345" s="1729"/>
      <c r="G345" s="1729"/>
      <c r="H345" s="1729"/>
      <c r="I345" s="1729"/>
      <c r="J345" s="1729"/>
      <c r="K345" s="1729"/>
      <c r="L345" s="1729"/>
      <c r="M345" s="1729"/>
    </row>
    <row r="346" customFormat="false" ht="12" hidden="false" customHeight="false" outlineLevel="0" collapsed="false">
      <c r="B346" s="1729"/>
      <c r="C346" s="1729"/>
      <c r="D346" s="1729"/>
      <c r="E346" s="1729"/>
      <c r="F346" s="1729"/>
      <c r="G346" s="1729"/>
      <c r="H346" s="1729"/>
      <c r="I346" s="1729"/>
      <c r="J346" s="1729"/>
      <c r="K346" s="1729"/>
      <c r="L346" s="1729"/>
      <c r="M346" s="1729"/>
    </row>
    <row r="347" customFormat="false" ht="12" hidden="false" customHeight="false" outlineLevel="0" collapsed="false">
      <c r="B347" s="1729"/>
      <c r="C347" s="1729"/>
      <c r="D347" s="1729"/>
      <c r="E347" s="1729"/>
      <c r="F347" s="1729"/>
      <c r="G347" s="1729"/>
      <c r="H347" s="1729"/>
      <c r="I347" s="1729"/>
      <c r="J347" s="1729"/>
      <c r="K347" s="1729"/>
      <c r="L347" s="1729"/>
      <c r="M347" s="1729"/>
    </row>
    <row r="348" customFormat="false" ht="12" hidden="false" customHeight="false" outlineLevel="0" collapsed="false">
      <c r="B348" s="1729"/>
      <c r="C348" s="1729"/>
      <c r="D348" s="1729"/>
      <c r="E348" s="1729"/>
      <c r="F348" s="1729"/>
      <c r="G348" s="1729"/>
      <c r="H348" s="1729"/>
      <c r="I348" s="1729"/>
      <c r="J348" s="1729"/>
      <c r="K348" s="1729"/>
      <c r="L348" s="1729"/>
      <c r="M348" s="1729"/>
    </row>
    <row r="349" customFormat="false" ht="12" hidden="false" customHeight="false" outlineLevel="0" collapsed="false">
      <c r="B349" s="1729"/>
      <c r="C349" s="1729"/>
      <c r="D349" s="1729"/>
      <c r="E349" s="1729"/>
      <c r="F349" s="1729"/>
      <c r="G349" s="1729"/>
      <c r="H349" s="1729"/>
      <c r="I349" s="1729"/>
      <c r="J349" s="1729"/>
      <c r="K349" s="1729"/>
      <c r="L349" s="1729"/>
      <c r="M349" s="1729"/>
    </row>
    <row r="350" customFormat="false" ht="12" hidden="false" customHeight="false" outlineLevel="0" collapsed="false">
      <c r="B350" s="1729"/>
      <c r="C350" s="1729"/>
      <c r="D350" s="1729"/>
      <c r="E350" s="1729"/>
      <c r="F350" s="1729"/>
      <c r="G350" s="1729"/>
      <c r="H350" s="1729"/>
      <c r="I350" s="1729"/>
      <c r="J350" s="1729"/>
      <c r="K350" s="1729"/>
      <c r="L350" s="1729"/>
      <c r="M350" s="1729"/>
    </row>
    <row r="351" customFormat="false" ht="12" hidden="false" customHeight="false" outlineLevel="0" collapsed="false">
      <c r="B351" s="1729"/>
      <c r="C351" s="1729"/>
      <c r="D351" s="1729"/>
      <c r="E351" s="1729"/>
      <c r="F351" s="1729"/>
      <c r="G351" s="1729"/>
      <c r="H351" s="1729"/>
      <c r="I351" s="1729"/>
      <c r="J351" s="1729"/>
      <c r="K351" s="1729"/>
      <c r="L351" s="1729"/>
      <c r="M351" s="1729"/>
    </row>
    <row r="352" customFormat="false" ht="12" hidden="false" customHeight="false" outlineLevel="0" collapsed="false">
      <c r="B352" s="1729"/>
      <c r="C352" s="1729"/>
      <c r="D352" s="1729"/>
      <c r="E352" s="1729"/>
      <c r="F352" s="1729"/>
      <c r="G352" s="1729"/>
      <c r="H352" s="1729"/>
      <c r="I352" s="1729"/>
      <c r="J352" s="1729"/>
      <c r="K352" s="1729"/>
      <c r="L352" s="1729"/>
      <c r="M352" s="1729"/>
    </row>
    <row r="353" customFormat="false" ht="12" hidden="false" customHeight="false" outlineLevel="0" collapsed="false">
      <c r="B353" s="1729"/>
      <c r="C353" s="1729"/>
      <c r="D353" s="1729"/>
      <c r="E353" s="1729"/>
      <c r="F353" s="1729"/>
      <c r="G353" s="1729"/>
      <c r="H353" s="1729"/>
      <c r="I353" s="1729"/>
      <c r="J353" s="1729"/>
      <c r="K353" s="1729"/>
      <c r="L353" s="1729"/>
      <c r="M353" s="1729"/>
    </row>
    <row r="354" customFormat="false" ht="12" hidden="false" customHeight="false" outlineLevel="0" collapsed="false">
      <c r="B354" s="1729"/>
      <c r="C354" s="1729"/>
      <c r="D354" s="1729"/>
      <c r="E354" s="1729"/>
      <c r="F354" s="1729"/>
      <c r="G354" s="1729"/>
      <c r="H354" s="1729"/>
      <c r="I354" s="1729"/>
      <c r="J354" s="1729"/>
      <c r="K354" s="1729"/>
      <c r="L354" s="1729"/>
      <c r="M354" s="1729"/>
    </row>
    <row r="355" customFormat="false" ht="12" hidden="false" customHeight="false" outlineLevel="0" collapsed="false">
      <c r="B355" s="1729"/>
      <c r="C355" s="1729"/>
      <c r="D355" s="1729"/>
      <c r="E355" s="1729"/>
      <c r="F355" s="1729"/>
      <c r="G355" s="1729"/>
      <c r="H355" s="1729"/>
      <c r="I355" s="1729"/>
      <c r="J355" s="1729"/>
      <c r="K355" s="1729"/>
      <c r="L355" s="1729"/>
      <c r="M355" s="1729"/>
    </row>
    <row r="356" customFormat="false" ht="12" hidden="false" customHeight="false" outlineLevel="0" collapsed="false">
      <c r="B356" s="1729"/>
      <c r="C356" s="1729"/>
      <c r="D356" s="1729"/>
      <c r="E356" s="1729"/>
      <c r="F356" s="1729"/>
      <c r="G356" s="1729"/>
      <c r="H356" s="1729"/>
      <c r="I356" s="1729"/>
      <c r="J356" s="1729"/>
      <c r="K356" s="1729"/>
      <c r="L356" s="1729"/>
      <c r="M356" s="1729"/>
    </row>
    <row r="357" customFormat="false" ht="12" hidden="false" customHeight="false" outlineLevel="0" collapsed="false">
      <c r="B357" s="1729"/>
      <c r="C357" s="1729"/>
      <c r="D357" s="1729"/>
      <c r="E357" s="1729"/>
      <c r="F357" s="1729"/>
      <c r="G357" s="1729"/>
      <c r="H357" s="1729"/>
      <c r="I357" s="1729"/>
      <c r="J357" s="1729"/>
      <c r="K357" s="1729"/>
      <c r="L357" s="1729"/>
      <c r="M357" s="1729"/>
    </row>
    <row r="358" customFormat="false" ht="12" hidden="false" customHeight="false" outlineLevel="0" collapsed="false">
      <c r="B358" s="1729"/>
      <c r="C358" s="1729"/>
      <c r="D358" s="1729"/>
      <c r="E358" s="1729"/>
      <c r="F358" s="1729"/>
      <c r="G358" s="1729"/>
      <c r="H358" s="1729"/>
      <c r="I358" s="1729"/>
      <c r="J358" s="1729"/>
      <c r="K358" s="1729"/>
      <c r="L358" s="1729"/>
      <c r="M358" s="1729"/>
    </row>
    <row r="359" customFormat="false" ht="12" hidden="false" customHeight="false" outlineLevel="0" collapsed="false">
      <c r="M359" s="1729"/>
    </row>
    <row r="360" customFormat="false" ht="12" hidden="false" customHeight="false" outlineLevel="0" collapsed="false">
      <c r="M360" s="1729"/>
    </row>
    <row r="361" customFormat="false" ht="12" hidden="false" customHeight="false" outlineLevel="0" collapsed="false">
      <c r="M361" s="1729"/>
    </row>
    <row r="362" customFormat="false" ht="12" hidden="false" customHeight="false" outlineLevel="0" collapsed="false">
      <c r="M362" s="1729"/>
    </row>
    <row r="363" customFormat="false" ht="12" hidden="false" customHeight="false" outlineLevel="0" collapsed="false">
      <c r="M363" s="1729"/>
    </row>
    <row r="364" customFormat="false" ht="12" hidden="false" customHeight="false" outlineLevel="0" collapsed="false">
      <c r="M364" s="1729"/>
    </row>
    <row r="365" customFormat="false" ht="12" hidden="false" customHeight="false" outlineLevel="0" collapsed="false">
      <c r="M365" s="1729"/>
    </row>
    <row r="366" customFormat="false" ht="12" hidden="false" customHeight="false" outlineLevel="0" collapsed="false">
      <c r="M366" s="1729"/>
    </row>
    <row r="367" customFormat="false" ht="12" hidden="false" customHeight="false" outlineLevel="0" collapsed="false">
      <c r="M367" s="1729"/>
    </row>
    <row r="368" customFormat="false" ht="12" hidden="false" customHeight="false" outlineLevel="0" collapsed="false">
      <c r="M368" s="1729"/>
    </row>
    <row r="369" customFormat="false" ht="12" hidden="false" customHeight="false" outlineLevel="0" collapsed="false">
      <c r="M369" s="1729"/>
    </row>
    <row r="370" customFormat="false" ht="12" hidden="false" customHeight="false" outlineLevel="0" collapsed="false">
      <c r="M370" s="1729"/>
    </row>
  </sheetData>
  <mergeCells count="5">
    <mergeCell ref="A3:L3"/>
    <mergeCell ref="B6:L6"/>
    <mergeCell ref="A7:A9"/>
    <mergeCell ref="B7:G7"/>
    <mergeCell ref="H7:L7"/>
  </mergeCells>
  <hyperlinks>
    <hyperlink ref="B1" location="Index!A1" display="Back to index"/>
  </hyperlinks>
  <printOptions headings="false" gridLines="false" gridLinesSet="true" horizontalCentered="true" verticalCentered="true"/>
  <pageMargins left="0.75" right="0.75" top="0.984027777777778" bottom="0.984027777777778" header="0.511811023622047" footer="0.511811023622047"/>
  <pageSetup paperSize="9" scale="100" fitToWidth="1" fitToHeight="2"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C0C0"/>
    <pageSetUpPr fitToPage="true"/>
  </sheetPr>
  <dimension ref="A1:AG3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A3" activeCellId="0" sqref="A3"/>
    </sheetView>
  </sheetViews>
  <sheetFormatPr defaultColWidth="10.328125" defaultRowHeight="12" zeroHeight="false" outlineLevelRow="0" outlineLevelCol="0"/>
  <cols>
    <col collapsed="false" customWidth="true" hidden="false" outlineLevel="0" max="1" min="1" style="1636" width="8.66"/>
    <col collapsed="false" customWidth="true" hidden="false" outlineLevel="0" max="5" min="2" style="1636" width="8.99"/>
    <col collapsed="false" customWidth="true" hidden="false" outlineLevel="0" max="6" min="6" style="1730" width="8.99"/>
    <col collapsed="false" customWidth="true" hidden="false" outlineLevel="0" max="8" min="7" style="1636" width="8.99"/>
    <col collapsed="false" customWidth="true" hidden="false" outlineLevel="0" max="11" min="9" style="1730" width="8.99"/>
    <col collapsed="false" customWidth="true" hidden="false" outlineLevel="0" max="21" min="12" style="1636" width="8.99"/>
    <col collapsed="false" customWidth="true" hidden="false" outlineLevel="0" max="25" min="22" style="1636" width="8.66"/>
    <col collapsed="false" customWidth="false" hidden="false" outlineLevel="0" max="257" min="26" style="1636" width="10.32"/>
  </cols>
  <sheetData>
    <row r="1" customFormat="false" ht="12" hidden="false" customHeight="false" outlineLevel="0" collapsed="false">
      <c r="B1" s="21" t="s">
        <v>9</v>
      </c>
      <c r="D1" s="1637"/>
      <c r="E1" s="1637"/>
      <c r="F1" s="1731"/>
      <c r="G1" s="1637"/>
      <c r="H1" s="1637"/>
      <c r="I1" s="1731"/>
      <c r="J1" s="1731"/>
      <c r="K1" s="1731"/>
      <c r="R1" s="1697"/>
      <c r="S1" s="1697"/>
    </row>
    <row r="2" customFormat="false" ht="13" hidden="false" customHeight="false" outlineLevel="0" collapsed="false"/>
    <row r="3" customFormat="false" ht="19.75" hidden="false" customHeight="true" outlineLevel="0" collapsed="false">
      <c r="A3" s="1638" t="s">
        <v>582</v>
      </c>
      <c r="B3" s="1638"/>
      <c r="C3" s="1638"/>
      <c r="D3" s="1638"/>
      <c r="E3" s="1638"/>
      <c r="F3" s="1638"/>
      <c r="G3" s="1638"/>
      <c r="H3" s="1638"/>
      <c r="I3" s="1638"/>
      <c r="J3" s="1638"/>
      <c r="K3" s="1638"/>
      <c r="L3" s="1638"/>
      <c r="M3" s="1638"/>
      <c r="N3" s="1638"/>
      <c r="O3" s="1638"/>
      <c r="P3" s="1638"/>
      <c r="Q3" s="1638"/>
      <c r="R3" s="1638"/>
      <c r="S3" s="1638"/>
      <c r="T3" s="1638"/>
      <c r="U3" s="1638"/>
    </row>
    <row r="4" customFormat="false" ht="12" hidden="false" customHeight="false" outlineLevel="0" collapsed="false">
      <c r="A4" s="1639"/>
      <c r="B4" s="1640"/>
      <c r="C4" s="1640"/>
      <c r="D4" s="1640"/>
      <c r="E4" s="1640"/>
      <c r="F4" s="1732"/>
      <c r="G4" s="1640"/>
      <c r="H4" s="1640"/>
      <c r="I4" s="1732"/>
      <c r="J4" s="1732"/>
      <c r="K4" s="1732"/>
      <c r="L4" s="1640"/>
      <c r="M4" s="1640"/>
      <c r="N4" s="1640"/>
      <c r="O4" s="1640"/>
      <c r="P4" s="1640"/>
      <c r="Q4" s="1640"/>
      <c r="R4" s="1640"/>
      <c r="S4" s="1640"/>
      <c r="T4" s="1640"/>
      <c r="U4" s="1641"/>
    </row>
    <row r="5" customFormat="false" ht="12" hidden="false" customHeight="false" outlineLevel="0" collapsed="false">
      <c r="A5" s="1639"/>
      <c r="B5" s="1733" t="s">
        <v>11</v>
      </c>
      <c r="C5" s="1733" t="s">
        <v>12</v>
      </c>
      <c r="D5" s="1733" t="s">
        <v>13</v>
      </c>
      <c r="E5" s="1733" t="s">
        <v>14</v>
      </c>
      <c r="F5" s="1734" t="s">
        <v>16</v>
      </c>
      <c r="G5" s="1735" t="s">
        <v>17</v>
      </c>
      <c r="H5" s="1733" t="s">
        <v>18</v>
      </c>
      <c r="I5" s="1734" t="s">
        <v>19</v>
      </c>
      <c r="J5" s="1734" t="s">
        <v>20</v>
      </c>
      <c r="K5" s="1734" t="s">
        <v>21</v>
      </c>
      <c r="L5" s="1733" t="s">
        <v>22</v>
      </c>
      <c r="M5" s="1733" t="s">
        <v>23</v>
      </c>
      <c r="N5" s="1733" t="s">
        <v>24</v>
      </c>
      <c r="O5" s="1733" t="s">
        <v>25</v>
      </c>
      <c r="P5" s="1733" t="s">
        <v>26</v>
      </c>
      <c r="Q5" s="1733" t="s">
        <v>27</v>
      </c>
      <c r="R5" s="1733" t="s">
        <v>28</v>
      </c>
      <c r="S5" s="1733" t="s">
        <v>29</v>
      </c>
      <c r="T5" s="1733" t="s">
        <v>30</v>
      </c>
      <c r="U5" s="1644" t="s">
        <v>583</v>
      </c>
    </row>
    <row r="6" customFormat="false" ht="15" hidden="false" customHeight="true" outlineLevel="0" collapsed="false">
      <c r="A6" s="1639"/>
      <c r="B6" s="1736" t="s">
        <v>558</v>
      </c>
      <c r="C6" s="1736"/>
      <c r="D6" s="1736"/>
      <c r="E6" s="1736"/>
      <c r="F6" s="1736"/>
      <c r="G6" s="1736"/>
      <c r="H6" s="1736"/>
      <c r="I6" s="1736"/>
      <c r="J6" s="1736"/>
      <c r="K6" s="1736"/>
      <c r="L6" s="1736"/>
      <c r="M6" s="1736"/>
      <c r="N6" s="1736"/>
      <c r="O6" s="1736"/>
      <c r="P6" s="1736"/>
      <c r="Q6" s="1736"/>
      <c r="R6" s="1736"/>
      <c r="S6" s="1736"/>
      <c r="T6" s="1736"/>
      <c r="U6" s="1736"/>
    </row>
    <row r="7" customFormat="false" ht="27" hidden="false" customHeight="true" outlineLevel="0" collapsed="false">
      <c r="A7" s="1646"/>
      <c r="B7" s="1647" t="s">
        <v>584</v>
      </c>
      <c r="C7" s="1647"/>
      <c r="D7" s="1647"/>
      <c r="E7" s="1647"/>
      <c r="F7" s="1647"/>
      <c r="G7" s="1737" t="s">
        <v>585</v>
      </c>
      <c r="H7" s="1737"/>
      <c r="I7" s="1737"/>
      <c r="J7" s="1737"/>
      <c r="K7" s="1737"/>
      <c r="L7" s="1738" t="s">
        <v>586</v>
      </c>
      <c r="M7" s="1738"/>
      <c r="N7" s="1738"/>
      <c r="O7" s="1738"/>
      <c r="P7" s="1738"/>
      <c r="Q7" s="1648" t="s">
        <v>587</v>
      </c>
      <c r="R7" s="1648"/>
      <c r="S7" s="1648"/>
      <c r="T7" s="1648"/>
      <c r="U7" s="1648"/>
    </row>
    <row r="8" customFormat="false" ht="70" hidden="false" customHeight="true" outlineLevel="0" collapsed="false">
      <c r="A8" s="1646"/>
      <c r="B8" s="1739" t="s">
        <v>588</v>
      </c>
      <c r="C8" s="1740" t="s">
        <v>589</v>
      </c>
      <c r="D8" s="1740" t="s">
        <v>590</v>
      </c>
      <c r="E8" s="1741" t="s">
        <v>591</v>
      </c>
      <c r="F8" s="1742" t="s">
        <v>213</v>
      </c>
      <c r="G8" s="1743" t="s">
        <v>592</v>
      </c>
      <c r="H8" s="1740" t="s">
        <v>593</v>
      </c>
      <c r="I8" s="1744" t="s">
        <v>594</v>
      </c>
      <c r="J8" s="1745" t="s">
        <v>595</v>
      </c>
      <c r="K8" s="1744" t="s">
        <v>214</v>
      </c>
      <c r="L8" s="1746" t="s">
        <v>596</v>
      </c>
      <c r="M8" s="1740" t="s">
        <v>597</v>
      </c>
      <c r="N8" s="1744" t="s">
        <v>598</v>
      </c>
      <c r="O8" s="1744" t="s">
        <v>599</v>
      </c>
      <c r="P8" s="1744" t="s">
        <v>600</v>
      </c>
      <c r="Q8" s="1746" t="s">
        <v>601</v>
      </c>
      <c r="R8" s="1740" t="s">
        <v>602</v>
      </c>
      <c r="S8" s="1744" t="s">
        <v>603</v>
      </c>
      <c r="T8" s="1744" t="s">
        <v>604</v>
      </c>
      <c r="U8" s="1747" t="s">
        <v>605</v>
      </c>
      <c r="V8" s="1655"/>
      <c r="W8" s="1655"/>
      <c r="X8" s="1655"/>
      <c r="Y8" s="1655"/>
      <c r="Z8" s="1748" t="s">
        <v>606</v>
      </c>
      <c r="AA8" s="1748" t="s">
        <v>607</v>
      </c>
      <c r="AB8" s="1748" t="s">
        <v>608</v>
      </c>
      <c r="AC8" s="1748" t="s">
        <v>609</v>
      </c>
      <c r="AF8" s="1697"/>
    </row>
    <row r="9" customFormat="false" ht="30" hidden="false" customHeight="true" outlineLevel="0" collapsed="false">
      <c r="A9" s="1646"/>
      <c r="B9" s="1749" t="s">
        <v>574</v>
      </c>
      <c r="C9" s="1750"/>
      <c r="D9" s="1750"/>
      <c r="E9" s="973"/>
      <c r="F9" s="1751"/>
      <c r="G9" s="1752" t="s">
        <v>575</v>
      </c>
      <c r="H9" s="1753"/>
      <c r="I9" s="1754"/>
      <c r="J9" s="1755"/>
      <c r="K9" s="1755"/>
      <c r="L9" s="1756" t="s">
        <v>610</v>
      </c>
      <c r="M9" s="1753"/>
      <c r="N9" s="1754"/>
      <c r="O9" s="1755"/>
      <c r="P9" s="1755"/>
      <c r="Q9" s="1757"/>
      <c r="R9" s="1755"/>
      <c r="S9" s="1755"/>
      <c r="T9" s="1755"/>
      <c r="U9" s="1758"/>
    </row>
    <row r="10" customFormat="false" ht="12" hidden="false" customHeight="true" outlineLevel="0" collapsed="false">
      <c r="A10" s="1660" t="n">
        <v>1870</v>
      </c>
      <c r="B10" s="1759" t="n">
        <f aca="false">TableDE12b!E10</f>
        <v>0.12892202547375</v>
      </c>
      <c r="C10" s="1760" t="n">
        <f aca="false">B10-F10</f>
        <v>0.123458468815902</v>
      </c>
      <c r="D10" s="1741"/>
      <c r="E10" s="1761"/>
      <c r="F10" s="1762" t="n">
        <f aca="false">U10+K10</f>
        <v>0.00546355665784756</v>
      </c>
      <c r="G10" s="1763" t="n">
        <f aca="false">TableDE12b!F10</f>
        <v>0.123485554520037</v>
      </c>
      <c r="H10" s="1764" t="n">
        <f aca="false">G10-K10</f>
        <v>0.0810383659521591</v>
      </c>
      <c r="I10" s="1765"/>
      <c r="J10" s="1745"/>
      <c r="K10" s="978" t="n">
        <f aca="false">TableDE5c!F10</f>
        <v>0.0424471885678782</v>
      </c>
      <c r="L10" s="1766"/>
      <c r="M10" s="1767"/>
      <c r="N10" s="1765"/>
      <c r="O10" s="1745"/>
      <c r="P10" s="1745"/>
      <c r="Q10" s="1768" t="n">
        <f aca="false">TableDE12b!G10</f>
        <v>0.00543647095371233</v>
      </c>
      <c r="R10" s="1769" t="n">
        <f aca="false">Q10-U10</f>
        <v>0.042420102863743</v>
      </c>
      <c r="S10" s="1745"/>
      <c r="T10" s="978"/>
      <c r="U10" s="1770" t="n">
        <f aca="false">(DataDE1c!CO33-DataDE1c!CO32)/TableDE1!B10</f>
        <v>-0.0369836319100307</v>
      </c>
      <c r="V10" s="158"/>
      <c r="W10" s="158"/>
      <c r="X10" s="158"/>
      <c r="Y10" s="158"/>
      <c r="Z10" s="1771" t="n">
        <f aca="false">F10+C10-B10</f>
        <v>0</v>
      </c>
      <c r="AA10" s="1772" t="n">
        <f aca="false">G10-H10-K10</f>
        <v>0</v>
      </c>
      <c r="AC10" s="1002" t="n">
        <f aca="false">Q10-TableDE12b!G10</f>
        <v>0</v>
      </c>
      <c r="AF10" s="1678" t="n">
        <f aca="false">TableDE5a!G10+TableDE5c!E10-B10</f>
        <v>0</v>
      </c>
      <c r="AG10" s="1678" t="n">
        <f aca="false">TableDE5b!F10-TableDE12c!B10</f>
        <v>0</v>
      </c>
    </row>
    <row r="11" customFormat="false" ht="12" hidden="false" customHeight="true" outlineLevel="0" collapsed="false">
      <c r="A11" s="1660" t="n">
        <v>1871</v>
      </c>
      <c r="B11" s="1759" t="n">
        <f aca="false">TableDE12b!E11</f>
        <v>0.141440091343752</v>
      </c>
      <c r="C11" s="1760" t="n">
        <f aca="false">B11-F11</f>
        <v>0.0723152485450275</v>
      </c>
      <c r="D11" s="1741"/>
      <c r="E11" s="1761"/>
      <c r="F11" s="1762" t="n">
        <f aca="false">U11+K11</f>
        <v>0.0691248427987247</v>
      </c>
      <c r="G11" s="1763" t="n">
        <f aca="false">TableDE12b!F11</f>
        <v>0.105616213516021</v>
      </c>
      <c r="H11" s="1764" t="n">
        <f aca="false">G11-K11</f>
        <v>0.0778134589309927</v>
      </c>
      <c r="I11" s="1765"/>
      <c r="J11" s="1745"/>
      <c r="K11" s="978" t="n">
        <f aca="false">TableDE5c!F11</f>
        <v>0.0278027545850282</v>
      </c>
      <c r="L11" s="1766"/>
      <c r="M11" s="1767"/>
      <c r="N11" s="1765"/>
      <c r="O11" s="1745"/>
      <c r="P11" s="1745"/>
      <c r="Q11" s="1768" t="n">
        <f aca="false">TableDE12b!G11</f>
        <v>0.0358238778277314</v>
      </c>
      <c r="R11" s="1769" t="n">
        <f aca="false">Q11-U11</f>
        <v>-0.00549821038596514</v>
      </c>
      <c r="S11" s="1745"/>
      <c r="T11" s="978"/>
      <c r="U11" s="1770" t="n">
        <f aca="false">(DataDE1c!CO34-DataDE1c!CO33)/TableDE1!B11</f>
        <v>0.0413220882136965</v>
      </c>
      <c r="V11" s="158"/>
      <c r="W11" s="158"/>
      <c r="X11" s="158"/>
      <c r="Y11" s="158"/>
      <c r="Z11" s="1771" t="n">
        <f aca="false">F11+C11-B11</f>
        <v>0</v>
      </c>
      <c r="AA11" s="1772" t="n">
        <f aca="false">G11-H11-K11</f>
        <v>0</v>
      </c>
      <c r="AC11" s="1002" t="n">
        <f aca="false">Q11-TableDE12b!G11</f>
        <v>0</v>
      </c>
      <c r="AF11" s="1678" t="n">
        <f aca="false">TableDE5a!G11+TableDE5c!E11-B11</f>
        <v>0</v>
      </c>
      <c r="AG11" s="1678" t="n">
        <f aca="false">TableDE5b!F11-TableDE12c!B11</f>
        <v>0</v>
      </c>
    </row>
    <row r="12" customFormat="false" ht="12" hidden="false" customHeight="true" outlineLevel="0" collapsed="false">
      <c r="A12" s="1660" t="n">
        <v>1872</v>
      </c>
      <c r="B12" s="1759" t="n">
        <f aca="false">TableDE12b!E12</f>
        <v>0.235460395741866</v>
      </c>
      <c r="C12" s="1760" t="n">
        <f aca="false">B12-F12</f>
        <v>0.16012616275959</v>
      </c>
      <c r="D12" s="1741"/>
      <c r="E12" s="1761"/>
      <c r="F12" s="1762" t="n">
        <f aca="false">U12+K12</f>
        <v>0.0753342329822758</v>
      </c>
      <c r="G12" s="1763" t="n">
        <f aca="false">TableDE12b!F12</f>
        <v>0.156372165754496</v>
      </c>
      <c r="H12" s="1764" t="n">
        <f aca="false">G12-K12</f>
        <v>0.106055933120828</v>
      </c>
      <c r="I12" s="1765"/>
      <c r="J12" s="1745"/>
      <c r="K12" s="978" t="n">
        <f aca="false">TableDE5c!F12</f>
        <v>0.0503162326336681</v>
      </c>
      <c r="L12" s="1766"/>
      <c r="M12" s="1767"/>
      <c r="N12" s="1765"/>
      <c r="O12" s="1745"/>
      <c r="P12" s="1745"/>
      <c r="Q12" s="1768" t="n">
        <f aca="false">TableDE12b!G12</f>
        <v>0.07908822998737</v>
      </c>
      <c r="R12" s="1769" t="n">
        <f aca="false">Q12-U12</f>
        <v>0.0540702296387623</v>
      </c>
      <c r="S12" s="1745"/>
      <c r="T12" s="978"/>
      <c r="U12" s="1770" t="n">
        <f aca="false">(DataDE1c!CO35-DataDE1c!CO34)/TableDE1!B12</f>
        <v>0.0250180003486077</v>
      </c>
      <c r="V12" s="158"/>
      <c r="W12" s="158"/>
      <c r="X12" s="158"/>
      <c r="Y12" s="158"/>
      <c r="Z12" s="1771" t="n">
        <f aca="false">F12+C12-B12</f>
        <v>0</v>
      </c>
      <c r="AA12" s="1772" t="n">
        <f aca="false">G12-H12-K12</f>
        <v>0</v>
      </c>
      <c r="AC12" s="1002" t="n">
        <f aca="false">Q12-TableDE12b!G12</f>
        <v>0</v>
      </c>
      <c r="AF12" s="1678" t="n">
        <f aca="false">TableDE5a!G12+TableDE5c!E12-B12</f>
        <v>0</v>
      </c>
      <c r="AG12" s="1678" t="n">
        <f aca="false">TableDE5b!F12-TableDE12c!B12</f>
        <v>0</v>
      </c>
    </row>
    <row r="13" customFormat="false" ht="12" hidden="false" customHeight="true" outlineLevel="0" collapsed="false">
      <c r="A13" s="1660" t="n">
        <v>1873</v>
      </c>
      <c r="B13" s="1759" t="n">
        <f aca="false">TableDE12b!E13</f>
        <v>0.244623955431755</v>
      </c>
      <c r="C13" s="1760" t="n">
        <f aca="false">B13-F13</f>
        <v>0.199672970001546</v>
      </c>
      <c r="D13" s="1741"/>
      <c r="E13" s="1761"/>
      <c r="F13" s="1762" t="n">
        <f aca="false">U13+K13</f>
        <v>0.0449509854302086</v>
      </c>
      <c r="G13" s="1763" t="n">
        <f aca="false">TableDE12b!F13</f>
        <v>0.132033426183844</v>
      </c>
      <c r="H13" s="1764" t="n">
        <f aca="false">G13-K13</f>
        <v>0.0872388300835655</v>
      </c>
      <c r="I13" s="1765"/>
      <c r="J13" s="1745"/>
      <c r="K13" s="978" t="n">
        <f aca="false">TableDE5c!F13</f>
        <v>0.0447945961002786</v>
      </c>
      <c r="L13" s="1766"/>
      <c r="M13" s="1767"/>
      <c r="N13" s="1765"/>
      <c r="O13" s="1745"/>
      <c r="P13" s="1745"/>
      <c r="Q13" s="1768" t="n">
        <f aca="false">TableDE12b!G13</f>
        <v>0.112590529247911</v>
      </c>
      <c r="R13" s="1769" t="n">
        <f aca="false">Q13-U13</f>
        <v>0.112434139917981</v>
      </c>
      <c r="S13" s="1745"/>
      <c r="T13" s="978"/>
      <c r="U13" s="1770" t="n">
        <f aca="false">(DataDE1c!CO36-DataDE1c!CO35)/TableDE1!B13</f>
        <v>0.000156389329930092</v>
      </c>
      <c r="V13" s="158"/>
      <c r="W13" s="158"/>
      <c r="X13" s="158"/>
      <c r="Y13" s="158"/>
      <c r="Z13" s="1771" t="n">
        <f aca="false">F13+C13-B13</f>
        <v>0</v>
      </c>
      <c r="AA13" s="1772" t="n">
        <f aca="false">G13-H13-K13</f>
        <v>0</v>
      </c>
      <c r="AC13" s="1002" t="n">
        <f aca="false">Q13-TableDE12b!G13</f>
        <v>0</v>
      </c>
      <c r="AF13" s="1678" t="n">
        <f aca="false">TableDE5a!G13+TableDE5c!E13-B13</f>
        <v>0</v>
      </c>
      <c r="AG13" s="1678" t="n">
        <f aca="false">TableDE5b!F13-TableDE12c!B13</f>
        <v>0</v>
      </c>
    </row>
    <row r="14" customFormat="false" ht="12" hidden="false" customHeight="true" outlineLevel="0" collapsed="false">
      <c r="A14" s="1660" t="n">
        <v>1874</v>
      </c>
      <c r="B14" s="1759" t="n">
        <f aca="false">TableDE12b!E14</f>
        <v>0.208503888661482</v>
      </c>
      <c r="C14" s="1760" t="n">
        <f aca="false">B14-F14</f>
        <v>0.179270720545349</v>
      </c>
      <c r="D14" s="1741"/>
      <c r="E14" s="1761"/>
      <c r="F14" s="1762" t="n">
        <f aca="false">U14+K14</f>
        <v>0.0292331681161328</v>
      </c>
      <c r="G14" s="1763" t="n">
        <f aca="false">TableDE12b!F14</f>
        <v>0.172431436758084</v>
      </c>
      <c r="H14" s="1764" t="n">
        <f aca="false">G14-K14</f>
        <v>0.127777169463774</v>
      </c>
      <c r="I14" s="1765"/>
      <c r="J14" s="1745"/>
      <c r="K14" s="978" t="n">
        <f aca="false">TableDE5c!F14</f>
        <v>0.0446542672943103</v>
      </c>
      <c r="L14" s="1766"/>
      <c r="M14" s="1767"/>
      <c r="N14" s="1765"/>
      <c r="O14" s="1745"/>
      <c r="P14" s="1745"/>
      <c r="Q14" s="1768" t="n">
        <f aca="false">TableDE12b!G14</f>
        <v>0.0360724519033975</v>
      </c>
      <c r="R14" s="1769" t="n">
        <f aca="false">Q14-U14</f>
        <v>0.0514935510815749</v>
      </c>
      <c r="S14" s="1745"/>
      <c r="T14" s="978"/>
      <c r="U14" s="1770" t="n">
        <f aca="false">(DataDE1c!CO37-DataDE1c!CO36)/TableDE1!B14</f>
        <v>-0.0154210991781775</v>
      </c>
      <c r="V14" s="158"/>
      <c r="W14" s="158"/>
      <c r="X14" s="158"/>
      <c r="Y14" s="158"/>
      <c r="Z14" s="1771" t="n">
        <f aca="false">F14+C14-B14</f>
        <v>0</v>
      </c>
      <c r="AA14" s="1772" t="n">
        <f aca="false">G14-H14-K14</f>
        <v>0</v>
      </c>
      <c r="AC14" s="1002" t="n">
        <f aca="false">Q14-TableDE12b!G14</f>
        <v>0</v>
      </c>
      <c r="AF14" s="1678" t="n">
        <f aca="false">TableDE5a!G14+TableDE5c!E14-B14</f>
        <v>0</v>
      </c>
      <c r="AG14" s="1678" t="n">
        <f aca="false">TableDE5b!F14-TableDE12c!B14</f>
        <v>0</v>
      </c>
    </row>
    <row r="15" customFormat="false" ht="12" hidden="false" customHeight="true" outlineLevel="0" collapsed="false">
      <c r="A15" s="1660" t="n">
        <v>1875</v>
      </c>
      <c r="B15" s="1759" t="n">
        <f aca="false">TableDE12b!E15</f>
        <v>0.156397324854731</v>
      </c>
      <c r="C15" s="1760" t="n">
        <f aca="false">B15-F15</f>
        <v>0.128583550858644</v>
      </c>
      <c r="D15" s="1741"/>
      <c r="E15" s="1761"/>
      <c r="F15" s="1762" t="n">
        <f aca="false">U15+K15</f>
        <v>0.0278137739960867</v>
      </c>
      <c r="G15" s="1763" t="n">
        <f aca="false">TableDE12b!F15</f>
        <v>0.135950005481855</v>
      </c>
      <c r="H15" s="1764" t="n">
        <f aca="false">G15-K15</f>
        <v>0.085906698826883</v>
      </c>
      <c r="I15" s="1765"/>
      <c r="J15" s="1745"/>
      <c r="K15" s="978" t="n">
        <f aca="false">TableDE5c!F15</f>
        <v>0.0500433066549721</v>
      </c>
      <c r="L15" s="1766"/>
      <c r="M15" s="1767"/>
      <c r="N15" s="1765"/>
      <c r="O15" s="1745"/>
      <c r="P15" s="1745"/>
      <c r="Q15" s="1768" t="n">
        <f aca="false">TableDE12b!G15</f>
        <v>0.0204473193728758</v>
      </c>
      <c r="R15" s="1769" t="n">
        <f aca="false">Q15-U15</f>
        <v>0.0426768520317611</v>
      </c>
      <c r="S15" s="1745"/>
      <c r="T15" s="978"/>
      <c r="U15" s="1770" t="n">
        <f aca="false">(DataDE1c!CO38-DataDE1c!CO37)/TableDE1!B15</f>
        <v>-0.0222295326588853</v>
      </c>
      <c r="V15" s="158"/>
      <c r="W15" s="158"/>
      <c r="X15" s="158"/>
      <c r="Y15" s="158"/>
      <c r="Z15" s="1771" t="n">
        <f aca="false">F15+C15-B15</f>
        <v>0</v>
      </c>
      <c r="AA15" s="1772" t="n">
        <f aca="false">G15-H15-K15</f>
        <v>0</v>
      </c>
      <c r="AC15" s="1002" t="n">
        <f aca="false">Q15-TableDE12b!G15</f>
        <v>0</v>
      </c>
      <c r="AF15" s="1678" t="n">
        <f aca="false">TableDE5a!G15+TableDE5c!E15-B15</f>
        <v>0</v>
      </c>
      <c r="AG15" s="1678" t="n">
        <f aca="false">TableDE5b!F15-TableDE12c!B15</f>
        <v>0</v>
      </c>
    </row>
    <row r="16" customFormat="false" ht="12" hidden="false" customHeight="true" outlineLevel="0" collapsed="false">
      <c r="A16" s="1660" t="n">
        <v>1876</v>
      </c>
      <c r="B16" s="1759" t="n">
        <f aca="false">TableDE12b!E16</f>
        <v>0.15514738722644</v>
      </c>
      <c r="C16" s="1760" t="n">
        <f aca="false">B16-F16</f>
        <v>0.131182358279727</v>
      </c>
      <c r="D16" s="1741"/>
      <c r="E16" s="1761"/>
      <c r="F16" s="1762" t="n">
        <f aca="false">U16+K16</f>
        <v>0.0239650289467135</v>
      </c>
      <c r="G16" s="1763" t="n">
        <f aca="false">TableDE12b!F16</f>
        <v>0.133430102724431</v>
      </c>
      <c r="H16" s="1764" t="n">
        <f aca="false">G16-K16</f>
        <v>0.0822953327378294</v>
      </c>
      <c r="I16" s="1765"/>
      <c r="J16" s="1745"/>
      <c r="K16" s="978" t="n">
        <f aca="false">TableDE5c!F16</f>
        <v>0.0511347699866012</v>
      </c>
      <c r="L16" s="1766"/>
      <c r="M16" s="1767"/>
      <c r="N16" s="1765"/>
      <c r="O16" s="1745"/>
      <c r="P16" s="1745"/>
      <c r="Q16" s="1768" t="n">
        <f aca="false">TableDE12b!G16</f>
        <v>0.0217172845020098</v>
      </c>
      <c r="R16" s="1769" t="n">
        <f aca="false">Q16-U16</f>
        <v>0.0488870255418975</v>
      </c>
      <c r="S16" s="1745"/>
      <c r="T16" s="978"/>
      <c r="U16" s="1770" t="n">
        <f aca="false">(DataDE1c!CO39-DataDE1c!CO38)/TableDE1!B16</f>
        <v>-0.0271697410398877</v>
      </c>
      <c r="V16" s="158"/>
      <c r="W16" s="158"/>
      <c r="X16" s="158"/>
      <c r="Y16" s="158"/>
      <c r="Z16" s="1771" t="n">
        <f aca="false">F16+C16-B16</f>
        <v>0</v>
      </c>
      <c r="AA16" s="1772" t="n">
        <f aca="false">G16-H16-K16</f>
        <v>0</v>
      </c>
      <c r="AC16" s="1002" t="n">
        <f aca="false">Q16-TableDE12b!G16</f>
        <v>0</v>
      </c>
      <c r="AF16" s="1678" t="n">
        <f aca="false">TableDE5a!G16+TableDE5c!E16-B16</f>
        <v>0</v>
      </c>
      <c r="AG16" s="1678" t="n">
        <f aca="false">TableDE5b!F16-TableDE12c!B16</f>
        <v>0</v>
      </c>
    </row>
    <row r="17" customFormat="false" ht="12" hidden="false" customHeight="true" outlineLevel="0" collapsed="false">
      <c r="A17" s="1660" t="n">
        <v>1877</v>
      </c>
      <c r="B17" s="1759" t="n">
        <f aca="false">TableDE12b!E17</f>
        <v>0.124440105662111</v>
      </c>
      <c r="C17" s="1760" t="n">
        <f aca="false">B17-F17</f>
        <v>0.108681711462006</v>
      </c>
      <c r="D17" s="1741"/>
      <c r="E17" s="1761"/>
      <c r="F17" s="1762" t="n">
        <f aca="false">U17+K17</f>
        <v>0.0157583942001046</v>
      </c>
      <c r="G17" s="1763" t="n">
        <f aca="false">TableDE12b!F17</f>
        <v>0.105087860342253</v>
      </c>
      <c r="H17" s="1764" t="n">
        <f aca="false">G17-K17</f>
        <v>0.0686808315148731</v>
      </c>
      <c r="I17" s="1765"/>
      <c r="J17" s="1745"/>
      <c r="K17" s="978" t="n">
        <f aca="false">TableDE5c!F17</f>
        <v>0.0364070288273803</v>
      </c>
      <c r="L17" s="1766"/>
      <c r="M17" s="1767"/>
      <c r="N17" s="1765"/>
      <c r="O17" s="1745"/>
      <c r="P17" s="1745"/>
      <c r="Q17" s="1768" t="n">
        <f aca="false">TableDE12b!G17</f>
        <v>0.0193522453198576</v>
      </c>
      <c r="R17" s="1769" t="n">
        <f aca="false">Q17-U17</f>
        <v>0.0400008799471332</v>
      </c>
      <c r="S17" s="1745"/>
      <c r="T17" s="978"/>
      <c r="U17" s="1770" t="n">
        <f aca="false">(DataDE1c!CO40-DataDE1c!CO39)/TableDE1!B17</f>
        <v>-0.0206486346272756</v>
      </c>
      <c r="V17" s="158"/>
      <c r="W17" s="158"/>
      <c r="X17" s="158"/>
      <c r="Y17" s="158"/>
      <c r="Z17" s="1771" t="n">
        <f aca="false">F17+C17-B17</f>
        <v>0</v>
      </c>
      <c r="AA17" s="1772" t="n">
        <f aca="false">G17-H17-K17</f>
        <v>0</v>
      </c>
      <c r="AC17" s="1002" t="n">
        <f aca="false">Q17-TableDE12b!G17</f>
        <v>0</v>
      </c>
      <c r="AF17" s="1678" t="n">
        <f aca="false">TableDE5a!G17+TableDE5c!E17-B17</f>
        <v>0</v>
      </c>
      <c r="AG17" s="1678" t="n">
        <f aca="false">TableDE5b!F17-TableDE12c!B17</f>
        <v>0</v>
      </c>
    </row>
    <row r="18" customFormat="false" ht="12" hidden="false" customHeight="true" outlineLevel="0" collapsed="false">
      <c r="A18" s="1660" t="n">
        <v>1878</v>
      </c>
      <c r="B18" s="1759" t="n">
        <f aca="false">TableDE12b!E18</f>
        <v>0.127503636567081</v>
      </c>
      <c r="C18" s="1760" t="n">
        <f aca="false">B18-F18</f>
        <v>0.131345140745512</v>
      </c>
      <c r="D18" s="1741"/>
      <c r="E18" s="1761"/>
      <c r="F18" s="1762" t="n">
        <f aca="false">U18+K18</f>
        <v>-0.00384150417843119</v>
      </c>
      <c r="G18" s="1763" t="n">
        <f aca="false">TableDE12b!F18</f>
        <v>0.101823878258924</v>
      </c>
      <c r="H18" s="1764" t="n">
        <f aca="false">G18-K18</f>
        <v>0.0817645742419156</v>
      </c>
      <c r="I18" s="1765"/>
      <c r="J18" s="1745"/>
      <c r="K18" s="978" t="n">
        <f aca="false">TableDE5c!F18</f>
        <v>0.0200593040170079</v>
      </c>
      <c r="L18" s="1766"/>
      <c r="M18" s="1767"/>
      <c r="N18" s="1765"/>
      <c r="O18" s="1745"/>
      <c r="P18" s="1745"/>
      <c r="Q18" s="1768" t="n">
        <f aca="false">TableDE12b!G18</f>
        <v>0.0256797583081571</v>
      </c>
      <c r="R18" s="1769" t="n">
        <f aca="false">Q18-U18</f>
        <v>0.0495805665035962</v>
      </c>
      <c r="S18" s="1745"/>
      <c r="T18" s="978"/>
      <c r="U18" s="1770" t="n">
        <f aca="false">(DataDE1c!CO41-DataDE1c!CO40)/TableDE1!B18</f>
        <v>-0.0239008081954391</v>
      </c>
      <c r="V18" s="158"/>
      <c r="W18" s="158"/>
      <c r="X18" s="158"/>
      <c r="Y18" s="158"/>
      <c r="Z18" s="1771" t="n">
        <f aca="false">F18+C18-B18</f>
        <v>0</v>
      </c>
      <c r="AA18" s="1772" t="n">
        <f aca="false">G18-H18-K18</f>
        <v>0</v>
      </c>
      <c r="AC18" s="1002" t="n">
        <f aca="false">Q18-TableDE12b!G18</f>
        <v>0</v>
      </c>
      <c r="AF18" s="1678" t="n">
        <f aca="false">TableDE5a!G18+TableDE5c!E18-B18</f>
        <v>0</v>
      </c>
      <c r="AG18" s="1678" t="n">
        <f aca="false">TableDE5b!F18-TableDE12c!B18</f>
        <v>0</v>
      </c>
    </row>
    <row r="19" customFormat="false" ht="12" hidden="false" customHeight="true" outlineLevel="0" collapsed="false">
      <c r="A19" s="1671" t="n">
        <v>1879</v>
      </c>
      <c r="B19" s="1773" t="n">
        <f aca="false">TableDE12b!E19</f>
        <v>0.0943758244393812</v>
      </c>
      <c r="C19" s="1774" t="n">
        <f aca="false">B19-F19</f>
        <v>0.0924941015711085</v>
      </c>
      <c r="D19" s="1775"/>
      <c r="E19" s="1776"/>
      <c r="F19" s="1777" t="n">
        <f aca="false">U19+K19</f>
        <v>0.00188172286827273</v>
      </c>
      <c r="G19" s="1778" t="n">
        <f aca="false">TableDE12b!F19</f>
        <v>0.0725506655474277</v>
      </c>
      <c r="H19" s="1779" t="n">
        <f aca="false">G19-K19</f>
        <v>0.03016578726466</v>
      </c>
      <c r="I19" s="1780"/>
      <c r="J19" s="1781"/>
      <c r="K19" s="981" t="n">
        <f aca="false">TableDE5c!F19</f>
        <v>0.0423848782827677</v>
      </c>
      <c r="L19" s="1782"/>
      <c r="M19" s="1783"/>
      <c r="N19" s="1780"/>
      <c r="O19" s="1781"/>
      <c r="P19" s="1781"/>
      <c r="Q19" s="1784" t="n">
        <f aca="false">TableDE12b!G19</f>
        <v>0.0218251588919535</v>
      </c>
      <c r="R19" s="1785" t="n">
        <f aca="false">Q19-U19</f>
        <v>0.0623283143064485</v>
      </c>
      <c r="S19" s="1781"/>
      <c r="T19" s="981"/>
      <c r="U19" s="1786" t="n">
        <f aca="false">(DataDE1c!CO42-DataDE1c!CO41)/TableDE1!B19</f>
        <v>-0.040503155414495</v>
      </c>
      <c r="V19" s="158"/>
      <c r="W19" s="158"/>
      <c r="X19" s="158"/>
      <c r="Y19" s="158"/>
      <c r="Z19" s="1771" t="n">
        <f aca="false">F19+C19-B19</f>
        <v>0</v>
      </c>
      <c r="AA19" s="1772" t="n">
        <f aca="false">G19-H19-K19</f>
        <v>0</v>
      </c>
      <c r="AC19" s="1002" t="n">
        <f aca="false">Q19-TableDE12b!G19</f>
        <v>0</v>
      </c>
      <c r="AF19" s="1678" t="n">
        <f aca="false">TableDE5a!G19+TableDE5c!E19-B19</f>
        <v>0</v>
      </c>
      <c r="AG19" s="1678" t="n">
        <f aca="false">TableDE5b!F19-TableDE12c!B19</f>
        <v>0</v>
      </c>
    </row>
    <row r="20" customFormat="false" ht="12" hidden="false" customHeight="true" outlineLevel="0" collapsed="false">
      <c r="A20" s="1660" t="n">
        <v>1880</v>
      </c>
      <c r="B20" s="1759" t="n">
        <f aca="false">TableDE12b!E20</f>
        <v>0.0963698711126877</v>
      </c>
      <c r="C20" s="1760" t="n">
        <f aca="false">B20-F20</f>
        <v>0.104037734124173</v>
      </c>
      <c r="D20" s="1741"/>
      <c r="E20" s="1761"/>
      <c r="F20" s="1762" t="n">
        <f aca="false">U20+K20</f>
        <v>-0.00766786301148494</v>
      </c>
      <c r="G20" s="1763" t="n">
        <f aca="false">TableDE12b!F20</f>
        <v>0.078633085018328</v>
      </c>
      <c r="H20" s="1764" t="n">
        <f aca="false">G20-K20</f>
        <v>0.0508320917583067</v>
      </c>
      <c r="I20" s="1765"/>
      <c r="J20" s="1745"/>
      <c r="K20" s="978" t="n">
        <f aca="false">TableDE5c!F20</f>
        <v>0.0278009932600213</v>
      </c>
      <c r="L20" s="1766"/>
      <c r="M20" s="1767"/>
      <c r="N20" s="1765"/>
      <c r="O20" s="1745"/>
      <c r="P20" s="1745"/>
      <c r="Q20" s="1768" t="n">
        <f aca="false">TableDE12b!G20</f>
        <v>0.0177367860943597</v>
      </c>
      <c r="R20" s="1769" t="n">
        <f aca="false">Q20-U20</f>
        <v>0.0532056423658659</v>
      </c>
      <c r="S20" s="1745"/>
      <c r="T20" s="978"/>
      <c r="U20" s="1770" t="n">
        <f aca="false">(DataDE1c!CO43-DataDE1c!CO42)/TableDE1!B20</f>
        <v>-0.0354688562715062</v>
      </c>
      <c r="V20" s="158"/>
      <c r="W20" s="158"/>
      <c r="X20" s="158"/>
      <c r="Y20" s="158"/>
      <c r="Z20" s="1771" t="n">
        <f aca="false">F20+C20-B20</f>
        <v>0</v>
      </c>
      <c r="AA20" s="1772" t="n">
        <f aca="false">G20-H20-K20</f>
        <v>0</v>
      </c>
      <c r="AC20" s="1002" t="n">
        <f aca="false">Q20-TableDE12b!G20</f>
        <v>0</v>
      </c>
      <c r="AF20" s="1678" t="n">
        <f aca="false">TableDE5a!G20+TableDE5c!E20-B20</f>
        <v>0</v>
      </c>
      <c r="AG20" s="1678" t="n">
        <f aca="false">TableDE5b!F20-TableDE12c!B20</f>
        <v>0</v>
      </c>
    </row>
    <row r="21" customFormat="false" ht="12" hidden="false" customHeight="true" outlineLevel="0" collapsed="false">
      <c r="A21" s="1660" t="n">
        <v>1881</v>
      </c>
      <c r="B21" s="1759" t="n">
        <f aca="false">TableDE12b!E21</f>
        <v>0.11429064947029</v>
      </c>
      <c r="C21" s="1760" t="n">
        <f aca="false">B21-F21</f>
        <v>0.1193894518655</v>
      </c>
      <c r="D21" s="1741"/>
      <c r="E21" s="1761"/>
      <c r="F21" s="1762" t="n">
        <f aca="false">U21+K21</f>
        <v>-0.00509880239520962</v>
      </c>
      <c r="G21" s="1763" t="n">
        <f aca="false">TableDE12b!F21</f>
        <v>0.0915476738830032</v>
      </c>
      <c r="H21" s="1764" t="n">
        <f aca="false">G21-K21</f>
        <v>0.0675700138185168</v>
      </c>
      <c r="I21" s="1765"/>
      <c r="J21" s="1745"/>
      <c r="K21" s="978" t="n">
        <f aca="false">TableDE5c!F21</f>
        <v>0.0239776600644864</v>
      </c>
      <c r="L21" s="1766"/>
      <c r="M21" s="1767"/>
      <c r="N21" s="1765"/>
      <c r="O21" s="1745"/>
      <c r="P21" s="1745"/>
      <c r="Q21" s="1768" t="n">
        <f aca="false">TableDE12b!G21</f>
        <v>0.0227429755872869</v>
      </c>
      <c r="R21" s="1769" t="n">
        <f aca="false">Q21-U21</f>
        <v>0.051819438046983</v>
      </c>
      <c r="S21" s="1745"/>
      <c r="T21" s="978"/>
      <c r="U21" s="1770" t="n">
        <f aca="false">(DataDE1c!CO44-DataDE1c!CO43)/TableDE1!B21</f>
        <v>-0.029076462459696</v>
      </c>
      <c r="V21" s="158"/>
      <c r="W21" s="158"/>
      <c r="X21" s="158"/>
      <c r="Y21" s="158"/>
      <c r="Z21" s="1771" t="n">
        <f aca="false">F21+C21-B21</f>
        <v>0</v>
      </c>
      <c r="AA21" s="1772" t="n">
        <f aca="false">G21-H21-K21</f>
        <v>0</v>
      </c>
      <c r="AC21" s="1002" t="n">
        <f aca="false">Q21-TableDE12b!G21</f>
        <v>0</v>
      </c>
      <c r="AF21" s="1678" t="n">
        <f aca="false">TableDE5a!G21+TableDE5c!E21-B21</f>
        <v>0</v>
      </c>
      <c r="AG21" s="1678" t="n">
        <f aca="false">TableDE5b!F21-TableDE12c!B21</f>
        <v>0</v>
      </c>
    </row>
    <row r="22" customFormat="false" ht="12" hidden="false" customHeight="true" outlineLevel="0" collapsed="false">
      <c r="A22" s="1660" t="n">
        <v>1882</v>
      </c>
      <c r="B22" s="1759" t="n">
        <f aca="false">TableDE12b!E22</f>
        <v>0.114512536409846</v>
      </c>
      <c r="C22" s="1760" t="n">
        <f aca="false">B22-F22</f>
        <v>0.114777885658804</v>
      </c>
      <c r="D22" s="1741"/>
      <c r="E22" s="1761"/>
      <c r="F22" s="1762" t="n">
        <f aca="false">U22+K22</f>
        <v>-0.000265349248957734</v>
      </c>
      <c r="G22" s="1763" t="n">
        <f aca="false">TableDE12b!F22</f>
        <v>0.0873836312753441</v>
      </c>
      <c r="H22" s="1764" t="n">
        <f aca="false">G22-K22</f>
        <v>0.060334456565195</v>
      </c>
      <c r="I22" s="1765"/>
      <c r="J22" s="1745"/>
      <c r="K22" s="978" t="n">
        <f aca="false">TableDE5c!F22</f>
        <v>0.0270491747101491</v>
      </c>
      <c r="L22" s="1766"/>
      <c r="M22" s="1767"/>
      <c r="N22" s="1765"/>
      <c r="O22" s="1745"/>
      <c r="P22" s="1745"/>
      <c r="Q22" s="1768" t="n">
        <f aca="false">TableDE12b!G22</f>
        <v>0.0271289051345023</v>
      </c>
      <c r="R22" s="1769" t="n">
        <f aca="false">Q22-U22</f>
        <v>0.0544434290936091</v>
      </c>
      <c r="S22" s="1745"/>
      <c r="T22" s="978"/>
      <c r="U22" s="1770" t="n">
        <f aca="false">(DataDE1c!CO45-DataDE1c!CO44)/TableDE1!B22</f>
        <v>-0.0273145239591068</v>
      </c>
      <c r="V22" s="158"/>
      <c r="W22" s="158"/>
      <c r="X22" s="158"/>
      <c r="Y22" s="158"/>
      <c r="Z22" s="1771" t="n">
        <f aca="false">F22+C22-B22</f>
        <v>0</v>
      </c>
      <c r="AA22" s="1772" t="n">
        <f aca="false">G22-H22-K22</f>
        <v>0</v>
      </c>
      <c r="AC22" s="1002" t="n">
        <f aca="false">Q22-TableDE12b!G22</f>
        <v>0</v>
      </c>
      <c r="AF22" s="1678" t="n">
        <f aca="false">TableDE5a!G22+TableDE5c!E22-B22</f>
        <v>0</v>
      </c>
      <c r="AG22" s="1678" t="n">
        <f aca="false">TableDE5b!F22-TableDE12c!B22</f>
        <v>0</v>
      </c>
    </row>
    <row r="23" customFormat="false" ht="12" hidden="false" customHeight="true" outlineLevel="0" collapsed="false">
      <c r="A23" s="1660" t="n">
        <v>1883</v>
      </c>
      <c r="B23" s="1759" t="n">
        <f aca="false">TableDE12b!E23</f>
        <v>0.116891030967813</v>
      </c>
      <c r="C23" s="1760" t="n">
        <f aca="false">B23-F23</f>
        <v>0.122589330231012</v>
      </c>
      <c r="D23" s="1741"/>
      <c r="E23" s="1761"/>
      <c r="F23" s="1762" t="n">
        <f aca="false">U23+K23</f>
        <v>-0.00569829926319871</v>
      </c>
      <c r="G23" s="1763" t="n">
        <f aca="false">TableDE12b!F23</f>
        <v>0.100271453105091</v>
      </c>
      <c r="H23" s="1764" t="n">
        <f aca="false">G23-K23</f>
        <v>0.0783120048750762</v>
      </c>
      <c r="I23" s="1765"/>
      <c r="J23" s="1745"/>
      <c r="K23" s="978" t="n">
        <f aca="false">TableDE5c!F23</f>
        <v>0.021959448230015</v>
      </c>
      <c r="L23" s="1766"/>
      <c r="M23" s="1767"/>
      <c r="N23" s="1765"/>
      <c r="O23" s="1745"/>
      <c r="P23" s="1745"/>
      <c r="Q23" s="1768" t="n">
        <f aca="false">TableDE12b!G23</f>
        <v>0.0166195778627223</v>
      </c>
      <c r="R23" s="1769" t="n">
        <f aca="false">Q23-U23</f>
        <v>0.0442773253559359</v>
      </c>
      <c r="S23" s="1745"/>
      <c r="T23" s="978"/>
      <c r="U23" s="1770" t="n">
        <f aca="false">(DataDE1c!CO46-DataDE1c!CO45)/TableDE1!B23</f>
        <v>-0.0276577474932137</v>
      </c>
      <c r="V23" s="158"/>
      <c r="W23" s="158"/>
      <c r="X23" s="158"/>
      <c r="Y23" s="158"/>
      <c r="Z23" s="1771" t="n">
        <f aca="false">F23+C23-B23</f>
        <v>0</v>
      </c>
      <c r="AA23" s="1772" t="n">
        <f aca="false">G23-H23-K23</f>
        <v>0</v>
      </c>
      <c r="AC23" s="1002" t="n">
        <f aca="false">Q23-TableDE12b!G23</f>
        <v>0</v>
      </c>
      <c r="AF23" s="1678" t="n">
        <f aca="false">TableDE5a!G23+TableDE5c!E23-B23</f>
        <v>0</v>
      </c>
      <c r="AG23" s="1678" t="n">
        <f aca="false">TableDE5b!F23-TableDE12c!B23</f>
        <v>0</v>
      </c>
    </row>
    <row r="24" customFormat="false" ht="12" hidden="false" customHeight="true" outlineLevel="0" collapsed="false">
      <c r="A24" s="1660" t="n">
        <v>1884</v>
      </c>
      <c r="B24" s="1759" t="n">
        <f aca="false">TableDE12b!E24</f>
        <v>0.134007857488833</v>
      </c>
      <c r="C24" s="1760" t="n">
        <f aca="false">B24-F24</f>
        <v>0.145167536731069</v>
      </c>
      <c r="D24" s="1741"/>
      <c r="E24" s="1761"/>
      <c r="F24" s="1762" t="n">
        <f aca="false">U24+K24</f>
        <v>-0.0111596792422367</v>
      </c>
      <c r="G24" s="1763" t="n">
        <f aca="false">TableDE12b!F24</f>
        <v>0.105484096657876</v>
      </c>
      <c r="H24" s="1764" t="n">
        <f aca="false">G24-K24</f>
        <v>0.0891694741940692</v>
      </c>
      <c r="I24" s="1765"/>
      <c r="J24" s="1745"/>
      <c r="K24" s="978" t="n">
        <f aca="false">TableDE5c!F24</f>
        <v>0.0163146224638071</v>
      </c>
      <c r="L24" s="1766"/>
      <c r="M24" s="1767"/>
      <c r="N24" s="1765"/>
      <c r="O24" s="1745"/>
      <c r="P24" s="1745"/>
      <c r="Q24" s="1768" t="n">
        <f aca="false">TableDE12b!G24</f>
        <v>0.0285237608309563</v>
      </c>
      <c r="R24" s="1769" t="n">
        <f aca="false">Q24-U24</f>
        <v>0.0559980625370002</v>
      </c>
      <c r="S24" s="1745"/>
      <c r="T24" s="978"/>
      <c r="U24" s="1770" t="n">
        <f aca="false">(DataDE1c!CO47-DataDE1c!CO46)/TableDE1!B24</f>
        <v>-0.0274743017060438</v>
      </c>
      <c r="V24" s="158"/>
      <c r="W24" s="158"/>
      <c r="X24" s="158"/>
      <c r="Y24" s="158"/>
      <c r="Z24" s="1771" t="n">
        <f aca="false">F24+C24-B24</f>
        <v>0</v>
      </c>
      <c r="AA24" s="1772" t="n">
        <f aca="false">G24-H24-K24</f>
        <v>0</v>
      </c>
      <c r="AC24" s="1002" t="n">
        <f aca="false">Q24-TableDE12b!G24</f>
        <v>0</v>
      </c>
      <c r="AF24" s="1678" t="n">
        <f aca="false">TableDE5a!G24+TableDE5c!E24-B24</f>
        <v>0</v>
      </c>
      <c r="AG24" s="1678" t="n">
        <f aca="false">TableDE5b!F24-TableDE12c!B24</f>
        <v>0</v>
      </c>
    </row>
    <row r="25" customFormat="false" ht="12" hidden="false" customHeight="true" outlineLevel="0" collapsed="false">
      <c r="A25" s="1660" t="n">
        <v>1885</v>
      </c>
      <c r="B25" s="1759" t="n">
        <f aca="false">TableDE12b!E25</f>
        <v>0.13184584178499</v>
      </c>
      <c r="C25" s="1760" t="n">
        <f aca="false">B25-F25</f>
        <v>0.144136329667983</v>
      </c>
      <c r="D25" s="1741"/>
      <c r="E25" s="1761"/>
      <c r="F25" s="1762" t="n">
        <f aca="false">U25+K25</f>
        <v>-0.0122904878829935</v>
      </c>
      <c r="G25" s="1763" t="n">
        <f aca="false">TableDE12b!F25</f>
        <v>0.104622611294972</v>
      </c>
      <c r="H25" s="1764" t="n">
        <f aca="false">G25-K25</f>
        <v>0.0900501761503149</v>
      </c>
      <c r="I25" s="1765"/>
      <c r="J25" s="1745"/>
      <c r="K25" s="978" t="n">
        <f aca="false">TableDE5c!F25</f>
        <v>0.0145724351446568</v>
      </c>
      <c r="L25" s="1766"/>
      <c r="M25" s="1767"/>
      <c r="N25" s="1765"/>
      <c r="O25" s="1745"/>
      <c r="P25" s="1745"/>
      <c r="Q25" s="1768" t="n">
        <f aca="false">TableDE12b!G25</f>
        <v>0.0272232304900181</v>
      </c>
      <c r="R25" s="1769" t="n">
        <f aca="false">Q25-U25</f>
        <v>0.0540861535176684</v>
      </c>
      <c r="S25" s="1745"/>
      <c r="T25" s="978"/>
      <c r="U25" s="1770" t="n">
        <f aca="false">(DataDE1c!CO48-DataDE1c!CO47)/TableDE1!B25</f>
        <v>-0.0268629230276502</v>
      </c>
      <c r="V25" s="158"/>
      <c r="W25" s="158"/>
      <c r="X25" s="158"/>
      <c r="Y25" s="158"/>
      <c r="Z25" s="1771" t="n">
        <f aca="false">F25+C25-B25</f>
        <v>0</v>
      </c>
      <c r="AA25" s="1772" t="n">
        <f aca="false">G25-H25-K25</f>
        <v>0</v>
      </c>
      <c r="AC25" s="1002" t="n">
        <f aca="false">Q25-TableDE12b!G25</f>
        <v>0</v>
      </c>
      <c r="AF25" s="1678" t="n">
        <f aca="false">TableDE5a!G25+TableDE5c!E25-B25</f>
        <v>0</v>
      </c>
      <c r="AG25" s="1678" t="n">
        <f aca="false">TableDE5b!F25-TableDE12c!B25</f>
        <v>0</v>
      </c>
    </row>
    <row r="26" customFormat="false" ht="12" hidden="false" customHeight="true" outlineLevel="0" collapsed="false">
      <c r="A26" s="1660" t="n">
        <v>1886</v>
      </c>
      <c r="B26" s="1759" t="n">
        <f aca="false">TableDE12b!E26</f>
        <v>0.130189077849371</v>
      </c>
      <c r="C26" s="1760" t="n">
        <f aca="false">B26-F26</f>
        <v>0.143557621210521</v>
      </c>
      <c r="D26" s="1741"/>
      <c r="E26" s="1761"/>
      <c r="F26" s="1762" t="n">
        <f aca="false">U26+K26</f>
        <v>-0.0133685433611494</v>
      </c>
      <c r="G26" s="1763" t="n">
        <f aca="false">TableDE12b!F26</f>
        <v>0.104573782613288</v>
      </c>
      <c r="H26" s="1764" t="n">
        <f aca="false">G26-K26</f>
        <v>0.0908350058096546</v>
      </c>
      <c r="I26" s="1765"/>
      <c r="J26" s="1745"/>
      <c r="K26" s="978" t="n">
        <f aca="false">TableDE5c!F26</f>
        <v>0.0137387768036337</v>
      </c>
      <c r="L26" s="1766"/>
      <c r="M26" s="1767"/>
      <c r="N26" s="1765"/>
      <c r="O26" s="1745"/>
      <c r="P26" s="1745"/>
      <c r="Q26" s="1768" t="n">
        <f aca="false">TableDE12b!G26</f>
        <v>0.0256152952360832</v>
      </c>
      <c r="R26" s="1769" t="n">
        <f aca="false">Q26-U26</f>
        <v>0.0527226154008663</v>
      </c>
      <c r="S26" s="1745"/>
      <c r="T26" s="978"/>
      <c r="U26" s="1770" t="n">
        <f aca="false">(DataDE1c!CO49-DataDE1c!CO48)/TableDE1!B26</f>
        <v>-0.0271073201647831</v>
      </c>
      <c r="V26" s="158"/>
      <c r="W26" s="158"/>
      <c r="X26" s="158"/>
      <c r="Y26" s="158"/>
      <c r="Z26" s="1771" t="n">
        <f aca="false">F26+C26-B26</f>
        <v>0</v>
      </c>
      <c r="AA26" s="1772" t="n">
        <f aca="false">G26-H26-K26</f>
        <v>0</v>
      </c>
      <c r="AC26" s="1002" t="n">
        <f aca="false">Q26-TableDE12b!G26</f>
        <v>0</v>
      </c>
      <c r="AF26" s="1678" t="n">
        <f aca="false">TableDE5a!G26+TableDE5c!E26-B26</f>
        <v>0</v>
      </c>
      <c r="AG26" s="1678" t="n">
        <f aca="false">TableDE5b!F26-TableDE12c!B26</f>
        <v>0</v>
      </c>
    </row>
    <row r="27" customFormat="false" ht="12" hidden="false" customHeight="true" outlineLevel="0" collapsed="false">
      <c r="A27" s="1660" t="n">
        <v>1887</v>
      </c>
      <c r="B27" s="1759" t="n">
        <f aca="false">TableDE12b!E27</f>
        <v>0.137078768368036</v>
      </c>
      <c r="C27" s="1760" t="n">
        <f aca="false">B27-F27</f>
        <v>0.155068175917753</v>
      </c>
      <c r="D27" s="1741"/>
      <c r="E27" s="1761"/>
      <c r="F27" s="1762" t="n">
        <f aca="false">U27+K27</f>
        <v>-0.017989407549717</v>
      </c>
      <c r="G27" s="1763" t="n">
        <f aca="false">TableDE12b!F27</f>
        <v>0.115790020250273</v>
      </c>
      <c r="H27" s="1764" t="n">
        <f aca="false">G27-K27</f>
        <v>0.102041019782959</v>
      </c>
      <c r="I27" s="1765"/>
      <c r="J27" s="1745"/>
      <c r="K27" s="978" t="n">
        <f aca="false">TableDE5c!F27</f>
        <v>0.013749000467314</v>
      </c>
      <c r="L27" s="1766"/>
      <c r="M27" s="1767"/>
      <c r="N27" s="1765"/>
      <c r="O27" s="1745"/>
      <c r="P27" s="1745"/>
      <c r="Q27" s="1768" t="n">
        <f aca="false">TableDE12b!G27</f>
        <v>0.0212887481177631</v>
      </c>
      <c r="R27" s="1769" t="n">
        <f aca="false">Q27-U27</f>
        <v>0.0530271561347941</v>
      </c>
      <c r="S27" s="1745"/>
      <c r="T27" s="978"/>
      <c r="U27" s="1770" t="n">
        <f aca="false">(DataDE1c!CO50-DataDE1c!CO49)/TableDE1!B27</f>
        <v>-0.031738408017031</v>
      </c>
      <c r="V27" s="158"/>
      <c r="W27" s="158"/>
      <c r="X27" s="158"/>
      <c r="Y27" s="158"/>
      <c r="Z27" s="1771" t="n">
        <f aca="false">F27+C27-B27</f>
        <v>0</v>
      </c>
      <c r="AA27" s="1772" t="n">
        <f aca="false">G27-H27-K27</f>
        <v>0</v>
      </c>
      <c r="AC27" s="1002" t="n">
        <f aca="false">Q27-TableDE12b!G27</f>
        <v>0</v>
      </c>
      <c r="AF27" s="1678" t="n">
        <f aca="false">TableDE5a!G27+TableDE5c!E27-B27</f>
        <v>0</v>
      </c>
      <c r="AG27" s="1678" t="n">
        <f aca="false">TableDE5b!F27-TableDE12c!B27</f>
        <v>0</v>
      </c>
    </row>
    <row r="28" customFormat="false" ht="12" hidden="false" customHeight="true" outlineLevel="0" collapsed="false">
      <c r="A28" s="1660" t="n">
        <v>1888</v>
      </c>
      <c r="B28" s="1759" t="n">
        <f aca="false">TableDE12b!E28</f>
        <v>0.148309178743961</v>
      </c>
      <c r="C28" s="1760" t="n">
        <f aca="false">B28-F28</f>
        <v>0.160028985507246</v>
      </c>
      <c r="D28" s="1741"/>
      <c r="E28" s="1761"/>
      <c r="F28" s="1762" t="n">
        <f aca="false">U28+K28</f>
        <v>-0.011719806763285</v>
      </c>
      <c r="G28" s="1763" t="n">
        <f aca="false">TableDE12b!F28</f>
        <v>0.115942028985507</v>
      </c>
      <c r="H28" s="1764" t="n">
        <f aca="false">G28-K28</f>
        <v>0.0972753623188406</v>
      </c>
      <c r="I28" s="1765"/>
      <c r="J28" s="1745"/>
      <c r="K28" s="978" t="n">
        <f aca="false">TableDE5c!F28</f>
        <v>0.0186666666666667</v>
      </c>
      <c r="L28" s="1766"/>
      <c r="M28" s="1767"/>
      <c r="N28" s="1765"/>
      <c r="O28" s="1745"/>
      <c r="P28" s="1745"/>
      <c r="Q28" s="1768" t="n">
        <f aca="false">TableDE12b!G28</f>
        <v>0.0323671497584541</v>
      </c>
      <c r="R28" s="1769" t="n">
        <f aca="false">Q28-U28</f>
        <v>0.0627536231884058</v>
      </c>
      <c r="S28" s="1745"/>
      <c r="T28" s="978"/>
      <c r="U28" s="1770" t="n">
        <f aca="false">(DataDE1c!CO51-DataDE1c!CO50)/TableDE1!B28</f>
        <v>-0.0303864734299517</v>
      </c>
      <c r="V28" s="158"/>
      <c r="W28" s="158"/>
      <c r="X28" s="158"/>
      <c r="Y28" s="158"/>
      <c r="Z28" s="1771" t="n">
        <f aca="false">F28+C28-B28</f>
        <v>0</v>
      </c>
      <c r="AA28" s="1772" t="n">
        <f aca="false">G28-H28-K28</f>
        <v>0</v>
      </c>
      <c r="AC28" s="1002" t="n">
        <f aca="false">Q28-TableDE12b!G28</f>
        <v>0</v>
      </c>
      <c r="AF28" s="1678" t="n">
        <f aca="false">TableDE5a!G28+TableDE5c!E28-B28</f>
        <v>0</v>
      </c>
      <c r="AG28" s="1678" t="n">
        <f aca="false">TableDE5b!F28-TableDE12c!B28</f>
        <v>0</v>
      </c>
    </row>
    <row r="29" customFormat="false" ht="12" hidden="false" customHeight="true" outlineLevel="0" collapsed="false">
      <c r="A29" s="1671" t="n">
        <v>1889</v>
      </c>
      <c r="B29" s="1773" t="n">
        <f aca="false">TableDE12b!E29</f>
        <v>0.158431866205098</v>
      </c>
      <c r="C29" s="1774" t="n">
        <f aca="false">B29-F29</f>
        <v>0.1690190172189</v>
      </c>
      <c r="D29" s="1775"/>
      <c r="E29" s="1776"/>
      <c r="F29" s="1777" t="n">
        <f aca="false">U29+K29</f>
        <v>-0.010587151013802</v>
      </c>
      <c r="G29" s="1778" t="n">
        <f aca="false">TableDE12b!F29</f>
        <v>0.132176415051926</v>
      </c>
      <c r="H29" s="1779" t="n">
        <f aca="false">G29-K29</f>
        <v>0.112293305759115</v>
      </c>
      <c r="I29" s="1780"/>
      <c r="J29" s="1781"/>
      <c r="K29" s="981" t="n">
        <f aca="false">TableDE5c!F29</f>
        <v>0.0198831092928112</v>
      </c>
      <c r="L29" s="1782"/>
      <c r="M29" s="1783"/>
      <c r="N29" s="1780"/>
      <c r="O29" s="1781"/>
      <c r="P29" s="1781"/>
      <c r="Q29" s="1784" t="n">
        <f aca="false">TableDE12b!G29</f>
        <v>0.0262554511531718</v>
      </c>
      <c r="R29" s="1785" t="n">
        <f aca="false">Q29-U29</f>
        <v>0.056725711459785</v>
      </c>
      <c r="S29" s="1781"/>
      <c r="T29" s="981"/>
      <c r="U29" s="1786" t="n">
        <f aca="false">(DataDE1c!CO52-DataDE1c!CO51)/TableDE1!B29</f>
        <v>-0.0304702603066132</v>
      </c>
      <c r="V29" s="158"/>
      <c r="W29" s="158"/>
      <c r="X29" s="158"/>
      <c r="Y29" s="158"/>
      <c r="Z29" s="1771" t="n">
        <f aca="false">F29+C29-B29</f>
        <v>0</v>
      </c>
      <c r="AA29" s="1772" t="n">
        <f aca="false">G29-H29-K29</f>
        <v>0</v>
      </c>
      <c r="AC29" s="1002" t="n">
        <f aca="false">Q29-TableDE12b!G29</f>
        <v>0</v>
      </c>
      <c r="AF29" s="1678" t="n">
        <f aca="false">TableDE5a!G29+TableDE5c!E29-B29</f>
        <v>0</v>
      </c>
      <c r="AG29" s="1678" t="n">
        <f aca="false">TableDE5b!F29-TableDE12c!B29</f>
        <v>0</v>
      </c>
    </row>
    <row r="30" customFormat="false" ht="12" hidden="false" customHeight="true" outlineLevel="0" collapsed="false">
      <c r="A30" s="1660" t="n">
        <v>1890</v>
      </c>
      <c r="B30" s="1759" t="n">
        <f aca="false">TableDE12b!E30</f>
        <v>0.158513879485443</v>
      </c>
      <c r="C30" s="1760" t="n">
        <f aca="false">B30-F30</f>
        <v>0.162305137102234</v>
      </c>
      <c r="D30" s="1741"/>
      <c r="E30" s="1761"/>
      <c r="F30" s="1762" t="n">
        <f aca="false">U30+K30</f>
        <v>-0.00379125761679075</v>
      </c>
      <c r="G30" s="1763" t="n">
        <f aca="false">TableDE12b!F30</f>
        <v>0.14218009478673</v>
      </c>
      <c r="H30" s="1764" t="n">
        <f aca="false">G30-K30</f>
        <v>0.121907582938389</v>
      </c>
      <c r="I30" s="1765"/>
      <c r="J30" s="1745"/>
      <c r="K30" s="978" t="n">
        <f aca="false">TableDE5c!F30</f>
        <v>0.0202725118483412</v>
      </c>
      <c r="L30" s="1766"/>
      <c r="M30" s="1767"/>
      <c r="N30" s="1765"/>
      <c r="O30" s="1745"/>
      <c r="P30" s="1745"/>
      <c r="Q30" s="1768" t="n">
        <f aca="false">TableDE12b!G30</f>
        <v>0.0163337846987136</v>
      </c>
      <c r="R30" s="1769" t="n">
        <f aca="false">Q30-U30</f>
        <v>0.0403975541638456</v>
      </c>
      <c r="S30" s="1745"/>
      <c r="T30" s="978"/>
      <c r="U30" s="1770" t="n">
        <f aca="false">(DataDE1c!CO53-DataDE1c!CO52)/TableDE1!B30</f>
        <v>-0.024063769465132</v>
      </c>
      <c r="V30" s="158"/>
      <c r="W30" s="158"/>
      <c r="X30" s="158"/>
      <c r="Y30" s="158"/>
      <c r="Z30" s="1771" t="n">
        <f aca="false">F30+C30-B30</f>
        <v>0</v>
      </c>
      <c r="AA30" s="1772" t="n">
        <f aca="false">G30-H30-K30</f>
        <v>0</v>
      </c>
      <c r="AC30" s="1002" t="n">
        <f aca="false">Q30-TableDE12b!G30</f>
        <v>0</v>
      </c>
      <c r="AF30" s="1678" t="n">
        <f aca="false">TableDE5a!G30+TableDE5c!E30-B30</f>
        <v>0</v>
      </c>
      <c r="AG30" s="1678" t="n">
        <f aca="false">TableDE5b!F30-TableDE12c!B30</f>
        <v>0</v>
      </c>
    </row>
    <row r="31" customFormat="false" ht="12" hidden="false" customHeight="true" outlineLevel="0" collapsed="false">
      <c r="A31" s="1660" t="n">
        <v>1891</v>
      </c>
      <c r="B31" s="1759" t="n">
        <f aca="false">TableDE12b!E31</f>
        <v>0.103888617922228</v>
      </c>
      <c r="C31" s="1760" t="n">
        <f aca="false">B31-F31</f>
        <v>0.11243750277125</v>
      </c>
      <c r="D31" s="1741"/>
      <c r="E31" s="1761"/>
      <c r="F31" s="1762" t="n">
        <f aca="false">U31+K31</f>
        <v>-0.0085488848490223</v>
      </c>
      <c r="G31" s="1763" t="n">
        <f aca="false">TableDE12b!F31</f>
        <v>0.092227198155456</v>
      </c>
      <c r="H31" s="1764" t="n">
        <f aca="false">G31-K31</f>
        <v>0.0718486675830267</v>
      </c>
      <c r="I31" s="1765"/>
      <c r="J31" s="1745"/>
      <c r="K31" s="978" t="n">
        <f aca="false">TableDE5c!F31</f>
        <v>0.0203785305724294</v>
      </c>
      <c r="L31" s="1766"/>
      <c r="M31" s="1767"/>
      <c r="N31" s="1765"/>
      <c r="O31" s="1745"/>
      <c r="P31" s="1745"/>
      <c r="Q31" s="1768" t="n">
        <f aca="false">TableDE12b!G31</f>
        <v>0.0116614197667716</v>
      </c>
      <c r="R31" s="1769" t="n">
        <f aca="false">Q31-U31</f>
        <v>0.0405888351882233</v>
      </c>
      <c r="S31" s="1745"/>
      <c r="T31" s="978"/>
      <c r="U31" s="1770" t="n">
        <f aca="false">(DataDE1c!CO54-DataDE1c!CO53)/TableDE1!B31</f>
        <v>-0.0289274154214517</v>
      </c>
      <c r="V31" s="158"/>
      <c r="W31" s="158"/>
      <c r="X31" s="158"/>
      <c r="Y31" s="158"/>
      <c r="Z31" s="1771" t="n">
        <f aca="false">F31+C31-B31</f>
        <v>0</v>
      </c>
      <c r="AA31" s="1772" t="n">
        <f aca="false">G31-H31-K31</f>
        <v>0</v>
      </c>
      <c r="AC31" s="1002" t="n">
        <f aca="false">Q31-TableDE12b!G31</f>
        <v>0</v>
      </c>
      <c r="AF31" s="1678" t="n">
        <f aca="false">TableDE5a!G31+TableDE5c!E31-B31</f>
        <v>0</v>
      </c>
      <c r="AG31" s="1678" t="n">
        <f aca="false">TableDE5b!F31-TableDE12c!B31</f>
        <v>0</v>
      </c>
    </row>
    <row r="32" customFormat="false" ht="12" hidden="false" customHeight="true" outlineLevel="0" collapsed="false">
      <c r="A32" s="1660" t="n">
        <v>1892</v>
      </c>
      <c r="B32" s="1759" t="n">
        <f aca="false">TableDE12b!E32</f>
        <v>0.137724550898204</v>
      </c>
      <c r="C32" s="1760" t="n">
        <f aca="false">B32-F32</f>
        <v>0.134455297737858</v>
      </c>
      <c r="D32" s="1741"/>
      <c r="E32" s="1761"/>
      <c r="F32" s="1762" t="n">
        <f aca="false">U32+K32</f>
        <v>0.00326925316034591</v>
      </c>
      <c r="G32" s="1763" t="n">
        <f aca="false">TableDE12b!F32</f>
        <v>0.130572188955423</v>
      </c>
      <c r="H32" s="1764" t="n">
        <f aca="false">G32-K32</f>
        <v>0.108189080172987</v>
      </c>
      <c r="I32" s="1765"/>
      <c r="J32" s="1745"/>
      <c r="K32" s="978" t="n">
        <f aca="false">TableDE5c!F32</f>
        <v>0.0223831087824351</v>
      </c>
      <c r="L32" s="1766"/>
      <c r="M32" s="1767"/>
      <c r="N32" s="1765"/>
      <c r="O32" s="1745"/>
      <c r="P32" s="1745"/>
      <c r="Q32" s="1768" t="n">
        <f aca="false">TableDE12b!G32</f>
        <v>0.00715236194278111</v>
      </c>
      <c r="R32" s="1769" t="n">
        <f aca="false">Q32-U32</f>
        <v>0.0262662175648703</v>
      </c>
      <c r="S32" s="1745"/>
      <c r="T32" s="978"/>
      <c r="U32" s="1770" t="n">
        <f aca="false">(DataDE1c!CO55-DataDE1c!CO54)/TableDE1!B32</f>
        <v>-0.0191138556220892</v>
      </c>
      <c r="V32" s="158"/>
      <c r="W32" s="158"/>
      <c r="X32" s="158"/>
      <c r="Y32" s="158"/>
      <c r="Z32" s="1771" t="n">
        <f aca="false">F32+C32-B32</f>
        <v>0</v>
      </c>
      <c r="AA32" s="1772" t="n">
        <f aca="false">G32-H32-K32</f>
        <v>0</v>
      </c>
      <c r="AC32" s="1002" t="n">
        <f aca="false">Q32-TableDE12b!G32</f>
        <v>0</v>
      </c>
      <c r="AF32" s="1678" t="n">
        <f aca="false">TableDE5a!G32+TableDE5c!E32-B32</f>
        <v>0</v>
      </c>
      <c r="AG32" s="1678" t="n">
        <f aca="false">TableDE5b!F32-TableDE12c!B32</f>
        <v>0</v>
      </c>
    </row>
    <row r="33" customFormat="false" ht="12" hidden="false" customHeight="true" outlineLevel="0" collapsed="false">
      <c r="A33" s="1660" t="n">
        <v>1893</v>
      </c>
      <c r="B33" s="1759" t="n">
        <f aca="false">TableDE12b!E33</f>
        <v>0.134439970416632</v>
      </c>
      <c r="C33" s="1760" t="n">
        <f aca="false">B33-F33</f>
        <v>0.134063522064262</v>
      </c>
      <c r="D33" s="1741"/>
      <c r="E33" s="1761"/>
      <c r="F33" s="1762" t="n">
        <f aca="false">U33+K33</f>
        <v>0.000376448352370815</v>
      </c>
      <c r="G33" s="1763" t="n">
        <f aca="false">TableDE12b!F33</f>
        <v>0.120387870819295</v>
      </c>
      <c r="H33" s="1764" t="n">
        <f aca="false">G33-K33</f>
        <v>0.100642534308489</v>
      </c>
      <c r="I33" s="1765"/>
      <c r="J33" s="1745"/>
      <c r="K33" s="978" t="n">
        <f aca="false">TableDE5c!F33</f>
        <v>0.0197453365108061</v>
      </c>
      <c r="L33" s="1766"/>
      <c r="M33" s="1767"/>
      <c r="N33" s="1765"/>
      <c r="O33" s="1745"/>
      <c r="P33" s="1745"/>
      <c r="Q33" s="1768" t="n">
        <f aca="false">TableDE12b!G33</f>
        <v>0.0140520995973375</v>
      </c>
      <c r="R33" s="1769" t="n">
        <f aca="false">Q33-U33</f>
        <v>0.0334209877557728</v>
      </c>
      <c r="S33" s="1745"/>
      <c r="T33" s="978"/>
      <c r="U33" s="1770" t="n">
        <f aca="false">(DataDE1c!CO56-DataDE1c!CO55)/TableDE1!B33</f>
        <v>-0.0193688881584353</v>
      </c>
      <c r="V33" s="158"/>
      <c r="W33" s="158"/>
      <c r="X33" s="158"/>
      <c r="Y33" s="158"/>
      <c r="Z33" s="1771" t="n">
        <f aca="false">F33+C33-B33</f>
        <v>0</v>
      </c>
      <c r="AA33" s="1772" t="n">
        <f aca="false">G33-H33-K33</f>
        <v>0</v>
      </c>
      <c r="AC33" s="1002" t="n">
        <f aca="false">Q33-TableDE12b!G33</f>
        <v>0</v>
      </c>
      <c r="AF33" s="1678" t="n">
        <f aca="false">TableDE5a!G33+TableDE5c!E33-B33</f>
        <v>0</v>
      </c>
      <c r="AG33" s="1678" t="n">
        <f aca="false">TableDE5b!F33-TableDE12c!B33</f>
        <v>0</v>
      </c>
    </row>
    <row r="34" customFormat="false" ht="12" hidden="false" customHeight="true" outlineLevel="0" collapsed="false">
      <c r="A34" s="1660" t="n">
        <v>1894</v>
      </c>
      <c r="B34" s="1759" t="n">
        <f aca="false">TableDE12b!E34</f>
        <v>0.120892797875871</v>
      </c>
      <c r="C34" s="1760" t="n">
        <f aca="false">B34-F34</f>
        <v>0.124335628941255</v>
      </c>
      <c r="D34" s="1741"/>
      <c r="E34" s="1761"/>
      <c r="F34" s="1762" t="n">
        <f aca="false">U34+K34</f>
        <v>-0.00344283106538341</v>
      </c>
      <c r="G34" s="1763" t="n">
        <f aca="false">TableDE12b!F34</f>
        <v>0.104961832061069</v>
      </c>
      <c r="H34" s="1764" t="n">
        <f aca="false">G34-K34</f>
        <v>0.0879142880849651</v>
      </c>
      <c r="I34" s="1765"/>
      <c r="J34" s="1745"/>
      <c r="K34" s="978" t="n">
        <f aca="false">TableDE5c!F34</f>
        <v>0.0170475439761036</v>
      </c>
      <c r="L34" s="1766"/>
      <c r="M34" s="1767"/>
      <c r="N34" s="1765"/>
      <c r="O34" s="1745"/>
      <c r="P34" s="1745"/>
      <c r="Q34" s="1768" t="n">
        <f aca="false">TableDE12b!G34</f>
        <v>0.0159309658148025</v>
      </c>
      <c r="R34" s="1769" t="n">
        <f aca="false">Q34-U34</f>
        <v>0.0364213408562895</v>
      </c>
      <c r="S34" s="1745"/>
      <c r="T34" s="978"/>
      <c r="U34" s="1770" t="n">
        <f aca="false">(DataDE1c!CO57-DataDE1c!CO56)/TableDE1!B34</f>
        <v>-0.020490375041487</v>
      </c>
      <c r="V34" s="158"/>
      <c r="W34" s="158"/>
      <c r="X34" s="158"/>
      <c r="Y34" s="158"/>
      <c r="Z34" s="1771" t="n">
        <f aca="false">F34+C34-B34</f>
        <v>0</v>
      </c>
      <c r="AA34" s="1772" t="n">
        <f aca="false">G34-H34-K34</f>
        <v>0</v>
      </c>
      <c r="AC34" s="1002" t="n">
        <f aca="false">Q34-TableDE12b!G34</f>
        <v>0</v>
      </c>
      <c r="AF34" s="1678" t="n">
        <f aca="false">TableDE5a!G34+TableDE5c!E34-B34</f>
        <v>0</v>
      </c>
      <c r="AG34" s="1678" t="n">
        <f aca="false">TableDE5b!F34-TableDE12c!B34</f>
        <v>0</v>
      </c>
    </row>
    <row r="35" customFormat="false" ht="12" hidden="false" customHeight="true" outlineLevel="0" collapsed="false">
      <c r="A35" s="1660" t="n">
        <v>1895</v>
      </c>
      <c r="B35" s="1759" t="n">
        <f aca="false">TableDE12b!E35</f>
        <v>0.124747374678027</v>
      </c>
      <c r="C35" s="1760" t="n">
        <f aca="false">B35-F35</f>
        <v>0.119344164850406</v>
      </c>
      <c r="D35" s="1741"/>
      <c r="E35" s="1761"/>
      <c r="F35" s="1762" t="n">
        <f aca="false">U35+K35</f>
        <v>0.00540320982762034</v>
      </c>
      <c r="G35" s="1763" t="n">
        <f aca="false">TableDE12b!F35</f>
        <v>0.112145829205469</v>
      </c>
      <c r="H35" s="1764" t="n">
        <f aca="false">G35-K35</f>
        <v>0.0908658609074698</v>
      </c>
      <c r="I35" s="1765"/>
      <c r="J35" s="1745"/>
      <c r="K35" s="978" t="n">
        <f aca="false">TableDE5c!F35</f>
        <v>0.0212799682979988</v>
      </c>
      <c r="L35" s="1766"/>
      <c r="M35" s="1767"/>
      <c r="N35" s="1765"/>
      <c r="O35" s="1745"/>
      <c r="P35" s="1745"/>
      <c r="Q35" s="1768" t="n">
        <f aca="false">TableDE12b!G35</f>
        <v>0.0126015454725579</v>
      </c>
      <c r="R35" s="1769" t="n">
        <f aca="false">Q35-U35</f>
        <v>0.0284783039429364</v>
      </c>
      <c r="S35" s="1745"/>
      <c r="T35" s="978"/>
      <c r="U35" s="1770" t="n">
        <f aca="false">(DataDE1c!CO58-DataDE1c!CO57)/TableDE1!B35</f>
        <v>-0.0158767584703785</v>
      </c>
      <c r="V35" s="158"/>
      <c r="W35" s="158"/>
      <c r="X35" s="158"/>
      <c r="Y35" s="158"/>
      <c r="Z35" s="1771" t="n">
        <f aca="false">F35+C35-B35</f>
        <v>0</v>
      </c>
      <c r="AA35" s="1772" t="n">
        <f aca="false">G35-H35-K35</f>
        <v>0</v>
      </c>
      <c r="AC35" s="1002" t="n">
        <f aca="false">Q35-TableDE12b!G35</f>
        <v>0</v>
      </c>
      <c r="AF35" s="1678" t="n">
        <f aca="false">TableDE5a!G35+TableDE5c!E35-B35</f>
        <v>0</v>
      </c>
      <c r="AG35" s="1678" t="n">
        <f aca="false">TableDE5b!F35-TableDE12c!B35</f>
        <v>0</v>
      </c>
    </row>
    <row r="36" customFormat="false" ht="12" hidden="false" customHeight="true" outlineLevel="0" collapsed="false">
      <c r="A36" s="1660" t="n">
        <v>1896</v>
      </c>
      <c r="B36" s="1759" t="n">
        <f aca="false">TableDE12b!E36</f>
        <v>0.154245650480395</v>
      </c>
      <c r="C36" s="1760" t="n">
        <f aca="false">B36-F36</f>
        <v>0.15026675817042</v>
      </c>
      <c r="D36" s="1741"/>
      <c r="E36" s="1761"/>
      <c r="F36" s="1762" t="n">
        <f aca="false">U36+K36</f>
        <v>0.00397889230997511</v>
      </c>
      <c r="G36" s="1763" t="n">
        <f aca="false">TableDE12b!F36</f>
        <v>0.133175056571577</v>
      </c>
      <c r="H36" s="1764" t="n">
        <f aca="false">G36-K36</f>
        <v>0.116234781318396</v>
      </c>
      <c r="I36" s="1765"/>
      <c r="J36" s="1745"/>
      <c r="K36" s="978" t="n">
        <f aca="false">TableDE5c!F36</f>
        <v>0.016940275253181</v>
      </c>
      <c r="L36" s="1766"/>
      <c r="M36" s="1767"/>
      <c r="N36" s="1765"/>
      <c r="O36" s="1745"/>
      <c r="P36" s="1745"/>
      <c r="Q36" s="1768" t="n">
        <f aca="false">TableDE12b!G36</f>
        <v>0.0210705939088177</v>
      </c>
      <c r="R36" s="1769" t="n">
        <f aca="false">Q36-U36</f>
        <v>0.0340319768520236</v>
      </c>
      <c r="S36" s="1745"/>
      <c r="T36" s="978"/>
      <c r="U36" s="1770" t="n">
        <f aca="false">(DataDE1c!CO59-DataDE1c!CO58)/TableDE1!B36</f>
        <v>-0.0129613829432059</v>
      </c>
      <c r="V36" s="158"/>
      <c r="W36" s="158"/>
      <c r="X36" s="158"/>
      <c r="Y36" s="158"/>
      <c r="Z36" s="1771" t="n">
        <f aca="false">F36+C36-B36</f>
        <v>0</v>
      </c>
      <c r="AA36" s="1772" t="n">
        <f aca="false">G36-H36-K36</f>
        <v>0</v>
      </c>
      <c r="AC36" s="1002" t="n">
        <f aca="false">Q36-TableDE12b!G36</f>
        <v>0</v>
      </c>
      <c r="AF36" s="1678" t="n">
        <f aca="false">TableDE5a!G36+TableDE5c!E36-B36</f>
        <v>0</v>
      </c>
      <c r="AG36" s="1678" t="n">
        <f aca="false">TableDE5b!F36-TableDE12c!B36</f>
        <v>0</v>
      </c>
    </row>
    <row r="37" customFormat="false" ht="12" hidden="false" customHeight="true" outlineLevel="0" collapsed="false">
      <c r="A37" s="1660" t="n">
        <v>1897</v>
      </c>
      <c r="B37" s="1759" t="n">
        <f aca="false">TableDE12b!E37</f>
        <v>0.166765454482061</v>
      </c>
      <c r="C37" s="1760" t="n">
        <f aca="false">B37-F37</f>
        <v>0.160569784875004</v>
      </c>
      <c r="D37" s="1741"/>
      <c r="E37" s="1761"/>
      <c r="F37" s="1762" t="n">
        <f aca="false">U37+K37</f>
        <v>0.00619566960705696</v>
      </c>
      <c r="G37" s="1763" t="n">
        <f aca="false">TableDE12b!F37</f>
        <v>0.144695094313308</v>
      </c>
      <c r="H37" s="1764" t="n">
        <f aca="false">G37-K37</f>
        <v>0.125227572260381</v>
      </c>
      <c r="I37" s="1765"/>
      <c r="J37" s="1745"/>
      <c r="K37" s="978" t="n">
        <f aca="false">TableDE5c!F37</f>
        <v>0.019467522052927</v>
      </c>
      <c r="L37" s="1766"/>
      <c r="M37" s="1767"/>
      <c r="N37" s="1765"/>
      <c r="O37" s="1745"/>
      <c r="P37" s="1745"/>
      <c r="Q37" s="1768" t="n">
        <f aca="false">TableDE12b!G37</f>
        <v>0.0220703601687528</v>
      </c>
      <c r="R37" s="1769" t="n">
        <f aca="false">Q37-U37</f>
        <v>0.0353422126146229</v>
      </c>
      <c r="S37" s="1745"/>
      <c r="T37" s="978"/>
      <c r="U37" s="1770" t="n">
        <f aca="false">(DataDE1c!CO60-DataDE1c!CO59)/TableDE1!B37</f>
        <v>-0.0132718524458701</v>
      </c>
      <c r="V37" s="158"/>
      <c r="W37" s="158"/>
      <c r="X37" s="158"/>
      <c r="Y37" s="158"/>
      <c r="Z37" s="1771" t="n">
        <f aca="false">F37+C37-B37</f>
        <v>0</v>
      </c>
      <c r="AA37" s="1772" t="n">
        <f aca="false">G37-H37-K37</f>
        <v>0</v>
      </c>
      <c r="AC37" s="1002" t="n">
        <f aca="false">Q37-TableDE12b!G37</f>
        <v>0</v>
      </c>
      <c r="AF37" s="1678" t="n">
        <f aca="false">TableDE5a!G37+TableDE5c!E37-B37</f>
        <v>0</v>
      </c>
      <c r="AG37" s="1678" t="n">
        <f aca="false">TableDE5b!F37-TableDE12c!B37</f>
        <v>0</v>
      </c>
    </row>
    <row r="38" customFormat="false" ht="12" hidden="false" customHeight="true" outlineLevel="0" collapsed="false">
      <c r="A38" s="1660" t="n">
        <v>1898</v>
      </c>
      <c r="B38" s="1759" t="n">
        <f aca="false">TableDE12b!E38</f>
        <v>0.195323868964848</v>
      </c>
      <c r="C38" s="1760" t="n">
        <f aca="false">B38-F38</f>
        <v>0.186833813019435</v>
      </c>
      <c r="D38" s="1741"/>
      <c r="E38" s="1761"/>
      <c r="F38" s="1762" t="n">
        <f aca="false">U38+K38</f>
        <v>0.00849005594541274</v>
      </c>
      <c r="G38" s="1763" t="n">
        <f aca="false">TableDE12b!F38</f>
        <v>0.172363612844808</v>
      </c>
      <c r="H38" s="1764" t="n">
        <f aca="false">G38-K38</f>
        <v>0.152412831872716</v>
      </c>
      <c r="I38" s="1765"/>
      <c r="J38" s="1745"/>
      <c r="K38" s="978" t="n">
        <f aca="false">TableDE5c!F38</f>
        <v>0.019950780972092</v>
      </c>
      <c r="L38" s="1766"/>
      <c r="M38" s="1767"/>
      <c r="N38" s="1765"/>
      <c r="O38" s="1745"/>
      <c r="P38" s="1745"/>
      <c r="Q38" s="1768" t="n">
        <f aca="false">TableDE12b!G38</f>
        <v>0.0229602561200401</v>
      </c>
      <c r="R38" s="1769" t="n">
        <f aca="false">Q38-U38</f>
        <v>0.0344209811467193</v>
      </c>
      <c r="S38" s="1745"/>
      <c r="T38" s="978"/>
      <c r="U38" s="1770" t="n">
        <f aca="false">(DataDE1c!CO61-DataDE1c!CO60)/TableDE1!B38</f>
        <v>-0.0114607250266792</v>
      </c>
      <c r="V38" s="158"/>
      <c r="W38" s="158"/>
      <c r="X38" s="158"/>
      <c r="Y38" s="158"/>
      <c r="Z38" s="1771" t="n">
        <f aca="false">F38+C38-B38</f>
        <v>0</v>
      </c>
      <c r="AA38" s="1772" t="n">
        <f aca="false">G38-H38-K38</f>
        <v>0</v>
      </c>
      <c r="AC38" s="1002" t="n">
        <f aca="false">Q38-TableDE12b!G38</f>
        <v>0</v>
      </c>
      <c r="AF38" s="1678" t="n">
        <f aca="false">TableDE5a!G38+TableDE5c!E38-B38</f>
        <v>0</v>
      </c>
      <c r="AG38" s="1678" t="n">
        <f aca="false">TableDE5b!F38-TableDE12c!B38</f>
        <v>0</v>
      </c>
    </row>
    <row r="39" customFormat="false" ht="12" hidden="false" customHeight="true" outlineLevel="0" collapsed="false">
      <c r="A39" s="1671" t="n">
        <v>1899</v>
      </c>
      <c r="B39" s="1773" t="n">
        <f aca="false">TableDE12b!E39</f>
        <v>0.17785648777711</v>
      </c>
      <c r="C39" s="1774" t="n">
        <f aca="false">B39-F39</f>
        <v>0.167434426488726</v>
      </c>
      <c r="D39" s="1775"/>
      <c r="E39" s="1776"/>
      <c r="F39" s="1777" t="n">
        <f aca="false">U39+K39</f>
        <v>0.0104220612883844</v>
      </c>
      <c r="G39" s="1778" t="n">
        <f aca="false">TableDE12b!F39</f>
        <v>0.170456342304165</v>
      </c>
      <c r="H39" s="1779" t="n">
        <f aca="false">G39-K39</f>
        <v>0.147553651054679</v>
      </c>
      <c r="I39" s="1780"/>
      <c r="J39" s="1781"/>
      <c r="K39" s="981" t="n">
        <f aca="false">TableDE5c!F39</f>
        <v>0.0229026912494861</v>
      </c>
      <c r="L39" s="1782"/>
      <c r="M39" s="1783"/>
      <c r="N39" s="1780"/>
      <c r="O39" s="1781"/>
      <c r="P39" s="1781"/>
      <c r="Q39" s="1784" t="n">
        <f aca="false">TableDE12b!G39</f>
        <v>0.0074001454729452</v>
      </c>
      <c r="R39" s="1785" t="n">
        <f aca="false">Q39-U39</f>
        <v>0.0198807754340469</v>
      </c>
      <c r="S39" s="1781"/>
      <c r="T39" s="981"/>
      <c r="U39" s="1786" t="n">
        <f aca="false">(DataDE1c!CO62-DataDE1c!CO61)/TableDE1!B39</f>
        <v>-0.0124806299611017</v>
      </c>
      <c r="V39" s="158"/>
      <c r="W39" s="158"/>
      <c r="X39" s="158"/>
      <c r="Y39" s="158"/>
      <c r="Z39" s="1771" t="n">
        <f aca="false">F39+C39-B39</f>
        <v>0</v>
      </c>
      <c r="AA39" s="1772" t="n">
        <f aca="false">G39-H39-K39</f>
        <v>0</v>
      </c>
      <c r="AC39" s="1002" t="n">
        <f aca="false">Q39-TableDE12b!G39</f>
        <v>0</v>
      </c>
      <c r="AF39" s="1678" t="n">
        <f aca="false">TableDE5a!G39+TableDE5c!E39-B39</f>
        <v>0</v>
      </c>
      <c r="AG39" s="1678" t="n">
        <f aca="false">TableDE5b!F39-TableDE12c!B39</f>
        <v>0</v>
      </c>
    </row>
    <row r="40" customFormat="false" ht="12" hidden="false" customHeight="true" outlineLevel="0" collapsed="false">
      <c r="A40" s="1660" t="n">
        <v>1900</v>
      </c>
      <c r="B40" s="1759" t="n">
        <f aca="false">TableDE12b!E40</f>
        <v>0.166346868036643</v>
      </c>
      <c r="C40" s="1760" t="n">
        <f aca="false">B40-F40</f>
        <v>0.166344392176281</v>
      </c>
      <c r="D40" s="1741"/>
      <c r="E40" s="1761"/>
      <c r="F40" s="1762" t="n">
        <f aca="false">U40+K40</f>
        <v>2.47586036150257E-006</v>
      </c>
      <c r="G40" s="1763" t="n">
        <f aca="false">TableDE12b!F40</f>
        <v>0.15783609804407</v>
      </c>
      <c r="H40" s="1764" t="n">
        <f aca="false">G40-K40</f>
        <v>0.131338821490468</v>
      </c>
      <c r="I40" s="1765"/>
      <c r="J40" s="1745"/>
      <c r="K40" s="978" t="n">
        <f aca="false">TableDE5c!F40</f>
        <v>0.0264972765536023</v>
      </c>
      <c r="L40" s="1766"/>
      <c r="M40" s="1767"/>
      <c r="N40" s="1765"/>
      <c r="O40" s="1745"/>
      <c r="P40" s="1745"/>
      <c r="Q40" s="1768" t="n">
        <f aca="false">TableDE12b!G40</f>
        <v>0.00851076999257242</v>
      </c>
      <c r="R40" s="1769" t="n">
        <f aca="false">Q40-U40</f>
        <v>0.0350055706858133</v>
      </c>
      <c r="S40" s="1745"/>
      <c r="T40" s="978"/>
      <c r="U40" s="1770" t="n">
        <f aca="false">(DataDE1c!CO63-DataDE1c!CO62)/TableDE1!B40</f>
        <v>-0.0264948006932408</v>
      </c>
      <c r="V40" s="158"/>
      <c r="W40" s="158"/>
      <c r="X40" s="158"/>
      <c r="Y40" s="158"/>
      <c r="Z40" s="1771" t="n">
        <f aca="false">F40+C40-B40</f>
        <v>0</v>
      </c>
      <c r="AA40" s="1772" t="n">
        <f aca="false">G40-H40-K40</f>
        <v>0</v>
      </c>
      <c r="AC40" s="1002" t="n">
        <f aca="false">Q40-TableDE12b!G40</f>
        <v>0</v>
      </c>
      <c r="AF40" s="1678" t="n">
        <f aca="false">TableDE5a!G40+TableDE5c!E40-B40</f>
        <v>0</v>
      </c>
      <c r="AG40" s="1678" t="n">
        <f aca="false">TableDE5b!F40-TableDE12c!B40</f>
        <v>0</v>
      </c>
    </row>
    <row r="41" customFormat="false" ht="12" hidden="false" customHeight="true" outlineLevel="0" collapsed="false">
      <c r="A41" s="1660" t="n">
        <v>1901</v>
      </c>
      <c r="B41" s="1759" t="n">
        <f aca="false">TableDE12b!E41</f>
        <v>0.130535833678245</v>
      </c>
      <c r="C41" s="1760" t="n">
        <f aca="false">B41-F41</f>
        <v>0.137423668375306</v>
      </c>
      <c r="D41" s="1741"/>
      <c r="E41" s="1761"/>
      <c r="F41" s="1762" t="n">
        <f aca="false">U41+K41</f>
        <v>-0.00688783469706121</v>
      </c>
      <c r="G41" s="1763" t="n">
        <f aca="false">TableDE12b!F41</f>
        <v>0.123849851953262</v>
      </c>
      <c r="H41" s="1764" t="n">
        <f aca="false">G41-K41</f>
        <v>0.0960024196886242</v>
      </c>
      <c r="I41" s="1765"/>
      <c r="J41" s="1745"/>
      <c r="K41" s="978" t="n">
        <f aca="false">TableDE5c!F41</f>
        <v>0.0278474322646376</v>
      </c>
      <c r="L41" s="1766"/>
      <c r="M41" s="1767"/>
      <c r="N41" s="1765"/>
      <c r="O41" s="1745"/>
      <c r="P41" s="1745"/>
      <c r="Q41" s="1768" t="n">
        <f aca="false">TableDE12b!G41</f>
        <v>0.00668598172498328</v>
      </c>
      <c r="R41" s="1769" t="n">
        <f aca="false">Q41-U41</f>
        <v>0.0414212486866821</v>
      </c>
      <c r="S41" s="1745"/>
      <c r="T41" s="978"/>
      <c r="U41" s="1770" t="n">
        <f aca="false">(DataDE1c!CO64-DataDE1c!CO63)/TableDE1!B41</f>
        <v>-0.0347352669616988</v>
      </c>
      <c r="V41" s="158"/>
      <c r="W41" s="158"/>
      <c r="X41" s="158"/>
      <c r="Y41" s="158"/>
      <c r="Z41" s="1771" t="n">
        <f aca="false">F41+C41-B41</f>
        <v>0</v>
      </c>
      <c r="AA41" s="1772" t="n">
        <f aca="false">G41-H41-K41</f>
        <v>0</v>
      </c>
      <c r="AC41" s="1002" t="n">
        <f aca="false">Q41-TableDE12b!G41</f>
        <v>0</v>
      </c>
      <c r="AF41" s="1678" t="n">
        <f aca="false">TableDE5a!G41+TableDE5c!E41-B41</f>
        <v>0</v>
      </c>
      <c r="AG41" s="1678" t="n">
        <f aca="false">TableDE5b!F41-TableDE12c!B41</f>
        <v>0</v>
      </c>
    </row>
    <row r="42" customFormat="false" ht="12" hidden="false" customHeight="true" outlineLevel="0" collapsed="false">
      <c r="A42" s="1660" t="n">
        <v>1902</v>
      </c>
      <c r="B42" s="1759" t="n">
        <f aca="false">TableDE12b!E42</f>
        <v>0.124623682890115</v>
      </c>
      <c r="C42" s="1760" t="n">
        <f aca="false">B42-F42</f>
        <v>0.121409307576518</v>
      </c>
      <c r="D42" s="1741"/>
      <c r="E42" s="1761"/>
      <c r="F42" s="1762" t="n">
        <f aca="false">U42+K42</f>
        <v>0.00321437531359752</v>
      </c>
      <c r="G42" s="1763" t="n">
        <f aca="false">TableDE12b!F42</f>
        <v>0.110386352232815</v>
      </c>
      <c r="H42" s="1764" t="n">
        <f aca="false">G42-K42</f>
        <v>0.0840441545408932</v>
      </c>
      <c r="I42" s="1765"/>
      <c r="J42" s="1745"/>
      <c r="K42" s="978" t="n">
        <f aca="false">TableDE5c!F42</f>
        <v>0.0263421976919217</v>
      </c>
      <c r="L42" s="1766"/>
      <c r="M42" s="1767"/>
      <c r="N42" s="1765"/>
      <c r="O42" s="1745"/>
      <c r="P42" s="1745"/>
      <c r="Q42" s="1768" t="n">
        <f aca="false">TableDE12b!G42</f>
        <v>0.0142373306573006</v>
      </c>
      <c r="R42" s="1769" t="n">
        <f aca="false">Q42-U42</f>
        <v>0.0373651530356247</v>
      </c>
      <c r="S42" s="1745"/>
      <c r="T42" s="978"/>
      <c r="U42" s="1770" t="n">
        <f aca="false">(DataDE1c!CO65-DataDE1c!CO64)/TableDE1!B42</f>
        <v>-0.0231278223783242</v>
      </c>
      <c r="V42" s="158"/>
      <c r="W42" s="158"/>
      <c r="X42" s="158"/>
      <c r="Y42" s="158"/>
      <c r="Z42" s="1771" t="n">
        <f aca="false">F42+C42-B42</f>
        <v>0</v>
      </c>
      <c r="AA42" s="1772" t="n">
        <f aca="false">G42-H42-K42</f>
        <v>0</v>
      </c>
      <c r="AC42" s="1002" t="n">
        <f aca="false">Q42-TableDE12b!G42</f>
        <v>0</v>
      </c>
      <c r="AF42" s="1678" t="n">
        <f aca="false">TableDE5a!G42+TableDE5c!E42-B42</f>
        <v>0</v>
      </c>
      <c r="AG42" s="1678" t="n">
        <f aca="false">TableDE5b!F42-TableDE12c!B42</f>
        <v>0</v>
      </c>
    </row>
    <row r="43" customFormat="false" ht="12" hidden="false" customHeight="true" outlineLevel="0" collapsed="false">
      <c r="A43" s="1660" t="n">
        <v>1903</v>
      </c>
      <c r="B43" s="1759" t="n">
        <f aca="false">TableDE12b!E43</f>
        <v>0.152105263157895</v>
      </c>
      <c r="C43" s="1760" t="n">
        <f aca="false">B43-F43</f>
        <v>0.148441520467836</v>
      </c>
      <c r="D43" s="1741"/>
      <c r="E43" s="1761"/>
      <c r="F43" s="1762" t="n">
        <f aca="false">U43+K43</f>
        <v>0.00366374269005846</v>
      </c>
      <c r="G43" s="1763" t="n">
        <f aca="false">TableDE12b!F43</f>
        <v>0.145029239766082</v>
      </c>
      <c r="H43" s="1764" t="n">
        <f aca="false">G43-K43</f>
        <v>0.117432748538012</v>
      </c>
      <c r="I43" s="1765"/>
      <c r="J43" s="1745"/>
      <c r="K43" s="978" t="n">
        <f aca="false">TableDE5c!F43</f>
        <v>0.0275964912280702</v>
      </c>
      <c r="L43" s="1766"/>
      <c r="M43" s="1767"/>
      <c r="N43" s="1765"/>
      <c r="O43" s="1745"/>
      <c r="P43" s="1745"/>
      <c r="Q43" s="1768" t="n">
        <f aca="false">TableDE12b!G43</f>
        <v>0.00707602339181288</v>
      </c>
      <c r="R43" s="1769" t="n">
        <f aca="false">Q43-U43</f>
        <v>0.0310087719298246</v>
      </c>
      <c r="S43" s="1745"/>
      <c r="T43" s="978"/>
      <c r="U43" s="1770" t="n">
        <f aca="false">(DataDE1c!CO66-DataDE1c!CO65)/TableDE1!B43</f>
        <v>-0.0239327485380117</v>
      </c>
      <c r="V43" s="158"/>
      <c r="W43" s="158"/>
      <c r="X43" s="158"/>
      <c r="Y43" s="158"/>
      <c r="Z43" s="1771" t="n">
        <f aca="false">F43+C43-B43</f>
        <v>0</v>
      </c>
      <c r="AA43" s="1772" t="n">
        <f aca="false">G43-H43-K43</f>
        <v>0</v>
      </c>
      <c r="AC43" s="1002" t="n">
        <f aca="false">Q43-TableDE12b!G43</f>
        <v>0</v>
      </c>
      <c r="AF43" s="1678" t="n">
        <f aca="false">TableDE5a!G43+TableDE5c!E43-B43</f>
        <v>0</v>
      </c>
      <c r="AG43" s="1678" t="n">
        <f aca="false">TableDE5b!F43-TableDE12c!B43</f>
        <v>0</v>
      </c>
    </row>
    <row r="44" customFormat="false" ht="12" hidden="false" customHeight="true" outlineLevel="0" collapsed="false">
      <c r="A44" s="1660" t="n">
        <v>1904</v>
      </c>
      <c r="B44" s="1759" t="n">
        <f aca="false">TableDE12b!E44</f>
        <v>0.163391587925412</v>
      </c>
      <c r="C44" s="1760" t="n">
        <f aca="false">B44-F44</f>
        <v>0.162563759511665</v>
      </c>
      <c r="D44" s="1741"/>
      <c r="E44" s="1761"/>
      <c r="F44" s="1762" t="n">
        <f aca="false">U44+K44</f>
        <v>0.000827828413747005</v>
      </c>
      <c r="G44" s="1763" t="n">
        <f aca="false">TableDE12b!F44</f>
        <v>0.156925049474594</v>
      </c>
      <c r="H44" s="1764" t="n">
        <f aca="false">G44-K44</f>
        <v>0.131931320901971</v>
      </c>
      <c r="I44" s="1765"/>
      <c r="J44" s="1745"/>
      <c r="K44" s="978" t="n">
        <f aca="false">TableDE5c!F44</f>
        <v>0.0249937285726232</v>
      </c>
      <c r="L44" s="1766"/>
      <c r="M44" s="1767"/>
      <c r="N44" s="1765"/>
      <c r="O44" s="1745"/>
      <c r="P44" s="1745"/>
      <c r="Q44" s="1768" t="n">
        <f aca="false">TableDE12b!G44</f>
        <v>0.00646653845081806</v>
      </c>
      <c r="R44" s="1769" t="n">
        <f aca="false">Q44-U44</f>
        <v>0.0306324386096942</v>
      </c>
      <c r="S44" s="1745"/>
      <c r="T44" s="978"/>
      <c r="U44" s="1770" t="n">
        <f aca="false">(DataDE1c!CO67-DataDE1c!CO66)/TableDE1!B44</f>
        <v>-0.0241659001588762</v>
      </c>
      <c r="V44" s="158"/>
      <c r="W44" s="158"/>
      <c r="X44" s="158"/>
      <c r="Y44" s="158"/>
      <c r="Z44" s="1771" t="n">
        <f aca="false">F44+C44-B44</f>
        <v>0</v>
      </c>
      <c r="AA44" s="1772" t="n">
        <f aca="false">G44-H44-K44</f>
        <v>0</v>
      </c>
      <c r="AC44" s="1002" t="n">
        <f aca="false">Q44-TableDE12b!G44</f>
        <v>0</v>
      </c>
      <c r="AF44" s="1678" t="n">
        <f aca="false">TableDE5a!G44+TableDE5c!E44-B44</f>
        <v>0</v>
      </c>
      <c r="AG44" s="1678" t="n">
        <f aca="false">TableDE5b!F44-TableDE12c!B44</f>
        <v>0</v>
      </c>
    </row>
    <row r="45" customFormat="false" ht="12" hidden="false" customHeight="true" outlineLevel="0" collapsed="false">
      <c r="A45" s="1660" t="n">
        <v>1905</v>
      </c>
      <c r="B45" s="1759" t="n">
        <f aca="false">TableDE12b!E45</f>
        <v>0.185052092758719</v>
      </c>
      <c r="C45" s="1760" t="n">
        <f aca="false">B45-F45</f>
        <v>0.187017915772602</v>
      </c>
      <c r="D45" s="1741"/>
      <c r="E45" s="1761"/>
      <c r="F45" s="1762" t="n">
        <f aca="false">U45+K45</f>
        <v>-0.0019658230138829</v>
      </c>
      <c r="G45" s="1763" t="n">
        <f aca="false">TableDE12b!F45</f>
        <v>0.156407538584835</v>
      </c>
      <c r="H45" s="1764" t="n">
        <f aca="false">G45-K45</f>
        <v>0.131990899925028</v>
      </c>
      <c r="I45" s="1765"/>
      <c r="J45" s="1745"/>
      <c r="K45" s="978" t="n">
        <f aca="false">TableDE5c!F45</f>
        <v>0.0244166386598071</v>
      </c>
      <c r="L45" s="1766"/>
      <c r="M45" s="1767"/>
      <c r="N45" s="1765"/>
      <c r="O45" s="1745"/>
      <c r="P45" s="1745"/>
      <c r="Q45" s="1768" t="n">
        <f aca="false">TableDE12b!G45</f>
        <v>0.0286445541738838</v>
      </c>
      <c r="R45" s="1769" t="n">
        <f aca="false">Q45-U45</f>
        <v>0.0550270158475738</v>
      </c>
      <c r="S45" s="1745"/>
      <c r="T45" s="978"/>
      <c r="U45" s="1770" t="n">
        <f aca="false">(DataDE1c!CO68-DataDE1c!CO67)/TableDE1!B45</f>
        <v>-0.02638246167369</v>
      </c>
      <c r="V45" s="158"/>
      <c r="W45" s="158"/>
      <c r="X45" s="158"/>
      <c r="Y45" s="158"/>
      <c r="Z45" s="1771" t="n">
        <f aca="false">F45+C45-B45</f>
        <v>0</v>
      </c>
      <c r="AA45" s="1772" t="n">
        <f aca="false">G45-H45-K45</f>
        <v>0</v>
      </c>
      <c r="AC45" s="1002" t="n">
        <f aca="false">Q45-TableDE12b!G45</f>
        <v>0</v>
      </c>
      <c r="AF45" s="1678" t="n">
        <f aca="false">TableDE5a!G45+TableDE5c!E45-B45</f>
        <v>0</v>
      </c>
      <c r="AG45" s="1678" t="n">
        <f aca="false">TableDE5b!F45-TableDE12c!B45</f>
        <v>0</v>
      </c>
    </row>
    <row r="46" customFormat="false" ht="12" hidden="false" customHeight="true" outlineLevel="0" collapsed="false">
      <c r="A46" s="1660" t="n">
        <v>1906</v>
      </c>
      <c r="B46" s="1759" t="n">
        <f aca="false">TableDE12b!E46</f>
        <v>0.171045456798691</v>
      </c>
      <c r="C46" s="1760" t="n">
        <f aca="false">B46-F46</f>
        <v>0.169983393644971</v>
      </c>
      <c r="D46" s="1741"/>
      <c r="E46" s="1761"/>
      <c r="F46" s="1762" t="n">
        <f aca="false">U46+K46</f>
        <v>0.00106206315372034</v>
      </c>
      <c r="G46" s="1763" t="n">
        <f aca="false">TableDE12b!F46</f>
        <v>0.165567838199574</v>
      </c>
      <c r="H46" s="1764" t="n">
        <f aca="false">G46-K46</f>
        <v>0.139912258959996</v>
      </c>
      <c r="I46" s="1765"/>
      <c r="J46" s="1745"/>
      <c r="K46" s="978" t="n">
        <f aca="false">TableDE5c!F46</f>
        <v>0.0256555792395776</v>
      </c>
      <c r="L46" s="1766"/>
      <c r="M46" s="1767"/>
      <c r="N46" s="1765"/>
      <c r="O46" s="1745"/>
      <c r="P46" s="1745"/>
      <c r="Q46" s="1768" t="n">
        <f aca="false">TableDE12b!G46</f>
        <v>0.00547761859911764</v>
      </c>
      <c r="R46" s="1769" t="n">
        <f aca="false">Q46-U46</f>
        <v>0.0300711346849749</v>
      </c>
      <c r="S46" s="1745"/>
      <c r="T46" s="978"/>
      <c r="U46" s="1770" t="n">
        <f aca="false">(DataDE1c!CO69-DataDE1c!CO68)/TableDE1!B46</f>
        <v>-0.0245935160858573</v>
      </c>
      <c r="V46" s="158"/>
      <c r="W46" s="158"/>
      <c r="X46" s="158"/>
      <c r="Y46" s="158"/>
      <c r="Z46" s="1771" t="n">
        <f aca="false">F46+C46-B46</f>
        <v>0</v>
      </c>
      <c r="AA46" s="1772" t="n">
        <f aca="false">G46-H46-K46</f>
        <v>0</v>
      </c>
      <c r="AC46" s="1002" t="n">
        <f aca="false">Q46-TableDE12b!G46</f>
        <v>0</v>
      </c>
      <c r="AF46" s="1678" t="n">
        <f aca="false">TableDE5a!G46+TableDE5c!E46-B46</f>
        <v>0</v>
      </c>
      <c r="AG46" s="1678" t="n">
        <f aca="false">TableDE5b!F46-TableDE12c!B46</f>
        <v>0</v>
      </c>
    </row>
    <row r="47" customFormat="false" ht="12" hidden="false" customHeight="true" outlineLevel="0" collapsed="false">
      <c r="A47" s="1660" t="n">
        <v>1907</v>
      </c>
      <c r="B47" s="1759" t="n">
        <f aca="false">TableDE12b!E47</f>
        <v>0.180648314057664</v>
      </c>
      <c r="C47" s="1760" t="n">
        <f aca="false">B47-F47</f>
        <v>0.192720778163033</v>
      </c>
      <c r="D47" s="1741"/>
      <c r="E47" s="1761"/>
      <c r="F47" s="1762" t="n">
        <f aca="false">U47+K47</f>
        <v>-0.0120724641053685</v>
      </c>
      <c r="G47" s="1763" t="n">
        <f aca="false">TableDE12b!F47</f>
        <v>0.177087938938403</v>
      </c>
      <c r="H47" s="1764" t="n">
        <f aca="false">G47-K47</f>
        <v>0.146540618527913</v>
      </c>
      <c r="I47" s="1765"/>
      <c r="J47" s="1745"/>
      <c r="K47" s="978" t="n">
        <f aca="false">TableDE5c!F47</f>
        <v>0.0305473204104903</v>
      </c>
      <c r="L47" s="1766"/>
      <c r="M47" s="1767"/>
      <c r="N47" s="1765"/>
      <c r="O47" s="1745"/>
      <c r="P47" s="1745"/>
      <c r="Q47" s="1768" t="n">
        <f aca="false">TableDE12b!G47</f>
        <v>0.00356037511926094</v>
      </c>
      <c r="R47" s="1769" t="n">
        <f aca="false">Q47-U47</f>
        <v>0.0461801596351197</v>
      </c>
      <c r="S47" s="1745"/>
      <c r="T47" s="978"/>
      <c r="U47" s="1770" t="n">
        <f aca="false">(DataDE1c!CO70-DataDE1c!CO69)/TableDE1!B47</f>
        <v>-0.0426197845158588</v>
      </c>
      <c r="V47" s="158"/>
      <c r="W47" s="158"/>
      <c r="X47" s="158"/>
      <c r="Y47" s="158"/>
      <c r="Z47" s="1771" t="n">
        <f aca="false">F47+C47-B47</f>
        <v>0</v>
      </c>
      <c r="AA47" s="1772" t="n">
        <f aca="false">G47-H47-K47</f>
        <v>0</v>
      </c>
      <c r="AC47" s="1002" t="n">
        <f aca="false">Q47-TableDE12b!G47</f>
        <v>0</v>
      </c>
      <c r="AF47" s="1678" t="n">
        <f aca="false">TableDE5a!G47+TableDE5c!E47-B47</f>
        <v>0</v>
      </c>
      <c r="AG47" s="1678" t="n">
        <f aca="false">TableDE5b!F47-TableDE12c!B47</f>
        <v>0</v>
      </c>
    </row>
    <row r="48" customFormat="false" ht="12" hidden="false" customHeight="true" outlineLevel="0" collapsed="false">
      <c r="A48" s="1660" t="n">
        <v>1908</v>
      </c>
      <c r="B48" s="1759" t="n">
        <f aca="false">TableDE12b!E48</f>
        <v>0.138630319148936</v>
      </c>
      <c r="C48" s="1760" t="n">
        <f aca="false">B48-F48</f>
        <v>0.16675349860689</v>
      </c>
      <c r="D48" s="1741"/>
      <c r="E48" s="1761"/>
      <c r="F48" s="1762" t="n">
        <f aca="false">U48+K48</f>
        <v>-0.0281231794579534</v>
      </c>
      <c r="G48" s="1763" t="n">
        <f aca="false">TableDE12b!F48</f>
        <v>0.133216185410334</v>
      </c>
      <c r="H48" s="1764" t="n">
        <f aca="false">G48-K48</f>
        <v>0.103188877279635</v>
      </c>
      <c r="I48" s="1765"/>
      <c r="J48" s="1745"/>
      <c r="K48" s="978" t="n">
        <f aca="false">TableDE5c!F48</f>
        <v>0.0300273081306991</v>
      </c>
      <c r="L48" s="1766"/>
      <c r="M48" s="1767"/>
      <c r="N48" s="1765"/>
      <c r="O48" s="1745"/>
      <c r="P48" s="1745"/>
      <c r="Q48" s="1768" t="n">
        <f aca="false">TableDE12b!G48</f>
        <v>0.00541413373860184</v>
      </c>
      <c r="R48" s="1769" t="n">
        <f aca="false">Q48-U48</f>
        <v>0.0635646213272543</v>
      </c>
      <c r="S48" s="1745"/>
      <c r="T48" s="978"/>
      <c r="U48" s="1770" t="n">
        <f aca="false">(DataDE1c!CO71-DataDE1c!CO70)/TableDE1!B48</f>
        <v>-0.0581504875886525</v>
      </c>
      <c r="V48" s="158"/>
      <c r="W48" s="158"/>
      <c r="X48" s="158"/>
      <c r="Y48" s="158"/>
      <c r="Z48" s="1771" t="n">
        <f aca="false">F48+C48-B48</f>
        <v>0</v>
      </c>
      <c r="AA48" s="1772" t="n">
        <f aca="false">G48-H48-K48</f>
        <v>0</v>
      </c>
      <c r="AC48" s="1002" t="n">
        <f aca="false">Q48-TableDE12b!G48</f>
        <v>0</v>
      </c>
      <c r="AF48" s="1678" t="n">
        <f aca="false">TableDE5a!G48+TableDE5c!E48-B48</f>
        <v>0</v>
      </c>
      <c r="AG48" s="1678" t="n">
        <f aca="false">TableDE5b!F48-TableDE12c!B48</f>
        <v>0</v>
      </c>
    </row>
    <row r="49" customFormat="false" ht="12" hidden="false" customHeight="true" outlineLevel="0" collapsed="false">
      <c r="A49" s="1671" t="n">
        <v>1909</v>
      </c>
      <c r="B49" s="1773" t="n">
        <f aca="false">TableDE12b!E49</f>
        <v>0.144234460023934</v>
      </c>
      <c r="C49" s="1774" t="n">
        <f aca="false">B49-F49</f>
        <v>0.151562765773292</v>
      </c>
      <c r="D49" s="1775"/>
      <c r="E49" s="1776"/>
      <c r="F49" s="1777" t="n">
        <f aca="false">U49+K49</f>
        <v>-0.00732830574935836</v>
      </c>
      <c r="G49" s="1778" t="n">
        <f aca="false">TableDE12b!F49</f>
        <v>0.136376978482242</v>
      </c>
      <c r="H49" s="1779" t="n">
        <f aca="false">G49-K49</f>
        <v>0.106312628417892</v>
      </c>
      <c r="I49" s="1780"/>
      <c r="J49" s="1781"/>
      <c r="K49" s="981" t="n">
        <f aca="false">TableDE5c!F49</f>
        <v>0.0300643500643501</v>
      </c>
      <c r="L49" s="1782"/>
      <c r="M49" s="1783"/>
      <c r="N49" s="1780"/>
      <c r="O49" s="1781"/>
      <c r="P49" s="1781"/>
      <c r="Q49" s="1784" t="n">
        <f aca="false">TableDE12b!G49</f>
        <v>0.00785748154169206</v>
      </c>
      <c r="R49" s="1785" t="n">
        <f aca="false">Q49-U49</f>
        <v>0.0452501373554006</v>
      </c>
      <c r="S49" s="1781"/>
      <c r="T49" s="981"/>
      <c r="U49" s="1786" t="n">
        <f aca="false">(DataDE1c!CO72-DataDE1c!CO71)/TableDE1!B49</f>
        <v>-0.0373926558137085</v>
      </c>
      <c r="V49" s="158"/>
      <c r="W49" s="158"/>
      <c r="X49" s="158"/>
      <c r="Y49" s="158"/>
      <c r="Z49" s="1771" t="n">
        <f aca="false">F49+C49-B49</f>
        <v>0</v>
      </c>
      <c r="AA49" s="1772" t="n">
        <f aca="false">G49-H49-K49</f>
        <v>0</v>
      </c>
      <c r="AC49" s="1002" t="n">
        <f aca="false">Q49-TableDE12b!G49</f>
        <v>0</v>
      </c>
      <c r="AF49" s="1678" t="n">
        <f aca="false">TableDE5a!G49+TableDE5c!E49-B49</f>
        <v>0</v>
      </c>
      <c r="AG49" s="1678" t="n">
        <f aca="false">TableDE5b!F49-TableDE12c!B49</f>
        <v>0</v>
      </c>
    </row>
    <row r="50" customFormat="false" ht="12" hidden="false" customHeight="true" outlineLevel="0" collapsed="false">
      <c r="A50" s="1660" t="n">
        <v>1910</v>
      </c>
      <c r="B50" s="1759" t="n">
        <f aca="false">TableDE12b!E50</f>
        <v>0.145812764650387</v>
      </c>
      <c r="C50" s="1760" t="n">
        <f aca="false">B50-F50</f>
        <v>0.139986909176009</v>
      </c>
      <c r="D50" s="1741"/>
      <c r="E50" s="1761"/>
      <c r="F50" s="1762" t="n">
        <f aca="false">U50+K50</f>
        <v>0.0058258554743778</v>
      </c>
      <c r="G50" s="1763" t="n">
        <f aca="false">TableDE12b!F50</f>
        <v>0.133833563702582</v>
      </c>
      <c r="H50" s="1764" t="n">
        <f aca="false">G50-K50</f>
        <v>0.107190372759385</v>
      </c>
      <c r="I50" s="1765"/>
      <c r="J50" s="1745"/>
      <c r="K50" s="978" t="n">
        <f aca="false">TableDE5c!F50</f>
        <v>0.0266431909431975</v>
      </c>
      <c r="L50" s="1766"/>
      <c r="M50" s="1767"/>
      <c r="N50" s="1765"/>
      <c r="O50" s="1745"/>
      <c r="P50" s="1745"/>
      <c r="Q50" s="1768" t="n">
        <f aca="false">TableDE12b!G50</f>
        <v>0.0119792009478049</v>
      </c>
      <c r="R50" s="1769" t="n">
        <f aca="false">Q50-U50</f>
        <v>0.0327965364166246</v>
      </c>
      <c r="S50" s="1745"/>
      <c r="T50" s="978"/>
      <c r="U50" s="1770" t="n">
        <f aca="false">(DataDE1c!CO73-DataDE1c!CO72)/TableDE1!B50</f>
        <v>-0.0208173354688197</v>
      </c>
      <c r="V50" s="158"/>
      <c r="W50" s="158"/>
      <c r="X50" s="158"/>
      <c r="Y50" s="158"/>
      <c r="Z50" s="1771" t="n">
        <f aca="false">F50+C50-B50</f>
        <v>0</v>
      </c>
      <c r="AA50" s="1772" t="n">
        <f aca="false">G50-H50-K50</f>
        <v>0</v>
      </c>
      <c r="AC50" s="1002" t="n">
        <f aca="false">Q50-TableDE12b!G50</f>
        <v>0</v>
      </c>
      <c r="AF50" s="1678" t="n">
        <f aca="false">TableDE5a!G50+TableDE5c!E50-B50</f>
        <v>0</v>
      </c>
      <c r="AG50" s="1678" t="n">
        <f aca="false">TableDE5b!F50-TableDE12c!B50</f>
        <v>0</v>
      </c>
    </row>
    <row r="51" customFormat="false" ht="12" hidden="false" customHeight="true" outlineLevel="0" collapsed="false">
      <c r="A51" s="1660" t="n">
        <v>1911</v>
      </c>
      <c r="B51" s="1759" t="n">
        <f aca="false">TableDE12b!E51</f>
        <v>0.161300419422824</v>
      </c>
      <c r="C51" s="1760" t="n">
        <f aca="false">B51-F51</f>
        <v>0.160859364675278</v>
      </c>
      <c r="D51" s="1741"/>
      <c r="E51" s="1761"/>
      <c r="F51" s="1762" t="n">
        <f aca="false">U51+K51</f>
        <v>0.000441054747546452</v>
      </c>
      <c r="G51" s="1763" t="n">
        <f aca="false">TableDE12b!F51</f>
        <v>0.1517016881247</v>
      </c>
      <c r="H51" s="1764" t="n">
        <f aca="false">G51-K51</f>
        <v>0.124930200530017</v>
      </c>
      <c r="I51" s="1765"/>
      <c r="J51" s="1745"/>
      <c r="K51" s="978" t="n">
        <f aca="false">TableDE5c!F51</f>
        <v>0.0267714875946832</v>
      </c>
      <c r="L51" s="1766"/>
      <c r="M51" s="1767"/>
      <c r="N51" s="1765"/>
      <c r="O51" s="1745"/>
      <c r="P51" s="1745"/>
      <c r="Q51" s="1768" t="n">
        <f aca="false">TableDE12b!G51</f>
        <v>0.00959873129812409</v>
      </c>
      <c r="R51" s="1769" t="n">
        <f aca="false">Q51-U51</f>
        <v>0.0359291641452608</v>
      </c>
      <c r="S51" s="1745"/>
      <c r="T51" s="978"/>
      <c r="U51" s="1770" t="n">
        <f aca="false">(DataDE1c!CO74-DataDE1c!CO73)/TableDE1!B51</f>
        <v>-0.0263304328471367</v>
      </c>
      <c r="V51" s="158"/>
      <c r="W51" s="158"/>
      <c r="X51" s="158"/>
      <c r="Y51" s="158"/>
      <c r="Z51" s="1771" t="n">
        <f aca="false">F51+C51-B51</f>
        <v>0</v>
      </c>
      <c r="AA51" s="1772" t="n">
        <f aca="false">G51-H51-K51</f>
        <v>0</v>
      </c>
      <c r="AC51" s="1002" t="n">
        <f aca="false">Q51-TableDE12b!G51</f>
        <v>0</v>
      </c>
      <c r="AF51" s="1678" t="n">
        <f aca="false">TableDE5a!G51+TableDE5c!E51-B51</f>
        <v>0</v>
      </c>
      <c r="AG51" s="1678" t="n">
        <f aca="false">TableDE5b!F51-TableDE12c!B51</f>
        <v>0</v>
      </c>
    </row>
    <row r="52" customFormat="false" ht="12" hidden="false" customHeight="true" outlineLevel="0" collapsed="false">
      <c r="A52" s="1660" t="n">
        <v>1912</v>
      </c>
      <c r="B52" s="1759" t="n">
        <f aca="false">TableDE12b!E52</f>
        <v>0.172051381860646</v>
      </c>
      <c r="C52" s="1760" t="n">
        <f aca="false">B52-F52</f>
        <v>0.170769235759699</v>
      </c>
      <c r="D52" s="1741"/>
      <c r="E52" s="1761"/>
      <c r="F52" s="1762" t="n">
        <f aca="false">U52+K52</f>
        <v>0.00128214610094715</v>
      </c>
      <c r="G52" s="1763" t="n">
        <f aca="false">TableDE12b!F52</f>
        <v>0.166796418840016</v>
      </c>
      <c r="H52" s="1764" t="n">
        <f aca="false">G52-K52</f>
        <v>0.137272090307513</v>
      </c>
      <c r="I52" s="1765"/>
      <c r="J52" s="1745"/>
      <c r="K52" s="978" t="n">
        <f aca="false">TableDE5c!F52</f>
        <v>0.0295243285325029</v>
      </c>
      <c r="L52" s="1766"/>
      <c r="M52" s="1767"/>
      <c r="N52" s="1765"/>
      <c r="O52" s="1745"/>
      <c r="P52" s="1745"/>
      <c r="Q52" s="1768" t="n">
        <f aca="false">TableDE12b!G52</f>
        <v>0.00525496302063057</v>
      </c>
      <c r="R52" s="1769" t="n">
        <f aca="false">Q52-U52</f>
        <v>0.0334971454521863</v>
      </c>
      <c r="S52" s="1745"/>
      <c r="T52" s="978"/>
      <c r="U52" s="1770" t="n">
        <f aca="false">(DataDE1c!CO75-DataDE1c!CO74)/TableDE1!B52</f>
        <v>-0.0282421824315557</v>
      </c>
      <c r="V52" s="158"/>
      <c r="W52" s="158"/>
      <c r="X52" s="158"/>
      <c r="Y52" s="158"/>
      <c r="Z52" s="1771" t="n">
        <f aca="false">F52+C52-B52</f>
        <v>0</v>
      </c>
      <c r="AA52" s="1772" t="n">
        <f aca="false">G52-H52-K52</f>
        <v>0</v>
      </c>
      <c r="AC52" s="1002" t="n">
        <f aca="false">Q52-TableDE12b!G52</f>
        <v>0</v>
      </c>
      <c r="AF52" s="1678" t="n">
        <f aca="false">TableDE5a!G52+TableDE5c!E52-B52</f>
        <v>0</v>
      </c>
      <c r="AG52" s="1678" t="n">
        <f aca="false">TableDE5b!F52-TableDE12c!B52</f>
        <v>0</v>
      </c>
    </row>
    <row r="53" customFormat="false" ht="12" hidden="false" customHeight="true" outlineLevel="0" collapsed="false">
      <c r="A53" s="1660" t="n">
        <v>1913</v>
      </c>
      <c r="B53" s="1759" t="n">
        <f aca="false">TableDE12b!E53</f>
        <v>0.16839074944823</v>
      </c>
      <c r="C53" s="1760" t="n">
        <f aca="false">B53-F53</f>
        <v>0.167747559833232</v>
      </c>
      <c r="D53" s="1741"/>
      <c r="E53" s="1761"/>
      <c r="F53" s="1762" t="n">
        <f aca="false">U53+K53</f>
        <v>0.000643189614997632</v>
      </c>
      <c r="G53" s="1763" t="n">
        <f aca="false">TableDE12b!F53</f>
        <v>0.156798771710968</v>
      </c>
      <c r="H53" s="1764" t="n">
        <f aca="false">G53-K53</f>
        <v>0.125323865272047</v>
      </c>
      <c r="I53" s="1765"/>
      <c r="J53" s="1745"/>
      <c r="K53" s="978" t="n">
        <f aca="false">TableDE5c!F53</f>
        <v>0.0314749064389214</v>
      </c>
      <c r="L53" s="1766"/>
      <c r="M53" s="1767"/>
      <c r="N53" s="1765"/>
      <c r="O53" s="1745"/>
      <c r="P53" s="1745"/>
      <c r="Q53" s="1768" t="n">
        <f aca="false">TableDE12b!G53</f>
        <v>0.0115919777372613</v>
      </c>
      <c r="R53" s="1769" t="n">
        <f aca="false">Q53-U53</f>
        <v>0.0424236945611851</v>
      </c>
      <c r="S53" s="1745"/>
      <c r="T53" s="978"/>
      <c r="U53" s="1770" t="n">
        <f aca="false">(DataDE1c!CO76-DataDE1c!CO75)/TableDE1!B53</f>
        <v>-0.0308317168239238</v>
      </c>
      <c r="V53" s="158"/>
      <c r="W53" s="158"/>
      <c r="X53" s="158"/>
      <c r="Y53" s="158"/>
      <c r="Z53" s="1771" t="n">
        <f aca="false">F53+C53-B53</f>
        <v>0</v>
      </c>
      <c r="AA53" s="1772" t="n">
        <f aca="false">G53-H53-K53</f>
        <v>0</v>
      </c>
      <c r="AC53" s="1002" t="n">
        <f aca="false">Q53-TableDE12b!G53</f>
        <v>0</v>
      </c>
      <c r="AF53" s="1678" t="n">
        <f aca="false">TableDE5a!G53+TableDE5c!E53-B53</f>
        <v>0</v>
      </c>
      <c r="AG53" s="1678" t="n">
        <f aca="false">TableDE5b!F53-TableDE12c!B53</f>
        <v>0</v>
      </c>
    </row>
    <row r="54" customFormat="false" ht="12" hidden="false" customHeight="true" outlineLevel="0" collapsed="false">
      <c r="A54" s="1660" t="n">
        <v>1914</v>
      </c>
      <c r="B54" s="1787" t="n">
        <f aca="false">TableDE12b!E54</f>
        <v>-0.0221834010862901</v>
      </c>
      <c r="C54" s="86" t="n">
        <f aca="false">B54-F54</f>
        <v>0.120306408111415</v>
      </c>
      <c r="D54" s="1741"/>
      <c r="E54" s="1761"/>
      <c r="F54" s="1762" t="n">
        <f aca="false">U54+K54</f>
        <v>-0.142489809197705</v>
      </c>
      <c r="G54" s="1763" t="n">
        <f aca="false">TableDE12b!F54</f>
        <v>0</v>
      </c>
      <c r="H54" s="1764" t="n">
        <f aca="false">G54-K54</f>
        <v>0.023539</v>
      </c>
      <c r="I54" s="1765"/>
      <c r="J54" s="1745"/>
      <c r="K54" s="978" t="n">
        <f aca="false">TableDE5c!F54</f>
        <v>-0.023539</v>
      </c>
      <c r="L54" s="1788"/>
      <c r="M54" s="1767"/>
      <c r="N54" s="1765"/>
      <c r="O54" s="1745"/>
      <c r="P54" s="1745"/>
      <c r="Q54" s="1768" t="n">
        <f aca="false">TableDE12b!G54</f>
        <v>-0.0221834010862901</v>
      </c>
      <c r="R54" s="1769" t="n">
        <f aca="false">Q54-U54</f>
        <v>0.0967674081114153</v>
      </c>
      <c r="S54" s="1745"/>
      <c r="T54" s="978"/>
      <c r="U54" s="1770" t="n">
        <f aca="false">(DataDE1c!CO77-DataDE1c!CO76)/TableDE1!B54</f>
        <v>-0.118950809197705</v>
      </c>
      <c r="V54" s="158"/>
      <c r="W54" s="158"/>
      <c r="X54" s="158"/>
      <c r="Y54" s="158"/>
      <c r="Z54" s="1771" t="n">
        <f aca="false">F54+C54-B54</f>
        <v>0</v>
      </c>
      <c r="AA54" s="1772" t="n">
        <f aca="false">G54-H54-K54</f>
        <v>0</v>
      </c>
      <c r="AC54" s="1002" t="n">
        <f aca="false">Q54-TableDE12b!G54</f>
        <v>0</v>
      </c>
      <c r="AF54" s="1678" t="n">
        <f aca="false">TableDE5a!G54+TableDE5c!E54-B54</f>
        <v>0</v>
      </c>
      <c r="AG54" s="1678" t="n">
        <f aca="false">TableDE5b!F54-TableDE12c!B54</f>
        <v>0</v>
      </c>
    </row>
    <row r="55" customFormat="false" ht="12" hidden="false" customHeight="true" outlineLevel="0" collapsed="false">
      <c r="A55" s="1660" t="n">
        <v>1915</v>
      </c>
      <c r="B55" s="1787" t="n">
        <f aca="false">TableDE12b!E55</f>
        <v>-0.0701227424942381</v>
      </c>
      <c r="C55" s="86" t="n">
        <f aca="false">B55-F55</f>
        <v>0.261506371604008</v>
      </c>
      <c r="D55" s="1741"/>
      <c r="E55" s="1761"/>
      <c r="F55" s="1762" t="n">
        <f aca="false">U55+K55</f>
        <v>-0.331629114098246</v>
      </c>
      <c r="G55" s="1763" t="n">
        <f aca="false">TableDE12b!F55</f>
        <v>0</v>
      </c>
      <c r="H55" s="1764" t="n">
        <f aca="false">G55-K55</f>
        <v>0.023539</v>
      </c>
      <c r="I55" s="1765"/>
      <c r="J55" s="1745"/>
      <c r="K55" s="978" t="n">
        <f aca="false">TableDE5c!F55</f>
        <v>-0.023539</v>
      </c>
      <c r="L55" s="1788"/>
      <c r="M55" s="1767"/>
      <c r="N55" s="1765"/>
      <c r="O55" s="1745"/>
      <c r="P55" s="1745"/>
      <c r="Q55" s="1768" t="n">
        <f aca="false">TableDE12b!G55</f>
        <v>-0.0701227424942381</v>
      </c>
      <c r="R55" s="1769" t="n">
        <f aca="false">Q55-U55</f>
        <v>0.237967371604008</v>
      </c>
      <c r="S55" s="1745"/>
      <c r="T55" s="978"/>
      <c r="U55" s="1770" t="n">
        <f aca="false">(DataDE1c!CO78-DataDE1c!CO77)/TableDE1!B55</f>
        <v>-0.308090114098247</v>
      </c>
      <c r="V55" s="158"/>
      <c r="W55" s="158"/>
      <c r="X55" s="158"/>
      <c r="Y55" s="158"/>
      <c r="Z55" s="1771" t="n">
        <f aca="false">F55+C55-B55</f>
        <v>0</v>
      </c>
      <c r="AA55" s="1772" t="n">
        <f aca="false">G55-H55-K55</f>
        <v>0</v>
      </c>
      <c r="AC55" s="1002" t="n">
        <f aca="false">Q55-TableDE12b!G55</f>
        <v>0</v>
      </c>
      <c r="AF55" s="1678" t="n">
        <f aca="false">TableDE5a!G55+TableDE5c!E55-B55</f>
        <v>0</v>
      </c>
      <c r="AG55" s="1678" t="n">
        <f aca="false">TableDE5b!F55-TableDE12c!B55</f>
        <v>0</v>
      </c>
    </row>
    <row r="56" customFormat="false" ht="12" hidden="false" customHeight="true" outlineLevel="0" collapsed="false">
      <c r="A56" s="1660" t="n">
        <v>1916</v>
      </c>
      <c r="B56" s="1787" t="n">
        <f aca="false">TableDE12b!E56</f>
        <v>-0.0648907105370445</v>
      </c>
      <c r="C56" s="86" t="n">
        <f aca="false">B56-F56</f>
        <v>0.352303015713385</v>
      </c>
      <c r="D56" s="1741"/>
      <c r="E56" s="1761"/>
      <c r="F56" s="1762" t="n">
        <f aca="false">U56+K56</f>
        <v>-0.41719372625043</v>
      </c>
      <c r="G56" s="1763" t="n">
        <f aca="false">TableDE12b!F56</f>
        <v>0</v>
      </c>
      <c r="H56" s="1764" t="n">
        <f aca="false">G56-K56</f>
        <v>0.023539</v>
      </c>
      <c r="I56" s="1765"/>
      <c r="J56" s="1745"/>
      <c r="K56" s="978" t="n">
        <f aca="false">TableDE5c!F56</f>
        <v>-0.023539</v>
      </c>
      <c r="L56" s="1788"/>
      <c r="M56" s="1767"/>
      <c r="N56" s="1765"/>
      <c r="O56" s="1745"/>
      <c r="P56" s="1745"/>
      <c r="Q56" s="1768" t="n">
        <f aca="false">TableDE12b!G56</f>
        <v>-0.0648907105370445</v>
      </c>
      <c r="R56" s="1769" t="n">
        <f aca="false">Q56-U56</f>
        <v>0.328764015713386</v>
      </c>
      <c r="S56" s="1745"/>
      <c r="T56" s="978"/>
      <c r="U56" s="1770" t="n">
        <f aca="false">(DataDE1c!CO79-DataDE1c!CO78)/TableDE1!B56</f>
        <v>-0.39365472625043</v>
      </c>
      <c r="V56" s="158"/>
      <c r="W56" s="158"/>
      <c r="X56" s="158"/>
      <c r="Y56" s="158"/>
      <c r="Z56" s="1771" t="n">
        <f aca="false">F56+C56-B56</f>
        <v>0</v>
      </c>
      <c r="AA56" s="1772" t="n">
        <f aca="false">G56-H56-K56</f>
        <v>0</v>
      </c>
      <c r="AC56" s="1002" t="n">
        <f aca="false">Q56-TableDE12b!G56</f>
        <v>0</v>
      </c>
      <c r="AF56" s="1678" t="n">
        <f aca="false">TableDE5a!G56+TableDE5c!E56-B56</f>
        <v>0</v>
      </c>
      <c r="AG56" s="1678" t="n">
        <f aca="false">TableDE5b!F56-TableDE12c!B56</f>
        <v>0</v>
      </c>
    </row>
    <row r="57" customFormat="false" ht="12" hidden="false" customHeight="true" outlineLevel="0" collapsed="false">
      <c r="A57" s="1660" t="n">
        <v>1917</v>
      </c>
      <c r="B57" s="1787" t="n">
        <f aca="false">TableDE12b!E57</f>
        <v>-0.0349247920391921</v>
      </c>
      <c r="C57" s="86" t="n">
        <f aca="false">B57-F57</f>
        <v>0.299666097403111</v>
      </c>
      <c r="D57" s="1741"/>
      <c r="E57" s="1761"/>
      <c r="F57" s="1762" t="n">
        <f aca="false">U57+K57</f>
        <v>-0.334590889442303</v>
      </c>
      <c r="G57" s="1763" t="n">
        <f aca="false">TableDE12b!F57</f>
        <v>0</v>
      </c>
      <c r="H57" s="1764" t="n">
        <f aca="false">G57-K57</f>
        <v>0.023539</v>
      </c>
      <c r="I57" s="1765"/>
      <c r="J57" s="1745"/>
      <c r="K57" s="978" t="n">
        <f aca="false">TableDE5c!F57</f>
        <v>-0.023539</v>
      </c>
      <c r="L57" s="1788"/>
      <c r="M57" s="1767"/>
      <c r="N57" s="1765"/>
      <c r="O57" s="1745"/>
      <c r="P57" s="1745"/>
      <c r="Q57" s="1768" t="n">
        <f aca="false">TableDE12b!G57</f>
        <v>-0.0349247920391921</v>
      </c>
      <c r="R57" s="1769" t="n">
        <f aca="false">Q57-U57</f>
        <v>0.276127097403111</v>
      </c>
      <c r="S57" s="1745"/>
      <c r="T57" s="978"/>
      <c r="U57" s="1770" t="n">
        <f aca="false">(DataDE1c!CO80-DataDE1c!CO79)/TableDE1!B57</f>
        <v>-0.311051889442303</v>
      </c>
      <c r="V57" s="158"/>
      <c r="W57" s="158"/>
      <c r="X57" s="158"/>
      <c r="Y57" s="158"/>
      <c r="Z57" s="1771" t="n">
        <f aca="false">F57+C57-B57</f>
        <v>0</v>
      </c>
      <c r="AA57" s="1772" t="n">
        <f aca="false">G57-H57-K57</f>
        <v>0</v>
      </c>
      <c r="AC57" s="1002" t="n">
        <f aca="false">Q57-TableDE12b!G57</f>
        <v>0</v>
      </c>
      <c r="AF57" s="1678" t="n">
        <f aca="false">TableDE5a!G57+TableDE5c!E57-B57</f>
        <v>0</v>
      </c>
      <c r="AG57" s="1678" t="n">
        <f aca="false">TableDE5b!F57-TableDE12c!B57</f>
        <v>0</v>
      </c>
    </row>
    <row r="58" customFormat="false" ht="12" hidden="false" customHeight="true" outlineLevel="0" collapsed="false">
      <c r="A58" s="1660" t="n">
        <v>1918</v>
      </c>
      <c r="B58" s="1787" t="n">
        <f aca="false">TableDE12b!E58</f>
        <v>-0.0199568189780009</v>
      </c>
      <c r="C58" s="86" t="n">
        <f aca="false">B58-F58</f>
        <v>0.137031989094128</v>
      </c>
      <c r="D58" s="1741"/>
      <c r="E58" s="1761"/>
      <c r="F58" s="1762" t="n">
        <f aca="false">U58+K58</f>
        <v>-0.156988808072129</v>
      </c>
      <c r="G58" s="1763" t="n">
        <f aca="false">TableDE12b!F58</f>
        <v>0</v>
      </c>
      <c r="H58" s="1764" t="n">
        <f aca="false">G58-K58</f>
        <v>0.023539</v>
      </c>
      <c r="I58" s="1765"/>
      <c r="J58" s="1745"/>
      <c r="K58" s="978" t="n">
        <f aca="false">TableDE5c!F58</f>
        <v>-0.023539</v>
      </c>
      <c r="L58" s="1788"/>
      <c r="M58" s="1767"/>
      <c r="N58" s="1765"/>
      <c r="O58" s="1745"/>
      <c r="P58" s="1745"/>
      <c r="Q58" s="1768" t="n">
        <f aca="false">TableDE12b!G58</f>
        <v>-0.0199568189780009</v>
      </c>
      <c r="R58" s="1769" t="n">
        <f aca="false">Q58-U58</f>
        <v>0.113492989094128</v>
      </c>
      <c r="S58" s="1745"/>
      <c r="T58" s="978"/>
      <c r="U58" s="1770" t="n">
        <f aca="false">(DataDE1c!CO81-DataDE1c!CO80)/TableDE1!B58</f>
        <v>-0.133449808072129</v>
      </c>
      <c r="V58" s="158"/>
      <c r="W58" s="158"/>
      <c r="X58" s="158"/>
      <c r="Y58" s="158"/>
      <c r="Z58" s="1771" t="n">
        <f aca="false">F58+C58-B58</f>
        <v>0</v>
      </c>
      <c r="AA58" s="1772" t="n">
        <f aca="false">G58-H58-K58</f>
        <v>0</v>
      </c>
      <c r="AC58" s="1002" t="n">
        <f aca="false">Q58-TableDE12b!G58</f>
        <v>0</v>
      </c>
      <c r="AF58" s="1678" t="n">
        <f aca="false">TableDE5a!G58+TableDE5c!E58-B58</f>
        <v>0</v>
      </c>
      <c r="AG58" s="1678" t="n">
        <f aca="false">TableDE5b!F58-TableDE12c!B58</f>
        <v>0</v>
      </c>
    </row>
    <row r="59" customFormat="false" ht="12" hidden="false" customHeight="true" outlineLevel="0" collapsed="false">
      <c r="A59" s="1671" t="n">
        <v>1919</v>
      </c>
      <c r="B59" s="1789" t="n">
        <f aca="false">TableDE12b!E59</f>
        <v>0</v>
      </c>
      <c r="C59" s="104" t="n">
        <f aca="false">B59-F59</f>
        <v>0.0759473134471805</v>
      </c>
      <c r="D59" s="1775"/>
      <c r="E59" s="1776"/>
      <c r="F59" s="1777" t="n">
        <f aca="false">U59+K59</f>
        <v>-0.0759473134471805</v>
      </c>
      <c r="G59" s="106" t="n">
        <f aca="false">TableDE12b!F59</f>
        <v>0</v>
      </c>
      <c r="H59" s="1779" t="n">
        <f aca="false">G59-K59</f>
        <v>0.023539</v>
      </c>
      <c r="I59" s="1780"/>
      <c r="J59" s="1781"/>
      <c r="K59" s="981" t="n">
        <f aca="false">TableDE5c!F59</f>
        <v>-0.023539</v>
      </c>
      <c r="L59" s="1790"/>
      <c r="M59" s="1783"/>
      <c r="N59" s="1780"/>
      <c r="O59" s="1781"/>
      <c r="P59" s="1781"/>
      <c r="Q59" s="1784" t="n">
        <f aca="false">TableDE12b!G59</f>
        <v>0</v>
      </c>
      <c r="R59" s="1785" t="n">
        <f aca="false">Q59-U59</f>
        <v>0.0524083134471805</v>
      </c>
      <c r="S59" s="1781"/>
      <c r="T59" s="981"/>
      <c r="U59" s="1786" t="n">
        <f aca="false">(DataDE1c!CO82-DataDE1c!CO81)/TableDE1!B59</f>
        <v>-0.0524083134471805</v>
      </c>
      <c r="V59" s="158"/>
      <c r="W59" s="158"/>
      <c r="X59" s="158"/>
      <c r="Y59" s="158"/>
      <c r="Z59" s="1771" t="n">
        <f aca="false">F59+C59-B59</f>
        <v>0</v>
      </c>
      <c r="AA59" s="1772" t="n">
        <f aca="false">G59-H59-K59</f>
        <v>0</v>
      </c>
      <c r="AC59" s="1002" t="n">
        <f aca="false">Q59-TableDE12b!G59</f>
        <v>0</v>
      </c>
      <c r="AF59" s="1678" t="n">
        <f aca="false">TableDE5a!G59+TableDE5c!E59-B59</f>
        <v>0</v>
      </c>
      <c r="AG59" s="1678" t="n">
        <f aca="false">TableDE5b!F59-TableDE12c!B59</f>
        <v>0</v>
      </c>
    </row>
    <row r="60" customFormat="false" ht="12" hidden="false" customHeight="true" outlineLevel="0" collapsed="false">
      <c r="A60" s="1660" t="n">
        <v>1920</v>
      </c>
      <c r="B60" s="1787" t="n">
        <f aca="false">TableDE12b!E60</f>
        <v>0.0888666896014685</v>
      </c>
      <c r="C60" s="86" t="n">
        <f aca="false">B60-F60</f>
        <v>0.180007263138912</v>
      </c>
      <c r="D60" s="1741"/>
      <c r="E60" s="1791"/>
      <c r="F60" s="1762" t="n">
        <f aca="false">U60+K60</f>
        <v>-0.0911405735374432</v>
      </c>
      <c r="G60" s="1792" t="n">
        <f aca="false">TableDE12b!F60</f>
        <v>0.0888666896014685</v>
      </c>
      <c r="H60" s="1764" t="n">
        <f aca="false">G60-K60</f>
        <v>0.112405689601469</v>
      </c>
      <c r="I60" s="1765"/>
      <c r="J60" s="1745"/>
      <c r="K60" s="978" t="n">
        <f aca="false">TableDE5c!F60</f>
        <v>-0.023539</v>
      </c>
      <c r="L60" s="1766"/>
      <c r="M60" s="1767"/>
      <c r="N60" s="1765"/>
      <c r="O60" s="1745"/>
      <c r="P60" s="1745"/>
      <c r="Q60" s="1768" t="n">
        <f aca="false">TableDE12b!G60</f>
        <v>0</v>
      </c>
      <c r="R60" s="1769" t="n">
        <f aca="false">Q60-U60</f>
        <v>0.0676015735374432</v>
      </c>
      <c r="S60" s="1745"/>
      <c r="T60" s="978"/>
      <c r="U60" s="1770" t="n">
        <f aca="false">(DataDE1c!CO83-DataDE1c!CO82)/TableDE1!B60</f>
        <v>-0.0676015735374432</v>
      </c>
      <c r="V60" s="158"/>
      <c r="W60" s="158"/>
      <c r="X60" s="158"/>
      <c r="Y60" s="158"/>
      <c r="Z60" s="1771" t="n">
        <f aca="false">F60+C60-B60</f>
        <v>0</v>
      </c>
      <c r="AA60" s="1772" t="n">
        <f aca="false">G60-H60-K60</f>
        <v>0</v>
      </c>
      <c r="AC60" s="1002" t="n">
        <f aca="false">Q60-TableDE12b!G60</f>
        <v>0</v>
      </c>
      <c r="AF60" s="1678" t="n">
        <f aca="false">TableDE5a!G60+TableDE5c!E60-B60</f>
        <v>0</v>
      </c>
      <c r="AG60" s="1678" t="n">
        <f aca="false">TableDE5b!F60-TableDE12c!B60</f>
        <v>0</v>
      </c>
    </row>
    <row r="61" customFormat="false" ht="12" hidden="false" customHeight="true" outlineLevel="0" collapsed="false">
      <c r="A61" s="1660" t="n">
        <v>1921</v>
      </c>
      <c r="B61" s="1787" t="n">
        <f aca="false">TableDE12b!E61</f>
        <v>0.0388666896014685</v>
      </c>
      <c r="C61" s="86" t="n">
        <f aca="false">B61-F61</f>
        <v>0.103829988126255</v>
      </c>
      <c r="D61" s="1741"/>
      <c r="E61" s="1791"/>
      <c r="F61" s="1762" t="n">
        <f aca="false">U61+K61</f>
        <v>-0.0649632985247869</v>
      </c>
      <c r="G61" s="1792" t="n">
        <f aca="false">TableDE12b!F61</f>
        <v>0.0888666896014685</v>
      </c>
      <c r="H61" s="1764" t="n">
        <f aca="false">G61-K61</f>
        <v>0.112405689601469</v>
      </c>
      <c r="I61" s="1765"/>
      <c r="J61" s="1745"/>
      <c r="K61" s="978" t="n">
        <f aca="false">TableDE5c!F61</f>
        <v>-0.023539</v>
      </c>
      <c r="L61" s="1766"/>
      <c r="M61" s="1767"/>
      <c r="N61" s="1765"/>
      <c r="O61" s="1745"/>
      <c r="P61" s="1745"/>
      <c r="Q61" s="1768" t="n">
        <f aca="false">TableDE12b!G61</f>
        <v>-0.05</v>
      </c>
      <c r="R61" s="1769" t="n">
        <f aca="false">Q61-U61</f>
        <v>-0.0085757014752131</v>
      </c>
      <c r="S61" s="1745"/>
      <c r="T61" s="978"/>
      <c r="U61" s="1770" t="n">
        <f aca="false">(DataDE1c!CO84-DataDE1c!CO83)/TableDE1!B61</f>
        <v>-0.0414242985247869</v>
      </c>
      <c r="V61" s="158"/>
      <c r="W61" s="158"/>
      <c r="X61" s="158"/>
      <c r="Y61" s="158"/>
      <c r="Z61" s="1771" t="n">
        <f aca="false">F61+C61-B61</f>
        <v>0</v>
      </c>
      <c r="AA61" s="1772" t="n">
        <f aca="false">G61-H61-K61</f>
        <v>0</v>
      </c>
      <c r="AC61" s="1002" t="n">
        <f aca="false">Q61-TableDE12b!G61</f>
        <v>0</v>
      </c>
      <c r="AF61" s="1678" t="n">
        <f aca="false">TableDE5a!G61+TableDE5c!E61-B61</f>
        <v>0</v>
      </c>
      <c r="AG61" s="1678" t="n">
        <f aca="false">TableDE5b!F61-TableDE12c!B61</f>
        <v>0</v>
      </c>
    </row>
    <row r="62" customFormat="false" ht="12" hidden="false" customHeight="true" outlineLevel="0" collapsed="false">
      <c r="A62" s="1660" t="n">
        <v>1922</v>
      </c>
      <c r="B62" s="1787" t="n">
        <f aca="false">TableDE12b!E62</f>
        <v>0.0388666896014685</v>
      </c>
      <c r="C62" s="86" t="n">
        <f aca="false">B62-F62</f>
        <v>0.0624056896014685</v>
      </c>
      <c r="D62" s="1741"/>
      <c r="E62" s="1791"/>
      <c r="F62" s="1762" t="n">
        <f aca="false">U62+K62</f>
        <v>-0.023539</v>
      </c>
      <c r="G62" s="1792" t="n">
        <f aca="false">TableDE12b!F62</f>
        <v>0.0888666896014685</v>
      </c>
      <c r="H62" s="1764" t="n">
        <f aca="false">G62-K62</f>
        <v>0.112405689601469</v>
      </c>
      <c r="I62" s="1765"/>
      <c r="J62" s="1745"/>
      <c r="K62" s="978" t="n">
        <f aca="false">TableDE5c!F62</f>
        <v>-0.023539</v>
      </c>
      <c r="L62" s="1766"/>
      <c r="M62" s="1767"/>
      <c r="N62" s="1765"/>
      <c r="O62" s="1745"/>
      <c r="P62" s="1745"/>
      <c r="Q62" s="1768" t="n">
        <f aca="false">TableDE12b!G62</f>
        <v>-0.05</v>
      </c>
      <c r="R62" s="1769" t="n">
        <f aca="false">Q62-U62</f>
        <v>-0.05</v>
      </c>
      <c r="S62" s="1745"/>
      <c r="T62" s="978"/>
      <c r="U62" s="1770" t="n">
        <v>0</v>
      </c>
      <c r="V62" s="158"/>
      <c r="W62" s="158"/>
      <c r="X62" s="158"/>
      <c r="Y62" s="158"/>
      <c r="Z62" s="1771" t="n">
        <f aca="false">F62+C62-B62</f>
        <v>0</v>
      </c>
      <c r="AA62" s="1772" t="n">
        <f aca="false">G62-H62-K62</f>
        <v>0</v>
      </c>
      <c r="AC62" s="1002" t="n">
        <f aca="false">Q62-TableDE12b!G62</f>
        <v>0</v>
      </c>
      <c r="AF62" s="1678" t="n">
        <f aca="false">TableDE5a!G62+TableDE5c!E62-B62</f>
        <v>0</v>
      </c>
      <c r="AG62" s="1678" t="n">
        <f aca="false">TableDE5b!F62-TableDE12c!B62</f>
        <v>0</v>
      </c>
    </row>
    <row r="63" customFormat="false" ht="12" hidden="false" customHeight="true" outlineLevel="0" collapsed="false">
      <c r="A63" s="1660" t="n">
        <v>1923</v>
      </c>
      <c r="B63" s="1787" t="n">
        <f aca="false">TableDE12b!E63</f>
        <v>0.0388666896014685</v>
      </c>
      <c r="C63" s="86" t="n">
        <f aca="false">B63-F63</f>
        <v>0.0624056896014685</v>
      </c>
      <c r="D63" s="1741"/>
      <c r="E63" s="1791"/>
      <c r="F63" s="1762" t="n">
        <f aca="false">U63+K63</f>
        <v>-0.023539</v>
      </c>
      <c r="G63" s="1792" t="n">
        <f aca="false">TableDE12b!F63</f>
        <v>0.0888666896014685</v>
      </c>
      <c r="H63" s="1764" t="n">
        <f aca="false">G63-K63</f>
        <v>0.112405689601469</v>
      </c>
      <c r="I63" s="1765"/>
      <c r="J63" s="1745"/>
      <c r="K63" s="978" t="n">
        <f aca="false">TableDE5c!F63</f>
        <v>-0.023539</v>
      </c>
      <c r="L63" s="1766"/>
      <c r="M63" s="1767"/>
      <c r="N63" s="1765"/>
      <c r="O63" s="1745"/>
      <c r="P63" s="1745"/>
      <c r="Q63" s="1768" t="n">
        <f aca="false">TableDE12b!G63</f>
        <v>-0.05</v>
      </c>
      <c r="R63" s="1769" t="n">
        <f aca="false">Q63-U63</f>
        <v>-0.05</v>
      </c>
      <c r="S63" s="1745"/>
      <c r="T63" s="978"/>
      <c r="U63" s="1770" t="n">
        <v>0</v>
      </c>
      <c r="V63" s="158"/>
      <c r="W63" s="158"/>
      <c r="X63" s="158"/>
      <c r="Y63" s="158"/>
      <c r="Z63" s="1771" t="n">
        <f aca="false">F63+C63-B63</f>
        <v>0</v>
      </c>
      <c r="AA63" s="1772" t="n">
        <f aca="false">G63-H63-K63</f>
        <v>0</v>
      </c>
      <c r="AC63" s="1002" t="n">
        <f aca="false">Q63-TableDE12b!G63</f>
        <v>0</v>
      </c>
      <c r="AF63" s="1678" t="n">
        <f aca="false">TableDE5a!G63+TableDE5c!E63-B63</f>
        <v>0</v>
      </c>
      <c r="AG63" s="1678" t="n">
        <f aca="false">TableDE5b!F63-TableDE12c!B63</f>
        <v>0</v>
      </c>
    </row>
    <row r="64" customFormat="false" ht="12" hidden="false" customHeight="true" outlineLevel="0" collapsed="false">
      <c r="A64" s="1660" t="n">
        <v>1924</v>
      </c>
      <c r="B64" s="1787" t="n">
        <f aca="false">TableDE12b!E64</f>
        <v>0.0388666896014685</v>
      </c>
      <c r="C64" s="86" t="n">
        <f aca="false">B64-F64</f>
        <v>0.0624056896014685</v>
      </c>
      <c r="D64" s="1741"/>
      <c r="E64" s="1791"/>
      <c r="F64" s="1762" t="n">
        <f aca="false">U64+K64</f>
        <v>-0.023539</v>
      </c>
      <c r="G64" s="1792" t="n">
        <f aca="false">TableDE12b!F64</f>
        <v>0.0888666896014685</v>
      </c>
      <c r="H64" s="1764" t="n">
        <f aca="false">G64-K64</f>
        <v>0.112405689601469</v>
      </c>
      <c r="I64" s="1765"/>
      <c r="J64" s="1745"/>
      <c r="K64" s="978" t="n">
        <f aca="false">TableDE5c!F64</f>
        <v>-0.023539</v>
      </c>
      <c r="L64" s="1766"/>
      <c r="M64" s="1767"/>
      <c r="N64" s="1765"/>
      <c r="O64" s="1745"/>
      <c r="P64" s="1745"/>
      <c r="Q64" s="1768" t="n">
        <f aca="false">TableDE12b!G64</f>
        <v>-0.05</v>
      </c>
      <c r="R64" s="1769" t="n">
        <f aca="false">Q64-U64</f>
        <v>-0.05</v>
      </c>
      <c r="S64" s="1745"/>
      <c r="T64" s="978"/>
      <c r="U64" s="1770" t="n">
        <v>0</v>
      </c>
      <c r="V64" s="158"/>
      <c r="W64" s="158"/>
      <c r="X64" s="158"/>
      <c r="Y64" s="158"/>
      <c r="Z64" s="1771" t="n">
        <f aca="false">F64+C64-B64</f>
        <v>0</v>
      </c>
      <c r="AA64" s="1772" t="n">
        <f aca="false">G64-H64-K64</f>
        <v>0</v>
      </c>
      <c r="AC64" s="1002" t="n">
        <f aca="false">Q64-TableDE12b!G64</f>
        <v>0</v>
      </c>
      <c r="AF64" s="1678" t="n">
        <f aca="false">TableDE5a!G64+TableDE5c!E64-B64</f>
        <v>0</v>
      </c>
      <c r="AG64" s="1678" t="n">
        <f aca="false">TableDE5b!F64-TableDE12c!B64</f>
        <v>0</v>
      </c>
    </row>
    <row r="65" customFormat="false" ht="12" hidden="false" customHeight="true" outlineLevel="0" collapsed="false">
      <c r="A65" s="1660" t="n">
        <v>1925</v>
      </c>
      <c r="B65" s="1759" t="n">
        <f aca="false">TableDE12b!E65</f>
        <v>0.0451201958668313</v>
      </c>
      <c r="C65" s="1760" t="n">
        <f aca="false">B65-F65</f>
        <v>0.145204484067692</v>
      </c>
      <c r="D65" s="1741"/>
      <c r="E65" s="1791"/>
      <c r="F65" s="1762" t="n">
        <f aca="false">U65+K65</f>
        <v>-0.100084288200861</v>
      </c>
      <c r="G65" s="1763" t="n">
        <f aca="false">TableDE12b!F65</f>
        <v>0.0915988820693013</v>
      </c>
      <c r="H65" s="1764" t="n">
        <f aca="false">G65-K65</f>
        <v>0.0818499648937161</v>
      </c>
      <c r="I65" s="1765"/>
      <c r="J65" s="1745"/>
      <c r="K65" s="1144" t="n">
        <f aca="false">TableDE5c!F65</f>
        <v>0.00974891717558523</v>
      </c>
      <c r="L65" s="1766" t="n">
        <f aca="false">DataDE1c!N88/DataDE1c!B88</f>
        <v>0.0859512256177697</v>
      </c>
      <c r="M65" s="1763"/>
      <c r="N65" s="1765"/>
      <c r="O65" s="1745"/>
      <c r="P65" s="978"/>
      <c r="Q65" s="1768" t="n">
        <f aca="false">TableDE12b!G65</f>
        <v>-0.04647868620247</v>
      </c>
      <c r="R65" s="1769" t="n">
        <f aca="false">Q65-U65</f>
        <v>0.0633545191739763</v>
      </c>
      <c r="S65" s="978"/>
      <c r="T65" s="978"/>
      <c r="U65" s="1770" t="n">
        <f aca="false">(DataDE1c!CO88-DataDE1c!CO87)/TableDE1!B65</f>
        <v>-0.109833205376446</v>
      </c>
      <c r="V65" s="158"/>
      <c r="W65" s="158"/>
      <c r="X65" s="158"/>
      <c r="Y65" s="158"/>
      <c r="Z65" s="1771" t="n">
        <f aca="false">F65+C65-B65</f>
        <v>0</v>
      </c>
      <c r="AA65" s="1772" t="n">
        <f aca="false">G65-H65-K65</f>
        <v>0</v>
      </c>
      <c r="AC65" s="1002" t="n">
        <f aca="false">Q65-TableDE12b!G65</f>
        <v>0</v>
      </c>
      <c r="AF65" s="1678" t="n">
        <f aca="false">TableDE5a!G65+TableDE5c!E65-B65</f>
        <v>0</v>
      </c>
      <c r="AG65" s="1678" t="n">
        <f aca="false">TableDE5b!F65-TableDE12c!B65</f>
        <v>0</v>
      </c>
    </row>
    <row r="66" customFormat="false" ht="12" hidden="false" customHeight="true" outlineLevel="0" collapsed="false">
      <c r="A66" s="1660" t="n">
        <v>1926</v>
      </c>
      <c r="B66" s="1759" t="n">
        <f aca="false">TableDE12b!E66</f>
        <v>0.0579539806565743</v>
      </c>
      <c r="C66" s="1760" t="n">
        <f aca="false">B66-F66</f>
        <v>0.0799207206530758</v>
      </c>
      <c r="D66" s="1741"/>
      <c r="E66" s="1791"/>
      <c r="F66" s="1762" t="n">
        <f aca="false">U66+K66</f>
        <v>-0.0219667399965015</v>
      </c>
      <c r="G66" s="1763" t="n">
        <f aca="false">TableDE12b!F66</f>
        <v>0.0585293893239894</v>
      </c>
      <c r="H66" s="1764" t="n">
        <f aca="false">G66-K66</f>
        <v>0.0433812549084459</v>
      </c>
      <c r="I66" s="1765"/>
      <c r="J66" s="1745"/>
      <c r="K66" s="978" t="n">
        <f aca="false">TableDE5c!F66</f>
        <v>0.0151481344155435</v>
      </c>
      <c r="L66" s="1766" t="n">
        <f aca="false">DataDE1c!N89/DataDE1c!B89</f>
        <v>0.0867391680957231</v>
      </c>
      <c r="M66" s="1763"/>
      <c r="N66" s="1765"/>
      <c r="O66" s="1745"/>
      <c r="P66" s="978"/>
      <c r="Q66" s="1768" t="n">
        <f aca="false">TableDE12b!G66</f>
        <v>-0.000575408667415064</v>
      </c>
      <c r="R66" s="1769" t="n">
        <f aca="false">Q66-U66</f>
        <v>0.0365394657446299</v>
      </c>
      <c r="S66" s="978"/>
      <c r="T66" s="978"/>
      <c r="U66" s="1770" t="n">
        <f aca="false">(DataDE1c!CO89-DataDE1c!CO88)/TableDE1!B66</f>
        <v>-0.037114874412045</v>
      </c>
      <c r="V66" s="158"/>
      <c r="W66" s="158"/>
      <c r="X66" s="158"/>
      <c r="Y66" s="158"/>
      <c r="Z66" s="1771" t="n">
        <f aca="false">F66+C66-B66</f>
        <v>0</v>
      </c>
      <c r="AA66" s="1772" t="n">
        <f aca="false">G66-H66-K66</f>
        <v>0</v>
      </c>
      <c r="AC66" s="1002" t="n">
        <f aca="false">Q66-TableDE12b!G66</f>
        <v>0</v>
      </c>
      <c r="AF66" s="1678" t="n">
        <f aca="false">TableDE5a!G66+TableDE5c!E66-B66</f>
        <v>0</v>
      </c>
      <c r="AG66" s="1678" t="n">
        <f aca="false">TableDE5b!F66-TableDE12c!B66</f>
        <v>0</v>
      </c>
    </row>
    <row r="67" customFormat="false" ht="12" hidden="false" customHeight="true" outlineLevel="0" collapsed="false">
      <c r="A67" s="1660" t="n">
        <v>1927</v>
      </c>
      <c r="B67" s="1759" t="n">
        <f aca="false">TableDE12b!E67</f>
        <v>0.0611962869495276</v>
      </c>
      <c r="C67" s="1760" t="n">
        <f aca="false">B67-F67</f>
        <v>0.0411065006961931</v>
      </c>
      <c r="D67" s="1741"/>
      <c r="E67" s="1791"/>
      <c r="F67" s="1762" t="n">
        <f aca="false">U67+K67</f>
        <v>0.0200897862533345</v>
      </c>
      <c r="G67" s="1763" t="n">
        <f aca="false">TableDE12b!F67</f>
        <v>0.116750734396329</v>
      </c>
      <c r="H67" s="1764" t="n">
        <f aca="false">G67-K67</f>
        <v>0.0989924479395839</v>
      </c>
      <c r="I67" s="1765"/>
      <c r="J67" s="1745"/>
      <c r="K67" s="978" t="n">
        <f aca="false">TableDE5c!F67</f>
        <v>0.0177582864567448</v>
      </c>
      <c r="L67" s="1766" t="n">
        <f aca="false">DataDE1c!N90/DataDE1c!B90</f>
        <v>0.084130168176388</v>
      </c>
      <c r="M67" s="1763"/>
      <c r="N67" s="1765"/>
      <c r="O67" s="1745"/>
      <c r="P67" s="978"/>
      <c r="Q67" s="1768" t="n">
        <f aca="false">TableDE12b!G67</f>
        <v>-0.0555544474468011</v>
      </c>
      <c r="R67" s="1769" t="n">
        <f aca="false">Q67-U67</f>
        <v>-0.0578859472433908</v>
      </c>
      <c r="S67" s="978"/>
      <c r="T67" s="978"/>
      <c r="U67" s="1770" t="n">
        <f aca="false">(DataDE1c!CO90-DataDE1c!CO89)/TableDE1!B67</f>
        <v>0.00233149979658971</v>
      </c>
      <c r="V67" s="158"/>
      <c r="W67" s="158"/>
      <c r="X67" s="158"/>
      <c r="Y67" s="158"/>
      <c r="Z67" s="1771" t="n">
        <f aca="false">F67+C67-B67</f>
        <v>0</v>
      </c>
      <c r="AA67" s="1772" t="n">
        <f aca="false">G67-H67-K67</f>
        <v>0</v>
      </c>
      <c r="AC67" s="1002" t="n">
        <f aca="false">Q67-TableDE12b!G67</f>
        <v>0</v>
      </c>
      <c r="AF67" s="1678" t="n">
        <f aca="false">TableDE5a!G67+TableDE5c!E67-B67</f>
        <v>0</v>
      </c>
      <c r="AG67" s="1678" t="n">
        <f aca="false">TableDE5b!F67-TableDE12c!B67</f>
        <v>0</v>
      </c>
    </row>
    <row r="68" customFormat="false" ht="12" hidden="false" customHeight="true" outlineLevel="0" collapsed="false">
      <c r="A68" s="1660" t="n">
        <v>1928</v>
      </c>
      <c r="B68" s="1759" t="n">
        <f aca="false">TableDE12b!E68</f>
        <v>0.0622618543222576</v>
      </c>
      <c r="C68" s="1760" t="n">
        <f aca="false">B68-F68</f>
        <v>0.0766635279346228</v>
      </c>
      <c r="D68" s="1741"/>
      <c r="E68" s="1791"/>
      <c r="F68" s="1762" t="n">
        <f aca="false">U68+K68</f>
        <v>-0.0144016736123652</v>
      </c>
      <c r="G68" s="1763" t="n">
        <f aca="false">TableDE12b!F68</f>
        <v>0.101291673449643</v>
      </c>
      <c r="H68" s="1764" t="n">
        <f aca="false">G68-K68</f>
        <v>0.084718278360761</v>
      </c>
      <c r="I68" s="1765"/>
      <c r="J68" s="1745"/>
      <c r="K68" s="978" t="n">
        <f aca="false">TableDE5c!F68</f>
        <v>0.016573395088882</v>
      </c>
      <c r="L68" s="1766" t="n">
        <f aca="false">DataDE1c!N91/DataDE1c!B91</f>
        <v>0.0819479473031757</v>
      </c>
      <c r="M68" s="1763"/>
      <c r="N68" s="1765"/>
      <c r="O68" s="1745"/>
      <c r="P68" s="978"/>
      <c r="Q68" s="1768" t="n">
        <f aca="false">TableDE12b!G68</f>
        <v>-0.0390298191273853</v>
      </c>
      <c r="R68" s="1769" t="n">
        <f aca="false">Q68-U68</f>
        <v>-0.00805475042613814</v>
      </c>
      <c r="S68" s="978"/>
      <c r="T68" s="978"/>
      <c r="U68" s="1770" t="n">
        <f aca="false">(DataDE1c!CO91-DataDE1c!CO90)/TableDE1!B68</f>
        <v>-0.0309750687012472</v>
      </c>
      <c r="V68" s="158"/>
      <c r="W68" s="158"/>
      <c r="X68" s="158"/>
      <c r="Y68" s="158"/>
      <c r="Z68" s="1771" t="n">
        <f aca="false">F68+C68-B68</f>
        <v>0</v>
      </c>
      <c r="AA68" s="1772" t="n">
        <f aca="false">G68-H68-K68</f>
        <v>0</v>
      </c>
      <c r="AC68" s="1002" t="n">
        <f aca="false">Q68-TableDE12b!G68</f>
        <v>0</v>
      </c>
      <c r="AF68" s="1678" t="n">
        <f aca="false">TableDE5a!G68+TableDE5c!E68-B68</f>
        <v>0</v>
      </c>
      <c r="AG68" s="1678" t="n">
        <f aca="false">TableDE5b!F68-TableDE12c!B68</f>
        <v>0</v>
      </c>
    </row>
    <row r="69" customFormat="false" ht="12" hidden="false" customHeight="true" outlineLevel="0" collapsed="false">
      <c r="A69" s="1671" t="n">
        <v>1929</v>
      </c>
      <c r="B69" s="1773" t="n">
        <f aca="false">TableDE12b!E69</f>
        <v>0.0458718737796153</v>
      </c>
      <c r="C69" s="1774" t="n">
        <f aca="false">B69-F69</f>
        <v>0.0685478177629806</v>
      </c>
      <c r="D69" s="1775"/>
      <c r="E69" s="1793"/>
      <c r="F69" s="1777" t="n">
        <f aca="false">U69+K69</f>
        <v>-0.0226759439833653</v>
      </c>
      <c r="G69" s="1778" t="n">
        <f aca="false">TableDE12b!F69</f>
        <v>0.0761627687680802</v>
      </c>
      <c r="H69" s="1779" t="n">
        <f aca="false">G69-K69</f>
        <v>0.0611805911770863</v>
      </c>
      <c r="I69" s="1780"/>
      <c r="J69" s="1781"/>
      <c r="K69" s="981" t="n">
        <f aca="false">TableDE5c!F69</f>
        <v>0.0149821775909939</v>
      </c>
      <c r="L69" s="1782" t="n">
        <f aca="false">DataDE1c!N92/DataDE1c!B92</f>
        <v>0.0851187644511825</v>
      </c>
      <c r="M69" s="1778"/>
      <c r="N69" s="1780"/>
      <c r="O69" s="1781"/>
      <c r="P69" s="981"/>
      <c r="Q69" s="1784" t="n">
        <f aca="false">TableDE12b!G69</f>
        <v>-0.0302908949884649</v>
      </c>
      <c r="R69" s="1785" t="n">
        <f aca="false">Q69-U69</f>
        <v>0.00736722658589427</v>
      </c>
      <c r="S69" s="981"/>
      <c r="T69" s="981"/>
      <c r="U69" s="1786" t="n">
        <f aca="false">(DataDE1c!CO92-DataDE1c!CO91)/TableDE1!B69</f>
        <v>-0.0376581215743592</v>
      </c>
      <c r="V69" s="158"/>
      <c r="W69" s="158"/>
      <c r="X69" s="158"/>
      <c r="Y69" s="158"/>
      <c r="Z69" s="1771" t="n">
        <f aca="false">F69+C69-B69</f>
        <v>0</v>
      </c>
      <c r="AA69" s="1772" t="n">
        <f aca="false">G69-H69-K69</f>
        <v>0</v>
      </c>
      <c r="AC69" s="1002" t="n">
        <f aca="false">Q69-TableDE12b!G69</f>
        <v>0</v>
      </c>
      <c r="AF69" s="1678" t="n">
        <f aca="false">TableDE5a!G69+TableDE5c!E69-B69</f>
        <v>0</v>
      </c>
      <c r="AG69" s="1678" t="n">
        <f aca="false">TableDE5b!F69-TableDE12c!B69</f>
        <v>0</v>
      </c>
    </row>
    <row r="70" customFormat="false" ht="12" hidden="false" customHeight="true" outlineLevel="0" collapsed="false">
      <c r="A70" s="1660" t="n">
        <v>1930</v>
      </c>
      <c r="B70" s="1759" t="n">
        <f aca="false">TableDE12b!E70</f>
        <v>0.0152024705750238</v>
      </c>
      <c r="C70" s="1760" t="n">
        <f aca="false">B70-F70</f>
        <v>0.0438203713706912</v>
      </c>
      <c r="D70" s="1741"/>
      <c r="E70" s="1791"/>
      <c r="F70" s="1762" t="n">
        <f aca="false">U70+K70</f>
        <v>-0.0286179007956675</v>
      </c>
      <c r="G70" s="1763" t="n">
        <f aca="false">TableDE12b!F70</f>
        <v>0.0233299964740286</v>
      </c>
      <c r="H70" s="1764" t="n">
        <f aca="false">G70-K70</f>
        <v>0.0139483827386112</v>
      </c>
      <c r="I70" s="1765"/>
      <c r="J70" s="1745"/>
      <c r="K70" s="978" t="n">
        <f aca="false">TableDE5c!F70</f>
        <v>0.00938161373541736</v>
      </c>
      <c r="L70" s="1766" t="n">
        <f aca="false">DataDE1c!N93/DataDE1c!B93</f>
        <v>0.0916811569033642</v>
      </c>
      <c r="M70" s="1763"/>
      <c r="N70" s="1765"/>
      <c r="O70" s="1745"/>
      <c r="P70" s="978"/>
      <c r="Q70" s="1768" t="n">
        <f aca="false">TableDE12b!G70</f>
        <v>-0.00812752589900479</v>
      </c>
      <c r="R70" s="1769" t="n">
        <f aca="false">Q70-U70</f>
        <v>0.02987198863208</v>
      </c>
      <c r="S70" s="978"/>
      <c r="T70" s="978"/>
      <c r="U70" s="1770" t="n">
        <f aca="false">(DataDE1c!CO93-DataDE1c!CO92)/TableDE1!B70</f>
        <v>-0.0379995145310848</v>
      </c>
      <c r="V70" s="158"/>
      <c r="W70" s="158"/>
      <c r="X70" s="158"/>
      <c r="Y70" s="158"/>
      <c r="Z70" s="1771" t="n">
        <f aca="false">F70+C70-B70</f>
        <v>0</v>
      </c>
      <c r="AA70" s="1772" t="n">
        <f aca="false">G70-H70-K70</f>
        <v>0</v>
      </c>
      <c r="AC70" s="1002" t="n">
        <f aca="false">Q70-TableDE12b!G70</f>
        <v>0</v>
      </c>
      <c r="AF70" s="1678" t="n">
        <f aca="false">TableDE5a!G70+TableDE5c!E70-B70</f>
        <v>0</v>
      </c>
      <c r="AG70" s="1678" t="n">
        <f aca="false">TableDE5b!F70-TableDE12c!B70</f>
        <v>0</v>
      </c>
    </row>
    <row r="71" customFormat="false" ht="12" hidden="false" customHeight="true" outlineLevel="0" collapsed="false">
      <c r="A71" s="1660" t="n">
        <v>1931</v>
      </c>
      <c r="B71" s="1759" t="n">
        <f aca="false">TableDE12b!E71</f>
        <v>-0.0327163688422254</v>
      </c>
      <c r="C71" s="1760" t="n">
        <f aca="false">B71-F71</f>
        <v>-0.0183789972290407</v>
      </c>
      <c r="D71" s="1741"/>
      <c r="E71" s="1791"/>
      <c r="F71" s="1762" t="n">
        <f aca="false">U71+K71</f>
        <v>-0.0143373716131847</v>
      </c>
      <c r="G71" s="1763" t="n">
        <f aca="false">TableDE12b!F71</f>
        <v>-0.0496022366317611</v>
      </c>
      <c r="H71" s="1764" t="n">
        <f aca="false">G71-K71</f>
        <v>-0.0498776352210592</v>
      </c>
      <c r="I71" s="1765"/>
      <c r="J71" s="1745"/>
      <c r="K71" s="978" t="n">
        <f aca="false">TableDE5c!F71</f>
        <v>0.000275398589298111</v>
      </c>
      <c r="L71" s="1766" t="n">
        <f aca="false">DataDE1c!N94/DataDE1c!B94</f>
        <v>0.103312285331553</v>
      </c>
      <c r="M71" s="1763"/>
      <c r="N71" s="1765"/>
      <c r="O71" s="1745"/>
      <c r="P71" s="978"/>
      <c r="Q71" s="1768" t="n">
        <f aca="false">TableDE12b!G71</f>
        <v>0.0168858677895357</v>
      </c>
      <c r="R71" s="1769" t="n">
        <f aca="false">Q71-U71</f>
        <v>0.0314986379920185</v>
      </c>
      <c r="S71" s="978"/>
      <c r="T71" s="978"/>
      <c r="U71" s="1770" t="n">
        <f aca="false">(DataDE1c!CO94-DataDE1c!CO93)/TableDE1!B71</f>
        <v>-0.0146127702024828</v>
      </c>
      <c r="V71" s="158"/>
      <c r="W71" s="158"/>
      <c r="X71" s="158"/>
      <c r="Y71" s="158"/>
      <c r="Z71" s="1771" t="n">
        <f aca="false">F71+C71-B71</f>
        <v>0</v>
      </c>
      <c r="AA71" s="1772" t="n">
        <f aca="false">G71-H71-K71</f>
        <v>2.49366499671666E-018</v>
      </c>
      <c r="AC71" s="1002" t="n">
        <f aca="false">Q71-TableDE12b!G71</f>
        <v>0</v>
      </c>
      <c r="AF71" s="1678" t="n">
        <f aca="false">TableDE5a!G71+TableDE5c!E71-B71</f>
        <v>0</v>
      </c>
      <c r="AG71" s="1678" t="n">
        <f aca="false">TableDE5b!F71-TableDE12c!B71</f>
        <v>0</v>
      </c>
    </row>
    <row r="72" customFormat="false" ht="12" hidden="false" customHeight="true" outlineLevel="0" collapsed="false">
      <c r="A72" s="1660" t="n">
        <v>1932</v>
      </c>
      <c r="B72" s="1759" t="n">
        <f aca="false">TableDE12b!E72</f>
        <v>-0.0576264486516479</v>
      </c>
      <c r="C72" s="1760" t="n">
        <f aca="false">B72-F72</f>
        <v>-0.0439601724371703</v>
      </c>
      <c r="D72" s="1741"/>
      <c r="E72" s="1791"/>
      <c r="F72" s="1762" t="n">
        <f aca="false">U72+K72</f>
        <v>-0.0136662762144776</v>
      </c>
      <c r="G72" s="1763" t="n">
        <f aca="false">TableDE12b!F72</f>
        <v>-0.0627957321781657</v>
      </c>
      <c r="H72" s="1764" t="n">
        <f aca="false">G72-K72</f>
        <v>-0.0544445655819073</v>
      </c>
      <c r="I72" s="1765"/>
      <c r="J72" s="1745"/>
      <c r="K72" s="978" t="n">
        <f aca="false">TableDE5c!F72</f>
        <v>-0.0083511665962584</v>
      </c>
      <c r="L72" s="1766" t="n">
        <f aca="false">DataDE1c!N95/DataDE1c!B95</f>
        <v>0.117203949840542</v>
      </c>
      <c r="M72" s="1763"/>
      <c r="N72" s="1765"/>
      <c r="O72" s="1745"/>
      <c r="P72" s="978"/>
      <c r="Q72" s="1768" t="n">
        <f aca="false">TableDE12b!G72</f>
        <v>0.00516928352651781</v>
      </c>
      <c r="R72" s="1769" t="n">
        <f aca="false">Q72-U72</f>
        <v>0.010484393144737</v>
      </c>
      <c r="S72" s="978"/>
      <c r="T72" s="978"/>
      <c r="U72" s="1770" t="n">
        <f aca="false">(DataDE1c!CO95-DataDE1c!CO94)/TableDE1!B72</f>
        <v>-0.0053151096182192</v>
      </c>
      <c r="V72" s="158"/>
      <c r="W72" s="158"/>
      <c r="X72" s="158"/>
      <c r="Y72" s="158"/>
      <c r="Z72" s="1771" t="n">
        <f aca="false">F72+C72-B72</f>
        <v>0</v>
      </c>
      <c r="AA72" s="1772" t="n">
        <f aca="false">G72-H72-K72</f>
        <v>0</v>
      </c>
      <c r="AC72" s="1002" t="n">
        <f aca="false">Q72-TableDE12b!G72</f>
        <v>0</v>
      </c>
      <c r="AF72" s="1678" t="n">
        <f aca="false">TableDE5a!G72+TableDE5c!E72-B72</f>
        <v>0</v>
      </c>
      <c r="AG72" s="1678" t="n">
        <f aca="false">TableDE5b!F72-TableDE12c!B72</f>
        <v>0</v>
      </c>
    </row>
    <row r="73" customFormat="false" ht="12" hidden="false" customHeight="true" outlineLevel="0" collapsed="false">
      <c r="A73" s="1660" t="n">
        <v>1933</v>
      </c>
      <c r="B73" s="1759" t="n">
        <f aca="false">TableDE12b!E73</f>
        <v>-0.00353454874731658</v>
      </c>
      <c r="C73" s="1760" t="n">
        <f aca="false">B73-F73</f>
        <v>0.00313040927093877</v>
      </c>
      <c r="D73" s="1741"/>
      <c r="E73" s="1791"/>
      <c r="F73" s="1762" t="n">
        <f aca="false">U73+K73</f>
        <v>-0.00666495801825535</v>
      </c>
      <c r="G73" s="1763" t="n">
        <f aca="false">TableDE12b!F73</f>
        <v>-0.00611223070668559</v>
      </c>
      <c r="H73" s="1764" t="n">
        <f aca="false">G73-K73</f>
        <v>-0.00200054478075974</v>
      </c>
      <c r="I73" s="1765"/>
      <c r="J73" s="1745"/>
      <c r="K73" s="978" t="n">
        <f aca="false">TableDE5c!F73</f>
        <v>-0.00411168592592584</v>
      </c>
      <c r="L73" s="1766" t="n">
        <f aca="false">DataDE1c!N96/DataDE1c!B96</f>
        <v>0.11359375725492</v>
      </c>
      <c r="M73" s="1763"/>
      <c r="N73" s="1765"/>
      <c r="O73" s="1745"/>
      <c r="P73" s="978"/>
      <c r="Q73" s="1768" t="n">
        <f aca="false">TableDE12b!G73</f>
        <v>0.00257768195936901</v>
      </c>
      <c r="R73" s="1769" t="n">
        <f aca="false">Q73-U73</f>
        <v>0.00513095405169851</v>
      </c>
      <c r="S73" s="978"/>
      <c r="T73" s="978"/>
      <c r="U73" s="1770" t="n">
        <f aca="false">(DataDE1c!CO96-DataDE1c!CO95)/TableDE1!B73</f>
        <v>-0.00255327209232951</v>
      </c>
      <c r="V73" s="158"/>
      <c r="W73" s="158"/>
      <c r="X73" s="158"/>
      <c r="Y73" s="158"/>
      <c r="Z73" s="1771" t="n">
        <f aca="false">F73+C73-B73</f>
        <v>0</v>
      </c>
      <c r="AA73" s="1772" t="n">
        <f aca="false">G73-H73-K73</f>
        <v>0</v>
      </c>
      <c r="AC73" s="1002" t="n">
        <f aca="false">Q73-TableDE12b!G73</f>
        <v>0</v>
      </c>
      <c r="AF73" s="1678" t="n">
        <f aca="false">TableDE5a!G73+TableDE5c!E73-B73</f>
        <v>0</v>
      </c>
      <c r="AG73" s="1678" t="n">
        <f aca="false">TableDE5b!F73-TableDE12c!B73</f>
        <v>0</v>
      </c>
    </row>
    <row r="74" customFormat="false" ht="12" hidden="false" customHeight="true" outlineLevel="0" collapsed="false">
      <c r="A74" s="1660" t="n">
        <v>1934</v>
      </c>
      <c r="B74" s="1759" t="n">
        <f aca="false">TableDE12b!E74</f>
        <v>0.0494941304795976</v>
      </c>
      <c r="C74" s="1760" t="n">
        <f aca="false">B74-F74</f>
        <v>0.0426501283581031</v>
      </c>
      <c r="D74" s="1741"/>
      <c r="E74" s="1791"/>
      <c r="F74" s="1762" t="n">
        <f aca="false">U74+K74</f>
        <v>0.00684400212149451</v>
      </c>
      <c r="G74" s="1763" t="n">
        <f aca="false">TableDE12b!F74</f>
        <v>0.058712779128396</v>
      </c>
      <c r="H74" s="1764" t="n">
        <f aca="false">G74-K74</f>
        <v>0.044108884558147</v>
      </c>
      <c r="I74" s="1765"/>
      <c r="J74" s="1745"/>
      <c r="K74" s="978" t="n">
        <f aca="false">TableDE5c!F74</f>
        <v>0.0146038945702491</v>
      </c>
      <c r="L74" s="1766" t="n">
        <f aca="false">DataDE1c!N97/DataDE1c!B97</f>
        <v>0.100611019335575</v>
      </c>
      <c r="M74" s="1763"/>
      <c r="N74" s="1765"/>
      <c r="O74" s="1745"/>
      <c r="P74" s="978"/>
      <c r="Q74" s="1768" t="n">
        <f aca="false">TableDE12b!G74</f>
        <v>-0.00921864864879844</v>
      </c>
      <c r="R74" s="1769" t="n">
        <f aca="false">Q74-U74</f>
        <v>-0.00145875620004388</v>
      </c>
      <c r="S74" s="978"/>
      <c r="T74" s="978"/>
      <c r="U74" s="1770" t="n">
        <f aca="false">(DataDE1c!CO97-DataDE1c!CO96)/TableDE1!B74</f>
        <v>-0.00775989244875456</v>
      </c>
      <c r="V74" s="158"/>
      <c r="W74" s="158"/>
      <c r="X74" s="158"/>
      <c r="Y74" s="158"/>
      <c r="Z74" s="1771" t="n">
        <f aca="false">F74+C74-B74</f>
        <v>0</v>
      </c>
      <c r="AA74" s="1772" t="n">
        <f aca="false">G74-H74-K74</f>
        <v>0</v>
      </c>
      <c r="AC74" s="1002" t="n">
        <f aca="false">Q74-TableDE12b!G74</f>
        <v>0</v>
      </c>
      <c r="AF74" s="1678" t="n">
        <f aca="false">TableDE5a!G74+TableDE5c!E74-B74</f>
        <v>0</v>
      </c>
      <c r="AG74" s="1678" t="n">
        <f aca="false">TableDE5b!F74-TableDE12c!B74</f>
        <v>0</v>
      </c>
    </row>
    <row r="75" customFormat="false" ht="12" hidden="false" customHeight="true" outlineLevel="0" collapsed="false">
      <c r="A75" s="1660" t="n">
        <v>1935</v>
      </c>
      <c r="B75" s="1759" t="n">
        <f aca="false">TableDE12b!E75</f>
        <v>0.0977358491975398</v>
      </c>
      <c r="C75" s="1760" t="n">
        <f aca="false">B75-F75</f>
        <v>0.0847406430824484</v>
      </c>
      <c r="D75" s="1741"/>
      <c r="E75" s="1791"/>
      <c r="F75" s="1762" t="n">
        <f aca="false">U75+K75</f>
        <v>0.0129952061150913</v>
      </c>
      <c r="G75" s="1763" t="n">
        <f aca="false">TableDE12b!F75</f>
        <v>0.0993871575607384</v>
      </c>
      <c r="H75" s="1764" t="n">
        <f aca="false">G75-K75</f>
        <v>0.0654882395021657</v>
      </c>
      <c r="I75" s="1765"/>
      <c r="J75" s="1745"/>
      <c r="K75" s="978" t="n">
        <f aca="false">TableDE5c!F75</f>
        <v>0.0338989180585727</v>
      </c>
      <c r="L75" s="1766" t="n">
        <f aca="false">DataDE1c!N98/DataDE1c!B98</f>
        <v>0.098769846023094</v>
      </c>
      <c r="M75" s="1763"/>
      <c r="N75" s="1765"/>
      <c r="O75" s="1745"/>
      <c r="P75" s="978"/>
      <c r="Q75" s="1768" t="n">
        <f aca="false">TableDE12b!G75</f>
        <v>-0.00165130836319859</v>
      </c>
      <c r="R75" s="1769" t="n">
        <f aca="false">Q75-U75</f>
        <v>0.0192524035802828</v>
      </c>
      <c r="S75" s="978"/>
      <c r="T75" s="978"/>
      <c r="U75" s="1770" t="n">
        <f aca="false">(DataDE1c!CO98-DataDE1c!CO97)/TableDE1!B75</f>
        <v>-0.0209037119434814</v>
      </c>
      <c r="V75" s="158"/>
      <c r="W75" s="158"/>
      <c r="X75" s="158"/>
      <c r="Y75" s="158"/>
      <c r="Z75" s="1771" t="n">
        <f aca="false">F75+C75-B75</f>
        <v>0</v>
      </c>
      <c r="AA75" s="1772" t="n">
        <f aca="false">G75-H75-K75</f>
        <v>0</v>
      </c>
      <c r="AC75" s="1002" t="n">
        <f aca="false">Q75-TableDE12b!G75</f>
        <v>0</v>
      </c>
      <c r="AF75" s="1678" t="n">
        <f aca="false">TableDE5a!G75+TableDE5c!E75-B75</f>
        <v>0</v>
      </c>
      <c r="AG75" s="1678" t="n">
        <f aca="false">TableDE5b!F75-TableDE12c!B75</f>
        <v>0</v>
      </c>
    </row>
    <row r="76" customFormat="false" ht="12" hidden="false" customHeight="true" outlineLevel="0" collapsed="false">
      <c r="A76" s="1660" t="n">
        <v>1936</v>
      </c>
      <c r="B76" s="1759" t="n">
        <f aca="false">TableDE12b!E76</f>
        <v>0.122417159593455</v>
      </c>
      <c r="C76" s="1760" t="n">
        <f aca="false">B76-F76</f>
        <v>0.102604984068492</v>
      </c>
      <c r="D76" s="1741"/>
      <c r="E76" s="1791"/>
      <c r="F76" s="1762" t="n">
        <f aca="false">U76+K76</f>
        <v>0.0198121755249621</v>
      </c>
      <c r="G76" s="1763" t="n">
        <f aca="false">TableDE12b!F76</f>
        <v>0.113895761387459</v>
      </c>
      <c r="H76" s="1764" t="n">
        <f aca="false">G76-K76</f>
        <v>0.0770269335184622</v>
      </c>
      <c r="I76" s="1765"/>
      <c r="J76" s="1745"/>
      <c r="K76" s="978" t="n">
        <f aca="false">TableDE5c!F76</f>
        <v>0.0368688278689964</v>
      </c>
      <c r="L76" s="1766" t="n">
        <f aca="false">DataDE1c!N99/DataDE1c!B99</f>
        <v>0.0969915242958893</v>
      </c>
      <c r="M76" s="1763"/>
      <c r="N76" s="1765"/>
      <c r="O76" s="1745"/>
      <c r="P76" s="978"/>
      <c r="Q76" s="1768" t="n">
        <f aca="false">TableDE12b!G76</f>
        <v>0.00852139820599598</v>
      </c>
      <c r="R76" s="1769" t="n">
        <f aca="false">Q76-U76</f>
        <v>0.0255780505500303</v>
      </c>
      <c r="S76" s="978"/>
      <c r="T76" s="978"/>
      <c r="U76" s="1770" t="n">
        <f aca="false">(DataDE1c!CO99-DataDE1c!CO98)/TableDE1!B76</f>
        <v>-0.0170566523440343</v>
      </c>
      <c r="V76" s="158"/>
      <c r="W76" s="158"/>
      <c r="X76" s="158"/>
      <c r="Y76" s="158"/>
      <c r="Z76" s="1771" t="n">
        <f aca="false">F76+C76-B76</f>
        <v>0</v>
      </c>
      <c r="AA76" s="1772" t="n">
        <f aca="false">G76-H76-K76</f>
        <v>0</v>
      </c>
      <c r="AC76" s="1002" t="n">
        <f aca="false">Q76-TableDE12b!G76</f>
        <v>0</v>
      </c>
      <c r="AF76" s="1678" t="n">
        <f aca="false">TableDE5a!G76+TableDE5c!E76-B76</f>
        <v>0</v>
      </c>
      <c r="AG76" s="1678" t="n">
        <f aca="false">TableDE5b!F76-TableDE12c!B76</f>
        <v>0</v>
      </c>
    </row>
    <row r="77" customFormat="false" ht="12" hidden="false" customHeight="true" outlineLevel="0" collapsed="false">
      <c r="A77" s="1660" t="n">
        <v>1937</v>
      </c>
      <c r="B77" s="1759" t="n">
        <f aca="false">TableDE12b!E77</f>
        <v>0.128653933063967</v>
      </c>
      <c r="C77" s="1760" t="n">
        <f aca="false">B77-F77</f>
        <v>0.114186675780958</v>
      </c>
      <c r="D77" s="1741"/>
      <c r="E77" s="1791"/>
      <c r="F77" s="1762" t="n">
        <f aca="false">U77+K77</f>
        <v>0.0144672572830091</v>
      </c>
      <c r="G77" s="1763" t="n">
        <f aca="false">TableDE12b!F77</f>
        <v>0.12546498018201</v>
      </c>
      <c r="H77" s="1764" t="n">
        <f aca="false">G77-K77</f>
        <v>0.0850951760827199</v>
      </c>
      <c r="I77" s="1765"/>
      <c r="J77" s="1745"/>
      <c r="K77" s="978" t="n">
        <f aca="false">TableDE5c!F77</f>
        <v>0.04036980409929</v>
      </c>
      <c r="L77" s="1766" t="n">
        <f aca="false">DataDE1c!N100/DataDE1c!B100</f>
        <v>0.0911129394844822</v>
      </c>
      <c r="M77" s="1763"/>
      <c r="N77" s="1765"/>
      <c r="O77" s="1745"/>
      <c r="P77" s="978"/>
      <c r="Q77" s="1768" t="n">
        <f aca="false">TableDE12b!G77</f>
        <v>0.00318895288195686</v>
      </c>
      <c r="R77" s="1769" t="n">
        <f aca="false">Q77-U77</f>
        <v>0.0290914996982377</v>
      </c>
      <c r="S77" s="978"/>
      <c r="T77" s="978"/>
      <c r="U77" s="1770" t="n">
        <f aca="false">(DataDE1c!CO100-DataDE1c!CO99)/TableDE1!B77</f>
        <v>-0.0259025468162809</v>
      </c>
      <c r="V77" s="158"/>
      <c r="W77" s="158"/>
      <c r="X77" s="158"/>
      <c r="Y77" s="158"/>
      <c r="Z77" s="1771" t="n">
        <f aca="false">F77+C77-B77</f>
        <v>0</v>
      </c>
      <c r="AA77" s="1772" t="n">
        <f aca="false">G77-H77-K77</f>
        <v>0</v>
      </c>
      <c r="AC77" s="1002" t="n">
        <f aca="false">Q77-TableDE12b!G77</f>
        <v>0</v>
      </c>
      <c r="AF77" s="1678" t="n">
        <f aca="false">TableDE5a!G77+TableDE5c!E77-B77</f>
        <v>0</v>
      </c>
      <c r="AG77" s="1678" t="n">
        <f aca="false">TableDE5b!F77-TableDE12c!B77</f>
        <v>0</v>
      </c>
    </row>
    <row r="78" customFormat="false" ht="12" hidden="false" customHeight="true" outlineLevel="0" collapsed="false">
      <c r="A78" s="1660" t="n">
        <v>1938</v>
      </c>
      <c r="B78" s="1759" t="n">
        <f aca="false">TableDE12b!E78</f>
        <v>0.136427754826469</v>
      </c>
      <c r="C78" s="1760" t="n">
        <f aca="false">B78-F78</f>
        <v>0.182148297482014</v>
      </c>
      <c r="D78" s="1741"/>
      <c r="E78" s="1791"/>
      <c r="F78" s="1762" t="n">
        <f aca="false">U78+K78</f>
        <v>-0.0457205426555444</v>
      </c>
      <c r="G78" s="1763" t="n">
        <f aca="false">TableDE12b!F78</f>
        <v>0.142653013552024</v>
      </c>
      <c r="H78" s="1764" t="n">
        <f aca="false">G78-K78</f>
        <v>0.09143384933061</v>
      </c>
      <c r="I78" s="1765"/>
      <c r="J78" s="1745"/>
      <c r="K78" s="978" t="n">
        <f aca="false">TableDE5c!F78</f>
        <v>0.0512191642214142</v>
      </c>
      <c r="L78" s="1766" t="n">
        <f aca="false">DataDE1c!N101/DataDE1c!B101</f>
        <v>0.0857897845571156</v>
      </c>
      <c r="M78" s="1763"/>
      <c r="N78" s="1765"/>
      <c r="O78" s="1745"/>
      <c r="P78" s="978"/>
      <c r="Q78" s="1768" t="n">
        <f aca="false">TableDE12b!G78</f>
        <v>-0.00622525872555479</v>
      </c>
      <c r="R78" s="1769" t="n">
        <f aca="false">Q78-U78</f>
        <v>0.0907144481514038</v>
      </c>
      <c r="S78" s="978"/>
      <c r="T78" s="978"/>
      <c r="U78" s="1770" t="n">
        <f aca="false">(DataDE1c!CO101-DataDE1c!CO100)/TableDE1!B78</f>
        <v>-0.0969397068769586</v>
      </c>
      <c r="V78" s="158"/>
      <c r="W78" s="158"/>
      <c r="X78" s="158"/>
      <c r="Y78" s="158"/>
      <c r="Z78" s="1771" t="n">
        <f aca="false">F78+C78-B78</f>
        <v>0</v>
      </c>
      <c r="AA78" s="1772" t="n">
        <f aca="false">G78-H78-K78</f>
        <v>0</v>
      </c>
      <c r="AC78" s="1002" t="n">
        <f aca="false">Q78-TableDE12b!G78</f>
        <v>0</v>
      </c>
      <c r="AF78" s="1678" t="n">
        <f aca="false">TableDE5a!G78+TableDE5c!E78-B78</f>
        <v>0</v>
      </c>
      <c r="AG78" s="1678" t="n">
        <f aca="false">TableDE5b!F78-TableDE12c!B78</f>
        <v>0</v>
      </c>
    </row>
    <row r="79" customFormat="false" ht="12" hidden="false" customHeight="true" outlineLevel="0" collapsed="false">
      <c r="A79" s="1671" t="n">
        <v>1939</v>
      </c>
      <c r="B79" s="1789" t="n">
        <f aca="false">TableDE12b!E79</f>
        <v>-0.05</v>
      </c>
      <c r="C79" s="1794" t="n">
        <f aca="false">B79-F79</f>
        <v>0.0529535835739049</v>
      </c>
      <c r="D79" s="1775"/>
      <c r="E79" s="1793"/>
      <c r="F79" s="1795" t="n">
        <f aca="false">U79+K79</f>
        <v>-0.102953583573905</v>
      </c>
      <c r="G79" s="124" t="n">
        <f aca="false">TableDE12b!F79</f>
        <v>0</v>
      </c>
      <c r="H79" s="1779" t="n">
        <f aca="false">G79-K79</f>
        <v>-0.0147515</v>
      </c>
      <c r="I79" s="1780"/>
      <c r="J79" s="1781"/>
      <c r="K79" s="981" t="n">
        <f aca="false">TableDE5c!F79</f>
        <v>0.0147515</v>
      </c>
      <c r="L79" s="1790"/>
      <c r="M79" s="1783"/>
      <c r="N79" s="1780"/>
      <c r="O79" s="1781"/>
      <c r="P79" s="1781"/>
      <c r="Q79" s="1784" t="n">
        <f aca="false">TableDE12b!G79</f>
        <v>-0.05</v>
      </c>
      <c r="R79" s="1785" t="n">
        <f aca="false">Q79-U79</f>
        <v>0.0677050835739049</v>
      </c>
      <c r="S79" s="1781"/>
      <c r="T79" s="981"/>
      <c r="U79" s="1786" t="n">
        <f aca="false">(DataDE1c!CO102-DataDE1c!CO101)/TableDE1!B79</f>
        <v>-0.117705083573905</v>
      </c>
      <c r="V79" s="158"/>
      <c r="W79" s="158"/>
      <c r="X79" s="158"/>
      <c r="Y79" s="158"/>
      <c r="Z79" s="1771" t="n">
        <f aca="false">F79+C79-B79</f>
        <v>0</v>
      </c>
      <c r="AA79" s="1772" t="n">
        <f aca="false">G79-H79-K79</f>
        <v>0</v>
      </c>
      <c r="AC79" s="1002" t="n">
        <f aca="false">Q79-TableDE12b!G79</f>
        <v>0</v>
      </c>
      <c r="AF79" s="1678" t="n">
        <f aca="false">TableDE5a!G79+TableDE5c!E79-B79</f>
        <v>0</v>
      </c>
      <c r="AG79" s="1678" t="n">
        <f aca="false">TableDE5b!F79-TableDE12c!B79</f>
        <v>0</v>
      </c>
    </row>
    <row r="80" customFormat="false" ht="12" hidden="false" customHeight="true" outlineLevel="0" collapsed="false">
      <c r="A80" s="1660" t="n">
        <v>1940</v>
      </c>
      <c r="B80" s="1787" t="n">
        <f aca="false">TableDE12b!E80</f>
        <v>-0.05</v>
      </c>
      <c r="C80" s="1796" t="n">
        <f aca="false">B80-F80</f>
        <v>0.118674103224221</v>
      </c>
      <c r="D80" s="1741"/>
      <c r="E80" s="1791"/>
      <c r="F80" s="1797" t="n">
        <f aca="false">U80+K80</f>
        <v>-0.168674103224222</v>
      </c>
      <c r="G80" s="112" t="n">
        <f aca="false">TableDE12b!F80</f>
        <v>0</v>
      </c>
      <c r="H80" s="1764" t="n">
        <f aca="false">G80-K80</f>
        <v>-0.0147515</v>
      </c>
      <c r="I80" s="1765"/>
      <c r="J80" s="1745"/>
      <c r="K80" s="978" t="n">
        <f aca="false">TableDE5c!F80</f>
        <v>0.0147515</v>
      </c>
      <c r="L80" s="1788"/>
      <c r="M80" s="1767"/>
      <c r="N80" s="1765"/>
      <c r="O80" s="1745"/>
      <c r="P80" s="1745"/>
      <c r="Q80" s="1768" t="n">
        <f aca="false">TableDE12b!G80</f>
        <v>-0.05</v>
      </c>
      <c r="R80" s="1769" t="n">
        <f aca="false">Q80-U80</f>
        <v>0.133425603224221</v>
      </c>
      <c r="S80" s="1745"/>
      <c r="T80" s="978"/>
      <c r="U80" s="1770" t="n">
        <f aca="false">(DataDE1c!CO103-DataDE1c!CO102)/TableDE1!B80</f>
        <v>-0.183425603224222</v>
      </c>
      <c r="V80" s="158"/>
      <c r="W80" s="158"/>
      <c r="X80" s="158"/>
      <c r="Y80" s="158"/>
      <c r="Z80" s="1771" t="n">
        <f aca="false">F80+C80-B80</f>
        <v>0</v>
      </c>
      <c r="AA80" s="1772" t="n">
        <f aca="false">G80-H80-K80</f>
        <v>0</v>
      </c>
      <c r="AC80" s="1002" t="n">
        <f aca="false">Q80-TableDE12b!G80</f>
        <v>0</v>
      </c>
      <c r="AF80" s="1678" t="n">
        <f aca="false">TableDE5a!G80+TableDE5c!E80-B80</f>
        <v>0</v>
      </c>
      <c r="AG80" s="1678" t="n">
        <f aca="false">TableDE5b!F80-TableDE12c!B80</f>
        <v>0</v>
      </c>
    </row>
    <row r="81" customFormat="false" ht="12" hidden="false" customHeight="true" outlineLevel="0" collapsed="false">
      <c r="A81" s="1660" t="n">
        <v>1941</v>
      </c>
      <c r="B81" s="1787" t="n">
        <f aca="false">TableDE12b!E81</f>
        <v>-0.05</v>
      </c>
      <c r="C81" s="1796" t="n">
        <f aca="false">B81-F81</f>
        <v>0.198125145380181</v>
      </c>
      <c r="D81" s="1741"/>
      <c r="E81" s="1791"/>
      <c r="F81" s="1797" t="n">
        <f aca="false">U81+K81</f>
        <v>-0.248125145380181</v>
      </c>
      <c r="G81" s="112" t="n">
        <f aca="false">TableDE12b!F81</f>
        <v>0</v>
      </c>
      <c r="H81" s="1764" t="n">
        <f aca="false">G81-K81</f>
        <v>-0.0147515</v>
      </c>
      <c r="I81" s="1765"/>
      <c r="J81" s="1745"/>
      <c r="K81" s="978" t="n">
        <f aca="false">TableDE5c!F81</f>
        <v>0.0147515</v>
      </c>
      <c r="L81" s="1788"/>
      <c r="M81" s="1767"/>
      <c r="N81" s="1765"/>
      <c r="O81" s="1745"/>
      <c r="P81" s="1745"/>
      <c r="Q81" s="1768" t="n">
        <f aca="false">TableDE12b!G81</f>
        <v>-0.05</v>
      </c>
      <c r="R81" s="1769" t="n">
        <f aca="false">Q81-U81</f>
        <v>0.212876645380181</v>
      </c>
      <c r="S81" s="1745"/>
      <c r="T81" s="978"/>
      <c r="U81" s="1770" t="n">
        <f aca="false">(DataDE1c!CO104-DataDE1c!CO103)/TableDE1!B81</f>
        <v>-0.262876645380181</v>
      </c>
      <c r="V81" s="158"/>
      <c r="W81" s="158"/>
      <c r="X81" s="158"/>
      <c r="Y81" s="158"/>
      <c r="Z81" s="1771" t="n">
        <f aca="false">F81+C81-B81</f>
        <v>0</v>
      </c>
      <c r="AA81" s="1772" t="n">
        <f aca="false">G81-H81-K81</f>
        <v>0</v>
      </c>
      <c r="AC81" s="1002" t="n">
        <f aca="false">Q81-TableDE12b!G81</f>
        <v>0</v>
      </c>
      <c r="AF81" s="1678" t="n">
        <f aca="false">TableDE5a!G81+TableDE5c!E81-B81</f>
        <v>0</v>
      </c>
      <c r="AG81" s="1678" t="n">
        <f aca="false">TableDE5b!F81-TableDE12c!B81</f>
        <v>0</v>
      </c>
    </row>
    <row r="82" customFormat="false" ht="12" hidden="false" customHeight="true" outlineLevel="0" collapsed="false">
      <c r="A82" s="1660" t="n">
        <v>1942</v>
      </c>
      <c r="B82" s="1787" t="n">
        <f aca="false">TableDE12b!E82</f>
        <v>-0.05</v>
      </c>
      <c r="C82" s="1796" t="n">
        <f aca="false">B82-F82</f>
        <v>0.242349666350638</v>
      </c>
      <c r="D82" s="1741"/>
      <c r="E82" s="1791"/>
      <c r="F82" s="1797" t="n">
        <f aca="false">U82+K82</f>
        <v>-0.292349666350638</v>
      </c>
      <c r="G82" s="112" t="n">
        <f aca="false">TableDE12b!F82</f>
        <v>0</v>
      </c>
      <c r="H82" s="1764" t="n">
        <f aca="false">G82-K82</f>
        <v>-0.0147515</v>
      </c>
      <c r="I82" s="1765"/>
      <c r="J82" s="1745"/>
      <c r="K82" s="978" t="n">
        <f aca="false">TableDE5c!F82</f>
        <v>0.0147515</v>
      </c>
      <c r="L82" s="1788"/>
      <c r="M82" s="1767"/>
      <c r="N82" s="1765"/>
      <c r="O82" s="1745"/>
      <c r="P82" s="1745"/>
      <c r="Q82" s="1768" t="n">
        <f aca="false">TableDE12b!G82</f>
        <v>-0.05</v>
      </c>
      <c r="R82" s="1769" t="n">
        <f aca="false">Q82-U82</f>
        <v>0.257101166350638</v>
      </c>
      <c r="S82" s="1745"/>
      <c r="T82" s="978"/>
      <c r="U82" s="1770" t="n">
        <f aca="false">(DataDE1c!CO105-DataDE1c!CO104)/TableDE1!B82</f>
        <v>-0.307101166350638</v>
      </c>
      <c r="V82" s="158"/>
      <c r="W82" s="158"/>
      <c r="X82" s="158"/>
      <c r="Y82" s="158"/>
      <c r="Z82" s="1771" t="n">
        <f aca="false">F82+C82-B82</f>
        <v>0</v>
      </c>
      <c r="AA82" s="1772" t="n">
        <f aca="false">G82-H82-K82</f>
        <v>0</v>
      </c>
      <c r="AC82" s="1002" t="n">
        <f aca="false">Q82-TableDE12b!G82</f>
        <v>0</v>
      </c>
      <c r="AF82" s="1678" t="n">
        <f aca="false">TableDE5a!G82+TableDE5c!E82-B82</f>
        <v>0</v>
      </c>
      <c r="AG82" s="1678" t="n">
        <f aca="false">TableDE5b!F82-TableDE12c!B82</f>
        <v>0</v>
      </c>
    </row>
    <row r="83" customFormat="false" ht="12" hidden="false" customHeight="true" outlineLevel="0" collapsed="false">
      <c r="A83" s="1660" t="n">
        <v>1943</v>
      </c>
      <c r="B83" s="1787" t="n">
        <f aca="false">TableDE12b!E83</f>
        <v>-0.05</v>
      </c>
      <c r="C83" s="1796" t="n">
        <f aca="false">B83-F83</f>
        <v>0.301358832544919</v>
      </c>
      <c r="D83" s="1741"/>
      <c r="E83" s="1791"/>
      <c r="F83" s="1797" t="n">
        <f aca="false">U83+K83</f>
        <v>-0.351358832544919</v>
      </c>
      <c r="G83" s="112" t="n">
        <f aca="false">TableDE12b!F83</f>
        <v>0</v>
      </c>
      <c r="H83" s="1764" t="n">
        <f aca="false">G83-K83</f>
        <v>-0.0147515</v>
      </c>
      <c r="I83" s="1765"/>
      <c r="J83" s="1745"/>
      <c r="K83" s="978" t="n">
        <f aca="false">TableDE5c!F83</f>
        <v>0.0147515</v>
      </c>
      <c r="L83" s="1788"/>
      <c r="M83" s="1767"/>
      <c r="N83" s="1765"/>
      <c r="O83" s="1745"/>
      <c r="P83" s="1745"/>
      <c r="Q83" s="1768" t="n">
        <f aca="false">TableDE12b!G83</f>
        <v>-0.05</v>
      </c>
      <c r="R83" s="1769" t="n">
        <f aca="false">Q83-U83</f>
        <v>0.316110332544919</v>
      </c>
      <c r="S83" s="1745"/>
      <c r="T83" s="978"/>
      <c r="U83" s="1770" t="n">
        <f aca="false">(DataDE1c!CO106-DataDE1c!CO105)/TableDE1!B83</f>
        <v>-0.366110332544919</v>
      </c>
      <c r="V83" s="158"/>
      <c r="W83" s="158"/>
      <c r="X83" s="158"/>
      <c r="Y83" s="158"/>
      <c r="Z83" s="1771" t="n">
        <f aca="false">F83+C83-B83</f>
        <v>0</v>
      </c>
      <c r="AA83" s="1772" t="n">
        <f aca="false">G83-H83-K83</f>
        <v>0</v>
      </c>
      <c r="AC83" s="1002" t="n">
        <f aca="false">Q83-TableDE12b!G83</f>
        <v>0</v>
      </c>
      <c r="AF83" s="1678" t="n">
        <f aca="false">TableDE5a!G83+TableDE5c!E83-B83</f>
        <v>0</v>
      </c>
      <c r="AG83" s="1678" t="n">
        <f aca="false">TableDE5b!F83-TableDE12c!B83</f>
        <v>0</v>
      </c>
    </row>
    <row r="84" customFormat="false" ht="12" hidden="false" customHeight="true" outlineLevel="0" collapsed="false">
      <c r="A84" s="1660" t="n">
        <v>1944</v>
      </c>
      <c r="B84" s="1787" t="n">
        <f aca="false">TableDE12b!E84</f>
        <v>-0.05</v>
      </c>
      <c r="C84" s="1796" t="n">
        <f aca="false">B84-F84</f>
        <v>-0.0647515</v>
      </c>
      <c r="D84" s="1741"/>
      <c r="E84" s="1791"/>
      <c r="F84" s="1797" t="n">
        <f aca="false">U84+K84</f>
        <v>0.0147515</v>
      </c>
      <c r="G84" s="112" t="n">
        <f aca="false">TableDE12b!F84</f>
        <v>0</v>
      </c>
      <c r="H84" s="1764" t="n">
        <f aca="false">G84-K84</f>
        <v>-0.0147515</v>
      </c>
      <c r="I84" s="1765"/>
      <c r="J84" s="1745"/>
      <c r="K84" s="978" t="n">
        <f aca="false">TableDE5c!F84</f>
        <v>0.0147515</v>
      </c>
      <c r="L84" s="1788"/>
      <c r="M84" s="1767"/>
      <c r="N84" s="1765"/>
      <c r="O84" s="1745"/>
      <c r="P84" s="1745"/>
      <c r="Q84" s="1768" t="n">
        <f aca="false">TableDE12b!G84</f>
        <v>-0.05</v>
      </c>
      <c r="R84" s="1769" t="n">
        <f aca="false">Q84-U84</f>
        <v>-0.05</v>
      </c>
      <c r="S84" s="1745"/>
      <c r="T84" s="1745"/>
      <c r="U84" s="1770" t="n">
        <v>0</v>
      </c>
      <c r="V84" s="158"/>
      <c r="W84" s="158"/>
      <c r="X84" s="158"/>
      <c r="Y84" s="158"/>
      <c r="Z84" s="1771" t="n">
        <f aca="false">F84+C84-B84</f>
        <v>0</v>
      </c>
      <c r="AA84" s="1772" t="n">
        <f aca="false">G84-H84-K84</f>
        <v>0</v>
      </c>
      <c r="AC84" s="1002" t="n">
        <f aca="false">Q84-TableDE12b!G84</f>
        <v>0</v>
      </c>
      <c r="AF84" s="1678" t="n">
        <f aca="false">TableDE5a!G84+TableDE5c!E84-B84</f>
        <v>0</v>
      </c>
      <c r="AG84" s="1678" t="n">
        <f aca="false">TableDE5b!F84-TableDE12c!B84</f>
        <v>0</v>
      </c>
    </row>
    <row r="85" customFormat="false" ht="12" hidden="false" customHeight="true" outlineLevel="0" collapsed="false">
      <c r="A85" s="1660" t="n">
        <v>1945</v>
      </c>
      <c r="B85" s="1787" t="n">
        <f aca="false">TableDE12b!E85</f>
        <v>-0.05</v>
      </c>
      <c r="C85" s="1796" t="n">
        <f aca="false">B85-F85</f>
        <v>-0.0647515</v>
      </c>
      <c r="D85" s="1741"/>
      <c r="E85" s="1791"/>
      <c r="F85" s="1797" t="n">
        <f aca="false">U85+K85</f>
        <v>0.0147515</v>
      </c>
      <c r="G85" s="112" t="n">
        <f aca="false">TableDE12b!F85</f>
        <v>0</v>
      </c>
      <c r="H85" s="1764" t="n">
        <f aca="false">G85-K85</f>
        <v>-0.0147515</v>
      </c>
      <c r="I85" s="1765"/>
      <c r="J85" s="1745"/>
      <c r="K85" s="978" t="n">
        <f aca="false">TableDE5c!F85</f>
        <v>0.0147515</v>
      </c>
      <c r="L85" s="1788"/>
      <c r="M85" s="1767"/>
      <c r="N85" s="1765"/>
      <c r="O85" s="1745"/>
      <c r="P85" s="1745"/>
      <c r="Q85" s="1768" t="n">
        <f aca="false">TableDE12b!G85</f>
        <v>-0.05</v>
      </c>
      <c r="R85" s="1769" t="n">
        <f aca="false">Q85-U85</f>
        <v>-0.05</v>
      </c>
      <c r="S85" s="1745"/>
      <c r="T85" s="1745"/>
      <c r="U85" s="1770" t="n">
        <v>0</v>
      </c>
      <c r="V85" s="158"/>
      <c r="W85" s="158"/>
      <c r="X85" s="158"/>
      <c r="Y85" s="158"/>
      <c r="Z85" s="1771" t="n">
        <f aca="false">F85+C85-B85</f>
        <v>0</v>
      </c>
      <c r="AA85" s="1772" t="n">
        <f aca="false">G85-H85-K85</f>
        <v>0</v>
      </c>
      <c r="AC85" s="1002" t="n">
        <f aca="false">Q85-TableDE12b!G85</f>
        <v>0</v>
      </c>
      <c r="AF85" s="1678" t="n">
        <f aca="false">TableDE5a!G85+TableDE5c!E85-B85</f>
        <v>0</v>
      </c>
      <c r="AG85" s="1678" t="n">
        <f aca="false">TableDE5b!F85-TableDE12c!B85</f>
        <v>0</v>
      </c>
    </row>
    <row r="86" customFormat="false" ht="12" hidden="false" customHeight="true" outlineLevel="0" collapsed="false">
      <c r="A86" s="1660" t="n">
        <v>1946</v>
      </c>
      <c r="B86" s="1787" t="n">
        <f aca="false">TableDE12b!E86</f>
        <v>0.111553767451315</v>
      </c>
      <c r="C86" s="1796" t="n">
        <f aca="false">B86-F86</f>
        <v>0.0968022674513154</v>
      </c>
      <c r="D86" s="1741"/>
      <c r="E86" s="1791"/>
      <c r="F86" s="1797" t="n">
        <f aca="false">U86+K86</f>
        <v>0.0147515</v>
      </c>
      <c r="G86" s="112" t="n">
        <f aca="false">TableDE12b!F86</f>
        <v>0.161553767451315</v>
      </c>
      <c r="H86" s="1764" t="n">
        <f aca="false">G86-K86</f>
        <v>0.146802267451315</v>
      </c>
      <c r="I86" s="1765"/>
      <c r="J86" s="1745"/>
      <c r="K86" s="978" t="n">
        <f aca="false">TableDE5c!F86</f>
        <v>0.0147515</v>
      </c>
      <c r="L86" s="1788"/>
      <c r="M86" s="1767"/>
      <c r="N86" s="1765"/>
      <c r="O86" s="1745"/>
      <c r="P86" s="1745"/>
      <c r="Q86" s="1768" t="n">
        <f aca="false">TableDE12b!G86</f>
        <v>-0.05</v>
      </c>
      <c r="R86" s="1769" t="n">
        <f aca="false">Q86-U86</f>
        <v>-0.05</v>
      </c>
      <c r="S86" s="1745"/>
      <c r="T86" s="1745"/>
      <c r="U86" s="1770" t="n">
        <v>0</v>
      </c>
      <c r="V86" s="158"/>
      <c r="W86" s="158"/>
      <c r="X86" s="158"/>
      <c r="Y86" s="158"/>
      <c r="Z86" s="1771" t="n">
        <f aca="false">F86+C86-B86</f>
        <v>0</v>
      </c>
      <c r="AA86" s="1772" t="n">
        <f aca="false">G86-H86-K86</f>
        <v>0</v>
      </c>
      <c r="AC86" s="1002" t="n">
        <f aca="false">Q86-TableDE12b!G86</f>
        <v>0</v>
      </c>
      <c r="AF86" s="1678" t="n">
        <f aca="false">TableDE5a!G86+TableDE5c!E86-B86</f>
        <v>0</v>
      </c>
      <c r="AG86" s="1678" t="n">
        <f aca="false">TableDE5b!F86-TableDE12c!B86</f>
        <v>0</v>
      </c>
    </row>
    <row r="87" customFormat="false" ht="12" hidden="false" customHeight="true" outlineLevel="0" collapsed="false">
      <c r="A87" s="1660" t="n">
        <v>1947</v>
      </c>
      <c r="B87" s="1787" t="n">
        <f aca="false">TableDE12b!E87</f>
        <v>0.147254646587545</v>
      </c>
      <c r="C87" s="1796" t="n">
        <f aca="false">B87-F87</f>
        <v>0.132503146587545</v>
      </c>
      <c r="D87" s="1741"/>
      <c r="E87" s="1791"/>
      <c r="F87" s="1797" t="n">
        <f aca="false">U87+K87</f>
        <v>0.0147515</v>
      </c>
      <c r="G87" s="112" t="n">
        <f aca="false">TableDE12b!F87</f>
        <v>0.161553767451315</v>
      </c>
      <c r="H87" s="1764" t="n">
        <f aca="false">G87-K87</f>
        <v>0.146802267451315</v>
      </c>
      <c r="I87" s="1765"/>
      <c r="J87" s="1745"/>
      <c r="K87" s="1144" t="n">
        <f aca="false">TableDE5c!F87</f>
        <v>0.0147515</v>
      </c>
      <c r="L87" s="1788"/>
      <c r="M87" s="1767"/>
      <c r="N87" s="1765"/>
      <c r="O87" s="1745"/>
      <c r="P87" s="1745"/>
      <c r="Q87" s="1768" t="n">
        <f aca="false">TableDE12b!G87</f>
        <v>-0.01429912086377</v>
      </c>
      <c r="R87" s="1769" t="n">
        <f aca="false">Q87-U87</f>
        <v>-0.01429912086377</v>
      </c>
      <c r="S87" s="1745"/>
      <c r="T87" s="1745"/>
      <c r="U87" s="1770" t="n">
        <v>0</v>
      </c>
      <c r="V87" s="158"/>
      <c r="W87" s="158"/>
      <c r="X87" s="158"/>
      <c r="Y87" s="158"/>
      <c r="Z87" s="1771" t="n">
        <f aca="false">F87+C87-B87</f>
        <v>0</v>
      </c>
      <c r="AA87" s="1772" t="n">
        <f aca="false">G87-H87-K87</f>
        <v>0</v>
      </c>
      <c r="AB87" s="1637"/>
      <c r="AC87" s="1002" t="n">
        <f aca="false">Q87-TableDE12b!G87</f>
        <v>0</v>
      </c>
      <c r="AF87" s="1678" t="n">
        <f aca="false">TableDE5a!G87+TableDE5c!E87-B87</f>
        <v>0</v>
      </c>
      <c r="AG87" s="1678" t="n">
        <f aca="false">TableDE5b!F87-TableDE12c!B87</f>
        <v>0</v>
      </c>
    </row>
    <row r="88" customFormat="false" ht="12" hidden="false" customHeight="true" outlineLevel="0" collapsed="false">
      <c r="A88" s="1660" t="n">
        <v>1948</v>
      </c>
      <c r="B88" s="1787" t="n">
        <f aca="false">TableDE12b!E88</f>
        <v>0.147254646587545</v>
      </c>
      <c r="C88" s="1796" t="n">
        <f aca="false">B88-F88</f>
        <v>0.132503146587545</v>
      </c>
      <c r="D88" s="1741"/>
      <c r="E88" s="1791"/>
      <c r="F88" s="1797" t="n">
        <f aca="false">U88+K88</f>
        <v>0.0147515</v>
      </c>
      <c r="G88" s="112" t="n">
        <f aca="false">TableDE12b!F88</f>
        <v>0.161553767451315</v>
      </c>
      <c r="H88" s="1764" t="n">
        <f aca="false">G88-K88</f>
        <v>0.146802267451315</v>
      </c>
      <c r="I88" s="1765"/>
      <c r="J88" s="1745"/>
      <c r="K88" s="1144" t="n">
        <f aca="false">TableDE5c!F88</f>
        <v>0.0147515</v>
      </c>
      <c r="L88" s="1788"/>
      <c r="M88" s="1767"/>
      <c r="N88" s="1765"/>
      <c r="O88" s="1745"/>
      <c r="P88" s="1745"/>
      <c r="Q88" s="1768" t="n">
        <f aca="false">TableDE12b!G88</f>
        <v>-0.01429912086377</v>
      </c>
      <c r="R88" s="1769" t="n">
        <f aca="false">Q88-U88</f>
        <v>-0.01429912086377</v>
      </c>
      <c r="S88" s="1745"/>
      <c r="T88" s="1745"/>
      <c r="U88" s="1770" t="n">
        <v>0</v>
      </c>
      <c r="V88" s="158"/>
      <c r="W88" s="158"/>
      <c r="X88" s="158"/>
      <c r="Y88" s="158"/>
      <c r="Z88" s="1771" t="n">
        <f aca="false">F88+C88-B88</f>
        <v>0</v>
      </c>
      <c r="AA88" s="1772" t="n">
        <f aca="false">G88-H88-K88</f>
        <v>0</v>
      </c>
      <c r="AC88" s="1002" t="n">
        <f aca="false">Q88-TableDE12b!G88</f>
        <v>0</v>
      </c>
      <c r="AF88" s="1678" t="n">
        <f aca="false">TableDE5a!G88+TableDE5c!E88-B88</f>
        <v>0</v>
      </c>
      <c r="AG88" s="1678" t="n">
        <f aca="false">TableDE5b!F88-TableDE12c!B88</f>
        <v>0</v>
      </c>
    </row>
    <row r="89" customFormat="false" ht="12" hidden="false" customHeight="true" outlineLevel="0" collapsed="false">
      <c r="A89" s="1671" t="n">
        <v>1949</v>
      </c>
      <c r="B89" s="1789" t="n">
        <f aca="false">TableDE12b!E89</f>
        <v>0.147254646587545</v>
      </c>
      <c r="C89" s="1794" t="n">
        <f aca="false">B89-F89</f>
        <v>0.132503146587545</v>
      </c>
      <c r="D89" s="1775"/>
      <c r="E89" s="1793"/>
      <c r="F89" s="1795" t="n">
        <f aca="false">U89+K89</f>
        <v>0.0147515</v>
      </c>
      <c r="G89" s="124" t="n">
        <f aca="false">TableDE12b!F89</f>
        <v>0.161553767451315</v>
      </c>
      <c r="H89" s="1779" t="n">
        <f aca="false">G89-K89</f>
        <v>0.146802267451315</v>
      </c>
      <c r="I89" s="1780"/>
      <c r="J89" s="1781"/>
      <c r="K89" s="981" t="n">
        <f aca="false">TableDE5c!F89</f>
        <v>0.0147515</v>
      </c>
      <c r="L89" s="1790"/>
      <c r="M89" s="1783"/>
      <c r="N89" s="1780"/>
      <c r="O89" s="1781"/>
      <c r="P89" s="1781"/>
      <c r="Q89" s="1784" t="n">
        <f aca="false">TableDE12b!G89</f>
        <v>-0.01429912086377</v>
      </c>
      <c r="R89" s="1785" t="n">
        <f aca="false">Q89-U89</f>
        <v>-0.01429912086377</v>
      </c>
      <c r="S89" s="1781"/>
      <c r="T89" s="1781"/>
      <c r="U89" s="1786" t="n">
        <v>0</v>
      </c>
      <c r="V89" s="158"/>
      <c r="W89" s="158"/>
      <c r="X89" s="158"/>
      <c r="Y89" s="158"/>
      <c r="Z89" s="1771" t="n">
        <f aca="false">F89+C89-B89</f>
        <v>0</v>
      </c>
      <c r="AA89" s="1772" t="n">
        <f aca="false">G89-H89-K89</f>
        <v>0</v>
      </c>
      <c r="AC89" s="1002" t="n">
        <f aca="false">Q89-TableDE12b!G89</f>
        <v>0</v>
      </c>
      <c r="AF89" s="1678" t="n">
        <f aca="false">TableDE5a!G89+TableDE5c!E89-B89</f>
        <v>0</v>
      </c>
      <c r="AG89" s="1678" t="n">
        <f aca="false">TableDE5b!F89-TableDE12c!B89</f>
        <v>0</v>
      </c>
    </row>
    <row r="90" customFormat="false" ht="12" hidden="false" customHeight="false" outlineLevel="0" collapsed="false">
      <c r="A90" s="1704" t="n">
        <v>1950</v>
      </c>
      <c r="B90" s="1759" t="n">
        <f aca="false">TableDE12b!E90</f>
        <v>0.147254646587545</v>
      </c>
      <c r="C90" s="1796" t="n">
        <f aca="false">B90-F90</f>
        <v>0.129041259430632</v>
      </c>
      <c r="D90" s="1764" t="n">
        <f aca="false">TableDE12!I10</f>
        <v>0.0302265415598598</v>
      </c>
      <c r="E90" s="1764" t="n">
        <f aca="false">TableDE12!H10</f>
        <v>0.0988147178707724</v>
      </c>
      <c r="F90" s="1798" t="n">
        <f aca="false">DataDE1!ER11/DataDE1!B11</f>
        <v>0.0182133871569131</v>
      </c>
      <c r="G90" s="1763" t="n">
        <f aca="false">TableDE12b!F90</f>
        <v>0.161553767451315</v>
      </c>
      <c r="H90" s="1764" t="n">
        <f aca="false">G90-K90</f>
        <v>0.153909082763365</v>
      </c>
      <c r="I90" s="1769"/>
      <c r="J90" s="1769"/>
      <c r="K90" s="1769" t="n">
        <f aca="false">TableDE5c!F90</f>
        <v>0.00764468468795026</v>
      </c>
      <c r="L90" s="1766" t="n">
        <f aca="false">DataDE1!H11/DataDE1!B11</f>
        <v>0.0999559329181004</v>
      </c>
      <c r="M90" s="1764" t="n">
        <f aca="false">L90-P90</f>
        <v>0.0845729918095011</v>
      </c>
      <c r="N90" s="1769"/>
      <c r="O90" s="1769"/>
      <c r="P90" s="1769" t="n">
        <f aca="false">DataDE1!BP11/DataDE1!B11</f>
        <v>0.0153829411085993</v>
      </c>
      <c r="Q90" s="1766" t="n">
        <f aca="false">TableDE12b!G90</f>
        <v>-0.01429912086377</v>
      </c>
      <c r="R90" s="1764" t="n">
        <f aca="false">C90-H90</f>
        <v>-0.0248678233327329</v>
      </c>
      <c r="S90" s="1769"/>
      <c r="T90" s="1769"/>
      <c r="U90" s="1799" t="n">
        <f aca="false">F90-K90</f>
        <v>0.0105687024689629</v>
      </c>
      <c r="V90" s="158"/>
      <c r="W90" s="158"/>
      <c r="X90" s="158"/>
      <c r="Y90" s="158"/>
      <c r="Z90" s="1771" t="n">
        <f aca="false">F90+C90-B90</f>
        <v>0</v>
      </c>
      <c r="AA90" s="1772" t="n">
        <f aca="false">G90-H90-K90</f>
        <v>0</v>
      </c>
      <c r="AB90" s="1772" t="n">
        <f aca="false">L90-M90-P90</f>
        <v>0</v>
      </c>
      <c r="AC90" s="1002" t="n">
        <f aca="false">Q90-TableDE12b!G90</f>
        <v>0</v>
      </c>
      <c r="AD90" s="1771" t="n">
        <f aca="false">D90+E90-C90</f>
        <v>0</v>
      </c>
      <c r="AE90" s="1678"/>
      <c r="AF90" s="1678" t="n">
        <f aca="false">TableDE5a!G90+TableDE5c!E90-B90</f>
        <v>0</v>
      </c>
      <c r="AG90" s="1678" t="n">
        <f aca="false">TableDE5b!F90-TableDE12c!B90</f>
        <v>0</v>
      </c>
    </row>
    <row r="91" customFormat="false" ht="12" hidden="false" customHeight="false" outlineLevel="0" collapsed="false">
      <c r="A91" s="1704" t="n">
        <f aca="false">A90+1</f>
        <v>1951</v>
      </c>
      <c r="B91" s="1759" t="n">
        <f aca="false">TableDE12b!E91</f>
        <v>0.182382159995876</v>
      </c>
      <c r="C91" s="1796" t="n">
        <f aca="false">B91-F91</f>
        <v>0.140471595577549</v>
      </c>
      <c r="D91" s="1764" t="n">
        <f aca="false">TableDE12!I11</f>
        <v>0.0269925644614136</v>
      </c>
      <c r="E91" s="1764" t="n">
        <f aca="false">TableDE12!H11</f>
        <v>0.113479031116135</v>
      </c>
      <c r="F91" s="1798" t="n">
        <f aca="false">DataDE1!ER12/DataDE1!B12</f>
        <v>0.0419105644183276</v>
      </c>
      <c r="G91" s="1763" t="n">
        <f aca="false">TableDE12b!F91</f>
        <v>0.165421794697331</v>
      </c>
      <c r="H91" s="1764" t="n">
        <f aca="false">G91-K91</f>
        <v>0.158419441864269</v>
      </c>
      <c r="I91" s="1769"/>
      <c r="J91" s="1769"/>
      <c r="K91" s="1769" t="n">
        <f aca="false">TableDE5c!F91</f>
        <v>0.00700235283306231</v>
      </c>
      <c r="L91" s="1766" t="n">
        <f aca="false">DataDE1!H12/DataDE1!B12</f>
        <v>0.0978813411819229</v>
      </c>
      <c r="M91" s="1764" t="n">
        <f aca="false">L91-P91</f>
        <v>0.0831462546998903</v>
      </c>
      <c r="N91" s="1769"/>
      <c r="O91" s="1769"/>
      <c r="P91" s="1769" t="n">
        <f aca="false">DataDE1!BP12/DataDE1!B12</f>
        <v>0.0147350864820326</v>
      </c>
      <c r="Q91" s="1766" t="n">
        <f aca="false">TableDE12b!G91</f>
        <v>0.0169603652985455</v>
      </c>
      <c r="R91" s="1764" t="n">
        <f aca="false">C91-H91</f>
        <v>-0.0179478462867198</v>
      </c>
      <c r="S91" s="1769"/>
      <c r="T91" s="1769"/>
      <c r="U91" s="1799" t="n">
        <f aca="false">F91-K91</f>
        <v>0.0349082115852652</v>
      </c>
      <c r="V91" s="158"/>
      <c r="W91" s="158"/>
      <c r="X91" s="158"/>
      <c r="Y91" s="158"/>
      <c r="Z91" s="1771" t="n">
        <f aca="false">F91+C91-B91</f>
        <v>0</v>
      </c>
      <c r="AA91" s="1772" t="n">
        <f aca="false">G91-H91-K91</f>
        <v>0</v>
      </c>
      <c r="AB91" s="1772" t="n">
        <f aca="false">L91-M91-P91</f>
        <v>0</v>
      </c>
      <c r="AC91" s="1002" t="n">
        <f aca="false">Q91-TableDE12b!G91</f>
        <v>0</v>
      </c>
      <c r="AD91" s="1771" t="n">
        <f aca="false">D91+E91-C91</f>
        <v>0</v>
      </c>
      <c r="AE91" s="1678"/>
      <c r="AF91" s="1678" t="n">
        <f aca="false">TableDE5a!G91+TableDE5c!E91-B91</f>
        <v>0</v>
      </c>
      <c r="AG91" s="1678" t="n">
        <f aca="false">TableDE5b!F91-TableDE12c!B91</f>
        <v>0</v>
      </c>
    </row>
    <row r="92" customFormat="false" ht="12" hidden="false" customHeight="false" outlineLevel="0" collapsed="false">
      <c r="A92" s="1704" t="n">
        <f aca="false">A91+1</f>
        <v>1952</v>
      </c>
      <c r="B92" s="1759" t="n">
        <f aca="false">TableDE12b!E92</f>
        <v>0.201546948957406</v>
      </c>
      <c r="C92" s="1764" t="n">
        <f aca="false">B92-F92</f>
        <v>0.150920021402004</v>
      </c>
      <c r="D92" s="1764" t="n">
        <f aca="false">TableDE12!I12</f>
        <v>0.0443064121991936</v>
      </c>
      <c r="E92" s="1764" t="n">
        <f aca="false">TableDE12!H12</f>
        <v>0.106613609202811</v>
      </c>
      <c r="F92" s="1798" t="n">
        <f aca="false">DataDE1!ER13/DataDE1!B13</f>
        <v>0.0506269275554015</v>
      </c>
      <c r="G92" s="1763" t="n">
        <f aca="false">TableDE12b!F92</f>
        <v>0.1780963503155</v>
      </c>
      <c r="H92" s="1764" t="n">
        <f aca="false">G92-K92</f>
        <v>0.17218829400517</v>
      </c>
      <c r="I92" s="1769"/>
      <c r="J92" s="1769"/>
      <c r="K92" s="1769" t="n">
        <f aca="false">TableDE5c!F92</f>
        <v>0.00590805631033068</v>
      </c>
      <c r="L92" s="1766" t="n">
        <f aca="false">DataDE1!H13/DataDE1!B13</f>
        <v>0.0972727849092279</v>
      </c>
      <c r="M92" s="1764" t="n">
        <f aca="false">L92-P92</f>
        <v>0.0827041977349501</v>
      </c>
      <c r="N92" s="1769"/>
      <c r="O92" s="1769"/>
      <c r="P92" s="1769" t="n">
        <f aca="false">DataDE1!BP13/DataDE1!B13</f>
        <v>0.0145685871742778</v>
      </c>
      <c r="Q92" s="1766" t="n">
        <f aca="false">TableDE12b!G92</f>
        <v>0.0234505986419053</v>
      </c>
      <c r="R92" s="1764" t="n">
        <f aca="false">C92-H92</f>
        <v>-0.0212682726031655</v>
      </c>
      <c r="S92" s="1769"/>
      <c r="T92" s="1769"/>
      <c r="U92" s="1799" t="n">
        <f aca="false">F92-K92</f>
        <v>0.0447188712450708</v>
      </c>
      <c r="V92" s="158"/>
      <c r="W92" s="158"/>
      <c r="X92" s="158"/>
      <c r="Y92" s="158"/>
      <c r="Z92" s="1771" t="n">
        <f aca="false">F92+C92-B92</f>
        <v>0</v>
      </c>
      <c r="AA92" s="1772" t="n">
        <f aca="false">G92-H92-K92</f>
        <v>0</v>
      </c>
      <c r="AB92" s="1772" t="n">
        <f aca="false">L92-M92-P92</f>
        <v>0</v>
      </c>
      <c r="AC92" s="1002" t="n">
        <f aca="false">Q92-TableDE12b!G92</f>
        <v>0</v>
      </c>
      <c r="AD92" s="1771" t="n">
        <f aca="false">D92+E92-C92</f>
        <v>0</v>
      </c>
      <c r="AE92" s="1678"/>
      <c r="AF92" s="1678" t="n">
        <f aca="false">TableDE5a!G92+TableDE5c!E92-B92</f>
        <v>0</v>
      </c>
      <c r="AG92" s="1678" t="n">
        <f aca="false">TableDE5b!F92-TableDE12c!B92</f>
        <v>0</v>
      </c>
    </row>
    <row r="93" customFormat="false" ht="12" hidden="false" customHeight="false" outlineLevel="0" collapsed="false">
      <c r="A93" s="1704" t="n">
        <f aca="false">A92+1</f>
        <v>1953</v>
      </c>
      <c r="B93" s="1759" t="n">
        <f aca="false">TableDE12b!E93</f>
        <v>0.252390828201594</v>
      </c>
      <c r="C93" s="1764" t="n">
        <f aca="false">B93-F93</f>
        <v>0.131423283191845</v>
      </c>
      <c r="D93" s="1764" t="n">
        <f aca="false">TableDE12!I13</f>
        <v>0.052432582889028</v>
      </c>
      <c r="E93" s="1764" t="n">
        <f aca="false">TableDE12!H13</f>
        <v>0.0789907003028173</v>
      </c>
      <c r="F93" s="1798" t="n">
        <f aca="false">DataDE1!ER14/DataDE1!B14</f>
        <v>0.120967545009749</v>
      </c>
      <c r="G93" s="1763" t="n">
        <f aca="false">TableDE12b!F93</f>
        <v>0.160391898305747</v>
      </c>
      <c r="H93" s="1764" t="n">
        <f aca="false">G93-K93</f>
        <v>0.1512215432235</v>
      </c>
      <c r="I93" s="1769"/>
      <c r="J93" s="1769"/>
      <c r="K93" s="1769" t="n">
        <f aca="false">TableDE5c!F93</f>
        <v>0.0091703550822476</v>
      </c>
      <c r="L93" s="1766" t="n">
        <f aca="false">DataDE1!H14/DataDE1!B14</f>
        <v>0.0932531156123945</v>
      </c>
      <c r="M93" s="1764" t="n">
        <f aca="false">L93-P93</f>
        <v>0.0794831942710927</v>
      </c>
      <c r="N93" s="1769"/>
      <c r="O93" s="1769"/>
      <c r="P93" s="1769" t="n">
        <f aca="false">DataDE1!BP14/DataDE1!B14</f>
        <v>0.0137699213413017</v>
      </c>
      <c r="Q93" s="1766" t="n">
        <f aca="false">TableDE12b!G93</f>
        <v>0.0919989298958468</v>
      </c>
      <c r="R93" s="1764" t="n">
        <f aca="false">C93-H93</f>
        <v>-0.0197982600316542</v>
      </c>
      <c r="S93" s="1769"/>
      <c r="T93" s="1769"/>
      <c r="U93" s="1799" t="n">
        <f aca="false">F93-K93</f>
        <v>0.111797189927501</v>
      </c>
      <c r="V93" s="158"/>
      <c r="W93" s="158"/>
      <c r="X93" s="158"/>
      <c r="Y93" s="158"/>
      <c r="Z93" s="1771" t="n">
        <f aca="false">F93+C93-B93</f>
        <v>0</v>
      </c>
      <c r="AA93" s="1772" t="n">
        <f aca="false">G93-H93-K93</f>
        <v>0</v>
      </c>
      <c r="AB93" s="1772" t="n">
        <f aca="false">L93-M93-P93</f>
        <v>0</v>
      </c>
      <c r="AC93" s="1002" t="n">
        <f aca="false">Q93-TableDE12b!G93</f>
        <v>0</v>
      </c>
      <c r="AD93" s="1771" t="n">
        <f aca="false">D93+E93-C93</f>
        <v>0</v>
      </c>
      <c r="AE93" s="1678"/>
      <c r="AF93" s="1678" t="n">
        <f aca="false">TableDE5a!G93+TableDE5c!E93-B93</f>
        <v>0</v>
      </c>
      <c r="AG93" s="1678" t="n">
        <f aca="false">TableDE5b!F93-TableDE12c!B93</f>
        <v>0</v>
      </c>
    </row>
    <row r="94" customFormat="false" ht="12" hidden="false" customHeight="false" outlineLevel="0" collapsed="false">
      <c r="A94" s="1704" t="n">
        <f aca="false">A93+1</f>
        <v>1954</v>
      </c>
      <c r="B94" s="1759" t="n">
        <f aca="false">TableDE12b!E94</f>
        <v>0.198872675779271</v>
      </c>
      <c r="C94" s="1764" t="n">
        <f aca="false">B94-F94</f>
        <v>0.139502925210176</v>
      </c>
      <c r="D94" s="1764" t="n">
        <f aca="false">TableDE12!I14</f>
        <v>0.0564217574399448</v>
      </c>
      <c r="E94" s="1764" t="n">
        <f aca="false">TableDE12!H14</f>
        <v>0.0830811677702306</v>
      </c>
      <c r="F94" s="1798" t="n">
        <f aca="false">DataDE1!ER15/DataDE1!B15</f>
        <v>0.0593697505690954</v>
      </c>
      <c r="G94" s="1763" t="n">
        <f aca="false">TableDE12b!F94</f>
        <v>0.171471666554973</v>
      </c>
      <c r="H94" s="1764" t="n">
        <f aca="false">G94-K94</f>
        <v>0.159750114463751</v>
      </c>
      <c r="I94" s="1769"/>
      <c r="J94" s="1769"/>
      <c r="K94" s="1769" t="n">
        <f aca="false">TableDE5c!F94</f>
        <v>0.0117215520912223</v>
      </c>
      <c r="L94" s="1766" t="n">
        <f aca="false">DataDE1!H15/DataDE1!B15</f>
        <v>0.0917778726973775</v>
      </c>
      <c r="M94" s="1764" t="n">
        <f aca="false">L94-P94</f>
        <v>0.0780928187649898</v>
      </c>
      <c r="N94" s="1769"/>
      <c r="O94" s="1769"/>
      <c r="P94" s="1769" t="n">
        <f aca="false">DataDE1!BP15/DataDE1!B15</f>
        <v>0.0136850539323877</v>
      </c>
      <c r="Q94" s="1766" t="n">
        <f aca="false">TableDE12b!G94</f>
        <v>0.0274010092242979</v>
      </c>
      <c r="R94" s="1764" t="n">
        <f aca="false">C94-H94</f>
        <v>-0.0202471892535751</v>
      </c>
      <c r="S94" s="1769"/>
      <c r="T94" s="1769"/>
      <c r="U94" s="1799" t="n">
        <f aca="false">F94-K94</f>
        <v>0.0476481984778731</v>
      </c>
      <c r="V94" s="158"/>
      <c r="W94" s="158"/>
      <c r="X94" s="158"/>
      <c r="Y94" s="158"/>
      <c r="Z94" s="1771" t="n">
        <f aca="false">F94+C94-B94</f>
        <v>0</v>
      </c>
      <c r="AA94" s="1772" t="n">
        <f aca="false">G94-H94-K94</f>
        <v>0</v>
      </c>
      <c r="AB94" s="1772" t="n">
        <f aca="false">L94-M94-P94</f>
        <v>0</v>
      </c>
      <c r="AC94" s="1002" t="n">
        <f aca="false">Q94-TableDE12b!G94</f>
        <v>0</v>
      </c>
      <c r="AD94" s="1771" t="n">
        <f aca="false">D94+E94-C94</f>
        <v>0</v>
      </c>
      <c r="AE94" s="1678"/>
      <c r="AF94" s="1678" t="n">
        <f aca="false">TableDE5a!G94+TableDE5c!E94-B94</f>
        <v>0</v>
      </c>
      <c r="AG94" s="1678" t="n">
        <f aca="false">TableDE5b!F94-TableDE12c!B94</f>
        <v>0</v>
      </c>
    </row>
    <row r="95" customFormat="false" ht="12" hidden="false" customHeight="false" outlineLevel="0" collapsed="false">
      <c r="A95" s="1704" t="n">
        <f aca="false">A94+1</f>
        <v>1955</v>
      </c>
      <c r="B95" s="1759" t="n">
        <f aca="false">TableDE12b!E95</f>
        <v>0.223078429648801</v>
      </c>
      <c r="C95" s="1764" t="n">
        <f aca="false">B95-F95</f>
        <v>0.156642917239501</v>
      </c>
      <c r="D95" s="1764" t="n">
        <f aca="false">TableDE12!I15</f>
        <v>0.0496286716805891</v>
      </c>
      <c r="E95" s="1764" t="n">
        <f aca="false">TableDE12!H15</f>
        <v>0.107014245558912</v>
      </c>
      <c r="F95" s="1798" t="n">
        <f aca="false">DataDE1!ER16/DataDE1!B16</f>
        <v>0.0664355124093006</v>
      </c>
      <c r="G95" s="1763" t="n">
        <f aca="false">TableDE12b!F95</f>
        <v>0.206555286003782</v>
      </c>
      <c r="H95" s="1764" t="n">
        <f aca="false">G95-K95</f>
        <v>0.189459738540574</v>
      </c>
      <c r="I95" s="1769"/>
      <c r="J95" s="1769"/>
      <c r="K95" s="1769" t="n">
        <f aca="false">TableDE5c!F95</f>
        <v>0.0170955474632083</v>
      </c>
      <c r="L95" s="1766" t="n">
        <f aca="false">DataDE1!H16/DataDE1!B16</f>
        <v>0.0884252414486975</v>
      </c>
      <c r="M95" s="1764" t="n">
        <f aca="false">L95-P95</f>
        <v>0.0757466585801086</v>
      </c>
      <c r="N95" s="1769"/>
      <c r="O95" s="1769"/>
      <c r="P95" s="1769" t="n">
        <f aca="false">DataDE1!BP16/DataDE1!B16</f>
        <v>0.0126785828685889</v>
      </c>
      <c r="Q95" s="1766" t="n">
        <f aca="false">TableDE12b!G95</f>
        <v>0.0165231436450191</v>
      </c>
      <c r="R95" s="1764" t="n">
        <f aca="false">C95-H95</f>
        <v>-0.0328168213010732</v>
      </c>
      <c r="S95" s="1769"/>
      <c r="T95" s="1769"/>
      <c r="U95" s="1799" t="n">
        <f aca="false">F95-K95</f>
        <v>0.0493399649460923</v>
      </c>
      <c r="V95" s="158"/>
      <c r="W95" s="158"/>
      <c r="X95" s="158"/>
      <c r="Y95" s="158"/>
      <c r="Z95" s="1771" t="n">
        <f aca="false">F95+C95-B95</f>
        <v>0</v>
      </c>
      <c r="AA95" s="1772" t="n">
        <f aca="false">G95-H95-K95</f>
        <v>0</v>
      </c>
      <c r="AB95" s="1772" t="n">
        <f aca="false">L95-M95-P95</f>
        <v>0</v>
      </c>
      <c r="AC95" s="1002" t="n">
        <f aca="false">Q95-TableDE12b!G95</f>
        <v>0</v>
      </c>
      <c r="AD95" s="1771" t="n">
        <f aca="false">D95+E95-C95</f>
        <v>0</v>
      </c>
      <c r="AE95" s="1678"/>
      <c r="AF95" s="1678" t="n">
        <f aca="false">TableDE5a!G95+TableDE5c!E95-B95</f>
        <v>0</v>
      </c>
      <c r="AG95" s="1678" t="n">
        <f aca="false">TableDE5b!F95-TableDE12c!B95</f>
        <v>0</v>
      </c>
    </row>
    <row r="96" customFormat="false" ht="12" hidden="false" customHeight="false" outlineLevel="0" collapsed="false">
      <c r="A96" s="1704" t="n">
        <f aca="false">A95+1</f>
        <v>1956</v>
      </c>
      <c r="B96" s="1759" t="n">
        <f aca="false">TableDE12b!E96</f>
        <v>0.221024312592824</v>
      </c>
      <c r="C96" s="1764" t="n">
        <f aca="false">B96-F96</f>
        <v>0.153460284020784</v>
      </c>
      <c r="D96" s="1764" t="n">
        <f aca="false">TableDE12!I16</f>
        <v>0.0441278608660523</v>
      </c>
      <c r="E96" s="1764" t="n">
        <f aca="false">TableDE12!H16</f>
        <v>0.109332423154732</v>
      </c>
      <c r="F96" s="1798" t="n">
        <f aca="false">DataDE1!ER17/DataDE1!B17</f>
        <v>0.0675640285720399</v>
      </c>
      <c r="G96" s="1763" t="n">
        <f aca="false">TableDE12b!F96</f>
        <v>0.197157295623106</v>
      </c>
      <c r="H96" s="1764" t="n">
        <f aca="false">G96-K96</f>
        <v>0.178554814138116</v>
      </c>
      <c r="I96" s="1769"/>
      <c r="J96" s="1769"/>
      <c r="K96" s="1769" t="n">
        <f aca="false">TableDE5c!F96</f>
        <v>0.0186024814849906</v>
      </c>
      <c r="L96" s="1766" t="n">
        <f aca="false">DataDE1!H17/DataDE1!B17</f>
        <v>0.089807198762517</v>
      </c>
      <c r="M96" s="1764" t="n">
        <f aca="false">L96-P96</f>
        <v>0.0771734231278196</v>
      </c>
      <c r="N96" s="1769"/>
      <c r="O96" s="1769"/>
      <c r="P96" s="1769" t="n">
        <f aca="false">DataDE1!BP17/DataDE1!B17</f>
        <v>0.0126337756346974</v>
      </c>
      <c r="Q96" s="1766" t="n">
        <f aca="false">TableDE12b!G96</f>
        <v>0.0238670169697177</v>
      </c>
      <c r="R96" s="1764" t="n">
        <f aca="false">C96-H96</f>
        <v>-0.0250945301173316</v>
      </c>
      <c r="S96" s="1769"/>
      <c r="T96" s="1769"/>
      <c r="U96" s="1799" t="n">
        <f aca="false">F96-K96</f>
        <v>0.0489615470870493</v>
      </c>
      <c r="V96" s="158"/>
      <c r="W96" s="158"/>
      <c r="X96" s="158"/>
      <c r="Y96" s="158"/>
      <c r="Z96" s="1771" t="n">
        <f aca="false">F96+C96-B96</f>
        <v>0</v>
      </c>
      <c r="AA96" s="1772" t="n">
        <f aca="false">G96-H96-K96</f>
        <v>0</v>
      </c>
      <c r="AB96" s="1772" t="n">
        <f aca="false">L96-M96-P96</f>
        <v>0</v>
      </c>
      <c r="AC96" s="1002" t="n">
        <f aca="false">Q96-TableDE12b!G96</f>
        <v>0</v>
      </c>
      <c r="AD96" s="1771" t="n">
        <f aca="false">D96+E96-C96</f>
        <v>0</v>
      </c>
      <c r="AE96" s="1678"/>
      <c r="AF96" s="1678" t="n">
        <f aca="false">TableDE5a!G96+TableDE5c!E96-B96</f>
        <v>0</v>
      </c>
      <c r="AG96" s="1678" t="n">
        <f aca="false">TableDE5b!F96-TableDE12c!B96</f>
        <v>0</v>
      </c>
    </row>
    <row r="97" customFormat="false" ht="12" hidden="false" customHeight="false" outlineLevel="0" collapsed="false">
      <c r="A97" s="1704" t="n">
        <f aca="false">A96+1</f>
        <v>1957</v>
      </c>
      <c r="B97" s="1759" t="n">
        <f aca="false">TableDE12b!E97</f>
        <v>0.216856888453796</v>
      </c>
      <c r="C97" s="1764" t="n">
        <f aca="false">B97-F97</f>
        <v>0.164874669097362</v>
      </c>
      <c r="D97" s="1764" t="n">
        <f aca="false">TableDE12!I17</f>
        <v>0.0600532081980675</v>
      </c>
      <c r="E97" s="1764" t="n">
        <f aca="false">TableDE12!H17</f>
        <v>0.104821460899294</v>
      </c>
      <c r="F97" s="1798" t="n">
        <f aca="false">DataDE1!ER18/DataDE1!B18</f>
        <v>0.0519822193564344</v>
      </c>
      <c r="G97" s="1763" t="n">
        <f aca="false">TableDE12b!F97</f>
        <v>0.188846276171097</v>
      </c>
      <c r="H97" s="1764" t="n">
        <f aca="false">G97-K97</f>
        <v>0.171176562044535</v>
      </c>
      <c r="I97" s="1769"/>
      <c r="J97" s="1769"/>
      <c r="K97" s="1769" t="n">
        <f aca="false">TableDE5c!F97</f>
        <v>0.0176697141265622</v>
      </c>
      <c r="L97" s="1766" t="n">
        <f aca="false">DataDE1!H18/DataDE1!B18</f>
        <v>0.0919315225594882</v>
      </c>
      <c r="M97" s="1764" t="n">
        <f aca="false">L97-P97</f>
        <v>0.0794144468114214</v>
      </c>
      <c r="N97" s="1769"/>
      <c r="O97" s="1769"/>
      <c r="P97" s="1769" t="n">
        <f aca="false">DataDE1!BP18/DataDE1!B18</f>
        <v>0.0125170757480669</v>
      </c>
      <c r="Q97" s="1766" t="n">
        <f aca="false">TableDE12b!G97</f>
        <v>0.0280106122826989</v>
      </c>
      <c r="R97" s="1764" t="n">
        <f aca="false">C97-H97</f>
        <v>-0.00630189294717334</v>
      </c>
      <c r="S97" s="1769"/>
      <c r="T97" s="1769"/>
      <c r="U97" s="1799" t="n">
        <f aca="false">F97-K97</f>
        <v>0.0343125052298722</v>
      </c>
      <c r="V97" s="158"/>
      <c r="W97" s="158"/>
      <c r="X97" s="158"/>
      <c r="Y97" s="158"/>
      <c r="Z97" s="1771" t="n">
        <f aca="false">F97+C97-B97</f>
        <v>0</v>
      </c>
      <c r="AA97" s="1772" t="n">
        <f aca="false">G97-H97-K97</f>
        <v>0</v>
      </c>
      <c r="AB97" s="1772" t="n">
        <f aca="false">L97-M97-P97</f>
        <v>0</v>
      </c>
      <c r="AC97" s="1002" t="n">
        <f aca="false">Q97-TableDE12b!G97</f>
        <v>0</v>
      </c>
      <c r="AD97" s="1771" t="n">
        <f aca="false">D97+E97-C97</f>
        <v>0</v>
      </c>
      <c r="AE97" s="1678"/>
      <c r="AF97" s="1678" t="n">
        <f aca="false">TableDE5a!G97+TableDE5c!E97-B97</f>
        <v>0</v>
      </c>
      <c r="AG97" s="1678" t="n">
        <f aca="false">TableDE5b!F97-TableDE12c!B97</f>
        <v>0</v>
      </c>
    </row>
    <row r="98" customFormat="false" ht="12" hidden="false" customHeight="false" outlineLevel="0" collapsed="false">
      <c r="A98" s="1704" t="n">
        <f aca="false">A97+1</f>
        <v>1958</v>
      </c>
      <c r="B98" s="1759" t="n">
        <f aca="false">TableDE12b!E98</f>
        <v>0.202682722612648</v>
      </c>
      <c r="C98" s="1764" t="n">
        <f aca="false">B98-F98</f>
        <v>0.170235611906622</v>
      </c>
      <c r="D98" s="1764" t="n">
        <f aca="false">TableDE12!I18</f>
        <v>0.0631081834329254</v>
      </c>
      <c r="E98" s="1764" t="n">
        <f aca="false">TableDE12!H18</f>
        <v>0.107127428473697</v>
      </c>
      <c r="F98" s="1798" t="n">
        <f aca="false">DataDE1!ER19/DataDE1!B19</f>
        <v>0.0324471107060257</v>
      </c>
      <c r="G98" s="1763" t="n">
        <f aca="false">TableDE12b!F98</f>
        <v>0.177190520503146</v>
      </c>
      <c r="H98" s="1764" t="n">
        <f aca="false">G98-K98</f>
        <v>0.16023869419217</v>
      </c>
      <c r="I98" s="1769"/>
      <c r="J98" s="1769"/>
      <c r="K98" s="1769" t="n">
        <f aca="false">TableDE5c!F98</f>
        <v>0.0169518263109764</v>
      </c>
      <c r="L98" s="1766" t="n">
        <f aca="false">DataDE1!H19/DataDE1!B19</f>
        <v>0.09481579496085</v>
      </c>
      <c r="M98" s="1764" t="n">
        <f aca="false">L98-P98</f>
        <v>0.0821329273815564</v>
      </c>
      <c r="N98" s="1769"/>
      <c r="O98" s="1769"/>
      <c r="P98" s="1769" t="n">
        <f aca="false">DataDE1!BP19/DataDE1!B19</f>
        <v>0.0126828675792936</v>
      </c>
      <c r="Q98" s="1766" t="n">
        <f aca="false">TableDE12b!G98</f>
        <v>0.0254922021095018</v>
      </c>
      <c r="R98" s="1764" t="n">
        <f aca="false">C98-H98</f>
        <v>0.0099969177144526</v>
      </c>
      <c r="S98" s="1769"/>
      <c r="T98" s="1769"/>
      <c r="U98" s="1799" t="n">
        <f aca="false">F98-K98</f>
        <v>0.0154952843950492</v>
      </c>
      <c r="V98" s="158"/>
      <c r="W98" s="158"/>
      <c r="X98" s="158"/>
      <c r="Y98" s="158"/>
      <c r="Z98" s="1771" t="n">
        <f aca="false">F98+C98-B98</f>
        <v>0</v>
      </c>
      <c r="AA98" s="1772" t="n">
        <f aca="false">G98-H98-K98</f>
        <v>0</v>
      </c>
      <c r="AB98" s="1772" t="n">
        <f aca="false">L98-M98-P98</f>
        <v>0</v>
      </c>
      <c r="AC98" s="1002" t="n">
        <f aca="false">Q98-TableDE12b!G98</f>
        <v>0</v>
      </c>
      <c r="AD98" s="1771" t="n">
        <f aca="false">D98+E98-C98</f>
        <v>0</v>
      </c>
      <c r="AE98" s="1678"/>
      <c r="AF98" s="1678" t="n">
        <f aca="false">TableDE5a!G98+TableDE5c!E98-B98</f>
        <v>0</v>
      </c>
      <c r="AG98" s="1678" t="n">
        <f aca="false">TableDE5b!F98-TableDE12c!B98</f>
        <v>0</v>
      </c>
    </row>
    <row r="99" customFormat="false" ht="12" hidden="false" customHeight="false" outlineLevel="0" collapsed="false">
      <c r="A99" s="1704" t="n">
        <f aca="false">A98+1</f>
        <v>1959</v>
      </c>
      <c r="B99" s="1759" t="n">
        <f aca="false">TableDE12b!E99</f>
        <v>0.213356701730686</v>
      </c>
      <c r="C99" s="1764" t="n">
        <f aca="false">B99-F99</f>
        <v>0.172067086021464</v>
      </c>
      <c r="D99" s="1764" t="n">
        <f aca="false">TableDE12!I19</f>
        <v>0.0636457594857226</v>
      </c>
      <c r="E99" s="1764" t="n">
        <f aca="false">TableDE12!H19</f>
        <v>0.108421326535742</v>
      </c>
      <c r="F99" s="1798" t="n">
        <f aca="false">DataDE1!ER20/DataDE1!B20</f>
        <v>0.0412896157092219</v>
      </c>
      <c r="G99" s="1763" t="n">
        <f aca="false">TableDE12b!F99</f>
        <v>0.19324070023539</v>
      </c>
      <c r="H99" s="1764" t="n">
        <f aca="false">G99-K99</f>
        <v>0.170842365900887</v>
      </c>
      <c r="I99" s="1769"/>
      <c r="J99" s="1769"/>
      <c r="K99" s="1769" t="n">
        <f aca="false">TableDE5c!F99</f>
        <v>0.0223983343345031</v>
      </c>
      <c r="L99" s="1766" t="n">
        <f aca="false">DataDE1!H20/DataDE1!B20</f>
        <v>0.0949849133622651</v>
      </c>
      <c r="M99" s="1764" t="n">
        <f aca="false">L99-P99</f>
        <v>0.0823499601194582</v>
      </c>
      <c r="N99" s="1769"/>
      <c r="O99" s="1769"/>
      <c r="P99" s="1769" t="n">
        <f aca="false">DataDE1!BP20/DataDE1!B20</f>
        <v>0.012634953242807</v>
      </c>
      <c r="Q99" s="1766" t="n">
        <f aca="false">TableDE12b!G99</f>
        <v>0.0201160014952957</v>
      </c>
      <c r="R99" s="1764" t="n">
        <f aca="false">C99-H99</f>
        <v>0.00122472012057689</v>
      </c>
      <c r="S99" s="1769"/>
      <c r="T99" s="1769"/>
      <c r="U99" s="1799" t="n">
        <f aca="false">F99-K99</f>
        <v>0.0188912813747188</v>
      </c>
      <c r="V99" s="158"/>
      <c r="W99" s="158"/>
      <c r="X99" s="158"/>
      <c r="Y99" s="158"/>
      <c r="Z99" s="1771" t="n">
        <f aca="false">F99+C99-B99</f>
        <v>0</v>
      </c>
      <c r="AA99" s="1772" t="n">
        <f aca="false">G99-H99-K99</f>
        <v>0</v>
      </c>
      <c r="AB99" s="1772" t="n">
        <f aca="false">L99-M99-P99</f>
        <v>0</v>
      </c>
      <c r="AC99" s="1002" t="n">
        <f aca="false">Q99-TableDE12b!G99</f>
        <v>0</v>
      </c>
      <c r="AD99" s="1771" t="n">
        <f aca="false">D99+E99-C99</f>
        <v>0</v>
      </c>
      <c r="AE99" s="1678"/>
      <c r="AF99" s="1678" t="n">
        <f aca="false">TableDE5a!G99+TableDE5c!E99-B99</f>
        <v>0</v>
      </c>
      <c r="AG99" s="1678" t="n">
        <f aca="false">TableDE5b!F99-TableDE12c!B99</f>
        <v>0</v>
      </c>
    </row>
    <row r="100" customFormat="false" ht="12" hidden="false" customHeight="false" outlineLevel="0" collapsed="false">
      <c r="A100" s="1708" t="n">
        <f aca="false">A99+1</f>
        <v>1960</v>
      </c>
      <c r="B100" s="1800" t="n">
        <f aca="false">TableDE12b!E100</f>
        <v>0.231130077716259</v>
      </c>
      <c r="C100" s="1801" t="n">
        <f aca="false">B100-F100</f>
        <v>0.174482018998493</v>
      </c>
      <c r="D100" s="1801" t="n">
        <f aca="false">TableDE12!I20</f>
        <v>0.0615432007959414</v>
      </c>
      <c r="E100" s="1801" t="n">
        <f aca="false">TableDE12!H20</f>
        <v>0.112938818202552</v>
      </c>
      <c r="F100" s="1802" t="n">
        <f aca="false">DataDE1!ER21/DataDE1!B21</f>
        <v>0.0566480587177657</v>
      </c>
      <c r="G100" s="1803" t="n">
        <f aca="false">TableDE12b!F100</f>
        <v>0.213400801907351</v>
      </c>
      <c r="H100" s="1801" t="n">
        <f aca="false">G100-K100</f>
        <v>0.19030694409274</v>
      </c>
      <c r="I100" s="1804"/>
      <c r="J100" s="1804"/>
      <c r="K100" s="1804" t="n">
        <f aca="false">TableDE5c!F100</f>
        <v>0.0230938578146106</v>
      </c>
      <c r="L100" s="1805" t="n">
        <f aca="false">DataDE1!H21/DataDE1!B21</f>
        <v>0.0953528303786103</v>
      </c>
      <c r="M100" s="1801" t="n">
        <f aca="false">L100-P100</f>
        <v>0.0825928862685007</v>
      </c>
      <c r="N100" s="1804"/>
      <c r="O100" s="1804"/>
      <c r="P100" s="1804" t="n">
        <f aca="false">DataDE1!BP21/DataDE1!B21</f>
        <v>0.0127599441101095</v>
      </c>
      <c r="Q100" s="1805" t="n">
        <f aca="false">TableDE12b!G100</f>
        <v>0.0177292758089084</v>
      </c>
      <c r="R100" s="1801" t="n">
        <f aca="false">C100-H100</f>
        <v>-0.0158249250942467</v>
      </c>
      <c r="S100" s="1804"/>
      <c r="T100" s="1804"/>
      <c r="U100" s="1806" t="n">
        <f aca="false">F100-K100</f>
        <v>0.0335542009031551</v>
      </c>
      <c r="V100" s="158"/>
      <c r="W100" s="158"/>
      <c r="X100" s="158"/>
      <c r="Y100" s="158"/>
      <c r="Z100" s="1771" t="n">
        <f aca="false">F100+C100-B100</f>
        <v>0</v>
      </c>
      <c r="AA100" s="1772" t="n">
        <f aca="false">G100-H100-K100</f>
        <v>0</v>
      </c>
      <c r="AB100" s="1772" t="n">
        <f aca="false">L100-M100-P100</f>
        <v>0</v>
      </c>
      <c r="AC100" s="1002" t="n">
        <f aca="false">Q100-TableDE12b!G100</f>
        <v>0</v>
      </c>
      <c r="AD100" s="1771" t="n">
        <f aca="false">D100+E100-C100</f>
        <v>0</v>
      </c>
      <c r="AE100" s="1678"/>
      <c r="AF100" s="1678" t="n">
        <f aca="false">TableDE5a!G100+TableDE5c!E100-B100</f>
        <v>0</v>
      </c>
      <c r="AG100" s="1678" t="n">
        <f aca="false">TableDE5b!F100-TableDE12c!B100</f>
        <v>0</v>
      </c>
    </row>
    <row r="101" customFormat="false" ht="12" hidden="false" customHeight="false" outlineLevel="0" collapsed="false">
      <c r="A101" s="1704" t="n">
        <f aca="false">A100+1</f>
        <v>1961</v>
      </c>
      <c r="B101" s="1759" t="n">
        <f aca="false">TableDE12b!E101</f>
        <v>0.220200412330917</v>
      </c>
      <c r="C101" s="1764" t="n">
        <f aca="false">B101-F101</f>
        <v>0.163651192943359</v>
      </c>
      <c r="D101" s="1764" t="n">
        <f aca="false">TableDE12!I21</f>
        <v>0.0668455932929867</v>
      </c>
      <c r="E101" s="1764" t="n">
        <f aca="false">TableDE12!H21</f>
        <v>0.0968055996503722</v>
      </c>
      <c r="F101" s="1798" t="n">
        <f aca="false">DataDE1!ER22/DataDE1!B22</f>
        <v>0.0565492193875578</v>
      </c>
      <c r="G101" s="1763" t="n">
        <f aca="false">TableDE12b!F101</f>
        <v>0.208649536003426</v>
      </c>
      <c r="H101" s="1764" t="n">
        <f aca="false">G101-K101</f>
        <v>0.182819520592968</v>
      </c>
      <c r="I101" s="1769"/>
      <c r="J101" s="1769"/>
      <c r="K101" s="1769" t="n">
        <f aca="false">TableDE5c!F101</f>
        <v>0.0258300154104572</v>
      </c>
      <c r="L101" s="1766" t="n">
        <f aca="false">DataDE1!H22/DataDE1!B22</f>
        <v>0.10013885338223</v>
      </c>
      <c r="M101" s="1764" t="n">
        <f aca="false">L101-P101</f>
        <v>0.0872203255121712</v>
      </c>
      <c r="N101" s="1769"/>
      <c r="O101" s="1769"/>
      <c r="P101" s="1769" t="n">
        <f aca="false">DataDE1!BP22/DataDE1!B22</f>
        <v>0.0129185278700591</v>
      </c>
      <c r="Q101" s="1766" t="n">
        <f aca="false">TableDE12b!G101</f>
        <v>0.0115508763274911</v>
      </c>
      <c r="R101" s="1764" t="n">
        <f aca="false">C101-H101</f>
        <v>-0.0191683276496095</v>
      </c>
      <c r="S101" s="1769"/>
      <c r="T101" s="1769"/>
      <c r="U101" s="1799" t="n">
        <f aca="false">F101-K101</f>
        <v>0.0307192039771006</v>
      </c>
      <c r="V101" s="158"/>
      <c r="W101" s="158"/>
      <c r="X101" s="158"/>
      <c r="Y101" s="158"/>
      <c r="Z101" s="1771" t="n">
        <f aca="false">F101+C101-B101</f>
        <v>0</v>
      </c>
      <c r="AA101" s="1772" t="n">
        <f aca="false">G101-H101-K101</f>
        <v>0</v>
      </c>
      <c r="AB101" s="1772" t="n">
        <f aca="false">L101-M101-P101</f>
        <v>0</v>
      </c>
      <c r="AC101" s="1002" t="n">
        <f aca="false">Q101-TableDE12b!G101</f>
        <v>0</v>
      </c>
      <c r="AD101" s="1771" t="n">
        <f aca="false">D101+E101-C101</f>
        <v>0</v>
      </c>
      <c r="AE101" s="1678"/>
      <c r="AF101" s="1678" t="n">
        <f aca="false">TableDE5a!G101+TableDE5c!E101-B101</f>
        <v>0</v>
      </c>
      <c r="AG101" s="1678" t="n">
        <f aca="false">TableDE5b!F101-TableDE12c!B101</f>
        <v>0</v>
      </c>
    </row>
    <row r="102" customFormat="false" ht="12" hidden="false" customHeight="false" outlineLevel="0" collapsed="false">
      <c r="A102" s="1704" t="n">
        <f aca="false">A101+1</f>
        <v>1962</v>
      </c>
      <c r="B102" s="1759" t="n">
        <f aca="false">TableDE12b!E102</f>
        <v>0.205531316135816</v>
      </c>
      <c r="C102" s="1764" t="n">
        <f aca="false">B102-F102</f>
        <v>0.157950710036278</v>
      </c>
      <c r="D102" s="1764" t="n">
        <f aca="false">TableDE12!I22</f>
        <v>0.0638661766276336</v>
      </c>
      <c r="E102" s="1764" t="n">
        <f aca="false">TableDE12!H22</f>
        <v>0.0940845334086447</v>
      </c>
      <c r="F102" s="1798" t="n">
        <f aca="false">DataDE1!ER23/DataDE1!B23</f>
        <v>0.0475806060995372</v>
      </c>
      <c r="G102" s="1763" t="n">
        <f aca="false">TableDE12b!F102</f>
        <v>0.205672468084848</v>
      </c>
      <c r="H102" s="1764" t="n">
        <f aca="false">G102-K102</f>
        <v>0.174391778889319</v>
      </c>
      <c r="I102" s="1769"/>
      <c r="J102" s="1769"/>
      <c r="K102" s="1769" t="n">
        <f aca="false">TableDE5c!F102</f>
        <v>0.0312806891955296</v>
      </c>
      <c r="L102" s="1766" t="n">
        <f aca="false">DataDE1!H23/DataDE1!B23</f>
        <v>0.106353386002026</v>
      </c>
      <c r="M102" s="1764" t="n">
        <f aca="false">L102-P102</f>
        <v>0.0929335865406646</v>
      </c>
      <c r="N102" s="1769"/>
      <c r="O102" s="1769"/>
      <c r="P102" s="1769" t="n">
        <f aca="false">DataDE1!BP23/DataDE1!B23</f>
        <v>0.0134197994613612</v>
      </c>
      <c r="Q102" s="1766" t="n">
        <f aca="false">TableDE12b!G102</f>
        <v>-0.000141151949032645</v>
      </c>
      <c r="R102" s="1764" t="n">
        <f aca="false">C102-H102</f>
        <v>-0.0164410688530402</v>
      </c>
      <c r="S102" s="1769"/>
      <c r="T102" s="1769"/>
      <c r="U102" s="1799" t="n">
        <f aca="false">F102-K102</f>
        <v>0.0162999169040076</v>
      </c>
      <c r="V102" s="158"/>
      <c r="W102" s="158"/>
      <c r="X102" s="158"/>
      <c r="Y102" s="158"/>
      <c r="Z102" s="1771" t="n">
        <f aca="false">F102+C102-B102</f>
        <v>0</v>
      </c>
      <c r="AA102" s="1772" t="n">
        <f aca="false">G102-H102-K102</f>
        <v>0</v>
      </c>
      <c r="AB102" s="1772" t="n">
        <f aca="false">L102-M102-P102</f>
        <v>0</v>
      </c>
      <c r="AC102" s="1002" t="n">
        <f aca="false">Q102-TableDE12b!G102</f>
        <v>0</v>
      </c>
      <c r="AD102" s="1771" t="n">
        <f aca="false">D102+E102-C102</f>
        <v>0</v>
      </c>
      <c r="AE102" s="1678"/>
      <c r="AF102" s="1678" t="n">
        <f aca="false">TableDE5a!G102+TableDE5c!E102-B102</f>
        <v>0</v>
      </c>
      <c r="AG102" s="1678" t="n">
        <f aca="false">TableDE5b!F102-TableDE12c!B102</f>
        <v>0</v>
      </c>
    </row>
    <row r="103" customFormat="false" ht="12" hidden="false" customHeight="false" outlineLevel="0" collapsed="false">
      <c r="A103" s="1704" t="n">
        <f aca="false">A102+1</f>
        <v>1963</v>
      </c>
      <c r="B103" s="1759" t="n">
        <f aca="false">TableDE12b!E103</f>
        <v>0.192494959304561</v>
      </c>
      <c r="C103" s="1764" t="n">
        <f aca="false">B103-F103</f>
        <v>0.145314807080079</v>
      </c>
      <c r="D103" s="1764" t="n">
        <f aca="false">TableDE12!I23</f>
        <v>0.0733324725396677</v>
      </c>
      <c r="E103" s="1764" t="n">
        <f aca="false">TableDE12!H23</f>
        <v>0.0719823345404117</v>
      </c>
      <c r="F103" s="1798" t="n">
        <f aca="false">DataDE1!ER24/DataDE1!B24</f>
        <v>0.0471801522244819</v>
      </c>
      <c r="G103" s="1763" t="n">
        <f aca="false">TableDE12b!F103</f>
        <v>0.18819979644799</v>
      </c>
      <c r="H103" s="1764" t="n">
        <f aca="false">G103-K103</f>
        <v>0.151611304590396</v>
      </c>
      <c r="I103" s="1769"/>
      <c r="J103" s="1769"/>
      <c r="K103" s="1769" t="n">
        <f aca="false">TableDE5c!F103</f>
        <v>0.0365884918575942</v>
      </c>
      <c r="L103" s="1766" t="n">
        <f aca="false">DataDE1!H24/DataDE1!B24</f>
        <v>0.113021322201378</v>
      </c>
      <c r="M103" s="1764" t="n">
        <f aca="false">L103-P103</f>
        <v>0.0987969712759846</v>
      </c>
      <c r="N103" s="1769"/>
      <c r="O103" s="1769"/>
      <c r="P103" s="1769" t="n">
        <f aca="false">DataDE1!BP24/DataDE1!B24</f>
        <v>0.0142243509253934</v>
      </c>
      <c r="Q103" s="1766" t="n">
        <f aca="false">TableDE12b!G103</f>
        <v>0.00429516285657124</v>
      </c>
      <c r="R103" s="1764" t="n">
        <f aca="false">C103-H103</f>
        <v>-0.00629649751031641</v>
      </c>
      <c r="S103" s="1769"/>
      <c r="T103" s="1769"/>
      <c r="U103" s="1799" t="n">
        <f aca="false">F103-K103</f>
        <v>0.0105916603668877</v>
      </c>
      <c r="V103" s="158"/>
      <c r="W103" s="158"/>
      <c r="X103" s="158"/>
      <c r="Y103" s="158"/>
      <c r="Z103" s="1771" t="n">
        <f aca="false">F103+C103-B103</f>
        <v>0</v>
      </c>
      <c r="AA103" s="1772" t="n">
        <f aca="false">G103-H103-K103</f>
        <v>0</v>
      </c>
      <c r="AB103" s="1772" t="n">
        <f aca="false">L103-M103-P103</f>
        <v>0</v>
      </c>
      <c r="AC103" s="1002" t="n">
        <f aca="false">Q103-TableDE12b!G103</f>
        <v>0</v>
      </c>
      <c r="AD103" s="1771" t="n">
        <f aca="false">D103+E103-C103</f>
        <v>0</v>
      </c>
      <c r="AE103" s="1678"/>
      <c r="AF103" s="1678" t="n">
        <f aca="false">TableDE5a!G103+TableDE5c!E103-B103</f>
        <v>0</v>
      </c>
      <c r="AG103" s="1678" t="n">
        <f aca="false">TableDE5b!F103-TableDE12c!B103</f>
        <v>0</v>
      </c>
    </row>
    <row r="104" customFormat="false" ht="12" hidden="false" customHeight="false" outlineLevel="0" collapsed="false">
      <c r="A104" s="1704" t="n">
        <f aca="false">A103+1</f>
        <v>1964</v>
      </c>
      <c r="B104" s="1759" t="n">
        <f aca="false">TableDE12b!E104</f>
        <v>0.212838203750957</v>
      </c>
      <c r="C104" s="1764" t="n">
        <f aca="false">B104-F104</f>
        <v>0.162032626093683</v>
      </c>
      <c r="D104" s="1764" t="n">
        <f aca="false">TableDE12!I24</f>
        <v>0.0807932197061177</v>
      </c>
      <c r="E104" s="1764" t="n">
        <f aca="false">TableDE12!H24</f>
        <v>0.0812394063875652</v>
      </c>
      <c r="F104" s="1798" t="n">
        <f aca="false">DataDE1!ER25/DataDE1!B25</f>
        <v>0.0508055776572743</v>
      </c>
      <c r="G104" s="1763" t="n">
        <f aca="false">TableDE12b!F104</f>
        <v>0.208606640264891</v>
      </c>
      <c r="H104" s="1764" t="n">
        <f aca="false">G104-K104</f>
        <v>0.166484140243707</v>
      </c>
      <c r="I104" s="1769"/>
      <c r="J104" s="1769"/>
      <c r="K104" s="1769" t="n">
        <f aca="false">TableDE5c!F104</f>
        <v>0.0421225000211844</v>
      </c>
      <c r="L104" s="1766" t="n">
        <f aca="false">DataDE1!H25/DataDE1!B25</f>
        <v>0.114707797083398</v>
      </c>
      <c r="M104" s="1764" t="n">
        <f aca="false">L104-P104</f>
        <v>0.100299124837601</v>
      </c>
      <c r="N104" s="1769"/>
      <c r="O104" s="1769"/>
      <c r="P104" s="1769" t="n">
        <f aca="false">DataDE1!BP25/DataDE1!B25</f>
        <v>0.0144086722457968</v>
      </c>
      <c r="Q104" s="1766" t="n">
        <f aca="false">TableDE12b!G104</f>
        <v>0.00423156348606621</v>
      </c>
      <c r="R104" s="1764" t="n">
        <f aca="false">C104-H104</f>
        <v>-0.00445151415002368</v>
      </c>
      <c r="S104" s="1769"/>
      <c r="T104" s="1769"/>
      <c r="U104" s="1799" t="n">
        <f aca="false">F104-K104</f>
        <v>0.00868307763608989</v>
      </c>
      <c r="V104" s="158"/>
      <c r="W104" s="158"/>
      <c r="X104" s="158"/>
      <c r="Y104" s="158"/>
      <c r="Z104" s="1771" t="n">
        <f aca="false">F104+C104-B104</f>
        <v>0</v>
      </c>
      <c r="AA104" s="1772" t="n">
        <f aca="false">G104-H104-K104</f>
        <v>0</v>
      </c>
      <c r="AB104" s="1772" t="n">
        <f aca="false">L104-M104-P104</f>
        <v>0</v>
      </c>
      <c r="AC104" s="1002" t="n">
        <f aca="false">Q104-TableDE12b!G104</f>
        <v>0</v>
      </c>
      <c r="AD104" s="1771" t="n">
        <f aca="false">D104+E104-C104</f>
        <v>0</v>
      </c>
      <c r="AE104" s="1678"/>
      <c r="AF104" s="1678" t="n">
        <f aca="false">TableDE5a!G104+TableDE5c!E104-B104</f>
        <v>0</v>
      </c>
      <c r="AG104" s="1678" t="n">
        <f aca="false">TableDE5b!F104-TableDE12c!B104</f>
        <v>0</v>
      </c>
    </row>
    <row r="105" customFormat="false" ht="12" hidden="false" customHeight="false" outlineLevel="0" collapsed="false">
      <c r="A105" s="1704" t="n">
        <f aca="false">A104+1</f>
        <v>1965</v>
      </c>
      <c r="B105" s="1759" t="n">
        <f aca="false">TableDE12b!E105</f>
        <v>0.198965692823902</v>
      </c>
      <c r="C105" s="1764" t="n">
        <f aca="false">B105-F105</f>
        <v>0.166631201809104</v>
      </c>
      <c r="D105" s="1764" t="n">
        <f aca="false">TableDE12!I25</f>
        <v>0.0901952115973582</v>
      </c>
      <c r="E105" s="1764" t="n">
        <f aca="false">TableDE12!H25</f>
        <v>0.0764359902117456</v>
      </c>
      <c r="F105" s="1798" t="n">
        <f aca="false">DataDE1!ER26/DataDE1!B26</f>
        <v>0.0323344910147986</v>
      </c>
      <c r="G105" s="1763" t="n">
        <f aca="false">TableDE12b!F105</f>
        <v>0.210961163239805</v>
      </c>
      <c r="H105" s="1764" t="n">
        <f aca="false">G105-K105</f>
        <v>0.173847561821936</v>
      </c>
      <c r="I105" s="1769"/>
      <c r="J105" s="1769"/>
      <c r="K105" s="1769" t="n">
        <f aca="false">TableDE5c!F105</f>
        <v>0.0371136014178694</v>
      </c>
      <c r="L105" s="1766" t="n">
        <f aca="false">DataDE1!H26/DataDE1!B26</f>
        <v>0.116942527889113</v>
      </c>
      <c r="M105" s="1764" t="n">
        <f aca="false">L105-P105</f>
        <v>0.102259711052986</v>
      </c>
      <c r="N105" s="1769"/>
      <c r="O105" s="1769"/>
      <c r="P105" s="1769" t="n">
        <f aca="false">DataDE1!BP26/DataDE1!B26</f>
        <v>0.0146828168361273</v>
      </c>
      <c r="Q105" s="1766" t="n">
        <f aca="false">TableDE12b!G105</f>
        <v>-0.0119954704159029</v>
      </c>
      <c r="R105" s="1764" t="n">
        <f aca="false">C105-H105</f>
        <v>-0.00721636001283207</v>
      </c>
      <c r="S105" s="1769"/>
      <c r="T105" s="1769"/>
      <c r="U105" s="1799" t="n">
        <f aca="false">F105-K105</f>
        <v>-0.00477911040307081</v>
      </c>
      <c r="V105" s="158"/>
      <c r="W105" s="158"/>
      <c r="X105" s="158"/>
      <c r="Y105" s="158"/>
      <c r="Z105" s="1771" t="n">
        <f aca="false">F105+C105-B105</f>
        <v>0</v>
      </c>
      <c r="AA105" s="1772" t="n">
        <f aca="false">G105-H105-K105</f>
        <v>0</v>
      </c>
      <c r="AB105" s="1772" t="n">
        <f aca="false">L105-M105-P105</f>
        <v>0</v>
      </c>
      <c r="AC105" s="1002" t="n">
        <f aca="false">Q105-TableDE12b!G105</f>
        <v>0</v>
      </c>
      <c r="AD105" s="1771" t="n">
        <f aca="false">D105+E105-C105</f>
        <v>0</v>
      </c>
      <c r="AE105" s="1678"/>
      <c r="AF105" s="1678" t="n">
        <f aca="false">TableDE5a!G105+TableDE5c!E105-B105</f>
        <v>0</v>
      </c>
      <c r="AG105" s="1678" t="n">
        <f aca="false">TableDE5b!F105-TableDE12c!B105</f>
        <v>0</v>
      </c>
    </row>
    <row r="106" customFormat="false" ht="12" hidden="false" customHeight="false" outlineLevel="0" collapsed="false">
      <c r="A106" s="1704" t="n">
        <f aca="false">A105+1</f>
        <v>1966</v>
      </c>
      <c r="B106" s="1759" t="n">
        <f aca="false">TableDE12b!E106</f>
        <v>0.190273407530237</v>
      </c>
      <c r="C106" s="1764" t="n">
        <f aca="false">B106-F106</f>
        <v>0.155713040821261</v>
      </c>
      <c r="D106" s="1764" t="n">
        <f aca="false">TableDE12!I26</f>
        <v>0.0864878429910414</v>
      </c>
      <c r="E106" s="1764" t="n">
        <f aca="false">TableDE12!H26</f>
        <v>0.0692251978302201</v>
      </c>
      <c r="F106" s="1798" t="n">
        <f aca="false">DataDE1!ER27/DataDE1!B27</f>
        <v>0.0345603667089753</v>
      </c>
      <c r="G106" s="1763" t="n">
        <f aca="false">TableDE12b!F106</f>
        <v>0.18504217621751</v>
      </c>
      <c r="H106" s="1764" t="n">
        <f aca="false">G106-K106</f>
        <v>0.150733566119598</v>
      </c>
      <c r="I106" s="1769"/>
      <c r="J106" s="1769"/>
      <c r="K106" s="1769" t="n">
        <f aca="false">TableDE5c!F106</f>
        <v>0.034308610097912</v>
      </c>
      <c r="L106" s="1766" t="n">
        <f aca="false">DataDE1!H27/DataDE1!B27</f>
        <v>0.121830253066478</v>
      </c>
      <c r="M106" s="1764" t="n">
        <f aca="false">L106-P106</f>
        <v>0.106444528455219</v>
      </c>
      <c r="N106" s="1769"/>
      <c r="O106" s="1769"/>
      <c r="P106" s="1769" t="n">
        <f aca="false">DataDE1!BP27/DataDE1!B27</f>
        <v>0.0153857246112588</v>
      </c>
      <c r="Q106" s="1766" t="n">
        <f aca="false">TableDE12b!G106</f>
        <v>0.00523123131272662</v>
      </c>
      <c r="R106" s="1764" t="n">
        <f aca="false">C106-H106</f>
        <v>0.00497947470166327</v>
      </c>
      <c r="S106" s="1769"/>
      <c r="T106" s="1769"/>
      <c r="U106" s="1799" t="n">
        <f aca="false">F106-K106</f>
        <v>0.000251756611063345</v>
      </c>
      <c r="V106" s="158"/>
      <c r="W106" s="158"/>
      <c r="X106" s="158"/>
      <c r="Y106" s="158"/>
      <c r="Z106" s="1771" t="n">
        <f aca="false">F106+C106-B106</f>
        <v>0</v>
      </c>
      <c r="AA106" s="1772" t="n">
        <f aca="false">G106-H106-K106</f>
        <v>0</v>
      </c>
      <c r="AB106" s="1772" t="n">
        <f aca="false">L106-M106-P106</f>
        <v>0</v>
      </c>
      <c r="AC106" s="1002" t="n">
        <f aca="false">Q106-TableDE12b!G106</f>
        <v>0</v>
      </c>
      <c r="AD106" s="1771" t="n">
        <f aca="false">D106+E106-C106</f>
        <v>0</v>
      </c>
      <c r="AE106" s="1678"/>
      <c r="AF106" s="1678" t="n">
        <f aca="false">TableDE5a!G106+TableDE5c!E106-B106</f>
        <v>0</v>
      </c>
      <c r="AG106" s="1678" t="n">
        <f aca="false">TableDE5b!F106-TableDE12c!B106</f>
        <v>0</v>
      </c>
    </row>
    <row r="107" customFormat="false" ht="12" hidden="false" customHeight="false" outlineLevel="0" collapsed="false">
      <c r="A107" s="1704" t="n">
        <f aca="false">A106+1</f>
        <v>1967</v>
      </c>
      <c r="B107" s="1759" t="n">
        <f aca="false">TableDE12b!E107</f>
        <v>0.167372304397925</v>
      </c>
      <c r="C107" s="1764" t="n">
        <f aca="false">B107-F107</f>
        <v>0.151821108085628</v>
      </c>
      <c r="D107" s="1764" t="n">
        <f aca="false">TableDE12!I27</f>
        <v>0.0836368767500594</v>
      </c>
      <c r="E107" s="1764" t="n">
        <f aca="false">TableDE12!H27</f>
        <v>0.0681842313355684</v>
      </c>
      <c r="F107" s="1798" t="n">
        <f aca="false">DataDE1!ER28/DataDE1!B28</f>
        <v>0.0155511963122977</v>
      </c>
      <c r="G107" s="1763" t="n">
        <f aca="false">TableDE12b!F107</f>
        <v>0.139610277639915</v>
      </c>
      <c r="H107" s="1764" t="n">
        <f aca="false">G107-K107</f>
        <v>0.111799891262021</v>
      </c>
      <c r="I107" s="1769"/>
      <c r="J107" s="1769"/>
      <c r="K107" s="1769" t="n">
        <f aca="false">TableDE5c!F107</f>
        <v>0.0278103863778948</v>
      </c>
      <c r="L107" s="1766" t="n">
        <f aca="false">DataDE1!H28/DataDE1!B28</f>
        <v>0.127865921824154</v>
      </c>
      <c r="M107" s="1764" t="n">
        <f aca="false">L107-P107</f>
        <v>0.111767133384509</v>
      </c>
      <c r="N107" s="1769"/>
      <c r="O107" s="1769"/>
      <c r="P107" s="1769" t="n">
        <f aca="false">DataDE1!BP28/DataDE1!B28</f>
        <v>0.0160987884396455</v>
      </c>
      <c r="Q107" s="1766" t="n">
        <f aca="false">TableDE12b!G107</f>
        <v>0.0277620267580101</v>
      </c>
      <c r="R107" s="1764" t="n">
        <f aca="false">C107-H107</f>
        <v>0.0400212168236071</v>
      </c>
      <c r="S107" s="1769"/>
      <c r="T107" s="1769"/>
      <c r="U107" s="1799" t="n">
        <f aca="false">F107-K107</f>
        <v>-0.0122591900655971</v>
      </c>
      <c r="V107" s="158"/>
      <c r="W107" s="158"/>
      <c r="X107" s="158"/>
      <c r="Y107" s="158"/>
      <c r="Z107" s="1771" t="n">
        <f aca="false">F107+C107-B107</f>
        <v>0</v>
      </c>
      <c r="AA107" s="1772" t="n">
        <f aca="false">G107-H107-K107</f>
        <v>0</v>
      </c>
      <c r="AB107" s="1772" t="n">
        <f aca="false">L107-M107-P107</f>
        <v>0</v>
      </c>
      <c r="AC107" s="1002" t="n">
        <f aca="false">Q107-TableDE12b!G107</f>
        <v>0</v>
      </c>
      <c r="AD107" s="1771" t="n">
        <f aca="false">D107+E107-C107</f>
        <v>0</v>
      </c>
      <c r="AE107" s="1678"/>
      <c r="AF107" s="1678" t="n">
        <f aca="false">TableDE5a!G107+TableDE5c!E107-B107</f>
        <v>0</v>
      </c>
      <c r="AG107" s="1678" t="n">
        <f aca="false">TableDE5b!F107-TableDE12c!B107</f>
        <v>0</v>
      </c>
    </row>
    <row r="108" customFormat="false" ht="12" hidden="false" customHeight="false" outlineLevel="0" collapsed="false">
      <c r="A108" s="1704" t="n">
        <f aca="false">A107+1</f>
        <v>1968</v>
      </c>
      <c r="B108" s="1759" t="n">
        <f aca="false">TableDE12b!E108</f>
        <v>0.186174453473155</v>
      </c>
      <c r="C108" s="1764" t="n">
        <f aca="false">B108-F108</f>
        <v>0.163465948328095</v>
      </c>
      <c r="D108" s="1764" t="n">
        <f aca="false">TableDE12!I28</f>
        <v>0.0931137083855779</v>
      </c>
      <c r="E108" s="1764" t="n">
        <f aca="false">TableDE12!H28</f>
        <v>0.0703522399425175</v>
      </c>
      <c r="F108" s="1798" t="n">
        <f aca="false">DataDE1!ER29/DataDE1!B29</f>
        <v>0.0227085051450599</v>
      </c>
      <c r="G108" s="1763" t="n">
        <f aca="false">TableDE12b!F108</f>
        <v>0.157688155734485</v>
      </c>
      <c r="H108" s="1764" t="n">
        <f aca="false">G108-K108</f>
        <v>0.129481872767716</v>
      </c>
      <c r="I108" s="1769"/>
      <c r="J108" s="1769"/>
      <c r="K108" s="1769" t="n">
        <f aca="false">TableDE5c!F108</f>
        <v>0.0282062829667689</v>
      </c>
      <c r="L108" s="1766" t="n">
        <f aca="false">DataDE1!H29/DataDE1!B29</f>
        <v>0.125531949802009</v>
      </c>
      <c r="M108" s="1764" t="n">
        <f aca="false">L108-P108</f>
        <v>0.109348791344455</v>
      </c>
      <c r="N108" s="1769"/>
      <c r="O108" s="1769"/>
      <c r="P108" s="1769" t="n">
        <f aca="false">DataDE1!BP29/DataDE1!B29</f>
        <v>0.0161831584575533</v>
      </c>
      <c r="Q108" s="1766" t="n">
        <f aca="false">TableDE12b!G108</f>
        <v>0.0284862977386702</v>
      </c>
      <c r="R108" s="1764" t="n">
        <f aca="false">C108-H108</f>
        <v>0.0339840755603792</v>
      </c>
      <c r="S108" s="1769"/>
      <c r="T108" s="1769"/>
      <c r="U108" s="1799" t="n">
        <f aca="false">F108-K108</f>
        <v>-0.00549777782170901</v>
      </c>
      <c r="V108" s="158"/>
      <c r="W108" s="158"/>
      <c r="X108" s="158"/>
      <c r="Y108" s="158"/>
      <c r="Z108" s="1771" t="n">
        <f aca="false">F108+C108-B108</f>
        <v>0</v>
      </c>
      <c r="AA108" s="1772" t="n">
        <f aca="false">G108-H108-K108</f>
        <v>0</v>
      </c>
      <c r="AB108" s="1772" t="n">
        <f aca="false">L108-M108-P108</f>
        <v>0</v>
      </c>
      <c r="AC108" s="1002" t="n">
        <f aca="false">Q108-TableDE12b!G108</f>
        <v>0</v>
      </c>
      <c r="AD108" s="1771" t="n">
        <f aca="false">D108+E108-C108</f>
        <v>0</v>
      </c>
      <c r="AE108" s="1678"/>
      <c r="AF108" s="1678" t="n">
        <f aca="false">TableDE5a!G108+TableDE5c!E108-B108</f>
        <v>0</v>
      </c>
      <c r="AG108" s="1678" t="n">
        <f aca="false">TableDE5b!F108-TableDE12c!B108</f>
        <v>0</v>
      </c>
    </row>
    <row r="109" customFormat="false" ht="12" hidden="false" customHeight="false" outlineLevel="0" collapsed="false">
      <c r="A109" s="1704" t="n">
        <f aca="false">A108+1</f>
        <v>1969</v>
      </c>
      <c r="B109" s="1759" t="n">
        <f aca="false">TableDE12b!E109</f>
        <v>0.19918740713178</v>
      </c>
      <c r="C109" s="1764" t="n">
        <f aca="false">B109-F109</f>
        <v>0.155456095789605</v>
      </c>
      <c r="D109" s="1764" t="n">
        <f aca="false">TableDE12!I29</f>
        <v>0.0964638492315008</v>
      </c>
      <c r="E109" s="1764" t="n">
        <f aca="false">TableDE12!H29</f>
        <v>0.0589922465581041</v>
      </c>
      <c r="F109" s="1798" t="n">
        <f aca="false">DataDE1!ER30/DataDE1!B30</f>
        <v>0.0437313113421748</v>
      </c>
      <c r="G109" s="1763" t="n">
        <f aca="false">TableDE12b!F109</f>
        <v>0.18050700333261</v>
      </c>
      <c r="H109" s="1764" t="n">
        <f aca="false">G109-K109</f>
        <v>0.151123330658936</v>
      </c>
      <c r="I109" s="1769"/>
      <c r="J109" s="1769"/>
      <c r="K109" s="1769" t="n">
        <f aca="false">TableDE5c!F109</f>
        <v>0.029383672673674</v>
      </c>
      <c r="L109" s="1766" t="n">
        <f aca="false">DataDE1!H30/DataDE1!B30</f>
        <v>0.121581757469311</v>
      </c>
      <c r="M109" s="1764" t="n">
        <f aca="false">L109-P109</f>
        <v>0.105578211170565</v>
      </c>
      <c r="N109" s="1769"/>
      <c r="O109" s="1769"/>
      <c r="P109" s="1769" t="n">
        <f aca="false">DataDE1!BP30/DataDE1!B30</f>
        <v>0.0160035462987461</v>
      </c>
      <c r="Q109" s="1766" t="n">
        <f aca="false">TableDE12b!G109</f>
        <v>0.0186804037991703</v>
      </c>
      <c r="R109" s="1764" t="n">
        <f aca="false">C109-H109</f>
        <v>0.00433276513066949</v>
      </c>
      <c r="S109" s="1769"/>
      <c r="T109" s="1769"/>
      <c r="U109" s="1799" t="n">
        <f aca="false">F109-K109</f>
        <v>0.0143476386685008</v>
      </c>
      <c r="V109" s="158"/>
      <c r="W109" s="158"/>
      <c r="X109" s="158"/>
      <c r="Y109" s="158"/>
      <c r="Z109" s="1771" t="n">
        <f aca="false">F109+C109-B109</f>
        <v>0</v>
      </c>
      <c r="AA109" s="1772" t="n">
        <f aca="false">G109-H109-K109</f>
        <v>0</v>
      </c>
      <c r="AB109" s="1772" t="n">
        <f aca="false">L109-M109-P109</f>
        <v>0</v>
      </c>
      <c r="AC109" s="1002" t="n">
        <f aca="false">Q109-TableDE12b!G109</f>
        <v>0</v>
      </c>
      <c r="AD109" s="1771" t="n">
        <f aca="false">D109+E109-C109</f>
        <v>0</v>
      </c>
      <c r="AE109" s="1678"/>
      <c r="AF109" s="1678" t="n">
        <f aca="false">TableDE5a!G109+TableDE5c!E109-B109</f>
        <v>0</v>
      </c>
      <c r="AG109" s="1678" t="n">
        <f aca="false">TableDE5b!F109-TableDE12c!B109</f>
        <v>0</v>
      </c>
    </row>
    <row r="110" customFormat="false" ht="12" hidden="false" customHeight="false" outlineLevel="0" collapsed="false">
      <c r="A110" s="1708" t="n">
        <f aca="false">A109+1</f>
        <v>1970</v>
      </c>
      <c r="B110" s="1800" t="n">
        <f aca="false">TableDE12b!E110</f>
        <v>0.205094668659691</v>
      </c>
      <c r="C110" s="1801" t="n">
        <f aca="false">B110-F110</f>
        <v>0.163334591429995</v>
      </c>
      <c r="D110" s="1801" t="n">
        <f aca="false">TableDE12!I30</f>
        <v>0.102508295242015</v>
      </c>
      <c r="E110" s="1801" t="n">
        <f aca="false">TableDE12!H30</f>
        <v>0.0608262961879797</v>
      </c>
      <c r="F110" s="1802" t="n">
        <f aca="false">DataDE1!ER31/DataDE1!B31</f>
        <v>0.0417600772296961</v>
      </c>
      <c r="G110" s="1803" t="n">
        <f aca="false">TableDE12b!F110</f>
        <v>0.193198804185351</v>
      </c>
      <c r="H110" s="1801" t="n">
        <f aca="false">G110-K110</f>
        <v>0.156981813652217</v>
      </c>
      <c r="I110" s="1804"/>
      <c r="J110" s="1804"/>
      <c r="K110" s="1804" t="n">
        <f aca="false">TableDE5c!F110</f>
        <v>0.036216990533134</v>
      </c>
      <c r="L110" s="1805" t="n">
        <f aca="false">DataDE1!H31/DataDE1!B31</f>
        <v>0.126183358246139</v>
      </c>
      <c r="M110" s="1801" t="n">
        <f aca="false">L110-P110</f>
        <v>0.109336073741903</v>
      </c>
      <c r="N110" s="1804"/>
      <c r="O110" s="1804"/>
      <c r="P110" s="1804" t="n">
        <f aca="false">DataDE1!BP31/DataDE1!B31</f>
        <v>0.0168472845042352</v>
      </c>
      <c r="Q110" s="1805" t="n">
        <f aca="false">TableDE12b!G110</f>
        <v>0.0118958644743398</v>
      </c>
      <c r="R110" s="1801" t="n">
        <f aca="false">C110-H110</f>
        <v>0.00635277777777779</v>
      </c>
      <c r="S110" s="1804"/>
      <c r="T110" s="1804"/>
      <c r="U110" s="1806" t="n">
        <f aca="false">F110-K110</f>
        <v>0.00554308669656205</v>
      </c>
      <c r="V110" s="158"/>
      <c r="W110" s="158"/>
      <c r="X110" s="158"/>
      <c r="Y110" s="158"/>
      <c r="Z110" s="1771" t="n">
        <f aca="false">F110+C110-B110</f>
        <v>0</v>
      </c>
      <c r="AA110" s="1772" t="n">
        <f aca="false">G110-H110-K110</f>
        <v>0</v>
      </c>
      <c r="AB110" s="1772" t="n">
        <f aca="false">L110-M110-P110</f>
        <v>0</v>
      </c>
      <c r="AC110" s="1002" t="n">
        <f aca="false">Q110-TableDE12b!G110</f>
        <v>0</v>
      </c>
      <c r="AD110" s="1771" t="n">
        <f aca="false">D110+E110-C110</f>
        <v>0</v>
      </c>
      <c r="AE110" s="1678"/>
      <c r="AF110" s="1678" t="n">
        <f aca="false">TableDE5a!G110+TableDE5c!E110-B110</f>
        <v>0</v>
      </c>
      <c r="AG110" s="1678" t="n">
        <f aca="false">TableDE5b!F110-TableDE12c!B110</f>
        <v>0</v>
      </c>
    </row>
    <row r="111" customFormat="false" ht="12" hidden="false" customHeight="false" outlineLevel="0" collapsed="false">
      <c r="A111" s="1704" t="n">
        <v>1971</v>
      </c>
      <c r="B111" s="1759" t="n">
        <f aca="false">TableDE12b!E111</f>
        <v>0.18779263270717</v>
      </c>
      <c r="C111" s="1764" t="n">
        <f aca="false">B111-F111</f>
        <v>0.152056196762001</v>
      </c>
      <c r="D111" s="1764" t="n">
        <f aca="false">TableDE12!I31</f>
        <v>0.100607094066776</v>
      </c>
      <c r="E111" s="1764" t="n">
        <f aca="false">TableDE12!H31</f>
        <v>0.0514491026952254</v>
      </c>
      <c r="F111" s="1798" t="n">
        <f aca="false">DataDE1!ER32/DataDE1!B32</f>
        <v>0.0357364359451684</v>
      </c>
      <c r="G111" s="1763" t="n">
        <f aca="false">TableDE12b!F111</f>
        <v>0.18170023128561</v>
      </c>
      <c r="H111" s="1764" t="n">
        <f aca="false">G111-K111</f>
        <v>0.147176623230101</v>
      </c>
      <c r="I111" s="1769"/>
      <c r="J111" s="1769"/>
      <c r="K111" s="1769" t="n">
        <f aca="false">TableDE5c!F111</f>
        <v>0.0345236080555085</v>
      </c>
      <c r="L111" s="1766" t="n">
        <f aca="false">DataDE1!H32/DataDE1!B32</f>
        <v>0.130591752693631</v>
      </c>
      <c r="M111" s="1764" t="n">
        <f aca="false">L111-P111</f>
        <v>0.113442770914424</v>
      </c>
      <c r="N111" s="1769"/>
      <c r="O111" s="1769"/>
      <c r="P111" s="1769" t="n">
        <f aca="false">DataDE1!BP32/DataDE1!B32</f>
        <v>0.0171489817792069</v>
      </c>
      <c r="Q111" s="1766" t="n">
        <f aca="false">TableDE12b!G111</f>
        <v>0.00609240142156031</v>
      </c>
      <c r="R111" s="1764" t="n">
        <f aca="false">C111-H111</f>
        <v>0.00487957353190047</v>
      </c>
      <c r="S111" s="1769"/>
      <c r="T111" s="1769"/>
      <c r="U111" s="1799" t="n">
        <f aca="false">F111-K111</f>
        <v>0.00121282788965984</v>
      </c>
      <c r="V111" s="158"/>
      <c r="W111" s="158"/>
      <c r="X111" s="158"/>
      <c r="Y111" s="158"/>
      <c r="Z111" s="1771" t="n">
        <f aca="false">F111+C111-B111</f>
        <v>0</v>
      </c>
      <c r="AA111" s="1772" t="n">
        <f aca="false">G111-H111-K111</f>
        <v>0</v>
      </c>
      <c r="AB111" s="1772" t="n">
        <f aca="false">L111-M111-P111</f>
        <v>0</v>
      </c>
      <c r="AC111" s="1002" t="n">
        <f aca="false">Q111-TableDE12b!G111</f>
        <v>0</v>
      </c>
      <c r="AD111" s="1771" t="n">
        <f aca="false">D111+E111-C111</f>
        <v>0</v>
      </c>
      <c r="AE111" s="1678"/>
      <c r="AF111" s="1678" t="n">
        <f aca="false">TableDE5a!G111+TableDE5c!E111-B111</f>
        <v>0</v>
      </c>
      <c r="AG111" s="1678" t="n">
        <f aca="false">TableDE5b!F111-TableDE12c!B111</f>
        <v>0</v>
      </c>
    </row>
    <row r="112" customFormat="false" ht="12" hidden="false" customHeight="false" outlineLevel="0" collapsed="false">
      <c r="A112" s="1704" t="n">
        <v>1972</v>
      </c>
      <c r="B112" s="1759" t="n">
        <f aca="false">TableDE12b!E112</f>
        <v>0.174086757990868</v>
      </c>
      <c r="C112" s="1764" t="n">
        <f aca="false">B112-F112</f>
        <v>0.149517444997924</v>
      </c>
      <c r="D112" s="1764" t="n">
        <f aca="false">TableDE12!I32</f>
        <v>0.109649013963338</v>
      </c>
      <c r="E112" s="1764" t="n">
        <f aca="false">TableDE12!H32</f>
        <v>0.0398684310345865</v>
      </c>
      <c r="F112" s="1798" t="n">
        <f aca="false">DataDE1!ER33/DataDE1!B33</f>
        <v>0.0245693129929431</v>
      </c>
      <c r="G112" s="1763" t="n">
        <f aca="false">TableDE12b!F112</f>
        <v>0.168404939809049</v>
      </c>
      <c r="H112" s="1764" t="n">
        <f aca="false">G112-K112</f>
        <v>0.139113740141137</v>
      </c>
      <c r="I112" s="1769"/>
      <c r="J112" s="1769"/>
      <c r="K112" s="1769" t="n">
        <f aca="false">TableDE5c!F112</f>
        <v>0.029291199667912</v>
      </c>
      <c r="L112" s="1766" t="n">
        <f aca="false">DataDE1!H33/DataDE1!B33</f>
        <v>0.132783312577833</v>
      </c>
      <c r="M112" s="1764" t="n">
        <f aca="false">L112-P112</f>
        <v>0.115322748028227</v>
      </c>
      <c r="N112" s="1769"/>
      <c r="O112" s="1769"/>
      <c r="P112" s="1769" t="n">
        <f aca="false">DataDE1!BP33/DataDE1!B33</f>
        <v>0.0174605645496056</v>
      </c>
      <c r="Q112" s="1766" t="n">
        <f aca="false">TableDE12b!G112</f>
        <v>0.00568181818181816</v>
      </c>
      <c r="R112" s="1764" t="n">
        <f aca="false">C112-H112</f>
        <v>0.010403704856787</v>
      </c>
      <c r="S112" s="1769"/>
      <c r="T112" s="1769"/>
      <c r="U112" s="1799" t="n">
        <f aca="false">F112-K112</f>
        <v>-0.00472188667496887</v>
      </c>
      <c r="V112" s="158"/>
      <c r="W112" s="158"/>
      <c r="X112" s="158"/>
      <c r="Y112" s="158"/>
      <c r="Z112" s="1771" t="n">
        <f aca="false">F112+C112-B112</f>
        <v>0</v>
      </c>
      <c r="AA112" s="1772" t="n">
        <f aca="false">G112-H112-K112</f>
        <v>0</v>
      </c>
      <c r="AB112" s="1772" t="n">
        <f aca="false">L112-M112-P112</f>
        <v>0</v>
      </c>
      <c r="AC112" s="1002" t="n">
        <f aca="false">Q112-TableDE12b!G112</f>
        <v>0</v>
      </c>
      <c r="AD112" s="1771" t="n">
        <f aca="false">D112+E112-C112</f>
        <v>0</v>
      </c>
      <c r="AE112" s="1678"/>
      <c r="AF112" s="1678" t="n">
        <f aca="false">TableDE5a!G112+TableDE5c!E112-B112</f>
        <v>0</v>
      </c>
      <c r="AG112" s="1678" t="n">
        <f aca="false">TableDE5b!F112-TableDE12c!B112</f>
        <v>0</v>
      </c>
    </row>
    <row r="113" customFormat="false" ht="12" hidden="false" customHeight="false" outlineLevel="0" collapsed="false">
      <c r="A113" s="1704" t="n">
        <v>1973</v>
      </c>
      <c r="B113" s="1759" t="n">
        <f aca="false">TableDE12b!E113</f>
        <v>0.172160916329096</v>
      </c>
      <c r="C113" s="1764" t="n">
        <f aca="false">B113-F113</f>
        <v>0.133445090096382</v>
      </c>
      <c r="D113" s="1764" t="n">
        <f aca="false">TableDE12!I33</f>
        <v>0.10322653893987</v>
      </c>
      <c r="E113" s="1764" t="n">
        <f aca="false">TableDE12!H33</f>
        <v>0.0302185511565119</v>
      </c>
      <c r="F113" s="1798" t="n">
        <f aca="false">DataDE1!ER34/DataDE1!B34</f>
        <v>0.038715826232714</v>
      </c>
      <c r="G113" s="1763" t="n">
        <f aca="false">TableDE12b!F113</f>
        <v>0.156120501001071</v>
      </c>
      <c r="H113" s="1764" t="n">
        <f aca="false">G113-K113</f>
        <v>0.12969688503981</v>
      </c>
      <c r="I113" s="1769"/>
      <c r="J113" s="1769"/>
      <c r="K113" s="1769" t="n">
        <f aca="false">TableDE5c!F113</f>
        <v>0.0264236159612609</v>
      </c>
      <c r="L113" s="1766" t="n">
        <f aca="false">DataDE1!H34/DataDE1!B34</f>
        <v>0.131978395492853</v>
      </c>
      <c r="M113" s="1764" t="n">
        <f aca="false">L113-P113</f>
        <v>0.114867067095032</v>
      </c>
      <c r="N113" s="1769"/>
      <c r="O113" s="1769"/>
      <c r="P113" s="1769" t="n">
        <f aca="false">DataDE1!BP34/DataDE1!B34</f>
        <v>0.0171113283978209</v>
      </c>
      <c r="Q113" s="1766" t="n">
        <f aca="false">TableDE12b!G113</f>
        <v>0.0160404153280253</v>
      </c>
      <c r="R113" s="1764" t="n">
        <f aca="false">C113-H113</f>
        <v>0.00374820505657217</v>
      </c>
      <c r="S113" s="1769"/>
      <c r="T113" s="1769"/>
      <c r="U113" s="1799" t="n">
        <f aca="false">F113-K113</f>
        <v>0.0122922102714532</v>
      </c>
      <c r="V113" s="158"/>
      <c r="W113" s="158"/>
      <c r="X113" s="158"/>
      <c r="Y113" s="158"/>
      <c r="Z113" s="1771" t="n">
        <f aca="false">F113+C113-B113</f>
        <v>0</v>
      </c>
      <c r="AA113" s="1772" t="n">
        <f aca="false">G113-H113-K113</f>
        <v>0</v>
      </c>
      <c r="AB113" s="1772" t="n">
        <f aca="false">L113-M113-P113</f>
        <v>0</v>
      </c>
      <c r="AC113" s="1002" t="n">
        <f aca="false">Q113-TableDE12b!G113</f>
        <v>0</v>
      </c>
      <c r="AD113" s="1771" t="n">
        <f aca="false">D113+E113-C113</f>
        <v>0</v>
      </c>
      <c r="AE113" s="1678"/>
      <c r="AF113" s="1678" t="n">
        <f aca="false">TableDE5a!G113+TableDE5c!E113-B113</f>
        <v>0</v>
      </c>
      <c r="AG113" s="1678" t="n">
        <f aca="false">TableDE5b!F113-TableDE12c!B113</f>
        <v>0</v>
      </c>
    </row>
    <row r="114" customFormat="false" ht="12" hidden="false" customHeight="false" outlineLevel="0" collapsed="false">
      <c r="A114" s="1704" t="n">
        <v>1974</v>
      </c>
      <c r="B114" s="1759" t="n">
        <f aca="false">TableDE12b!E114</f>
        <v>0.153599930791358</v>
      </c>
      <c r="C114" s="1764" t="n">
        <f aca="false">B114-F114</f>
        <v>0.141769587127192</v>
      </c>
      <c r="D114" s="1764" t="n">
        <f aca="false">TableDE12!I34</f>
        <v>0.111056441089748</v>
      </c>
      <c r="E114" s="1764" t="n">
        <f aca="false">TableDE12!H34</f>
        <v>0.0307131460374448</v>
      </c>
      <c r="F114" s="1798" t="n">
        <f aca="false">DataDE1!ER35/DataDE1!B35</f>
        <v>0.011830343664165</v>
      </c>
      <c r="G114" s="1763" t="n">
        <f aca="false">TableDE12b!F114</f>
        <v>0.123580682137682</v>
      </c>
      <c r="H114" s="1764" t="n">
        <f aca="false">G114-K114</f>
        <v>0.0928477193589549</v>
      </c>
      <c r="I114" s="1769"/>
      <c r="J114" s="1769"/>
      <c r="K114" s="1769" t="n">
        <f aca="false">TableDE5c!F114</f>
        <v>0.030732962778727</v>
      </c>
      <c r="L114" s="1766" t="n">
        <f aca="false">DataDE1!H35/DataDE1!B35</f>
        <v>0.138157752449337</v>
      </c>
      <c r="M114" s="1764" t="n">
        <f aca="false">L114-P114</f>
        <v>0.119925600709389</v>
      </c>
      <c r="N114" s="1769"/>
      <c r="O114" s="1769"/>
      <c r="P114" s="1769" t="n">
        <f aca="false">DataDE1!BP35/DataDE1!B35</f>
        <v>0.0182321517399485</v>
      </c>
      <c r="Q114" s="1766" t="n">
        <f aca="false">TableDE12b!G114</f>
        <v>0.0300192486536756</v>
      </c>
      <c r="R114" s="1764" t="n">
        <f aca="false">C114-H114</f>
        <v>0.0489218677682375</v>
      </c>
      <c r="S114" s="1769"/>
      <c r="T114" s="1769"/>
      <c r="U114" s="1799" t="n">
        <f aca="false">F114-K114</f>
        <v>-0.018902619114562</v>
      </c>
      <c r="V114" s="158"/>
      <c r="W114" s="158"/>
      <c r="X114" s="158"/>
      <c r="Y114" s="158"/>
      <c r="Z114" s="1771" t="n">
        <f aca="false">F114+C114-B114</f>
        <v>0</v>
      </c>
      <c r="AA114" s="1772" t="n">
        <f aca="false">G114-H114-K114</f>
        <v>0</v>
      </c>
      <c r="AB114" s="1772" t="n">
        <f aca="false">L114-M114-P114</f>
        <v>0</v>
      </c>
      <c r="AC114" s="1002" t="n">
        <f aca="false">Q114-TableDE12b!G114</f>
        <v>0</v>
      </c>
      <c r="AD114" s="1771" t="n">
        <f aca="false">D114+E114-C114</f>
        <v>0</v>
      </c>
      <c r="AE114" s="1678"/>
      <c r="AF114" s="1678" t="n">
        <f aca="false">TableDE5a!G114+TableDE5c!E114-B114</f>
        <v>0</v>
      </c>
      <c r="AG114" s="1678" t="n">
        <f aca="false">TableDE5b!F114-TableDE12c!B114</f>
        <v>0</v>
      </c>
    </row>
    <row r="115" customFormat="false" ht="12" hidden="false" customHeight="false" outlineLevel="0" collapsed="false">
      <c r="A115" s="1704" t="n">
        <v>1975</v>
      </c>
      <c r="B115" s="1759" t="n">
        <f aca="false">TableDE12b!E115</f>
        <v>0.111477176187812</v>
      </c>
      <c r="C115" s="1764" t="n">
        <f aca="false">B115-F115</f>
        <v>0.147137448457347</v>
      </c>
      <c r="D115" s="1764" t="n">
        <f aca="false">TableDE12!I35</f>
        <v>0.121352825172545</v>
      </c>
      <c r="E115" s="1764" t="n">
        <f aca="false">TableDE12!H35</f>
        <v>0.025784623284802</v>
      </c>
      <c r="F115" s="1798" t="n">
        <f aca="false">DataDE1!ER36/DataDE1!B36</f>
        <v>-0.0356602722695345</v>
      </c>
      <c r="G115" s="1763" t="n">
        <f aca="false">TableDE12b!F115</f>
        <v>0.098671805391517</v>
      </c>
      <c r="H115" s="1764" t="n">
        <f aca="false">G115-K115</f>
        <v>0.0700151260852448</v>
      </c>
      <c r="I115" s="1769"/>
      <c r="J115" s="1769"/>
      <c r="K115" s="1769" t="n">
        <f aca="false">TableDE5c!F115</f>
        <v>0.0286566793062721</v>
      </c>
      <c r="L115" s="1766" t="n">
        <f aca="false">DataDE1!H36/DataDE1!B36</f>
        <v>0.143822133814053</v>
      </c>
      <c r="M115" s="1764" t="n">
        <f aca="false">L115-P115</f>
        <v>0.124779842937361</v>
      </c>
      <c r="N115" s="1769"/>
      <c r="O115" s="1769"/>
      <c r="P115" s="1769" t="n">
        <f aca="false">DataDE1!BP36/DataDE1!B36</f>
        <v>0.0190422908766913</v>
      </c>
      <c r="Q115" s="1766" t="n">
        <f aca="false">TableDE12b!G115</f>
        <v>0.0128053707962951</v>
      </c>
      <c r="R115" s="1764" t="n">
        <f aca="false">C115-H115</f>
        <v>0.0771223223721018</v>
      </c>
      <c r="S115" s="1769"/>
      <c r="T115" s="1769"/>
      <c r="U115" s="1799" t="n">
        <f aca="false">F115-K115</f>
        <v>-0.0643169515758066</v>
      </c>
      <c r="V115" s="158"/>
      <c r="W115" s="158"/>
      <c r="X115" s="158"/>
      <c r="Y115" s="158"/>
      <c r="Z115" s="1771" t="n">
        <f aca="false">F115+C115-B115</f>
        <v>0</v>
      </c>
      <c r="AA115" s="1772" t="n">
        <f aca="false">G115-H115-K115</f>
        <v>0</v>
      </c>
      <c r="AB115" s="1772" t="n">
        <f aca="false">L115-M115-P115</f>
        <v>0</v>
      </c>
      <c r="AC115" s="1002" t="n">
        <f aca="false">Q115-TableDE12b!G115</f>
        <v>0</v>
      </c>
      <c r="AD115" s="1771" t="n">
        <f aca="false">D115+E115-C115</f>
        <v>0</v>
      </c>
      <c r="AE115" s="1678"/>
      <c r="AF115" s="1678" t="n">
        <f aca="false">TableDE5a!G115+TableDE5c!E115-B115</f>
        <v>0</v>
      </c>
      <c r="AG115" s="1678" t="n">
        <f aca="false">TableDE5b!F115-TableDE12c!B115</f>
        <v>0</v>
      </c>
    </row>
    <row r="116" customFormat="false" ht="12" hidden="false" customHeight="false" outlineLevel="0" collapsed="false">
      <c r="A116" s="1704" t="n">
        <v>1976</v>
      </c>
      <c r="B116" s="1759" t="n">
        <f aca="false">TableDE12b!E116</f>
        <v>0.12118209706</v>
      </c>
      <c r="C116" s="1764" t="n">
        <f aca="false">B116-F116</f>
        <v>0.136920534268239</v>
      </c>
      <c r="D116" s="1764" t="n">
        <f aca="false">TableDE12!I36</f>
        <v>0.105951699473701</v>
      </c>
      <c r="E116" s="1764" t="n">
        <f aca="false">TableDE12!H36</f>
        <v>0.0309688347945381</v>
      </c>
      <c r="F116" s="1798" t="n">
        <f aca="false">DataDE1!ER37/DataDE1!B37</f>
        <v>-0.0157384372082388</v>
      </c>
      <c r="G116" s="1763" t="n">
        <f aca="false">TableDE12b!F116</f>
        <v>0.111731417792428</v>
      </c>
      <c r="H116" s="1764" t="n">
        <f aca="false">G116-K116</f>
        <v>0.0881047196234971</v>
      </c>
      <c r="I116" s="1769"/>
      <c r="J116" s="1769"/>
      <c r="K116" s="1769" t="n">
        <f aca="false">TableDE5c!F116</f>
        <v>0.0236266981689309</v>
      </c>
      <c r="L116" s="1766" t="n">
        <f aca="false">DataDE1!H37/DataDE1!B37</f>
        <v>0.141302898081283</v>
      </c>
      <c r="M116" s="1764" t="n">
        <f aca="false">L116-P116</f>
        <v>0.122496808490368</v>
      </c>
      <c r="N116" s="1769"/>
      <c r="O116" s="1769"/>
      <c r="P116" s="1769" t="n">
        <f aca="false">DataDE1!BP37/DataDE1!B37</f>
        <v>0.0188060895909152</v>
      </c>
      <c r="Q116" s="1766" t="n">
        <f aca="false">TableDE12b!G116</f>
        <v>0.00945067926757235</v>
      </c>
      <c r="R116" s="1764" t="n">
        <f aca="false">C116-H116</f>
        <v>0.0488158146447421</v>
      </c>
      <c r="S116" s="1769"/>
      <c r="T116" s="1769"/>
      <c r="U116" s="1799" t="n">
        <f aca="false">F116-K116</f>
        <v>-0.0393651353771697</v>
      </c>
      <c r="V116" s="158"/>
      <c r="W116" s="158"/>
      <c r="X116" s="158"/>
      <c r="Y116" s="158"/>
      <c r="Z116" s="1771" t="n">
        <f aca="false">F116+C116-B116</f>
        <v>0</v>
      </c>
      <c r="AA116" s="1772" t="n">
        <f aca="false">G116-H116-K116</f>
        <v>0</v>
      </c>
      <c r="AB116" s="1772" t="n">
        <f aca="false">L116-M116-P116</f>
        <v>0</v>
      </c>
      <c r="AC116" s="1002" t="n">
        <f aca="false">Q116-TableDE12b!G116</f>
        <v>0</v>
      </c>
      <c r="AD116" s="1771" t="n">
        <f aca="false">D116+E116-C116</f>
        <v>0</v>
      </c>
      <c r="AE116" s="1678"/>
      <c r="AF116" s="1678" t="n">
        <f aca="false">TableDE5a!G116+TableDE5c!E116-B116</f>
        <v>0</v>
      </c>
      <c r="AG116" s="1678" t="n">
        <f aca="false">TableDE5b!F116-TableDE12c!B116</f>
        <v>0</v>
      </c>
    </row>
    <row r="117" customFormat="false" ht="12" hidden="false" customHeight="false" outlineLevel="0" collapsed="false">
      <c r="A117" s="1704" t="n">
        <v>1977</v>
      </c>
      <c r="B117" s="1759" t="n">
        <f aca="false">TableDE12b!E117</f>
        <v>0.118382629570576</v>
      </c>
      <c r="C117" s="1764" t="n">
        <f aca="false">B117-F117</f>
        <v>0.1262473423028</v>
      </c>
      <c r="D117" s="1764" t="n">
        <f aca="false">TableDE12!I37</f>
        <v>0.0966430447686635</v>
      </c>
      <c r="E117" s="1764" t="n">
        <f aca="false">TableDE12!H37</f>
        <v>0.0296042975341366</v>
      </c>
      <c r="F117" s="1798" t="n">
        <f aca="false">DataDE1!ER38/DataDE1!B38</f>
        <v>-0.00786471273222387</v>
      </c>
      <c r="G117" s="1763" t="n">
        <f aca="false">TableDE12b!F117</f>
        <v>0.108296458195238</v>
      </c>
      <c r="H117" s="1764" t="n">
        <f aca="false">G117-K117</f>
        <v>0.0871746179616259</v>
      </c>
      <c r="I117" s="1769"/>
      <c r="J117" s="1769"/>
      <c r="K117" s="1769" t="n">
        <f aca="false">TableDE5c!F117</f>
        <v>0.0211218402336122</v>
      </c>
      <c r="L117" s="1766" t="n">
        <f aca="false">DataDE1!H38/DataDE1!B38</f>
        <v>0.141582615238539</v>
      </c>
      <c r="M117" s="1764" t="n">
        <f aca="false">L117-P117</f>
        <v>0.122485175298733</v>
      </c>
      <c r="N117" s="1769"/>
      <c r="O117" s="1769"/>
      <c r="P117" s="1769" t="n">
        <f aca="false">DataDE1!BP38/DataDE1!B38</f>
        <v>0.0190974399398054</v>
      </c>
      <c r="Q117" s="1766" t="n">
        <f aca="false">TableDE12b!G117</f>
        <v>0.0100861713753381</v>
      </c>
      <c r="R117" s="1764" t="n">
        <f aca="false">C117-H117</f>
        <v>0.0390727243411742</v>
      </c>
      <c r="S117" s="1769"/>
      <c r="T117" s="1769"/>
      <c r="U117" s="1799" t="n">
        <f aca="false">F117-K117</f>
        <v>-0.0289865529658361</v>
      </c>
      <c r="V117" s="158"/>
      <c r="W117" s="158"/>
      <c r="X117" s="158"/>
      <c r="Y117" s="158"/>
      <c r="Z117" s="1771" t="n">
        <f aca="false">F117+C117-B117</f>
        <v>0</v>
      </c>
      <c r="AA117" s="1772" t="n">
        <f aca="false">G117-H117-K117</f>
        <v>0</v>
      </c>
      <c r="AB117" s="1772" t="n">
        <f aca="false">L117-M117-P117</f>
        <v>0</v>
      </c>
      <c r="AC117" s="1002" t="n">
        <f aca="false">Q117-TableDE12b!G117</f>
        <v>0</v>
      </c>
      <c r="AD117" s="1771" t="n">
        <f aca="false">D117+E117-C117</f>
        <v>0</v>
      </c>
      <c r="AE117" s="1678"/>
      <c r="AF117" s="1678" t="n">
        <f aca="false">TableDE5a!G117+TableDE5c!E117-B117</f>
        <v>0</v>
      </c>
      <c r="AG117" s="1678" t="n">
        <f aca="false">TableDE5b!F117-TableDE12c!B117</f>
        <v>0</v>
      </c>
    </row>
    <row r="118" customFormat="false" ht="12" hidden="false" customHeight="false" outlineLevel="0" collapsed="false">
      <c r="A118" s="1704" t="n">
        <v>1978</v>
      </c>
      <c r="B118" s="1759" t="n">
        <f aca="false">TableDE12b!E118</f>
        <v>0.124480493363722</v>
      </c>
      <c r="C118" s="1764" t="n">
        <f aca="false">B118-F118</f>
        <v>0.133395904276713</v>
      </c>
      <c r="D118" s="1764" t="n">
        <f aca="false">TableDE12!I38</f>
        <v>0.0966675191530123</v>
      </c>
      <c r="E118" s="1764" t="n">
        <f aca="false">TableDE12!H38</f>
        <v>0.0367283851237004</v>
      </c>
      <c r="F118" s="1798" t="n">
        <f aca="false">DataDE1!ER39/DataDE1!B39</f>
        <v>-0.00891541091299099</v>
      </c>
      <c r="G118" s="1763" t="n">
        <f aca="false">TableDE12b!F118</f>
        <v>0.109213701568575</v>
      </c>
      <c r="H118" s="1764" t="n">
        <f aca="false">G118-K118</f>
        <v>0.0881150288242392</v>
      </c>
      <c r="I118" s="1769"/>
      <c r="J118" s="1769"/>
      <c r="K118" s="1769" t="n">
        <f aca="false">TableDE5c!F118</f>
        <v>0.0210986727443357</v>
      </c>
      <c r="L118" s="1766" t="n">
        <f aca="false">DataDE1!H39/DataDE1!B39</f>
        <v>0.143082182598204</v>
      </c>
      <c r="M118" s="1764" t="n">
        <f aca="false">L118-P118</f>
        <v>0.123743129105778</v>
      </c>
      <c r="N118" s="1769"/>
      <c r="O118" s="1769"/>
      <c r="P118" s="1769" t="n">
        <f aca="false">DataDE1!BP39/DataDE1!B39</f>
        <v>0.0193390534924253</v>
      </c>
      <c r="Q118" s="1766" t="n">
        <f aca="false">TableDE12b!G118</f>
        <v>0.0152667917951468</v>
      </c>
      <c r="R118" s="1764" t="n">
        <f aca="false">C118-H118</f>
        <v>0.0452808754524735</v>
      </c>
      <c r="S118" s="1769"/>
      <c r="T118" s="1769"/>
      <c r="U118" s="1799" t="n">
        <f aca="false">F118-K118</f>
        <v>-0.0300140836573267</v>
      </c>
      <c r="V118" s="158"/>
      <c r="W118" s="158"/>
      <c r="X118" s="158"/>
      <c r="Y118" s="158"/>
      <c r="Z118" s="1771" t="n">
        <f aca="false">F118+C118-B118</f>
        <v>0</v>
      </c>
      <c r="AA118" s="1772" t="n">
        <f aca="false">G118-H118-K118</f>
        <v>0</v>
      </c>
      <c r="AB118" s="1772" t="n">
        <f aca="false">L118-M118-P118</f>
        <v>0</v>
      </c>
      <c r="AC118" s="1002" t="n">
        <f aca="false">Q118-TableDE12b!G118</f>
        <v>0</v>
      </c>
      <c r="AD118" s="1771" t="n">
        <f aca="false">D118+E118-C118</f>
        <v>0</v>
      </c>
      <c r="AE118" s="1678"/>
      <c r="AF118" s="1678" t="n">
        <f aca="false">TableDE5a!G118+TableDE5c!E118-B118</f>
        <v>0</v>
      </c>
      <c r="AG118" s="1678" t="n">
        <f aca="false">TableDE5b!F118-TableDE12c!B118</f>
        <v>0</v>
      </c>
    </row>
    <row r="119" customFormat="false" ht="12.75" hidden="false" customHeight="true" outlineLevel="0" collapsed="false">
      <c r="A119" s="1704" t="n">
        <v>1979</v>
      </c>
      <c r="B119" s="1759" t="n">
        <f aca="false">TableDE12b!E119</f>
        <v>0.117190164646057</v>
      </c>
      <c r="C119" s="1764" t="n">
        <f aca="false">B119-F119</f>
        <v>0.126895296269883</v>
      </c>
      <c r="D119" s="1764" t="n">
        <f aca="false">TableDE12!I39</f>
        <v>0.101583525777653</v>
      </c>
      <c r="E119" s="1764" t="n">
        <f aca="false">TableDE12!H39</f>
        <v>0.0253117704922306</v>
      </c>
      <c r="F119" s="1798" t="n">
        <f aca="false">DataDE1!ER40/DataDE1!B40</f>
        <v>-0.00970513162382568</v>
      </c>
      <c r="G119" s="1763" t="n">
        <f aca="false">TableDE12b!F119</f>
        <v>0.127592942854485</v>
      </c>
      <c r="H119" s="1764" t="n">
        <f aca="false">G119-K119</f>
        <v>0.106508325323246</v>
      </c>
      <c r="I119" s="1769"/>
      <c r="J119" s="1769"/>
      <c r="K119" s="1769" t="n">
        <f aca="false">TableDE5c!F119</f>
        <v>0.0210846175312393</v>
      </c>
      <c r="L119" s="1766" t="n">
        <f aca="false">DataDE1!H40/DataDE1!B40</f>
        <v>0.145096276084463</v>
      </c>
      <c r="M119" s="1764" t="n">
        <f aca="false">L119-P119</f>
        <v>0.124879848686862</v>
      </c>
      <c r="N119" s="1769"/>
      <c r="O119" s="1769"/>
      <c r="P119" s="1769" t="n">
        <f aca="false">DataDE1!BP40/DataDE1!B40</f>
        <v>0.0202164273976001</v>
      </c>
      <c r="Q119" s="1766" t="n">
        <f aca="false">TableDE12b!G119</f>
        <v>-0.0104027782084277</v>
      </c>
      <c r="R119" s="1764" t="n">
        <f aca="false">C119-H119</f>
        <v>0.0203869709466374</v>
      </c>
      <c r="S119" s="1769"/>
      <c r="T119" s="1769"/>
      <c r="U119" s="1799" t="n">
        <f aca="false">F119-K119</f>
        <v>-0.030789749155065</v>
      </c>
      <c r="V119" s="158"/>
      <c r="W119" s="158"/>
      <c r="X119" s="158"/>
      <c r="Y119" s="158"/>
      <c r="Z119" s="1771" t="n">
        <f aca="false">F119+C119-B119</f>
        <v>0</v>
      </c>
      <c r="AA119" s="1772" t="n">
        <f aca="false">G119-H119-K119</f>
        <v>0</v>
      </c>
      <c r="AB119" s="1772" t="n">
        <f aca="false">L119-M119-P119</f>
        <v>0</v>
      </c>
      <c r="AC119" s="1002" t="n">
        <f aca="false">Q119-TableDE12b!G119</f>
        <v>0</v>
      </c>
      <c r="AD119" s="1771" t="n">
        <f aca="false">D119+E119-C119</f>
        <v>0</v>
      </c>
      <c r="AE119" s="1678"/>
      <c r="AF119" s="1678" t="n">
        <f aca="false">TableDE5a!G119+TableDE5c!E119-B119</f>
        <v>0</v>
      </c>
      <c r="AG119" s="1678" t="n">
        <f aca="false">TableDE5b!F119-TableDE12c!B119</f>
        <v>0</v>
      </c>
    </row>
    <row r="120" customFormat="false" ht="12" hidden="false" customHeight="false" outlineLevel="0" collapsed="false">
      <c r="A120" s="1708" t="n">
        <v>1980</v>
      </c>
      <c r="B120" s="1800" t="n">
        <f aca="false">TableDE12b!E120</f>
        <v>0.0971641029379602</v>
      </c>
      <c r="C120" s="1801" t="n">
        <f aca="false">B120-F120</f>
        <v>0.111277982066049</v>
      </c>
      <c r="D120" s="1801" t="n">
        <f aca="false">TableDE12!I40</f>
        <v>0.104468907195451</v>
      </c>
      <c r="E120" s="1801" t="n">
        <f aca="false">TableDE12!H40</f>
        <v>0.00680906903841947</v>
      </c>
      <c r="F120" s="1802" t="n">
        <f aca="false">DataDE1!ER41/DataDE1!B41</f>
        <v>-0.0141138791280892</v>
      </c>
      <c r="G120" s="1803" t="n">
        <f aca="false">TableDE12b!F120</f>
        <v>0.120186629729533</v>
      </c>
      <c r="H120" s="1801" t="n">
        <f aca="false">G120-K120</f>
        <v>0.0999635488809507</v>
      </c>
      <c r="I120" s="1804" t="n">
        <f aca="false">(DataDE1!FM41-DataDE1!AG41)/DataDE1!B41</f>
        <v>0.0597652547933222</v>
      </c>
      <c r="J120" s="1804" t="n">
        <f aca="false">(DataDE1!FX41-DataDE1!BA41)/DataDE1!B41</f>
        <v>0.0401982940876285</v>
      </c>
      <c r="K120" s="1804" t="n">
        <f aca="false">TableDE5c!F120</f>
        <v>0.0202230808485821</v>
      </c>
      <c r="L120" s="1805" t="n">
        <f aca="false">DataDE1!H41/DataDE1!B41</f>
        <v>0.151826201064373</v>
      </c>
      <c r="M120" s="1801" t="n">
        <f aca="false">N120+O120</f>
        <v>0.130276299482394</v>
      </c>
      <c r="N120" s="1804" t="n">
        <f aca="false">DataDE1!AG41/DataDE1!B41</f>
        <v>0.044178756287818</v>
      </c>
      <c r="O120" s="1804" t="n">
        <f aca="false">DataDE1!BA41/DataDE1!B41</f>
        <v>0.0860975431945761</v>
      </c>
      <c r="P120" s="1804" t="n">
        <f aca="false">DataDE1!BP41/DataDE1!B41</f>
        <v>0.0215499015819786</v>
      </c>
      <c r="Q120" s="1805" t="n">
        <f aca="false">TableDE12b!G120</f>
        <v>-0.0230225267915725</v>
      </c>
      <c r="R120" s="1801" t="n">
        <f aca="false">C120-H120</f>
        <v>0.0113144331850988</v>
      </c>
      <c r="S120" s="1804" t="n">
        <f aca="false">D120-I120</f>
        <v>0.0447036524021287</v>
      </c>
      <c r="T120" s="1804" t="n">
        <f aca="false">E120-J120</f>
        <v>-0.033389225049209</v>
      </c>
      <c r="U120" s="1806" t="n">
        <f aca="false">F120-K120</f>
        <v>-0.0343369599766713</v>
      </c>
      <c r="V120" s="158"/>
      <c r="W120" s="158"/>
      <c r="X120" s="158"/>
      <c r="Y120" s="158"/>
      <c r="Z120" s="1771" t="n">
        <f aca="false">F120+C120-B120</f>
        <v>0</v>
      </c>
      <c r="AA120" s="1772" t="n">
        <f aca="false">H120-I120-J120</f>
        <v>0</v>
      </c>
      <c r="AB120" s="1772" t="n">
        <f aca="false">L120-M120-P120</f>
        <v>0</v>
      </c>
      <c r="AC120" s="1002" t="n">
        <f aca="false">Q120-TableDE12b!G120</f>
        <v>0</v>
      </c>
      <c r="AD120" s="1771" t="n">
        <f aca="false">D120+E120-C120</f>
        <v>-5.83217908689537E-009</v>
      </c>
      <c r="AE120" s="1678" t="n">
        <f aca="false">H120-I120-J120</f>
        <v>0</v>
      </c>
      <c r="AF120" s="1678" t="n">
        <f aca="false">TableDE5a!G120+TableDE5c!E120-B120</f>
        <v>0</v>
      </c>
      <c r="AG120" s="1678" t="n">
        <f aca="false">TableDE5b!F120-TableDE12c!B120</f>
        <v>0</v>
      </c>
    </row>
    <row r="121" customFormat="false" ht="12" hidden="false" customHeight="false" outlineLevel="0" collapsed="false">
      <c r="A121" s="1704" t="n">
        <v>1981</v>
      </c>
      <c r="B121" s="1759" t="n">
        <f aca="false">TableDE12b!E121</f>
        <v>0.0795027221193243</v>
      </c>
      <c r="C121" s="1764" t="n">
        <f aca="false">B121-F121</f>
        <v>0.108758494696077</v>
      </c>
      <c r="D121" s="1764" t="n">
        <f aca="false">TableDE12!I41</f>
        <v>0.110091485659763</v>
      </c>
      <c r="E121" s="1764" t="n">
        <f aca="false">TableDE12!H41</f>
        <v>-0.00133299657630353</v>
      </c>
      <c r="F121" s="1798" t="n">
        <f aca="false">DataDE1!ER42/DataDE1!B42</f>
        <v>-0.0292557725767526</v>
      </c>
      <c r="G121" s="1763" t="n">
        <f aca="false">TableDE12b!F121</f>
        <v>0.0890862659258012</v>
      </c>
      <c r="H121" s="1764" t="n">
        <f aca="false">G121-K121</f>
        <v>0.0725571083796375</v>
      </c>
      <c r="I121" s="1769" t="n">
        <f aca="false">(DataDE1!FM42-DataDE1!AG42)/DataDE1!B42</f>
        <v>0.0507380591569849</v>
      </c>
      <c r="J121" s="1769" t="n">
        <f aca="false">(DataDE1!FX42-DataDE1!BA42)/DataDE1!B42</f>
        <v>0.0218190492226525</v>
      </c>
      <c r="K121" s="1769" t="n">
        <f aca="false">TableDE5c!F121</f>
        <v>0.0165291575461638</v>
      </c>
      <c r="L121" s="1766" t="n">
        <f aca="false">DataDE1!H42/DataDE1!B42</f>
        <v>0.158865128809564</v>
      </c>
      <c r="M121" s="1764" t="n">
        <f aca="false">N121+O121</f>
        <v>0.1366952910142</v>
      </c>
      <c r="N121" s="1769" t="n">
        <f aca="false">DataDE1!AG42/DataDE1!B42</f>
        <v>0.046514564741539</v>
      </c>
      <c r="O121" s="1769" t="n">
        <f aca="false">DataDE1!BA42/DataDE1!B42</f>
        <v>0.0901807262726609</v>
      </c>
      <c r="P121" s="1769" t="n">
        <f aca="false">DataDE1!BP42/DataDE1!B42</f>
        <v>0.022169837795364</v>
      </c>
      <c r="Q121" s="1766" t="n">
        <f aca="false">TableDE12b!G121</f>
        <v>-0.00958354380647692</v>
      </c>
      <c r="R121" s="1764" t="n">
        <f aca="false">C121-H121</f>
        <v>0.0362013863164394</v>
      </c>
      <c r="S121" s="1769" t="n">
        <f aca="false">D121-I121</f>
        <v>0.0593534265027783</v>
      </c>
      <c r="T121" s="1769" t="n">
        <f aca="false">E121-J121</f>
        <v>-0.0231520457989561</v>
      </c>
      <c r="U121" s="1799" t="n">
        <f aca="false">F121-K121</f>
        <v>-0.0457849301229163</v>
      </c>
      <c r="V121" s="158"/>
      <c r="W121" s="158"/>
      <c r="X121" s="158"/>
      <c r="Y121" s="158"/>
      <c r="Z121" s="1771" t="n">
        <f aca="false">F121+C121-B121</f>
        <v>0</v>
      </c>
      <c r="AA121" s="1772" t="n">
        <f aca="false">H121-I121-J121</f>
        <v>0</v>
      </c>
      <c r="AB121" s="1772" t="n">
        <f aca="false">L121-M121-P121</f>
        <v>0</v>
      </c>
      <c r="AC121" s="1002" t="n">
        <f aca="false">Q121-TableDE12b!G121</f>
        <v>0</v>
      </c>
      <c r="AD121" s="1771" t="n">
        <f aca="false">D121+E121-C121</f>
        <v>-5.61261725984252E-009</v>
      </c>
      <c r="AE121" s="1678" t="n">
        <f aca="false">H121-I121-J121</f>
        <v>0</v>
      </c>
      <c r="AF121" s="1678" t="n">
        <f aca="false">TableDE5a!G121+TableDE5c!E121-B121</f>
        <v>0</v>
      </c>
      <c r="AG121" s="1678" t="n">
        <f aca="false">TableDE5b!F121-TableDE12c!B121</f>
        <v>0</v>
      </c>
    </row>
    <row r="122" customFormat="false" ht="12" hidden="false" customHeight="false" outlineLevel="0" collapsed="false">
      <c r="A122" s="1704" t="n">
        <v>1982</v>
      </c>
      <c r="B122" s="1759" t="n">
        <f aca="false">TableDE12b!E122</f>
        <v>0.0799772576518525</v>
      </c>
      <c r="C122" s="1764" t="n">
        <f aca="false">B122-F122</f>
        <v>0.108824848722773</v>
      </c>
      <c r="D122" s="1764" t="n">
        <f aca="false">TableDE12!I42</f>
        <v>0.104371133462387</v>
      </c>
      <c r="E122" s="1764" t="n">
        <f aca="false">TableDE12!H42</f>
        <v>0.0044537098455416</v>
      </c>
      <c r="F122" s="1798" t="n">
        <f aca="false">DataDE1!ER43/DataDE1!B43</f>
        <v>-0.0288475910709209</v>
      </c>
      <c r="G122" s="1763" t="n">
        <f aca="false">TableDE12b!F122</f>
        <v>0.070853244168889</v>
      </c>
      <c r="H122" s="1764" t="n">
        <f aca="false">G122-K122</f>
        <v>0.0589135113914797</v>
      </c>
      <c r="I122" s="1769" t="n">
        <f aca="false">(DataDE1!FM43-DataDE1!AG43)/DataDE1!B43</f>
        <v>0.0449296747031988</v>
      </c>
      <c r="J122" s="1769" t="n">
        <f aca="false">(DataDE1!FX43-DataDE1!BA43)/DataDE1!B43</f>
        <v>0.0139838366882809</v>
      </c>
      <c r="K122" s="1769" t="n">
        <f aca="false">TableDE5c!F122</f>
        <v>0.0119397327774093</v>
      </c>
      <c r="L122" s="1766" t="n">
        <f aca="false">DataDE1!H43/DataDE1!B43</f>
        <v>0.163595998429695</v>
      </c>
      <c r="M122" s="1764" t="n">
        <f aca="false">N122+O122</f>
        <v>0.141571117217853</v>
      </c>
      <c r="N122" s="1769" t="n">
        <f aca="false">DataDE1!AG43/DataDE1!B43</f>
        <v>0.0482056558053905</v>
      </c>
      <c r="O122" s="1769" t="n">
        <f aca="false">DataDE1!BA43/DataDE1!B43</f>
        <v>0.0933654614124623</v>
      </c>
      <c r="P122" s="1769" t="n">
        <f aca="false">DataDE1!BP43/DataDE1!B43</f>
        <v>0.0220248812118423</v>
      </c>
      <c r="Q122" s="1766" t="n">
        <f aca="false">TableDE12b!G122</f>
        <v>0.00912401348296352</v>
      </c>
      <c r="R122" s="1764" t="n">
        <f aca="false">C122-H122</f>
        <v>0.0499113373312937</v>
      </c>
      <c r="S122" s="1769" t="n">
        <f aca="false">D122-I122</f>
        <v>0.0594414587591883</v>
      </c>
      <c r="T122" s="1769" t="n">
        <f aca="false">E122-J122</f>
        <v>-0.00953012684273932</v>
      </c>
      <c r="U122" s="1799" t="n">
        <f aca="false">F122-K122</f>
        <v>-0.0407873238483302</v>
      </c>
      <c r="V122" s="158"/>
      <c r="W122" s="158"/>
      <c r="X122" s="158"/>
      <c r="Y122" s="158"/>
      <c r="Z122" s="1771" t="n">
        <f aca="false">F122+C122-B122</f>
        <v>0</v>
      </c>
      <c r="AA122" s="1772" t="n">
        <f aca="false">H122-I122-J122</f>
        <v>0</v>
      </c>
      <c r="AB122" s="1772" t="n">
        <f aca="false">L122-M122-P122</f>
        <v>0</v>
      </c>
      <c r="AC122" s="1002" t="n">
        <f aca="false">Q122-TableDE12b!G122</f>
        <v>0</v>
      </c>
      <c r="AD122" s="1771" t="n">
        <f aca="false">D122+E122-C122</f>
        <v>-5.41484475313769E-009</v>
      </c>
      <c r="AE122" s="1678" t="n">
        <f aca="false">H122-I122-J122</f>
        <v>0</v>
      </c>
      <c r="AF122" s="1678" t="n">
        <f aca="false">TableDE5a!G122+TableDE5c!E122-B122</f>
        <v>0</v>
      </c>
      <c r="AG122" s="1678" t="n">
        <f aca="false">TableDE5b!F122-TableDE12c!B122</f>
        <v>0</v>
      </c>
    </row>
    <row r="123" customFormat="false" ht="12" hidden="false" customHeight="false" outlineLevel="0" collapsed="false">
      <c r="A123" s="1704" t="n">
        <v>1983</v>
      </c>
      <c r="B123" s="1759" t="n">
        <f aca="false">TableDE12b!E123</f>
        <v>0.0846596418643738</v>
      </c>
      <c r="C123" s="1764" t="n">
        <f aca="false">B123-F123</f>
        <v>0.109380055595061</v>
      </c>
      <c r="D123" s="1764" t="n">
        <f aca="false">TableDE12!I43</f>
        <v>0.0903872260650334</v>
      </c>
      <c r="E123" s="1764" t="n">
        <f aca="false">TableDE12!H43</f>
        <v>0.0189928243583942</v>
      </c>
      <c r="F123" s="1798" t="n">
        <f aca="false">DataDE1!ER44/DataDE1!B44</f>
        <v>-0.0247204137306872</v>
      </c>
      <c r="G123" s="1763" t="n">
        <f aca="false">TableDE12b!F123</f>
        <v>0.0776520783502488</v>
      </c>
      <c r="H123" s="1764" t="n">
        <f aca="false">G123-K123</f>
        <v>0.0684982868963734</v>
      </c>
      <c r="I123" s="1769" t="n">
        <f aca="false">(DataDE1!FM44-DataDE1!AG44)/DataDE1!B44</f>
        <v>0.0478505397892559</v>
      </c>
      <c r="J123" s="1769" t="n">
        <f aca="false">(DataDE1!FX44-DataDE1!BA44)/DataDE1!B44</f>
        <v>0.0206477471071175</v>
      </c>
      <c r="K123" s="1769" t="n">
        <f aca="false">TableDE5c!F123</f>
        <v>0.00915379145387549</v>
      </c>
      <c r="L123" s="1766" t="n">
        <f aca="false">DataDE1!H44/DataDE1!B44</f>
        <v>0.164134721055013</v>
      </c>
      <c r="M123" s="1764" t="n">
        <f aca="false">N123+O123</f>
        <v>0.142181136466481</v>
      </c>
      <c r="N123" s="1769" t="n">
        <f aca="false">DataDE1!AG44/DataDE1!B44</f>
        <v>0.0486004266597712</v>
      </c>
      <c r="O123" s="1769" t="n">
        <f aca="false">DataDE1!BA44/DataDE1!B44</f>
        <v>0.0935807098067102</v>
      </c>
      <c r="P123" s="1769" t="n">
        <f aca="false">DataDE1!BP44/DataDE1!B44</f>
        <v>0.0219535845885319</v>
      </c>
      <c r="Q123" s="1766" t="n">
        <f aca="false">TableDE12b!G123</f>
        <v>0.00700756351412498</v>
      </c>
      <c r="R123" s="1764" t="n">
        <f aca="false">C123-H123</f>
        <v>0.0408817686986876</v>
      </c>
      <c r="S123" s="1769" t="n">
        <f aca="false">D123-I123</f>
        <v>0.0425366862757774</v>
      </c>
      <c r="T123" s="1769" t="n">
        <f aca="false">E123-J123</f>
        <v>-0.00165492274872322</v>
      </c>
      <c r="U123" s="1799" t="n">
        <f aca="false">F123-K123</f>
        <v>-0.0338742051845627</v>
      </c>
      <c r="V123" s="158"/>
      <c r="W123" s="158"/>
      <c r="X123" s="158"/>
      <c r="Y123" s="158"/>
      <c r="Z123" s="1771" t="n">
        <f aca="false">F123+C123-B123</f>
        <v>0</v>
      </c>
      <c r="AA123" s="1772" t="n">
        <f aca="false">H123-I123-J123</f>
        <v>0</v>
      </c>
      <c r="AB123" s="1772" t="n">
        <f aca="false">L123-M123-P123</f>
        <v>0</v>
      </c>
      <c r="AC123" s="1002" t="n">
        <f aca="false">Q123-TableDE12b!G123</f>
        <v>0</v>
      </c>
      <c r="AD123" s="1771" t="n">
        <f aca="false">D123+E123-C123</f>
        <v>-5.17163339930349E-009</v>
      </c>
      <c r="AE123" s="1678" t="n">
        <f aca="false">H123-I123-J123</f>
        <v>0</v>
      </c>
      <c r="AF123" s="1678" t="n">
        <f aca="false">TableDE5a!G123+TableDE5c!E123-B123</f>
        <v>0</v>
      </c>
      <c r="AG123" s="1678" t="n">
        <f aca="false">TableDE5b!F123-TableDE12c!B123</f>
        <v>0</v>
      </c>
    </row>
    <row r="124" customFormat="false" ht="12" hidden="false" customHeight="false" outlineLevel="0" collapsed="false">
      <c r="A124" s="1704" t="n">
        <v>1984</v>
      </c>
      <c r="B124" s="1759" t="n">
        <f aca="false">TableDE12b!E124</f>
        <v>0.0902065338919536</v>
      </c>
      <c r="C124" s="1764" t="n">
        <f aca="false">B124-F124</f>
        <v>0.105785656890811</v>
      </c>
      <c r="D124" s="1764" t="n">
        <f aca="false">TableDE12!I44</f>
        <v>0.0936958631789755</v>
      </c>
      <c r="E124" s="1764" t="n">
        <f aca="false">TableDE12!H44</f>
        <v>0.0120897887972871</v>
      </c>
      <c r="F124" s="1798" t="n">
        <f aca="false">DataDE1!ER45/DataDE1!B45</f>
        <v>-0.0155791229988574</v>
      </c>
      <c r="G124" s="1763" t="n">
        <f aca="false">TableDE12b!F124</f>
        <v>0.0739025199346365</v>
      </c>
      <c r="H124" s="1764" t="n">
        <f aca="false">G124-K124</f>
        <v>0.0660392426681082</v>
      </c>
      <c r="I124" s="1769" t="n">
        <f aca="false">(DataDE1!FM45-DataDE1!AG45)/DataDE1!B45</f>
        <v>0.0449066850143136</v>
      </c>
      <c r="J124" s="1769" t="n">
        <f aca="false">(DataDE1!FX45-DataDE1!BA45)/DataDE1!B45</f>
        <v>0.0211325576537947</v>
      </c>
      <c r="K124" s="1769" t="n">
        <f aca="false">TableDE5c!F124</f>
        <v>0.00786327726652824</v>
      </c>
      <c r="L124" s="1766" t="n">
        <f aca="false">DataDE1!H45/DataDE1!B45</f>
        <v>0.164661940509393</v>
      </c>
      <c r="M124" s="1764" t="n">
        <f aca="false">N124+O124</f>
        <v>0.14292735068988</v>
      </c>
      <c r="N124" s="1769" t="n">
        <f aca="false">DataDE1!AG45/DataDE1!B45</f>
        <v>0.0489611873548673</v>
      </c>
      <c r="O124" s="1769" t="n">
        <f aca="false">DataDE1!BA45/DataDE1!B45</f>
        <v>0.0939661633350125</v>
      </c>
      <c r="P124" s="1769" t="n">
        <f aca="false">DataDE1!BP45/DataDE1!B45</f>
        <v>0.0217345898195132</v>
      </c>
      <c r="Q124" s="1766" t="n">
        <f aca="false">TableDE12b!G124</f>
        <v>0.0163040139573171</v>
      </c>
      <c r="R124" s="1764" t="n">
        <f aca="false">C124-H124</f>
        <v>0.0397464142227028</v>
      </c>
      <c r="S124" s="1769" t="n">
        <f aca="false">D124-I124</f>
        <v>0.0487891781646618</v>
      </c>
      <c r="T124" s="1769" t="n">
        <f aca="false">E124-J124</f>
        <v>-0.0090427688565075</v>
      </c>
      <c r="U124" s="1799" t="n">
        <f aca="false">F124-K124</f>
        <v>-0.0234424002653856</v>
      </c>
      <c r="V124" s="158"/>
      <c r="W124" s="158"/>
      <c r="X124" s="158"/>
      <c r="Y124" s="158"/>
      <c r="Z124" s="1771" t="n">
        <f aca="false">F124+C124-B124</f>
        <v>0</v>
      </c>
      <c r="AA124" s="1772" t="n">
        <f aca="false">H124-I124-J124</f>
        <v>0</v>
      </c>
      <c r="AB124" s="1772" t="n">
        <f aca="false">L124-M124-P124</f>
        <v>0</v>
      </c>
      <c r="AC124" s="1002" t="n">
        <f aca="false">Q124-TableDE12b!G124</f>
        <v>0</v>
      </c>
      <c r="AD124" s="1771" t="n">
        <f aca="false">D124+E124-C124</f>
        <v>-4.91454837936445E-009</v>
      </c>
      <c r="AE124" s="1678" t="n">
        <f aca="false">H124-I124-J124</f>
        <v>0</v>
      </c>
      <c r="AF124" s="1678" t="n">
        <f aca="false">TableDE5a!G124+TableDE5c!E124-B124</f>
        <v>0</v>
      </c>
      <c r="AG124" s="1678" t="n">
        <f aca="false">TableDE5b!F124-TableDE12c!B124</f>
        <v>0</v>
      </c>
    </row>
    <row r="125" customFormat="false" ht="12" hidden="false" customHeight="false" outlineLevel="0" collapsed="false">
      <c r="A125" s="1704" t="n">
        <v>1985</v>
      </c>
      <c r="B125" s="1759" t="n">
        <f aca="false">TableDE12b!E125</f>
        <v>0.0992584409632041</v>
      </c>
      <c r="C125" s="1764" t="n">
        <f aca="false">B125-F125</f>
        <v>0.105322541749421</v>
      </c>
      <c r="D125" s="1764" t="n">
        <f aca="false">TableDE12!I45</f>
        <v>0.0916900729806913</v>
      </c>
      <c r="E125" s="1764" t="n">
        <f aca="false">TableDE12!H45</f>
        <v>0.0136324640678802</v>
      </c>
      <c r="F125" s="1798" t="n">
        <f aca="false">DataDE1!ER46/DataDE1!B46</f>
        <v>-0.00606410078621719</v>
      </c>
      <c r="G125" s="1763" t="n">
        <f aca="false">TableDE12b!F125</f>
        <v>0.0683033458297587</v>
      </c>
      <c r="H125" s="1764" t="n">
        <f aca="false">G125-K125</f>
        <v>0.0606527129778707</v>
      </c>
      <c r="I125" s="1769" t="n">
        <f aca="false">(DataDE1!FM46-DataDE1!AG46)/DataDE1!B46</f>
        <v>0.0368194051074732</v>
      </c>
      <c r="J125" s="1769" t="n">
        <f aca="false">(DataDE1!FX46-DataDE1!BA46)/DataDE1!B46</f>
        <v>0.0238333078703976</v>
      </c>
      <c r="K125" s="1769" t="n">
        <f aca="false">TableDE5c!F125</f>
        <v>0.00765063285188798</v>
      </c>
      <c r="L125" s="1766" t="n">
        <f aca="false">DataDE1!H46/DataDE1!B46</f>
        <v>0.164259439893761</v>
      </c>
      <c r="M125" s="1764" t="n">
        <f aca="false">N125+O125</f>
        <v>0.142800061111046</v>
      </c>
      <c r="N125" s="1769" t="n">
        <f aca="false">DataDE1!AG46/DataDE1!B46</f>
        <v>0.0487595632910649</v>
      </c>
      <c r="O125" s="1769" t="n">
        <f aca="false">DataDE1!BA46/DataDE1!B46</f>
        <v>0.094040497819981</v>
      </c>
      <c r="P125" s="1769" t="n">
        <f aca="false">DataDE1!BP46/DataDE1!B46</f>
        <v>0.021459378782715</v>
      </c>
      <c r="Q125" s="1766" t="n">
        <f aca="false">TableDE12b!G125</f>
        <v>0.0309550951334454</v>
      </c>
      <c r="R125" s="1764" t="n">
        <f aca="false">C125-H125</f>
        <v>0.0446698287715506</v>
      </c>
      <c r="S125" s="1769" t="n">
        <f aca="false">D125-I125</f>
        <v>0.0548706678732181</v>
      </c>
      <c r="T125" s="1769" t="n">
        <f aca="false">E125-J125</f>
        <v>-0.0102008438025173</v>
      </c>
      <c r="U125" s="1799" t="n">
        <f aca="false">F125-K125</f>
        <v>-0.0137147336381052</v>
      </c>
      <c r="V125" s="158"/>
      <c r="W125" s="158"/>
      <c r="X125" s="158"/>
      <c r="Y125" s="158"/>
      <c r="Z125" s="1771" t="n">
        <f aca="false">F125+C125-B125</f>
        <v>0</v>
      </c>
      <c r="AA125" s="1772" t="n">
        <f aca="false">H125-I125-J125</f>
        <v>0</v>
      </c>
      <c r="AB125" s="1772" t="n">
        <f aca="false">L125-M125-P125</f>
        <v>0</v>
      </c>
      <c r="AC125" s="1002" t="n">
        <f aca="false">Q125-TableDE12b!G125</f>
        <v>0</v>
      </c>
      <c r="AD125" s="1771" t="n">
        <f aca="false">D125+E125-C125</f>
        <v>-4.70084986214925E-009</v>
      </c>
      <c r="AE125" s="1678" t="n">
        <f aca="false">H125-I125-J125</f>
        <v>0</v>
      </c>
      <c r="AF125" s="1678" t="n">
        <f aca="false">TableDE5a!G125+TableDE5c!E125-B125</f>
        <v>0</v>
      </c>
      <c r="AG125" s="1678" t="n">
        <f aca="false">TableDE5b!F125-TableDE12c!B125</f>
        <v>0</v>
      </c>
    </row>
    <row r="126" customFormat="false" ht="12" hidden="false" customHeight="false" outlineLevel="0" collapsed="false">
      <c r="A126" s="1704" t="n">
        <v>1986</v>
      </c>
      <c r="B126" s="1759" t="n">
        <f aca="false">TableDE12b!E126</f>
        <v>0.118253162013418</v>
      </c>
      <c r="C126" s="1764" t="n">
        <f aca="false">B126-F126</f>
        <v>0.122774315408745</v>
      </c>
      <c r="D126" s="1764" t="n">
        <f aca="false">TableDE12!I46</f>
        <v>0.0955246207258399</v>
      </c>
      <c r="E126" s="1764" t="n">
        <f aca="false">TableDE12!H46</f>
        <v>0.0272496902175733</v>
      </c>
      <c r="F126" s="1798" t="n">
        <f aca="false">DataDE1!ER47/DataDE1!B47</f>
        <v>-0.00452115339532704</v>
      </c>
      <c r="G126" s="1763" t="n">
        <f aca="false">TableDE12b!F126</f>
        <v>0.0706303932841403</v>
      </c>
      <c r="H126" s="1764" t="n">
        <f aca="false">G126-K126</f>
        <v>0.061465298786546</v>
      </c>
      <c r="I126" s="1769" t="n">
        <f aca="false">(DataDE1!FM47-DataDE1!AG47)/DataDE1!B47</f>
        <v>0.0360575581330446</v>
      </c>
      <c r="J126" s="1769" t="n">
        <f aca="false">(DataDE1!FX47-DataDE1!BA47)/DataDE1!B47</f>
        <v>0.0254077406535014</v>
      </c>
      <c r="K126" s="1769" t="n">
        <f aca="false">TableDE5c!F126</f>
        <v>0.00916509449759431</v>
      </c>
      <c r="L126" s="1766" t="n">
        <f aca="false">DataDE1!H47/DataDE1!B47</f>
        <v>0.162314828252157</v>
      </c>
      <c r="M126" s="1764" t="n">
        <f aca="false">N126+O126</f>
        <v>0.141115663269293</v>
      </c>
      <c r="N126" s="1769" t="n">
        <f aca="false">DataDE1!AG47/DataDE1!B47</f>
        <v>0.0480693019569319</v>
      </c>
      <c r="O126" s="1769" t="n">
        <f aca="false">DataDE1!BA47/DataDE1!B47</f>
        <v>0.0930463613123612</v>
      </c>
      <c r="P126" s="1769" t="n">
        <f aca="false">DataDE1!BP47/DataDE1!B47</f>
        <v>0.0211991649828643</v>
      </c>
      <c r="Q126" s="1766" t="n">
        <f aca="false">TableDE12b!G126</f>
        <v>0.0476227687292781</v>
      </c>
      <c r="R126" s="1764" t="n">
        <f aca="false">C126-H126</f>
        <v>0.0613090166221994</v>
      </c>
      <c r="S126" s="1769" t="n">
        <f aca="false">D126-I126</f>
        <v>0.0594670625927953</v>
      </c>
      <c r="T126" s="1769" t="n">
        <f aca="false">E126-J126</f>
        <v>0.00184194956407196</v>
      </c>
      <c r="U126" s="1799" t="n">
        <f aca="false">F126-K126</f>
        <v>-0.0136862478929213</v>
      </c>
      <c r="V126" s="158"/>
      <c r="W126" s="158"/>
      <c r="X126" s="158"/>
      <c r="Y126" s="158"/>
      <c r="Z126" s="1771" t="n">
        <f aca="false">F126+C126-B126</f>
        <v>0</v>
      </c>
      <c r="AA126" s="1772" t="n">
        <f aca="false">H126-I126-J126</f>
        <v>0</v>
      </c>
      <c r="AB126" s="1772" t="n">
        <f aca="false">L126-M126-P126</f>
        <v>0</v>
      </c>
      <c r="AC126" s="1002" t="n">
        <f aca="false">Q126-TableDE12b!G126</f>
        <v>0</v>
      </c>
      <c r="AD126" s="1771" t="n">
        <f aca="false">D126+E126-C126</f>
        <v>-4.46533221509782E-009</v>
      </c>
      <c r="AE126" s="1678" t="n">
        <f aca="false">H126-I126-J126</f>
        <v>0</v>
      </c>
      <c r="AF126" s="1678" t="n">
        <f aca="false">TableDE5a!G126+TableDE5c!E126-B126</f>
        <v>0</v>
      </c>
      <c r="AG126" s="1678" t="n">
        <f aca="false">TableDE5b!F126-TableDE12c!B126</f>
        <v>0</v>
      </c>
    </row>
    <row r="127" customFormat="false" ht="12" hidden="false" customHeight="false" outlineLevel="0" collapsed="false">
      <c r="A127" s="1704" t="n">
        <v>1987</v>
      </c>
      <c r="B127" s="1759" t="n">
        <f aca="false">TableDE12b!E127</f>
        <v>0.108576164718199</v>
      </c>
      <c r="C127" s="1764" t="n">
        <f aca="false">B127-F127</f>
        <v>0.121608361324376</v>
      </c>
      <c r="D127" s="1764" t="n">
        <f aca="false">TableDE12!I47</f>
        <v>0.0971034723433956</v>
      </c>
      <c r="E127" s="1764" t="n">
        <f aca="false">TableDE12!H47</f>
        <v>0.0245048857093003</v>
      </c>
      <c r="F127" s="1798" t="n">
        <f aca="false">DataDE1!ER48/DataDE1!B48</f>
        <v>-0.013032196606177</v>
      </c>
      <c r="G127" s="1763" t="n">
        <f aca="false">TableDE12b!F127</f>
        <v>0.0632852032804048</v>
      </c>
      <c r="H127" s="1764" t="n">
        <f aca="false">G127-K127</f>
        <v>0.0548006456115861</v>
      </c>
      <c r="I127" s="1769" t="n">
        <f aca="false">(DataDE1!FM48-DataDE1!AG48)/DataDE1!B48</f>
        <v>0.034996073983598</v>
      </c>
      <c r="J127" s="1769" t="n">
        <f aca="false">(DataDE1!FX48-DataDE1!BA48)/DataDE1!B48</f>
        <v>0.0198045716279881</v>
      </c>
      <c r="K127" s="1769" t="n">
        <f aca="false">TableDE5c!F127</f>
        <v>0.00848455766881871</v>
      </c>
      <c r="L127" s="1766" t="n">
        <f aca="false">DataDE1!H48/DataDE1!B48</f>
        <v>0.164445559239225</v>
      </c>
      <c r="M127" s="1764" t="n">
        <f aca="false">N127+O127</f>
        <v>0.143005147443727</v>
      </c>
      <c r="N127" s="1769" t="n">
        <f aca="false">DataDE1!AG48/DataDE1!B48</f>
        <v>0.0486498865817484</v>
      </c>
      <c r="O127" s="1769" t="n">
        <f aca="false">DataDE1!BA48/DataDE1!B48</f>
        <v>0.0943552608619787</v>
      </c>
      <c r="P127" s="1769" t="n">
        <f aca="false">DataDE1!BP48/DataDE1!B48</f>
        <v>0.0214404117954982</v>
      </c>
      <c r="Q127" s="1766" t="n">
        <f aca="false">TableDE12b!G127</f>
        <v>0.0452909614377944</v>
      </c>
      <c r="R127" s="1764" t="n">
        <f aca="false">C127-H127</f>
        <v>0.0668077157127901</v>
      </c>
      <c r="S127" s="1769" t="n">
        <f aca="false">D127-I127</f>
        <v>0.0621073983597976</v>
      </c>
      <c r="T127" s="1769" t="n">
        <f aca="false">E127-J127</f>
        <v>0.00470031408131214</v>
      </c>
      <c r="U127" s="1799" t="n">
        <f aca="false">F127-K127</f>
        <v>-0.0215167542749957</v>
      </c>
      <c r="V127" s="158"/>
      <c r="W127" s="158"/>
      <c r="X127" s="158"/>
      <c r="Y127" s="158"/>
      <c r="Z127" s="1771" t="n">
        <f aca="false">F127+C127-B127</f>
        <v>0</v>
      </c>
      <c r="AA127" s="1772" t="n">
        <f aca="false">H127-I127-J127</f>
        <v>0</v>
      </c>
      <c r="AB127" s="1772" t="n">
        <f aca="false">L127-M127-P127</f>
        <v>0</v>
      </c>
      <c r="AC127" s="1002" t="n">
        <f aca="false">Q127-TableDE12b!G127</f>
        <v>0</v>
      </c>
      <c r="AD127" s="1771" t="n">
        <f aca="false">D127+E127-C127</f>
        <v>-3.27168035718639E-009</v>
      </c>
      <c r="AE127" s="1678" t="n">
        <f aca="false">H127-I127-J127</f>
        <v>0</v>
      </c>
      <c r="AF127" s="1678" t="n">
        <f aca="false">TableDE5a!G127+TableDE5c!E127-B127</f>
        <v>0</v>
      </c>
      <c r="AG127" s="1678" t="n">
        <f aca="false">TableDE5b!F127-TableDE12c!B127</f>
        <v>0</v>
      </c>
    </row>
    <row r="128" customFormat="false" ht="12" hidden="false" customHeight="false" outlineLevel="0" collapsed="false">
      <c r="A128" s="1704" t="n">
        <v>1988</v>
      </c>
      <c r="B128" s="1759" t="n">
        <f aca="false">TableDE12b!E128</f>
        <v>0.12236369237088</v>
      </c>
      <c r="C128" s="1764" t="n">
        <f aca="false">B128-F128</f>
        <v>0.138125067255365</v>
      </c>
      <c r="D128" s="1764" t="n">
        <f aca="false">TableDE12!I48</f>
        <v>0.0992504363897731</v>
      </c>
      <c r="E128" s="1764" t="n">
        <f aca="false">TableDE12!H48</f>
        <v>0.0388746277851935</v>
      </c>
      <c r="F128" s="1798" t="n">
        <f aca="false">DataDE1!ER49/DataDE1!B49</f>
        <v>-0.0157613748844851</v>
      </c>
      <c r="G128" s="1763" t="n">
        <f aca="false">TableDE12b!F128</f>
        <v>0.0714755108327344</v>
      </c>
      <c r="H128" s="1764" t="n">
        <f aca="false">G128-K128</f>
        <v>0.0638771947838587</v>
      </c>
      <c r="I128" s="1769" t="n">
        <f aca="false">(DataDE1!FM49-DataDE1!AG49)/DataDE1!B49</f>
        <v>0.0378889002977718</v>
      </c>
      <c r="J128" s="1769" t="n">
        <f aca="false">(DataDE1!FX49-DataDE1!BA49)/DataDE1!B49</f>
        <v>0.0259882944860869</v>
      </c>
      <c r="K128" s="1769" t="n">
        <f aca="false">TableDE5c!F128</f>
        <v>0.00759831604887566</v>
      </c>
      <c r="L128" s="1766" t="n">
        <f aca="false">DataDE1!H49/DataDE1!B49</f>
        <v>0.1619878837663</v>
      </c>
      <c r="M128" s="1764" t="n">
        <f aca="false">N128+O128</f>
        <v>0.140989834685286</v>
      </c>
      <c r="N128" s="1769" t="n">
        <f aca="false">DataDE1!AG49/DataDE1!B49</f>
        <v>0.0479001950918985</v>
      </c>
      <c r="O128" s="1769" t="n">
        <f aca="false">DataDE1!BA49/DataDE1!B49</f>
        <v>0.0930896395933874</v>
      </c>
      <c r="P128" s="1769" t="n">
        <f aca="false">DataDE1!BP49/DataDE1!B49</f>
        <v>0.0209980490810145</v>
      </c>
      <c r="Q128" s="1766" t="n">
        <f aca="false">TableDE12b!G128</f>
        <v>0.0508881815381456</v>
      </c>
      <c r="R128" s="1764" t="n">
        <f aca="false">C128-H128</f>
        <v>0.0742478724715063</v>
      </c>
      <c r="S128" s="1769" t="n">
        <f aca="false">D128-I128</f>
        <v>0.0613615360920012</v>
      </c>
      <c r="T128" s="1769" t="n">
        <f aca="false">E128-J128</f>
        <v>0.0128863332991067</v>
      </c>
      <c r="U128" s="1799" t="n">
        <f aca="false">F128-K128</f>
        <v>-0.0233596909333607</v>
      </c>
      <c r="V128" s="158"/>
      <c r="W128" s="158"/>
      <c r="X128" s="158"/>
      <c r="Y128" s="158"/>
      <c r="Z128" s="1771" t="n">
        <f aca="false">F128+C128-B128</f>
        <v>0</v>
      </c>
      <c r="AA128" s="1772" t="n">
        <f aca="false">H128-I128-J128</f>
        <v>0</v>
      </c>
      <c r="AB128" s="1772" t="n">
        <f aca="false">L128-M128-P128</f>
        <v>0</v>
      </c>
      <c r="AC128" s="1002" t="n">
        <f aca="false">Q128-TableDE12b!G128</f>
        <v>0</v>
      </c>
      <c r="AD128" s="1771" t="n">
        <f aca="false">D128+E128-C128</f>
        <v>-3.0803984640837E-009</v>
      </c>
      <c r="AE128" s="1678" t="n">
        <f aca="false">H128-I128-J128</f>
        <v>0</v>
      </c>
      <c r="AF128" s="1678" t="n">
        <f aca="false">TableDE5a!G128+TableDE5c!E128-B128</f>
        <v>0</v>
      </c>
      <c r="AG128" s="1678" t="n">
        <f aca="false">TableDE5b!F128-TableDE12c!B128</f>
        <v>0</v>
      </c>
    </row>
    <row r="129" customFormat="false" ht="12" hidden="false" customHeight="false" outlineLevel="0" collapsed="false">
      <c r="A129" s="1715" t="n">
        <v>1989</v>
      </c>
      <c r="B129" s="1773" t="n">
        <f aca="false">TableDE12b!E129</f>
        <v>0.134039290848107</v>
      </c>
      <c r="C129" s="1779" t="n">
        <f aca="false">B129-F129</f>
        <v>0.126085292764734</v>
      </c>
      <c r="D129" s="1779" t="n">
        <f aca="false">TableDE12!I49</f>
        <v>0.0943076185912793</v>
      </c>
      <c r="E129" s="1779" t="n">
        <f aca="false">TableDE12!H49</f>
        <v>0.0317776712985147</v>
      </c>
      <c r="F129" s="1807" t="n">
        <f aca="false">DataDE1!ER50/DataDE1!B50</f>
        <v>0.00795399808337326</v>
      </c>
      <c r="G129" s="1778" t="n">
        <f aca="false">TableDE12b!F129</f>
        <v>0.0820220412074749</v>
      </c>
      <c r="H129" s="1779" t="n">
        <f aca="false">G129-K129</f>
        <v>0.0743363679923335</v>
      </c>
      <c r="I129" s="1785" t="n">
        <f aca="false">(DataDE1!FM50-DataDE1!AG50)/DataDE1!B50</f>
        <v>0.0409008145663632</v>
      </c>
      <c r="J129" s="1785" t="n">
        <f aca="false">(DataDE1!FX50-DataDE1!BA50)/DataDE1!B50</f>
        <v>0.0334355534259703</v>
      </c>
      <c r="K129" s="1785" t="n">
        <f aca="false">TableDE5c!F129</f>
        <v>0.00768567321514135</v>
      </c>
      <c r="L129" s="1782" t="n">
        <f aca="false">DataDE1!H50/DataDE1!B50</f>
        <v>0.160622903689506</v>
      </c>
      <c r="M129" s="1779" t="n">
        <f aca="false">N129+O129</f>
        <v>0.140038332534739</v>
      </c>
      <c r="N129" s="1785" t="n">
        <f aca="false">DataDE1!AG50/DataDE1!B50</f>
        <v>0.0472065165309056</v>
      </c>
      <c r="O129" s="1785" t="n">
        <f aca="false">DataDE1!BA50/DataDE1!B50</f>
        <v>0.0928318160038333</v>
      </c>
      <c r="P129" s="1785" t="n">
        <f aca="false">DataDE1!BP50/DataDE1!B50</f>
        <v>0.0205845711547676</v>
      </c>
      <c r="Q129" s="1782" t="n">
        <f aca="false">TableDE12b!G129</f>
        <v>0.0520172496406325</v>
      </c>
      <c r="R129" s="1779" t="n">
        <f aca="false">C129-H129</f>
        <v>0.0517489247724006</v>
      </c>
      <c r="S129" s="1785" t="n">
        <f aca="false">D129-I129</f>
        <v>0.0534068040249161</v>
      </c>
      <c r="T129" s="1785" t="n">
        <f aca="false">E129-J129</f>
        <v>-0.00165788212745563</v>
      </c>
      <c r="U129" s="1808" t="n">
        <f aca="false">F129-K129</f>
        <v>0.000268324868231906</v>
      </c>
      <c r="V129" s="158"/>
      <c r="W129" s="158"/>
      <c r="X129" s="158"/>
      <c r="Y129" s="158"/>
      <c r="Z129" s="1771" t="n">
        <f aca="false">F129+C129-B129</f>
        <v>0</v>
      </c>
      <c r="AA129" s="1772" t="n">
        <f aca="false">H129-I129-J129</f>
        <v>0</v>
      </c>
      <c r="AB129" s="1772" t="n">
        <f aca="false">L129-M129-P129</f>
        <v>0</v>
      </c>
      <c r="AC129" s="1002" t="n">
        <f aca="false">Q129-TableDE12b!G129</f>
        <v>0</v>
      </c>
      <c r="AD129" s="1771" t="n">
        <f aca="false">D129+E129-C129</f>
        <v>-2.87494011930178E-009</v>
      </c>
      <c r="AE129" s="1678" t="n">
        <f aca="false">H129-I129-J129</f>
        <v>0</v>
      </c>
      <c r="AF129" s="1678" t="n">
        <f aca="false">TableDE5a!G129+TableDE5c!E129-B129</f>
        <v>0</v>
      </c>
      <c r="AG129" s="1678" t="n">
        <f aca="false">TableDE5b!F129-TableDE12c!B129</f>
        <v>0</v>
      </c>
    </row>
    <row r="130" customFormat="false" ht="12" hidden="false" customHeight="false" outlineLevel="0" collapsed="false">
      <c r="A130" s="1704" t="n">
        <v>1990</v>
      </c>
      <c r="B130" s="1759" t="n">
        <f aca="false">TableDE12b!E130</f>
        <v>0.129406071271448</v>
      </c>
      <c r="C130" s="1764" t="n">
        <f aca="false">B130-F130</f>
        <v>0.144549055873295</v>
      </c>
      <c r="D130" s="1764" t="n">
        <f aca="false">TableDE12!I50</f>
        <v>0.100175978882534</v>
      </c>
      <c r="E130" s="1764" t="n">
        <f aca="false">TableDE12!H50</f>
        <v>0.0443730752309723</v>
      </c>
      <c r="F130" s="1798" t="n">
        <f aca="false">DataDE1!ER51/DataDE1!B51</f>
        <v>-0.0151429846018478</v>
      </c>
      <c r="G130" s="1763" t="n">
        <f aca="false">TableDE12b!F130</f>
        <v>0.0886053673559173</v>
      </c>
      <c r="H130" s="1764" t="n">
        <f aca="false">G130-K130</f>
        <v>0.081223053233612</v>
      </c>
      <c r="I130" s="1769" t="n">
        <f aca="false">(DataDE1!FM51-DataDE1!AG51)/DataDE1!B51</f>
        <v>0.0444962604487462</v>
      </c>
      <c r="J130" s="1769" t="n">
        <f aca="false">(DataDE1!FX51-DataDE1!BA51)/DataDE1!B51</f>
        <v>0.0367267927848658</v>
      </c>
      <c r="K130" s="1769" t="n">
        <f aca="false">TableDE5c!F130</f>
        <v>0.00738231412230532</v>
      </c>
      <c r="L130" s="1766" t="n">
        <f aca="false">DataDE1!H51/DataDE1!B51</f>
        <v>0.159648042234932</v>
      </c>
      <c r="M130" s="1764" t="n">
        <f aca="false">N130+O130</f>
        <v>0.139208095028597</v>
      </c>
      <c r="N130" s="1769" t="n">
        <f aca="false">DataDE1!AG51/DataDE1!B51</f>
        <v>0.0471711394632644</v>
      </c>
      <c r="O130" s="1769" t="n">
        <f aca="false">DataDE1!BA51/DataDE1!B51</f>
        <v>0.0920369555653322</v>
      </c>
      <c r="P130" s="1769" t="n">
        <f aca="false">DataDE1!BP51/DataDE1!B51</f>
        <v>0.0204399472063352</v>
      </c>
      <c r="Q130" s="1766" t="n">
        <f aca="false">TableDE12b!G130</f>
        <v>0.0408007039155302</v>
      </c>
      <c r="R130" s="1764" t="n">
        <f aca="false">C130-H130</f>
        <v>0.0633260026396834</v>
      </c>
      <c r="S130" s="1769" t="n">
        <f aca="false">D130-I130</f>
        <v>0.0556797184337879</v>
      </c>
      <c r="T130" s="1769" t="n">
        <f aca="false">E130-J130</f>
        <v>0.00764628244610643</v>
      </c>
      <c r="U130" s="1799" t="n">
        <f aca="false">F130-K130</f>
        <v>-0.0225252987241532</v>
      </c>
      <c r="V130" s="158"/>
      <c r="W130" s="158"/>
      <c r="X130" s="158"/>
      <c r="Y130" s="158"/>
      <c r="Z130" s="1771" t="n">
        <f aca="false">F130+C130-B130</f>
        <v>0</v>
      </c>
      <c r="AA130" s="1772" t="n">
        <f aca="false">H130-I130-J130</f>
        <v>0</v>
      </c>
      <c r="AB130" s="1772" t="n">
        <f aca="false">L130-M130-P130</f>
        <v>0</v>
      </c>
      <c r="AC130" s="1002" t="n">
        <f aca="false">Q130-TableDE12b!G130</f>
        <v>0</v>
      </c>
      <c r="AD130" s="1771" t="n">
        <f aca="false">D130+E130-C130</f>
        <v>-1.75978900895934E-009</v>
      </c>
      <c r="AE130" s="1678" t="n">
        <f aca="false">H130-I130-J130</f>
        <v>0</v>
      </c>
      <c r="AF130" s="1678" t="n">
        <f aca="false">TableDE5a!G130+TableDE5c!E130-B130</f>
        <v>0</v>
      </c>
      <c r="AG130" s="1678" t="n">
        <f aca="false">TableDE5b!F130-TableDE12c!B130</f>
        <v>0</v>
      </c>
    </row>
    <row r="131" customFormat="false" ht="12" hidden="false" customHeight="false" outlineLevel="0" collapsed="false">
      <c r="A131" s="1704" t="n">
        <v>1991</v>
      </c>
      <c r="B131" s="1759" t="n">
        <f aca="false">TableDE12b!E131</f>
        <v>0.101054435317195</v>
      </c>
      <c r="C131" s="1764" t="n">
        <f aca="false">B131-F131</f>
        <v>0.125600306635502</v>
      </c>
      <c r="D131" s="1764" t="n">
        <f aca="false">TableDE12!I51</f>
        <v>0.102970907205183</v>
      </c>
      <c r="E131" s="1764" t="n">
        <f aca="false">TableDE12!H51</f>
        <v>0.0226293994303194</v>
      </c>
      <c r="F131" s="1798" t="n">
        <f aca="false">DataDE1!ER52/DataDE1!B52</f>
        <v>-0.0245458713183073</v>
      </c>
      <c r="G131" s="1763" t="n">
        <f aca="false">TableDE12b!F131</f>
        <v>0.118625852078433</v>
      </c>
      <c r="H131" s="1764" t="n">
        <f aca="false">G131-K131</f>
        <v>0.109554551808623</v>
      </c>
      <c r="I131" s="1769" t="n">
        <f aca="false">(DataDE1!FM52-DataDE1!AG52)/DataDE1!B52</f>
        <v>0.0451160029160435</v>
      </c>
      <c r="J131" s="1769" t="n">
        <f aca="false">(DataDE1!FX52-DataDE1!BA52)/DataDE1!B52</f>
        <v>0.0644385488925799</v>
      </c>
      <c r="K131" s="1769" t="n">
        <f aca="false">TableDE5c!F131</f>
        <v>0.00907130026980918</v>
      </c>
      <c r="L131" s="1766" t="n">
        <f aca="false">DataDE1!H52/DataDE1!B52</f>
        <v>0.158631263293175</v>
      </c>
      <c r="M131" s="1764" t="n">
        <f aca="false">N131+O131</f>
        <v>0.137715415197998</v>
      </c>
      <c r="N131" s="1769" t="n">
        <f aca="false">DataDE1!AG52/DataDE1!B52</f>
        <v>0.0457623424547375</v>
      </c>
      <c r="O131" s="1769" t="n">
        <f aca="false">DataDE1!BA52/DataDE1!B52</f>
        <v>0.0919530727432604</v>
      </c>
      <c r="P131" s="1769" t="n">
        <f aca="false">DataDE1!BP52/DataDE1!B52</f>
        <v>0.0209158480951773</v>
      </c>
      <c r="Q131" s="1766" t="n">
        <f aca="false">TableDE12b!G131</f>
        <v>-0.0175714167612377</v>
      </c>
      <c r="R131" s="1764" t="n">
        <f aca="false">C131-H131</f>
        <v>0.0160457548268788</v>
      </c>
      <c r="S131" s="1769" t="n">
        <f aca="false">D131-I131</f>
        <v>0.0578549042891392</v>
      </c>
      <c r="T131" s="1769" t="n">
        <f aca="false">E131-J131</f>
        <v>-0.0418091494622605</v>
      </c>
      <c r="U131" s="1799" t="n">
        <f aca="false">F131-K131</f>
        <v>-0.0336171715881165</v>
      </c>
      <c r="V131" s="158"/>
      <c r="W131" s="158"/>
      <c r="X131" s="158"/>
      <c r="Y131" s="158"/>
      <c r="Z131" s="1771" t="n">
        <f aca="false">F131+C131-B131</f>
        <v>0</v>
      </c>
      <c r="AA131" s="1772" t="n">
        <f aca="false">H131-I131-J131</f>
        <v>0</v>
      </c>
      <c r="AB131" s="1772" t="n">
        <f aca="false">L131-M131-P131</f>
        <v>0</v>
      </c>
      <c r="AC131" s="1002" t="n">
        <f aca="false">Q131-TableDE12b!G131</f>
        <v>0</v>
      </c>
      <c r="AD131" s="1771" t="n">
        <f aca="false">D131+E131-C131</f>
        <v>0</v>
      </c>
      <c r="AE131" s="1678" t="n">
        <f aca="false">H131-I131-J131</f>
        <v>0</v>
      </c>
      <c r="AF131" s="1678" t="n">
        <f aca="false">TableDE5a!G131+TableDE5c!E131-B131</f>
        <v>0</v>
      </c>
      <c r="AG131" s="1678" t="n">
        <f aca="false">TableDE5b!F131-TableDE12c!B131</f>
        <v>0</v>
      </c>
    </row>
    <row r="132" customFormat="false" ht="12" hidden="false" customHeight="false" outlineLevel="0" collapsed="false">
      <c r="A132" s="1704" t="n">
        <v>1992</v>
      </c>
      <c r="B132" s="1759" t="n">
        <f aca="false">TableDE12b!E132</f>
        <v>0.0973973988033372</v>
      </c>
      <c r="C132" s="1764" t="n">
        <f aca="false">B132-F132</f>
        <v>0.115733588022135</v>
      </c>
      <c r="D132" s="1764" t="n">
        <f aca="false">TableDE12!I52</f>
        <v>0.102727604707997</v>
      </c>
      <c r="E132" s="1764" t="n">
        <f aca="false">TableDE12!H52</f>
        <v>0.013005983314138</v>
      </c>
      <c r="F132" s="1798" t="n">
        <f aca="false">DataDE1!ER53/DataDE1!B53</f>
        <v>-0.0183361892187982</v>
      </c>
      <c r="G132" s="1763" t="n">
        <f aca="false">TableDE12b!F132</f>
        <v>0.110691311553695</v>
      </c>
      <c r="H132" s="1764" t="n">
        <f aca="false">G132-K132</f>
        <v>0.0999887637293182</v>
      </c>
      <c r="I132" s="1769" t="n">
        <f aca="false">(DataDE1!FM53-DataDE1!AG53)/DataDE1!B53</f>
        <v>0.0468622714121183</v>
      </c>
      <c r="J132" s="1769" t="n">
        <f aca="false">(DataDE1!FX53-DataDE1!BA53)/DataDE1!B53</f>
        <v>0.0531264923171999</v>
      </c>
      <c r="K132" s="1769" t="n">
        <f aca="false">TableDE5c!F132</f>
        <v>0.0107025478243771</v>
      </c>
      <c r="L132" s="1766" t="n">
        <f aca="false">DataDE1!H53/DataDE1!B53</f>
        <v>0.161212393606562</v>
      </c>
      <c r="M132" s="1764" t="n">
        <f aca="false">N132+O132</f>
        <v>0.140053091378971</v>
      </c>
      <c r="N132" s="1769" t="n">
        <f aca="false">DataDE1!AG53/DataDE1!B53</f>
        <v>0.0465813646450743</v>
      </c>
      <c r="O132" s="1769" t="n">
        <f aca="false">DataDE1!BA53/DataDE1!B53</f>
        <v>0.093471726733897</v>
      </c>
      <c r="P132" s="1769" t="n">
        <f aca="false">DataDE1!BP53/DataDE1!B53</f>
        <v>0.0211593022275907</v>
      </c>
      <c r="Q132" s="1766" t="n">
        <f aca="false">TableDE12b!G132</f>
        <v>-0.0132939127503582</v>
      </c>
      <c r="R132" s="1764" t="n">
        <f aca="false">C132-H132</f>
        <v>0.0157448242928171</v>
      </c>
      <c r="S132" s="1769" t="n">
        <f aca="false">D132-I132</f>
        <v>0.0558653332958791</v>
      </c>
      <c r="T132" s="1769" t="n">
        <f aca="false">E132-J132</f>
        <v>-0.0401205090030619</v>
      </c>
      <c r="U132" s="1799" t="n">
        <f aca="false">F132-K132</f>
        <v>-0.0290387370431753</v>
      </c>
      <c r="V132" s="158"/>
      <c r="W132" s="158"/>
      <c r="X132" s="158"/>
      <c r="Y132" s="158"/>
      <c r="Z132" s="1771" t="n">
        <f aca="false">F132+C132-B132</f>
        <v>0</v>
      </c>
      <c r="AA132" s="1772" t="n">
        <f aca="false">H132-I132-J132</f>
        <v>0</v>
      </c>
      <c r="AB132" s="1772" t="n">
        <f aca="false">L132-M132-P132</f>
        <v>0</v>
      </c>
      <c r="AC132" s="1002" t="n">
        <f aca="false">Q132-TableDE12b!G132</f>
        <v>0</v>
      </c>
      <c r="AD132" s="1771" t="n">
        <f aca="false">D132+E132-C132</f>
        <v>0</v>
      </c>
      <c r="AE132" s="1678" t="n">
        <f aca="false">H132-I132-J132</f>
        <v>0</v>
      </c>
      <c r="AF132" s="1678" t="n">
        <f aca="false">TableDE5a!G132+TableDE5c!E132-B132</f>
        <v>0</v>
      </c>
      <c r="AG132" s="1678" t="n">
        <f aca="false">TableDE5b!F132-TableDE12c!B132</f>
        <v>0</v>
      </c>
    </row>
    <row r="133" customFormat="false" ht="12" hidden="false" customHeight="false" outlineLevel="0" collapsed="false">
      <c r="A133" s="1704" t="n">
        <v>1993</v>
      </c>
      <c r="B133" s="1759" t="n">
        <f aca="false">TableDE12b!E133</f>
        <v>0.0802018452061763</v>
      </c>
      <c r="C133" s="1764" t="n">
        <f aca="false">B133-F133</f>
        <v>0.107158072965504</v>
      </c>
      <c r="D133" s="1764" t="n">
        <f aca="false">TableDE12!I53</f>
        <v>0.0991007713566803</v>
      </c>
      <c r="E133" s="1764" t="n">
        <f aca="false">TableDE12!H53</f>
        <v>0.00805730160882342</v>
      </c>
      <c r="F133" s="1798" t="n">
        <f aca="false">DataDE1!ER54/DataDE1!B54</f>
        <v>-0.0269562277593273</v>
      </c>
      <c r="G133" s="1763" t="n">
        <f aca="false">TableDE12b!F133</f>
        <v>0.0906378473511254</v>
      </c>
      <c r="H133" s="1764" t="n">
        <f aca="false">G133-K133</f>
        <v>0.0819480537337238</v>
      </c>
      <c r="I133" s="1769" t="n">
        <f aca="false">(DataDE1!FM54-DataDE1!AG54)/DataDE1!B54</f>
        <v>0.0487838413837671</v>
      </c>
      <c r="J133" s="1769" t="n">
        <f aca="false">(DataDE1!FX54-DataDE1!BA54)/DataDE1!B54</f>
        <v>0.0331642123499567</v>
      </c>
      <c r="K133" s="1769" t="n">
        <f aca="false">TableDE5c!F133</f>
        <v>0.00868979361740159</v>
      </c>
      <c r="L133" s="1766" t="n">
        <f aca="false">DataDE1!H54/DataDE1!B54</f>
        <v>0.167911012113462</v>
      </c>
      <c r="M133" s="1764" t="n">
        <f aca="false">N133+O133</f>
        <v>0.146042156498783</v>
      </c>
      <c r="N133" s="1769" t="n">
        <f aca="false">DataDE1!AG54/DataDE1!B54</f>
        <v>0.0486738439962051</v>
      </c>
      <c r="O133" s="1769" t="n">
        <f aca="false">DataDE1!BA54/DataDE1!B54</f>
        <v>0.0973683125025781</v>
      </c>
      <c r="P133" s="1769" t="n">
        <f aca="false">DataDE1!BP54/DataDE1!B54</f>
        <v>0.0218688556146792</v>
      </c>
      <c r="Q133" s="1766" t="n">
        <f aca="false">TableDE12b!G133</f>
        <v>-0.0104360021449491</v>
      </c>
      <c r="R133" s="1764" t="n">
        <f aca="false">C133-H133</f>
        <v>0.0252100192317798</v>
      </c>
      <c r="S133" s="1769" t="n">
        <f aca="false">D133-I133</f>
        <v>0.0503169299729132</v>
      </c>
      <c r="T133" s="1769" t="n">
        <f aca="false">E133-J133</f>
        <v>-0.0251069107411333</v>
      </c>
      <c r="U133" s="1799" t="n">
        <f aca="false">F133-K133</f>
        <v>-0.0356460213767289</v>
      </c>
      <c r="V133" s="158"/>
      <c r="W133" s="158"/>
      <c r="X133" s="158"/>
      <c r="Y133" s="158"/>
      <c r="Z133" s="1771" t="n">
        <f aca="false">F133+C133-B133</f>
        <v>0</v>
      </c>
      <c r="AA133" s="1772" t="n">
        <f aca="false">H133-I133-J133</f>
        <v>0</v>
      </c>
      <c r="AB133" s="1772" t="n">
        <f aca="false">L133-M133-P133</f>
        <v>0</v>
      </c>
      <c r="AC133" s="1002" t="n">
        <f aca="false">Q133-TableDE12b!G133</f>
        <v>0</v>
      </c>
      <c r="AD133" s="1771" t="n">
        <f aca="false">D133+E133-C133</f>
        <v>0</v>
      </c>
      <c r="AE133" s="1678" t="n">
        <f aca="false">H133-I133-J133</f>
        <v>0</v>
      </c>
      <c r="AF133" s="1678" t="n">
        <f aca="false">TableDE5a!G133+TableDE5c!E133-B133</f>
        <v>0</v>
      </c>
      <c r="AG133" s="1678" t="n">
        <f aca="false">TableDE5b!F133-TableDE12c!B133</f>
        <v>0</v>
      </c>
    </row>
    <row r="134" customFormat="false" ht="12" hidden="false" customHeight="false" outlineLevel="0" collapsed="false">
      <c r="A134" s="1704" t="n">
        <v>1994</v>
      </c>
      <c r="B134" s="1759" t="n">
        <f aca="false">TableDE12b!E134</f>
        <v>0.0791027465865359</v>
      </c>
      <c r="C134" s="1764" t="n">
        <f aca="false">B134-F134</f>
        <v>0.101824002319574</v>
      </c>
      <c r="D134" s="1764" t="n">
        <f aca="false">TableDE12!I54</f>
        <v>0.0917944804681322</v>
      </c>
      <c r="E134" s="1764" t="n">
        <f aca="false">TableDE12!H54</f>
        <v>0.0100295218514418</v>
      </c>
      <c r="F134" s="1798" t="n">
        <f aca="false">DataDE1!ER55/DataDE1!B55</f>
        <v>-0.0227212557330381</v>
      </c>
      <c r="G134" s="1763" t="n">
        <f aca="false">TableDE12b!F134</f>
        <v>0.0963084506299752</v>
      </c>
      <c r="H134" s="1764" t="n">
        <f aca="false">G134-K134</f>
        <v>0.088835731983763</v>
      </c>
      <c r="I134" s="1769" t="n">
        <f aca="false">(DataDE1!FM55-DataDE1!AG55)/DataDE1!B55</f>
        <v>0.0570272549949918</v>
      </c>
      <c r="J134" s="1769" t="n">
        <f aca="false">(DataDE1!FX55-DataDE1!BA55)/DataDE1!B55</f>
        <v>0.0318084769887712</v>
      </c>
      <c r="K134" s="1769" t="n">
        <f aca="false">TableDE5c!F134</f>
        <v>0.00747271864621224</v>
      </c>
      <c r="L134" s="1766" t="n">
        <f aca="false">DataDE1!H55/DataDE1!B55</f>
        <v>0.16745084084559</v>
      </c>
      <c r="M134" s="1764" t="n">
        <f aca="false">N134+O134</f>
        <v>0.145770731192999</v>
      </c>
      <c r="N134" s="1769" t="n">
        <f aca="false">DataDE1!AG55/DataDE1!B55</f>
        <v>0.0489878222362803</v>
      </c>
      <c r="O134" s="1769" t="n">
        <f aca="false">DataDE1!BA55/DataDE1!B55</f>
        <v>0.0967829089567189</v>
      </c>
      <c r="P134" s="1769" t="n">
        <f aca="false">DataDE1!BP55/DataDE1!B55</f>
        <v>0.0216801096525911</v>
      </c>
      <c r="Q134" s="1766" t="n">
        <f aca="false">TableDE12b!G134</f>
        <v>-0.0172057040434393</v>
      </c>
      <c r="R134" s="1764" t="n">
        <f aca="false">C134-H134</f>
        <v>0.012988270335811</v>
      </c>
      <c r="S134" s="1769" t="n">
        <f aca="false">D134-I134</f>
        <v>0.0347672254731404</v>
      </c>
      <c r="T134" s="1769" t="n">
        <f aca="false">E134-J134</f>
        <v>-0.0217789551373293</v>
      </c>
      <c r="U134" s="1799" t="n">
        <f aca="false">F134-K134</f>
        <v>-0.0301939743792504</v>
      </c>
      <c r="V134" s="158"/>
      <c r="W134" s="158"/>
      <c r="X134" s="158"/>
      <c r="Y134" s="158"/>
      <c r="Z134" s="1771" t="n">
        <f aca="false">F134+C134-B134</f>
        <v>0</v>
      </c>
      <c r="AA134" s="1772" t="n">
        <f aca="false">H134-I134-J134</f>
        <v>0</v>
      </c>
      <c r="AB134" s="1772" t="n">
        <f aca="false">L134-M134-P134</f>
        <v>0</v>
      </c>
      <c r="AC134" s="1002" t="n">
        <f aca="false">Q134-TableDE12b!G134</f>
        <v>0</v>
      </c>
      <c r="AD134" s="1771" t="n">
        <f aca="false">D134+E134-C134</f>
        <v>0</v>
      </c>
      <c r="AE134" s="1678" t="n">
        <f aca="false">H134-I134-J134</f>
        <v>0</v>
      </c>
      <c r="AF134" s="1678" t="n">
        <f aca="false">TableDE5a!G134+TableDE5c!E134-B134</f>
        <v>0</v>
      </c>
      <c r="AG134" s="1678" t="n">
        <f aca="false">TableDE5b!F134-TableDE12c!B134</f>
        <v>0</v>
      </c>
    </row>
    <row r="135" customFormat="false" ht="12" hidden="false" customHeight="false" outlineLevel="0" collapsed="false">
      <c r="A135" s="1704" t="n">
        <v>1995</v>
      </c>
      <c r="B135" s="1759" t="n">
        <f aca="false">TableDE12b!E135</f>
        <v>0.0805227575396497</v>
      </c>
      <c r="C135" s="1764" t="n">
        <f aca="false">B135-F135</f>
        <v>0.189247882908428</v>
      </c>
      <c r="D135" s="1764" t="n">
        <f aca="false">TableDE12!I55</f>
        <v>0.0895964304147525</v>
      </c>
      <c r="E135" s="1764" t="n">
        <f aca="false">TableDE12!H55</f>
        <v>0.0996514524936758</v>
      </c>
      <c r="F135" s="1798" t="n">
        <f aca="false">DataDE1!ER56/DataDE1!B56</f>
        <v>-0.108725125368779</v>
      </c>
      <c r="G135" s="1763" t="n">
        <f aca="false">TableDE12b!F135</f>
        <v>0.0953885954236414</v>
      </c>
      <c r="H135" s="1764" t="n">
        <f aca="false">G135-K135</f>
        <v>0.0914061056347452</v>
      </c>
      <c r="I135" s="1769" t="n">
        <f aca="false">(DataDE1!FM56-DataDE1!AG56)/DataDE1!B56</f>
        <v>0.0528173725762567</v>
      </c>
      <c r="J135" s="1769" t="n">
        <f aca="false">(DataDE1!FX56-DataDE1!BA56)/DataDE1!B56</f>
        <v>0.0385887330584884</v>
      </c>
      <c r="K135" s="1769" t="n">
        <f aca="false">TableDE5c!F135</f>
        <v>0.00398248978889618</v>
      </c>
      <c r="L135" s="1766" t="n">
        <f aca="false">DataDE1!H56/DataDE1!B56</f>
        <v>0.167716981973658</v>
      </c>
      <c r="M135" s="1764" t="n">
        <f aca="false">N135+O135</f>
        <v>0.146217909097281</v>
      </c>
      <c r="N135" s="1769" t="n">
        <f aca="false">DataDE1!AG56/DataDE1!B56</f>
        <v>0.0497715643857089</v>
      </c>
      <c r="O135" s="1769" t="n">
        <f aca="false">DataDE1!BA56/DataDE1!B56</f>
        <v>0.0964463447115722</v>
      </c>
      <c r="P135" s="1769" t="n">
        <f aca="false">DataDE1!BP56/DataDE1!B56</f>
        <v>0.0214990728763772</v>
      </c>
      <c r="Q135" s="1766" t="n">
        <f aca="false">TableDE12b!G135</f>
        <v>-0.0148658378839917</v>
      </c>
      <c r="R135" s="1764" t="n">
        <f aca="false">C135-H135</f>
        <v>0.0978417772736831</v>
      </c>
      <c r="S135" s="1769" t="n">
        <f aca="false">D135-I135</f>
        <v>0.0367790578384957</v>
      </c>
      <c r="T135" s="1769" t="n">
        <f aca="false">E135-J135</f>
        <v>0.0610627194351874</v>
      </c>
      <c r="U135" s="1799" t="n">
        <f aca="false">F135-K135</f>
        <v>-0.112707615157675</v>
      </c>
      <c r="V135" s="158"/>
      <c r="W135" s="158"/>
      <c r="X135" s="158"/>
      <c r="Y135" s="158"/>
      <c r="Z135" s="1771" t="n">
        <f aca="false">F135+C135-B135</f>
        <v>0</v>
      </c>
      <c r="AA135" s="1772" t="n">
        <f aca="false">H135-I135-J135</f>
        <v>0</v>
      </c>
      <c r="AB135" s="1772" t="n">
        <f aca="false">L135-M135-P135</f>
        <v>0</v>
      </c>
      <c r="AC135" s="1002" t="n">
        <f aca="false">Q135-TableDE12b!G135</f>
        <v>0</v>
      </c>
      <c r="AD135" s="1771" t="n">
        <f aca="false">D135+E135-C135</f>
        <v>0</v>
      </c>
      <c r="AE135" s="1678" t="n">
        <f aca="false">H135-I135-J135</f>
        <v>0</v>
      </c>
      <c r="AF135" s="1678" t="n">
        <f aca="false">TableDE5a!G135+TableDE5c!E135-B135</f>
        <v>0</v>
      </c>
      <c r="AG135" s="1678" t="n">
        <f aca="false">TableDE5b!F135-TableDE12c!B135</f>
        <v>0</v>
      </c>
    </row>
    <row r="136" customFormat="false" ht="12" hidden="false" customHeight="false" outlineLevel="0" collapsed="false">
      <c r="A136" s="1704" t="n">
        <v>1996</v>
      </c>
      <c r="B136" s="1759" t="n">
        <f aca="false">TableDE12b!E136</f>
        <v>0.0733601877297996</v>
      </c>
      <c r="C136" s="1764" t="n">
        <f aca="false">B136-F136</f>
        <v>0.110818255970084</v>
      </c>
      <c r="D136" s="1764" t="n">
        <f aca="false">TableDE12!I56</f>
        <v>0.0871261529194745</v>
      </c>
      <c r="E136" s="1764" t="n">
        <f aca="false">TableDE12!H56</f>
        <v>0.0236921030506092</v>
      </c>
      <c r="F136" s="1798" t="n">
        <f aca="false">DataDE1!ER57/DataDE1!B57</f>
        <v>-0.0374580682402841</v>
      </c>
      <c r="G136" s="1763" t="n">
        <f aca="false">TableDE12b!F136</f>
        <v>0.0814165066696784</v>
      </c>
      <c r="H136" s="1764" t="n">
        <f aca="false">G136-K136</f>
        <v>0.0783859754796772</v>
      </c>
      <c r="I136" s="1769" t="n">
        <f aca="false">(DataDE1!FM57-DataDE1!AG57)/DataDE1!B57</f>
        <v>0.0476979256861047</v>
      </c>
      <c r="J136" s="1769" t="n">
        <f aca="false">(DataDE1!FX57-DataDE1!BA57)/DataDE1!B57</f>
        <v>0.0306880497935725</v>
      </c>
      <c r="K136" s="1769" t="n">
        <f aca="false">TableDE5c!F136</f>
        <v>0.00303053119000113</v>
      </c>
      <c r="L136" s="1766" t="n">
        <f aca="false">DataDE1!H57/DataDE1!B57</f>
        <v>0.168906624502754</v>
      </c>
      <c r="M136" s="1764" t="n">
        <f aca="false">N136+O136</f>
        <v>0.147567418338792</v>
      </c>
      <c r="N136" s="1769" t="n">
        <f aca="false">DataDE1!AG57/DataDE1!B57</f>
        <v>0.0502829750655674</v>
      </c>
      <c r="O136" s="1769" t="n">
        <f aca="false">DataDE1!BA57/DataDE1!B57</f>
        <v>0.0972844432732247</v>
      </c>
      <c r="P136" s="1769" t="n">
        <f aca="false">DataDE1!BP57/DataDE1!B57</f>
        <v>0.0213392061639624</v>
      </c>
      <c r="Q136" s="1766" t="n">
        <f aca="false">TableDE12b!G136</f>
        <v>-0.0080563189398788</v>
      </c>
      <c r="R136" s="1764" t="n">
        <f aca="false">C136-H136</f>
        <v>0.0324322804904064</v>
      </c>
      <c r="S136" s="1769" t="n">
        <f aca="false">D136-I136</f>
        <v>0.0394282272333697</v>
      </c>
      <c r="T136" s="1769" t="n">
        <f aca="false">E136-J136</f>
        <v>-0.00699594674296326</v>
      </c>
      <c r="U136" s="1799" t="n">
        <f aca="false">F136-K136</f>
        <v>-0.0404885994302852</v>
      </c>
      <c r="V136" s="158"/>
      <c r="W136" s="158"/>
      <c r="X136" s="158"/>
      <c r="Y136" s="158"/>
      <c r="Z136" s="1771" t="n">
        <f aca="false">F136+C136-B136</f>
        <v>0</v>
      </c>
      <c r="AA136" s="1772" t="n">
        <f aca="false">H136-I136-J136</f>
        <v>0</v>
      </c>
      <c r="AB136" s="1772" t="n">
        <f aca="false">L136-M136-P136</f>
        <v>0</v>
      </c>
      <c r="AC136" s="1002" t="n">
        <f aca="false">Q136-TableDE12b!G136</f>
        <v>0</v>
      </c>
      <c r="AD136" s="1771" t="n">
        <f aca="false">D136+E136-C136</f>
        <v>0</v>
      </c>
      <c r="AE136" s="1678" t="n">
        <f aca="false">H136-I136-J136</f>
        <v>0</v>
      </c>
      <c r="AF136" s="1678" t="n">
        <f aca="false">TableDE5a!G136+TableDE5c!E136-B136</f>
        <v>0</v>
      </c>
      <c r="AG136" s="1678" t="n">
        <f aca="false">TableDE5b!F136-TableDE12c!B136</f>
        <v>0</v>
      </c>
    </row>
    <row r="137" customFormat="false" ht="12" hidden="false" customHeight="false" outlineLevel="0" collapsed="false">
      <c r="A137" s="1704" t="n">
        <v>1997</v>
      </c>
      <c r="B137" s="1759" t="n">
        <f aca="false">TableDE12b!E137</f>
        <v>0.0757633705508605</v>
      </c>
      <c r="C137" s="1764" t="n">
        <f aca="false">B137-F137</f>
        <v>0.108068546048979</v>
      </c>
      <c r="D137" s="1764" t="n">
        <f aca="false">TableDE12!I57</f>
        <v>0.0850039602738881</v>
      </c>
      <c r="E137" s="1764" t="n">
        <f aca="false">TableDE12!H57</f>
        <v>0.023064585775091</v>
      </c>
      <c r="F137" s="1798" t="n">
        <f aca="false">DataDE1!ER58/DataDE1!B58</f>
        <v>-0.0323051754981186</v>
      </c>
      <c r="G137" s="1763" t="n">
        <f aca="false">TableDE12b!F137</f>
        <v>0.0815125532046142</v>
      </c>
      <c r="H137" s="1764" t="n">
        <f aca="false">G137-K137</f>
        <v>0.0804268706433903</v>
      </c>
      <c r="I137" s="1769" t="n">
        <f aca="false">(DataDE1!FM58-DataDE1!AG58)/DataDE1!B58</f>
        <v>0.0456171735241503</v>
      </c>
      <c r="J137" s="1769" t="n">
        <f aca="false">(DataDE1!FX58-DataDE1!BA58)/DataDE1!B58</f>
        <v>0.03480969711924</v>
      </c>
      <c r="K137" s="1769" t="n">
        <f aca="false">TableDE5c!F137</f>
        <v>0.00108568256122386</v>
      </c>
      <c r="L137" s="1766" t="n">
        <f aca="false">DataDE1!H58/DataDE1!B58</f>
        <v>0.170156066868176</v>
      </c>
      <c r="M137" s="1764" t="n">
        <f aca="false">N137+O137</f>
        <v>0.149065449386219</v>
      </c>
      <c r="N137" s="1769" t="n">
        <f aca="false">DataDE1!AG58/DataDE1!B58</f>
        <v>0.0509530565665289</v>
      </c>
      <c r="O137" s="1769" t="n">
        <f aca="false">DataDE1!BA58/DataDE1!B58</f>
        <v>0.0981123928196903</v>
      </c>
      <c r="P137" s="1769" t="n">
        <f aca="false">DataDE1!BP58/DataDE1!B58</f>
        <v>0.0210906174819567</v>
      </c>
      <c r="Q137" s="1766" t="n">
        <f aca="false">TableDE12b!G137</f>
        <v>-0.00574918265375369</v>
      </c>
      <c r="R137" s="1764" t="n">
        <f aca="false">C137-H137</f>
        <v>0.0276416754055887</v>
      </c>
      <c r="S137" s="1769" t="n">
        <f aca="false">D137-I137</f>
        <v>0.0393867867497378</v>
      </c>
      <c r="T137" s="1769" t="n">
        <f aca="false">E137-J137</f>
        <v>-0.011745111344149</v>
      </c>
      <c r="U137" s="1799" t="n">
        <f aca="false">F137-K137</f>
        <v>-0.0333908580593424</v>
      </c>
      <c r="V137" s="158"/>
      <c r="W137" s="158"/>
      <c r="X137" s="158"/>
      <c r="Y137" s="158"/>
      <c r="Z137" s="1771" t="n">
        <f aca="false">F137+C137-B137</f>
        <v>0</v>
      </c>
      <c r="AA137" s="1772" t="n">
        <f aca="false">H137-I137-J137</f>
        <v>0</v>
      </c>
      <c r="AB137" s="1772" t="n">
        <f aca="false">L137-M137-P137</f>
        <v>0</v>
      </c>
      <c r="AC137" s="1002" t="n">
        <f aca="false">Q137-TableDE12b!G137</f>
        <v>0</v>
      </c>
      <c r="AD137" s="1771" t="n">
        <f aca="false">D137+E137-C137</f>
        <v>0</v>
      </c>
      <c r="AE137" s="1678" t="n">
        <f aca="false">H137-I137-J137</f>
        <v>0</v>
      </c>
      <c r="AF137" s="1678" t="n">
        <f aca="false">TableDE5a!G137+TableDE5c!E137-B137</f>
        <v>0</v>
      </c>
      <c r="AG137" s="1678" t="n">
        <f aca="false">TableDE5b!F137-TableDE12c!B137</f>
        <v>0</v>
      </c>
    </row>
    <row r="138" customFormat="false" ht="12" hidden="false" customHeight="false" outlineLevel="0" collapsed="false">
      <c r="A138" s="1704" t="n">
        <v>1998</v>
      </c>
      <c r="B138" s="1759" t="n">
        <f aca="false">TableDE12b!E138</f>
        <v>0.0792920140147397</v>
      </c>
      <c r="C138" s="1764" t="n">
        <f aca="false">B138-F138</f>
        <v>0.106675123837139</v>
      </c>
      <c r="D138" s="1764" t="n">
        <f aca="false">TableDE12!I58</f>
        <v>0.0867766098828078</v>
      </c>
      <c r="E138" s="1764" t="n">
        <f aca="false">TableDE12!H58</f>
        <v>0.0198985139543313</v>
      </c>
      <c r="F138" s="1798" t="n">
        <f aca="false">DataDE1!ER59/DataDE1!B59</f>
        <v>-0.0273831098223995</v>
      </c>
      <c r="G138" s="1763" t="n">
        <f aca="false">TableDE12b!F138</f>
        <v>0.0880874713060288</v>
      </c>
      <c r="H138" s="1764" t="n">
        <f aca="false">G138-K138</f>
        <v>0.0867464057025493</v>
      </c>
      <c r="I138" s="1769" t="n">
        <f aca="false">(DataDE1!FM59-DataDE1!AG59)/DataDE1!B59</f>
        <v>0.0449377793886674</v>
      </c>
      <c r="J138" s="1769" t="n">
        <f aca="false">(DataDE1!FX59-DataDE1!BA59)/DataDE1!B59</f>
        <v>0.0418086263138819</v>
      </c>
      <c r="K138" s="1769" t="n">
        <f aca="false">TableDE5c!F138</f>
        <v>0.00134106560347952</v>
      </c>
      <c r="L138" s="1766" t="n">
        <f aca="false">DataDE1!H59/DataDE1!B59</f>
        <v>0.170544883411864</v>
      </c>
      <c r="M138" s="1764" t="n">
        <f aca="false">N138+O138</f>
        <v>0.149812734082397</v>
      </c>
      <c r="N138" s="1769" t="n">
        <f aca="false">DataDE1!AG59/DataDE1!B59</f>
        <v>0.0510752688172043</v>
      </c>
      <c r="O138" s="1769" t="n">
        <f aca="false">DataDE1!BA59/DataDE1!B59</f>
        <v>0.0987374652651927</v>
      </c>
      <c r="P138" s="1769" t="n">
        <f aca="false">DataDE1!BP59/DataDE1!B59</f>
        <v>0.0207321493294672</v>
      </c>
      <c r="Q138" s="1766" t="n">
        <f aca="false">TableDE12b!G138</f>
        <v>-0.00879545729128912</v>
      </c>
      <c r="R138" s="1764" t="n">
        <f aca="false">C138-H138</f>
        <v>0.0199287181345899</v>
      </c>
      <c r="S138" s="1769" t="n">
        <f aca="false">D138-I138</f>
        <v>0.0418388304941404</v>
      </c>
      <c r="T138" s="1769" t="n">
        <f aca="false">E138-J138</f>
        <v>-0.0219101123595505</v>
      </c>
      <c r="U138" s="1799" t="n">
        <f aca="false">F138-K138</f>
        <v>-0.028724175425879</v>
      </c>
      <c r="V138" s="158"/>
      <c r="W138" s="158"/>
      <c r="X138" s="158"/>
      <c r="Y138" s="158"/>
      <c r="Z138" s="1771" t="n">
        <f aca="false">F138+C138-B138</f>
        <v>0</v>
      </c>
      <c r="AA138" s="1772" t="n">
        <f aca="false">H138-I138-J138</f>
        <v>0</v>
      </c>
      <c r="AB138" s="1772" t="n">
        <f aca="false">L138-M138-P138</f>
        <v>0</v>
      </c>
      <c r="AC138" s="1002" t="n">
        <f aca="false">Q138-TableDE12b!G138</f>
        <v>0</v>
      </c>
      <c r="AD138" s="1771" t="n">
        <f aca="false">D138+E138-C138</f>
        <v>0</v>
      </c>
      <c r="AE138" s="1678" t="n">
        <f aca="false">H138-I138-J138</f>
        <v>0</v>
      </c>
      <c r="AF138" s="1678" t="n">
        <f aca="false">TableDE5a!G138+TableDE5c!E138-B138</f>
        <v>0</v>
      </c>
      <c r="AG138" s="1678" t="n">
        <f aca="false">TableDE5b!F138-TableDE12c!B138</f>
        <v>0</v>
      </c>
    </row>
    <row r="139" customFormat="false" ht="12" hidden="false" customHeight="false" outlineLevel="0" collapsed="false">
      <c r="A139" s="1720" t="n">
        <f aca="false">A138+1</f>
        <v>1999</v>
      </c>
      <c r="B139" s="1759" t="n">
        <f aca="false">TableDE12b!E139</f>
        <v>0.0716212131091182</v>
      </c>
      <c r="C139" s="1764" t="n">
        <f aca="false">B139-F139</f>
        <v>0.0891901343749814</v>
      </c>
      <c r="D139" s="1764" t="n">
        <f aca="false">TableDE12!I59</f>
        <v>0.0842762896619583</v>
      </c>
      <c r="E139" s="1764" t="n">
        <f aca="false">TableDE12!H59</f>
        <v>0.00491384471302318</v>
      </c>
      <c r="F139" s="1798" t="n">
        <f aca="false">DataDE1!ER60/DataDE1!B60</f>
        <v>-0.0175689212658633</v>
      </c>
      <c r="G139" s="1763" t="n">
        <f aca="false">TableDE12b!F139</f>
        <v>0.087068112170805</v>
      </c>
      <c r="H139" s="1764" t="n">
        <f aca="false">G139-K139</f>
        <v>0.0844422578790447</v>
      </c>
      <c r="I139" s="1769" t="n">
        <f aca="false">(DataDE1!FM60-DataDE1!AG60)/DataDE1!B60</f>
        <v>0.0423159679207146</v>
      </c>
      <c r="J139" s="1769" t="n">
        <f aca="false">(DataDE1!FX60-DataDE1!BA60)/DataDE1!B60</f>
        <v>0.0421262899583301</v>
      </c>
      <c r="K139" s="1769" t="n">
        <f aca="false">TableDE5c!F139</f>
        <v>0.00262585429176027</v>
      </c>
      <c r="L139" s="1766" t="n">
        <f aca="false">DataDE1!H60/DataDE1!B60</f>
        <v>0.171356256705412</v>
      </c>
      <c r="M139" s="1764" t="n">
        <f aca="false">N139+O139</f>
        <v>0.150841399586265</v>
      </c>
      <c r="N139" s="1769" t="n">
        <f aca="false">DataDE1!AG60/DataDE1!B60</f>
        <v>0.050981879827156</v>
      </c>
      <c r="O139" s="1769" t="n">
        <f aca="false">DataDE1!BA60/DataDE1!B60</f>
        <v>0.099859519759109</v>
      </c>
      <c r="P139" s="1769" t="n">
        <f aca="false">DataDE1!BP60/DataDE1!B60</f>
        <v>0.0205148571191474</v>
      </c>
      <c r="Q139" s="1766" t="n">
        <f aca="false">TableDE12b!G139</f>
        <v>-0.0154468990616868</v>
      </c>
      <c r="R139" s="1764" t="n">
        <f aca="false">C139-H139</f>
        <v>0.00474787649593671</v>
      </c>
      <c r="S139" s="1769" t="n">
        <f aca="false">D139-I139</f>
        <v>0.0419603217412437</v>
      </c>
      <c r="T139" s="1769" t="n">
        <f aca="false">E139-J139</f>
        <v>-0.0372124452453069</v>
      </c>
      <c r="U139" s="1799" t="n">
        <f aca="false">F139-K139</f>
        <v>-0.0201947755576235</v>
      </c>
      <c r="V139" s="158"/>
      <c r="W139" s="158"/>
      <c r="X139" s="158"/>
      <c r="Y139" s="158"/>
      <c r="Z139" s="1771" t="n">
        <f aca="false">F139+C139-B139</f>
        <v>0</v>
      </c>
      <c r="AA139" s="1772" t="n">
        <f aca="false">H139-I139-J139</f>
        <v>0</v>
      </c>
      <c r="AB139" s="1772" t="n">
        <f aca="false">L139-M139-P139</f>
        <v>0</v>
      </c>
      <c r="AC139" s="1002" t="n">
        <f aca="false">Q139-TableDE12b!G139</f>
        <v>0</v>
      </c>
      <c r="AD139" s="1771" t="n">
        <f aca="false">D139+E139-C139</f>
        <v>0</v>
      </c>
      <c r="AE139" s="1678" t="n">
        <f aca="false">H139-I139-J139</f>
        <v>0</v>
      </c>
      <c r="AF139" s="1678" t="n">
        <f aca="false">TableDE5a!G139+TableDE5c!E139-B139</f>
        <v>0</v>
      </c>
      <c r="AG139" s="1678" t="n">
        <f aca="false">TableDE5b!F139-TableDE12c!B139</f>
        <v>0</v>
      </c>
    </row>
    <row r="140" customFormat="false" ht="12" hidden="false" customHeight="false" outlineLevel="0" collapsed="false">
      <c r="A140" s="1721" t="n">
        <f aca="false">A139+1</f>
        <v>2000</v>
      </c>
      <c r="B140" s="1800" t="n">
        <f aca="false">TableDE12b!E140</f>
        <v>0.0680881167622482</v>
      </c>
      <c r="C140" s="1801" t="n">
        <f aca="false">B140-F140</f>
        <v>0.0831762857126289</v>
      </c>
      <c r="D140" s="1801" t="n">
        <f aca="false">TableDE12!I60</f>
        <v>0.0809553907441448</v>
      </c>
      <c r="E140" s="1801" t="n">
        <f aca="false">TableDE12!H60</f>
        <v>0.0022208949684842</v>
      </c>
      <c r="F140" s="1802" t="n">
        <f aca="false">DataDE1!ER61/DataDE1!B61</f>
        <v>-0.0150881689503806</v>
      </c>
      <c r="G140" s="1803" t="n">
        <f aca="false">TableDE12b!F140</f>
        <v>0.0900245284222368</v>
      </c>
      <c r="H140" s="1801" t="n">
        <f aca="false">G140-K140</f>
        <v>0.0883255147779395</v>
      </c>
      <c r="I140" s="1804" t="n">
        <f aca="false">(DataDE1!FM61-DataDE1!AG61)/DataDE1!B61</f>
        <v>0.0366998544530974</v>
      </c>
      <c r="J140" s="1804" t="n">
        <f aca="false">(DataDE1!FX61-DataDE1!BA61)/DataDE1!B61</f>
        <v>0.0516256603248422</v>
      </c>
      <c r="K140" s="1804" t="n">
        <f aca="false">TableDE5c!F140</f>
        <v>0.00169901364429729</v>
      </c>
      <c r="L140" s="1805" t="n">
        <f aca="false">DataDE1!H61/DataDE1!B61</f>
        <v>0.174737464700527</v>
      </c>
      <c r="M140" s="1801" t="n">
        <f aca="false">N140+O140</f>
        <v>0.154198535253083</v>
      </c>
      <c r="N140" s="1804" t="n">
        <f aca="false">DataDE1!AG61/DataDE1!B61</f>
        <v>0.0515618748296637</v>
      </c>
      <c r="O140" s="1804" t="n">
        <f aca="false">DataDE1!BA61/DataDE1!B61</f>
        <v>0.10263666042342</v>
      </c>
      <c r="P140" s="1804" t="n">
        <f aca="false">DataDE1!BP61/DataDE1!B61</f>
        <v>0.0205389294474437</v>
      </c>
      <c r="Q140" s="1805" t="n">
        <f aca="false">TableDE12b!G140</f>
        <v>-0.0219364116599885</v>
      </c>
      <c r="R140" s="1801" t="n">
        <f aca="false">C140-H140</f>
        <v>-0.00514922906531062</v>
      </c>
      <c r="S140" s="1804" t="n">
        <f aca="false">D140-I140</f>
        <v>0.0442555362910474</v>
      </c>
      <c r="T140" s="1804" t="n">
        <f aca="false">E140-J140</f>
        <v>-0.049404765356358</v>
      </c>
      <c r="U140" s="1806" t="n">
        <f aca="false">F140-K140</f>
        <v>-0.0167871825946779</v>
      </c>
      <c r="V140" s="158"/>
      <c r="W140" s="158"/>
      <c r="X140" s="158"/>
      <c r="Y140" s="158"/>
      <c r="Z140" s="1771" t="n">
        <f aca="false">F140+C140-B140</f>
        <v>0</v>
      </c>
      <c r="AA140" s="1772" t="n">
        <f aca="false">H140-I140-J140</f>
        <v>0</v>
      </c>
      <c r="AB140" s="1772" t="n">
        <f aca="false">L140-M140-P140</f>
        <v>0</v>
      </c>
      <c r="AC140" s="1002" t="n">
        <f aca="false">Q140-TableDE12b!G140</f>
        <v>0</v>
      </c>
      <c r="AD140" s="1771" t="n">
        <f aca="false">D140+E140-C140</f>
        <v>0</v>
      </c>
      <c r="AE140" s="1678" t="n">
        <f aca="false">H140-I140-J140</f>
        <v>0</v>
      </c>
      <c r="AF140" s="1678" t="n">
        <f aca="false">TableDE5a!G140+TableDE5c!E140-B140</f>
        <v>0</v>
      </c>
      <c r="AG140" s="1678" t="n">
        <f aca="false">TableDE5b!F140-TableDE12c!B140</f>
        <v>0</v>
      </c>
    </row>
    <row r="141" customFormat="false" ht="12" hidden="false" customHeight="false" outlineLevel="0" collapsed="false">
      <c r="A141" s="1720" t="n">
        <f aca="false">A140+1</f>
        <v>2001</v>
      </c>
      <c r="B141" s="1759" t="n">
        <f aca="false">TableDE12b!E141</f>
        <v>0.0639837508769548</v>
      </c>
      <c r="C141" s="1764" t="n">
        <f aca="false">B141-F141</f>
        <v>0.0996107452418132</v>
      </c>
      <c r="D141" s="1764" t="n">
        <f aca="false">TableDE12!I61</f>
        <v>0.0803912915563401</v>
      </c>
      <c r="E141" s="1764" t="n">
        <f aca="false">TableDE12!H61</f>
        <v>0.0192194536854731</v>
      </c>
      <c r="F141" s="1798" t="n">
        <f aca="false">DataDE1!ER62/DataDE1!B62</f>
        <v>-0.0356269943648584</v>
      </c>
      <c r="G141" s="1763" t="n">
        <f aca="false">TableDE12b!F141</f>
        <v>0.0661902822096997</v>
      </c>
      <c r="H141" s="1764" t="n">
        <f aca="false">G141-K141</f>
        <v>0.0645042659605766</v>
      </c>
      <c r="I141" s="1769" t="n">
        <f aca="false">(DataDE1!FM62-DataDE1!AG62)/DataDE1!B62</f>
        <v>0.0248432796976486</v>
      </c>
      <c r="J141" s="1769" t="n">
        <f aca="false">(DataDE1!FX62-DataDE1!BA62)/DataDE1!B62</f>
        <v>0.039660986262928</v>
      </c>
      <c r="K141" s="1769" t="n">
        <f aca="false">TableDE5c!F141</f>
        <v>0.00168601624912304</v>
      </c>
      <c r="L141" s="1766" t="n">
        <f aca="false">DataDE1!H62/DataDE1!B62</f>
        <v>0.175764365084753</v>
      </c>
      <c r="M141" s="1764" t="n">
        <f aca="false">N141+O141</f>
        <v>0.155424672414964</v>
      </c>
      <c r="N141" s="1769" t="n">
        <f aca="false">DataDE1!AG62/DataDE1!B62</f>
        <v>0.0514913888700296</v>
      </c>
      <c r="O141" s="1769" t="n">
        <f aca="false">DataDE1!BA62/DataDE1!B62</f>
        <v>0.103933283544934</v>
      </c>
      <c r="P141" s="1769" t="n">
        <f aca="false">DataDE1!BP62/DataDE1!B62</f>
        <v>0.0203396926697898</v>
      </c>
      <c r="Q141" s="1766" t="n">
        <f aca="false">TableDE12b!G141</f>
        <v>-0.00220653133274487</v>
      </c>
      <c r="R141" s="1764" t="n">
        <f aca="false">C141-H141</f>
        <v>0.0351064792812366</v>
      </c>
      <c r="S141" s="1769" t="n">
        <f aca="false">D141-I141</f>
        <v>0.0555480118586915</v>
      </c>
      <c r="T141" s="1769" t="n">
        <f aca="false">E141-J141</f>
        <v>-0.0204415325774549</v>
      </c>
      <c r="U141" s="1799" t="n">
        <f aca="false">F141-K141</f>
        <v>-0.0373130106139815</v>
      </c>
      <c r="V141" s="158"/>
      <c r="W141" s="158"/>
      <c r="X141" s="158"/>
      <c r="Y141" s="158"/>
      <c r="Z141" s="1771" t="n">
        <f aca="false">F141+C141-B141</f>
        <v>0</v>
      </c>
      <c r="AA141" s="1772" t="n">
        <f aca="false">H141-I141-J141</f>
        <v>0</v>
      </c>
      <c r="AB141" s="1772" t="n">
        <f aca="false">L141-M141-P141</f>
        <v>0</v>
      </c>
      <c r="AC141" s="1002" t="n">
        <f aca="false">Q141-TableDE12b!G141</f>
        <v>0</v>
      </c>
      <c r="AD141" s="1771" t="n">
        <f aca="false">D141+E141-C141</f>
        <v>0</v>
      </c>
      <c r="AE141" s="1678" t="n">
        <f aca="false">H141-I141-J141</f>
        <v>0</v>
      </c>
      <c r="AF141" s="1678" t="n">
        <f aca="false">TableDE5a!G141+TableDE5c!E141-B141</f>
        <v>0</v>
      </c>
      <c r="AG141" s="1678" t="n">
        <f aca="false">TableDE5b!F141-TableDE12c!B141</f>
        <v>0</v>
      </c>
    </row>
    <row r="142" customFormat="false" ht="12" hidden="false" customHeight="false" outlineLevel="0" collapsed="false">
      <c r="A142" s="1720" t="n">
        <f aca="false">A141+1</f>
        <v>2002</v>
      </c>
      <c r="B142" s="1759" t="n">
        <f aca="false">TableDE12b!E142</f>
        <v>0.0622688694815404</v>
      </c>
      <c r="C142" s="1764" t="n">
        <f aca="false">B142-F142</f>
        <v>0.108167683967305</v>
      </c>
      <c r="D142" s="1764" t="n">
        <f aca="false">TableDE12!I62</f>
        <v>0.0781409973089554</v>
      </c>
      <c r="E142" s="1764" t="n">
        <f aca="false">TableDE12!H62</f>
        <v>0.0299036035380803</v>
      </c>
      <c r="F142" s="1798" t="n">
        <f aca="false">DataDE1!ER63/DataDE1!B63</f>
        <v>-0.0458988144857644</v>
      </c>
      <c r="G142" s="1763" t="n">
        <f aca="false">TableDE12b!F142</f>
        <v>0.038726425386453</v>
      </c>
      <c r="H142" s="1764" t="n">
        <f aca="false">G142-K142</f>
        <v>0.0378312754208603</v>
      </c>
      <c r="I142" s="1769" t="n">
        <f aca="false">(DataDE1!FM63-DataDE1!AG63)/DataDE1!B63</f>
        <v>0.0209688879440084</v>
      </c>
      <c r="J142" s="1769" t="n">
        <f aca="false">(DataDE1!FX63-DataDE1!BA63)/DataDE1!B63</f>
        <v>0.016862387476852</v>
      </c>
      <c r="K142" s="1769" t="n">
        <f aca="false">TableDE5c!F142</f>
        <v>0.000895149965592674</v>
      </c>
      <c r="L142" s="1766" t="n">
        <f aca="false">DataDE1!H63/DataDE1!B63</f>
        <v>0.176859254451972</v>
      </c>
      <c r="M142" s="1764" t="n">
        <f aca="false">N142+O142</f>
        <v>0.156589702418583</v>
      </c>
      <c r="N142" s="1769" t="n">
        <f aca="false">DataDE1!AG63/DataDE1!B63</f>
        <v>0.0516165848909875</v>
      </c>
      <c r="O142" s="1769" t="n">
        <f aca="false">DataDE1!BA63/DataDE1!B63</f>
        <v>0.104973117527596</v>
      </c>
      <c r="P142" s="1769" t="n">
        <f aca="false">DataDE1!BP63/DataDE1!B63</f>
        <v>0.0202695520333891</v>
      </c>
      <c r="Q142" s="1766" t="n">
        <f aca="false">TableDE12b!G142</f>
        <v>0.0235424440950874</v>
      </c>
      <c r="R142" s="1764" t="n">
        <f aca="false">C142-H142</f>
        <v>0.0703364085464444</v>
      </c>
      <c r="S142" s="1769" t="n">
        <f aca="false">D142-I142</f>
        <v>0.0571721093649471</v>
      </c>
      <c r="T142" s="1769" t="n">
        <f aca="false">E142-J142</f>
        <v>0.0130412160612283</v>
      </c>
      <c r="U142" s="1799" t="n">
        <f aca="false">F142-K142</f>
        <v>-0.046793964451357</v>
      </c>
      <c r="V142" s="158"/>
      <c r="W142" s="158"/>
      <c r="X142" s="158"/>
      <c r="Y142" s="158"/>
      <c r="Z142" s="1771" t="n">
        <f aca="false">F142+C142-B142</f>
        <v>0</v>
      </c>
      <c r="AA142" s="1772" t="n">
        <f aca="false">H142-I142-J142</f>
        <v>0</v>
      </c>
      <c r="AB142" s="1772" t="n">
        <f aca="false">L142-M142-P142</f>
        <v>0</v>
      </c>
      <c r="AC142" s="1002" t="n">
        <f aca="false">Q142-TableDE12b!G142</f>
        <v>0</v>
      </c>
      <c r="AD142" s="1771" t="n">
        <f aca="false">D142+E142-C142</f>
        <v>-0.000123083120269027</v>
      </c>
      <c r="AE142" s="1678" t="n">
        <f aca="false">H142-I142-J142</f>
        <v>0</v>
      </c>
      <c r="AF142" s="1678" t="n">
        <f aca="false">TableDE5a!G142+TableDE5c!E142-B142</f>
        <v>0</v>
      </c>
      <c r="AG142" s="1678" t="n">
        <f aca="false">TableDE5b!F142-TableDE12c!B142</f>
        <v>0</v>
      </c>
    </row>
    <row r="143" customFormat="false" ht="12" hidden="false" customHeight="false" outlineLevel="0" collapsed="false">
      <c r="A143" s="1720" t="n">
        <f aca="false">A142+1</f>
        <v>2003</v>
      </c>
      <c r="B143" s="1759" t="n">
        <f aca="false">TableDE12b!E143</f>
        <v>0.0585481645045543</v>
      </c>
      <c r="C143" s="1764" t="n">
        <f aca="false">B143-F143</f>
        <v>0.109213359094673</v>
      </c>
      <c r="D143" s="1764" t="n">
        <f aca="false">TableDE12!I63</f>
        <v>0.0897929892354402</v>
      </c>
      <c r="E143" s="1764" t="n">
        <f aca="false">TableDE12!H63</f>
        <v>0.0194203698592326</v>
      </c>
      <c r="F143" s="1798" t="n">
        <f aca="false">DataDE1!ER64/DataDE1!B64</f>
        <v>-0.0506651945901187</v>
      </c>
      <c r="G143" s="1763" t="n">
        <f aca="false">TableDE12b!F143</f>
        <v>0.0361799613579906</v>
      </c>
      <c r="H143" s="1764" t="n">
        <f aca="false">G143-K143</f>
        <v>0.0368479160916368</v>
      </c>
      <c r="I143" s="1769" t="n">
        <f aca="false">(DataDE1!FM64-DataDE1!AG64)/DataDE1!B64</f>
        <v>0.0202042506210323</v>
      </c>
      <c r="J143" s="1769" t="n">
        <f aca="false">(DataDE1!FX64-DataDE1!BA64)/DataDE1!B64</f>
        <v>0.0166436654706045</v>
      </c>
      <c r="K143" s="1769" t="n">
        <f aca="false">TableDE5c!F143</f>
        <v>-0.00066795473364615</v>
      </c>
      <c r="L143" s="1766" t="n">
        <f aca="false">DataDE1!H64/DataDE1!B64</f>
        <v>0.17546232404085</v>
      </c>
      <c r="M143" s="1764" t="n">
        <f aca="false">N143+O143</f>
        <v>0.155346398012697</v>
      </c>
      <c r="N143" s="1769" t="n">
        <f aca="false">DataDE1!AG64/DataDE1!B64</f>
        <v>0.0514049130554789</v>
      </c>
      <c r="O143" s="1769" t="n">
        <f aca="false">DataDE1!BA64/DataDE1!B64</f>
        <v>0.103941484957218</v>
      </c>
      <c r="P143" s="1769" t="n">
        <f aca="false">DataDE1!BP64/DataDE1!B64</f>
        <v>0.0201159260281535</v>
      </c>
      <c r="Q143" s="1766" t="n">
        <f aca="false">TableDE12b!G143</f>
        <v>0.0223682031465637</v>
      </c>
      <c r="R143" s="1764" t="n">
        <f aca="false">C143-H143</f>
        <v>0.0723654430030362</v>
      </c>
      <c r="S143" s="1769" t="n">
        <f aca="false">D143-I143</f>
        <v>0.069588738614408</v>
      </c>
      <c r="T143" s="1769" t="n">
        <f aca="false">E143-J143</f>
        <v>0.00277670438862816</v>
      </c>
      <c r="U143" s="1799" t="n">
        <f aca="false">F143-K143</f>
        <v>-0.0499972398564725</v>
      </c>
      <c r="V143" s="158"/>
      <c r="W143" s="158"/>
      <c r="X143" s="158"/>
      <c r="Y143" s="158"/>
      <c r="Z143" s="1771" t="n">
        <f aca="false">F143+C143-B143</f>
        <v>0</v>
      </c>
      <c r="AA143" s="1772" t="n">
        <f aca="false">H143-I143-J143</f>
        <v>0</v>
      </c>
      <c r="AB143" s="1772" t="n">
        <f aca="false">L143-M143-P143</f>
        <v>0</v>
      </c>
      <c r="AC143" s="1002" t="n">
        <f aca="false">Q143-TableDE12b!G143</f>
        <v>0</v>
      </c>
      <c r="AD143" s="1771" t="n">
        <f aca="false">D143+E143-C143</f>
        <v>0</v>
      </c>
      <c r="AE143" s="1678" t="n">
        <f aca="false">H143-I143-J143</f>
        <v>0</v>
      </c>
      <c r="AF143" s="1678" t="n">
        <f aca="false">TableDE5a!G143+TableDE5c!E143-B143</f>
        <v>0</v>
      </c>
      <c r="AG143" s="1678" t="n">
        <f aca="false">TableDE5b!F143-TableDE12c!B143</f>
        <v>0</v>
      </c>
    </row>
    <row r="144" customFormat="false" ht="12" hidden="false" customHeight="false" outlineLevel="0" collapsed="false">
      <c r="A144" s="1720" t="n">
        <f aca="false">A143+1</f>
        <v>2004</v>
      </c>
      <c r="B144" s="1759" t="n">
        <f aca="false">TableDE12b!E144</f>
        <v>0.0880005075122385</v>
      </c>
      <c r="C144" s="1764" t="n">
        <f aca="false">B144-F144</f>
        <v>0.134675773691834</v>
      </c>
      <c r="D144" s="1764" t="n">
        <f aca="false">TableDE12!I64</f>
        <v>0.0883705685194388</v>
      </c>
      <c r="E144" s="1764" t="n">
        <f aca="false">TableDE12!H64</f>
        <v>0.0463052051723956</v>
      </c>
      <c r="F144" s="1798" t="n">
        <f aca="false">DataDE1!ER65/DataDE1!B65</f>
        <v>-0.0466752661795958</v>
      </c>
      <c r="G144" s="1763" t="n">
        <f aca="false">TableDE12b!F144</f>
        <v>0.0339345943602703</v>
      </c>
      <c r="H144" s="1764" t="n">
        <f aca="false">G144-K144</f>
        <v>0.0362078262616437</v>
      </c>
      <c r="I144" s="1769" t="n">
        <f aca="false">(DataDE1!FM65-DataDE1!AG65)/DataDE1!B65</f>
        <v>0.017340001480244</v>
      </c>
      <c r="J144" s="1769" t="n">
        <f aca="false">(DataDE1!FX65-DataDE1!BA65)/DataDE1!B65</f>
        <v>0.0188678247813997</v>
      </c>
      <c r="K144" s="1769" t="n">
        <f aca="false">TableDE5c!F144</f>
        <v>-0.00227323190137345</v>
      </c>
      <c r="L144" s="1766" t="n">
        <f aca="false">DataDE1!H65/DataDE1!B65</f>
        <v>0.170719715793146</v>
      </c>
      <c r="M144" s="1764" t="n">
        <f aca="false">N144+O144</f>
        <v>0.151228073885323</v>
      </c>
      <c r="N144" s="1769" t="n">
        <f aca="false">DataDE1!AG65/DataDE1!B65</f>
        <v>0.0501802725763647</v>
      </c>
      <c r="O144" s="1769" t="n">
        <f aca="false">DataDE1!BA65/DataDE1!B65</f>
        <v>0.101047801308959</v>
      </c>
      <c r="P144" s="1769" t="n">
        <f aca="false">DataDE1!BP65/DataDE1!B65</f>
        <v>0.0194916419078231</v>
      </c>
      <c r="Q144" s="1766" t="n">
        <f aca="false">TableDE12b!G144</f>
        <v>0.0540659131519682</v>
      </c>
      <c r="R144" s="1764" t="n">
        <f aca="false">C144-H144</f>
        <v>0.0984679474301906</v>
      </c>
      <c r="S144" s="1769" t="n">
        <f aca="false">D144-I144</f>
        <v>0.0710305670391948</v>
      </c>
      <c r="T144" s="1769" t="n">
        <f aca="false">E144-J144</f>
        <v>0.0274373803909959</v>
      </c>
      <c r="U144" s="1799" t="n">
        <f aca="false">F144-K144</f>
        <v>-0.0444020342782224</v>
      </c>
      <c r="V144" s="158"/>
      <c r="W144" s="158"/>
      <c r="X144" s="158"/>
      <c r="Y144" s="158"/>
      <c r="Z144" s="1771" t="n">
        <f aca="false">F144+C144-B144</f>
        <v>0</v>
      </c>
      <c r="AA144" s="1772" t="n">
        <f aca="false">H144-I144-J144</f>
        <v>0</v>
      </c>
      <c r="AB144" s="1772" t="n">
        <f aca="false">L144-M144-P144</f>
        <v>0</v>
      </c>
      <c r="AC144" s="1002" t="n">
        <f aca="false">Q144-TableDE12b!G144</f>
        <v>0</v>
      </c>
      <c r="AD144" s="1771" t="n">
        <f aca="false">D144+E144-C144</f>
        <v>0</v>
      </c>
      <c r="AE144" s="1678" t="n">
        <f aca="false">H144-I144-J144</f>
        <v>0</v>
      </c>
      <c r="AF144" s="1678" t="n">
        <f aca="false">TableDE5a!G144+TableDE5c!E144-B144</f>
        <v>0</v>
      </c>
      <c r="AG144" s="1678" t="n">
        <f aca="false">TableDE5b!F144-TableDE12c!B144</f>
        <v>0</v>
      </c>
    </row>
    <row r="145" customFormat="false" ht="12" hidden="false" customHeight="false" outlineLevel="0" collapsed="false">
      <c r="A145" s="1720" t="n">
        <f aca="false">A144+1</f>
        <v>2005</v>
      </c>
      <c r="B145" s="1759" t="n">
        <f aca="false">TableDE12b!E145</f>
        <v>0.0877380140817951</v>
      </c>
      <c r="C145" s="1764" t="n">
        <f aca="false">B145-F145</f>
        <v>0.130134313057144</v>
      </c>
      <c r="D145" s="1764" t="n">
        <f aca="false">TableDE12!I65</f>
        <v>0.0912194335017667</v>
      </c>
      <c r="E145" s="1764" t="n">
        <f aca="false">TableDE12!H65</f>
        <v>0.0389148795553774</v>
      </c>
      <c r="F145" s="1798" t="n">
        <f aca="false">DataDE1!ER66/DataDE1!B66</f>
        <v>-0.0423962989753491</v>
      </c>
      <c r="G145" s="1763" t="n">
        <f aca="false">TableDE12b!F145</f>
        <v>0.0292303929476538</v>
      </c>
      <c r="H145" s="1764" t="n">
        <f aca="false">G145-K145</f>
        <v>0.032311110879826</v>
      </c>
      <c r="I145" s="1769" t="n">
        <f aca="false">(DataDE1!FM66-DataDE1!AG66)/DataDE1!B66</f>
        <v>0.0154192014071387</v>
      </c>
      <c r="J145" s="1769" t="n">
        <f aca="false">(DataDE1!FX66-DataDE1!BA66)/DataDE1!B66</f>
        <v>0.0168919094726872</v>
      </c>
      <c r="K145" s="1769" t="n">
        <f aca="false">TableDE5c!F145</f>
        <v>-0.00308071793217217</v>
      </c>
      <c r="L145" s="1766" t="n">
        <f aca="false">DataDE1!H66/DataDE1!B66</f>
        <v>0.170667610309997</v>
      </c>
      <c r="M145" s="1764" t="n">
        <f aca="false">N145+O145</f>
        <v>0.151236190109438</v>
      </c>
      <c r="N145" s="1769" t="n">
        <f aca="false">DataDE1!AG66/DataDE1!B66</f>
        <v>0.0506236892638021</v>
      </c>
      <c r="O145" s="1769" t="n">
        <f aca="false">DataDE1!BA66/DataDE1!B66</f>
        <v>0.100612500845636</v>
      </c>
      <c r="P145" s="1769" t="n">
        <f aca="false">DataDE1!BP66/DataDE1!B66</f>
        <v>0.0194314202005589</v>
      </c>
      <c r="Q145" s="1766" t="n">
        <f aca="false">TableDE12b!G145</f>
        <v>0.0585076211341414</v>
      </c>
      <c r="R145" s="1764" t="n">
        <f aca="false">C145-H145</f>
        <v>0.0978232021773183</v>
      </c>
      <c r="S145" s="1769" t="n">
        <f aca="false">D145-I145</f>
        <v>0.075800232094628</v>
      </c>
      <c r="T145" s="1769" t="n">
        <f aca="false">E145-J145</f>
        <v>0.0220229700826902</v>
      </c>
      <c r="U145" s="1799" t="n">
        <f aca="false">F145-K145</f>
        <v>-0.0393155810431769</v>
      </c>
      <c r="V145" s="158"/>
      <c r="W145" s="158"/>
      <c r="X145" s="158"/>
      <c r="Y145" s="158"/>
      <c r="Z145" s="1771" t="n">
        <f aca="false">F145+C145-B145</f>
        <v>0</v>
      </c>
      <c r="AA145" s="1772" t="n">
        <f aca="false">H145-I145-J145</f>
        <v>0</v>
      </c>
      <c r="AB145" s="1772" t="n">
        <f aca="false">L145-M145-P145</f>
        <v>0</v>
      </c>
      <c r="AC145" s="1002" t="n">
        <f aca="false">Q145-TableDE12b!G145</f>
        <v>0</v>
      </c>
      <c r="AD145" s="1771" t="n">
        <f aca="false">D145+E145-C145</f>
        <v>0</v>
      </c>
      <c r="AE145" s="1678" t="n">
        <f aca="false">H145-I145-J145</f>
        <v>0</v>
      </c>
      <c r="AF145" s="1678" t="n">
        <f aca="false">TableDE5a!G145+TableDE5c!E145-B145</f>
        <v>0</v>
      </c>
      <c r="AG145" s="1678" t="n">
        <f aca="false">TableDE5b!F145-TableDE12c!B145</f>
        <v>0</v>
      </c>
    </row>
    <row r="146" customFormat="false" ht="12" hidden="false" customHeight="false" outlineLevel="0" collapsed="false">
      <c r="A146" s="1720" t="n">
        <f aca="false">A145+1</f>
        <v>2006</v>
      </c>
      <c r="B146" s="1759" t="n">
        <f aca="false">TableDE12b!E146</f>
        <v>0.115425636974126</v>
      </c>
      <c r="C146" s="1764" t="n">
        <f aca="false">B146-F146</f>
        <v>0.137240766344065</v>
      </c>
      <c r="D146" s="1764" t="n">
        <f aca="false">TableDE12!I66</f>
        <v>0.0868704325498712</v>
      </c>
      <c r="E146" s="1764" t="n">
        <f aca="false">TableDE12!H66</f>
        <v>0.0503703337941932</v>
      </c>
      <c r="F146" s="1798" t="n">
        <f aca="false">DataDE1!ER67/DataDE1!B67</f>
        <v>-0.0218151293699388</v>
      </c>
      <c r="G146" s="1763" t="n">
        <f aca="false">TableDE12b!F146</f>
        <v>0.0413736914872605</v>
      </c>
      <c r="H146" s="1764" t="n">
        <f aca="false">G146-K146</f>
        <v>0.0436006320363421</v>
      </c>
      <c r="I146" s="1769" t="n">
        <f aca="false">(DataDE1!FM67-DataDE1!AG67)/DataDE1!B67</f>
        <v>0.0188475212324709</v>
      </c>
      <c r="J146" s="1769" t="n">
        <f aca="false">(DataDE1!FX67-DataDE1!BA67)/DataDE1!B67</f>
        <v>0.0247531108038712</v>
      </c>
      <c r="K146" s="1769" t="n">
        <f aca="false">TableDE5c!F146</f>
        <v>-0.00222694054908158</v>
      </c>
      <c r="L146" s="1766" t="n">
        <f aca="false">DataDE1!H67/DataDE1!B67</f>
        <v>0.165825597471855</v>
      </c>
      <c r="M146" s="1764" t="n">
        <f aca="false">N146+O146</f>
        <v>0.146943511751926</v>
      </c>
      <c r="N146" s="1769" t="n">
        <f aca="false">DataDE1!AG67/DataDE1!B67</f>
        <v>0.0494272170649812</v>
      </c>
      <c r="O146" s="1769" t="n">
        <f aca="false">DataDE1!BA67/DataDE1!B67</f>
        <v>0.0975162946869445</v>
      </c>
      <c r="P146" s="1769" t="n">
        <f aca="false">DataDE1!BP67/DataDE1!B67</f>
        <v>0.0188820857199289</v>
      </c>
      <c r="Q146" s="1766" t="n">
        <f aca="false">TableDE12b!G146</f>
        <v>0.0740519454868655</v>
      </c>
      <c r="R146" s="1764" t="n">
        <f aca="false">C146-H146</f>
        <v>0.0936401343077227</v>
      </c>
      <c r="S146" s="1769" t="n">
        <f aca="false">D146-I146</f>
        <v>0.0680229113174004</v>
      </c>
      <c r="T146" s="1769" t="n">
        <f aca="false">E146-J146</f>
        <v>0.025617222990322</v>
      </c>
      <c r="U146" s="1799" t="n">
        <f aca="false">F146-K146</f>
        <v>-0.0195881888208572</v>
      </c>
      <c r="V146" s="158"/>
      <c r="W146" s="158"/>
      <c r="X146" s="158"/>
      <c r="Y146" s="158"/>
      <c r="Z146" s="1771" t="n">
        <f aca="false">F146+C146-B146</f>
        <v>0</v>
      </c>
      <c r="AA146" s="1772" t="n">
        <f aca="false">H146-I146-J146</f>
        <v>0</v>
      </c>
      <c r="AB146" s="1772" t="n">
        <f aca="false">L146-M146-P146</f>
        <v>0</v>
      </c>
      <c r="AC146" s="1002" t="n">
        <f aca="false">Q146-TableDE12b!G146</f>
        <v>0</v>
      </c>
      <c r="AD146" s="1771" t="n">
        <f aca="false">D146+E146-C146</f>
        <v>0</v>
      </c>
      <c r="AE146" s="1678" t="n">
        <f aca="false">H146-I146-J146</f>
        <v>0</v>
      </c>
      <c r="AF146" s="1678" t="n">
        <f aca="false">TableDE5a!G146+TableDE5c!E146-B146</f>
        <v>0</v>
      </c>
      <c r="AG146" s="1678" t="n">
        <f aca="false">TableDE5b!F146-TableDE12c!B146</f>
        <v>0</v>
      </c>
    </row>
    <row r="147" customFormat="false" ht="12" hidden="false" customHeight="false" outlineLevel="0" collapsed="false">
      <c r="A147" s="1720" t="n">
        <f aca="false">A146+1</f>
        <v>2007</v>
      </c>
      <c r="B147" s="1759" t="n">
        <f aca="false">TableDE12b!E147</f>
        <v>0.140868744098206</v>
      </c>
      <c r="C147" s="1764" t="n">
        <f aca="false">B147-F147</f>
        <v>0.140882908404155</v>
      </c>
      <c r="D147" s="1764" t="n">
        <f aca="false">TableDE12!I67</f>
        <v>0.0835080264400378</v>
      </c>
      <c r="E147" s="1764" t="n">
        <f aca="false">TableDE12!H67</f>
        <v>0.0573748819641171</v>
      </c>
      <c r="F147" s="1798" t="n">
        <f aca="false">DataDE1!ER68/DataDE1!B68</f>
        <v>-1.41643059490225E-005</v>
      </c>
      <c r="G147" s="1763" t="n">
        <f aca="false">TableDE12b!F147</f>
        <v>0.054494806421152</v>
      </c>
      <c r="H147" s="1764" t="n">
        <f aca="false">G147-K147</f>
        <v>0.0564494806421152</v>
      </c>
      <c r="I147" s="1769" t="n">
        <f aca="false">(DataDE1!FM68-DataDE1!AG68)/DataDE1!B68</f>
        <v>0.0187488196411709</v>
      </c>
      <c r="J147" s="1769" t="n">
        <f aca="false">(DataDE1!FX68-DataDE1!BA68)/DataDE1!B68</f>
        <v>0.0377006610009443</v>
      </c>
      <c r="K147" s="1769" t="n">
        <f aca="false">TableDE5c!F147</f>
        <v>-0.00195467422096317</v>
      </c>
      <c r="L147" s="1766" t="n">
        <f aca="false">DataDE1!H68/DataDE1!B68</f>
        <v>0.166350330500472</v>
      </c>
      <c r="M147" s="1764" t="n">
        <f aca="false">N147+O147</f>
        <v>0.147403210576015</v>
      </c>
      <c r="N147" s="1769" t="n">
        <f aca="false">DataDE1!AG68/DataDE1!B68</f>
        <v>0.0503352219074599</v>
      </c>
      <c r="O147" s="1769" t="n">
        <f aca="false">DataDE1!BA68/DataDE1!B68</f>
        <v>0.0970679886685553</v>
      </c>
      <c r="P147" s="1769" t="n">
        <f aca="false">DataDE1!BP68/DataDE1!B68</f>
        <v>0.018947119924457</v>
      </c>
      <c r="Q147" s="1766" t="n">
        <f aca="false">TableDE12b!G147</f>
        <v>0.0863739376770538</v>
      </c>
      <c r="R147" s="1764" t="n">
        <f aca="false">C147-H147</f>
        <v>0.0844334277620397</v>
      </c>
      <c r="S147" s="1769" t="n">
        <f aca="false">D147-I147</f>
        <v>0.0647592067988669</v>
      </c>
      <c r="T147" s="1769" t="n">
        <f aca="false">E147-J147</f>
        <v>0.0196742209631728</v>
      </c>
      <c r="U147" s="1799" t="n">
        <f aca="false">F147-K147</f>
        <v>0.00194050991501415</v>
      </c>
      <c r="V147" s="158"/>
      <c r="W147" s="158"/>
      <c r="X147" s="158"/>
      <c r="Y147" s="158"/>
      <c r="Z147" s="1771" t="n">
        <f aca="false">F147+C147-B147</f>
        <v>0</v>
      </c>
      <c r="AA147" s="1772" t="n">
        <f aca="false">H147-I147-J147</f>
        <v>0</v>
      </c>
      <c r="AB147" s="1772" t="n">
        <f aca="false">L147-M147-P147</f>
        <v>0</v>
      </c>
      <c r="AC147" s="1002" t="n">
        <f aca="false">Q147-TableDE12b!G147</f>
        <v>0</v>
      </c>
      <c r="AD147" s="1771" t="n">
        <f aca="false">D147+E147-C147</f>
        <v>0</v>
      </c>
      <c r="AE147" s="1678" t="n">
        <f aca="false">H147-I147-J147</f>
        <v>0</v>
      </c>
      <c r="AF147" s="1678" t="n">
        <f aca="false">TableDE5a!G147+TableDE5c!E147-B147</f>
        <v>0</v>
      </c>
      <c r="AG147" s="1678" t="n">
        <f aca="false">TableDE5b!F147-TableDE12c!B147</f>
        <v>0</v>
      </c>
    </row>
    <row r="148" customFormat="false" ht="12" hidden="false" customHeight="false" outlineLevel="0" collapsed="false">
      <c r="A148" s="1720" t="n">
        <f aca="false">A147+1</f>
        <v>2008</v>
      </c>
      <c r="B148" s="1759" t="n">
        <f aca="false">TableDE12b!E148</f>
        <v>0.124581076091072</v>
      </c>
      <c r="C148" s="1764" t="n">
        <f aca="false">B148-F148</f>
        <v>0.127165900879214</v>
      </c>
      <c r="D148" s="1764" t="n">
        <f aca="false">TableDE12!I68</f>
        <v>0.0826956964770661</v>
      </c>
      <c r="E148" s="1764" t="n">
        <f aca="false">TableDE12!H68</f>
        <v>0.0444702044021483</v>
      </c>
      <c r="F148" s="1798" t="n">
        <f aca="false">DataDE1!ER69/DataDE1!B69</f>
        <v>-0.00258482478814251</v>
      </c>
      <c r="G148" s="1763" t="n">
        <f aca="false">TableDE12b!F148</f>
        <v>0.0529258066476271</v>
      </c>
      <c r="H148" s="1764" t="n">
        <f aca="false">G148-K148</f>
        <v>0.0542158819487616</v>
      </c>
      <c r="I148" s="1769" t="n">
        <f aca="false">(DataDE1!FM69-DataDE1!AG69)/DataDE1!B69</f>
        <v>0.0180423574723873</v>
      </c>
      <c r="J148" s="1769" t="n">
        <f aca="false">(DataDE1!FX69-DataDE1!BA69)/DataDE1!B69</f>
        <v>0.0361735244763743</v>
      </c>
      <c r="K148" s="1769" t="n">
        <f aca="false">TableDE5c!F148</f>
        <v>-0.00129007530113442</v>
      </c>
      <c r="L148" s="1766" t="n">
        <f aca="false">DataDE1!H69/DataDE1!B69</f>
        <v>0.171117270649385</v>
      </c>
      <c r="M148" s="1764" t="n">
        <f aca="false">N148+O148</f>
        <v>0.151667983229021</v>
      </c>
      <c r="N148" s="1769" t="n">
        <f aca="false">DataDE1!AG69/DataDE1!B69</f>
        <v>0.0509860195100518</v>
      </c>
      <c r="O148" s="1769" t="n">
        <f aca="false">DataDE1!BA69/DataDE1!B69</f>
        <v>0.100681963718969</v>
      </c>
      <c r="P148" s="1769" t="n">
        <f aca="false">DataDE1!BP69/DataDE1!B69</f>
        <v>0.0194492874203636</v>
      </c>
      <c r="Q148" s="1766" t="n">
        <f aca="false">TableDE12b!G148</f>
        <v>0.0716552694434447</v>
      </c>
      <c r="R148" s="1764" t="n">
        <f aca="false">C148-H148</f>
        <v>0.0729500189304528</v>
      </c>
      <c r="S148" s="1769" t="n">
        <f aca="false">D148-I148</f>
        <v>0.0646533390046789</v>
      </c>
      <c r="T148" s="1769" t="n">
        <f aca="false">E148-J148</f>
        <v>0.00829667992577399</v>
      </c>
      <c r="U148" s="1799" t="n">
        <f aca="false">F148-K148</f>
        <v>-0.00129474948700809</v>
      </c>
      <c r="V148" s="158"/>
      <c r="W148" s="158"/>
      <c r="X148" s="158"/>
      <c r="Y148" s="158"/>
      <c r="Z148" s="1771" t="n">
        <f aca="false">F148+C148-B148</f>
        <v>0</v>
      </c>
      <c r="AA148" s="1772" t="n">
        <f aca="false">H148-I148-J148</f>
        <v>0</v>
      </c>
      <c r="AB148" s="1772" t="n">
        <f aca="false">L148-M148-P148</f>
        <v>0</v>
      </c>
      <c r="AC148" s="1002" t="n">
        <f aca="false">Q148-TableDE12b!G148</f>
        <v>0</v>
      </c>
      <c r="AD148" s="1771" t="n">
        <f aca="false">D148+E148-C148</f>
        <v>0</v>
      </c>
      <c r="AE148" s="1678" t="n">
        <f aca="false">H148-I148-J148</f>
        <v>0</v>
      </c>
      <c r="AF148" s="1678" t="n">
        <f aca="false">TableDE5a!G148+TableDE5c!E148-B148</f>
        <v>0</v>
      </c>
      <c r="AG148" s="1678" t="n">
        <f aca="false">TableDE5b!F148-TableDE12c!B148</f>
        <v>0</v>
      </c>
    </row>
    <row r="149" customFormat="false" ht="12" hidden="false" customHeight="false" outlineLevel="0" collapsed="false">
      <c r="A149" s="1720" t="n">
        <f aca="false">A148+1</f>
        <v>2009</v>
      </c>
      <c r="B149" s="1759" t="n">
        <f aca="false">TableDE12b!E149</f>
        <v>0.0760129865065128</v>
      </c>
      <c r="C149" s="1764" t="n">
        <f aca="false">B149-F149</f>
        <v>0.114280282349271</v>
      </c>
      <c r="D149" s="1764" t="n">
        <f aca="false">TableDE12!I69</f>
        <v>0.0880391545121285</v>
      </c>
      <c r="E149" s="1764" t="n">
        <f aca="false">TableDE12!H69</f>
        <v>0.0262411278371422</v>
      </c>
      <c r="F149" s="1798" t="n">
        <f aca="false">DataDE1!ER70/DataDE1!B70</f>
        <v>-0.038267295842758</v>
      </c>
      <c r="G149" s="1763" t="n">
        <f aca="false">TableDE12b!F149</f>
        <v>0.00938889322205756</v>
      </c>
      <c r="H149" s="1764" t="n">
        <f aca="false">G149-K149</f>
        <v>0.00988124951251852</v>
      </c>
      <c r="I149" s="1769" t="n">
        <f aca="false">(DataDE1!FM70-DataDE1!AG70)/DataDE1!B70</f>
        <v>0.013542235395055</v>
      </c>
      <c r="J149" s="1769" t="n">
        <f aca="false">(DataDE1!FX70-DataDE1!BA70)/DataDE1!B70</f>
        <v>-0.00366098588253646</v>
      </c>
      <c r="K149" s="1769" t="n">
        <f aca="false">TableDE5c!F149</f>
        <v>-0.000492356290460965</v>
      </c>
      <c r="L149" s="1766" t="n">
        <f aca="false">DataDE1!H70/DataDE1!B70</f>
        <v>0.182069456360658</v>
      </c>
      <c r="M149" s="1764" t="n">
        <f aca="false">N149+O149</f>
        <v>0.161409991420326</v>
      </c>
      <c r="N149" s="1769" t="n">
        <f aca="false">DataDE1!AG70/DataDE1!B70</f>
        <v>0.0546369237968957</v>
      </c>
      <c r="O149" s="1769" t="n">
        <f aca="false">DataDE1!BA70/DataDE1!B70</f>
        <v>0.10677306762343</v>
      </c>
      <c r="P149" s="1769" t="n">
        <f aca="false">DataDE1!BP70/DataDE1!B70</f>
        <v>0.0206594649403323</v>
      </c>
      <c r="Q149" s="1766" t="n">
        <f aca="false">TableDE12b!G149</f>
        <v>0.0666240932844552</v>
      </c>
      <c r="R149" s="1764" t="n">
        <f aca="false">C149-H149</f>
        <v>0.104399032836752</v>
      </c>
      <c r="S149" s="1769" t="n">
        <f aca="false">D149-I149</f>
        <v>0.0744969191170735</v>
      </c>
      <c r="T149" s="1769" t="n">
        <f aca="false">E149-J149</f>
        <v>0.0299021137196786</v>
      </c>
      <c r="U149" s="1799" t="n">
        <f aca="false">F149-K149</f>
        <v>-0.037774939552297</v>
      </c>
      <c r="V149" s="158"/>
      <c r="W149" s="158"/>
      <c r="X149" s="158"/>
      <c r="Y149" s="158"/>
      <c r="Z149" s="1771" t="n">
        <f aca="false">F149+C149-B149</f>
        <v>0</v>
      </c>
      <c r="AA149" s="1772" t="n">
        <f aca="false">H149-I149-J149</f>
        <v>-1.38777878078145E-017</v>
      </c>
      <c r="AB149" s="1772" t="n">
        <f aca="false">L149-M149-P149</f>
        <v>0</v>
      </c>
      <c r="AC149" s="1002" t="n">
        <f aca="false">Q149-TableDE12b!G149</f>
        <v>0</v>
      </c>
      <c r="AD149" s="1771" t="n">
        <f aca="false">D149+E149-C149</f>
        <v>0</v>
      </c>
      <c r="AE149" s="1678" t="n">
        <f aca="false">H149-I149-J149</f>
        <v>-1.38777878078145E-017</v>
      </c>
      <c r="AF149" s="1678" t="n">
        <f aca="false">TableDE5a!G149+TableDE5c!E149-B149</f>
        <v>0</v>
      </c>
      <c r="AG149" s="1678" t="n">
        <f aca="false">TableDE5b!F149-TableDE12c!B149</f>
        <v>0</v>
      </c>
    </row>
    <row r="150" customFormat="false" ht="12" hidden="false" customHeight="false" outlineLevel="0" collapsed="false">
      <c r="A150" s="1721" t="n">
        <f aca="false">A149+1</f>
        <v>2010</v>
      </c>
      <c r="B150" s="1800" t="n">
        <f aca="false">TableDE12b!E150</f>
        <v>0.091381415244681</v>
      </c>
      <c r="C150" s="1801" t="n">
        <f aca="false">B150-F150</f>
        <v>0.144474059439158</v>
      </c>
      <c r="D150" s="1801" t="n">
        <f aca="false">TableDE12!I70</f>
        <v>0.0871876834757649</v>
      </c>
      <c r="E150" s="1801" t="n">
        <f aca="false">TableDE12!H70</f>
        <v>0.0572863759633934</v>
      </c>
      <c r="F150" s="1802" t="n">
        <f aca="false">DataDE1!ER71/DataDE1!B71</f>
        <v>-0.0530926441944773</v>
      </c>
      <c r="G150" s="1803" t="n">
        <f aca="false">TableDE12b!F150</f>
        <v>0.0246358442913991</v>
      </c>
      <c r="H150" s="1801" t="n">
        <f aca="false">G150-K150</f>
        <v>0.0256516593198699</v>
      </c>
      <c r="I150" s="1804" t="n">
        <f aca="false">(DataDE1!FM71-DataDE1!AG71)/DataDE1!B71</f>
        <v>0.0171430435309358</v>
      </c>
      <c r="J150" s="1804" t="n">
        <f aca="false">(DataDE1!FX71-DataDE1!BA71)/DataDE1!B71</f>
        <v>0.00850861578893414</v>
      </c>
      <c r="K150" s="1804" t="n">
        <f aca="false">TableDE5c!F150</f>
        <v>-0.00101581502847078</v>
      </c>
      <c r="L150" s="1805" t="n">
        <f aca="false">DataDE1!H71/DataDE1!B71</f>
        <v>0.175526313336999</v>
      </c>
      <c r="M150" s="1801" t="n">
        <f aca="false">N150+O150</f>
        <v>0.155512893395338</v>
      </c>
      <c r="N150" s="1804" t="n">
        <f aca="false">DataDE1!AG71/DataDE1!B71</f>
        <v>0.0520302321463519</v>
      </c>
      <c r="O150" s="1804" t="n">
        <f aca="false">DataDE1!BA71/DataDE1!B71</f>
        <v>0.103482661248987</v>
      </c>
      <c r="P150" s="1804" t="n">
        <f aca="false">DataDE1!BP71/DataDE1!B71</f>
        <v>0.0200134199416605</v>
      </c>
      <c r="Q150" s="1805" t="n">
        <f aca="false">TableDE12b!G150</f>
        <v>0.0667455709532819</v>
      </c>
      <c r="R150" s="1801" t="n">
        <f aca="false">C150-H150</f>
        <v>0.118822400119288</v>
      </c>
      <c r="S150" s="1804" t="n">
        <f aca="false">D150-I150</f>
        <v>0.0700446399448292</v>
      </c>
      <c r="T150" s="1804" t="n">
        <f aca="false">E150-J150</f>
        <v>0.0487777601744592</v>
      </c>
      <c r="U150" s="1806" t="n">
        <f aca="false">F150-K150</f>
        <v>-0.0520768291660066</v>
      </c>
      <c r="V150" s="158"/>
      <c r="W150" s="158"/>
      <c r="X150" s="158"/>
      <c r="Y150" s="158"/>
      <c r="Z150" s="1771" t="n">
        <f aca="false">F150+C150-B150</f>
        <v>0</v>
      </c>
      <c r="AA150" s="1772" t="n">
        <f aca="false">H150-I150-J150</f>
        <v>0</v>
      </c>
      <c r="AB150" s="1772" t="n">
        <f aca="false">L150-M150-P150</f>
        <v>0</v>
      </c>
      <c r="AC150" s="1002" t="n">
        <f aca="false">Q150-TableDE12b!G150</f>
        <v>0</v>
      </c>
      <c r="AD150" s="1771" t="n">
        <f aca="false">D150+E150-C150</f>
        <v>0</v>
      </c>
      <c r="AE150" s="1678" t="n">
        <f aca="false">H150-I150-J150</f>
        <v>0</v>
      </c>
      <c r="AF150" s="1678" t="n">
        <f aca="false">TableDE5a!G150+TableDE5c!E150-B150</f>
        <v>0</v>
      </c>
      <c r="AG150" s="1678" t="n">
        <f aca="false">TableDE5b!F150-TableDE12c!B150</f>
        <v>0</v>
      </c>
    </row>
    <row r="151" customFormat="false" ht="13" hidden="false" customHeight="false" outlineLevel="0" collapsed="false">
      <c r="A151" s="1722" t="n">
        <f aca="false">A150+1</f>
        <v>2011</v>
      </c>
      <c r="B151" s="1809" t="n">
        <f aca="false">TableDE12b!E151</f>
        <v>0.0957105038811864</v>
      </c>
      <c r="C151" s="1810" t="n">
        <f aca="false">B151-F151</f>
        <v>0.108543096872616</v>
      </c>
      <c r="D151" s="1810" t="n">
        <f aca="false">TableDE12!I71</f>
        <v>0.0837663211737787</v>
      </c>
      <c r="E151" s="1810" t="n">
        <f aca="false">TableDE12!H71</f>
        <v>0.0247767756988379</v>
      </c>
      <c r="F151" s="1811" t="n">
        <f aca="false">DataDE1!ER72/DataDE1!B72</f>
        <v>-0.0128325929914299</v>
      </c>
      <c r="G151" s="1812" t="n">
        <f aca="false">TableDE12b!F151</f>
        <v>0.0351415623457621</v>
      </c>
      <c r="H151" s="1810" t="n">
        <f aca="false">G151-K151</f>
        <v>0.0359940772647732</v>
      </c>
      <c r="I151" s="1813" t="n">
        <f aca="false">(DataDE1!FM72-DataDE1!AG72)/DataDE1!B72</f>
        <v>0.0214295329115628</v>
      </c>
      <c r="J151" s="1813" t="n">
        <f aca="false">(DataDE1!FX72-DataDE1!BA72)/DataDE1!B72</f>
        <v>0.0145645443532104</v>
      </c>
      <c r="K151" s="1813" t="n">
        <f aca="false">TableDE5c!F151</f>
        <v>-0.000852514919011082</v>
      </c>
      <c r="L151" s="1814" t="n">
        <f aca="false">DataDE1!H72/DataDE1!B72</f>
        <v>0.172172118275228</v>
      </c>
      <c r="M151" s="1810" t="n">
        <f aca="false">N151+O151</f>
        <v>0.152362363709786</v>
      </c>
      <c r="N151" s="1813" t="n">
        <f aca="false">DataDE1!AG72/DataDE1!B72</f>
        <v>0.0511553820612913</v>
      </c>
      <c r="O151" s="1813" t="n">
        <f aca="false">DataDE1!BA72/DataDE1!B72</f>
        <v>0.101206981648495</v>
      </c>
      <c r="P151" s="1813" t="n">
        <f aca="false">DataDE1!BP72/DataDE1!B72</f>
        <v>0.0198097545654417</v>
      </c>
      <c r="Q151" s="1814" t="n">
        <f aca="false">TableDE12b!G151</f>
        <v>0.0605689415354243</v>
      </c>
      <c r="R151" s="1810" t="n">
        <f aca="false">C151-H151</f>
        <v>0.0725490196078431</v>
      </c>
      <c r="S151" s="1813" t="n">
        <f aca="false">D151-I151</f>
        <v>0.0623367882622159</v>
      </c>
      <c r="T151" s="1813" t="n">
        <f aca="false">E151-J151</f>
        <v>0.0102122313456275</v>
      </c>
      <c r="U151" s="1815" t="n">
        <f aca="false">F151-K151</f>
        <v>-0.0119800780724189</v>
      </c>
      <c r="V151" s="158"/>
      <c r="W151" s="158"/>
      <c r="X151" s="158"/>
      <c r="Y151" s="158"/>
      <c r="Z151" s="1771" t="n">
        <f aca="false">F151+C151-B151</f>
        <v>0</v>
      </c>
      <c r="AA151" s="1772" t="n">
        <f aca="false">H151-I151-J151</f>
        <v>0</v>
      </c>
      <c r="AB151" s="1772" t="n">
        <f aca="false">L151-M151-P151</f>
        <v>0</v>
      </c>
      <c r="AC151" s="1002" t="n">
        <f aca="false">Q151-TableDE12b!G151</f>
        <v>0</v>
      </c>
      <c r="AD151" s="1771" t="n">
        <f aca="false">D151+E151-C151</f>
        <v>0</v>
      </c>
      <c r="AE151" s="1678" t="n">
        <f aca="false">H151-I151-J151</f>
        <v>0</v>
      </c>
      <c r="AF151" s="1678" t="n">
        <f aca="false">TableDE5a!G151+TableDE5c!E151-B151</f>
        <v>0</v>
      </c>
      <c r="AG151" s="1678" t="n">
        <f aca="false">TableDE5b!F151-TableDE12c!B151</f>
        <v>0</v>
      </c>
    </row>
    <row r="152" customFormat="false" ht="13" hidden="false" customHeight="false" outlineLevel="0" collapsed="false">
      <c r="A152" s="1816"/>
      <c r="B152" s="1763"/>
      <c r="C152" s="1763"/>
      <c r="D152" s="1764"/>
      <c r="E152" s="1764"/>
      <c r="F152" s="1817"/>
      <c r="G152" s="1763"/>
      <c r="H152" s="1763"/>
      <c r="I152" s="1769"/>
      <c r="J152" s="1769"/>
      <c r="K152" s="1817"/>
      <c r="L152" s="1719"/>
      <c r="M152" s="1719"/>
      <c r="N152" s="1719"/>
      <c r="O152" s="1719"/>
      <c r="P152" s="1719"/>
      <c r="Q152" s="1719"/>
      <c r="R152" s="1719"/>
      <c r="S152" s="1719"/>
      <c r="T152" s="1719"/>
      <c r="U152" s="1818"/>
      <c r="V152" s="1719"/>
      <c r="W152" s="1719"/>
      <c r="X152" s="1719"/>
      <c r="Y152" s="1719"/>
    </row>
    <row r="153" customFormat="false" ht="12" hidden="false" customHeight="false" outlineLevel="0" collapsed="false">
      <c r="A153" s="1697"/>
      <c r="B153" s="1719"/>
      <c r="C153" s="1719"/>
      <c r="D153" s="1719"/>
      <c r="E153" s="1719"/>
      <c r="F153" s="1819"/>
      <c r="G153" s="1719"/>
      <c r="H153" s="1820"/>
      <c r="I153" s="1821"/>
      <c r="J153" s="1819"/>
      <c r="K153" s="1819"/>
      <c r="L153" s="1719"/>
      <c r="M153" s="1719"/>
      <c r="N153" s="1719"/>
      <c r="O153" s="1719"/>
      <c r="P153" s="1719"/>
      <c r="Q153" s="1719"/>
      <c r="R153" s="1719"/>
      <c r="S153" s="1719"/>
      <c r="T153" s="1719"/>
      <c r="U153" s="1719"/>
      <c r="V153" s="1719"/>
      <c r="W153" s="1719"/>
      <c r="X153" s="1719"/>
      <c r="Y153" s="1719"/>
    </row>
    <row r="154" customFormat="false" ht="12" hidden="false" customHeight="false" outlineLevel="0" collapsed="false">
      <c r="A154" s="1697"/>
      <c r="B154" s="1822"/>
      <c r="C154" s="1822"/>
      <c r="D154" s="1822"/>
      <c r="E154" s="1822"/>
      <c r="F154" s="1823"/>
      <c r="G154" s="1822"/>
      <c r="H154" s="1822"/>
      <c r="I154" s="1823"/>
      <c r="J154" s="1823"/>
      <c r="K154" s="1823"/>
      <c r="L154" s="1719"/>
      <c r="M154" s="1719"/>
      <c r="N154" s="1719"/>
      <c r="O154" s="1719"/>
      <c r="P154" s="1719"/>
      <c r="Q154" s="1719"/>
      <c r="R154" s="1719"/>
      <c r="S154" s="1719"/>
      <c r="T154" s="1719"/>
      <c r="U154" s="1719"/>
      <c r="V154" s="1719"/>
      <c r="W154" s="1719"/>
      <c r="X154" s="1719"/>
      <c r="Y154" s="1719"/>
    </row>
    <row r="155" customFormat="false" ht="12" hidden="false" customHeight="false" outlineLevel="0" collapsed="false">
      <c r="A155" s="1697"/>
      <c r="B155" s="1822"/>
      <c r="C155" s="1822"/>
      <c r="D155" s="1824"/>
      <c r="E155" s="1824"/>
      <c r="F155" s="1823"/>
      <c r="G155" s="1822"/>
      <c r="H155" s="1822"/>
      <c r="I155" s="1823"/>
      <c r="J155" s="1823"/>
      <c r="K155" s="1823"/>
      <c r="L155" s="1719"/>
      <c r="M155" s="1719"/>
      <c r="N155" s="1719"/>
      <c r="O155" s="1719"/>
      <c r="P155" s="1719"/>
      <c r="Q155" s="1719"/>
      <c r="R155" s="1719"/>
      <c r="S155" s="1719"/>
      <c r="T155" s="1719"/>
      <c r="U155" s="1719"/>
      <c r="V155" s="1719"/>
      <c r="W155" s="1719"/>
      <c r="X155" s="1719"/>
      <c r="Y155" s="1719"/>
    </row>
    <row r="156" customFormat="false" ht="12" hidden="false" customHeight="false" outlineLevel="0" collapsed="false">
      <c r="A156" s="1697"/>
      <c r="B156" s="1822"/>
      <c r="C156" s="1822"/>
      <c r="D156" s="1824"/>
      <c r="E156" s="1824"/>
      <c r="F156" s="1823"/>
      <c r="G156" s="1822"/>
      <c r="H156" s="1822"/>
      <c r="I156" s="1825"/>
      <c r="J156" s="1825"/>
      <c r="K156" s="1823"/>
      <c r="L156" s="1719"/>
      <c r="M156" s="1719"/>
      <c r="N156" s="1719"/>
      <c r="O156" s="1719"/>
      <c r="P156" s="1719"/>
      <c r="Q156" s="1719"/>
      <c r="R156" s="1719"/>
      <c r="S156" s="1719"/>
      <c r="T156" s="1719"/>
      <c r="U156" s="1719"/>
      <c r="V156" s="1719"/>
      <c r="W156" s="1719"/>
      <c r="X156" s="1719"/>
      <c r="Y156" s="1719"/>
    </row>
    <row r="157" customFormat="false" ht="12" hidden="false" customHeight="false" outlineLevel="0" collapsed="false">
      <c r="B157" s="1729"/>
      <c r="C157" s="1729"/>
      <c r="D157" s="1729"/>
      <c r="E157" s="1729"/>
      <c r="F157" s="1826"/>
      <c r="G157" s="1729"/>
      <c r="H157" s="1827"/>
      <c r="I157" s="1828"/>
      <c r="J157" s="1826"/>
      <c r="K157" s="1826"/>
      <c r="L157" s="1719"/>
      <c r="M157" s="1719"/>
      <c r="N157" s="1719"/>
      <c r="O157" s="1719"/>
      <c r="P157" s="1719"/>
      <c r="Q157" s="1719"/>
      <c r="R157" s="1719"/>
      <c r="S157" s="1719"/>
      <c r="T157" s="1719"/>
      <c r="U157" s="1719"/>
      <c r="V157" s="1719"/>
      <c r="W157" s="1719"/>
      <c r="X157" s="1719"/>
      <c r="Y157" s="1719"/>
    </row>
    <row r="158" customFormat="false" ht="12" hidden="false" customHeight="false" outlineLevel="0" collapsed="false">
      <c r="B158" s="1729"/>
      <c r="C158" s="1729"/>
      <c r="D158" s="1729"/>
      <c r="E158" s="1729"/>
      <c r="F158" s="1826"/>
      <c r="G158" s="1729"/>
      <c r="H158" s="1827"/>
      <c r="I158" s="1828"/>
      <c r="J158" s="1826"/>
      <c r="K158" s="1826"/>
      <c r="L158" s="1719"/>
      <c r="M158" s="1719"/>
      <c r="N158" s="1719"/>
      <c r="O158" s="1719"/>
      <c r="P158" s="1719"/>
      <c r="Q158" s="1719"/>
      <c r="R158" s="1719"/>
      <c r="S158" s="1719"/>
      <c r="T158" s="1719"/>
      <c r="U158" s="1719"/>
      <c r="V158" s="1719"/>
      <c r="W158" s="1719"/>
      <c r="X158" s="1719"/>
      <c r="Y158" s="1719"/>
    </row>
    <row r="159" customFormat="false" ht="12" hidden="false" customHeight="false" outlineLevel="0" collapsed="false">
      <c r="A159" s="1697"/>
      <c r="B159" s="25"/>
      <c r="C159" s="1729"/>
      <c r="D159" s="1729"/>
      <c r="E159" s="1729"/>
      <c r="F159" s="1826"/>
      <c r="G159" s="1729"/>
      <c r="H159" s="1729"/>
      <c r="I159" s="1826"/>
      <c r="J159" s="1826"/>
      <c r="K159" s="1826"/>
      <c r="L159" s="1719"/>
      <c r="M159" s="1719"/>
      <c r="N159" s="1719"/>
      <c r="O159" s="1719"/>
      <c r="P159" s="1719"/>
      <c r="Q159" s="1719"/>
      <c r="R159" s="1719"/>
      <c r="S159" s="1719"/>
      <c r="T159" s="1719"/>
      <c r="U159" s="1719"/>
      <c r="V159" s="1719"/>
      <c r="W159" s="1719"/>
      <c r="X159" s="1719"/>
      <c r="Y159" s="1719"/>
    </row>
    <row r="160" customFormat="false" ht="12" hidden="false" customHeight="false" outlineLevel="0" collapsed="false">
      <c r="B160" s="1729"/>
      <c r="C160" s="1729"/>
      <c r="D160" s="1729"/>
      <c r="E160" s="1729"/>
      <c r="F160" s="1826"/>
      <c r="G160" s="1729"/>
      <c r="H160" s="1729"/>
      <c r="I160" s="1826"/>
      <c r="J160" s="1826"/>
      <c r="K160" s="1826"/>
      <c r="L160" s="1719"/>
      <c r="M160" s="1719"/>
      <c r="N160" s="1719"/>
      <c r="O160" s="1719"/>
      <c r="P160" s="1719"/>
      <c r="Q160" s="1719"/>
      <c r="R160" s="1719"/>
      <c r="S160" s="1719"/>
      <c r="T160" s="1719"/>
      <c r="U160" s="1719"/>
      <c r="V160" s="1719"/>
      <c r="W160" s="1719"/>
      <c r="X160" s="1719"/>
      <c r="Y160" s="1719"/>
    </row>
    <row r="161" customFormat="false" ht="12" hidden="false" customHeight="false" outlineLevel="0" collapsed="false">
      <c r="B161" s="1729"/>
      <c r="C161" s="1729"/>
      <c r="D161" s="1729"/>
      <c r="E161" s="1729"/>
      <c r="F161" s="1826"/>
      <c r="G161" s="1729"/>
      <c r="H161" s="1729"/>
      <c r="I161" s="1826"/>
      <c r="J161" s="1826"/>
      <c r="K161" s="1826"/>
      <c r="L161" s="1719"/>
      <c r="M161" s="1719"/>
      <c r="N161" s="1719"/>
      <c r="O161" s="1719"/>
      <c r="P161" s="1719"/>
      <c r="Q161" s="1719"/>
      <c r="R161" s="1719"/>
      <c r="S161" s="1719"/>
      <c r="T161" s="1719"/>
      <c r="U161" s="1719"/>
      <c r="V161" s="1719"/>
      <c r="W161" s="1719"/>
      <c r="X161" s="1719"/>
      <c r="Y161" s="1719"/>
    </row>
    <row r="162" customFormat="false" ht="12" hidden="false" customHeight="false" outlineLevel="0" collapsed="false">
      <c r="B162" s="1729"/>
      <c r="C162" s="1729"/>
      <c r="D162" s="1729"/>
      <c r="E162" s="1729"/>
      <c r="F162" s="1826"/>
      <c r="G162" s="1729"/>
      <c r="H162" s="1729"/>
      <c r="I162" s="1826"/>
      <c r="J162" s="1826"/>
      <c r="K162" s="1826"/>
      <c r="L162" s="1719"/>
      <c r="M162" s="1719"/>
      <c r="N162" s="1719"/>
      <c r="O162" s="1719"/>
      <c r="P162" s="1719"/>
      <c r="Q162" s="1719"/>
      <c r="R162" s="1719"/>
      <c r="S162" s="1719"/>
      <c r="T162" s="1719"/>
      <c r="U162" s="1719"/>
      <c r="V162" s="1719"/>
      <c r="W162" s="1719"/>
      <c r="X162" s="1719"/>
      <c r="Y162" s="1719"/>
    </row>
    <row r="163" customFormat="false" ht="12" hidden="false" customHeight="false" outlineLevel="0" collapsed="false">
      <c r="B163" s="1729"/>
      <c r="C163" s="1729"/>
      <c r="D163" s="1729"/>
      <c r="E163" s="1729"/>
      <c r="F163" s="1826"/>
      <c r="G163" s="1729"/>
      <c r="H163" s="1729"/>
      <c r="I163" s="1826"/>
      <c r="J163" s="1826"/>
      <c r="K163" s="1826"/>
      <c r="L163" s="1719"/>
      <c r="M163" s="1719"/>
      <c r="N163" s="1719"/>
      <c r="O163" s="1719"/>
      <c r="P163" s="1719"/>
      <c r="Q163" s="1719"/>
      <c r="R163" s="1719"/>
      <c r="S163" s="1719"/>
      <c r="T163" s="1719"/>
      <c r="U163" s="1719"/>
      <c r="V163" s="1719"/>
      <c r="W163" s="1719"/>
      <c r="X163" s="1719"/>
      <c r="Y163" s="1719"/>
    </row>
    <row r="164" customFormat="false" ht="12" hidden="false" customHeight="false" outlineLevel="0" collapsed="false">
      <c r="B164" s="1729"/>
      <c r="C164" s="1729"/>
      <c r="D164" s="1729"/>
      <c r="E164" s="1729"/>
      <c r="F164" s="1826"/>
      <c r="G164" s="1729"/>
      <c r="H164" s="1729"/>
      <c r="I164" s="1826"/>
      <c r="J164" s="1826"/>
      <c r="K164" s="1826"/>
      <c r="L164" s="1719"/>
      <c r="M164" s="1719"/>
      <c r="N164" s="1719"/>
      <c r="O164" s="1719"/>
      <c r="P164" s="1719"/>
      <c r="Q164" s="1719"/>
      <c r="R164" s="1719"/>
      <c r="S164" s="1719"/>
      <c r="T164" s="1719"/>
      <c r="U164" s="1719"/>
      <c r="V164" s="1719"/>
      <c r="W164" s="1719"/>
      <c r="X164" s="1719"/>
      <c r="Y164" s="1719"/>
    </row>
    <row r="165" customFormat="false" ht="12" hidden="false" customHeight="false" outlineLevel="0" collapsed="false">
      <c r="B165" s="1729"/>
      <c r="C165" s="1729"/>
      <c r="D165" s="1729"/>
      <c r="E165" s="1729"/>
      <c r="F165" s="1826"/>
      <c r="G165" s="1729"/>
      <c r="H165" s="1729"/>
      <c r="I165" s="1826"/>
      <c r="J165" s="1826"/>
      <c r="K165" s="1826"/>
      <c r="L165" s="1719"/>
      <c r="M165" s="1719"/>
      <c r="N165" s="1719"/>
      <c r="O165" s="1719"/>
      <c r="P165" s="1719"/>
      <c r="Q165" s="1719"/>
      <c r="R165" s="1719"/>
      <c r="S165" s="1719"/>
      <c r="T165" s="1719"/>
      <c r="U165" s="1719"/>
      <c r="V165" s="1719"/>
      <c r="W165" s="1719"/>
      <c r="X165" s="1719"/>
      <c r="Y165" s="1719"/>
    </row>
    <row r="166" customFormat="false" ht="12" hidden="false" customHeight="false" outlineLevel="0" collapsed="false">
      <c r="B166" s="1729"/>
      <c r="C166" s="1729"/>
      <c r="D166" s="1729"/>
      <c r="E166" s="1729"/>
      <c r="F166" s="1826"/>
      <c r="G166" s="1729"/>
      <c r="H166" s="1729"/>
      <c r="I166" s="1826"/>
      <c r="J166" s="1826"/>
      <c r="K166" s="1826"/>
      <c r="L166" s="1729"/>
      <c r="M166" s="1729"/>
      <c r="N166" s="1729"/>
      <c r="O166" s="1729"/>
      <c r="P166" s="1729"/>
      <c r="Q166" s="1729"/>
      <c r="R166" s="1729"/>
      <c r="S166" s="1729"/>
      <c r="T166" s="1729"/>
      <c r="U166" s="1729"/>
      <c r="V166" s="1729"/>
      <c r="W166" s="1729"/>
      <c r="X166" s="1729"/>
      <c r="Y166" s="1729"/>
    </row>
    <row r="167" customFormat="false" ht="12" hidden="false" customHeight="false" outlineLevel="0" collapsed="false">
      <c r="B167" s="1729"/>
      <c r="C167" s="1729"/>
      <c r="D167" s="1729"/>
      <c r="E167" s="1729"/>
      <c r="F167" s="1826"/>
      <c r="G167" s="1729"/>
      <c r="H167" s="1729"/>
      <c r="I167" s="1826"/>
      <c r="J167" s="1826"/>
      <c r="K167" s="1826"/>
      <c r="L167" s="1729"/>
      <c r="M167" s="1729"/>
      <c r="N167" s="1729"/>
      <c r="O167" s="1729"/>
      <c r="P167" s="1729"/>
      <c r="Q167" s="1729"/>
      <c r="R167" s="1729"/>
      <c r="S167" s="1729"/>
      <c r="T167" s="1729"/>
      <c r="U167" s="1729"/>
      <c r="V167" s="1729"/>
      <c r="W167" s="1729"/>
      <c r="X167" s="1729"/>
      <c r="Y167" s="1729"/>
    </row>
    <row r="168" customFormat="false" ht="12" hidden="false" customHeight="false" outlineLevel="0" collapsed="false">
      <c r="B168" s="1729"/>
      <c r="C168" s="1729"/>
      <c r="D168" s="1729"/>
      <c r="E168" s="1729"/>
      <c r="F168" s="1826"/>
      <c r="G168" s="1729"/>
      <c r="H168" s="1729"/>
      <c r="I168" s="1826"/>
      <c r="J168" s="1826"/>
      <c r="K168" s="1826"/>
      <c r="L168" s="1729"/>
      <c r="M168" s="1729"/>
      <c r="N168" s="1729"/>
      <c r="O168" s="1729"/>
      <c r="P168" s="1729"/>
      <c r="Q168" s="1729"/>
      <c r="R168" s="1729"/>
      <c r="S168" s="1729"/>
      <c r="T168" s="1729"/>
      <c r="U168" s="1729"/>
      <c r="V168" s="1729"/>
      <c r="W168" s="1729"/>
      <c r="X168" s="1729"/>
      <c r="Y168" s="1729"/>
    </row>
    <row r="169" customFormat="false" ht="12" hidden="false" customHeight="false" outlineLevel="0" collapsed="false">
      <c r="B169" s="1729"/>
      <c r="C169" s="1729"/>
      <c r="D169" s="1729"/>
      <c r="E169" s="1729"/>
      <c r="F169" s="1826"/>
      <c r="G169" s="1729"/>
      <c r="H169" s="1729"/>
      <c r="I169" s="1826"/>
      <c r="J169" s="1826"/>
      <c r="K169" s="1826"/>
      <c r="L169" s="1729"/>
      <c r="M169" s="1729"/>
      <c r="N169" s="1729"/>
      <c r="O169" s="1729"/>
      <c r="P169" s="1729"/>
      <c r="Q169" s="1729"/>
      <c r="R169" s="1729"/>
      <c r="S169" s="1729"/>
      <c r="T169" s="1729"/>
      <c r="U169" s="1729"/>
      <c r="V169" s="1729"/>
      <c r="W169" s="1729"/>
      <c r="X169" s="1729"/>
      <c r="Y169" s="1729"/>
    </row>
    <row r="170" customFormat="false" ht="12" hidden="false" customHeight="false" outlineLevel="0" collapsed="false">
      <c r="B170" s="1729"/>
      <c r="C170" s="1729"/>
      <c r="D170" s="1729"/>
      <c r="E170" s="1729"/>
      <c r="F170" s="1826"/>
      <c r="G170" s="1729"/>
      <c r="H170" s="1729"/>
      <c r="I170" s="1826"/>
      <c r="J170" s="1826"/>
      <c r="K170" s="1826"/>
      <c r="L170" s="1729"/>
      <c r="M170" s="1729"/>
      <c r="N170" s="1729"/>
      <c r="O170" s="1729"/>
      <c r="P170" s="1729"/>
      <c r="Q170" s="1729"/>
      <c r="R170" s="1729"/>
      <c r="S170" s="1729"/>
      <c r="T170" s="1729"/>
      <c r="U170" s="1729"/>
      <c r="V170" s="1729"/>
      <c r="W170" s="1729"/>
      <c r="X170" s="1729"/>
      <c r="Y170" s="1729"/>
    </row>
    <row r="171" customFormat="false" ht="12" hidden="false" customHeight="false" outlineLevel="0" collapsed="false">
      <c r="B171" s="1729"/>
      <c r="C171" s="1729"/>
      <c r="D171" s="1729"/>
      <c r="E171" s="1729"/>
      <c r="F171" s="1826"/>
      <c r="G171" s="1729"/>
      <c r="H171" s="1729"/>
      <c r="I171" s="1826"/>
      <c r="J171" s="1826"/>
      <c r="K171" s="1826"/>
      <c r="L171" s="1729"/>
      <c r="M171" s="1729"/>
      <c r="N171" s="1729"/>
      <c r="O171" s="1729"/>
      <c r="P171" s="1729"/>
      <c r="Q171" s="1729"/>
      <c r="R171" s="1729"/>
      <c r="S171" s="1729"/>
      <c r="T171" s="1729"/>
      <c r="U171" s="1729"/>
      <c r="V171" s="1729"/>
      <c r="W171" s="1729"/>
      <c r="X171" s="1729"/>
      <c r="Y171" s="1729"/>
    </row>
    <row r="172" customFormat="false" ht="12" hidden="false" customHeight="false" outlineLevel="0" collapsed="false">
      <c r="B172" s="1729"/>
      <c r="C172" s="1729"/>
      <c r="D172" s="1729"/>
      <c r="E172" s="1729"/>
      <c r="F172" s="1826"/>
      <c r="G172" s="1729"/>
      <c r="H172" s="1729"/>
      <c r="I172" s="1826"/>
      <c r="J172" s="1826"/>
      <c r="K172" s="1826"/>
      <c r="L172" s="1729"/>
      <c r="M172" s="1729"/>
      <c r="N172" s="1729"/>
      <c r="O172" s="1729"/>
      <c r="P172" s="1729"/>
      <c r="Q172" s="1729"/>
      <c r="R172" s="1729"/>
      <c r="S172" s="1729"/>
      <c r="T172" s="1729"/>
      <c r="U172" s="1729"/>
      <c r="V172" s="1729"/>
      <c r="W172" s="1729"/>
      <c r="X172" s="1729"/>
      <c r="Y172" s="1729"/>
    </row>
    <row r="173" customFormat="false" ht="12" hidden="false" customHeight="false" outlineLevel="0" collapsed="false">
      <c r="B173" s="1729"/>
      <c r="C173" s="1729"/>
      <c r="D173" s="1729"/>
      <c r="E173" s="1729"/>
      <c r="F173" s="1826"/>
      <c r="G173" s="1729"/>
      <c r="H173" s="1729"/>
      <c r="I173" s="1826"/>
      <c r="J173" s="1826"/>
      <c r="K173" s="1826"/>
      <c r="L173" s="1729"/>
      <c r="M173" s="1729"/>
      <c r="N173" s="1729"/>
      <c r="O173" s="1729"/>
      <c r="P173" s="1729"/>
      <c r="Q173" s="1729"/>
      <c r="R173" s="1729"/>
      <c r="S173" s="1729"/>
      <c r="T173" s="1729"/>
      <c r="U173" s="1729"/>
      <c r="V173" s="1729"/>
      <c r="W173" s="1729"/>
      <c r="X173" s="1729"/>
      <c r="Y173" s="1729"/>
    </row>
    <row r="174" customFormat="false" ht="12" hidden="false" customHeight="false" outlineLevel="0" collapsed="false">
      <c r="B174" s="1729"/>
      <c r="C174" s="1729"/>
      <c r="D174" s="1729"/>
      <c r="E174" s="1729"/>
      <c r="F174" s="1826"/>
      <c r="G174" s="1729"/>
      <c r="H174" s="1729"/>
      <c r="I174" s="1826"/>
      <c r="J174" s="1826"/>
      <c r="K174" s="1826"/>
      <c r="L174" s="1729"/>
      <c r="M174" s="1729"/>
      <c r="N174" s="1729"/>
      <c r="O174" s="1729"/>
      <c r="P174" s="1729"/>
      <c r="Q174" s="1729"/>
      <c r="R174" s="1729"/>
      <c r="S174" s="1729"/>
      <c r="T174" s="1729"/>
      <c r="U174" s="1729"/>
      <c r="V174" s="1729"/>
      <c r="W174" s="1729"/>
      <c r="X174" s="1729"/>
      <c r="Y174" s="1729"/>
    </row>
    <row r="175" customFormat="false" ht="12" hidden="false" customHeight="false" outlineLevel="0" collapsed="false">
      <c r="B175" s="1729"/>
      <c r="C175" s="1729"/>
      <c r="D175" s="1729"/>
      <c r="E175" s="1729"/>
      <c r="F175" s="1826"/>
      <c r="G175" s="1729"/>
      <c r="H175" s="1729"/>
      <c r="I175" s="1826"/>
      <c r="J175" s="1826"/>
      <c r="K175" s="1826"/>
      <c r="L175" s="1729"/>
      <c r="M175" s="1729"/>
      <c r="N175" s="1729"/>
      <c r="O175" s="1729"/>
      <c r="P175" s="1729"/>
      <c r="Q175" s="1729"/>
      <c r="R175" s="1729"/>
      <c r="S175" s="1729"/>
      <c r="T175" s="1729"/>
      <c r="U175" s="1729"/>
      <c r="V175" s="1729"/>
      <c r="W175" s="1729"/>
      <c r="X175" s="1729"/>
      <c r="Y175" s="1729"/>
    </row>
    <row r="176" customFormat="false" ht="12" hidden="false" customHeight="false" outlineLevel="0" collapsed="false">
      <c r="B176" s="1729"/>
      <c r="C176" s="1729"/>
      <c r="D176" s="1729"/>
      <c r="E176" s="1729"/>
      <c r="F176" s="1826"/>
      <c r="G176" s="1729"/>
      <c r="H176" s="1729"/>
      <c r="I176" s="1826"/>
      <c r="J176" s="1826"/>
      <c r="K176" s="1826"/>
      <c r="L176" s="1729"/>
      <c r="M176" s="1729"/>
      <c r="N176" s="1729"/>
      <c r="O176" s="1729"/>
      <c r="P176" s="1729"/>
      <c r="Q176" s="1729"/>
      <c r="R176" s="1729"/>
      <c r="S176" s="1729"/>
      <c r="T176" s="1729"/>
      <c r="U176" s="1729"/>
      <c r="V176" s="1729"/>
      <c r="W176" s="1729"/>
      <c r="X176" s="1729"/>
      <c r="Y176" s="1729"/>
    </row>
    <row r="177" customFormat="false" ht="12" hidden="false" customHeight="false" outlineLevel="0" collapsed="false">
      <c r="B177" s="1729"/>
      <c r="C177" s="1729"/>
      <c r="D177" s="1729"/>
      <c r="E177" s="1729"/>
      <c r="F177" s="1826"/>
      <c r="G177" s="1729"/>
      <c r="H177" s="1729"/>
      <c r="I177" s="1826"/>
      <c r="J177" s="1826"/>
      <c r="K177" s="1826"/>
      <c r="L177" s="1729"/>
      <c r="M177" s="1729"/>
      <c r="N177" s="1729"/>
      <c r="O177" s="1729"/>
      <c r="P177" s="1729"/>
      <c r="Q177" s="1729"/>
      <c r="R177" s="1729"/>
      <c r="S177" s="1729"/>
      <c r="T177" s="1729"/>
      <c r="U177" s="1729"/>
      <c r="V177" s="1729"/>
      <c r="W177" s="1729"/>
      <c r="X177" s="1729"/>
      <c r="Y177" s="1729"/>
    </row>
    <row r="178" customFormat="false" ht="12" hidden="false" customHeight="false" outlineLevel="0" collapsed="false">
      <c r="B178" s="1729"/>
      <c r="C178" s="1729"/>
      <c r="D178" s="1729"/>
      <c r="E178" s="1729"/>
      <c r="F178" s="1826"/>
      <c r="G178" s="1729"/>
      <c r="H178" s="1729"/>
      <c r="I178" s="1826"/>
      <c r="J178" s="1826"/>
      <c r="K178" s="1826"/>
      <c r="L178" s="1729"/>
      <c r="M178" s="1729"/>
      <c r="N178" s="1729"/>
      <c r="O178" s="1729"/>
      <c r="P178" s="1729"/>
      <c r="Q178" s="1729"/>
      <c r="R178" s="1729"/>
      <c r="S178" s="1729"/>
      <c r="T178" s="1729"/>
      <c r="U178" s="1729"/>
      <c r="V178" s="1729"/>
      <c r="W178" s="1729"/>
      <c r="X178" s="1729"/>
      <c r="Y178" s="1729"/>
    </row>
    <row r="179" customFormat="false" ht="12" hidden="false" customHeight="false" outlineLevel="0" collapsed="false">
      <c r="B179" s="1729"/>
      <c r="C179" s="1729"/>
      <c r="D179" s="1729"/>
      <c r="E179" s="1729"/>
      <c r="F179" s="1826"/>
      <c r="G179" s="1729"/>
      <c r="H179" s="1729"/>
      <c r="I179" s="1826"/>
      <c r="J179" s="1826"/>
      <c r="K179" s="1826"/>
      <c r="L179" s="1729"/>
      <c r="M179" s="1729"/>
      <c r="N179" s="1729"/>
      <c r="O179" s="1729"/>
      <c r="P179" s="1729"/>
      <c r="Q179" s="1729"/>
      <c r="R179" s="1729"/>
      <c r="S179" s="1729"/>
      <c r="T179" s="1729"/>
      <c r="U179" s="1729"/>
      <c r="V179" s="1729"/>
      <c r="W179" s="1729"/>
      <c r="X179" s="1729"/>
      <c r="Y179" s="1729"/>
    </row>
    <row r="180" customFormat="false" ht="12" hidden="false" customHeight="false" outlineLevel="0" collapsed="false">
      <c r="B180" s="1729"/>
      <c r="C180" s="1729"/>
      <c r="D180" s="1729"/>
      <c r="E180" s="1729"/>
      <c r="F180" s="1826"/>
      <c r="G180" s="1729"/>
      <c r="H180" s="1729"/>
      <c r="I180" s="1826"/>
      <c r="J180" s="1826"/>
      <c r="K180" s="1826"/>
      <c r="L180" s="1729"/>
      <c r="M180" s="1729"/>
      <c r="N180" s="1729"/>
      <c r="O180" s="1729"/>
      <c r="P180" s="1729"/>
      <c r="Q180" s="1729"/>
      <c r="R180" s="1729"/>
      <c r="S180" s="1729"/>
      <c r="T180" s="1729"/>
      <c r="U180" s="1729"/>
      <c r="V180" s="1729"/>
      <c r="W180" s="1729"/>
      <c r="X180" s="1729"/>
      <c r="Y180" s="1729"/>
    </row>
    <row r="181" customFormat="false" ht="12" hidden="false" customHeight="false" outlineLevel="0" collapsed="false">
      <c r="B181" s="1729"/>
      <c r="C181" s="1729"/>
      <c r="D181" s="1729"/>
      <c r="E181" s="1729"/>
      <c r="F181" s="1826"/>
      <c r="G181" s="1729"/>
      <c r="H181" s="1729"/>
      <c r="I181" s="1826"/>
      <c r="J181" s="1826"/>
      <c r="K181" s="1826"/>
      <c r="L181" s="1729"/>
      <c r="M181" s="1729"/>
      <c r="N181" s="1729"/>
      <c r="O181" s="1729"/>
      <c r="P181" s="1729"/>
      <c r="Q181" s="1729"/>
      <c r="R181" s="1729"/>
      <c r="S181" s="1729"/>
      <c r="T181" s="1729"/>
      <c r="U181" s="1729"/>
      <c r="V181" s="1729"/>
      <c r="W181" s="1729"/>
      <c r="X181" s="1729"/>
      <c r="Y181" s="1729"/>
    </row>
    <row r="182" customFormat="false" ht="12" hidden="false" customHeight="false" outlineLevel="0" collapsed="false">
      <c r="B182" s="1729"/>
      <c r="C182" s="1729"/>
      <c r="D182" s="1729"/>
      <c r="E182" s="1729"/>
      <c r="F182" s="1826"/>
      <c r="G182" s="1729"/>
      <c r="H182" s="1729"/>
      <c r="I182" s="1826"/>
      <c r="J182" s="1826"/>
      <c r="K182" s="1826"/>
      <c r="L182" s="1729"/>
      <c r="M182" s="1729"/>
      <c r="N182" s="1729"/>
      <c r="O182" s="1729"/>
      <c r="P182" s="1729"/>
      <c r="Q182" s="1729"/>
      <c r="R182" s="1729"/>
      <c r="S182" s="1729"/>
      <c r="T182" s="1729"/>
      <c r="U182" s="1729"/>
      <c r="V182" s="1729"/>
      <c r="W182" s="1729"/>
      <c r="X182" s="1729"/>
      <c r="Y182" s="1729"/>
    </row>
    <row r="183" customFormat="false" ht="12" hidden="false" customHeight="false" outlineLevel="0" collapsed="false">
      <c r="B183" s="1729"/>
      <c r="C183" s="1729"/>
      <c r="D183" s="1729"/>
      <c r="E183" s="1729"/>
      <c r="F183" s="1826"/>
      <c r="G183" s="1729"/>
      <c r="H183" s="1729"/>
      <c r="I183" s="1826"/>
      <c r="J183" s="1826"/>
      <c r="K183" s="1826"/>
      <c r="L183" s="1729"/>
      <c r="M183" s="1729"/>
      <c r="N183" s="1729"/>
      <c r="O183" s="1729"/>
      <c r="P183" s="1729"/>
      <c r="Q183" s="1729"/>
      <c r="R183" s="1729"/>
      <c r="S183" s="1729"/>
      <c r="T183" s="1729"/>
      <c r="U183" s="1729"/>
      <c r="V183" s="1729"/>
      <c r="W183" s="1729"/>
      <c r="X183" s="1729"/>
      <c r="Y183" s="1729"/>
    </row>
    <row r="184" customFormat="false" ht="12" hidden="false" customHeight="false" outlineLevel="0" collapsed="false">
      <c r="B184" s="1729"/>
      <c r="C184" s="1729"/>
      <c r="D184" s="1729"/>
      <c r="E184" s="1729"/>
      <c r="F184" s="1826"/>
      <c r="G184" s="1729"/>
      <c r="H184" s="1729"/>
      <c r="I184" s="1826"/>
      <c r="J184" s="1826"/>
      <c r="K184" s="1826"/>
      <c r="L184" s="1729"/>
      <c r="M184" s="1729"/>
      <c r="N184" s="1729"/>
      <c r="O184" s="1729"/>
      <c r="P184" s="1729"/>
      <c r="Q184" s="1729"/>
      <c r="R184" s="1729"/>
      <c r="S184" s="1729"/>
      <c r="T184" s="1729"/>
      <c r="U184" s="1729"/>
      <c r="V184" s="1729"/>
      <c r="W184" s="1729"/>
      <c r="X184" s="1729"/>
      <c r="Y184" s="1729"/>
    </row>
    <row r="185" customFormat="false" ht="12" hidden="false" customHeight="false" outlineLevel="0" collapsed="false">
      <c r="B185" s="1729"/>
      <c r="C185" s="1729"/>
      <c r="D185" s="1729"/>
      <c r="E185" s="1729"/>
      <c r="F185" s="1826"/>
      <c r="G185" s="1729"/>
      <c r="H185" s="1729"/>
      <c r="I185" s="1826"/>
      <c r="J185" s="1826"/>
      <c r="K185" s="1826"/>
      <c r="L185" s="1729"/>
      <c r="M185" s="1729"/>
      <c r="N185" s="1729"/>
      <c r="O185" s="1729"/>
      <c r="P185" s="1729"/>
      <c r="Q185" s="1729"/>
      <c r="R185" s="1729"/>
      <c r="S185" s="1729"/>
      <c r="T185" s="1729"/>
      <c r="U185" s="1729"/>
      <c r="V185" s="1729"/>
      <c r="W185" s="1729"/>
      <c r="X185" s="1729"/>
      <c r="Y185" s="1729"/>
    </row>
    <row r="186" customFormat="false" ht="12" hidden="false" customHeight="false" outlineLevel="0" collapsed="false">
      <c r="B186" s="1729"/>
      <c r="C186" s="1729"/>
      <c r="D186" s="1729"/>
      <c r="E186" s="1729"/>
      <c r="F186" s="1826"/>
      <c r="G186" s="1729"/>
      <c r="H186" s="1729"/>
      <c r="I186" s="1826"/>
      <c r="J186" s="1826"/>
      <c r="K186" s="1826"/>
      <c r="L186" s="1729"/>
      <c r="M186" s="1729"/>
      <c r="N186" s="1729"/>
      <c r="O186" s="1729"/>
      <c r="P186" s="1729"/>
      <c r="Q186" s="1729"/>
      <c r="R186" s="1729"/>
      <c r="S186" s="1729"/>
      <c r="T186" s="1729"/>
      <c r="U186" s="1729"/>
      <c r="V186" s="1729"/>
      <c r="W186" s="1729"/>
      <c r="X186" s="1729"/>
      <c r="Y186" s="1729"/>
    </row>
    <row r="187" customFormat="false" ht="12" hidden="false" customHeight="false" outlineLevel="0" collapsed="false">
      <c r="B187" s="1729"/>
      <c r="C187" s="1729"/>
      <c r="D187" s="1729"/>
      <c r="E187" s="1729"/>
      <c r="F187" s="1826"/>
      <c r="G187" s="1729"/>
      <c r="H187" s="1729"/>
      <c r="I187" s="1826"/>
      <c r="J187" s="1826"/>
      <c r="K187" s="1826"/>
      <c r="L187" s="1729"/>
      <c r="M187" s="1729"/>
      <c r="N187" s="1729"/>
      <c r="O187" s="1729"/>
      <c r="P187" s="1729"/>
      <c r="Q187" s="1729"/>
      <c r="R187" s="1729"/>
      <c r="S187" s="1729"/>
      <c r="T187" s="1729"/>
      <c r="U187" s="1729"/>
      <c r="V187" s="1729"/>
      <c r="W187" s="1729"/>
      <c r="X187" s="1729"/>
      <c r="Y187" s="1729"/>
    </row>
    <row r="188" customFormat="false" ht="12" hidden="false" customHeight="false" outlineLevel="0" collapsed="false">
      <c r="B188" s="1729"/>
      <c r="C188" s="1729"/>
      <c r="D188" s="1729"/>
      <c r="E188" s="1729"/>
      <c r="F188" s="1826"/>
      <c r="G188" s="1729"/>
      <c r="H188" s="1729"/>
      <c r="I188" s="1826"/>
      <c r="J188" s="1826"/>
      <c r="K188" s="1826"/>
      <c r="L188" s="1729"/>
      <c r="M188" s="1729"/>
      <c r="N188" s="1729"/>
      <c r="O188" s="1729"/>
      <c r="P188" s="1729"/>
      <c r="Q188" s="1729"/>
      <c r="R188" s="1729"/>
      <c r="S188" s="1729"/>
      <c r="T188" s="1729"/>
      <c r="U188" s="1729"/>
      <c r="V188" s="1729"/>
      <c r="W188" s="1729"/>
      <c r="X188" s="1729"/>
      <c r="Y188" s="1729"/>
    </row>
    <row r="189" customFormat="false" ht="12" hidden="false" customHeight="false" outlineLevel="0" collapsed="false">
      <c r="B189" s="1729"/>
      <c r="C189" s="1729"/>
      <c r="D189" s="1729"/>
      <c r="E189" s="1729"/>
      <c r="F189" s="1826"/>
      <c r="G189" s="1729"/>
      <c r="H189" s="1729"/>
      <c r="I189" s="1826"/>
      <c r="J189" s="1826"/>
      <c r="K189" s="1826"/>
      <c r="L189" s="1729"/>
      <c r="M189" s="1729"/>
      <c r="N189" s="1729"/>
      <c r="O189" s="1729"/>
      <c r="P189" s="1729"/>
      <c r="Q189" s="1729"/>
      <c r="R189" s="1729"/>
      <c r="S189" s="1729"/>
      <c r="T189" s="1729"/>
      <c r="U189" s="1729"/>
      <c r="V189" s="1729"/>
      <c r="W189" s="1729"/>
      <c r="X189" s="1729"/>
      <c r="Y189" s="1729"/>
    </row>
    <row r="190" customFormat="false" ht="12" hidden="false" customHeight="false" outlineLevel="0" collapsed="false">
      <c r="B190" s="1729"/>
      <c r="C190" s="1729"/>
      <c r="D190" s="1729"/>
      <c r="E190" s="1729"/>
      <c r="F190" s="1826"/>
      <c r="G190" s="1729"/>
      <c r="H190" s="1729"/>
      <c r="I190" s="1826"/>
      <c r="J190" s="1826"/>
      <c r="K190" s="1826"/>
      <c r="L190" s="1729"/>
      <c r="M190" s="1729"/>
      <c r="N190" s="1729"/>
      <c r="O190" s="1729"/>
      <c r="P190" s="1729"/>
      <c r="Q190" s="1729"/>
      <c r="R190" s="1729"/>
      <c r="S190" s="1729"/>
      <c r="T190" s="1729"/>
      <c r="U190" s="1729"/>
      <c r="V190" s="1729"/>
      <c r="W190" s="1729"/>
      <c r="X190" s="1729"/>
      <c r="Y190" s="1729"/>
    </row>
    <row r="191" customFormat="false" ht="12" hidden="false" customHeight="false" outlineLevel="0" collapsed="false">
      <c r="B191" s="1729"/>
      <c r="C191" s="1729"/>
      <c r="D191" s="1729"/>
      <c r="E191" s="1729"/>
      <c r="F191" s="1826"/>
      <c r="G191" s="1729"/>
      <c r="H191" s="1729"/>
      <c r="I191" s="1826"/>
      <c r="J191" s="1826"/>
      <c r="K191" s="1826"/>
      <c r="L191" s="1729"/>
      <c r="M191" s="1729"/>
      <c r="N191" s="1729"/>
      <c r="O191" s="1729"/>
      <c r="P191" s="1729"/>
      <c r="Q191" s="1729"/>
      <c r="R191" s="1729"/>
      <c r="S191" s="1729"/>
      <c r="T191" s="1729"/>
      <c r="U191" s="1729"/>
      <c r="V191" s="1729"/>
      <c r="W191" s="1729"/>
      <c r="X191" s="1729"/>
      <c r="Y191" s="1729"/>
    </row>
    <row r="192" customFormat="false" ht="12" hidden="false" customHeight="false" outlineLevel="0" collapsed="false">
      <c r="B192" s="1729"/>
      <c r="C192" s="1729"/>
      <c r="D192" s="1729"/>
      <c r="E192" s="1729"/>
      <c r="F192" s="1826"/>
      <c r="G192" s="1729"/>
      <c r="H192" s="1729"/>
      <c r="I192" s="1826"/>
      <c r="J192" s="1826"/>
      <c r="K192" s="1826"/>
      <c r="L192" s="1729"/>
      <c r="M192" s="1729"/>
      <c r="N192" s="1729"/>
      <c r="O192" s="1729"/>
      <c r="P192" s="1729"/>
      <c r="Q192" s="1729"/>
      <c r="R192" s="1729"/>
      <c r="S192" s="1729"/>
      <c r="T192" s="1729"/>
      <c r="U192" s="1729"/>
      <c r="V192" s="1729"/>
      <c r="W192" s="1729"/>
      <c r="X192" s="1729"/>
      <c r="Y192" s="1729"/>
    </row>
    <row r="193" customFormat="false" ht="12" hidden="false" customHeight="false" outlineLevel="0" collapsed="false">
      <c r="B193" s="1729"/>
      <c r="C193" s="1729"/>
      <c r="D193" s="1729"/>
      <c r="E193" s="1729"/>
      <c r="F193" s="1826"/>
      <c r="G193" s="1729"/>
      <c r="H193" s="1729"/>
      <c r="I193" s="1826"/>
      <c r="J193" s="1826"/>
      <c r="K193" s="1826"/>
      <c r="L193" s="1729"/>
      <c r="M193" s="1729"/>
      <c r="N193" s="1729"/>
      <c r="O193" s="1729"/>
      <c r="P193" s="1729"/>
      <c r="Q193" s="1729"/>
      <c r="R193" s="1729"/>
      <c r="S193" s="1729"/>
      <c r="T193" s="1729"/>
      <c r="U193" s="1729"/>
      <c r="V193" s="1729"/>
      <c r="W193" s="1729"/>
      <c r="X193" s="1729"/>
      <c r="Y193" s="1729"/>
    </row>
    <row r="194" customFormat="false" ht="12" hidden="false" customHeight="false" outlineLevel="0" collapsed="false">
      <c r="B194" s="1729"/>
      <c r="C194" s="1729"/>
      <c r="D194" s="1729"/>
      <c r="E194" s="1729"/>
      <c r="F194" s="1826"/>
      <c r="G194" s="1729"/>
      <c r="H194" s="1729"/>
      <c r="I194" s="1826"/>
      <c r="J194" s="1826"/>
      <c r="K194" s="1826"/>
      <c r="L194" s="1729"/>
      <c r="M194" s="1729"/>
      <c r="N194" s="1729"/>
      <c r="O194" s="1729"/>
      <c r="P194" s="1729"/>
      <c r="Q194" s="1729"/>
      <c r="R194" s="1729"/>
      <c r="S194" s="1729"/>
      <c r="T194" s="1729"/>
      <c r="U194" s="1729"/>
      <c r="V194" s="1729"/>
      <c r="W194" s="1729"/>
      <c r="X194" s="1729"/>
      <c r="Y194" s="1729"/>
    </row>
    <row r="195" customFormat="false" ht="12" hidden="false" customHeight="false" outlineLevel="0" collapsed="false">
      <c r="B195" s="1729"/>
      <c r="C195" s="1729"/>
      <c r="D195" s="1729"/>
      <c r="E195" s="1729"/>
      <c r="F195" s="1826"/>
      <c r="G195" s="1729"/>
      <c r="H195" s="1729"/>
      <c r="I195" s="1826"/>
      <c r="J195" s="1826"/>
      <c r="K195" s="1826"/>
      <c r="L195" s="1729"/>
      <c r="M195" s="1729"/>
      <c r="N195" s="1729"/>
      <c r="O195" s="1729"/>
      <c r="P195" s="1729"/>
      <c r="Q195" s="1729"/>
      <c r="R195" s="1729"/>
      <c r="S195" s="1729"/>
      <c r="T195" s="1729"/>
      <c r="U195" s="1729"/>
      <c r="V195" s="1729"/>
      <c r="W195" s="1729"/>
      <c r="X195" s="1729"/>
      <c r="Y195" s="1729"/>
    </row>
    <row r="196" customFormat="false" ht="12" hidden="false" customHeight="false" outlineLevel="0" collapsed="false">
      <c r="B196" s="1729"/>
      <c r="C196" s="1729"/>
      <c r="D196" s="1729"/>
      <c r="E196" s="1729"/>
      <c r="F196" s="1826"/>
      <c r="G196" s="1729"/>
      <c r="H196" s="1729"/>
      <c r="I196" s="1826"/>
      <c r="J196" s="1826"/>
      <c r="K196" s="1826"/>
      <c r="L196" s="1729"/>
      <c r="M196" s="1729"/>
      <c r="N196" s="1729"/>
      <c r="O196" s="1729"/>
      <c r="P196" s="1729"/>
      <c r="Q196" s="1729"/>
      <c r="R196" s="1729"/>
      <c r="S196" s="1729"/>
      <c r="T196" s="1729"/>
      <c r="U196" s="1729"/>
      <c r="V196" s="1729"/>
      <c r="W196" s="1729"/>
      <c r="X196" s="1729"/>
      <c r="Y196" s="1729"/>
    </row>
    <row r="197" customFormat="false" ht="12" hidden="false" customHeight="false" outlineLevel="0" collapsed="false">
      <c r="B197" s="1729"/>
      <c r="C197" s="1729"/>
      <c r="D197" s="1729"/>
      <c r="E197" s="1729"/>
      <c r="F197" s="1826"/>
      <c r="G197" s="1729"/>
      <c r="H197" s="1729"/>
      <c r="I197" s="1826"/>
      <c r="J197" s="1826"/>
      <c r="K197" s="1826"/>
      <c r="L197" s="1729"/>
      <c r="M197" s="1729"/>
      <c r="N197" s="1729"/>
      <c r="O197" s="1729"/>
      <c r="P197" s="1729"/>
      <c r="Q197" s="1729"/>
      <c r="R197" s="1729"/>
      <c r="S197" s="1729"/>
      <c r="T197" s="1729"/>
      <c r="U197" s="1729"/>
      <c r="V197" s="1729"/>
      <c r="W197" s="1729"/>
      <c r="X197" s="1729"/>
      <c r="Y197" s="1729"/>
    </row>
    <row r="198" customFormat="false" ht="12" hidden="false" customHeight="false" outlineLevel="0" collapsed="false">
      <c r="B198" s="1729"/>
      <c r="C198" s="1729"/>
      <c r="D198" s="1729"/>
      <c r="E198" s="1729"/>
      <c r="F198" s="1826"/>
      <c r="G198" s="1729"/>
      <c r="H198" s="1729"/>
      <c r="I198" s="1826"/>
      <c r="J198" s="1826"/>
      <c r="K198" s="1826"/>
      <c r="L198" s="1729"/>
      <c r="M198" s="1729"/>
      <c r="N198" s="1729"/>
      <c r="O198" s="1729"/>
      <c r="P198" s="1729"/>
      <c r="Q198" s="1729"/>
      <c r="R198" s="1729"/>
      <c r="S198" s="1729"/>
      <c r="T198" s="1729"/>
      <c r="U198" s="1729"/>
      <c r="V198" s="1729"/>
      <c r="W198" s="1729"/>
      <c r="X198" s="1729"/>
      <c r="Y198" s="1729"/>
    </row>
    <row r="199" customFormat="false" ht="12" hidden="false" customHeight="false" outlineLevel="0" collapsed="false">
      <c r="B199" s="1729"/>
      <c r="C199" s="1729"/>
      <c r="D199" s="1729"/>
      <c r="E199" s="1729"/>
      <c r="F199" s="1826"/>
      <c r="G199" s="1729"/>
      <c r="H199" s="1729"/>
      <c r="I199" s="1826"/>
      <c r="J199" s="1826"/>
      <c r="K199" s="1826"/>
      <c r="L199" s="1729"/>
      <c r="M199" s="1729"/>
      <c r="N199" s="1729"/>
      <c r="O199" s="1729"/>
      <c r="P199" s="1729"/>
      <c r="Q199" s="1729"/>
      <c r="R199" s="1729"/>
      <c r="S199" s="1729"/>
      <c r="T199" s="1729"/>
      <c r="U199" s="1729"/>
      <c r="V199" s="1729"/>
      <c r="W199" s="1729"/>
      <c r="X199" s="1729"/>
      <c r="Y199" s="1729"/>
    </row>
    <row r="200" customFormat="false" ht="12" hidden="false" customHeight="false" outlineLevel="0" collapsed="false">
      <c r="B200" s="1729"/>
      <c r="C200" s="1729"/>
      <c r="D200" s="1729"/>
      <c r="E200" s="1729"/>
      <c r="F200" s="1826"/>
      <c r="G200" s="1729"/>
      <c r="H200" s="1729"/>
      <c r="I200" s="1826"/>
      <c r="J200" s="1826"/>
      <c r="K200" s="1826"/>
      <c r="L200" s="1729"/>
      <c r="M200" s="1729"/>
      <c r="N200" s="1729"/>
      <c r="O200" s="1729"/>
      <c r="P200" s="1729"/>
      <c r="Q200" s="1729"/>
      <c r="R200" s="1729"/>
      <c r="S200" s="1729"/>
      <c r="T200" s="1729"/>
      <c r="U200" s="1729"/>
      <c r="V200" s="1729"/>
      <c r="W200" s="1729"/>
      <c r="X200" s="1729"/>
      <c r="Y200" s="1729"/>
    </row>
    <row r="201" customFormat="false" ht="12" hidden="false" customHeight="false" outlineLevel="0" collapsed="false">
      <c r="B201" s="1729"/>
      <c r="C201" s="1729"/>
      <c r="D201" s="1729"/>
      <c r="E201" s="1729"/>
      <c r="F201" s="1826"/>
      <c r="G201" s="1729"/>
      <c r="H201" s="1729"/>
      <c r="I201" s="1826"/>
      <c r="J201" s="1826"/>
      <c r="K201" s="1826"/>
      <c r="L201" s="1729"/>
      <c r="M201" s="1729"/>
      <c r="N201" s="1729"/>
      <c r="O201" s="1729"/>
      <c r="P201" s="1729"/>
      <c r="Q201" s="1729"/>
      <c r="R201" s="1729"/>
      <c r="S201" s="1729"/>
      <c r="T201" s="1729"/>
      <c r="U201" s="1729"/>
      <c r="V201" s="1729"/>
      <c r="W201" s="1729"/>
      <c r="X201" s="1729"/>
      <c r="Y201" s="1729"/>
    </row>
    <row r="202" customFormat="false" ht="12" hidden="false" customHeight="false" outlineLevel="0" collapsed="false">
      <c r="B202" s="1729"/>
      <c r="C202" s="1729"/>
      <c r="D202" s="1729"/>
      <c r="E202" s="1729"/>
      <c r="F202" s="1826"/>
      <c r="G202" s="1729"/>
      <c r="H202" s="1729"/>
      <c r="I202" s="1826"/>
      <c r="J202" s="1826"/>
      <c r="K202" s="1826"/>
      <c r="L202" s="1729"/>
      <c r="M202" s="1729"/>
      <c r="N202" s="1729"/>
      <c r="O202" s="1729"/>
      <c r="P202" s="1729"/>
      <c r="Q202" s="1729"/>
      <c r="R202" s="1729"/>
      <c r="S202" s="1729"/>
      <c r="T202" s="1729"/>
      <c r="U202" s="1729"/>
      <c r="V202" s="1729"/>
      <c r="W202" s="1729"/>
      <c r="X202" s="1729"/>
      <c r="Y202" s="1729"/>
    </row>
    <row r="203" customFormat="false" ht="12" hidden="false" customHeight="false" outlineLevel="0" collapsed="false">
      <c r="B203" s="1729"/>
      <c r="C203" s="1729"/>
      <c r="D203" s="1729"/>
      <c r="E203" s="1729"/>
      <c r="F203" s="1826"/>
      <c r="G203" s="1729"/>
      <c r="H203" s="1729"/>
      <c r="I203" s="1826"/>
      <c r="J203" s="1826"/>
      <c r="K203" s="1826"/>
      <c r="L203" s="1729"/>
      <c r="M203" s="1729"/>
      <c r="N203" s="1729"/>
      <c r="O203" s="1729"/>
      <c r="P203" s="1729"/>
      <c r="Q203" s="1729"/>
      <c r="R203" s="1729"/>
      <c r="S203" s="1729"/>
      <c r="T203" s="1729"/>
      <c r="U203" s="1729"/>
      <c r="V203" s="1729"/>
      <c r="W203" s="1729"/>
      <c r="X203" s="1729"/>
      <c r="Y203" s="1729"/>
    </row>
    <row r="204" customFormat="false" ht="12" hidden="false" customHeight="false" outlineLevel="0" collapsed="false">
      <c r="B204" s="1729"/>
      <c r="C204" s="1729"/>
      <c r="D204" s="1729"/>
      <c r="E204" s="1729"/>
      <c r="F204" s="1826"/>
      <c r="G204" s="1729"/>
      <c r="H204" s="1729"/>
      <c r="I204" s="1826"/>
      <c r="J204" s="1826"/>
      <c r="K204" s="1826"/>
      <c r="L204" s="1729"/>
      <c r="M204" s="1729"/>
      <c r="N204" s="1729"/>
      <c r="O204" s="1729"/>
      <c r="P204" s="1729"/>
      <c r="Q204" s="1729"/>
      <c r="R204" s="1729"/>
      <c r="S204" s="1729"/>
      <c r="T204" s="1729"/>
      <c r="U204" s="1729"/>
      <c r="V204" s="1729"/>
      <c r="W204" s="1729"/>
      <c r="X204" s="1729"/>
      <c r="Y204" s="1729"/>
    </row>
    <row r="205" customFormat="false" ht="12" hidden="false" customHeight="false" outlineLevel="0" collapsed="false">
      <c r="B205" s="1729"/>
      <c r="C205" s="1729"/>
      <c r="D205" s="1729"/>
      <c r="E205" s="1729"/>
      <c r="F205" s="1826"/>
      <c r="G205" s="1729"/>
      <c r="H205" s="1729"/>
      <c r="I205" s="1826"/>
      <c r="J205" s="1826"/>
      <c r="K205" s="1826"/>
      <c r="L205" s="1729"/>
      <c r="M205" s="1729"/>
      <c r="N205" s="1729"/>
      <c r="O205" s="1729"/>
      <c r="P205" s="1729"/>
      <c r="Q205" s="1729"/>
      <c r="R205" s="1729"/>
      <c r="S205" s="1729"/>
      <c r="T205" s="1729"/>
      <c r="U205" s="1729"/>
      <c r="V205" s="1729"/>
      <c r="W205" s="1729"/>
      <c r="X205" s="1729"/>
      <c r="Y205" s="1729"/>
    </row>
    <row r="206" customFormat="false" ht="12" hidden="false" customHeight="false" outlineLevel="0" collapsed="false">
      <c r="B206" s="1729"/>
      <c r="C206" s="1729"/>
      <c r="D206" s="1729"/>
      <c r="E206" s="1729"/>
      <c r="F206" s="1826"/>
      <c r="G206" s="1729"/>
      <c r="H206" s="1729"/>
      <c r="I206" s="1826"/>
      <c r="J206" s="1826"/>
      <c r="K206" s="1826"/>
      <c r="L206" s="1729"/>
      <c r="M206" s="1729"/>
      <c r="N206" s="1729"/>
      <c r="O206" s="1729"/>
      <c r="P206" s="1729"/>
      <c r="Q206" s="1729"/>
      <c r="R206" s="1729"/>
      <c r="S206" s="1729"/>
      <c r="T206" s="1729"/>
      <c r="U206" s="1729"/>
      <c r="V206" s="1729"/>
      <c r="W206" s="1729"/>
      <c r="X206" s="1729"/>
      <c r="Y206" s="1729"/>
    </row>
    <row r="207" customFormat="false" ht="12" hidden="false" customHeight="false" outlineLevel="0" collapsed="false">
      <c r="B207" s="1729"/>
      <c r="C207" s="1729"/>
      <c r="D207" s="1729"/>
      <c r="E207" s="1729"/>
      <c r="F207" s="1826"/>
      <c r="G207" s="1729"/>
      <c r="H207" s="1729"/>
      <c r="I207" s="1826"/>
      <c r="J207" s="1826"/>
      <c r="K207" s="1826"/>
      <c r="L207" s="1729"/>
      <c r="M207" s="1729"/>
      <c r="N207" s="1729"/>
      <c r="O207" s="1729"/>
      <c r="P207" s="1729"/>
      <c r="Q207" s="1729"/>
      <c r="R207" s="1729"/>
      <c r="S207" s="1729"/>
      <c r="T207" s="1729"/>
      <c r="U207" s="1729"/>
      <c r="V207" s="1729"/>
      <c r="W207" s="1729"/>
      <c r="X207" s="1729"/>
      <c r="Y207" s="1729"/>
    </row>
    <row r="208" customFormat="false" ht="12" hidden="false" customHeight="false" outlineLevel="0" collapsed="false">
      <c r="B208" s="1729"/>
      <c r="C208" s="1729"/>
      <c r="D208" s="1729"/>
      <c r="E208" s="1729"/>
      <c r="F208" s="1826"/>
      <c r="G208" s="1729"/>
      <c r="H208" s="1729"/>
      <c r="I208" s="1826"/>
      <c r="J208" s="1826"/>
      <c r="K208" s="1826"/>
      <c r="L208" s="1729"/>
      <c r="M208" s="1729"/>
      <c r="N208" s="1729"/>
      <c r="O208" s="1729"/>
      <c r="P208" s="1729"/>
      <c r="Q208" s="1729"/>
      <c r="R208" s="1729"/>
      <c r="S208" s="1729"/>
      <c r="T208" s="1729"/>
      <c r="U208" s="1729"/>
      <c r="V208" s="1729"/>
      <c r="W208" s="1729"/>
      <c r="X208" s="1729"/>
      <c r="Y208" s="1729"/>
    </row>
    <row r="209" customFormat="false" ht="12" hidden="false" customHeight="false" outlineLevel="0" collapsed="false">
      <c r="B209" s="1729"/>
      <c r="C209" s="1729"/>
      <c r="D209" s="1729"/>
      <c r="E209" s="1729"/>
      <c r="F209" s="1826"/>
      <c r="G209" s="1729"/>
      <c r="H209" s="1729"/>
      <c r="I209" s="1826"/>
      <c r="J209" s="1826"/>
      <c r="K209" s="1826"/>
      <c r="L209" s="1729"/>
      <c r="M209" s="1729"/>
      <c r="N209" s="1729"/>
      <c r="O209" s="1729"/>
      <c r="P209" s="1729"/>
      <c r="Q209" s="1729"/>
      <c r="R209" s="1729"/>
      <c r="S209" s="1729"/>
      <c r="T209" s="1729"/>
      <c r="U209" s="1729"/>
      <c r="V209" s="1729"/>
      <c r="W209" s="1729"/>
      <c r="X209" s="1729"/>
      <c r="Y209" s="1729"/>
    </row>
    <row r="210" customFormat="false" ht="12" hidden="false" customHeight="false" outlineLevel="0" collapsed="false">
      <c r="B210" s="1729"/>
      <c r="C210" s="1729"/>
      <c r="D210" s="1729"/>
      <c r="E210" s="1729"/>
      <c r="F210" s="1826"/>
      <c r="G210" s="1729"/>
      <c r="H210" s="1729"/>
      <c r="I210" s="1826"/>
      <c r="J210" s="1826"/>
      <c r="K210" s="1826"/>
      <c r="L210" s="1729"/>
      <c r="M210" s="1729"/>
      <c r="N210" s="1729"/>
      <c r="O210" s="1729"/>
      <c r="P210" s="1729"/>
      <c r="Q210" s="1729"/>
      <c r="R210" s="1729"/>
      <c r="S210" s="1729"/>
      <c r="T210" s="1729"/>
      <c r="U210" s="1729"/>
      <c r="V210" s="1729"/>
      <c r="W210" s="1729"/>
      <c r="X210" s="1729"/>
      <c r="Y210" s="1729"/>
    </row>
    <row r="211" customFormat="false" ht="12" hidden="false" customHeight="false" outlineLevel="0" collapsed="false">
      <c r="B211" s="1729"/>
      <c r="C211" s="1729"/>
      <c r="D211" s="1729"/>
      <c r="E211" s="1729"/>
      <c r="F211" s="1826"/>
      <c r="G211" s="1729"/>
      <c r="H211" s="1729"/>
      <c r="I211" s="1826"/>
      <c r="J211" s="1826"/>
      <c r="K211" s="1826"/>
      <c r="L211" s="1729"/>
      <c r="M211" s="1729"/>
      <c r="N211" s="1729"/>
      <c r="O211" s="1729"/>
      <c r="P211" s="1729"/>
      <c r="Q211" s="1729"/>
      <c r="R211" s="1729"/>
      <c r="S211" s="1729"/>
      <c r="T211" s="1729"/>
      <c r="U211" s="1729"/>
      <c r="V211" s="1729"/>
      <c r="W211" s="1729"/>
      <c r="X211" s="1729"/>
      <c r="Y211" s="1729"/>
    </row>
    <row r="212" customFormat="false" ht="12" hidden="false" customHeight="false" outlineLevel="0" collapsed="false">
      <c r="B212" s="1729"/>
      <c r="C212" s="1729"/>
      <c r="D212" s="1729"/>
      <c r="E212" s="1729"/>
      <c r="F212" s="1826"/>
      <c r="G212" s="1729"/>
      <c r="H212" s="1729"/>
      <c r="I212" s="1826"/>
      <c r="J212" s="1826"/>
      <c r="K212" s="1826"/>
      <c r="L212" s="1729"/>
      <c r="M212" s="1729"/>
      <c r="N212" s="1729"/>
      <c r="O212" s="1729"/>
      <c r="P212" s="1729"/>
      <c r="Q212" s="1729"/>
      <c r="R212" s="1729"/>
      <c r="S212" s="1729"/>
      <c r="T212" s="1729"/>
      <c r="U212" s="1729"/>
      <c r="V212" s="1729"/>
      <c r="W212" s="1729"/>
      <c r="X212" s="1729"/>
      <c r="Y212" s="1729"/>
    </row>
    <row r="213" customFormat="false" ht="12" hidden="false" customHeight="false" outlineLevel="0" collapsed="false">
      <c r="B213" s="1729"/>
      <c r="C213" s="1729"/>
      <c r="D213" s="1729"/>
      <c r="E213" s="1729"/>
      <c r="F213" s="1826"/>
      <c r="G213" s="1729"/>
      <c r="H213" s="1729"/>
      <c r="I213" s="1826"/>
      <c r="J213" s="1826"/>
      <c r="K213" s="1826"/>
      <c r="L213" s="1729"/>
      <c r="M213" s="1729"/>
      <c r="N213" s="1729"/>
      <c r="O213" s="1729"/>
      <c r="P213" s="1729"/>
      <c r="Q213" s="1729"/>
      <c r="R213" s="1729"/>
      <c r="S213" s="1729"/>
      <c r="T213" s="1729"/>
      <c r="U213" s="1729"/>
      <c r="V213" s="1729"/>
      <c r="W213" s="1729"/>
      <c r="X213" s="1729"/>
      <c r="Y213" s="1729"/>
    </row>
    <row r="214" customFormat="false" ht="12" hidden="false" customHeight="false" outlineLevel="0" collapsed="false">
      <c r="B214" s="1729"/>
      <c r="C214" s="1729"/>
      <c r="D214" s="1729"/>
      <c r="E214" s="1729"/>
      <c r="F214" s="1826"/>
      <c r="G214" s="1729"/>
      <c r="H214" s="1729"/>
      <c r="I214" s="1826"/>
      <c r="J214" s="1826"/>
      <c r="K214" s="1826"/>
      <c r="L214" s="1729"/>
      <c r="M214" s="1729"/>
      <c r="N214" s="1729"/>
      <c r="O214" s="1729"/>
      <c r="P214" s="1729"/>
      <c r="Q214" s="1729"/>
      <c r="R214" s="1729"/>
      <c r="S214" s="1729"/>
      <c r="T214" s="1729"/>
      <c r="U214" s="1729"/>
      <c r="V214" s="1729"/>
      <c r="W214" s="1729"/>
      <c r="X214" s="1729"/>
      <c r="Y214" s="1729"/>
    </row>
    <row r="215" customFormat="false" ht="12" hidden="false" customHeight="false" outlineLevel="0" collapsed="false">
      <c r="B215" s="1729"/>
      <c r="C215" s="1729"/>
      <c r="D215" s="1729"/>
      <c r="E215" s="1729"/>
      <c r="F215" s="1826"/>
      <c r="G215" s="1729"/>
      <c r="H215" s="1729"/>
      <c r="I215" s="1826"/>
      <c r="J215" s="1826"/>
      <c r="K215" s="1826"/>
      <c r="L215" s="1729"/>
      <c r="M215" s="1729"/>
      <c r="N215" s="1729"/>
      <c r="O215" s="1729"/>
      <c r="P215" s="1729"/>
      <c r="Q215" s="1729"/>
      <c r="R215" s="1729"/>
      <c r="S215" s="1729"/>
      <c r="T215" s="1729"/>
      <c r="U215" s="1729"/>
      <c r="V215" s="1729"/>
      <c r="W215" s="1729"/>
      <c r="X215" s="1729"/>
      <c r="Y215" s="1729"/>
    </row>
    <row r="216" customFormat="false" ht="12" hidden="false" customHeight="false" outlineLevel="0" collapsed="false">
      <c r="B216" s="1729"/>
      <c r="C216" s="1729"/>
      <c r="D216" s="1729"/>
      <c r="E216" s="1729"/>
      <c r="F216" s="1826"/>
      <c r="G216" s="1729"/>
      <c r="H216" s="1729"/>
      <c r="I216" s="1826"/>
      <c r="J216" s="1826"/>
      <c r="K216" s="1826"/>
      <c r="L216" s="1729"/>
      <c r="M216" s="1729"/>
      <c r="N216" s="1729"/>
      <c r="O216" s="1729"/>
      <c r="P216" s="1729"/>
      <c r="Q216" s="1729"/>
      <c r="R216" s="1729"/>
      <c r="S216" s="1729"/>
      <c r="T216" s="1729"/>
      <c r="U216" s="1729"/>
      <c r="V216" s="1729"/>
      <c r="W216" s="1729"/>
      <c r="X216" s="1729"/>
      <c r="Y216" s="1729"/>
    </row>
    <row r="217" customFormat="false" ht="12" hidden="false" customHeight="false" outlineLevel="0" collapsed="false">
      <c r="B217" s="1729"/>
      <c r="C217" s="1729"/>
      <c r="D217" s="1729"/>
      <c r="E217" s="1729"/>
      <c r="F217" s="1826"/>
      <c r="G217" s="1729"/>
      <c r="H217" s="1729"/>
      <c r="I217" s="1826"/>
      <c r="J217" s="1826"/>
      <c r="K217" s="1826"/>
      <c r="L217" s="1729"/>
      <c r="M217" s="1729"/>
      <c r="N217" s="1729"/>
      <c r="O217" s="1729"/>
      <c r="P217" s="1729"/>
      <c r="Q217" s="1729"/>
      <c r="R217" s="1729"/>
      <c r="S217" s="1729"/>
      <c r="T217" s="1729"/>
      <c r="U217" s="1729"/>
      <c r="V217" s="1729"/>
      <c r="W217" s="1729"/>
      <c r="X217" s="1729"/>
      <c r="Y217" s="1729"/>
    </row>
    <row r="218" customFormat="false" ht="12" hidden="false" customHeight="false" outlineLevel="0" collapsed="false">
      <c r="B218" s="1729"/>
      <c r="C218" s="1729"/>
      <c r="D218" s="1729"/>
      <c r="E218" s="1729"/>
      <c r="F218" s="1826"/>
      <c r="G218" s="1729"/>
      <c r="H218" s="1729"/>
      <c r="I218" s="1826"/>
      <c r="J218" s="1826"/>
      <c r="K218" s="1826"/>
      <c r="L218" s="1729"/>
      <c r="M218" s="1729"/>
      <c r="N218" s="1729"/>
      <c r="O218" s="1729"/>
      <c r="P218" s="1729"/>
      <c r="Q218" s="1729"/>
      <c r="R218" s="1729"/>
      <c r="S218" s="1729"/>
      <c r="T218" s="1729"/>
      <c r="U218" s="1729"/>
      <c r="V218" s="1729"/>
      <c r="W218" s="1729"/>
      <c r="X218" s="1729"/>
      <c r="Y218" s="1729"/>
    </row>
    <row r="219" customFormat="false" ht="12" hidden="false" customHeight="false" outlineLevel="0" collapsed="false">
      <c r="B219" s="1729"/>
      <c r="C219" s="1729"/>
      <c r="D219" s="1729"/>
      <c r="E219" s="1729"/>
      <c r="F219" s="1826"/>
      <c r="G219" s="1729"/>
      <c r="H219" s="1729"/>
      <c r="I219" s="1826"/>
      <c r="J219" s="1826"/>
      <c r="K219" s="1826"/>
      <c r="L219" s="1729"/>
      <c r="M219" s="1729"/>
      <c r="N219" s="1729"/>
      <c r="O219" s="1729"/>
      <c r="P219" s="1729"/>
      <c r="Q219" s="1729"/>
      <c r="R219" s="1729"/>
      <c r="S219" s="1729"/>
      <c r="T219" s="1729"/>
      <c r="U219" s="1729"/>
      <c r="V219" s="1729"/>
      <c r="W219" s="1729"/>
      <c r="X219" s="1729"/>
      <c r="Y219" s="1729"/>
    </row>
    <row r="220" customFormat="false" ht="12" hidden="false" customHeight="false" outlineLevel="0" collapsed="false">
      <c r="B220" s="1729"/>
      <c r="C220" s="1729"/>
      <c r="D220" s="1729"/>
      <c r="E220" s="1729"/>
      <c r="F220" s="1826"/>
      <c r="G220" s="1729"/>
      <c r="H220" s="1729"/>
      <c r="I220" s="1826"/>
      <c r="J220" s="1826"/>
      <c r="K220" s="1826"/>
      <c r="L220" s="1729"/>
      <c r="M220" s="1729"/>
      <c r="N220" s="1729"/>
      <c r="O220" s="1729"/>
      <c r="P220" s="1729"/>
      <c r="Q220" s="1729"/>
      <c r="R220" s="1729"/>
      <c r="S220" s="1729"/>
      <c r="T220" s="1729"/>
      <c r="U220" s="1729"/>
      <c r="V220" s="1729"/>
      <c r="W220" s="1729"/>
      <c r="X220" s="1729"/>
      <c r="Y220" s="1729"/>
    </row>
    <row r="221" customFormat="false" ht="12" hidden="false" customHeight="false" outlineLevel="0" collapsed="false">
      <c r="B221" s="1729"/>
      <c r="C221" s="1729"/>
      <c r="D221" s="1729"/>
      <c r="E221" s="1729"/>
      <c r="F221" s="1826"/>
      <c r="G221" s="1729"/>
      <c r="H221" s="1729"/>
      <c r="I221" s="1826"/>
      <c r="J221" s="1826"/>
      <c r="K221" s="1826"/>
      <c r="L221" s="1729"/>
      <c r="M221" s="1729"/>
      <c r="N221" s="1729"/>
      <c r="O221" s="1729"/>
      <c r="P221" s="1729"/>
      <c r="Q221" s="1729"/>
      <c r="R221" s="1729"/>
      <c r="S221" s="1729"/>
      <c r="T221" s="1729"/>
      <c r="U221" s="1729"/>
      <c r="V221" s="1729"/>
      <c r="W221" s="1729"/>
      <c r="X221" s="1729"/>
      <c r="Y221" s="1729"/>
    </row>
    <row r="222" customFormat="false" ht="12" hidden="false" customHeight="false" outlineLevel="0" collapsed="false">
      <c r="B222" s="1729"/>
      <c r="C222" s="1729"/>
      <c r="D222" s="1729"/>
      <c r="E222" s="1729"/>
      <c r="F222" s="1826"/>
      <c r="G222" s="1729"/>
      <c r="H222" s="1729"/>
      <c r="I222" s="1826"/>
      <c r="J222" s="1826"/>
      <c r="K222" s="1826"/>
      <c r="L222" s="1729"/>
      <c r="M222" s="1729"/>
      <c r="N222" s="1729"/>
      <c r="O222" s="1729"/>
      <c r="P222" s="1729"/>
      <c r="Q222" s="1729"/>
      <c r="R222" s="1729"/>
      <c r="S222" s="1729"/>
      <c r="T222" s="1729"/>
      <c r="U222" s="1729"/>
      <c r="V222" s="1729"/>
      <c r="W222" s="1729"/>
      <c r="X222" s="1729"/>
      <c r="Y222" s="1729"/>
    </row>
    <row r="223" customFormat="false" ht="12" hidden="false" customHeight="false" outlineLevel="0" collapsed="false">
      <c r="B223" s="1729"/>
      <c r="C223" s="1729"/>
      <c r="D223" s="1729"/>
      <c r="E223" s="1729"/>
      <c r="F223" s="1826"/>
      <c r="G223" s="1729"/>
      <c r="H223" s="1729"/>
      <c r="I223" s="1826"/>
      <c r="J223" s="1826"/>
      <c r="K223" s="1826"/>
      <c r="L223" s="1729"/>
      <c r="M223" s="1729"/>
      <c r="N223" s="1729"/>
      <c r="O223" s="1729"/>
      <c r="P223" s="1729"/>
      <c r="Q223" s="1729"/>
      <c r="R223" s="1729"/>
      <c r="S223" s="1729"/>
      <c r="T223" s="1729"/>
      <c r="U223" s="1729"/>
      <c r="V223" s="1729"/>
      <c r="W223" s="1729"/>
      <c r="X223" s="1729"/>
      <c r="Y223" s="1729"/>
    </row>
    <row r="224" customFormat="false" ht="12" hidden="false" customHeight="false" outlineLevel="0" collapsed="false">
      <c r="B224" s="1729"/>
      <c r="C224" s="1729"/>
      <c r="D224" s="1729"/>
      <c r="E224" s="1729"/>
      <c r="F224" s="1826"/>
      <c r="G224" s="1729"/>
      <c r="H224" s="1729"/>
      <c r="I224" s="1826"/>
      <c r="J224" s="1826"/>
      <c r="K224" s="1826"/>
      <c r="L224" s="1729"/>
      <c r="M224" s="1729"/>
      <c r="N224" s="1729"/>
      <c r="O224" s="1729"/>
      <c r="P224" s="1729"/>
      <c r="Q224" s="1729"/>
      <c r="R224" s="1729"/>
      <c r="S224" s="1729"/>
      <c r="T224" s="1729"/>
      <c r="U224" s="1729"/>
      <c r="V224" s="1729"/>
      <c r="W224" s="1729"/>
      <c r="X224" s="1729"/>
      <c r="Y224" s="1729"/>
    </row>
    <row r="225" customFormat="false" ht="12" hidden="false" customHeight="false" outlineLevel="0" collapsed="false">
      <c r="B225" s="1729"/>
      <c r="C225" s="1729"/>
      <c r="D225" s="1729"/>
      <c r="E225" s="1729"/>
      <c r="F225" s="1826"/>
      <c r="G225" s="1729"/>
      <c r="H225" s="1729"/>
      <c r="I225" s="1826"/>
      <c r="J225" s="1826"/>
      <c r="K225" s="1826"/>
      <c r="L225" s="1729"/>
      <c r="M225" s="1729"/>
      <c r="N225" s="1729"/>
      <c r="O225" s="1729"/>
      <c r="P225" s="1729"/>
      <c r="Q225" s="1729"/>
      <c r="R225" s="1729"/>
      <c r="S225" s="1729"/>
      <c r="T225" s="1729"/>
      <c r="U225" s="1729"/>
      <c r="V225" s="1729"/>
      <c r="W225" s="1729"/>
      <c r="X225" s="1729"/>
      <c r="Y225" s="1729"/>
    </row>
    <row r="226" customFormat="false" ht="12" hidden="false" customHeight="false" outlineLevel="0" collapsed="false">
      <c r="B226" s="1729"/>
      <c r="C226" s="1729"/>
      <c r="D226" s="1729"/>
      <c r="E226" s="1729"/>
      <c r="F226" s="1826"/>
      <c r="G226" s="1729"/>
      <c r="H226" s="1729"/>
      <c r="I226" s="1826"/>
      <c r="J226" s="1826"/>
      <c r="K226" s="1826"/>
      <c r="L226" s="1729"/>
      <c r="M226" s="1729"/>
      <c r="N226" s="1729"/>
      <c r="O226" s="1729"/>
      <c r="P226" s="1729"/>
      <c r="Q226" s="1729"/>
      <c r="R226" s="1729"/>
      <c r="S226" s="1729"/>
      <c r="T226" s="1729"/>
      <c r="U226" s="1729"/>
      <c r="V226" s="1729"/>
      <c r="W226" s="1729"/>
      <c r="X226" s="1729"/>
      <c r="Y226" s="1729"/>
    </row>
    <row r="227" customFormat="false" ht="12" hidden="false" customHeight="false" outlineLevel="0" collapsed="false">
      <c r="B227" s="1729"/>
      <c r="C227" s="1729"/>
      <c r="D227" s="1729"/>
      <c r="E227" s="1729"/>
      <c r="F227" s="1826"/>
      <c r="G227" s="1729"/>
      <c r="H227" s="1729"/>
      <c r="I227" s="1826"/>
      <c r="J227" s="1826"/>
      <c r="K227" s="1826"/>
      <c r="L227" s="1729"/>
      <c r="M227" s="1729"/>
      <c r="N227" s="1729"/>
      <c r="O227" s="1729"/>
      <c r="P227" s="1729"/>
      <c r="Q227" s="1729"/>
      <c r="R227" s="1729"/>
      <c r="S227" s="1729"/>
      <c r="T227" s="1729"/>
      <c r="U227" s="1729"/>
      <c r="V227" s="1729"/>
      <c r="W227" s="1729"/>
      <c r="X227" s="1729"/>
      <c r="Y227" s="1729"/>
    </row>
    <row r="228" customFormat="false" ht="12" hidden="false" customHeight="false" outlineLevel="0" collapsed="false">
      <c r="B228" s="1729"/>
      <c r="C228" s="1729"/>
      <c r="D228" s="1729"/>
      <c r="E228" s="1729"/>
      <c r="F228" s="1826"/>
      <c r="G228" s="1729"/>
      <c r="H228" s="1729"/>
      <c r="I228" s="1826"/>
      <c r="J228" s="1826"/>
      <c r="K228" s="1826"/>
      <c r="L228" s="1729"/>
      <c r="M228" s="1729"/>
      <c r="N228" s="1729"/>
      <c r="O228" s="1729"/>
      <c r="P228" s="1729"/>
      <c r="Q228" s="1729"/>
      <c r="R228" s="1729"/>
      <c r="S228" s="1729"/>
      <c r="T228" s="1729"/>
      <c r="U228" s="1729"/>
      <c r="V228" s="1729"/>
      <c r="W228" s="1729"/>
      <c r="X228" s="1729"/>
      <c r="Y228" s="1729"/>
    </row>
    <row r="229" customFormat="false" ht="12" hidden="false" customHeight="false" outlineLevel="0" collapsed="false">
      <c r="B229" s="1729"/>
      <c r="C229" s="1729"/>
      <c r="D229" s="1729"/>
      <c r="E229" s="1729"/>
      <c r="F229" s="1826"/>
      <c r="G229" s="1729"/>
      <c r="H229" s="1729"/>
      <c r="I229" s="1826"/>
      <c r="J229" s="1826"/>
      <c r="K229" s="1826"/>
      <c r="L229" s="1729"/>
      <c r="M229" s="1729"/>
      <c r="N229" s="1729"/>
      <c r="O229" s="1729"/>
      <c r="P229" s="1729"/>
      <c r="Q229" s="1729"/>
      <c r="R229" s="1729"/>
      <c r="S229" s="1729"/>
      <c r="T229" s="1729"/>
      <c r="U229" s="1729"/>
      <c r="V229" s="1729"/>
      <c r="W229" s="1729"/>
      <c r="X229" s="1729"/>
      <c r="Y229" s="1729"/>
    </row>
    <row r="230" customFormat="false" ht="12" hidden="false" customHeight="false" outlineLevel="0" collapsed="false">
      <c r="B230" s="1729"/>
      <c r="C230" s="1729"/>
      <c r="D230" s="1729"/>
      <c r="E230" s="1729"/>
      <c r="F230" s="1826"/>
      <c r="G230" s="1729"/>
      <c r="H230" s="1729"/>
      <c r="I230" s="1826"/>
      <c r="J230" s="1826"/>
      <c r="K230" s="1826"/>
      <c r="L230" s="1729"/>
      <c r="M230" s="1729"/>
      <c r="N230" s="1729"/>
      <c r="O230" s="1729"/>
      <c r="P230" s="1729"/>
      <c r="Q230" s="1729"/>
      <c r="R230" s="1729"/>
      <c r="S230" s="1729"/>
      <c r="T230" s="1729"/>
      <c r="U230" s="1729"/>
      <c r="V230" s="1729"/>
      <c r="W230" s="1729"/>
      <c r="X230" s="1729"/>
      <c r="Y230" s="1729"/>
    </row>
    <row r="231" customFormat="false" ht="12" hidden="false" customHeight="false" outlineLevel="0" collapsed="false">
      <c r="B231" s="1729"/>
      <c r="C231" s="1729"/>
      <c r="D231" s="1729"/>
      <c r="E231" s="1729"/>
      <c r="F231" s="1826"/>
      <c r="G231" s="1729"/>
      <c r="H231" s="1729"/>
      <c r="I231" s="1826"/>
      <c r="J231" s="1826"/>
      <c r="K231" s="1826"/>
      <c r="L231" s="1729"/>
      <c r="M231" s="1729"/>
      <c r="N231" s="1729"/>
      <c r="O231" s="1729"/>
      <c r="P231" s="1729"/>
      <c r="Q231" s="1729"/>
      <c r="R231" s="1729"/>
      <c r="S231" s="1729"/>
      <c r="T231" s="1729"/>
      <c r="U231" s="1729"/>
      <c r="V231" s="1729"/>
      <c r="W231" s="1729"/>
      <c r="X231" s="1729"/>
      <c r="Y231" s="1729"/>
    </row>
    <row r="232" customFormat="false" ht="12" hidden="false" customHeight="false" outlineLevel="0" collapsed="false">
      <c r="B232" s="1729"/>
      <c r="C232" s="1729"/>
      <c r="D232" s="1729"/>
      <c r="E232" s="1729"/>
      <c r="F232" s="1826"/>
      <c r="G232" s="1729"/>
      <c r="H232" s="1729"/>
      <c r="I232" s="1826"/>
      <c r="J232" s="1826"/>
      <c r="K232" s="1826"/>
      <c r="L232" s="1729"/>
      <c r="M232" s="1729"/>
      <c r="N232" s="1729"/>
      <c r="O232" s="1729"/>
      <c r="P232" s="1729"/>
      <c r="Q232" s="1729"/>
      <c r="R232" s="1729"/>
      <c r="S232" s="1729"/>
      <c r="T232" s="1729"/>
      <c r="U232" s="1729"/>
      <c r="V232" s="1729"/>
      <c r="W232" s="1729"/>
      <c r="X232" s="1729"/>
      <c r="Y232" s="1729"/>
    </row>
    <row r="233" customFormat="false" ht="12" hidden="false" customHeight="false" outlineLevel="0" collapsed="false">
      <c r="B233" s="1729"/>
      <c r="C233" s="1729"/>
      <c r="D233" s="1729"/>
      <c r="E233" s="1729"/>
      <c r="F233" s="1826"/>
      <c r="G233" s="1729"/>
      <c r="H233" s="1729"/>
      <c r="I233" s="1826"/>
      <c r="J233" s="1826"/>
      <c r="K233" s="1826"/>
      <c r="L233" s="1729"/>
      <c r="M233" s="1729"/>
      <c r="N233" s="1729"/>
      <c r="O233" s="1729"/>
      <c r="P233" s="1729"/>
      <c r="Q233" s="1729"/>
      <c r="R233" s="1729"/>
      <c r="S233" s="1729"/>
      <c r="T233" s="1729"/>
      <c r="U233" s="1729"/>
      <c r="V233" s="1729"/>
      <c r="W233" s="1729"/>
      <c r="X233" s="1729"/>
      <c r="Y233" s="1729"/>
    </row>
    <row r="234" customFormat="false" ht="12" hidden="false" customHeight="false" outlineLevel="0" collapsed="false">
      <c r="B234" s="1729"/>
      <c r="C234" s="1729"/>
      <c r="D234" s="1729"/>
      <c r="E234" s="1729"/>
      <c r="F234" s="1826"/>
      <c r="G234" s="1729"/>
      <c r="H234" s="1729"/>
      <c r="I234" s="1826"/>
      <c r="J234" s="1826"/>
      <c r="K234" s="1826"/>
      <c r="L234" s="1729"/>
      <c r="M234" s="1729"/>
      <c r="N234" s="1729"/>
      <c r="O234" s="1729"/>
      <c r="P234" s="1729"/>
      <c r="Q234" s="1729"/>
      <c r="R234" s="1729"/>
      <c r="S234" s="1729"/>
      <c r="T234" s="1729"/>
      <c r="U234" s="1729"/>
      <c r="V234" s="1729"/>
      <c r="W234" s="1729"/>
      <c r="X234" s="1729"/>
      <c r="Y234" s="1729"/>
    </row>
    <row r="235" customFormat="false" ht="12" hidden="false" customHeight="false" outlineLevel="0" collapsed="false">
      <c r="B235" s="1729"/>
      <c r="C235" s="1729"/>
      <c r="D235" s="1729"/>
      <c r="E235" s="1729"/>
      <c r="F235" s="1826"/>
      <c r="G235" s="1729"/>
      <c r="H235" s="1729"/>
      <c r="I235" s="1826"/>
      <c r="J235" s="1826"/>
      <c r="K235" s="1826"/>
      <c r="L235" s="1729"/>
      <c r="M235" s="1729"/>
      <c r="N235" s="1729"/>
      <c r="O235" s="1729"/>
      <c r="P235" s="1729"/>
      <c r="Q235" s="1729"/>
      <c r="R235" s="1729"/>
      <c r="S235" s="1729"/>
      <c r="T235" s="1729"/>
      <c r="U235" s="1729"/>
      <c r="V235" s="1729"/>
      <c r="W235" s="1729"/>
      <c r="X235" s="1729"/>
      <c r="Y235" s="1729"/>
    </row>
    <row r="236" customFormat="false" ht="12" hidden="false" customHeight="false" outlineLevel="0" collapsed="false">
      <c r="B236" s="1729"/>
      <c r="C236" s="1729"/>
      <c r="D236" s="1729"/>
      <c r="E236" s="1729"/>
      <c r="F236" s="1826"/>
      <c r="G236" s="1729"/>
      <c r="H236" s="1729"/>
      <c r="I236" s="1826"/>
      <c r="J236" s="1826"/>
      <c r="K236" s="1826"/>
      <c r="L236" s="1729"/>
      <c r="M236" s="1729"/>
      <c r="N236" s="1729"/>
      <c r="O236" s="1729"/>
      <c r="P236" s="1729"/>
      <c r="Q236" s="1729"/>
      <c r="R236" s="1729"/>
      <c r="S236" s="1729"/>
      <c r="T236" s="1729"/>
      <c r="U236" s="1729"/>
      <c r="V236" s="1729"/>
      <c r="W236" s="1729"/>
      <c r="X236" s="1729"/>
      <c r="Y236" s="1729"/>
    </row>
    <row r="237" customFormat="false" ht="12" hidden="false" customHeight="false" outlineLevel="0" collapsed="false">
      <c r="B237" s="1729"/>
      <c r="C237" s="1729"/>
      <c r="D237" s="1729"/>
      <c r="E237" s="1729"/>
      <c r="F237" s="1826"/>
      <c r="G237" s="1729"/>
      <c r="H237" s="1729"/>
      <c r="I237" s="1826"/>
      <c r="J237" s="1826"/>
      <c r="K237" s="1826"/>
      <c r="L237" s="1729"/>
      <c r="M237" s="1729"/>
      <c r="N237" s="1729"/>
      <c r="O237" s="1729"/>
      <c r="P237" s="1729"/>
      <c r="Q237" s="1729"/>
      <c r="R237" s="1729"/>
      <c r="S237" s="1729"/>
      <c r="T237" s="1729"/>
      <c r="U237" s="1729"/>
      <c r="V237" s="1729"/>
      <c r="W237" s="1729"/>
      <c r="X237" s="1729"/>
      <c r="Y237" s="1729"/>
    </row>
    <row r="238" customFormat="false" ht="12" hidden="false" customHeight="false" outlineLevel="0" collapsed="false">
      <c r="B238" s="1729"/>
      <c r="C238" s="1729"/>
      <c r="D238" s="1729"/>
      <c r="E238" s="1729"/>
      <c r="F238" s="1826"/>
      <c r="G238" s="1729"/>
      <c r="H238" s="1729"/>
      <c r="I238" s="1826"/>
      <c r="J238" s="1826"/>
      <c r="K238" s="1826"/>
      <c r="L238" s="1729"/>
      <c r="M238" s="1729"/>
      <c r="N238" s="1729"/>
      <c r="O238" s="1729"/>
      <c r="P238" s="1729"/>
      <c r="Q238" s="1729"/>
      <c r="R238" s="1729"/>
      <c r="S238" s="1729"/>
      <c r="T238" s="1729"/>
      <c r="U238" s="1729"/>
      <c r="V238" s="1729"/>
      <c r="W238" s="1729"/>
      <c r="X238" s="1729"/>
      <c r="Y238" s="1729"/>
    </row>
    <row r="239" customFormat="false" ht="12" hidden="false" customHeight="false" outlineLevel="0" collapsed="false">
      <c r="B239" s="1729"/>
      <c r="C239" s="1729"/>
      <c r="D239" s="1729"/>
      <c r="E239" s="1729"/>
      <c r="F239" s="1826"/>
      <c r="G239" s="1729"/>
      <c r="H239" s="1729"/>
      <c r="I239" s="1826"/>
      <c r="J239" s="1826"/>
      <c r="K239" s="1826"/>
      <c r="L239" s="1729"/>
      <c r="M239" s="1729"/>
      <c r="N239" s="1729"/>
      <c r="O239" s="1729"/>
      <c r="P239" s="1729"/>
      <c r="Q239" s="1729"/>
      <c r="R239" s="1729"/>
      <c r="S239" s="1729"/>
      <c r="T239" s="1729"/>
      <c r="U239" s="1729"/>
      <c r="V239" s="1729"/>
      <c r="W239" s="1729"/>
      <c r="X239" s="1729"/>
      <c r="Y239" s="1729"/>
    </row>
    <row r="240" customFormat="false" ht="12" hidden="false" customHeight="false" outlineLevel="0" collapsed="false">
      <c r="B240" s="1729"/>
      <c r="C240" s="1729"/>
      <c r="D240" s="1729"/>
      <c r="E240" s="1729"/>
      <c r="F240" s="1826"/>
      <c r="G240" s="1729"/>
      <c r="H240" s="1729"/>
      <c r="I240" s="1826"/>
      <c r="J240" s="1826"/>
      <c r="K240" s="1826"/>
      <c r="L240" s="1729"/>
      <c r="M240" s="1729"/>
      <c r="N240" s="1729"/>
      <c r="O240" s="1729"/>
      <c r="P240" s="1729"/>
      <c r="Q240" s="1729"/>
      <c r="R240" s="1729"/>
      <c r="S240" s="1729"/>
      <c r="T240" s="1729"/>
      <c r="U240" s="1729"/>
      <c r="V240" s="1729"/>
      <c r="W240" s="1729"/>
      <c r="X240" s="1729"/>
      <c r="Y240" s="1729"/>
    </row>
    <row r="241" customFormat="false" ht="12" hidden="false" customHeight="false" outlineLevel="0" collapsed="false">
      <c r="B241" s="1729"/>
      <c r="C241" s="1729"/>
      <c r="D241" s="1729"/>
      <c r="E241" s="1729"/>
      <c r="F241" s="1826"/>
      <c r="G241" s="1729"/>
      <c r="H241" s="1729"/>
      <c r="I241" s="1826"/>
      <c r="J241" s="1826"/>
      <c r="K241" s="1826"/>
      <c r="L241" s="1729"/>
      <c r="M241" s="1729"/>
      <c r="N241" s="1729"/>
      <c r="O241" s="1729"/>
      <c r="P241" s="1729"/>
      <c r="Q241" s="1729"/>
      <c r="R241" s="1729"/>
      <c r="S241" s="1729"/>
      <c r="T241" s="1729"/>
      <c r="U241" s="1729"/>
      <c r="V241" s="1729"/>
      <c r="W241" s="1729"/>
      <c r="X241" s="1729"/>
      <c r="Y241" s="1729"/>
    </row>
    <row r="242" customFormat="false" ht="12" hidden="false" customHeight="false" outlineLevel="0" collapsed="false">
      <c r="B242" s="1729"/>
      <c r="C242" s="1729"/>
      <c r="D242" s="1729"/>
      <c r="E242" s="1729"/>
      <c r="F242" s="1826"/>
      <c r="G242" s="1729"/>
      <c r="H242" s="1729"/>
      <c r="I242" s="1826"/>
      <c r="J242" s="1826"/>
      <c r="K242" s="1826"/>
      <c r="L242" s="1729"/>
      <c r="M242" s="1729"/>
      <c r="N242" s="1729"/>
      <c r="O242" s="1729"/>
      <c r="P242" s="1729"/>
      <c r="Q242" s="1729"/>
      <c r="R242" s="1729"/>
      <c r="S242" s="1729"/>
      <c r="T242" s="1729"/>
      <c r="U242" s="1729"/>
      <c r="V242" s="1729"/>
      <c r="W242" s="1729"/>
      <c r="X242" s="1729"/>
      <c r="Y242" s="1729"/>
    </row>
    <row r="243" customFormat="false" ht="12" hidden="false" customHeight="false" outlineLevel="0" collapsed="false">
      <c r="B243" s="1729"/>
      <c r="C243" s="1729"/>
      <c r="D243" s="1729"/>
      <c r="E243" s="1729"/>
      <c r="F243" s="1826"/>
      <c r="G243" s="1729"/>
      <c r="H243" s="1729"/>
      <c r="I243" s="1826"/>
      <c r="J243" s="1826"/>
      <c r="K243" s="1826"/>
      <c r="L243" s="1729"/>
      <c r="M243" s="1729"/>
      <c r="N243" s="1729"/>
      <c r="O243" s="1729"/>
      <c r="P243" s="1729"/>
      <c r="Q243" s="1729"/>
      <c r="R243" s="1729"/>
      <c r="S243" s="1729"/>
      <c r="T243" s="1729"/>
      <c r="U243" s="1729"/>
      <c r="V243" s="1729"/>
      <c r="W243" s="1729"/>
      <c r="X243" s="1729"/>
      <c r="Y243" s="1729"/>
    </row>
    <row r="244" customFormat="false" ht="12" hidden="false" customHeight="false" outlineLevel="0" collapsed="false">
      <c r="B244" s="1729"/>
      <c r="C244" s="1729"/>
      <c r="D244" s="1729"/>
      <c r="E244" s="1729"/>
      <c r="F244" s="1826"/>
      <c r="G244" s="1729"/>
      <c r="H244" s="1729"/>
      <c r="I244" s="1826"/>
      <c r="J244" s="1826"/>
      <c r="K244" s="1826"/>
      <c r="L244" s="1729"/>
      <c r="M244" s="1729"/>
      <c r="N244" s="1729"/>
      <c r="O244" s="1729"/>
      <c r="P244" s="1729"/>
      <c r="Q244" s="1729"/>
      <c r="R244" s="1729"/>
      <c r="S244" s="1729"/>
      <c r="T244" s="1729"/>
      <c r="U244" s="1729"/>
      <c r="V244" s="1729"/>
      <c r="W244" s="1729"/>
      <c r="X244" s="1729"/>
      <c r="Y244" s="1729"/>
    </row>
    <row r="245" customFormat="false" ht="12" hidden="false" customHeight="false" outlineLevel="0" collapsed="false">
      <c r="B245" s="1729"/>
      <c r="C245" s="1729"/>
      <c r="D245" s="1729"/>
      <c r="E245" s="1729"/>
      <c r="F245" s="1826"/>
      <c r="G245" s="1729"/>
      <c r="H245" s="1729"/>
      <c r="I245" s="1826"/>
      <c r="J245" s="1826"/>
      <c r="K245" s="1826"/>
      <c r="L245" s="1729"/>
      <c r="M245" s="1729"/>
      <c r="N245" s="1729"/>
      <c r="O245" s="1729"/>
      <c r="P245" s="1729"/>
      <c r="Q245" s="1729"/>
      <c r="R245" s="1729"/>
      <c r="S245" s="1729"/>
      <c r="T245" s="1729"/>
      <c r="U245" s="1729"/>
      <c r="V245" s="1729"/>
      <c r="W245" s="1729"/>
      <c r="X245" s="1729"/>
      <c r="Y245" s="1729"/>
    </row>
    <row r="246" customFormat="false" ht="12" hidden="false" customHeight="false" outlineLevel="0" collapsed="false">
      <c r="B246" s="1729"/>
      <c r="C246" s="1729"/>
      <c r="D246" s="1729"/>
      <c r="E246" s="1729"/>
      <c r="F246" s="1826"/>
      <c r="G246" s="1729"/>
      <c r="H246" s="1729"/>
      <c r="I246" s="1826"/>
      <c r="J246" s="1826"/>
      <c r="K246" s="1826"/>
      <c r="L246" s="1729"/>
      <c r="M246" s="1729"/>
      <c r="N246" s="1729"/>
      <c r="O246" s="1729"/>
      <c r="P246" s="1729"/>
      <c r="Q246" s="1729"/>
      <c r="R246" s="1729"/>
      <c r="S246" s="1729"/>
      <c r="T246" s="1729"/>
      <c r="U246" s="1729"/>
      <c r="V246" s="1729"/>
      <c r="W246" s="1729"/>
      <c r="X246" s="1729"/>
      <c r="Y246" s="1729"/>
    </row>
    <row r="247" customFormat="false" ht="12" hidden="false" customHeight="false" outlineLevel="0" collapsed="false">
      <c r="B247" s="1729"/>
      <c r="C247" s="1729"/>
      <c r="D247" s="1729"/>
      <c r="E247" s="1729"/>
      <c r="F247" s="1826"/>
      <c r="G247" s="1729"/>
      <c r="H247" s="1729"/>
      <c r="I247" s="1826"/>
      <c r="J247" s="1826"/>
      <c r="K247" s="1826"/>
      <c r="L247" s="1729"/>
      <c r="M247" s="1729"/>
      <c r="N247" s="1729"/>
      <c r="O247" s="1729"/>
      <c r="P247" s="1729"/>
      <c r="Q247" s="1729"/>
      <c r="R247" s="1729"/>
      <c r="S247" s="1729"/>
      <c r="T247" s="1729"/>
      <c r="U247" s="1729"/>
      <c r="V247" s="1729"/>
      <c r="W247" s="1729"/>
      <c r="X247" s="1729"/>
      <c r="Y247" s="1729"/>
    </row>
    <row r="248" customFormat="false" ht="12" hidden="false" customHeight="false" outlineLevel="0" collapsed="false">
      <c r="B248" s="1729"/>
      <c r="C248" s="1729"/>
      <c r="D248" s="1729"/>
      <c r="E248" s="1729"/>
      <c r="F248" s="1826"/>
      <c r="G248" s="1729"/>
      <c r="H248" s="1729"/>
      <c r="I248" s="1826"/>
      <c r="J248" s="1826"/>
      <c r="K248" s="1826"/>
      <c r="L248" s="1729"/>
      <c r="M248" s="1729"/>
      <c r="N248" s="1729"/>
      <c r="O248" s="1729"/>
      <c r="P248" s="1729"/>
      <c r="Q248" s="1729"/>
      <c r="R248" s="1729"/>
      <c r="S248" s="1729"/>
      <c r="T248" s="1729"/>
      <c r="U248" s="1729"/>
      <c r="V248" s="1729"/>
      <c r="W248" s="1729"/>
      <c r="X248" s="1729"/>
      <c r="Y248" s="1729"/>
    </row>
    <row r="249" customFormat="false" ht="12" hidden="false" customHeight="false" outlineLevel="0" collapsed="false">
      <c r="B249" s="1729"/>
      <c r="C249" s="1729"/>
      <c r="D249" s="1729"/>
      <c r="E249" s="1729"/>
      <c r="F249" s="1826"/>
      <c r="G249" s="1729"/>
      <c r="H249" s="1729"/>
      <c r="I249" s="1826"/>
      <c r="J249" s="1826"/>
      <c r="K249" s="1826"/>
      <c r="L249" s="1729"/>
      <c r="M249" s="1729"/>
      <c r="N249" s="1729"/>
      <c r="O249" s="1729"/>
      <c r="P249" s="1729"/>
      <c r="Q249" s="1729"/>
      <c r="R249" s="1729"/>
      <c r="S249" s="1729"/>
      <c r="T249" s="1729"/>
      <c r="U249" s="1729"/>
      <c r="V249" s="1729"/>
      <c r="W249" s="1729"/>
      <c r="X249" s="1729"/>
      <c r="Y249" s="1729"/>
    </row>
    <row r="250" customFormat="false" ht="12" hidden="false" customHeight="false" outlineLevel="0" collapsed="false">
      <c r="B250" s="1729"/>
      <c r="C250" s="1729"/>
      <c r="D250" s="1729"/>
      <c r="E250" s="1729"/>
      <c r="F250" s="1826"/>
      <c r="G250" s="1729"/>
      <c r="H250" s="1729"/>
      <c r="I250" s="1826"/>
      <c r="J250" s="1826"/>
      <c r="K250" s="1826"/>
      <c r="L250" s="1729"/>
      <c r="M250" s="1729"/>
      <c r="N250" s="1729"/>
      <c r="O250" s="1729"/>
      <c r="P250" s="1729"/>
      <c r="Q250" s="1729"/>
      <c r="R250" s="1729"/>
      <c r="S250" s="1729"/>
      <c r="T250" s="1729"/>
      <c r="U250" s="1729"/>
      <c r="V250" s="1729"/>
      <c r="W250" s="1729"/>
      <c r="X250" s="1729"/>
      <c r="Y250" s="1729"/>
    </row>
    <row r="251" customFormat="false" ht="12" hidden="false" customHeight="false" outlineLevel="0" collapsed="false">
      <c r="B251" s="1729"/>
      <c r="C251" s="1729"/>
      <c r="D251" s="1729"/>
      <c r="E251" s="1729"/>
      <c r="F251" s="1826"/>
      <c r="G251" s="1729"/>
      <c r="H251" s="1729"/>
      <c r="I251" s="1826"/>
      <c r="J251" s="1826"/>
      <c r="K251" s="1826"/>
      <c r="L251" s="1729"/>
      <c r="M251" s="1729"/>
      <c r="N251" s="1729"/>
      <c r="O251" s="1729"/>
      <c r="P251" s="1729"/>
      <c r="Q251" s="1729"/>
      <c r="R251" s="1729"/>
      <c r="S251" s="1729"/>
      <c r="T251" s="1729"/>
      <c r="U251" s="1729"/>
      <c r="V251" s="1729"/>
      <c r="W251" s="1729"/>
      <c r="X251" s="1729"/>
      <c r="Y251" s="1729"/>
    </row>
    <row r="252" customFormat="false" ht="12" hidden="false" customHeight="false" outlineLevel="0" collapsed="false">
      <c r="B252" s="1729"/>
      <c r="C252" s="1729"/>
      <c r="D252" s="1729"/>
      <c r="E252" s="1729"/>
      <c r="F252" s="1826"/>
      <c r="G252" s="1729"/>
      <c r="H252" s="1729"/>
      <c r="I252" s="1826"/>
      <c r="J252" s="1826"/>
      <c r="K252" s="1826"/>
      <c r="L252" s="1729"/>
      <c r="M252" s="1729"/>
      <c r="N252" s="1729"/>
      <c r="O252" s="1729"/>
      <c r="P252" s="1729"/>
      <c r="Q252" s="1729"/>
      <c r="R252" s="1729"/>
      <c r="S252" s="1729"/>
      <c r="T252" s="1729"/>
      <c r="U252" s="1729"/>
      <c r="V252" s="1729"/>
      <c r="W252" s="1729"/>
      <c r="X252" s="1729"/>
      <c r="Y252" s="1729"/>
    </row>
    <row r="253" customFormat="false" ht="12" hidden="false" customHeight="false" outlineLevel="0" collapsed="false">
      <c r="B253" s="1729"/>
      <c r="C253" s="1729"/>
      <c r="D253" s="1729"/>
      <c r="E253" s="1729"/>
      <c r="F253" s="1826"/>
      <c r="G253" s="1729"/>
      <c r="H253" s="1729"/>
      <c r="I253" s="1826"/>
      <c r="J253" s="1826"/>
      <c r="K253" s="1826"/>
      <c r="L253" s="1729"/>
      <c r="M253" s="1729"/>
      <c r="N253" s="1729"/>
      <c r="O253" s="1729"/>
      <c r="P253" s="1729"/>
      <c r="Q253" s="1729"/>
      <c r="R253" s="1729"/>
      <c r="S253" s="1729"/>
      <c r="T253" s="1729"/>
      <c r="U253" s="1729"/>
      <c r="V253" s="1729"/>
      <c r="W253" s="1729"/>
      <c r="X253" s="1729"/>
      <c r="Y253" s="1729"/>
    </row>
    <row r="254" customFormat="false" ht="12" hidden="false" customHeight="false" outlineLevel="0" collapsed="false">
      <c r="B254" s="1729"/>
      <c r="C254" s="1729"/>
      <c r="D254" s="1729"/>
      <c r="E254" s="1729"/>
      <c r="F254" s="1826"/>
      <c r="G254" s="1729"/>
      <c r="H254" s="1729"/>
      <c r="I254" s="1826"/>
      <c r="J254" s="1826"/>
      <c r="K254" s="1826"/>
      <c r="L254" s="1729"/>
      <c r="M254" s="1729"/>
      <c r="N254" s="1729"/>
      <c r="O254" s="1729"/>
      <c r="P254" s="1729"/>
      <c r="Q254" s="1729"/>
      <c r="R254" s="1729"/>
      <c r="S254" s="1729"/>
      <c r="T254" s="1729"/>
      <c r="U254" s="1729"/>
      <c r="V254" s="1729"/>
      <c r="W254" s="1729"/>
      <c r="X254" s="1729"/>
      <c r="Y254" s="1729"/>
    </row>
    <row r="255" customFormat="false" ht="12" hidden="false" customHeight="false" outlineLevel="0" collapsed="false">
      <c r="B255" s="1729"/>
      <c r="C255" s="1729"/>
      <c r="D255" s="1729"/>
      <c r="E255" s="1729"/>
      <c r="F255" s="1826"/>
      <c r="G255" s="1729"/>
      <c r="H255" s="1729"/>
      <c r="I255" s="1826"/>
      <c r="J255" s="1826"/>
      <c r="K255" s="1826"/>
      <c r="L255" s="1729"/>
      <c r="M255" s="1729"/>
      <c r="N255" s="1729"/>
      <c r="O255" s="1729"/>
      <c r="P255" s="1729"/>
      <c r="Q255" s="1729"/>
      <c r="R255" s="1729"/>
      <c r="S255" s="1729"/>
      <c r="T255" s="1729"/>
      <c r="U255" s="1729"/>
      <c r="V255" s="1729"/>
      <c r="W255" s="1729"/>
      <c r="X255" s="1729"/>
      <c r="Y255" s="1729"/>
    </row>
    <row r="256" customFormat="false" ht="12" hidden="false" customHeight="false" outlineLevel="0" collapsed="false">
      <c r="B256" s="1729"/>
      <c r="C256" s="1729"/>
      <c r="D256" s="1729"/>
      <c r="E256" s="1729"/>
      <c r="F256" s="1826"/>
      <c r="G256" s="1729"/>
      <c r="H256" s="1729"/>
      <c r="I256" s="1826"/>
      <c r="J256" s="1826"/>
      <c r="K256" s="1826"/>
      <c r="L256" s="1729"/>
      <c r="M256" s="1729"/>
      <c r="N256" s="1729"/>
      <c r="O256" s="1729"/>
      <c r="P256" s="1729"/>
      <c r="Q256" s="1729"/>
      <c r="R256" s="1729"/>
      <c r="S256" s="1729"/>
      <c r="T256" s="1729"/>
      <c r="U256" s="1729"/>
      <c r="V256" s="1729"/>
      <c r="W256" s="1729"/>
      <c r="X256" s="1729"/>
      <c r="Y256" s="1729"/>
    </row>
    <row r="257" customFormat="false" ht="12" hidden="false" customHeight="false" outlineLevel="0" collapsed="false">
      <c r="B257" s="1729"/>
      <c r="C257" s="1729"/>
      <c r="D257" s="1729"/>
      <c r="E257" s="1729"/>
      <c r="F257" s="1826"/>
      <c r="G257" s="1729"/>
      <c r="H257" s="1729"/>
      <c r="I257" s="1826"/>
      <c r="J257" s="1826"/>
      <c r="K257" s="1826"/>
      <c r="L257" s="1729"/>
      <c r="M257" s="1729"/>
      <c r="N257" s="1729"/>
      <c r="O257" s="1729"/>
      <c r="P257" s="1729"/>
      <c r="Q257" s="1729"/>
      <c r="R257" s="1729"/>
      <c r="S257" s="1729"/>
      <c r="T257" s="1729"/>
      <c r="U257" s="1729"/>
      <c r="V257" s="1729"/>
      <c r="W257" s="1729"/>
      <c r="X257" s="1729"/>
      <c r="Y257" s="1729"/>
    </row>
    <row r="258" customFormat="false" ht="12" hidden="false" customHeight="false" outlineLevel="0" collapsed="false">
      <c r="B258" s="1729"/>
      <c r="C258" s="1729"/>
      <c r="D258" s="1729"/>
      <c r="E258" s="1729"/>
      <c r="F258" s="1826"/>
      <c r="G258" s="1729"/>
      <c r="H258" s="1729"/>
      <c r="I258" s="1826"/>
      <c r="J258" s="1826"/>
      <c r="K258" s="1826"/>
      <c r="L258" s="1729"/>
      <c r="M258" s="1729"/>
      <c r="N258" s="1729"/>
      <c r="O258" s="1729"/>
      <c r="P258" s="1729"/>
      <c r="Q258" s="1729"/>
      <c r="R258" s="1729"/>
      <c r="S258" s="1729"/>
      <c r="T258" s="1729"/>
      <c r="U258" s="1729"/>
      <c r="V258" s="1729"/>
      <c r="W258" s="1729"/>
      <c r="X258" s="1729"/>
      <c r="Y258" s="1729"/>
    </row>
    <row r="259" customFormat="false" ht="12" hidden="false" customHeight="false" outlineLevel="0" collapsed="false">
      <c r="B259" s="1729"/>
      <c r="C259" s="1729"/>
      <c r="D259" s="1729"/>
      <c r="E259" s="1729"/>
      <c r="F259" s="1826"/>
      <c r="G259" s="1729"/>
      <c r="H259" s="1729"/>
      <c r="I259" s="1826"/>
      <c r="J259" s="1826"/>
      <c r="K259" s="1826"/>
      <c r="L259" s="1729"/>
      <c r="M259" s="1729"/>
      <c r="N259" s="1729"/>
      <c r="O259" s="1729"/>
      <c r="P259" s="1729"/>
      <c r="Q259" s="1729"/>
      <c r="R259" s="1729"/>
      <c r="S259" s="1729"/>
      <c r="T259" s="1729"/>
      <c r="U259" s="1729"/>
      <c r="V259" s="1729"/>
      <c r="W259" s="1729"/>
      <c r="X259" s="1729"/>
      <c r="Y259" s="1729"/>
    </row>
    <row r="260" customFormat="false" ht="12" hidden="false" customHeight="false" outlineLevel="0" collapsed="false">
      <c r="B260" s="1729"/>
      <c r="C260" s="1729"/>
      <c r="D260" s="1729"/>
      <c r="E260" s="1729"/>
      <c r="F260" s="1826"/>
      <c r="G260" s="1729"/>
      <c r="H260" s="1729"/>
      <c r="I260" s="1826"/>
      <c r="J260" s="1826"/>
      <c r="K260" s="1826"/>
      <c r="L260" s="1729"/>
      <c r="M260" s="1729"/>
      <c r="N260" s="1729"/>
      <c r="O260" s="1729"/>
      <c r="P260" s="1729"/>
      <c r="Q260" s="1729"/>
      <c r="R260" s="1729"/>
      <c r="S260" s="1729"/>
      <c r="T260" s="1729"/>
      <c r="U260" s="1729"/>
      <c r="V260" s="1729"/>
      <c r="W260" s="1729"/>
      <c r="X260" s="1729"/>
      <c r="Y260" s="1729"/>
    </row>
    <row r="261" customFormat="false" ht="12" hidden="false" customHeight="false" outlineLevel="0" collapsed="false">
      <c r="B261" s="1729"/>
      <c r="C261" s="1729"/>
      <c r="D261" s="1729"/>
      <c r="E261" s="1729"/>
      <c r="F261" s="1826"/>
      <c r="G261" s="1729"/>
      <c r="H261" s="1729"/>
      <c r="I261" s="1826"/>
      <c r="J261" s="1826"/>
      <c r="K261" s="1826"/>
      <c r="L261" s="1729"/>
      <c r="M261" s="1729"/>
      <c r="N261" s="1729"/>
      <c r="O261" s="1729"/>
      <c r="P261" s="1729"/>
      <c r="Q261" s="1729"/>
      <c r="R261" s="1729"/>
      <c r="S261" s="1729"/>
      <c r="T261" s="1729"/>
      <c r="U261" s="1729"/>
      <c r="V261" s="1729"/>
      <c r="W261" s="1729"/>
      <c r="X261" s="1729"/>
      <c r="Y261" s="1729"/>
    </row>
    <row r="262" customFormat="false" ht="12" hidden="false" customHeight="false" outlineLevel="0" collapsed="false">
      <c r="B262" s="1729"/>
      <c r="C262" s="1729"/>
      <c r="D262" s="1729"/>
      <c r="E262" s="1729"/>
      <c r="F262" s="1826"/>
      <c r="G262" s="1729"/>
      <c r="H262" s="1729"/>
      <c r="I262" s="1826"/>
      <c r="J262" s="1826"/>
      <c r="K262" s="1826"/>
      <c r="L262" s="1729"/>
      <c r="M262" s="1729"/>
      <c r="N262" s="1729"/>
      <c r="O262" s="1729"/>
      <c r="P262" s="1729"/>
      <c r="Q262" s="1729"/>
      <c r="R262" s="1729"/>
      <c r="S262" s="1729"/>
      <c r="T262" s="1729"/>
      <c r="U262" s="1729"/>
      <c r="V262" s="1729"/>
      <c r="W262" s="1729"/>
      <c r="X262" s="1729"/>
      <c r="Y262" s="1729"/>
    </row>
    <row r="263" customFormat="false" ht="12" hidden="false" customHeight="false" outlineLevel="0" collapsed="false">
      <c r="B263" s="1729"/>
      <c r="C263" s="1729"/>
      <c r="D263" s="1729"/>
      <c r="E263" s="1729"/>
      <c r="F263" s="1826"/>
      <c r="G263" s="1729"/>
      <c r="H263" s="1729"/>
      <c r="I263" s="1826"/>
      <c r="J263" s="1826"/>
      <c r="K263" s="1826"/>
      <c r="L263" s="1729"/>
      <c r="M263" s="1729"/>
      <c r="N263" s="1729"/>
      <c r="O263" s="1729"/>
      <c r="P263" s="1729"/>
      <c r="Q263" s="1729"/>
      <c r="R263" s="1729"/>
      <c r="S263" s="1729"/>
      <c r="T263" s="1729"/>
      <c r="U263" s="1729"/>
      <c r="V263" s="1729"/>
      <c r="W263" s="1729"/>
      <c r="X263" s="1729"/>
      <c r="Y263" s="1729"/>
    </row>
    <row r="264" customFormat="false" ht="12" hidden="false" customHeight="false" outlineLevel="0" collapsed="false">
      <c r="B264" s="1729"/>
      <c r="C264" s="1729"/>
      <c r="D264" s="1729"/>
      <c r="E264" s="1729"/>
      <c r="F264" s="1826"/>
      <c r="G264" s="1729"/>
      <c r="H264" s="1729"/>
      <c r="I264" s="1826"/>
      <c r="J264" s="1826"/>
      <c r="K264" s="1826"/>
      <c r="L264" s="1729"/>
      <c r="M264" s="1729"/>
      <c r="N264" s="1729"/>
      <c r="O264" s="1729"/>
      <c r="P264" s="1729"/>
      <c r="Q264" s="1729"/>
      <c r="R264" s="1729"/>
      <c r="S264" s="1729"/>
      <c r="T264" s="1729"/>
      <c r="U264" s="1729"/>
      <c r="V264" s="1729"/>
      <c r="W264" s="1729"/>
      <c r="X264" s="1729"/>
      <c r="Y264" s="1729"/>
    </row>
    <row r="265" customFormat="false" ht="12" hidden="false" customHeight="false" outlineLevel="0" collapsed="false">
      <c r="B265" s="1729"/>
      <c r="C265" s="1729"/>
      <c r="D265" s="1729"/>
      <c r="E265" s="1729"/>
      <c r="F265" s="1826"/>
      <c r="G265" s="1729"/>
      <c r="H265" s="1729"/>
      <c r="I265" s="1826"/>
      <c r="J265" s="1826"/>
      <c r="K265" s="1826"/>
      <c r="L265" s="1729"/>
      <c r="M265" s="1729"/>
      <c r="N265" s="1729"/>
      <c r="O265" s="1729"/>
      <c r="P265" s="1729"/>
      <c r="Q265" s="1729"/>
      <c r="R265" s="1729"/>
      <c r="S265" s="1729"/>
      <c r="T265" s="1729"/>
      <c r="U265" s="1729"/>
      <c r="V265" s="1729"/>
      <c r="W265" s="1729"/>
      <c r="X265" s="1729"/>
      <c r="Y265" s="1729"/>
    </row>
    <row r="266" customFormat="false" ht="12" hidden="false" customHeight="false" outlineLevel="0" collapsed="false">
      <c r="B266" s="1729"/>
      <c r="C266" s="1729"/>
      <c r="D266" s="1729"/>
      <c r="E266" s="1729"/>
      <c r="F266" s="1826"/>
      <c r="G266" s="1729"/>
      <c r="H266" s="1729"/>
      <c r="I266" s="1826"/>
      <c r="J266" s="1826"/>
      <c r="K266" s="1826"/>
      <c r="L266" s="1729"/>
      <c r="M266" s="1729"/>
      <c r="N266" s="1729"/>
      <c r="O266" s="1729"/>
      <c r="P266" s="1729"/>
      <c r="Q266" s="1729"/>
      <c r="R266" s="1729"/>
      <c r="S266" s="1729"/>
      <c r="T266" s="1729"/>
      <c r="U266" s="1729"/>
      <c r="V266" s="1729"/>
      <c r="W266" s="1729"/>
      <c r="X266" s="1729"/>
      <c r="Y266" s="1729"/>
    </row>
    <row r="267" customFormat="false" ht="12" hidden="false" customHeight="false" outlineLevel="0" collapsed="false">
      <c r="B267" s="1729"/>
      <c r="C267" s="1729"/>
      <c r="D267" s="1729"/>
      <c r="E267" s="1729"/>
      <c r="F267" s="1826"/>
      <c r="G267" s="1729"/>
      <c r="H267" s="1729"/>
      <c r="I267" s="1826"/>
      <c r="J267" s="1826"/>
      <c r="K267" s="1826"/>
      <c r="L267" s="1729"/>
      <c r="M267" s="1729"/>
      <c r="N267" s="1729"/>
      <c r="O267" s="1729"/>
      <c r="P267" s="1729"/>
      <c r="Q267" s="1729"/>
      <c r="R267" s="1729"/>
      <c r="S267" s="1729"/>
      <c r="T267" s="1729"/>
      <c r="U267" s="1729"/>
      <c r="V267" s="1729"/>
      <c r="W267" s="1729"/>
      <c r="X267" s="1729"/>
      <c r="Y267" s="1729"/>
    </row>
    <row r="268" customFormat="false" ht="12" hidden="false" customHeight="false" outlineLevel="0" collapsed="false">
      <c r="B268" s="1729"/>
      <c r="C268" s="1729"/>
      <c r="D268" s="1729"/>
      <c r="E268" s="1729"/>
      <c r="F268" s="1826"/>
      <c r="G268" s="1729"/>
      <c r="H268" s="1729"/>
      <c r="I268" s="1826"/>
      <c r="J268" s="1826"/>
      <c r="K268" s="1826"/>
      <c r="L268" s="1729"/>
      <c r="M268" s="1729"/>
      <c r="N268" s="1729"/>
      <c r="O268" s="1729"/>
      <c r="P268" s="1729"/>
      <c r="Q268" s="1729"/>
      <c r="R268" s="1729"/>
      <c r="S268" s="1729"/>
      <c r="T268" s="1729"/>
      <c r="U268" s="1729"/>
      <c r="V268" s="1729"/>
      <c r="W268" s="1729"/>
      <c r="X268" s="1729"/>
      <c r="Y268" s="1729"/>
    </row>
    <row r="269" customFormat="false" ht="12" hidden="false" customHeight="false" outlineLevel="0" collapsed="false">
      <c r="B269" s="1729"/>
      <c r="C269" s="1729"/>
      <c r="D269" s="1729"/>
      <c r="E269" s="1729"/>
      <c r="F269" s="1826"/>
      <c r="G269" s="1729"/>
      <c r="H269" s="1729"/>
      <c r="I269" s="1826"/>
      <c r="J269" s="1826"/>
      <c r="K269" s="1826"/>
      <c r="L269" s="1729"/>
      <c r="M269" s="1729"/>
      <c r="N269" s="1729"/>
      <c r="O269" s="1729"/>
      <c r="P269" s="1729"/>
      <c r="Q269" s="1729"/>
      <c r="R269" s="1729"/>
      <c r="S269" s="1729"/>
      <c r="T269" s="1729"/>
      <c r="U269" s="1729"/>
      <c r="V269" s="1729"/>
      <c r="W269" s="1729"/>
      <c r="X269" s="1729"/>
      <c r="Y269" s="1729"/>
    </row>
    <row r="270" customFormat="false" ht="12" hidden="false" customHeight="false" outlineLevel="0" collapsed="false">
      <c r="B270" s="1729"/>
      <c r="C270" s="1729"/>
      <c r="D270" s="1729"/>
      <c r="E270" s="1729"/>
      <c r="F270" s="1826"/>
      <c r="G270" s="1729"/>
      <c r="H270" s="1729"/>
      <c r="I270" s="1826"/>
      <c r="J270" s="1826"/>
      <c r="K270" s="1826"/>
      <c r="L270" s="1729"/>
      <c r="M270" s="1729"/>
      <c r="N270" s="1729"/>
      <c r="O270" s="1729"/>
      <c r="P270" s="1729"/>
      <c r="Q270" s="1729"/>
      <c r="R270" s="1729"/>
      <c r="S270" s="1729"/>
      <c r="T270" s="1729"/>
      <c r="U270" s="1729"/>
      <c r="V270" s="1729"/>
      <c r="W270" s="1729"/>
      <c r="X270" s="1729"/>
      <c r="Y270" s="1729"/>
    </row>
    <row r="271" customFormat="false" ht="12" hidden="false" customHeight="false" outlineLevel="0" collapsed="false">
      <c r="B271" s="1729"/>
      <c r="C271" s="1729"/>
      <c r="D271" s="1729"/>
      <c r="E271" s="1729"/>
      <c r="F271" s="1826"/>
      <c r="G271" s="1729"/>
      <c r="H271" s="1729"/>
      <c r="I271" s="1826"/>
      <c r="J271" s="1826"/>
      <c r="K271" s="1826"/>
      <c r="L271" s="1729"/>
      <c r="M271" s="1729"/>
      <c r="N271" s="1729"/>
      <c r="O271" s="1729"/>
      <c r="P271" s="1729"/>
      <c r="Q271" s="1729"/>
      <c r="R271" s="1729"/>
      <c r="S271" s="1729"/>
      <c r="T271" s="1729"/>
      <c r="U271" s="1729"/>
      <c r="V271" s="1729"/>
      <c r="W271" s="1729"/>
      <c r="X271" s="1729"/>
      <c r="Y271" s="1729"/>
    </row>
    <row r="272" customFormat="false" ht="12" hidden="false" customHeight="false" outlineLevel="0" collapsed="false">
      <c r="B272" s="1729"/>
      <c r="C272" s="1729"/>
      <c r="D272" s="1729"/>
      <c r="E272" s="1729"/>
      <c r="F272" s="1826"/>
      <c r="G272" s="1729"/>
      <c r="H272" s="1729"/>
      <c r="I272" s="1826"/>
      <c r="J272" s="1826"/>
      <c r="K272" s="1826"/>
      <c r="L272" s="1729"/>
      <c r="M272" s="1729"/>
      <c r="N272" s="1729"/>
      <c r="O272" s="1729"/>
      <c r="P272" s="1729"/>
      <c r="Q272" s="1729"/>
      <c r="R272" s="1729"/>
      <c r="S272" s="1729"/>
      <c r="T272" s="1729"/>
      <c r="U272" s="1729"/>
      <c r="V272" s="1729"/>
      <c r="W272" s="1729"/>
      <c r="X272" s="1729"/>
      <c r="Y272" s="1729"/>
    </row>
    <row r="273" customFormat="false" ht="12" hidden="false" customHeight="false" outlineLevel="0" collapsed="false">
      <c r="B273" s="1729"/>
      <c r="C273" s="1729"/>
      <c r="D273" s="1729"/>
      <c r="E273" s="1729"/>
      <c r="F273" s="1826"/>
      <c r="G273" s="1729"/>
      <c r="H273" s="1729"/>
      <c r="I273" s="1826"/>
      <c r="J273" s="1826"/>
      <c r="K273" s="1826"/>
      <c r="L273" s="1729"/>
      <c r="M273" s="1729"/>
      <c r="N273" s="1729"/>
      <c r="O273" s="1729"/>
      <c r="P273" s="1729"/>
      <c r="Q273" s="1729"/>
      <c r="R273" s="1729"/>
      <c r="S273" s="1729"/>
      <c r="T273" s="1729"/>
      <c r="U273" s="1729"/>
      <c r="V273" s="1729"/>
      <c r="W273" s="1729"/>
      <c r="X273" s="1729"/>
      <c r="Y273" s="1729"/>
    </row>
    <row r="274" customFormat="false" ht="12" hidden="false" customHeight="false" outlineLevel="0" collapsed="false">
      <c r="B274" s="1729"/>
      <c r="C274" s="1729"/>
      <c r="D274" s="1729"/>
      <c r="E274" s="1729"/>
      <c r="F274" s="1826"/>
      <c r="G274" s="1729"/>
      <c r="H274" s="1729"/>
      <c r="I274" s="1826"/>
      <c r="J274" s="1826"/>
      <c r="K274" s="1826"/>
      <c r="L274" s="1729"/>
      <c r="M274" s="1729"/>
      <c r="N274" s="1729"/>
      <c r="O274" s="1729"/>
      <c r="P274" s="1729"/>
      <c r="Q274" s="1729"/>
      <c r="R274" s="1729"/>
      <c r="S274" s="1729"/>
      <c r="T274" s="1729"/>
      <c r="U274" s="1729"/>
      <c r="V274" s="1729"/>
      <c r="W274" s="1729"/>
      <c r="X274" s="1729"/>
      <c r="Y274" s="1729"/>
    </row>
    <row r="275" customFormat="false" ht="12" hidden="false" customHeight="false" outlineLevel="0" collapsed="false">
      <c r="B275" s="1729"/>
      <c r="C275" s="1729"/>
      <c r="D275" s="1729"/>
      <c r="E275" s="1729"/>
      <c r="F275" s="1826"/>
      <c r="G275" s="1729"/>
      <c r="H275" s="1729"/>
      <c r="I275" s="1826"/>
      <c r="J275" s="1826"/>
      <c r="K275" s="1826"/>
      <c r="L275" s="1729"/>
      <c r="M275" s="1729"/>
      <c r="N275" s="1729"/>
      <c r="O275" s="1729"/>
      <c r="P275" s="1729"/>
      <c r="Q275" s="1729"/>
      <c r="R275" s="1729"/>
      <c r="S275" s="1729"/>
      <c r="T275" s="1729"/>
      <c r="U275" s="1729"/>
      <c r="V275" s="1729"/>
      <c r="W275" s="1729"/>
      <c r="X275" s="1729"/>
      <c r="Y275" s="1729"/>
    </row>
    <row r="276" customFormat="false" ht="12" hidden="false" customHeight="false" outlineLevel="0" collapsed="false">
      <c r="B276" s="1729"/>
      <c r="C276" s="1729"/>
      <c r="D276" s="1729"/>
      <c r="E276" s="1729"/>
      <c r="F276" s="1826"/>
      <c r="G276" s="1729"/>
      <c r="H276" s="1729"/>
      <c r="I276" s="1826"/>
      <c r="J276" s="1826"/>
      <c r="K276" s="1826"/>
      <c r="L276" s="1729"/>
      <c r="M276" s="1729"/>
      <c r="N276" s="1729"/>
      <c r="O276" s="1729"/>
      <c r="P276" s="1729"/>
      <c r="Q276" s="1729"/>
      <c r="R276" s="1729"/>
      <c r="S276" s="1729"/>
      <c r="T276" s="1729"/>
      <c r="U276" s="1729"/>
      <c r="V276" s="1729"/>
      <c r="W276" s="1729"/>
      <c r="X276" s="1729"/>
      <c r="Y276" s="1729"/>
    </row>
    <row r="277" customFormat="false" ht="12" hidden="false" customHeight="false" outlineLevel="0" collapsed="false">
      <c r="B277" s="1729"/>
      <c r="C277" s="1729"/>
      <c r="D277" s="1729"/>
      <c r="E277" s="1729"/>
      <c r="F277" s="1826"/>
      <c r="G277" s="1729"/>
      <c r="H277" s="1729"/>
      <c r="I277" s="1826"/>
      <c r="J277" s="1826"/>
      <c r="K277" s="1826"/>
      <c r="L277" s="1729"/>
      <c r="M277" s="1729"/>
      <c r="N277" s="1729"/>
      <c r="O277" s="1729"/>
      <c r="P277" s="1729"/>
      <c r="Q277" s="1729"/>
      <c r="R277" s="1729"/>
      <c r="S277" s="1729"/>
      <c r="T277" s="1729"/>
      <c r="U277" s="1729"/>
      <c r="V277" s="1729"/>
      <c r="W277" s="1729"/>
      <c r="X277" s="1729"/>
      <c r="Y277" s="1729"/>
    </row>
    <row r="278" customFormat="false" ht="12" hidden="false" customHeight="false" outlineLevel="0" collapsed="false">
      <c r="B278" s="1729"/>
      <c r="C278" s="1729"/>
      <c r="D278" s="1729"/>
      <c r="E278" s="1729"/>
      <c r="F278" s="1826"/>
      <c r="G278" s="1729"/>
      <c r="H278" s="1729"/>
      <c r="I278" s="1826"/>
      <c r="J278" s="1826"/>
      <c r="K278" s="1826"/>
      <c r="L278" s="1729"/>
      <c r="M278" s="1729"/>
      <c r="N278" s="1729"/>
      <c r="O278" s="1729"/>
      <c r="P278" s="1729"/>
      <c r="Q278" s="1729"/>
      <c r="R278" s="1729"/>
      <c r="S278" s="1729"/>
      <c r="T278" s="1729"/>
      <c r="U278" s="1729"/>
      <c r="V278" s="1729"/>
      <c r="W278" s="1729"/>
      <c r="X278" s="1729"/>
      <c r="Y278" s="1729"/>
    </row>
    <row r="279" customFormat="false" ht="12" hidden="false" customHeight="false" outlineLevel="0" collapsed="false">
      <c r="B279" s="1729"/>
      <c r="C279" s="1729"/>
      <c r="D279" s="1729"/>
      <c r="E279" s="1729"/>
      <c r="F279" s="1826"/>
      <c r="G279" s="1729"/>
      <c r="H279" s="1729"/>
      <c r="I279" s="1826"/>
      <c r="J279" s="1826"/>
      <c r="K279" s="1826"/>
      <c r="L279" s="1729"/>
      <c r="M279" s="1729"/>
      <c r="N279" s="1729"/>
      <c r="O279" s="1729"/>
      <c r="P279" s="1729"/>
      <c r="Q279" s="1729"/>
      <c r="R279" s="1729"/>
      <c r="S279" s="1729"/>
      <c r="T279" s="1729"/>
      <c r="U279" s="1729"/>
      <c r="V279" s="1729"/>
      <c r="W279" s="1729"/>
      <c r="X279" s="1729"/>
      <c r="Y279" s="1729"/>
    </row>
    <row r="280" customFormat="false" ht="12" hidden="false" customHeight="false" outlineLevel="0" collapsed="false">
      <c r="B280" s="1729"/>
      <c r="C280" s="1729"/>
      <c r="D280" s="1729"/>
      <c r="E280" s="1729"/>
      <c r="F280" s="1826"/>
      <c r="G280" s="1729"/>
      <c r="H280" s="1729"/>
      <c r="I280" s="1826"/>
      <c r="J280" s="1826"/>
      <c r="K280" s="1826"/>
      <c r="L280" s="1729"/>
      <c r="M280" s="1729"/>
      <c r="N280" s="1729"/>
      <c r="O280" s="1729"/>
      <c r="P280" s="1729"/>
      <c r="Q280" s="1729"/>
      <c r="R280" s="1729"/>
      <c r="S280" s="1729"/>
      <c r="T280" s="1729"/>
      <c r="U280" s="1729"/>
      <c r="V280" s="1729"/>
      <c r="W280" s="1729"/>
      <c r="X280" s="1729"/>
      <c r="Y280" s="1729"/>
    </row>
    <row r="281" customFormat="false" ht="12" hidden="false" customHeight="false" outlineLevel="0" collapsed="false">
      <c r="B281" s="1729"/>
      <c r="C281" s="1729"/>
      <c r="D281" s="1729"/>
      <c r="E281" s="1729"/>
      <c r="F281" s="1826"/>
      <c r="G281" s="1729"/>
      <c r="H281" s="1729"/>
      <c r="I281" s="1826"/>
      <c r="J281" s="1826"/>
      <c r="K281" s="1826"/>
      <c r="L281" s="1729"/>
      <c r="M281" s="1729"/>
      <c r="N281" s="1729"/>
      <c r="O281" s="1729"/>
      <c r="P281" s="1729"/>
      <c r="Q281" s="1729"/>
      <c r="R281" s="1729"/>
      <c r="S281" s="1729"/>
      <c r="T281" s="1729"/>
      <c r="U281" s="1729"/>
      <c r="V281" s="1729"/>
      <c r="W281" s="1729"/>
      <c r="X281" s="1729"/>
      <c r="Y281" s="1729"/>
    </row>
    <row r="282" customFormat="false" ht="12" hidden="false" customHeight="false" outlineLevel="0" collapsed="false">
      <c r="B282" s="1729"/>
      <c r="C282" s="1729"/>
      <c r="D282" s="1729"/>
      <c r="E282" s="1729"/>
      <c r="F282" s="1826"/>
      <c r="G282" s="1729"/>
      <c r="H282" s="1729"/>
      <c r="I282" s="1826"/>
      <c r="J282" s="1826"/>
      <c r="K282" s="1826"/>
      <c r="L282" s="1729"/>
      <c r="M282" s="1729"/>
      <c r="N282" s="1729"/>
      <c r="O282" s="1729"/>
      <c r="P282" s="1729"/>
      <c r="Q282" s="1729"/>
      <c r="R282" s="1729"/>
      <c r="S282" s="1729"/>
      <c r="T282" s="1729"/>
      <c r="U282" s="1729"/>
      <c r="V282" s="1729"/>
      <c r="W282" s="1729"/>
      <c r="X282" s="1729"/>
      <c r="Y282" s="1729"/>
    </row>
    <row r="283" customFormat="false" ht="12" hidden="false" customHeight="false" outlineLevel="0" collapsed="false">
      <c r="B283" s="1729"/>
      <c r="C283" s="1729"/>
      <c r="D283" s="1729"/>
      <c r="E283" s="1729"/>
      <c r="F283" s="1826"/>
      <c r="G283" s="1729"/>
      <c r="H283" s="1729"/>
      <c r="I283" s="1826"/>
      <c r="J283" s="1826"/>
      <c r="K283" s="1826"/>
      <c r="L283" s="1729"/>
      <c r="M283" s="1729"/>
      <c r="N283" s="1729"/>
      <c r="O283" s="1729"/>
      <c r="P283" s="1729"/>
      <c r="Q283" s="1729"/>
      <c r="R283" s="1729"/>
      <c r="S283" s="1729"/>
      <c r="T283" s="1729"/>
      <c r="U283" s="1729"/>
      <c r="V283" s="1729"/>
      <c r="W283" s="1729"/>
      <c r="X283" s="1729"/>
      <c r="Y283" s="1729"/>
    </row>
    <row r="284" customFormat="false" ht="12" hidden="false" customHeight="false" outlineLevel="0" collapsed="false">
      <c r="B284" s="1729"/>
      <c r="C284" s="1729"/>
      <c r="D284" s="1729"/>
      <c r="E284" s="1729"/>
      <c r="F284" s="1826"/>
      <c r="G284" s="1729"/>
      <c r="H284" s="1729"/>
      <c r="I284" s="1826"/>
      <c r="J284" s="1826"/>
      <c r="K284" s="1826"/>
      <c r="L284" s="1729"/>
      <c r="M284" s="1729"/>
      <c r="N284" s="1729"/>
      <c r="O284" s="1729"/>
      <c r="P284" s="1729"/>
      <c r="Q284" s="1729"/>
      <c r="R284" s="1729"/>
      <c r="S284" s="1729"/>
      <c r="T284" s="1729"/>
      <c r="U284" s="1729"/>
      <c r="V284" s="1729"/>
      <c r="W284" s="1729"/>
      <c r="X284" s="1729"/>
      <c r="Y284" s="1729"/>
    </row>
    <row r="285" customFormat="false" ht="12" hidden="false" customHeight="false" outlineLevel="0" collapsed="false">
      <c r="B285" s="1729"/>
      <c r="C285" s="1729"/>
      <c r="D285" s="1729"/>
      <c r="E285" s="1729"/>
      <c r="F285" s="1826"/>
      <c r="G285" s="1729"/>
      <c r="H285" s="1729"/>
      <c r="I285" s="1826"/>
      <c r="J285" s="1826"/>
      <c r="K285" s="1826"/>
      <c r="L285" s="1729"/>
      <c r="M285" s="1729"/>
      <c r="N285" s="1729"/>
      <c r="O285" s="1729"/>
      <c r="P285" s="1729"/>
      <c r="Q285" s="1729"/>
      <c r="R285" s="1729"/>
      <c r="S285" s="1729"/>
      <c r="T285" s="1729"/>
      <c r="U285" s="1729"/>
      <c r="V285" s="1729"/>
      <c r="W285" s="1729"/>
      <c r="X285" s="1729"/>
      <c r="Y285" s="1729"/>
    </row>
    <row r="286" customFormat="false" ht="12" hidden="false" customHeight="false" outlineLevel="0" collapsed="false">
      <c r="B286" s="1729"/>
      <c r="C286" s="1729"/>
      <c r="D286" s="1729"/>
      <c r="E286" s="1729"/>
      <c r="F286" s="1826"/>
      <c r="G286" s="1729"/>
      <c r="H286" s="1729"/>
      <c r="I286" s="1826"/>
      <c r="J286" s="1826"/>
      <c r="K286" s="1826"/>
      <c r="L286" s="1729"/>
      <c r="M286" s="1729"/>
      <c r="N286" s="1729"/>
      <c r="O286" s="1729"/>
      <c r="P286" s="1729"/>
      <c r="Q286" s="1729"/>
      <c r="R286" s="1729"/>
      <c r="S286" s="1729"/>
      <c r="T286" s="1729"/>
      <c r="U286" s="1729"/>
      <c r="V286" s="1729"/>
      <c r="W286" s="1729"/>
      <c r="X286" s="1729"/>
      <c r="Y286" s="1729"/>
    </row>
    <row r="287" customFormat="false" ht="12" hidden="false" customHeight="false" outlineLevel="0" collapsed="false">
      <c r="B287" s="1729"/>
      <c r="C287" s="1729"/>
      <c r="D287" s="1729"/>
      <c r="E287" s="1729"/>
      <c r="F287" s="1826"/>
      <c r="G287" s="1729"/>
      <c r="H287" s="1729"/>
      <c r="I287" s="1826"/>
      <c r="J287" s="1826"/>
      <c r="K287" s="1826"/>
      <c r="L287" s="1729"/>
      <c r="M287" s="1729"/>
      <c r="N287" s="1729"/>
      <c r="O287" s="1729"/>
      <c r="P287" s="1729"/>
      <c r="Q287" s="1729"/>
      <c r="R287" s="1729"/>
      <c r="S287" s="1729"/>
      <c r="T287" s="1729"/>
      <c r="U287" s="1729"/>
      <c r="V287" s="1729"/>
      <c r="W287" s="1729"/>
      <c r="X287" s="1729"/>
      <c r="Y287" s="1729"/>
    </row>
    <row r="288" customFormat="false" ht="12" hidden="false" customHeight="false" outlineLevel="0" collapsed="false">
      <c r="B288" s="1729"/>
      <c r="C288" s="1729"/>
      <c r="D288" s="1729"/>
      <c r="E288" s="1729"/>
      <c r="F288" s="1826"/>
      <c r="G288" s="1729"/>
      <c r="H288" s="1729"/>
      <c r="I288" s="1826"/>
      <c r="J288" s="1826"/>
      <c r="K288" s="1826"/>
      <c r="L288" s="1729"/>
      <c r="M288" s="1729"/>
      <c r="N288" s="1729"/>
      <c r="O288" s="1729"/>
      <c r="P288" s="1729"/>
      <c r="Q288" s="1729"/>
      <c r="R288" s="1729"/>
      <c r="S288" s="1729"/>
      <c r="T288" s="1729"/>
      <c r="U288" s="1729"/>
      <c r="V288" s="1729"/>
      <c r="W288" s="1729"/>
      <c r="X288" s="1729"/>
      <c r="Y288" s="1729"/>
    </row>
    <row r="289" customFormat="false" ht="12" hidden="false" customHeight="false" outlineLevel="0" collapsed="false">
      <c r="B289" s="1729"/>
      <c r="C289" s="1729"/>
      <c r="D289" s="1729"/>
      <c r="E289" s="1729"/>
      <c r="F289" s="1826"/>
      <c r="G289" s="1729"/>
      <c r="H289" s="1729"/>
      <c r="I289" s="1826"/>
      <c r="J289" s="1826"/>
      <c r="K289" s="1826"/>
      <c r="L289" s="1729"/>
      <c r="M289" s="1729"/>
      <c r="N289" s="1729"/>
      <c r="O289" s="1729"/>
      <c r="P289" s="1729"/>
      <c r="Q289" s="1729"/>
      <c r="R289" s="1729"/>
      <c r="S289" s="1729"/>
      <c r="T289" s="1729"/>
      <c r="U289" s="1729"/>
      <c r="V289" s="1729"/>
      <c r="W289" s="1729"/>
      <c r="X289" s="1729"/>
      <c r="Y289" s="1729"/>
    </row>
    <row r="290" customFormat="false" ht="12" hidden="false" customHeight="false" outlineLevel="0" collapsed="false">
      <c r="B290" s="1729"/>
      <c r="C290" s="1729"/>
      <c r="D290" s="1729"/>
      <c r="E290" s="1729"/>
      <c r="F290" s="1826"/>
      <c r="G290" s="1729"/>
      <c r="H290" s="1729"/>
      <c r="I290" s="1826"/>
      <c r="J290" s="1826"/>
      <c r="K290" s="1826"/>
      <c r="L290" s="1729"/>
      <c r="M290" s="1729"/>
      <c r="N290" s="1729"/>
      <c r="O290" s="1729"/>
      <c r="P290" s="1729"/>
      <c r="Q290" s="1729"/>
      <c r="R290" s="1729"/>
      <c r="S290" s="1729"/>
      <c r="T290" s="1729"/>
      <c r="U290" s="1729"/>
      <c r="V290" s="1729"/>
      <c r="W290" s="1729"/>
      <c r="X290" s="1729"/>
      <c r="Y290" s="1729"/>
    </row>
    <row r="291" customFormat="false" ht="12" hidden="false" customHeight="false" outlineLevel="0" collapsed="false">
      <c r="B291" s="1729"/>
      <c r="C291" s="1729"/>
      <c r="D291" s="1729"/>
      <c r="E291" s="1729"/>
      <c r="F291" s="1826"/>
      <c r="G291" s="1729"/>
      <c r="H291" s="1729"/>
      <c r="I291" s="1826"/>
      <c r="J291" s="1826"/>
      <c r="K291" s="1826"/>
      <c r="L291" s="1729"/>
      <c r="M291" s="1729"/>
      <c r="N291" s="1729"/>
      <c r="O291" s="1729"/>
      <c r="P291" s="1729"/>
      <c r="Q291" s="1729"/>
      <c r="R291" s="1729"/>
      <c r="S291" s="1729"/>
      <c r="T291" s="1729"/>
      <c r="U291" s="1729"/>
      <c r="V291" s="1729"/>
      <c r="W291" s="1729"/>
      <c r="X291" s="1729"/>
      <c r="Y291" s="1729"/>
    </row>
    <row r="292" customFormat="false" ht="12" hidden="false" customHeight="false" outlineLevel="0" collapsed="false">
      <c r="B292" s="1729"/>
      <c r="C292" s="1729"/>
      <c r="D292" s="1729"/>
      <c r="E292" s="1729"/>
      <c r="F292" s="1826"/>
      <c r="G292" s="1729"/>
      <c r="H292" s="1729"/>
      <c r="I292" s="1826"/>
      <c r="J292" s="1826"/>
      <c r="K292" s="1826"/>
      <c r="L292" s="1729"/>
      <c r="M292" s="1729"/>
      <c r="N292" s="1729"/>
      <c r="O292" s="1729"/>
      <c r="P292" s="1729"/>
      <c r="Q292" s="1729"/>
      <c r="R292" s="1729"/>
      <c r="S292" s="1729"/>
      <c r="T292" s="1729"/>
      <c r="U292" s="1729"/>
      <c r="V292" s="1729"/>
      <c r="W292" s="1729"/>
      <c r="X292" s="1729"/>
      <c r="Y292" s="1729"/>
    </row>
    <row r="293" customFormat="false" ht="12" hidden="false" customHeight="false" outlineLevel="0" collapsed="false">
      <c r="B293" s="1729"/>
      <c r="C293" s="1729"/>
      <c r="D293" s="1729"/>
      <c r="E293" s="1729"/>
      <c r="F293" s="1826"/>
      <c r="G293" s="1729"/>
      <c r="H293" s="1729"/>
      <c r="I293" s="1826"/>
      <c r="J293" s="1826"/>
      <c r="K293" s="1826"/>
      <c r="L293" s="1729"/>
      <c r="M293" s="1729"/>
      <c r="N293" s="1729"/>
      <c r="O293" s="1729"/>
      <c r="P293" s="1729"/>
      <c r="Q293" s="1729"/>
      <c r="R293" s="1729"/>
      <c r="S293" s="1729"/>
      <c r="T293" s="1729"/>
      <c r="U293" s="1729"/>
      <c r="V293" s="1729"/>
      <c r="W293" s="1729"/>
      <c r="X293" s="1729"/>
      <c r="Y293" s="1729"/>
    </row>
    <row r="294" customFormat="false" ht="12" hidden="false" customHeight="false" outlineLevel="0" collapsed="false">
      <c r="B294" s="1729"/>
      <c r="C294" s="1729"/>
      <c r="D294" s="1729"/>
      <c r="E294" s="1729"/>
      <c r="F294" s="1826"/>
      <c r="G294" s="1729"/>
      <c r="H294" s="1729"/>
      <c r="I294" s="1826"/>
      <c r="J294" s="1826"/>
      <c r="K294" s="1826"/>
      <c r="L294" s="1729"/>
      <c r="M294" s="1729"/>
      <c r="N294" s="1729"/>
      <c r="O294" s="1729"/>
      <c r="P294" s="1729"/>
      <c r="Q294" s="1729"/>
      <c r="R294" s="1729"/>
      <c r="S294" s="1729"/>
      <c r="T294" s="1729"/>
      <c r="U294" s="1729"/>
      <c r="V294" s="1729"/>
      <c r="W294" s="1729"/>
      <c r="X294" s="1729"/>
      <c r="Y294" s="1729"/>
    </row>
    <row r="295" customFormat="false" ht="12" hidden="false" customHeight="false" outlineLevel="0" collapsed="false">
      <c r="B295" s="1729"/>
      <c r="C295" s="1729"/>
      <c r="D295" s="1729"/>
      <c r="E295" s="1729"/>
      <c r="F295" s="1826"/>
      <c r="G295" s="1729"/>
      <c r="H295" s="1729"/>
      <c r="I295" s="1826"/>
      <c r="J295" s="1826"/>
      <c r="K295" s="1826"/>
      <c r="L295" s="1729"/>
      <c r="M295" s="1729"/>
      <c r="N295" s="1729"/>
      <c r="O295" s="1729"/>
      <c r="P295" s="1729"/>
      <c r="Q295" s="1729"/>
      <c r="R295" s="1729"/>
      <c r="S295" s="1729"/>
      <c r="T295" s="1729"/>
      <c r="U295" s="1729"/>
      <c r="V295" s="1729"/>
      <c r="W295" s="1729"/>
      <c r="X295" s="1729"/>
      <c r="Y295" s="1729"/>
    </row>
    <row r="296" customFormat="false" ht="12" hidden="false" customHeight="false" outlineLevel="0" collapsed="false">
      <c r="B296" s="1729"/>
      <c r="C296" s="1729"/>
      <c r="D296" s="1729"/>
      <c r="E296" s="1729"/>
      <c r="F296" s="1826"/>
      <c r="G296" s="1729"/>
      <c r="H296" s="1729"/>
      <c r="I296" s="1826"/>
      <c r="J296" s="1826"/>
      <c r="K296" s="1826"/>
      <c r="L296" s="1729"/>
      <c r="M296" s="1729"/>
      <c r="N296" s="1729"/>
      <c r="O296" s="1729"/>
      <c r="P296" s="1729"/>
      <c r="Q296" s="1729"/>
      <c r="R296" s="1729"/>
      <c r="S296" s="1729"/>
      <c r="T296" s="1729"/>
      <c r="U296" s="1729"/>
      <c r="V296" s="1729"/>
      <c r="W296" s="1729"/>
      <c r="X296" s="1729"/>
      <c r="Y296" s="1729"/>
    </row>
    <row r="297" customFormat="false" ht="12" hidden="false" customHeight="false" outlineLevel="0" collapsed="false">
      <c r="B297" s="1729"/>
      <c r="C297" s="1729"/>
      <c r="D297" s="1729"/>
      <c r="E297" s="1729"/>
      <c r="F297" s="1826"/>
      <c r="G297" s="1729"/>
      <c r="H297" s="1729"/>
      <c r="I297" s="1826"/>
      <c r="J297" s="1826"/>
      <c r="K297" s="1826"/>
      <c r="L297" s="1729"/>
      <c r="M297" s="1729"/>
      <c r="N297" s="1729"/>
      <c r="O297" s="1729"/>
      <c r="P297" s="1729"/>
      <c r="Q297" s="1729"/>
      <c r="R297" s="1729"/>
      <c r="S297" s="1729"/>
      <c r="T297" s="1729"/>
      <c r="U297" s="1729"/>
      <c r="V297" s="1729"/>
      <c r="W297" s="1729"/>
      <c r="X297" s="1729"/>
      <c r="Y297" s="1729"/>
    </row>
    <row r="298" customFormat="false" ht="12" hidden="false" customHeight="false" outlineLevel="0" collapsed="false">
      <c r="B298" s="1729"/>
      <c r="C298" s="1729"/>
      <c r="D298" s="1729"/>
      <c r="E298" s="1729"/>
      <c r="F298" s="1826"/>
      <c r="G298" s="1729"/>
      <c r="H298" s="1729"/>
      <c r="I298" s="1826"/>
      <c r="J298" s="1826"/>
      <c r="K298" s="1826"/>
      <c r="L298" s="1729"/>
      <c r="M298" s="1729"/>
      <c r="N298" s="1729"/>
      <c r="O298" s="1729"/>
      <c r="P298" s="1729"/>
      <c r="Q298" s="1729"/>
      <c r="R298" s="1729"/>
      <c r="S298" s="1729"/>
      <c r="T298" s="1729"/>
      <c r="U298" s="1729"/>
      <c r="V298" s="1729"/>
      <c r="W298" s="1729"/>
      <c r="X298" s="1729"/>
      <c r="Y298" s="1729"/>
    </row>
    <row r="299" customFormat="false" ht="12" hidden="false" customHeight="false" outlineLevel="0" collapsed="false">
      <c r="B299" s="1729"/>
      <c r="C299" s="1729"/>
      <c r="D299" s="1729"/>
      <c r="E299" s="1729"/>
      <c r="F299" s="1826"/>
      <c r="G299" s="1729"/>
      <c r="H299" s="1729"/>
      <c r="I299" s="1826"/>
      <c r="J299" s="1826"/>
      <c r="K299" s="1826"/>
      <c r="L299" s="1729"/>
      <c r="M299" s="1729"/>
      <c r="N299" s="1729"/>
      <c r="O299" s="1729"/>
      <c r="P299" s="1729"/>
      <c r="Q299" s="1729"/>
      <c r="R299" s="1729"/>
      <c r="S299" s="1729"/>
      <c r="T299" s="1729"/>
      <c r="U299" s="1729"/>
      <c r="V299" s="1729"/>
      <c r="W299" s="1729"/>
      <c r="X299" s="1729"/>
      <c r="Y299" s="1729"/>
    </row>
    <row r="300" customFormat="false" ht="12" hidden="false" customHeight="false" outlineLevel="0" collapsed="false">
      <c r="B300" s="1729"/>
      <c r="C300" s="1729"/>
      <c r="D300" s="1729"/>
      <c r="E300" s="1729"/>
      <c r="F300" s="1826"/>
      <c r="G300" s="1729"/>
      <c r="H300" s="1729"/>
      <c r="I300" s="1826"/>
      <c r="J300" s="1826"/>
      <c r="K300" s="1826"/>
      <c r="L300" s="1729"/>
      <c r="M300" s="1729"/>
      <c r="N300" s="1729"/>
      <c r="O300" s="1729"/>
      <c r="P300" s="1729"/>
      <c r="Q300" s="1729"/>
      <c r="R300" s="1729"/>
      <c r="S300" s="1729"/>
      <c r="T300" s="1729"/>
      <c r="U300" s="1729"/>
      <c r="V300" s="1729"/>
      <c r="W300" s="1729"/>
      <c r="X300" s="1729"/>
      <c r="Y300" s="1729"/>
    </row>
    <row r="301" customFormat="false" ht="12" hidden="false" customHeight="false" outlineLevel="0" collapsed="false">
      <c r="B301" s="1729"/>
      <c r="C301" s="1729"/>
      <c r="D301" s="1729"/>
      <c r="E301" s="1729"/>
      <c r="F301" s="1826"/>
      <c r="G301" s="1729"/>
      <c r="H301" s="1729"/>
      <c r="I301" s="1826"/>
      <c r="J301" s="1826"/>
      <c r="K301" s="1826"/>
      <c r="L301" s="1729"/>
      <c r="M301" s="1729"/>
      <c r="N301" s="1729"/>
      <c r="O301" s="1729"/>
      <c r="P301" s="1729"/>
      <c r="Q301" s="1729"/>
      <c r="R301" s="1729"/>
      <c r="S301" s="1729"/>
      <c r="T301" s="1729"/>
      <c r="U301" s="1729"/>
      <c r="V301" s="1729"/>
      <c r="W301" s="1729"/>
      <c r="X301" s="1729"/>
      <c r="Y301" s="1729"/>
    </row>
    <row r="302" customFormat="false" ht="12" hidden="false" customHeight="false" outlineLevel="0" collapsed="false">
      <c r="B302" s="1729"/>
      <c r="C302" s="1729"/>
      <c r="D302" s="1729"/>
      <c r="E302" s="1729"/>
      <c r="F302" s="1826"/>
      <c r="G302" s="1729"/>
      <c r="H302" s="1729"/>
      <c r="I302" s="1826"/>
      <c r="J302" s="1826"/>
      <c r="K302" s="1826"/>
      <c r="L302" s="1729"/>
      <c r="M302" s="1729"/>
      <c r="N302" s="1729"/>
      <c r="O302" s="1729"/>
      <c r="P302" s="1729"/>
      <c r="Q302" s="1729"/>
      <c r="R302" s="1729"/>
      <c r="S302" s="1729"/>
      <c r="T302" s="1729"/>
      <c r="U302" s="1729"/>
      <c r="V302" s="1729"/>
      <c r="W302" s="1729"/>
      <c r="X302" s="1729"/>
      <c r="Y302" s="1729"/>
    </row>
    <row r="303" customFormat="false" ht="12" hidden="false" customHeight="false" outlineLevel="0" collapsed="false">
      <c r="B303" s="1729"/>
      <c r="C303" s="1729"/>
      <c r="D303" s="1729"/>
      <c r="E303" s="1729"/>
      <c r="F303" s="1826"/>
      <c r="G303" s="1729"/>
      <c r="H303" s="1729"/>
      <c r="I303" s="1826"/>
      <c r="J303" s="1826"/>
      <c r="K303" s="1826"/>
      <c r="L303" s="1729"/>
      <c r="M303" s="1729"/>
      <c r="N303" s="1729"/>
      <c r="O303" s="1729"/>
      <c r="P303" s="1729"/>
      <c r="Q303" s="1729"/>
      <c r="R303" s="1729"/>
      <c r="S303" s="1729"/>
      <c r="T303" s="1729"/>
      <c r="U303" s="1729"/>
      <c r="V303" s="1729"/>
      <c r="W303" s="1729"/>
      <c r="X303" s="1729"/>
      <c r="Y303" s="1729"/>
    </row>
    <row r="304" customFormat="false" ht="12" hidden="false" customHeight="false" outlineLevel="0" collapsed="false">
      <c r="B304" s="1729"/>
      <c r="C304" s="1729"/>
      <c r="D304" s="1729"/>
      <c r="E304" s="1729"/>
      <c r="F304" s="1826"/>
      <c r="G304" s="1729"/>
      <c r="H304" s="1729"/>
      <c r="I304" s="1826"/>
      <c r="J304" s="1826"/>
      <c r="K304" s="1826"/>
      <c r="L304" s="1729"/>
      <c r="M304" s="1729"/>
      <c r="N304" s="1729"/>
      <c r="O304" s="1729"/>
      <c r="P304" s="1729"/>
      <c r="Q304" s="1729"/>
      <c r="R304" s="1729"/>
      <c r="S304" s="1729"/>
      <c r="T304" s="1729"/>
      <c r="U304" s="1729"/>
      <c r="V304" s="1729"/>
      <c r="W304" s="1729"/>
      <c r="X304" s="1729"/>
      <c r="Y304" s="1729"/>
    </row>
    <row r="305" customFormat="false" ht="12" hidden="false" customHeight="false" outlineLevel="0" collapsed="false">
      <c r="B305" s="1729"/>
      <c r="C305" s="1729"/>
      <c r="D305" s="1729"/>
      <c r="E305" s="1729"/>
      <c r="F305" s="1826"/>
      <c r="G305" s="1729"/>
      <c r="H305" s="1729"/>
      <c r="I305" s="1826"/>
      <c r="J305" s="1826"/>
      <c r="K305" s="1826"/>
      <c r="L305" s="1729"/>
      <c r="M305" s="1729"/>
      <c r="N305" s="1729"/>
      <c r="O305" s="1729"/>
      <c r="P305" s="1729"/>
      <c r="Q305" s="1729"/>
      <c r="R305" s="1729"/>
      <c r="S305" s="1729"/>
      <c r="T305" s="1729"/>
      <c r="U305" s="1729"/>
      <c r="V305" s="1729"/>
      <c r="W305" s="1729"/>
      <c r="X305" s="1729"/>
      <c r="Y305" s="1729"/>
    </row>
    <row r="306" customFormat="false" ht="12" hidden="false" customHeight="false" outlineLevel="0" collapsed="false">
      <c r="B306" s="1729"/>
      <c r="C306" s="1729"/>
      <c r="D306" s="1729"/>
      <c r="E306" s="1729"/>
      <c r="F306" s="1826"/>
      <c r="G306" s="1729"/>
      <c r="H306" s="1729"/>
      <c r="I306" s="1826"/>
      <c r="J306" s="1826"/>
      <c r="K306" s="1826"/>
      <c r="L306" s="1729"/>
      <c r="M306" s="1729"/>
      <c r="N306" s="1729"/>
      <c r="O306" s="1729"/>
      <c r="P306" s="1729"/>
      <c r="Q306" s="1729"/>
      <c r="R306" s="1729"/>
      <c r="S306" s="1729"/>
      <c r="T306" s="1729"/>
      <c r="U306" s="1729"/>
      <c r="V306" s="1729"/>
      <c r="W306" s="1729"/>
      <c r="X306" s="1729"/>
      <c r="Y306" s="1729"/>
    </row>
    <row r="307" customFormat="false" ht="12" hidden="false" customHeight="false" outlineLevel="0" collapsed="false">
      <c r="B307" s="1729"/>
      <c r="C307" s="1729"/>
      <c r="D307" s="1729"/>
      <c r="E307" s="1729"/>
      <c r="F307" s="1826"/>
      <c r="G307" s="1729"/>
      <c r="H307" s="1729"/>
      <c r="I307" s="1826"/>
      <c r="J307" s="1826"/>
      <c r="K307" s="1826"/>
      <c r="L307" s="1729"/>
      <c r="M307" s="1729"/>
      <c r="N307" s="1729"/>
      <c r="O307" s="1729"/>
      <c r="P307" s="1729"/>
      <c r="Q307" s="1729"/>
      <c r="R307" s="1729"/>
      <c r="S307" s="1729"/>
      <c r="T307" s="1729"/>
      <c r="U307" s="1729"/>
      <c r="V307" s="1729"/>
      <c r="W307" s="1729"/>
      <c r="X307" s="1729"/>
      <c r="Y307" s="1729"/>
    </row>
    <row r="308" customFormat="false" ht="12" hidden="false" customHeight="false" outlineLevel="0" collapsed="false">
      <c r="B308" s="1729"/>
      <c r="C308" s="1729"/>
      <c r="D308" s="1729"/>
      <c r="E308" s="1729"/>
      <c r="F308" s="1826"/>
      <c r="G308" s="1729"/>
      <c r="H308" s="1729"/>
      <c r="I308" s="1826"/>
      <c r="J308" s="1826"/>
      <c r="K308" s="1826"/>
      <c r="L308" s="1729"/>
      <c r="M308" s="1729"/>
      <c r="N308" s="1729"/>
      <c r="O308" s="1729"/>
      <c r="P308" s="1729"/>
      <c r="Q308" s="1729"/>
      <c r="R308" s="1729"/>
      <c r="S308" s="1729"/>
      <c r="T308" s="1729"/>
      <c r="U308" s="1729"/>
      <c r="V308" s="1729"/>
      <c r="W308" s="1729"/>
      <c r="X308" s="1729"/>
      <c r="Y308" s="1729"/>
    </row>
    <row r="309" customFormat="false" ht="12" hidden="false" customHeight="false" outlineLevel="0" collapsed="false">
      <c r="B309" s="1729"/>
      <c r="C309" s="1729"/>
      <c r="D309" s="1729"/>
      <c r="E309" s="1729"/>
      <c r="F309" s="1826"/>
      <c r="G309" s="1729"/>
      <c r="H309" s="1729"/>
      <c r="I309" s="1826"/>
      <c r="J309" s="1826"/>
      <c r="K309" s="1826"/>
      <c r="L309" s="1729"/>
      <c r="M309" s="1729"/>
      <c r="N309" s="1729"/>
      <c r="O309" s="1729"/>
      <c r="P309" s="1729"/>
      <c r="Q309" s="1729"/>
      <c r="R309" s="1729"/>
      <c r="S309" s="1729"/>
      <c r="T309" s="1729"/>
      <c r="U309" s="1729"/>
      <c r="V309" s="1729"/>
      <c r="W309" s="1729"/>
      <c r="X309" s="1729"/>
      <c r="Y309" s="1729"/>
    </row>
    <row r="310" customFormat="false" ht="12" hidden="false" customHeight="false" outlineLevel="0" collapsed="false">
      <c r="B310" s="1729"/>
      <c r="C310" s="1729"/>
      <c r="D310" s="1729"/>
      <c r="E310" s="1729"/>
      <c r="F310" s="1826"/>
      <c r="G310" s="1729"/>
      <c r="H310" s="1729"/>
      <c r="I310" s="1826"/>
      <c r="J310" s="1826"/>
      <c r="K310" s="1826"/>
      <c r="L310" s="1729"/>
      <c r="M310" s="1729"/>
      <c r="N310" s="1729"/>
      <c r="O310" s="1729"/>
      <c r="P310" s="1729"/>
      <c r="Q310" s="1729"/>
      <c r="R310" s="1729"/>
      <c r="S310" s="1729"/>
      <c r="T310" s="1729"/>
      <c r="U310" s="1729"/>
      <c r="V310" s="1729"/>
      <c r="W310" s="1729"/>
      <c r="X310" s="1729"/>
      <c r="Y310" s="1729"/>
    </row>
    <row r="311" customFormat="false" ht="12" hidden="false" customHeight="false" outlineLevel="0" collapsed="false">
      <c r="B311" s="1729"/>
      <c r="C311" s="1729"/>
      <c r="D311" s="1729"/>
      <c r="E311" s="1729"/>
      <c r="F311" s="1826"/>
      <c r="G311" s="1729"/>
      <c r="H311" s="1729"/>
      <c r="I311" s="1826"/>
      <c r="J311" s="1826"/>
      <c r="K311" s="1826"/>
      <c r="L311" s="1729"/>
      <c r="M311" s="1729"/>
      <c r="N311" s="1729"/>
      <c r="O311" s="1729"/>
      <c r="P311" s="1729"/>
      <c r="Q311" s="1729"/>
      <c r="R311" s="1729"/>
      <c r="S311" s="1729"/>
      <c r="T311" s="1729"/>
      <c r="U311" s="1729"/>
      <c r="V311" s="1729"/>
      <c r="W311" s="1729"/>
      <c r="X311" s="1729"/>
      <c r="Y311" s="1729"/>
    </row>
    <row r="312" customFormat="false" ht="12" hidden="false" customHeight="false" outlineLevel="0" collapsed="false">
      <c r="B312" s="1729"/>
      <c r="C312" s="1729"/>
      <c r="D312" s="1729"/>
      <c r="E312" s="1729"/>
      <c r="F312" s="1826"/>
      <c r="G312" s="1729"/>
      <c r="H312" s="1729"/>
      <c r="I312" s="1826"/>
      <c r="J312" s="1826"/>
      <c r="K312" s="1826"/>
      <c r="L312" s="1729"/>
      <c r="M312" s="1729"/>
      <c r="N312" s="1729"/>
      <c r="O312" s="1729"/>
      <c r="P312" s="1729"/>
      <c r="Q312" s="1729"/>
      <c r="R312" s="1729"/>
      <c r="S312" s="1729"/>
      <c r="T312" s="1729"/>
      <c r="U312" s="1729"/>
      <c r="V312" s="1729"/>
      <c r="W312" s="1729"/>
      <c r="X312" s="1729"/>
      <c r="Y312" s="1729"/>
    </row>
    <row r="313" customFormat="false" ht="12" hidden="false" customHeight="false" outlineLevel="0" collapsed="false">
      <c r="B313" s="1729"/>
      <c r="C313" s="1729"/>
      <c r="D313" s="1729"/>
      <c r="E313" s="1729"/>
      <c r="F313" s="1826"/>
      <c r="G313" s="1729"/>
      <c r="H313" s="1729"/>
      <c r="I313" s="1826"/>
      <c r="J313" s="1826"/>
      <c r="K313" s="1826"/>
      <c r="L313" s="1729"/>
      <c r="M313" s="1729"/>
      <c r="N313" s="1729"/>
      <c r="O313" s="1729"/>
      <c r="P313" s="1729"/>
      <c r="Q313" s="1729"/>
      <c r="R313" s="1729"/>
      <c r="S313" s="1729"/>
      <c r="T313" s="1729"/>
      <c r="U313" s="1729"/>
      <c r="V313" s="1729"/>
      <c r="W313" s="1729"/>
      <c r="X313" s="1729"/>
      <c r="Y313" s="1729"/>
    </row>
    <row r="314" customFormat="false" ht="12" hidden="false" customHeight="false" outlineLevel="0" collapsed="false">
      <c r="B314" s="1729"/>
      <c r="C314" s="1729"/>
      <c r="D314" s="1729"/>
      <c r="E314" s="1729"/>
      <c r="F314" s="1826"/>
      <c r="G314" s="1729"/>
      <c r="H314" s="1729"/>
      <c r="I314" s="1826"/>
      <c r="J314" s="1826"/>
      <c r="K314" s="1826"/>
      <c r="L314" s="1729"/>
      <c r="M314" s="1729"/>
      <c r="N314" s="1729"/>
      <c r="O314" s="1729"/>
      <c r="P314" s="1729"/>
      <c r="Q314" s="1729"/>
      <c r="R314" s="1729"/>
      <c r="S314" s="1729"/>
      <c r="T314" s="1729"/>
      <c r="U314" s="1729"/>
      <c r="V314" s="1729"/>
      <c r="W314" s="1729"/>
      <c r="X314" s="1729"/>
      <c r="Y314" s="1729"/>
    </row>
    <row r="315" customFormat="false" ht="12" hidden="false" customHeight="false" outlineLevel="0" collapsed="false">
      <c r="B315" s="1729"/>
      <c r="C315" s="1729"/>
      <c r="D315" s="1729"/>
      <c r="E315" s="1729"/>
      <c r="F315" s="1826"/>
      <c r="G315" s="1729"/>
      <c r="H315" s="1729"/>
      <c r="I315" s="1826"/>
      <c r="J315" s="1826"/>
      <c r="K315" s="1826"/>
      <c r="L315" s="1729"/>
      <c r="M315" s="1729"/>
      <c r="N315" s="1729"/>
      <c r="O315" s="1729"/>
      <c r="P315" s="1729"/>
      <c r="Q315" s="1729"/>
      <c r="R315" s="1729"/>
      <c r="S315" s="1729"/>
      <c r="T315" s="1729"/>
      <c r="U315" s="1729"/>
      <c r="V315" s="1729"/>
      <c r="W315" s="1729"/>
      <c r="X315" s="1729"/>
      <c r="Y315" s="1729"/>
    </row>
    <row r="316" customFormat="false" ht="12" hidden="false" customHeight="false" outlineLevel="0" collapsed="false">
      <c r="B316" s="1729"/>
      <c r="C316" s="1729"/>
      <c r="D316" s="1729"/>
      <c r="E316" s="1729"/>
      <c r="F316" s="1826"/>
      <c r="G316" s="1729"/>
      <c r="H316" s="1729"/>
      <c r="I316" s="1826"/>
      <c r="J316" s="1826"/>
      <c r="K316" s="1826"/>
      <c r="L316" s="1729"/>
      <c r="M316" s="1729"/>
      <c r="N316" s="1729"/>
      <c r="O316" s="1729"/>
      <c r="P316" s="1729"/>
      <c r="Q316" s="1729"/>
      <c r="R316" s="1729"/>
      <c r="S316" s="1729"/>
      <c r="T316" s="1729"/>
      <c r="U316" s="1729"/>
      <c r="V316" s="1729"/>
      <c r="W316" s="1729"/>
      <c r="X316" s="1729"/>
      <c r="Y316" s="1729"/>
    </row>
    <row r="317" customFormat="false" ht="12" hidden="false" customHeight="false" outlineLevel="0" collapsed="false">
      <c r="B317" s="1729"/>
      <c r="C317" s="1729"/>
      <c r="D317" s="1729"/>
      <c r="E317" s="1729"/>
      <c r="F317" s="1826"/>
      <c r="G317" s="1729"/>
      <c r="H317" s="1729"/>
      <c r="I317" s="1826"/>
      <c r="J317" s="1826"/>
      <c r="K317" s="1826"/>
      <c r="L317" s="1729"/>
      <c r="M317" s="1729"/>
      <c r="N317" s="1729"/>
      <c r="O317" s="1729"/>
      <c r="P317" s="1729"/>
      <c r="Q317" s="1729"/>
      <c r="R317" s="1729"/>
      <c r="S317" s="1729"/>
      <c r="T317" s="1729"/>
      <c r="U317" s="1729"/>
      <c r="V317" s="1729"/>
      <c r="W317" s="1729"/>
      <c r="X317" s="1729"/>
      <c r="Y317" s="1729"/>
    </row>
    <row r="318" customFormat="false" ht="12" hidden="false" customHeight="false" outlineLevel="0" collapsed="false">
      <c r="B318" s="1729"/>
      <c r="C318" s="1729"/>
      <c r="D318" s="1729"/>
      <c r="E318" s="1729"/>
      <c r="F318" s="1826"/>
      <c r="G318" s="1729"/>
      <c r="H318" s="1729"/>
      <c r="I318" s="1826"/>
      <c r="J318" s="1826"/>
      <c r="K318" s="1826"/>
      <c r="L318" s="1729"/>
      <c r="M318" s="1729"/>
      <c r="N318" s="1729"/>
      <c r="O318" s="1729"/>
      <c r="P318" s="1729"/>
      <c r="Q318" s="1729"/>
      <c r="R318" s="1729"/>
      <c r="S318" s="1729"/>
      <c r="T318" s="1729"/>
      <c r="U318" s="1729"/>
      <c r="V318" s="1729"/>
      <c r="W318" s="1729"/>
      <c r="X318" s="1729"/>
      <c r="Y318" s="1729"/>
    </row>
    <row r="319" customFormat="false" ht="12" hidden="false" customHeight="false" outlineLevel="0" collapsed="false">
      <c r="B319" s="1729"/>
      <c r="C319" s="1729"/>
      <c r="D319" s="1729"/>
      <c r="E319" s="1729"/>
      <c r="F319" s="1826"/>
      <c r="G319" s="1729"/>
      <c r="H319" s="1729"/>
      <c r="I319" s="1826"/>
      <c r="J319" s="1826"/>
      <c r="K319" s="1826"/>
      <c r="L319" s="1729"/>
      <c r="M319" s="1729"/>
      <c r="N319" s="1729"/>
      <c r="O319" s="1729"/>
      <c r="P319" s="1729"/>
      <c r="Q319" s="1729"/>
      <c r="R319" s="1729"/>
      <c r="S319" s="1729"/>
      <c r="T319" s="1729"/>
      <c r="U319" s="1729"/>
      <c r="V319" s="1729"/>
      <c r="W319" s="1729"/>
      <c r="X319" s="1729"/>
      <c r="Y319" s="1729"/>
    </row>
    <row r="320" customFormat="false" ht="12" hidden="false" customHeight="false" outlineLevel="0" collapsed="false">
      <c r="B320" s="1729"/>
      <c r="C320" s="1729"/>
      <c r="D320" s="1729"/>
      <c r="E320" s="1729"/>
      <c r="F320" s="1826"/>
      <c r="G320" s="1729"/>
      <c r="H320" s="1729"/>
      <c r="I320" s="1826"/>
      <c r="J320" s="1826"/>
      <c r="K320" s="1826"/>
      <c r="L320" s="1729"/>
      <c r="M320" s="1729"/>
      <c r="N320" s="1729"/>
      <c r="O320" s="1729"/>
      <c r="P320" s="1729"/>
      <c r="Q320" s="1729"/>
      <c r="R320" s="1729"/>
      <c r="S320" s="1729"/>
      <c r="T320" s="1729"/>
      <c r="U320" s="1729"/>
      <c r="V320" s="1729"/>
      <c r="W320" s="1729"/>
      <c r="X320" s="1729"/>
      <c r="Y320" s="1729"/>
    </row>
    <row r="321" customFormat="false" ht="12" hidden="false" customHeight="false" outlineLevel="0" collapsed="false">
      <c r="B321" s="1729"/>
      <c r="C321" s="1729"/>
      <c r="D321" s="1729"/>
      <c r="E321" s="1729"/>
      <c r="F321" s="1826"/>
      <c r="G321" s="1729"/>
      <c r="H321" s="1729"/>
      <c r="I321" s="1826"/>
      <c r="J321" s="1826"/>
      <c r="K321" s="1826"/>
      <c r="L321" s="1729"/>
      <c r="M321" s="1729"/>
      <c r="N321" s="1729"/>
      <c r="O321" s="1729"/>
      <c r="P321" s="1729"/>
      <c r="Q321" s="1729"/>
      <c r="R321" s="1729"/>
      <c r="S321" s="1729"/>
      <c r="T321" s="1729"/>
      <c r="U321" s="1729"/>
      <c r="V321" s="1729"/>
      <c r="W321" s="1729"/>
      <c r="X321" s="1729"/>
      <c r="Y321" s="1729"/>
    </row>
    <row r="322" customFormat="false" ht="12" hidden="false" customHeight="false" outlineLevel="0" collapsed="false">
      <c r="B322" s="1729"/>
      <c r="C322" s="1729"/>
      <c r="D322" s="1729"/>
      <c r="E322" s="1729"/>
      <c r="F322" s="1826"/>
      <c r="G322" s="1729"/>
      <c r="H322" s="1729"/>
      <c r="I322" s="1826"/>
      <c r="J322" s="1826"/>
      <c r="K322" s="1826"/>
      <c r="L322" s="1729"/>
      <c r="M322" s="1729"/>
      <c r="N322" s="1729"/>
      <c r="O322" s="1729"/>
      <c r="P322" s="1729"/>
      <c r="Q322" s="1729"/>
      <c r="R322" s="1729"/>
      <c r="S322" s="1729"/>
      <c r="T322" s="1729"/>
      <c r="U322" s="1729"/>
      <c r="V322" s="1729"/>
      <c r="W322" s="1729"/>
      <c r="X322" s="1729"/>
      <c r="Y322" s="1729"/>
    </row>
    <row r="323" customFormat="false" ht="12" hidden="false" customHeight="false" outlineLevel="0" collapsed="false">
      <c r="B323" s="1729"/>
      <c r="C323" s="1729"/>
      <c r="D323" s="1729"/>
      <c r="E323" s="1729"/>
      <c r="F323" s="1826"/>
      <c r="G323" s="1729"/>
      <c r="H323" s="1729"/>
      <c r="I323" s="1826"/>
      <c r="J323" s="1826"/>
      <c r="K323" s="1826"/>
      <c r="L323" s="1729"/>
      <c r="M323" s="1729"/>
      <c r="N323" s="1729"/>
      <c r="O323" s="1729"/>
      <c r="P323" s="1729"/>
      <c r="Q323" s="1729"/>
      <c r="R323" s="1729"/>
      <c r="S323" s="1729"/>
      <c r="T323" s="1729"/>
      <c r="U323" s="1729"/>
      <c r="V323" s="1729"/>
      <c r="W323" s="1729"/>
      <c r="X323" s="1729"/>
      <c r="Y323" s="1729"/>
    </row>
    <row r="324" customFormat="false" ht="12" hidden="false" customHeight="false" outlineLevel="0" collapsed="false">
      <c r="B324" s="1729"/>
      <c r="C324" s="1729"/>
      <c r="D324" s="1729"/>
      <c r="E324" s="1729"/>
      <c r="F324" s="1826"/>
      <c r="G324" s="1729"/>
      <c r="H324" s="1729"/>
      <c r="I324" s="1826"/>
      <c r="J324" s="1826"/>
      <c r="K324" s="1826"/>
      <c r="L324" s="1729"/>
      <c r="M324" s="1729"/>
      <c r="N324" s="1729"/>
      <c r="O324" s="1729"/>
      <c r="P324" s="1729"/>
      <c r="Q324" s="1729"/>
      <c r="R324" s="1729"/>
      <c r="S324" s="1729"/>
      <c r="T324" s="1729"/>
      <c r="U324" s="1729"/>
      <c r="V324" s="1729"/>
      <c r="W324" s="1729"/>
      <c r="X324" s="1729"/>
      <c r="Y324" s="1729"/>
    </row>
    <row r="325" customFormat="false" ht="12" hidden="false" customHeight="false" outlineLevel="0" collapsed="false">
      <c r="B325" s="1729"/>
      <c r="C325" s="1729"/>
      <c r="D325" s="1729"/>
      <c r="E325" s="1729"/>
      <c r="F325" s="1826"/>
      <c r="G325" s="1729"/>
      <c r="H325" s="1729"/>
      <c r="I325" s="1826"/>
      <c r="J325" s="1826"/>
      <c r="K325" s="1826"/>
      <c r="L325" s="1729"/>
      <c r="M325" s="1729"/>
      <c r="N325" s="1729"/>
      <c r="O325" s="1729"/>
      <c r="P325" s="1729"/>
      <c r="Q325" s="1729"/>
      <c r="R325" s="1729"/>
      <c r="S325" s="1729"/>
      <c r="T325" s="1729"/>
      <c r="U325" s="1729"/>
      <c r="V325" s="1729"/>
      <c r="W325" s="1729"/>
      <c r="X325" s="1729"/>
      <c r="Y325" s="1729"/>
    </row>
    <row r="326" customFormat="false" ht="12" hidden="false" customHeight="false" outlineLevel="0" collapsed="false">
      <c r="B326" s="1729"/>
      <c r="C326" s="1729"/>
      <c r="D326" s="1729"/>
      <c r="E326" s="1729"/>
      <c r="F326" s="1826"/>
      <c r="G326" s="1729"/>
      <c r="H326" s="1729"/>
      <c r="I326" s="1826"/>
      <c r="J326" s="1826"/>
      <c r="K326" s="1826"/>
      <c r="L326" s="1729"/>
      <c r="M326" s="1729"/>
      <c r="N326" s="1729"/>
      <c r="O326" s="1729"/>
      <c r="P326" s="1729"/>
      <c r="Q326" s="1729"/>
      <c r="R326" s="1729"/>
      <c r="S326" s="1729"/>
      <c r="T326" s="1729"/>
      <c r="U326" s="1729"/>
      <c r="V326" s="1729"/>
      <c r="W326" s="1729"/>
      <c r="X326" s="1729"/>
      <c r="Y326" s="1729"/>
    </row>
    <row r="327" customFormat="false" ht="12" hidden="false" customHeight="false" outlineLevel="0" collapsed="false">
      <c r="B327" s="1729"/>
      <c r="C327" s="1729"/>
      <c r="D327" s="1729"/>
      <c r="E327" s="1729"/>
      <c r="F327" s="1826"/>
      <c r="G327" s="1729"/>
      <c r="H327" s="1729"/>
      <c r="I327" s="1826"/>
      <c r="J327" s="1826"/>
      <c r="K327" s="1826"/>
      <c r="L327" s="1729"/>
      <c r="M327" s="1729"/>
      <c r="N327" s="1729"/>
      <c r="O327" s="1729"/>
      <c r="P327" s="1729"/>
      <c r="Q327" s="1729"/>
      <c r="R327" s="1729"/>
      <c r="S327" s="1729"/>
      <c r="T327" s="1729"/>
      <c r="U327" s="1729"/>
      <c r="V327" s="1729"/>
      <c r="W327" s="1729"/>
      <c r="X327" s="1729"/>
      <c r="Y327" s="1729"/>
    </row>
    <row r="328" customFormat="false" ht="12" hidden="false" customHeight="false" outlineLevel="0" collapsed="false">
      <c r="B328" s="1729"/>
      <c r="C328" s="1729"/>
      <c r="D328" s="1729"/>
      <c r="E328" s="1729"/>
      <c r="F328" s="1826"/>
      <c r="G328" s="1729"/>
      <c r="H328" s="1729"/>
      <c r="I328" s="1826"/>
      <c r="J328" s="1826"/>
      <c r="K328" s="1826"/>
      <c r="L328" s="1729"/>
      <c r="M328" s="1729"/>
      <c r="N328" s="1729"/>
      <c r="O328" s="1729"/>
      <c r="P328" s="1729"/>
      <c r="Q328" s="1729"/>
      <c r="R328" s="1729"/>
      <c r="S328" s="1729"/>
      <c r="T328" s="1729"/>
      <c r="U328" s="1729"/>
      <c r="V328" s="1729"/>
      <c r="W328" s="1729"/>
      <c r="X328" s="1729"/>
      <c r="Y328" s="1729"/>
    </row>
    <row r="329" customFormat="false" ht="12" hidden="false" customHeight="false" outlineLevel="0" collapsed="false">
      <c r="B329" s="1729"/>
      <c r="C329" s="1729"/>
      <c r="D329" s="1729"/>
      <c r="E329" s="1729"/>
      <c r="F329" s="1826"/>
      <c r="G329" s="1729"/>
      <c r="H329" s="1729"/>
      <c r="I329" s="1826"/>
      <c r="J329" s="1826"/>
      <c r="K329" s="1826"/>
      <c r="L329" s="1729"/>
      <c r="M329" s="1729"/>
      <c r="N329" s="1729"/>
      <c r="O329" s="1729"/>
      <c r="P329" s="1729"/>
      <c r="Q329" s="1729"/>
      <c r="R329" s="1729"/>
      <c r="S329" s="1729"/>
      <c r="T329" s="1729"/>
      <c r="U329" s="1729"/>
      <c r="V329" s="1729"/>
      <c r="W329" s="1729"/>
      <c r="X329" s="1729"/>
      <c r="Y329" s="1729"/>
    </row>
    <row r="330" customFormat="false" ht="12" hidden="false" customHeight="false" outlineLevel="0" collapsed="false">
      <c r="B330" s="1729"/>
      <c r="C330" s="1729"/>
      <c r="D330" s="1729"/>
      <c r="E330" s="1729"/>
      <c r="F330" s="1826"/>
      <c r="G330" s="1729"/>
      <c r="H330" s="1729"/>
      <c r="I330" s="1826"/>
      <c r="J330" s="1826"/>
      <c r="K330" s="1826"/>
      <c r="L330" s="1729"/>
      <c r="M330" s="1729"/>
      <c r="N330" s="1729"/>
      <c r="O330" s="1729"/>
      <c r="P330" s="1729"/>
      <c r="Q330" s="1729"/>
      <c r="R330" s="1729"/>
      <c r="S330" s="1729"/>
      <c r="T330" s="1729"/>
      <c r="U330" s="1729"/>
      <c r="V330" s="1729"/>
      <c r="W330" s="1729"/>
      <c r="X330" s="1729"/>
      <c r="Y330" s="1729"/>
    </row>
    <row r="331" customFormat="false" ht="12" hidden="false" customHeight="false" outlineLevel="0" collapsed="false">
      <c r="B331" s="1729"/>
      <c r="C331" s="1729"/>
      <c r="D331" s="1729"/>
      <c r="E331" s="1729"/>
      <c r="F331" s="1826"/>
      <c r="G331" s="1729"/>
      <c r="H331" s="1729"/>
      <c r="I331" s="1826"/>
      <c r="J331" s="1826"/>
      <c r="K331" s="1826"/>
      <c r="L331" s="1729"/>
      <c r="M331" s="1729"/>
      <c r="N331" s="1729"/>
      <c r="O331" s="1729"/>
      <c r="P331" s="1729"/>
      <c r="Q331" s="1729"/>
      <c r="R331" s="1729"/>
      <c r="S331" s="1729"/>
      <c r="T331" s="1729"/>
      <c r="U331" s="1729"/>
      <c r="V331" s="1729"/>
      <c r="W331" s="1729"/>
      <c r="X331" s="1729"/>
      <c r="Y331" s="1729"/>
    </row>
    <row r="332" customFormat="false" ht="12" hidden="false" customHeight="false" outlineLevel="0" collapsed="false">
      <c r="B332" s="1729"/>
      <c r="C332" s="1729"/>
      <c r="D332" s="1729"/>
      <c r="E332" s="1729"/>
      <c r="F332" s="1826"/>
      <c r="G332" s="1729"/>
      <c r="H332" s="1729"/>
      <c r="I332" s="1826"/>
      <c r="J332" s="1826"/>
      <c r="K332" s="1826"/>
      <c r="L332" s="1729"/>
      <c r="M332" s="1729"/>
      <c r="N332" s="1729"/>
      <c r="O332" s="1729"/>
      <c r="P332" s="1729"/>
      <c r="Q332" s="1729"/>
      <c r="R332" s="1729"/>
      <c r="S332" s="1729"/>
      <c r="T332" s="1729"/>
      <c r="U332" s="1729"/>
      <c r="V332" s="1729"/>
      <c r="W332" s="1729"/>
      <c r="X332" s="1729"/>
      <c r="Y332" s="1729"/>
    </row>
    <row r="333" customFormat="false" ht="12" hidden="false" customHeight="false" outlineLevel="0" collapsed="false">
      <c r="B333" s="1729"/>
      <c r="C333" s="1729"/>
      <c r="D333" s="1729"/>
      <c r="E333" s="1729"/>
      <c r="F333" s="1826"/>
      <c r="G333" s="1729"/>
      <c r="H333" s="1729"/>
      <c r="I333" s="1826"/>
      <c r="J333" s="1826"/>
      <c r="K333" s="1826"/>
      <c r="L333" s="1729"/>
      <c r="M333" s="1729"/>
      <c r="N333" s="1729"/>
      <c r="O333" s="1729"/>
      <c r="P333" s="1729"/>
      <c r="Q333" s="1729"/>
      <c r="R333" s="1729"/>
      <c r="S333" s="1729"/>
      <c r="T333" s="1729"/>
      <c r="U333" s="1729"/>
      <c r="V333" s="1729"/>
      <c r="W333" s="1729"/>
      <c r="X333" s="1729"/>
      <c r="Y333" s="1729"/>
    </row>
    <row r="334" customFormat="false" ht="12" hidden="false" customHeight="false" outlineLevel="0" collapsed="false">
      <c r="B334" s="1729"/>
      <c r="C334" s="1729"/>
      <c r="D334" s="1729"/>
      <c r="E334" s="1729"/>
      <c r="F334" s="1826"/>
      <c r="G334" s="1729"/>
      <c r="H334" s="1729"/>
      <c r="I334" s="1826"/>
      <c r="J334" s="1826"/>
      <c r="K334" s="1826"/>
      <c r="L334" s="1729"/>
      <c r="M334" s="1729"/>
      <c r="N334" s="1729"/>
      <c r="O334" s="1729"/>
      <c r="P334" s="1729"/>
      <c r="Q334" s="1729"/>
      <c r="R334" s="1729"/>
      <c r="S334" s="1729"/>
      <c r="T334" s="1729"/>
      <c r="U334" s="1729"/>
      <c r="V334" s="1729"/>
      <c r="W334" s="1729"/>
      <c r="X334" s="1729"/>
      <c r="Y334" s="1729"/>
    </row>
    <row r="335" customFormat="false" ht="12" hidden="false" customHeight="false" outlineLevel="0" collapsed="false">
      <c r="B335" s="1729"/>
      <c r="C335" s="1729"/>
      <c r="D335" s="1729"/>
      <c r="E335" s="1729"/>
      <c r="F335" s="1826"/>
      <c r="G335" s="1729"/>
      <c r="H335" s="1729"/>
      <c r="I335" s="1826"/>
      <c r="J335" s="1826"/>
      <c r="K335" s="1826"/>
      <c r="L335" s="1729"/>
      <c r="M335" s="1729"/>
      <c r="N335" s="1729"/>
      <c r="O335" s="1729"/>
      <c r="P335" s="1729"/>
      <c r="Q335" s="1729"/>
      <c r="R335" s="1729"/>
      <c r="S335" s="1729"/>
      <c r="T335" s="1729"/>
      <c r="U335" s="1729"/>
      <c r="V335" s="1729"/>
      <c r="W335" s="1729"/>
      <c r="X335" s="1729"/>
      <c r="Y335" s="1729"/>
    </row>
    <row r="336" customFormat="false" ht="12" hidden="false" customHeight="false" outlineLevel="0" collapsed="false">
      <c r="B336" s="1729"/>
      <c r="C336" s="1729"/>
      <c r="D336" s="1729"/>
      <c r="E336" s="1729"/>
      <c r="F336" s="1826"/>
      <c r="G336" s="1729"/>
      <c r="H336" s="1729"/>
      <c r="I336" s="1826"/>
      <c r="J336" s="1826"/>
      <c r="K336" s="1826"/>
      <c r="L336" s="1729"/>
      <c r="M336" s="1729"/>
      <c r="N336" s="1729"/>
      <c r="O336" s="1729"/>
      <c r="P336" s="1729"/>
      <c r="Q336" s="1729"/>
      <c r="R336" s="1729"/>
      <c r="S336" s="1729"/>
      <c r="T336" s="1729"/>
      <c r="U336" s="1729"/>
      <c r="V336" s="1729"/>
      <c r="W336" s="1729"/>
      <c r="X336" s="1729"/>
      <c r="Y336" s="1729"/>
    </row>
    <row r="337" customFormat="false" ht="12" hidden="false" customHeight="false" outlineLevel="0" collapsed="false">
      <c r="B337" s="1729"/>
      <c r="C337" s="1729"/>
      <c r="D337" s="1729"/>
      <c r="E337" s="1729"/>
      <c r="F337" s="1826"/>
      <c r="G337" s="1729"/>
      <c r="H337" s="1729"/>
      <c r="I337" s="1826"/>
      <c r="J337" s="1826"/>
      <c r="K337" s="1826"/>
      <c r="L337" s="1729"/>
      <c r="M337" s="1729"/>
      <c r="N337" s="1729"/>
      <c r="O337" s="1729"/>
      <c r="P337" s="1729"/>
      <c r="Q337" s="1729"/>
      <c r="R337" s="1729"/>
      <c r="S337" s="1729"/>
      <c r="T337" s="1729"/>
      <c r="U337" s="1729"/>
      <c r="V337" s="1729"/>
      <c r="W337" s="1729"/>
      <c r="X337" s="1729"/>
      <c r="Y337" s="1729"/>
    </row>
    <row r="338" customFormat="false" ht="12" hidden="false" customHeight="false" outlineLevel="0" collapsed="false">
      <c r="B338" s="1729"/>
      <c r="C338" s="1729"/>
      <c r="D338" s="1729"/>
      <c r="E338" s="1729"/>
      <c r="F338" s="1826"/>
      <c r="G338" s="1729"/>
      <c r="H338" s="1729"/>
      <c r="I338" s="1826"/>
      <c r="J338" s="1826"/>
      <c r="K338" s="1826"/>
      <c r="L338" s="1729"/>
      <c r="M338" s="1729"/>
      <c r="N338" s="1729"/>
      <c r="O338" s="1729"/>
      <c r="P338" s="1729"/>
      <c r="Q338" s="1729"/>
      <c r="R338" s="1729"/>
      <c r="S338" s="1729"/>
      <c r="T338" s="1729"/>
      <c r="U338" s="1729"/>
      <c r="V338" s="1729"/>
      <c r="W338" s="1729"/>
      <c r="X338" s="1729"/>
      <c r="Y338" s="1729"/>
    </row>
    <row r="339" customFormat="false" ht="12" hidden="false" customHeight="false" outlineLevel="0" collapsed="false">
      <c r="B339" s="1729"/>
      <c r="C339" s="1729"/>
      <c r="D339" s="1729"/>
      <c r="E339" s="1729"/>
      <c r="F339" s="1826"/>
      <c r="G339" s="1729"/>
      <c r="H339" s="1729"/>
      <c r="I339" s="1826"/>
      <c r="J339" s="1826"/>
      <c r="K339" s="1826"/>
      <c r="L339" s="1729"/>
      <c r="M339" s="1729"/>
      <c r="N339" s="1729"/>
      <c r="O339" s="1729"/>
      <c r="P339" s="1729"/>
      <c r="Q339" s="1729"/>
      <c r="R339" s="1729"/>
      <c r="S339" s="1729"/>
      <c r="T339" s="1729"/>
      <c r="U339" s="1729"/>
      <c r="V339" s="1729"/>
      <c r="W339" s="1729"/>
      <c r="X339" s="1729"/>
      <c r="Y339" s="1729"/>
    </row>
    <row r="340" customFormat="false" ht="12" hidden="false" customHeight="false" outlineLevel="0" collapsed="false">
      <c r="B340" s="1729"/>
      <c r="C340" s="1729"/>
      <c r="D340" s="1729"/>
      <c r="E340" s="1729"/>
      <c r="F340" s="1826"/>
      <c r="G340" s="1729"/>
      <c r="H340" s="1729"/>
      <c r="I340" s="1826"/>
      <c r="J340" s="1826"/>
      <c r="K340" s="1826"/>
      <c r="L340" s="1729"/>
      <c r="M340" s="1729"/>
      <c r="N340" s="1729"/>
      <c r="O340" s="1729"/>
      <c r="P340" s="1729"/>
      <c r="Q340" s="1729"/>
      <c r="R340" s="1729"/>
      <c r="S340" s="1729"/>
      <c r="T340" s="1729"/>
      <c r="U340" s="1729"/>
      <c r="V340" s="1729"/>
      <c r="W340" s="1729"/>
      <c r="X340" s="1729"/>
      <c r="Y340" s="1729"/>
    </row>
    <row r="341" customFormat="false" ht="12" hidden="false" customHeight="false" outlineLevel="0" collapsed="false">
      <c r="B341" s="1729"/>
      <c r="C341" s="1729"/>
      <c r="D341" s="1729"/>
      <c r="E341" s="1729"/>
      <c r="F341" s="1826"/>
      <c r="G341" s="1729"/>
      <c r="H341" s="1729"/>
      <c r="I341" s="1826"/>
      <c r="J341" s="1826"/>
      <c r="K341" s="1826"/>
      <c r="L341" s="1729"/>
      <c r="M341" s="1729"/>
      <c r="N341" s="1729"/>
      <c r="O341" s="1729"/>
      <c r="P341" s="1729"/>
      <c r="Q341" s="1729"/>
      <c r="R341" s="1729"/>
      <c r="S341" s="1729"/>
      <c r="T341" s="1729"/>
      <c r="U341" s="1729"/>
      <c r="V341" s="1729"/>
      <c r="W341" s="1729"/>
      <c r="X341" s="1729"/>
      <c r="Y341" s="1729"/>
    </row>
    <row r="342" customFormat="false" ht="12" hidden="false" customHeight="false" outlineLevel="0" collapsed="false">
      <c r="B342" s="1729"/>
      <c r="C342" s="1729"/>
      <c r="D342" s="1729"/>
      <c r="E342" s="1729"/>
      <c r="F342" s="1826"/>
      <c r="G342" s="1729"/>
      <c r="H342" s="1729"/>
      <c r="I342" s="1826"/>
      <c r="J342" s="1826"/>
      <c r="K342" s="1826"/>
      <c r="L342" s="1729"/>
      <c r="M342" s="1729"/>
      <c r="N342" s="1729"/>
      <c r="O342" s="1729"/>
      <c r="P342" s="1729"/>
      <c r="Q342" s="1729"/>
      <c r="R342" s="1729"/>
      <c r="S342" s="1729"/>
      <c r="T342" s="1729"/>
      <c r="U342" s="1729"/>
      <c r="V342" s="1729"/>
      <c r="W342" s="1729"/>
      <c r="X342" s="1729"/>
      <c r="Y342" s="1729"/>
    </row>
    <row r="343" customFormat="false" ht="12" hidden="false" customHeight="false" outlineLevel="0" collapsed="false">
      <c r="B343" s="1729"/>
      <c r="C343" s="1729"/>
      <c r="D343" s="1729"/>
      <c r="E343" s="1729"/>
      <c r="F343" s="1826"/>
      <c r="G343" s="1729"/>
      <c r="H343" s="1729"/>
      <c r="I343" s="1826"/>
      <c r="J343" s="1826"/>
      <c r="K343" s="1826"/>
      <c r="L343" s="1729"/>
      <c r="M343" s="1729"/>
      <c r="N343" s="1729"/>
      <c r="O343" s="1729"/>
      <c r="P343" s="1729"/>
      <c r="Q343" s="1729"/>
      <c r="R343" s="1729"/>
      <c r="S343" s="1729"/>
      <c r="T343" s="1729"/>
      <c r="U343" s="1729"/>
      <c r="V343" s="1729"/>
      <c r="W343" s="1729"/>
      <c r="X343" s="1729"/>
      <c r="Y343" s="1729"/>
    </row>
    <row r="344" customFormat="false" ht="12" hidden="false" customHeight="false" outlineLevel="0" collapsed="false">
      <c r="B344" s="1729"/>
      <c r="C344" s="1729"/>
      <c r="D344" s="1729"/>
      <c r="E344" s="1729"/>
      <c r="F344" s="1826"/>
      <c r="G344" s="1729"/>
      <c r="H344" s="1729"/>
      <c r="I344" s="1826"/>
      <c r="J344" s="1826"/>
      <c r="K344" s="1826"/>
      <c r="L344" s="1729"/>
      <c r="M344" s="1729"/>
      <c r="N344" s="1729"/>
      <c r="O344" s="1729"/>
      <c r="P344" s="1729"/>
      <c r="Q344" s="1729"/>
      <c r="R344" s="1729"/>
      <c r="S344" s="1729"/>
      <c r="T344" s="1729"/>
      <c r="U344" s="1729"/>
      <c r="V344" s="1729"/>
      <c r="W344" s="1729"/>
      <c r="X344" s="1729"/>
      <c r="Y344" s="1729"/>
    </row>
    <row r="345" customFormat="false" ht="12" hidden="false" customHeight="false" outlineLevel="0" collapsed="false">
      <c r="B345" s="1729"/>
      <c r="C345" s="1729"/>
      <c r="D345" s="1729"/>
      <c r="E345" s="1729"/>
      <c r="F345" s="1826"/>
      <c r="G345" s="1729"/>
      <c r="H345" s="1729"/>
      <c r="I345" s="1826"/>
      <c r="J345" s="1826"/>
      <c r="K345" s="1826"/>
      <c r="L345" s="1729"/>
      <c r="M345" s="1729"/>
      <c r="N345" s="1729"/>
      <c r="O345" s="1729"/>
      <c r="P345" s="1729"/>
      <c r="Q345" s="1729"/>
      <c r="R345" s="1729"/>
      <c r="S345" s="1729"/>
      <c r="T345" s="1729"/>
      <c r="U345" s="1729"/>
      <c r="V345" s="1729"/>
      <c r="W345" s="1729"/>
      <c r="X345" s="1729"/>
      <c r="Y345" s="1729"/>
    </row>
    <row r="346" customFormat="false" ht="12" hidden="false" customHeight="false" outlineLevel="0" collapsed="false">
      <c r="B346" s="1729"/>
      <c r="C346" s="1729"/>
      <c r="D346" s="1729"/>
      <c r="E346" s="1729"/>
      <c r="F346" s="1826"/>
      <c r="G346" s="1729"/>
      <c r="H346" s="1729"/>
      <c r="I346" s="1826"/>
      <c r="J346" s="1826"/>
      <c r="K346" s="1826"/>
      <c r="L346" s="1729"/>
      <c r="M346" s="1729"/>
      <c r="N346" s="1729"/>
      <c r="O346" s="1729"/>
      <c r="P346" s="1729"/>
      <c r="Q346" s="1729"/>
      <c r="R346" s="1729"/>
      <c r="S346" s="1729"/>
      <c r="T346" s="1729"/>
      <c r="U346" s="1729"/>
      <c r="V346" s="1729"/>
      <c r="W346" s="1729"/>
      <c r="X346" s="1729"/>
      <c r="Y346" s="1729"/>
    </row>
    <row r="347" customFormat="false" ht="12" hidden="false" customHeight="false" outlineLevel="0" collapsed="false">
      <c r="B347" s="1729"/>
      <c r="C347" s="1729"/>
      <c r="D347" s="1729"/>
      <c r="E347" s="1729"/>
      <c r="F347" s="1826"/>
      <c r="G347" s="1729"/>
      <c r="H347" s="1729"/>
      <c r="I347" s="1826"/>
      <c r="J347" s="1826"/>
      <c r="K347" s="1826"/>
      <c r="L347" s="1729"/>
      <c r="M347" s="1729"/>
      <c r="N347" s="1729"/>
      <c r="O347" s="1729"/>
      <c r="P347" s="1729"/>
      <c r="Q347" s="1729"/>
      <c r="R347" s="1729"/>
      <c r="S347" s="1729"/>
      <c r="T347" s="1729"/>
      <c r="U347" s="1729"/>
      <c r="V347" s="1729"/>
      <c r="W347" s="1729"/>
      <c r="X347" s="1729"/>
      <c r="Y347" s="1729"/>
    </row>
    <row r="348" customFormat="false" ht="12" hidden="false" customHeight="false" outlineLevel="0" collapsed="false">
      <c r="B348" s="1729"/>
      <c r="C348" s="1729"/>
      <c r="D348" s="1729"/>
      <c r="E348" s="1729"/>
      <c r="F348" s="1826"/>
      <c r="G348" s="1729"/>
      <c r="H348" s="1729"/>
      <c r="I348" s="1826"/>
      <c r="J348" s="1826"/>
      <c r="K348" s="1826"/>
      <c r="L348" s="1729"/>
      <c r="M348" s="1729"/>
      <c r="N348" s="1729"/>
      <c r="O348" s="1729"/>
      <c r="P348" s="1729"/>
      <c r="Q348" s="1729"/>
      <c r="R348" s="1729"/>
      <c r="S348" s="1729"/>
      <c r="T348" s="1729"/>
      <c r="U348" s="1729"/>
      <c r="V348" s="1729"/>
      <c r="W348" s="1729"/>
      <c r="X348" s="1729"/>
      <c r="Y348" s="1729"/>
    </row>
    <row r="349" customFormat="false" ht="12" hidden="false" customHeight="false" outlineLevel="0" collapsed="false">
      <c r="B349" s="1729"/>
      <c r="C349" s="1729"/>
      <c r="D349" s="1729"/>
      <c r="E349" s="1729"/>
      <c r="F349" s="1826"/>
      <c r="G349" s="1729"/>
      <c r="H349" s="1729"/>
      <c r="I349" s="1826"/>
      <c r="J349" s="1826"/>
      <c r="K349" s="1826"/>
      <c r="L349" s="1729"/>
      <c r="M349" s="1729"/>
      <c r="N349" s="1729"/>
      <c r="O349" s="1729"/>
      <c r="P349" s="1729"/>
      <c r="Q349" s="1729"/>
      <c r="R349" s="1729"/>
      <c r="S349" s="1729"/>
      <c r="T349" s="1729"/>
      <c r="U349" s="1729"/>
      <c r="V349" s="1729"/>
      <c r="W349" s="1729"/>
      <c r="X349" s="1729"/>
      <c r="Y349" s="1729"/>
    </row>
    <row r="350" customFormat="false" ht="12" hidden="false" customHeight="false" outlineLevel="0" collapsed="false">
      <c r="B350" s="1729"/>
      <c r="C350" s="1729"/>
      <c r="D350" s="1729"/>
      <c r="E350" s="1729"/>
      <c r="F350" s="1826"/>
      <c r="G350" s="1729"/>
      <c r="H350" s="1729"/>
      <c r="I350" s="1826"/>
      <c r="J350" s="1826"/>
      <c r="K350" s="1826"/>
      <c r="L350" s="1729"/>
      <c r="M350" s="1729"/>
      <c r="N350" s="1729"/>
      <c r="O350" s="1729"/>
      <c r="P350" s="1729"/>
      <c r="Q350" s="1729"/>
      <c r="R350" s="1729"/>
      <c r="S350" s="1729"/>
      <c r="T350" s="1729"/>
      <c r="U350" s="1729"/>
      <c r="V350" s="1729"/>
      <c r="W350" s="1729"/>
      <c r="X350" s="1729"/>
      <c r="Y350" s="1729"/>
    </row>
    <row r="351" customFormat="false" ht="12" hidden="false" customHeight="false" outlineLevel="0" collapsed="false">
      <c r="B351" s="1729"/>
      <c r="C351" s="1729"/>
      <c r="D351" s="1729"/>
      <c r="E351" s="1729"/>
      <c r="F351" s="1826"/>
      <c r="G351" s="1729"/>
      <c r="H351" s="1729"/>
      <c r="I351" s="1826"/>
      <c r="J351" s="1826"/>
      <c r="K351" s="1826"/>
      <c r="L351" s="1729"/>
      <c r="M351" s="1729"/>
      <c r="N351" s="1729"/>
      <c r="O351" s="1729"/>
      <c r="P351" s="1729"/>
      <c r="Q351" s="1729"/>
      <c r="R351" s="1729"/>
      <c r="S351" s="1729"/>
      <c r="T351" s="1729"/>
      <c r="U351" s="1729"/>
      <c r="V351" s="1729"/>
      <c r="W351" s="1729"/>
      <c r="X351" s="1729"/>
      <c r="Y351" s="1729"/>
    </row>
    <row r="352" customFormat="false" ht="12" hidden="false" customHeight="false" outlineLevel="0" collapsed="false">
      <c r="B352" s="1729"/>
      <c r="C352" s="1729"/>
      <c r="D352" s="1729"/>
      <c r="E352" s="1729"/>
      <c r="F352" s="1826"/>
      <c r="G352" s="1729"/>
      <c r="H352" s="1729"/>
      <c r="I352" s="1826"/>
      <c r="J352" s="1826"/>
      <c r="K352" s="1826"/>
      <c r="L352" s="1729"/>
      <c r="M352" s="1729"/>
      <c r="N352" s="1729"/>
      <c r="O352" s="1729"/>
      <c r="P352" s="1729"/>
      <c r="Q352" s="1729"/>
      <c r="R352" s="1729"/>
      <c r="S352" s="1729"/>
      <c r="T352" s="1729"/>
      <c r="U352" s="1729"/>
      <c r="V352" s="1729"/>
      <c r="W352" s="1729"/>
      <c r="X352" s="1729"/>
      <c r="Y352" s="1729"/>
    </row>
    <row r="353" customFormat="false" ht="12" hidden="false" customHeight="false" outlineLevel="0" collapsed="false">
      <c r="B353" s="1729"/>
      <c r="C353" s="1729"/>
      <c r="D353" s="1729"/>
      <c r="E353" s="1729"/>
      <c r="F353" s="1826"/>
      <c r="G353" s="1729"/>
      <c r="H353" s="1729"/>
      <c r="I353" s="1826"/>
      <c r="J353" s="1826"/>
      <c r="K353" s="1826"/>
      <c r="L353" s="1729"/>
      <c r="M353" s="1729"/>
      <c r="N353" s="1729"/>
      <c r="O353" s="1729"/>
      <c r="P353" s="1729"/>
      <c r="Q353" s="1729"/>
      <c r="R353" s="1729"/>
      <c r="S353" s="1729"/>
      <c r="T353" s="1729"/>
      <c r="U353" s="1729"/>
      <c r="V353" s="1729"/>
      <c r="W353" s="1729"/>
      <c r="X353" s="1729"/>
      <c r="Y353" s="1729"/>
    </row>
    <row r="354" customFormat="false" ht="12" hidden="false" customHeight="false" outlineLevel="0" collapsed="false">
      <c r="B354" s="1729"/>
      <c r="C354" s="1729"/>
      <c r="D354" s="1729"/>
      <c r="E354" s="1729"/>
      <c r="F354" s="1826"/>
      <c r="G354" s="1729"/>
      <c r="H354" s="1729"/>
      <c r="I354" s="1826"/>
      <c r="J354" s="1826"/>
      <c r="K354" s="1826"/>
      <c r="L354" s="1729"/>
      <c r="M354" s="1729"/>
      <c r="N354" s="1729"/>
      <c r="O354" s="1729"/>
      <c r="P354" s="1729"/>
      <c r="Q354" s="1729"/>
      <c r="R354" s="1729"/>
      <c r="S354" s="1729"/>
      <c r="T354" s="1729"/>
      <c r="U354" s="1729"/>
      <c r="V354" s="1729"/>
      <c r="W354" s="1729"/>
      <c r="X354" s="1729"/>
      <c r="Y354" s="1729"/>
    </row>
    <row r="355" customFormat="false" ht="12" hidden="false" customHeight="false" outlineLevel="0" collapsed="false">
      <c r="B355" s="1729"/>
      <c r="C355" s="1729"/>
      <c r="D355" s="1729"/>
      <c r="E355" s="1729"/>
      <c r="F355" s="1826"/>
      <c r="G355" s="1729"/>
      <c r="H355" s="1729"/>
      <c r="I355" s="1826"/>
      <c r="J355" s="1826"/>
      <c r="K355" s="1826"/>
      <c r="L355" s="1729"/>
      <c r="M355" s="1729"/>
      <c r="N355" s="1729"/>
      <c r="O355" s="1729"/>
      <c r="P355" s="1729"/>
      <c r="Q355" s="1729"/>
      <c r="R355" s="1729"/>
      <c r="S355" s="1729"/>
      <c r="T355" s="1729"/>
      <c r="U355" s="1729"/>
      <c r="V355" s="1729"/>
      <c r="W355" s="1729"/>
      <c r="X355" s="1729"/>
      <c r="Y355" s="1729"/>
    </row>
    <row r="356" customFormat="false" ht="12" hidden="false" customHeight="false" outlineLevel="0" collapsed="false">
      <c r="B356" s="1729"/>
      <c r="C356" s="1729"/>
      <c r="D356" s="1729"/>
      <c r="E356" s="1729"/>
      <c r="F356" s="1826"/>
      <c r="G356" s="1729"/>
      <c r="H356" s="1729"/>
      <c r="I356" s="1826"/>
      <c r="J356" s="1826"/>
      <c r="K356" s="1826"/>
      <c r="L356" s="1729"/>
      <c r="M356" s="1729"/>
      <c r="N356" s="1729"/>
      <c r="O356" s="1729"/>
      <c r="P356" s="1729"/>
      <c r="Q356" s="1729"/>
      <c r="R356" s="1729"/>
      <c r="S356" s="1729"/>
      <c r="T356" s="1729"/>
      <c r="U356" s="1729"/>
      <c r="V356" s="1729"/>
      <c r="W356" s="1729"/>
      <c r="X356" s="1729"/>
      <c r="Y356" s="1729"/>
    </row>
    <row r="357" customFormat="false" ht="12" hidden="false" customHeight="false" outlineLevel="0" collapsed="false">
      <c r="B357" s="1729"/>
      <c r="C357" s="1729"/>
      <c r="D357" s="1729"/>
      <c r="E357" s="1729"/>
      <c r="F357" s="1826"/>
      <c r="G357" s="1729"/>
      <c r="H357" s="1729"/>
      <c r="I357" s="1826"/>
      <c r="J357" s="1826"/>
      <c r="K357" s="1826"/>
      <c r="L357" s="1729"/>
      <c r="M357" s="1729"/>
      <c r="N357" s="1729"/>
      <c r="O357" s="1729"/>
      <c r="P357" s="1729"/>
      <c r="Q357" s="1729"/>
      <c r="R357" s="1729"/>
      <c r="S357" s="1729"/>
      <c r="T357" s="1729"/>
      <c r="U357" s="1729"/>
      <c r="V357" s="1729"/>
      <c r="W357" s="1729"/>
      <c r="X357" s="1729"/>
      <c r="Y357" s="1729"/>
    </row>
    <row r="358" customFormat="false" ht="12" hidden="false" customHeight="false" outlineLevel="0" collapsed="false">
      <c r="B358" s="1729"/>
      <c r="C358" s="1729"/>
      <c r="D358" s="1729"/>
      <c r="E358" s="1729"/>
      <c r="F358" s="1826"/>
      <c r="G358" s="1729"/>
      <c r="H358" s="1729"/>
      <c r="I358" s="1826"/>
      <c r="J358" s="1826"/>
      <c r="K358" s="1826"/>
      <c r="L358" s="1729"/>
      <c r="M358" s="1729"/>
      <c r="N358" s="1729"/>
      <c r="O358" s="1729"/>
      <c r="P358" s="1729"/>
      <c r="Q358" s="1729"/>
      <c r="R358" s="1729"/>
      <c r="S358" s="1729"/>
      <c r="T358" s="1729"/>
      <c r="U358" s="1729"/>
      <c r="V358" s="1729"/>
      <c r="W358" s="1729"/>
      <c r="X358" s="1729"/>
      <c r="Y358" s="1729"/>
    </row>
    <row r="359" customFormat="false" ht="12" hidden="false" customHeight="false" outlineLevel="0" collapsed="false">
      <c r="B359" s="1729"/>
      <c r="C359" s="1729"/>
      <c r="D359" s="1729"/>
      <c r="E359" s="1729"/>
      <c r="F359" s="1826"/>
      <c r="G359" s="1729"/>
      <c r="H359" s="1729"/>
      <c r="I359" s="1826"/>
      <c r="J359" s="1826"/>
      <c r="K359" s="1826"/>
      <c r="L359" s="1729"/>
      <c r="M359" s="1729"/>
      <c r="N359" s="1729"/>
      <c r="O359" s="1729"/>
      <c r="P359" s="1729"/>
      <c r="Q359" s="1729"/>
      <c r="R359" s="1729"/>
      <c r="S359" s="1729"/>
      <c r="T359" s="1729"/>
      <c r="U359" s="1729"/>
      <c r="V359" s="1729"/>
      <c r="W359" s="1729"/>
      <c r="X359" s="1729"/>
      <c r="Y359" s="1729"/>
    </row>
    <row r="360" customFormat="false" ht="12" hidden="false" customHeight="false" outlineLevel="0" collapsed="false">
      <c r="L360" s="1729"/>
      <c r="M360" s="1729"/>
      <c r="N360" s="1729"/>
      <c r="O360" s="1729"/>
      <c r="P360" s="1729"/>
      <c r="Q360" s="1729"/>
      <c r="R360" s="1729"/>
      <c r="S360" s="1729"/>
      <c r="T360" s="1729"/>
      <c r="U360" s="1729"/>
      <c r="V360" s="1729"/>
      <c r="W360" s="1729"/>
      <c r="X360" s="1729"/>
      <c r="Y360" s="1729"/>
    </row>
    <row r="361" customFormat="false" ht="12" hidden="false" customHeight="false" outlineLevel="0" collapsed="false">
      <c r="L361" s="1729"/>
      <c r="M361" s="1729"/>
      <c r="N361" s="1729"/>
      <c r="O361" s="1729"/>
      <c r="P361" s="1729"/>
      <c r="Q361" s="1729"/>
      <c r="R361" s="1729"/>
      <c r="S361" s="1729"/>
      <c r="T361" s="1729"/>
      <c r="U361" s="1729"/>
      <c r="V361" s="1729"/>
      <c r="W361" s="1729"/>
      <c r="X361" s="1729"/>
      <c r="Y361" s="1729"/>
    </row>
    <row r="362" customFormat="false" ht="12" hidden="false" customHeight="false" outlineLevel="0" collapsed="false">
      <c r="L362" s="1729"/>
      <c r="M362" s="1729"/>
      <c r="N362" s="1729"/>
      <c r="O362" s="1729"/>
      <c r="P362" s="1729"/>
      <c r="Q362" s="1729"/>
      <c r="R362" s="1729"/>
      <c r="S362" s="1729"/>
      <c r="T362" s="1729"/>
      <c r="U362" s="1729"/>
      <c r="V362" s="1729"/>
      <c r="W362" s="1729"/>
      <c r="X362" s="1729"/>
      <c r="Y362" s="1729"/>
    </row>
    <row r="363" customFormat="false" ht="12" hidden="false" customHeight="false" outlineLevel="0" collapsed="false">
      <c r="L363" s="1729"/>
      <c r="M363" s="1729"/>
      <c r="N363" s="1729"/>
      <c r="O363" s="1729"/>
      <c r="P363" s="1729"/>
      <c r="Q363" s="1729"/>
      <c r="R363" s="1729"/>
      <c r="S363" s="1729"/>
      <c r="T363" s="1729"/>
      <c r="U363" s="1729"/>
      <c r="V363" s="1729"/>
      <c r="W363" s="1729"/>
      <c r="X363" s="1729"/>
      <c r="Y363" s="1729"/>
    </row>
    <row r="364" customFormat="false" ht="12" hidden="false" customHeight="false" outlineLevel="0" collapsed="false">
      <c r="L364" s="1729"/>
      <c r="M364" s="1729"/>
      <c r="N364" s="1729"/>
      <c r="O364" s="1729"/>
      <c r="P364" s="1729"/>
      <c r="Q364" s="1729"/>
      <c r="R364" s="1729"/>
      <c r="S364" s="1729"/>
      <c r="T364" s="1729"/>
      <c r="U364" s="1729"/>
      <c r="V364" s="1729"/>
      <c r="W364" s="1729"/>
      <c r="X364" s="1729"/>
      <c r="Y364" s="1729"/>
    </row>
    <row r="365" customFormat="false" ht="12" hidden="false" customHeight="false" outlineLevel="0" collapsed="false">
      <c r="L365" s="1729"/>
      <c r="M365" s="1729"/>
      <c r="N365" s="1729"/>
      <c r="O365" s="1729"/>
      <c r="P365" s="1729"/>
      <c r="Q365" s="1729"/>
      <c r="R365" s="1729"/>
      <c r="S365" s="1729"/>
      <c r="T365" s="1729"/>
      <c r="U365" s="1729"/>
      <c r="V365" s="1729"/>
      <c r="W365" s="1729"/>
      <c r="X365" s="1729"/>
      <c r="Y365" s="1729"/>
    </row>
    <row r="366" customFormat="false" ht="12" hidden="false" customHeight="false" outlineLevel="0" collapsed="false">
      <c r="L366" s="1729"/>
      <c r="M366" s="1729"/>
      <c r="N366" s="1729"/>
      <c r="O366" s="1729"/>
      <c r="P366" s="1729"/>
      <c r="Q366" s="1729"/>
      <c r="R366" s="1729"/>
      <c r="S366" s="1729"/>
      <c r="T366" s="1729"/>
      <c r="U366" s="1729"/>
      <c r="V366" s="1729"/>
      <c r="W366" s="1729"/>
      <c r="X366" s="1729"/>
      <c r="Y366" s="1729"/>
    </row>
    <row r="367" customFormat="false" ht="12" hidden="false" customHeight="false" outlineLevel="0" collapsed="false">
      <c r="L367" s="1729"/>
      <c r="M367" s="1729"/>
      <c r="N367" s="1729"/>
      <c r="O367" s="1729"/>
      <c r="P367" s="1729"/>
      <c r="Q367" s="1729"/>
      <c r="R367" s="1729"/>
      <c r="S367" s="1729"/>
      <c r="T367" s="1729"/>
      <c r="U367" s="1729"/>
      <c r="V367" s="1729"/>
      <c r="W367" s="1729"/>
      <c r="X367" s="1729"/>
      <c r="Y367" s="1729"/>
    </row>
    <row r="368" customFormat="false" ht="12" hidden="false" customHeight="false" outlineLevel="0" collapsed="false">
      <c r="L368" s="1729"/>
      <c r="M368" s="1729"/>
      <c r="N368" s="1729"/>
      <c r="O368" s="1729"/>
      <c r="P368" s="1729"/>
      <c r="Q368" s="1729"/>
      <c r="R368" s="1729"/>
      <c r="S368" s="1729"/>
      <c r="T368" s="1729"/>
      <c r="U368" s="1729"/>
      <c r="V368" s="1729"/>
      <c r="W368" s="1729"/>
      <c r="X368" s="1729"/>
      <c r="Y368" s="1729"/>
    </row>
    <row r="369" customFormat="false" ht="12" hidden="false" customHeight="false" outlineLevel="0" collapsed="false">
      <c r="L369" s="1729"/>
      <c r="M369" s="1729"/>
      <c r="N369" s="1729"/>
      <c r="O369" s="1729"/>
      <c r="P369" s="1729"/>
      <c r="Q369" s="1729"/>
      <c r="R369" s="1729"/>
      <c r="S369" s="1729"/>
      <c r="T369" s="1729"/>
      <c r="U369" s="1729"/>
      <c r="V369" s="1729"/>
      <c r="W369" s="1729"/>
      <c r="X369" s="1729"/>
      <c r="Y369" s="1729"/>
    </row>
    <row r="370" customFormat="false" ht="12" hidden="false" customHeight="false" outlineLevel="0" collapsed="false">
      <c r="L370" s="1729"/>
      <c r="M370" s="1729"/>
      <c r="N370" s="1729"/>
      <c r="O370" s="1729"/>
      <c r="P370" s="1729"/>
      <c r="Q370" s="1729"/>
      <c r="R370" s="1729"/>
      <c r="S370" s="1729"/>
      <c r="T370" s="1729"/>
      <c r="U370" s="1729"/>
      <c r="V370" s="1729"/>
      <c r="W370" s="1729"/>
      <c r="X370" s="1729"/>
      <c r="Y370" s="1729"/>
    </row>
    <row r="371" customFormat="false" ht="12" hidden="false" customHeight="false" outlineLevel="0" collapsed="false">
      <c r="L371" s="1729"/>
      <c r="M371" s="1729"/>
      <c r="N371" s="1729"/>
      <c r="O371" s="1729"/>
      <c r="P371" s="1729"/>
      <c r="Q371" s="1729"/>
      <c r="R371" s="1729"/>
      <c r="S371" s="1729"/>
      <c r="T371" s="1729"/>
      <c r="U371" s="1729"/>
      <c r="V371" s="1729"/>
      <c r="W371" s="1729"/>
      <c r="X371" s="1729"/>
      <c r="Y371" s="1729"/>
    </row>
  </sheetData>
  <mergeCells count="7">
    <mergeCell ref="A3:U3"/>
    <mergeCell ref="B6:U6"/>
    <mergeCell ref="A7:A9"/>
    <mergeCell ref="B7:F7"/>
    <mergeCell ref="G7:K7"/>
    <mergeCell ref="L7:P7"/>
    <mergeCell ref="Q7:U7"/>
  </mergeCells>
  <hyperlinks>
    <hyperlink ref="B1" location="Index!A1" display="Back to index"/>
  </hyperlinks>
  <printOptions headings="false" gridLines="false" gridLinesSet="true" horizontalCentered="true" verticalCentered="true"/>
  <pageMargins left="0.75" right="0" top="0.984027777777778" bottom="0.984027777777778" header="0.511811023622047" footer="0.511811023622047"/>
  <pageSetup paperSize="9" scale="100" fitToWidth="1" fitToHeight="3" pageOrder="downThenOver" orientation="landscape"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C0C0"/>
    <pageSetUpPr fitToPage="true"/>
  </sheetPr>
  <dimension ref="A1:W2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3" activeCellId="0" sqref="A3"/>
    </sheetView>
  </sheetViews>
  <sheetFormatPr defaultColWidth="11.0546875" defaultRowHeight="12" zeroHeight="false" outlineLevelRow="0" outlineLevelCol="0"/>
  <cols>
    <col collapsed="false" customWidth="true" hidden="false" outlineLevel="0" max="2" min="1" style="0" width="6.66"/>
    <col collapsed="false" customWidth="true" hidden="false" outlineLevel="0" max="3" min="3" style="20" width="6.5"/>
    <col collapsed="false" customWidth="true" hidden="false" outlineLevel="0" max="15" min="4" style="0" width="6.5"/>
    <col collapsed="false" customWidth="true" hidden="false" outlineLevel="0" max="17" min="16" style="0" width="8.66"/>
    <col collapsed="false" customWidth="true" hidden="false" outlineLevel="0" max="19" min="18" style="0" width="7.66"/>
    <col collapsed="false" customWidth="true" hidden="false" outlineLevel="0" max="20" min="20" style="0" width="7.5"/>
  </cols>
  <sheetData>
    <row r="1" customFormat="false" ht="12" hidden="false" customHeight="false" outlineLevel="0" collapsed="false">
      <c r="B1" s="21" t="s">
        <v>9</v>
      </c>
      <c r="C1" s="356"/>
      <c r="D1" s="198"/>
      <c r="E1" s="198"/>
      <c r="F1" s="198"/>
      <c r="G1" s="198"/>
      <c r="H1" s="198"/>
      <c r="I1" s="198"/>
      <c r="J1" s="198"/>
      <c r="K1" s="198"/>
      <c r="L1" s="198"/>
      <c r="M1" s="198"/>
      <c r="N1" s="198"/>
      <c r="O1" s="198"/>
      <c r="P1" s="198"/>
      <c r="Q1" s="198"/>
      <c r="R1" s="198"/>
      <c r="S1" s="198"/>
    </row>
    <row r="2" customFormat="false" ht="13" hidden="false" customHeight="false" outlineLevel="0" collapsed="false"/>
    <row r="3" customFormat="false" ht="19.75" hidden="false" customHeight="true" outlineLevel="0" collapsed="false">
      <c r="A3" s="27" t="s">
        <v>611</v>
      </c>
      <c r="B3" s="27"/>
      <c r="C3" s="27"/>
      <c r="D3" s="27"/>
      <c r="E3" s="27"/>
      <c r="F3" s="27"/>
      <c r="G3" s="27"/>
      <c r="H3" s="27"/>
      <c r="I3" s="27"/>
      <c r="J3" s="27"/>
      <c r="K3" s="27"/>
      <c r="L3" s="27"/>
      <c r="M3" s="27"/>
      <c r="N3" s="27"/>
      <c r="O3" s="27"/>
      <c r="P3" s="27"/>
      <c r="Q3" s="27"/>
      <c r="R3" s="27"/>
      <c r="S3" s="27"/>
    </row>
    <row r="4" customFormat="false" ht="12" hidden="false" customHeight="false" outlineLevel="0" collapsed="false">
      <c r="A4" s="28"/>
      <c r="B4" s="29"/>
      <c r="C4" s="114"/>
      <c r="D4" s="29"/>
      <c r="E4" s="29"/>
      <c r="F4" s="29"/>
      <c r="G4" s="29"/>
      <c r="H4" s="29"/>
      <c r="I4" s="29"/>
      <c r="J4" s="29"/>
      <c r="K4" s="29"/>
      <c r="L4" s="29"/>
      <c r="M4" s="29"/>
      <c r="N4" s="29"/>
      <c r="O4" s="29"/>
      <c r="P4" s="29"/>
      <c r="Q4" s="29"/>
      <c r="R4" s="29"/>
      <c r="S4" s="199"/>
    </row>
    <row r="5" customFormat="false" ht="12" hidden="false" customHeight="false" outlineLevel="0" collapsed="false">
      <c r="A5" s="28"/>
      <c r="B5" s="553" t="s">
        <v>11</v>
      </c>
      <c r="C5" s="554" t="s">
        <v>12</v>
      </c>
      <c r="D5" s="553" t="s">
        <v>13</v>
      </c>
      <c r="E5" s="553" t="s">
        <v>14</v>
      </c>
      <c r="F5" s="553" t="s">
        <v>15</v>
      </c>
      <c r="G5" s="553" t="s">
        <v>16</v>
      </c>
      <c r="H5" s="553" t="s">
        <v>17</v>
      </c>
      <c r="I5" s="553" t="s">
        <v>18</v>
      </c>
      <c r="J5" s="553" t="s">
        <v>19</v>
      </c>
      <c r="K5" s="553" t="s">
        <v>20</v>
      </c>
      <c r="L5" s="553" t="s">
        <v>21</v>
      </c>
      <c r="M5" s="553" t="s">
        <v>22</v>
      </c>
      <c r="N5" s="553" t="s">
        <v>23</v>
      </c>
      <c r="O5" s="553" t="s">
        <v>24</v>
      </c>
      <c r="P5" s="553" t="s">
        <v>25</v>
      </c>
      <c r="Q5" s="553" t="s">
        <v>26</v>
      </c>
      <c r="R5" s="553" t="s">
        <v>27</v>
      </c>
      <c r="S5" s="555" t="s">
        <v>28</v>
      </c>
    </row>
    <row r="6" customFormat="false" ht="12" hidden="false" customHeight="true" outlineLevel="0" collapsed="false">
      <c r="A6" s="28"/>
      <c r="B6" s="1829" t="s">
        <v>612</v>
      </c>
      <c r="C6" s="1829"/>
      <c r="D6" s="1829"/>
      <c r="E6" s="1829"/>
      <c r="F6" s="1829"/>
      <c r="G6" s="1829"/>
      <c r="H6" s="1829"/>
      <c r="I6" s="1829"/>
      <c r="J6" s="1829" t="s">
        <v>613</v>
      </c>
      <c r="K6" s="1829"/>
      <c r="L6" s="1829"/>
      <c r="M6" s="1829"/>
      <c r="N6" s="1829"/>
      <c r="O6" s="1829"/>
      <c r="P6" s="1556" t="s">
        <v>614</v>
      </c>
      <c r="Q6" s="1556"/>
      <c r="R6" s="1556"/>
      <c r="S6" s="1556"/>
    </row>
    <row r="7" customFormat="false" ht="79.75" hidden="false" customHeight="true" outlineLevel="0" collapsed="false">
      <c r="A7" s="1590"/>
      <c r="B7" s="202" t="s">
        <v>615</v>
      </c>
      <c r="C7" s="1830" t="s">
        <v>483</v>
      </c>
      <c r="D7" s="1831" t="s">
        <v>616</v>
      </c>
      <c r="E7" s="1831" t="s">
        <v>617</v>
      </c>
      <c r="F7" s="1831" t="s">
        <v>618</v>
      </c>
      <c r="G7" s="1350" t="s">
        <v>619</v>
      </c>
      <c r="H7" s="1832" t="s">
        <v>620</v>
      </c>
      <c r="I7" s="1351" t="s">
        <v>621</v>
      </c>
      <c r="J7" s="1475" t="s">
        <v>622</v>
      </c>
      <c r="K7" s="1350" t="s">
        <v>623</v>
      </c>
      <c r="L7" s="1833" t="s">
        <v>624</v>
      </c>
      <c r="M7" s="1350" t="s">
        <v>622</v>
      </c>
      <c r="N7" s="1350" t="s">
        <v>623</v>
      </c>
      <c r="O7" s="1833" t="s">
        <v>624</v>
      </c>
      <c r="P7" s="1305" t="s">
        <v>625</v>
      </c>
      <c r="Q7" s="1834" t="s">
        <v>626</v>
      </c>
      <c r="R7" s="1835" t="s">
        <v>627</v>
      </c>
      <c r="S7" s="1836" t="s">
        <v>628</v>
      </c>
    </row>
    <row r="8" customFormat="false" ht="30" hidden="false" customHeight="true" outlineLevel="0" collapsed="false">
      <c r="A8" s="1590"/>
      <c r="B8" s="1517" t="s">
        <v>629</v>
      </c>
      <c r="C8" s="801" t="s">
        <v>491</v>
      </c>
      <c r="D8" s="802" t="s">
        <v>630</v>
      </c>
      <c r="E8" s="802" t="s">
        <v>631</v>
      </c>
      <c r="F8" s="802" t="s">
        <v>632</v>
      </c>
      <c r="G8" s="802" t="s">
        <v>633</v>
      </c>
      <c r="H8" s="1250" t="s">
        <v>634</v>
      </c>
      <c r="I8" s="53" t="s">
        <v>635</v>
      </c>
      <c r="J8" s="1596" t="s">
        <v>636</v>
      </c>
      <c r="K8" s="1596"/>
      <c r="L8" s="1596"/>
      <c r="M8" s="1596" t="s">
        <v>637</v>
      </c>
      <c r="N8" s="1596"/>
      <c r="O8" s="1596"/>
      <c r="P8" s="1353" t="s">
        <v>638</v>
      </c>
      <c r="Q8" s="802" t="s">
        <v>639</v>
      </c>
      <c r="R8" s="53" t="s">
        <v>640</v>
      </c>
      <c r="S8" s="1836"/>
    </row>
    <row r="9" customFormat="false" ht="12" hidden="false" customHeight="false" outlineLevel="0" collapsed="false">
      <c r="A9" s="416" t="n">
        <v>1950</v>
      </c>
      <c r="B9" s="1528" t="n">
        <f aca="false">DataDE1!DV11/TableDE1!B90</f>
        <v>0.293944666557193</v>
      </c>
      <c r="C9" s="1277" t="n">
        <f aca="false">DataDE1!I11/TableDE1!B90</f>
        <v>0.124474746739151</v>
      </c>
      <c r="D9" s="1526"/>
      <c r="E9" s="1526"/>
      <c r="F9" s="1526" t="n">
        <f aca="false">DataDE1!EB11/TableDE1!B90</f>
        <v>0.088818067210056</v>
      </c>
      <c r="G9" s="1526"/>
      <c r="H9" s="1837"/>
      <c r="I9" s="1527"/>
      <c r="J9" s="1530"/>
      <c r="K9" s="1532"/>
      <c r="L9" s="1838"/>
      <c r="M9" s="1532"/>
      <c r="N9" s="1532"/>
      <c r="O9" s="1838"/>
      <c r="P9" s="1530" t="n">
        <f aca="false">DataDE1!EG11/TableDE1!B90</f>
        <v>0.136965176067742</v>
      </c>
      <c r="Q9" s="1526" t="n">
        <f aca="false">DataDE1!EH11/TableDE1!B90</f>
        <v>0.112256829388214</v>
      </c>
      <c r="R9" s="1527" t="n">
        <f aca="false">DataDE1!EI11/TableDE1!B90</f>
        <v>0.0247083466795277</v>
      </c>
      <c r="S9" s="1839"/>
    </row>
    <row r="10" customFormat="false" ht="12" hidden="false" customHeight="false" outlineLevel="0" collapsed="false">
      <c r="A10" s="416" t="n">
        <f aca="false">A9+1</f>
        <v>1951</v>
      </c>
      <c r="B10" s="519" t="n">
        <f aca="false">DataDE1!DV12/TableDE1!B91</f>
        <v>0.305438197938319</v>
      </c>
      <c r="C10" s="891" t="n">
        <f aca="false">DataDE1!I12/TableDE1!B91</f>
        <v>0.132429894887697</v>
      </c>
      <c r="D10" s="935"/>
      <c r="E10" s="935"/>
      <c r="F10" s="935" t="n">
        <f aca="false">DataDE1!EB12/TableDE1!B91</f>
        <v>0.0872093839108446</v>
      </c>
      <c r="G10" s="935"/>
      <c r="H10" s="1072"/>
      <c r="I10" s="1157"/>
      <c r="J10" s="1155"/>
      <c r="K10" s="1054"/>
      <c r="L10" s="1840"/>
      <c r="M10" s="1054"/>
      <c r="N10" s="1054"/>
      <c r="O10" s="1840"/>
      <c r="P10" s="1155" t="n">
        <f aca="false">DataDE1!EG12/TableDE1!B91</f>
        <v>0.124439746210951</v>
      </c>
      <c r="Q10" s="935" t="n">
        <f aca="false">DataDE1!EH12/TableDE1!B91</f>
        <v>0.101990971432084</v>
      </c>
      <c r="R10" s="1157" t="n">
        <f aca="false">DataDE1!EI12/TableDE1!B91</f>
        <v>0.0224487747788672</v>
      </c>
      <c r="S10" s="1073"/>
    </row>
    <row r="11" customFormat="false" ht="12" hidden="false" customHeight="false" outlineLevel="0" collapsed="false">
      <c r="A11" s="416" t="n">
        <f aca="false">A10+1</f>
        <v>1952</v>
      </c>
      <c r="B11" s="519" t="n">
        <f aca="false">DataDE1!DV13/TableDE1!B92</f>
        <v>0.31831841542342</v>
      </c>
      <c r="C11" s="891" t="n">
        <f aca="false">DataDE1!I13/TableDE1!B92</f>
        <v>0.137459143524936</v>
      </c>
      <c r="D11" s="935"/>
      <c r="E11" s="935"/>
      <c r="F11" s="935" t="n">
        <f aca="false">DataDE1!EB13/TableDE1!B92</f>
        <v>0.0859082955765324</v>
      </c>
      <c r="G11" s="935"/>
      <c r="H11" s="1072"/>
      <c r="I11" s="1157"/>
      <c r="J11" s="1155"/>
      <c r="K11" s="1054"/>
      <c r="L11" s="1840"/>
      <c r="M11" s="1054"/>
      <c r="N11" s="1054"/>
      <c r="O11" s="1840"/>
      <c r="P11" s="1155" t="n">
        <f aca="false">DataDE1!EG13/TableDE1!B92</f>
        <v>0.128018750296726</v>
      </c>
      <c r="Q11" s="935" t="n">
        <f aca="false">DataDE1!EH13/TableDE1!B92</f>
        <v>0.104924327651316</v>
      </c>
      <c r="R11" s="1157" t="n">
        <f aca="false">DataDE1!EI13/TableDE1!B92</f>
        <v>0.0230944226454099</v>
      </c>
      <c r="S11" s="1073"/>
    </row>
    <row r="12" customFormat="false" ht="12" hidden="false" customHeight="false" outlineLevel="0" collapsed="false">
      <c r="A12" s="416" t="n">
        <f aca="false">A11+1</f>
        <v>1953</v>
      </c>
      <c r="B12" s="519" t="n">
        <f aca="false">DataDE1!DV14/TableDE1!B93</f>
        <v>0.325858086113409</v>
      </c>
      <c r="C12" s="891" t="n">
        <f aca="false">DataDE1!I14/TableDE1!B93</f>
        <v>0.141572155480063</v>
      </c>
      <c r="D12" s="935"/>
      <c r="E12" s="935"/>
      <c r="F12" s="935" t="n">
        <f aca="false">DataDE1!EB14/TableDE1!B93</f>
        <v>0.0890773456860382</v>
      </c>
      <c r="G12" s="935"/>
      <c r="H12" s="1072"/>
      <c r="I12" s="1157"/>
      <c r="J12" s="1155"/>
      <c r="K12" s="1054"/>
      <c r="L12" s="1840"/>
      <c r="M12" s="1054"/>
      <c r="N12" s="1054"/>
      <c r="O12" s="1840"/>
      <c r="P12" s="1155" t="n">
        <f aca="false">DataDE1!EG14/TableDE1!B93</f>
        <v>0.131285615345577</v>
      </c>
      <c r="Q12" s="935" t="n">
        <f aca="false">DataDE1!EH14/TableDE1!B93</f>
        <v>0.107601854325993</v>
      </c>
      <c r="R12" s="1157" t="n">
        <f aca="false">DataDE1!EI14/TableDE1!B93</f>
        <v>0.023683761019584</v>
      </c>
      <c r="S12" s="1073"/>
    </row>
    <row r="13" customFormat="false" ht="12" hidden="false" customHeight="false" outlineLevel="0" collapsed="false">
      <c r="A13" s="416" t="n">
        <f aca="false">A12+1</f>
        <v>1954</v>
      </c>
      <c r="B13" s="519" t="n">
        <f aca="false">DataDE1!DV15/TableDE1!B94</f>
        <v>0.322379415099277</v>
      </c>
      <c r="C13" s="891" t="n">
        <f aca="false">DataDE1!I15/TableDE1!B94</f>
        <v>0.1420963512604</v>
      </c>
      <c r="D13" s="935"/>
      <c r="E13" s="935"/>
      <c r="F13" s="935" t="n">
        <f aca="false">DataDE1!EB15/TableDE1!B94</f>
        <v>0.0897767354629389</v>
      </c>
      <c r="G13" s="935"/>
      <c r="H13" s="1072"/>
      <c r="I13" s="1157"/>
      <c r="J13" s="1155"/>
      <c r="K13" s="1054"/>
      <c r="L13" s="1840"/>
      <c r="M13" s="1054"/>
      <c r="N13" s="1054"/>
      <c r="O13" s="1840"/>
      <c r="P13" s="1155" t="n">
        <f aca="false">DataDE1!EG15/TableDE1!B94</f>
        <v>0.129519646831883</v>
      </c>
      <c r="Q13" s="935" t="n">
        <f aca="false">DataDE1!EH15/TableDE1!B94</f>
        <v>0.106154464326299</v>
      </c>
      <c r="R13" s="1157" t="n">
        <f aca="false">DataDE1!EI15/TableDE1!B94</f>
        <v>0.0233651825055835</v>
      </c>
      <c r="S13" s="1073"/>
    </row>
    <row r="14" customFormat="false" ht="12" hidden="false" customHeight="false" outlineLevel="0" collapsed="false">
      <c r="A14" s="416" t="n">
        <f aca="false">A13+1</f>
        <v>1955</v>
      </c>
      <c r="B14" s="519" t="n">
        <f aca="false">DataDE1!DV16/TableDE1!B95</f>
        <v>0.312175252335342</v>
      </c>
      <c r="C14" s="891" t="n">
        <f aca="false">DataDE1!I16/TableDE1!B95</f>
        <v>0.140135553420314</v>
      </c>
      <c r="D14" s="935"/>
      <c r="E14" s="935"/>
      <c r="F14" s="935" t="n">
        <f aca="false">DataDE1!EB16/TableDE1!B95</f>
        <v>0.0892892866397355</v>
      </c>
      <c r="G14" s="935"/>
      <c r="H14" s="1072"/>
      <c r="I14" s="1157"/>
      <c r="J14" s="1155"/>
      <c r="K14" s="1054"/>
      <c r="L14" s="1840"/>
      <c r="M14" s="1054"/>
      <c r="N14" s="1054"/>
      <c r="O14" s="1840"/>
      <c r="P14" s="1155" t="n">
        <f aca="false">DataDE1!EG16/TableDE1!B95</f>
        <v>0.127264415225154</v>
      </c>
      <c r="Q14" s="935" t="n">
        <f aca="false">DataDE1!EH16/TableDE1!B95</f>
        <v>0.104306073684417</v>
      </c>
      <c r="R14" s="1157" t="n">
        <f aca="false">DataDE1!EI16/TableDE1!B95</f>
        <v>0.0229583415407376</v>
      </c>
      <c r="S14" s="1073"/>
    </row>
    <row r="15" customFormat="false" ht="12" hidden="false" customHeight="false" outlineLevel="0" collapsed="false">
      <c r="A15" s="416" t="n">
        <f aca="false">A14+1</f>
        <v>1956</v>
      </c>
      <c r="B15" s="519" t="n">
        <f aca="false">DataDE1!DV17/TableDE1!B96</f>
        <v>0.313559067231498</v>
      </c>
      <c r="C15" s="891" t="n">
        <f aca="false">DataDE1!I17/TableDE1!B96</f>
        <v>0.135548828120271</v>
      </c>
      <c r="D15" s="935"/>
      <c r="E15" s="935"/>
      <c r="F15" s="935" t="n">
        <f aca="false">DataDE1!EB17/TableDE1!B96</f>
        <v>0.0902121394352692</v>
      </c>
      <c r="G15" s="935"/>
      <c r="H15" s="1072"/>
      <c r="I15" s="1157"/>
      <c r="J15" s="1155"/>
      <c r="K15" s="1054"/>
      <c r="L15" s="1840"/>
      <c r="M15" s="1054"/>
      <c r="N15" s="1054"/>
      <c r="O15" s="1840"/>
      <c r="P15" s="1155" t="n">
        <f aca="false">DataDE1!EG17/TableDE1!B96</f>
        <v>0.128464706889445</v>
      </c>
      <c r="Q15" s="935" t="n">
        <f aca="false">DataDE1!EH17/TableDE1!B96</f>
        <v>0.105289834231753</v>
      </c>
      <c r="R15" s="1157" t="n">
        <f aca="false">DataDE1!EI17/TableDE1!B96</f>
        <v>0.0231748726576923</v>
      </c>
      <c r="S15" s="1073"/>
    </row>
    <row r="16" customFormat="false" ht="12" hidden="false" customHeight="false" outlineLevel="0" collapsed="false">
      <c r="A16" s="416" t="n">
        <f aca="false">A15+1</f>
        <v>1957</v>
      </c>
      <c r="B16" s="519" t="n">
        <f aca="false">DataDE1!DV18/TableDE1!B97</f>
        <v>0.320399959298177</v>
      </c>
      <c r="C16" s="891" t="n">
        <f aca="false">DataDE1!I18/TableDE1!B97</f>
        <v>0.129277857505944</v>
      </c>
      <c r="D16" s="935"/>
      <c r="E16" s="935"/>
      <c r="F16" s="935" t="n">
        <f aca="false">DataDE1!EB18/TableDE1!B97</f>
        <v>0.10125391513273</v>
      </c>
      <c r="G16" s="935"/>
      <c r="H16" s="1072"/>
      <c r="I16" s="1157"/>
      <c r="J16" s="1155"/>
      <c r="K16" s="1054"/>
      <c r="L16" s="1840"/>
      <c r="M16" s="1054"/>
      <c r="N16" s="1054"/>
      <c r="O16" s="1840"/>
      <c r="P16" s="1155" t="n">
        <f aca="false">DataDE1!EG18/TableDE1!B97</f>
        <v>0.142903990156794</v>
      </c>
      <c r="Q16" s="935" t="n">
        <f aca="false">DataDE1!EH18/TableDE1!B97</f>
        <v>0.117124288833769</v>
      </c>
      <c r="R16" s="1157" t="n">
        <f aca="false">DataDE1!EI18/TableDE1!B97</f>
        <v>0.0257797013230248</v>
      </c>
      <c r="S16" s="1073"/>
    </row>
    <row r="17" customFormat="false" ht="12" hidden="false" customHeight="false" outlineLevel="0" collapsed="false">
      <c r="A17" s="416" t="n">
        <f aca="false">A16+1</f>
        <v>1958</v>
      </c>
      <c r="B17" s="519" t="n">
        <f aca="false">DataDE1!DV19/TableDE1!B98</f>
        <v>0.322754545355586</v>
      </c>
      <c r="C17" s="891" t="n">
        <f aca="false">DataDE1!I19/TableDE1!B98</f>
        <v>0.12857771606475</v>
      </c>
      <c r="D17" s="935"/>
      <c r="E17" s="935"/>
      <c r="F17" s="935" t="n">
        <f aca="false">DataDE1!EB19/TableDE1!B98</f>
        <v>0.109435254938555</v>
      </c>
      <c r="G17" s="935"/>
      <c r="H17" s="1072"/>
      <c r="I17" s="1157"/>
      <c r="J17" s="1155"/>
      <c r="K17" s="1054"/>
      <c r="L17" s="1840"/>
      <c r="M17" s="1054"/>
      <c r="N17" s="1054"/>
      <c r="O17" s="1840"/>
      <c r="P17" s="1155" t="n">
        <f aca="false">DataDE1!EG19/TableDE1!B98</f>
        <v>0.150372832556196</v>
      </c>
      <c r="Q17" s="935" t="n">
        <f aca="false">DataDE1!EH19/TableDE1!B98</f>
        <v>0.123245761393644</v>
      </c>
      <c r="R17" s="1157" t="n">
        <f aca="false">DataDE1!EI19/TableDE1!B98</f>
        <v>0.0271270711625517</v>
      </c>
      <c r="S17" s="1073"/>
    </row>
    <row r="18" customFormat="false" ht="12" hidden="false" customHeight="false" outlineLevel="0" collapsed="false">
      <c r="A18" s="416" t="n">
        <f aca="false">A17+1</f>
        <v>1959</v>
      </c>
      <c r="B18" s="519" t="n">
        <f aca="false">DataDE1!DV20/TableDE1!B99</f>
        <v>0.32623715074975</v>
      </c>
      <c r="C18" s="891" t="n">
        <f aca="false">DataDE1!I20/TableDE1!B99</f>
        <v>0.132138482244679</v>
      </c>
      <c r="D18" s="935"/>
      <c r="E18" s="935"/>
      <c r="F18" s="935" t="n">
        <f aca="false">DataDE1!EB20/TableDE1!B99</f>
        <v>0.107043900616424</v>
      </c>
      <c r="G18" s="935"/>
      <c r="H18" s="1072"/>
      <c r="I18" s="1157"/>
      <c r="J18" s="1155"/>
      <c r="K18" s="1054"/>
      <c r="L18" s="1840"/>
      <c r="M18" s="1054"/>
      <c r="N18" s="1054"/>
      <c r="O18" s="1840"/>
      <c r="P18" s="1155" t="n">
        <f aca="false">DataDE1!EG20/TableDE1!B99</f>
        <v>0.142582429609795</v>
      </c>
      <c r="Q18" s="935" t="n">
        <f aca="false">DataDE1!EH20/TableDE1!B99</f>
        <v>0.116860737407788</v>
      </c>
      <c r="R18" s="1157" t="n">
        <f aca="false">DataDE1!EI20/TableDE1!B99</f>
        <v>0.0257216922020072</v>
      </c>
      <c r="S18" s="1073"/>
    </row>
    <row r="19" customFormat="false" ht="12" hidden="false" customHeight="false" outlineLevel="0" collapsed="false">
      <c r="A19" s="864" t="n">
        <f aca="false">A18+1</f>
        <v>1960</v>
      </c>
      <c r="B19" s="526" t="n">
        <f aca="false">DataDE1!DV21/TableDE1!B100</f>
        <v>0.329060659751494</v>
      </c>
      <c r="C19" s="1078" t="n">
        <f aca="false">DataDE1!I21/TableDE1!B100</f>
        <v>0.12847016905564</v>
      </c>
      <c r="D19" s="1048"/>
      <c r="E19" s="1048"/>
      <c r="F19" s="1048" t="n">
        <f aca="false">DataDE1!EB21/TableDE1!B100</f>
        <v>0.105897571098914</v>
      </c>
      <c r="G19" s="1048"/>
      <c r="H19" s="1488"/>
      <c r="I19" s="1153"/>
      <c r="J19" s="1151"/>
      <c r="K19" s="1327"/>
      <c r="L19" s="1841"/>
      <c r="M19" s="1327"/>
      <c r="N19" s="1327"/>
      <c r="O19" s="1841"/>
      <c r="P19" s="1151" t="n">
        <f aca="false">DataDE1!EG21/TableDE1!B100</f>
        <v>0.132508589572031</v>
      </c>
      <c r="Q19" s="1048" t="n">
        <f aca="false">DataDE1!EH21/TableDE1!B100</f>
        <v>0.108604205529611</v>
      </c>
      <c r="R19" s="1153" t="n">
        <f aca="false">DataDE1!EI21/TableDE1!B100</f>
        <v>0.0239043840424202</v>
      </c>
      <c r="S19" s="1842"/>
    </row>
    <row r="20" customFormat="false" ht="12" hidden="false" customHeight="false" outlineLevel="0" collapsed="false">
      <c r="A20" s="416" t="n">
        <f aca="false">A19+1</f>
        <v>1961</v>
      </c>
      <c r="B20" s="519" t="n">
        <f aca="false">DataDE1!DV22/TableDE1!B101</f>
        <v>0.342285942717864</v>
      </c>
      <c r="C20" s="891" t="n">
        <f aca="false">DataDE1!I22/TableDE1!B101</f>
        <v>0.130797990951227</v>
      </c>
      <c r="D20" s="935"/>
      <c r="E20" s="935"/>
      <c r="F20" s="935" t="n">
        <f aca="false">DataDE1!EB22/TableDE1!B101</f>
        <v>0.10724165367604</v>
      </c>
      <c r="G20" s="935"/>
      <c r="H20" s="1072"/>
      <c r="I20" s="1157"/>
      <c r="J20" s="1155"/>
      <c r="K20" s="1054"/>
      <c r="L20" s="1840"/>
      <c r="M20" s="1054"/>
      <c r="N20" s="1054"/>
      <c r="O20" s="1840"/>
      <c r="P20" s="1155" t="n">
        <f aca="false">DataDE1!EG22/TableDE1!B101</f>
        <v>0.132079847703217</v>
      </c>
      <c r="Q20" s="935" t="n">
        <f aca="false">DataDE1!EH22/TableDE1!B101</f>
        <v>0.10825280815839</v>
      </c>
      <c r="R20" s="1157" t="n">
        <f aca="false">DataDE1!EI22/TableDE1!B101</f>
        <v>0.0238270395448274</v>
      </c>
      <c r="S20" s="1073"/>
    </row>
    <row r="21" customFormat="false" ht="12" hidden="false" customHeight="false" outlineLevel="0" collapsed="false">
      <c r="A21" s="416" t="n">
        <f aca="false">A20+1</f>
        <v>1962</v>
      </c>
      <c r="B21" s="519" t="n">
        <f aca="false">DataDE1!DV23/TableDE1!B102</f>
        <v>0.348466250763395</v>
      </c>
      <c r="C21" s="891" t="n">
        <f aca="false">DataDE1!I23/TableDE1!B102</f>
        <v>0.130960676598303</v>
      </c>
      <c r="D21" s="935"/>
      <c r="E21" s="935"/>
      <c r="F21" s="935" t="n">
        <f aca="false">DataDE1!EB23/TableDE1!B102</f>
        <v>0.109764078515038</v>
      </c>
      <c r="G21" s="935"/>
      <c r="H21" s="1072"/>
      <c r="I21" s="1157"/>
      <c r="J21" s="1155"/>
      <c r="K21" s="1054"/>
      <c r="L21" s="1840"/>
      <c r="M21" s="1054"/>
      <c r="N21" s="1054"/>
      <c r="O21" s="1840"/>
      <c r="P21" s="1155" t="n">
        <f aca="false">DataDE1!EG23/TableDE1!B102</f>
        <v>0.132882033429976</v>
      </c>
      <c r="Q21" s="935" t="n">
        <f aca="false">DataDE1!EH23/TableDE1!B102</f>
        <v>0.108910280582051</v>
      </c>
      <c r="R21" s="1157" t="n">
        <f aca="false">DataDE1!EI23/TableDE1!B102</f>
        <v>0.0239717528479251</v>
      </c>
      <c r="S21" s="1073"/>
    </row>
    <row r="22" customFormat="false" ht="12" hidden="false" customHeight="false" outlineLevel="0" collapsed="false">
      <c r="A22" s="416" t="n">
        <f aca="false">A21+1</f>
        <v>1963</v>
      </c>
      <c r="B22" s="519" t="n">
        <f aca="false">DataDE1!DV24/TableDE1!B103</f>
        <v>0.352688524837078</v>
      </c>
      <c r="C22" s="891" t="n">
        <f aca="false">DataDE1!I24/TableDE1!B103</f>
        <v>0.129909686905176</v>
      </c>
      <c r="D22" s="935"/>
      <c r="E22" s="935"/>
      <c r="F22" s="935" t="n">
        <f aca="false">DataDE1!EB24/TableDE1!B103</f>
        <v>0.112440334707306</v>
      </c>
      <c r="G22" s="935"/>
      <c r="H22" s="1072"/>
      <c r="I22" s="1157"/>
      <c r="J22" s="1155"/>
      <c r="K22" s="1054"/>
      <c r="L22" s="1840"/>
      <c r="M22" s="1054"/>
      <c r="N22" s="1054"/>
      <c r="O22" s="1840"/>
      <c r="P22" s="1155" t="n">
        <f aca="false">DataDE1!EG24/TableDE1!B103</f>
        <v>0.134912205073914</v>
      </c>
      <c r="Q22" s="935" t="n">
        <f aca="false">DataDE1!EH24/TableDE1!B103</f>
        <v>0.110574211797308</v>
      </c>
      <c r="R22" s="1157" t="n">
        <f aca="false">DataDE1!EI24/TableDE1!B103</f>
        <v>0.0243379932766056</v>
      </c>
      <c r="S22" s="1073"/>
    </row>
    <row r="23" customFormat="false" ht="12" hidden="false" customHeight="false" outlineLevel="0" collapsed="false">
      <c r="A23" s="416" t="n">
        <f aca="false">A22+1</f>
        <v>1964</v>
      </c>
      <c r="B23" s="519" t="n">
        <f aca="false">DataDE1!DV25/TableDE1!B104</f>
        <v>0.348680042880846</v>
      </c>
      <c r="C23" s="891" t="n">
        <f aca="false">DataDE1!I25/TableDE1!B104</f>
        <v>0.12823319653635</v>
      </c>
      <c r="D23" s="935"/>
      <c r="E23" s="935"/>
      <c r="F23" s="935" t="n">
        <f aca="false">DataDE1!EB25/TableDE1!B104</f>
        <v>0.109157165101348</v>
      </c>
      <c r="G23" s="935"/>
      <c r="H23" s="1072"/>
      <c r="I23" s="1157"/>
      <c r="J23" s="1155"/>
      <c r="K23" s="1054"/>
      <c r="L23" s="1840"/>
      <c r="M23" s="1054"/>
      <c r="N23" s="1054"/>
      <c r="O23" s="1840"/>
      <c r="P23" s="1155" t="n">
        <f aca="false">DataDE1!EG25/TableDE1!B104</f>
        <v>0.13483489861437</v>
      </c>
      <c r="Q23" s="935" t="n">
        <f aca="false">DataDE1!EH25/TableDE1!B104</f>
        <v>0.110510851326503</v>
      </c>
      <c r="R23" s="1157" t="n">
        <f aca="false">DataDE1!EI25/TableDE1!B104</f>
        <v>0.0243240472878674</v>
      </c>
      <c r="S23" s="1073"/>
    </row>
    <row r="24" customFormat="false" ht="12" hidden="false" customHeight="false" outlineLevel="0" collapsed="false">
      <c r="A24" s="416" t="n">
        <f aca="false">A23+1</f>
        <v>1965</v>
      </c>
      <c r="B24" s="519" t="n">
        <f aca="false">DataDE1!DV26/TableDE1!B105</f>
        <v>0.338603811720048</v>
      </c>
      <c r="C24" s="891" t="n">
        <f aca="false">DataDE1!I26/TableDE1!B105</f>
        <v>0.124324144804937</v>
      </c>
      <c r="D24" s="935"/>
      <c r="E24" s="935"/>
      <c r="F24" s="935" t="n">
        <f aca="false">DataDE1!EB26/TableDE1!B105</f>
        <v>0.106254764132216</v>
      </c>
      <c r="G24" s="935"/>
      <c r="H24" s="1072"/>
      <c r="I24" s="1157"/>
      <c r="J24" s="1155"/>
      <c r="K24" s="1054"/>
      <c r="L24" s="1840"/>
      <c r="M24" s="1054"/>
      <c r="N24" s="1054"/>
      <c r="O24" s="1840"/>
      <c r="P24" s="1155" t="n">
        <f aca="false">DataDE1!EG26/TableDE1!B105</f>
        <v>0.138914354816834</v>
      </c>
      <c r="Q24" s="935" t="n">
        <f aca="false">DataDE1!EH26/TableDE1!B105</f>
        <v>0.113854378725688</v>
      </c>
      <c r="R24" s="1157" t="n">
        <f aca="false">DataDE1!EI26/TableDE1!B105</f>
        <v>0.0250599760911464</v>
      </c>
      <c r="S24" s="1073"/>
    </row>
    <row r="25" customFormat="false" ht="12" hidden="false" customHeight="false" outlineLevel="0" collapsed="false">
      <c r="A25" s="416" t="n">
        <f aca="false">A24+1</f>
        <v>1966</v>
      </c>
      <c r="B25" s="519" t="n">
        <f aca="false">DataDE1!DV27/TableDE1!B106</f>
        <v>0.349368297135629</v>
      </c>
      <c r="C25" s="891" t="n">
        <f aca="false">DataDE1!I27/TableDE1!B106</f>
        <v>0.124456683844283</v>
      </c>
      <c r="D25" s="935"/>
      <c r="E25" s="935"/>
      <c r="F25" s="935" t="n">
        <f aca="false">DataDE1!EB27/TableDE1!B106</f>
        <v>0.116048089155507</v>
      </c>
      <c r="G25" s="935"/>
      <c r="H25" s="1072"/>
      <c r="I25" s="1157"/>
      <c r="J25" s="1155"/>
      <c r="K25" s="1054"/>
      <c r="L25" s="1840"/>
      <c r="M25" s="1054"/>
      <c r="N25" s="1054"/>
      <c r="O25" s="1840"/>
      <c r="P25" s="1155" t="n">
        <f aca="false">DataDE1!EG27/TableDE1!B106</f>
        <v>0.143629756120725</v>
      </c>
      <c r="Q25" s="935" t="n">
        <f aca="false">DataDE1!EH27/TableDE1!B106</f>
        <v>0.117719127524361</v>
      </c>
      <c r="R25" s="1157" t="n">
        <f aca="false">DataDE1!EI27/TableDE1!B106</f>
        <v>0.0259106285963643</v>
      </c>
      <c r="S25" s="1073"/>
    </row>
    <row r="26" customFormat="false" ht="12" hidden="false" customHeight="false" outlineLevel="0" collapsed="false">
      <c r="A26" s="416" t="n">
        <f aca="false">A25+1</f>
        <v>1967</v>
      </c>
      <c r="B26" s="519" t="n">
        <f aca="false">DataDE1!DV28/TableDE1!B107</f>
        <v>0.357276782995542</v>
      </c>
      <c r="C26" s="891" t="n">
        <f aca="false">DataDE1!I28/TableDE1!B107</f>
        <v>0.12889299645944</v>
      </c>
      <c r="D26" s="935"/>
      <c r="E26" s="935"/>
      <c r="F26" s="935" t="n">
        <f aca="false">DataDE1!EB28/TableDE1!B107</f>
        <v>0.120764625145788</v>
      </c>
      <c r="G26" s="935"/>
      <c r="H26" s="1072"/>
      <c r="I26" s="1157"/>
      <c r="J26" s="1155"/>
      <c r="K26" s="1054"/>
      <c r="L26" s="1840"/>
      <c r="M26" s="1054"/>
      <c r="N26" s="1054"/>
      <c r="O26" s="1840"/>
      <c r="P26" s="1155" t="n">
        <f aca="false">DataDE1!EG28/TableDE1!B107</f>
        <v>0.15652572522979</v>
      </c>
      <c r="Q26" s="935" t="n">
        <f aca="false">DataDE1!EH28/TableDE1!B107</f>
        <v>0.128288679914495</v>
      </c>
      <c r="R26" s="1157" t="n">
        <f aca="false">DataDE1!EI28/TableDE1!B107</f>
        <v>0.0282370453152947</v>
      </c>
      <c r="S26" s="1073"/>
    </row>
    <row r="27" customFormat="false" ht="12" hidden="false" customHeight="false" outlineLevel="0" collapsed="false">
      <c r="A27" s="416" t="n">
        <f aca="false">A26+1</f>
        <v>1968</v>
      </c>
      <c r="B27" s="519" t="n">
        <f aca="false">DataDE1!DV29/TableDE1!B108</f>
        <v>0.364084359051555</v>
      </c>
      <c r="C27" s="891" t="n">
        <f aca="false">DataDE1!I29/TableDE1!B108</f>
        <v>0.117984132911024</v>
      </c>
      <c r="D27" s="935"/>
      <c r="E27" s="935"/>
      <c r="F27" s="935" t="n">
        <f aca="false">DataDE1!EB29/TableDE1!B108</f>
        <v>0.122812567529037</v>
      </c>
      <c r="G27" s="935"/>
      <c r="H27" s="1072"/>
      <c r="I27" s="1157"/>
      <c r="J27" s="1155"/>
      <c r="K27" s="1054"/>
      <c r="L27" s="1840"/>
      <c r="M27" s="1054"/>
      <c r="N27" s="1054"/>
      <c r="O27" s="1840"/>
      <c r="P27" s="1155" t="n">
        <f aca="false">DataDE1!EG29/TableDE1!B108</f>
        <v>0.151061785463075</v>
      </c>
      <c r="Q27" s="935" t="n">
        <f aca="false">DataDE1!EH29/TableDE1!B108</f>
        <v>0.123810428056693</v>
      </c>
      <c r="R27" s="1157" t="n">
        <f aca="false">DataDE1!EI29/TableDE1!B108</f>
        <v>0.0272513574063822</v>
      </c>
      <c r="S27" s="1073"/>
    </row>
    <row r="28" customFormat="false" ht="12" hidden="false" customHeight="false" outlineLevel="0" collapsed="false">
      <c r="A28" s="436" t="n">
        <f aca="false">A27+1</f>
        <v>1969</v>
      </c>
      <c r="B28" s="534" t="n">
        <f aca="false">DataDE1!DV30/TableDE1!B109</f>
        <v>0.377798177369909</v>
      </c>
      <c r="C28" s="990" t="n">
        <f aca="false">DataDE1!I30/TableDE1!B109</f>
        <v>0.130073162647761</v>
      </c>
      <c r="D28" s="1063"/>
      <c r="E28" s="1063"/>
      <c r="F28" s="1063" t="n">
        <f aca="false">DataDE1!EB30/TableDE1!B109</f>
        <v>0.125672358406645</v>
      </c>
      <c r="G28" s="1063"/>
      <c r="H28" s="1496"/>
      <c r="I28" s="1160"/>
      <c r="J28" s="1158"/>
      <c r="K28" s="1069"/>
      <c r="L28" s="1843"/>
      <c r="M28" s="1069"/>
      <c r="N28" s="1069"/>
      <c r="O28" s="1843"/>
      <c r="P28" s="1158" t="n">
        <f aca="false">DataDE1!EG30/TableDE1!B109</f>
        <v>0.145817642424804</v>
      </c>
      <c r="Q28" s="1063" t="n">
        <f aca="false">DataDE1!EH30/TableDE1!B109</f>
        <v>0.119512321872071</v>
      </c>
      <c r="R28" s="1160" t="n">
        <f aca="false">DataDE1!EI30/TableDE1!B109</f>
        <v>0.0263053205527332</v>
      </c>
      <c r="S28" s="1844"/>
    </row>
    <row r="29" customFormat="false" ht="12" hidden="false" customHeight="false" outlineLevel="0" collapsed="false">
      <c r="A29" s="416" t="n">
        <f aca="false">A28+1</f>
        <v>1970</v>
      </c>
      <c r="B29" s="519" t="n">
        <f aca="false">DataDE1!DV31/TableDE1!B110</f>
        <v>0.369799451918286</v>
      </c>
      <c r="C29" s="891" t="n">
        <f aca="false">DataDE1!I31/TableDE1!B110</f>
        <v>0.11624937717987</v>
      </c>
      <c r="D29" s="935" t="n">
        <f aca="false">DataDE1!DX31/TableDE1!B110</f>
        <v>0.0198368211260588</v>
      </c>
      <c r="E29" s="935" t="n">
        <f aca="false">DataDE1!DY31/TableDE1!B110</f>
        <v>0.10120827105132</v>
      </c>
      <c r="F29" s="935" t="n">
        <f aca="false">DataDE1!EB31/TableDE1!B110</f>
        <v>0.132504982561036</v>
      </c>
      <c r="G29" s="935" t="n">
        <f aca="false">DataDE1!EC31/TableDE1!B110</f>
        <v>0.0340592953787452</v>
      </c>
      <c r="H29" s="1072" t="n">
        <f aca="false">DataDE1!EF31/TableDE1!B110</f>
        <v>0.000840807174887892</v>
      </c>
      <c r="I29" s="1157" t="n">
        <f aca="false">DataDE1!ED31/TableDE1!B110</f>
        <v>0.21949077935967</v>
      </c>
      <c r="J29" s="1155" t="n">
        <f aca="false">G29/TableDE11a!B110</f>
        <v>0.168036740285256</v>
      </c>
      <c r="K29" s="1054" t="n">
        <f aca="false">I29/TableDE11a!I110</f>
        <v>0.324398784528018</v>
      </c>
      <c r="L29" s="1840" t="n">
        <f aca="false">(I29-MIN(F29,Q29))/TableDE11a!$I110</f>
        <v>0.154912479090741</v>
      </c>
      <c r="M29" s="1054" t="n">
        <f aca="false">1-(1-$C29)*(1-J29)</f>
        <v>0.26475195106363</v>
      </c>
      <c r="N29" s="1054" t="n">
        <f aca="false">1-(1-$C29)*(1-K29)</f>
        <v>0.402937005048599</v>
      </c>
      <c r="O29" s="1840" t="n">
        <f aca="false">1-(1-$C29)*(1-L29)</f>
        <v>0.253153377058923</v>
      </c>
      <c r="P29" s="1155" t="n">
        <f aca="false">DataDE1!EG31/TableDE1!B110</f>
        <v>0.139916542102641</v>
      </c>
      <c r="Q29" s="935" t="n">
        <f aca="false">DataDE1!EH31/TableDE1!B110</f>
        <v>0.114675772676966</v>
      </c>
      <c r="R29" s="1157" t="n">
        <f aca="false">DataDE1!EI31/TableDE1!B110</f>
        <v>0.0252407694256746</v>
      </c>
      <c r="S29" s="1073" t="n">
        <f aca="false">DataDE1!EJ31/TableDE1!B110</f>
        <v>0.0413552566018934</v>
      </c>
      <c r="V29" s="1010" t="n">
        <f aca="false">C29+D29+E29+F29-B29</f>
        <v>0</v>
      </c>
      <c r="W29" s="1010" t="n">
        <f aca="false">G29+I29+C29-B29</f>
        <v>0</v>
      </c>
    </row>
    <row r="30" customFormat="false" ht="12" hidden="false" customHeight="false" outlineLevel="0" collapsed="false">
      <c r="A30" s="416" t="n">
        <v>1971</v>
      </c>
      <c r="B30" s="519" t="n">
        <f aca="false">DataDE1!DV32/TableDE1!B111</f>
        <v>0.379787894172731</v>
      </c>
      <c r="C30" s="891" t="n">
        <f aca="false">DataDE1!I32/TableDE1!B111</f>
        <v>0.116432560500931</v>
      </c>
      <c r="D30" s="935" t="n">
        <f aca="false">DataDE1!DX32/TableDE1!B111</f>
        <v>0.0161335815422801</v>
      </c>
      <c r="E30" s="935" t="n">
        <f aca="false">DataDE1!DY32/TableDE1!B111</f>
        <v>0.107886275173464</v>
      </c>
      <c r="F30" s="935" t="n">
        <f aca="false">DataDE1!EB32/TableDE1!B111</f>
        <v>0.139335476956056</v>
      </c>
      <c r="G30" s="935" t="n">
        <f aca="false">DataDE1!EC32/TableDE1!B111</f>
        <v>0.0303795012188525</v>
      </c>
      <c r="H30" s="1072" t="n">
        <f aca="false">DataDE1!EF32/TableDE1!B111</f>
        <v>0.000733344615558188</v>
      </c>
      <c r="I30" s="1157" t="n">
        <f aca="false">DataDE1!ED32/TableDE1!B111</f>
        <v>0.232975832452948</v>
      </c>
      <c r="J30" s="1155" t="n">
        <f aca="false">G30/TableDE11a!B111</f>
        <v>0.15826358549029</v>
      </c>
      <c r="K30" s="1054" t="n">
        <f aca="false">I30/TableDE11a!I111</f>
        <v>0.338807224456857</v>
      </c>
      <c r="L30" s="1840" t="n">
        <f aca="false">(I30-MIN(F30,Q30))/TableDE11a!$I111</f>
        <v>0.168932619577067</v>
      </c>
      <c r="M30" s="1054" t="n">
        <f aca="false">1-(1-$C30)*(1-J30)</f>
        <v>0.256269111498529</v>
      </c>
      <c r="N30" s="1054" t="n">
        <f aca="false">1-(1-$C30)*(1-K30)</f>
        <v>0.415791592298062</v>
      </c>
      <c r="O30" s="1840" t="n">
        <f aca="false">1-(1-$C30)*(1-L30)</f>
        <v>0.26569592262851</v>
      </c>
      <c r="P30" s="1155" t="n">
        <f aca="false">DataDE1!EG32/TableDE1!B111</f>
        <v>0.14252270547752</v>
      </c>
      <c r="Q30" s="935" t="n">
        <f aca="false">DataDE1!EH32/TableDE1!B111</f>
        <v>0.116811787434374</v>
      </c>
      <c r="R30" s="1157" t="n">
        <f aca="false">DataDE1!EI32/TableDE1!B111</f>
        <v>0.0257109180431462</v>
      </c>
      <c r="S30" s="1073" t="n">
        <f aca="false">DataDE1!EJ32/TableDE1!B111</f>
        <v>0.0457212162238393</v>
      </c>
      <c r="V30" s="1010" t="n">
        <f aca="false">C30+D30+E30+F30-B30</f>
        <v>0</v>
      </c>
      <c r="W30" s="1010" t="n">
        <f aca="false">G30+I30+C30-B30</f>
        <v>0</v>
      </c>
    </row>
    <row r="31" customFormat="false" ht="12" hidden="false" customHeight="false" outlineLevel="0" collapsed="false">
      <c r="A31" s="416" t="n">
        <v>1972</v>
      </c>
      <c r="B31" s="519" t="n">
        <f aca="false">DataDE1!DV33/TableDE1!B112</f>
        <v>0.383250311332503</v>
      </c>
      <c r="C31" s="891" t="n">
        <f aca="false">DataDE1!I33/TableDE1!B112</f>
        <v>0.114466583644666</v>
      </c>
      <c r="D31" s="935" t="n">
        <f aca="false">DataDE1!DX33/TableDE1!B112</f>
        <v>0.0153590701535907</v>
      </c>
      <c r="E31" s="935" t="n">
        <f aca="false">DataDE1!DY33/TableDE1!B112</f>
        <v>0.106864881693649</v>
      </c>
      <c r="F31" s="935" t="n">
        <f aca="false">DataDE1!EB33/TableDE1!B112</f>
        <v>0.146559775840598</v>
      </c>
      <c r="G31" s="935" t="n">
        <f aca="false">DataDE1!EC33/TableDE1!B112</f>
        <v>0.0290644005764436</v>
      </c>
      <c r="H31" s="1072" t="n">
        <f aca="false">DataDE1!EF33/TableDE1!B112</f>
        <v>0.000726442507264425</v>
      </c>
      <c r="I31" s="1157" t="n">
        <f aca="false">DataDE1!ED33/TableDE1!B112</f>
        <v>0.239719327111394</v>
      </c>
      <c r="J31" s="1155" t="n">
        <f aca="false">G31/TableDE11a!B112</f>
        <v>0.155045805310402</v>
      </c>
      <c r="K31" s="1054" t="n">
        <f aca="false">I31/TableDE11a!I112</f>
        <v>0.343987851088145</v>
      </c>
      <c r="L31" s="1840" t="n">
        <f aca="false">(I31-MIN(F31,Q31))/TableDE11a!$I112</f>
        <v>0.168293602874362</v>
      </c>
      <c r="M31" s="1054" t="n">
        <f aca="false">1-(1-$C31)*(1-J31)</f>
        <v>0.25176482531275</v>
      </c>
      <c r="N31" s="1054" t="n">
        <f aca="false">1-(1-$C31)*(1-K31)</f>
        <v>0.419079320603481</v>
      </c>
      <c r="O31" s="1840" t="n">
        <f aca="false">1-(1-$C31)*(1-L31)</f>
        <v>0.263496192748747</v>
      </c>
      <c r="P31" s="1155" t="n">
        <f aca="false">DataDE1!EG33/TableDE1!B112</f>
        <v>0.149387712743877</v>
      </c>
      <c r="Q31" s="935" t="n">
        <f aca="false">DataDE1!EH33/TableDE1!B112</f>
        <v>0.122438355964955</v>
      </c>
      <c r="R31" s="1157" t="n">
        <f aca="false">DataDE1!EI33/TableDE1!B112</f>
        <v>0.0269493567789219</v>
      </c>
      <c r="S31" s="1073" t="n">
        <f aca="false">DataDE1!EJ33/TableDE1!B112</f>
        <v>0.0492943129929431</v>
      </c>
      <c r="V31" s="1010" t="n">
        <f aca="false">C31+D31+E31+F31-B31</f>
        <v>0</v>
      </c>
      <c r="W31" s="1010" t="n">
        <f aca="false">G31+I31+C31-B31</f>
        <v>0</v>
      </c>
    </row>
    <row r="32" customFormat="false" ht="12" hidden="false" customHeight="false" outlineLevel="0" collapsed="false">
      <c r="A32" s="416" t="n">
        <v>1973</v>
      </c>
      <c r="B32" s="519" t="n">
        <f aca="false">DataDE1!DV34/TableDE1!B113</f>
        <v>0.405457000512176</v>
      </c>
      <c r="C32" s="891" t="n">
        <f aca="false">DataDE1!I34/TableDE1!B113</f>
        <v>0.110676537691484</v>
      </c>
      <c r="D32" s="935" t="n">
        <f aca="false">DataDE1!DX34/TableDE1!B113</f>
        <v>0.0181356800297993</v>
      </c>
      <c r="E32" s="935" t="n">
        <f aca="false">DataDE1!DY34/TableDE1!B113</f>
        <v>0.120780369697816</v>
      </c>
      <c r="F32" s="935" t="n">
        <f aca="false">DataDE1!EB34/TableDE1!B113</f>
        <v>0.155864413093076</v>
      </c>
      <c r="G32" s="935" t="n">
        <f aca="false">DataDE1!EC34/TableDE1!B113</f>
        <v>0.0329332156512562</v>
      </c>
      <c r="H32" s="1072" t="n">
        <f aca="false">DataDE1!EF34/TableDE1!B113</f>
        <v>0.000582017972714997</v>
      </c>
      <c r="I32" s="1157" t="n">
        <f aca="false">DataDE1!ED34/TableDE1!B113</f>
        <v>0.261847247169436</v>
      </c>
      <c r="J32" s="1155" t="n">
        <f aca="false">G32/TableDE11a!B113</f>
        <v>0.181913297016595</v>
      </c>
      <c r="K32" s="1054" t="n">
        <f aca="false">I32/TableDE11a!I113</f>
        <v>0.370093103725851</v>
      </c>
      <c r="L32" s="1840" t="n">
        <f aca="false">(I32-MIN(F32,Q32))/TableDE11a!$I113</f>
        <v>0.195955419247972</v>
      </c>
      <c r="M32" s="1054" t="n">
        <f aca="false">1-(1-$C32)*(1-J32)</f>
        <v>0.27245630083424</v>
      </c>
      <c r="N32" s="1054" t="n">
        <f aca="false">1-(1-$C32)*(1-K32)</f>
        <v>0.439809018073463</v>
      </c>
      <c r="O32" s="1840" t="n">
        <f aca="false">1-(1-$C32)*(1-L32)</f>
        <v>0.284944289595207</v>
      </c>
      <c r="P32" s="1155" t="n">
        <f aca="false">DataDE1!EG34/TableDE1!B113</f>
        <v>0.15032360199283</v>
      </c>
      <c r="Q32" s="935" t="n">
        <f aca="false">DataDE1!EH34/TableDE1!B113</f>
        <v>0.123205411962415</v>
      </c>
      <c r="R32" s="1157" t="n">
        <f aca="false">DataDE1!EI34/TableDE1!B113</f>
        <v>0.0271181900304144</v>
      </c>
      <c r="S32" s="1073" t="n">
        <f aca="false">DataDE1!EJ34/TableDE1!B113</f>
        <v>0.0526144247334358</v>
      </c>
      <c r="V32" s="1010" t="n">
        <f aca="false">C32+D32+E32+F32-B32</f>
        <v>0</v>
      </c>
      <c r="W32" s="1010" t="n">
        <f aca="false">G32+I32+C32-B32</f>
        <v>0</v>
      </c>
    </row>
    <row r="33" customFormat="false" ht="12" hidden="false" customHeight="false" outlineLevel="0" collapsed="false">
      <c r="A33" s="416" t="n">
        <v>1974</v>
      </c>
      <c r="B33" s="519" t="n">
        <f aca="false">DataDE1!DV35/TableDE1!B114</f>
        <v>0.411704911650842</v>
      </c>
      <c r="C33" s="891" t="n">
        <f aca="false">DataDE1!I35/TableDE1!B114</f>
        <v>0.106343404632654</v>
      </c>
      <c r="D33" s="935" t="n">
        <f aca="false">DataDE1!DX35/TableDE1!B114</f>
        <v>0.0166533295845319</v>
      </c>
      <c r="E33" s="935" t="n">
        <f aca="false">DataDE1!DY35/TableDE1!B114</f>
        <v>0.126327400134092</v>
      </c>
      <c r="F33" s="935" t="n">
        <f aca="false">DataDE1!EB35/TableDE1!B114</f>
        <v>0.162380777299565</v>
      </c>
      <c r="G33" s="935" t="n">
        <f aca="false">DataDE1!EC35/TableDE1!B114</f>
        <v>0.0310185585763808</v>
      </c>
      <c r="H33" s="1072" t="n">
        <f aca="false">DataDE1!EF35/TableDE1!B114</f>
        <v>0.000519064818219175</v>
      </c>
      <c r="I33" s="1157" t="n">
        <f aca="false">DataDE1!ED35/TableDE1!B114</f>
        <v>0.274342948441808</v>
      </c>
      <c r="J33" s="1155" t="n">
        <f aca="false">G33/TableDE11a!B114</f>
        <v>0.180473839547664</v>
      </c>
      <c r="K33" s="1054" t="n">
        <f aca="false">I33/TableDE11a!I114</f>
        <v>0.378818925029605</v>
      </c>
      <c r="L33" s="1840" t="n">
        <f aca="false">(I33-MIN(F33,Q33))/TableDE11a!$I114</f>
        <v>0.195073199431095</v>
      </c>
      <c r="M33" s="1054" t="n">
        <f aca="false">1-(1-$C33)*(1-J33)</f>
        <v>0.267625041635691</v>
      </c>
      <c r="N33" s="1054" t="n">
        <f aca="false">1-(1-$C33)*(1-K33)</f>
        <v>0.444877435435328</v>
      </c>
      <c r="O33" s="1840" t="n">
        <f aca="false">1-(1-$C33)*(1-L33)</f>
        <v>0.280671855883661</v>
      </c>
      <c r="P33" s="1155" t="n">
        <f aca="false">DataDE1!EG35/TableDE1!B114</f>
        <v>0.162359149598806</v>
      </c>
      <c r="Q33" s="935" t="n">
        <f aca="false">DataDE1!EH35/TableDE1!B114</f>
        <v>0.133069761813867</v>
      </c>
      <c r="R33" s="1157" t="n">
        <f aca="false">DataDE1!EI35/TableDE1!B114</f>
        <v>0.0292893877849396</v>
      </c>
      <c r="S33" s="1073" t="n">
        <f aca="false">DataDE1!EJ35/TableDE1!B114</f>
        <v>0.0591301338754677</v>
      </c>
      <c r="V33" s="1010" t="n">
        <f aca="false">C33+D33+E33+F33-B33</f>
        <v>0</v>
      </c>
      <c r="W33" s="1010" t="n">
        <f aca="false">G33+I33+C33-B33</f>
        <v>0</v>
      </c>
    </row>
    <row r="34" customFormat="false" ht="12" hidden="false" customHeight="false" outlineLevel="0" collapsed="false">
      <c r="A34" s="416" t="n">
        <v>1975</v>
      </c>
      <c r="B34" s="519" t="n">
        <f aca="false">DataDE1!DV36/TableDE1!B115</f>
        <v>0.411035826029299</v>
      </c>
      <c r="C34" s="891" t="n">
        <f aca="false">DataDE1!I36/TableDE1!B115</f>
        <v>0.104888004807194</v>
      </c>
      <c r="D34" s="935" t="n">
        <f aca="false">DataDE1!DX36/TableDE1!B115</f>
        <v>0.0148359959387497</v>
      </c>
      <c r="E34" s="935" t="n">
        <f aca="false">DataDE1!DY36/TableDE1!B115</f>
        <v>0.117320403638549</v>
      </c>
      <c r="F34" s="935" t="n">
        <f aca="false">DataDE1!EB36/TableDE1!B115</f>
        <v>0.173991421644806</v>
      </c>
      <c r="G34" s="935" t="n">
        <f aca="false">DataDE1!EC36/TableDE1!B115</f>
        <v>0.0283528311965652</v>
      </c>
      <c r="H34" s="1072" t="n">
        <f aca="false">DataDE1!EF36/TableDE1!B115</f>
        <v>0.000559457947410953</v>
      </c>
      <c r="I34" s="1157" t="n">
        <f aca="false">DataDE1!ED36/TableDE1!B115</f>
        <v>0.27779499002554</v>
      </c>
      <c r="J34" s="1155" t="n">
        <f aca="false">G34/TableDE11a!B115</f>
        <v>0.160264504983465</v>
      </c>
      <c r="K34" s="1054" t="n">
        <f aca="false">I34/TableDE11a!I115</f>
        <v>0.383815007584967</v>
      </c>
      <c r="L34" s="1840" t="n">
        <f aca="false">(I34-MIN(F34,Q34))/TableDE11a!$I115</f>
        <v>0.164331847890694</v>
      </c>
      <c r="M34" s="1054" t="n">
        <f aca="false">1-(1-$C34)*(1-J34)</f>
        <v>0.248342685621531</v>
      </c>
      <c r="N34" s="1054" t="n">
        <f aca="false">1-(1-$C34)*(1-K34)</f>
        <v>0.448445422031516</v>
      </c>
      <c r="O34" s="1840" t="n">
        <f aca="false">1-(1-$C34)*(1-L34)</f>
        <v>0.251983413046354</v>
      </c>
      <c r="P34" s="1155" t="n">
        <f aca="false">DataDE1!EG36/TableDE1!B115</f>
        <v>0.193821097780817</v>
      </c>
      <c r="Q34" s="935" t="n">
        <f aca="false">DataDE1!EH36/TableDE1!B115</f>
        <v>0.158856013842937</v>
      </c>
      <c r="R34" s="1157" t="n">
        <f aca="false">DataDE1!EI36/TableDE1!B115</f>
        <v>0.0349650839378798</v>
      </c>
      <c r="S34" s="1073" t="n">
        <f aca="false">DataDE1!EJ36/TableDE1!B115</f>
        <v>0.066679099065498</v>
      </c>
      <c r="V34" s="1010" t="n">
        <f aca="false">C34+D34+E34+F34-B34</f>
        <v>0</v>
      </c>
      <c r="W34" s="1010" t="n">
        <f aca="false">G34+I34+C34-B34</f>
        <v>0</v>
      </c>
    </row>
    <row r="35" customFormat="false" ht="12" hidden="false" customHeight="false" outlineLevel="0" collapsed="false">
      <c r="A35" s="416" t="n">
        <v>1976</v>
      </c>
      <c r="B35" s="519" t="n">
        <f aca="false">DataDE1!DV37/TableDE1!B116</f>
        <v>0.427738505801879</v>
      </c>
      <c r="C35" s="891" t="n">
        <f aca="false">DataDE1!I37/TableDE1!B116</f>
        <v>0.106682163748261</v>
      </c>
      <c r="D35" s="935" t="n">
        <f aca="false">DataDE1!DX37/TableDE1!B116</f>
        <v>0.017548539527085</v>
      </c>
      <c r="E35" s="935" t="n">
        <f aca="false">DataDE1!DY37/TableDE1!B116</f>
        <v>0.123678143398815</v>
      </c>
      <c r="F35" s="935" t="n">
        <f aca="false">DataDE1!EB37/TableDE1!B116</f>
        <v>0.179829659127718</v>
      </c>
      <c r="G35" s="935" t="n">
        <f aca="false">DataDE1!EC37/TableDE1!B116</f>
        <v>0.0331721676840689</v>
      </c>
      <c r="H35" s="1072" t="n">
        <f aca="false">DataDE1!EF37/TableDE1!B116</f>
        <v>0.00102890459767925</v>
      </c>
      <c r="I35" s="1157" t="n">
        <f aca="false">DataDE1!ED37/TableDE1!B116</f>
        <v>0.287884174369549</v>
      </c>
      <c r="J35" s="1155" t="n">
        <f aca="false">G35/TableDE11a!B116</f>
        <v>0.177406449312633</v>
      </c>
      <c r="K35" s="1054" t="n">
        <f aca="false">I35/TableDE11a!I116</f>
        <v>0.402676264029848</v>
      </c>
      <c r="L35" s="1840" t="n">
        <f aca="false">(I35-MIN(F35,Q35))/TableDE11a!$I116</f>
        <v>0.182952511712109</v>
      </c>
      <c r="M35" s="1054" t="n">
        <f aca="false">1-(1-$C35)*(1-J35)</f>
        <v>0.265162509185326</v>
      </c>
      <c r="N35" s="1054" t="n">
        <f aca="false">1-(1-$C35)*(1-K35)</f>
        <v>0.466400052641339</v>
      </c>
      <c r="O35" s="1840" t="n">
        <f aca="false">1-(1-$C35)*(1-L35)</f>
        <v>0.270116905647744</v>
      </c>
      <c r="P35" s="1155" t="n">
        <f aca="false">DataDE1!EG37/TableDE1!B116</f>
        <v>0.191662062001029</v>
      </c>
      <c r="Q35" s="935" t="n">
        <f aca="false">DataDE1!EH37/TableDE1!B116</f>
        <v>0.157086465420973</v>
      </c>
      <c r="R35" s="1157" t="n">
        <f aca="false">DataDE1!EI37/TableDE1!B116</f>
        <v>0.0345755965800559</v>
      </c>
      <c r="S35" s="1073" t="n">
        <f aca="false">DataDE1!EJ37/TableDE1!B116</f>
        <v>0.0673741973591449</v>
      </c>
      <c r="V35" s="1010" t="n">
        <f aca="false">C35+D35+E35+F35-B35</f>
        <v>0</v>
      </c>
      <c r="W35" s="1010" t="n">
        <f aca="false">G35+I35+C35-B35</f>
        <v>0</v>
      </c>
    </row>
    <row r="36" customFormat="false" ht="12" hidden="false" customHeight="false" outlineLevel="0" collapsed="false">
      <c r="A36" s="416" t="n">
        <v>1977</v>
      </c>
      <c r="B36" s="519" t="n">
        <f aca="false">DataDE1!DV38/TableDE1!B117</f>
        <v>0.438148300757807</v>
      </c>
      <c r="C36" s="891" t="n">
        <f aca="false">DataDE1!I38/TableDE1!B117</f>
        <v>0.106809509306867</v>
      </c>
      <c r="D36" s="935" t="n">
        <f aca="false">DataDE1!DX38/TableDE1!B117</f>
        <v>0.0218921872480697</v>
      </c>
      <c r="E36" s="935" t="n">
        <f aca="false">DataDE1!DY38/TableDE1!B117</f>
        <v>0.129561618803633</v>
      </c>
      <c r="F36" s="935" t="n">
        <f aca="false">DataDE1!EB38/TableDE1!B117</f>
        <v>0.179884985399237</v>
      </c>
      <c r="G36" s="935" t="n">
        <f aca="false">DataDE1!EC38/TableDE1!B117</f>
        <v>0.0378997289370873</v>
      </c>
      <c r="H36" s="1072" t="n">
        <f aca="false">DataDE1!EF38/TableDE1!B117</f>
        <v>0.000824092155000985</v>
      </c>
      <c r="I36" s="1157" t="n">
        <f aca="false">DataDE1!ED38/TableDE1!B117</f>
        <v>0.293439062513852</v>
      </c>
      <c r="J36" s="1155" t="n">
        <f aca="false">G36/TableDE11a!B117</f>
        <v>0.204010693327041</v>
      </c>
      <c r="K36" s="1054" t="n">
        <f aca="false">I36/TableDE11a!I117</f>
        <v>0.408890677155466</v>
      </c>
      <c r="L36" s="1840" t="n">
        <f aca="false">(I36-MIN(F36,Q36))/TableDE11a!$I117</f>
        <v>0.190232536247505</v>
      </c>
      <c r="M36" s="1054" t="n">
        <f aca="false">1-(1-$C36)*(1-J36)</f>
        <v>0.289029920586293</v>
      </c>
      <c r="N36" s="1054" t="n">
        <f aca="false">1-(1-$C36)*(1-K36)</f>
        <v>0.472026773875205</v>
      </c>
      <c r="O36" s="1840" t="n">
        <f aca="false">1-(1-$C36)*(1-L36)</f>
        <v>0.276723401703575</v>
      </c>
      <c r="P36" s="1155" t="n">
        <f aca="false">DataDE1!EG38/TableDE1!B117</f>
        <v>0.191458105662946</v>
      </c>
      <c r="Q36" s="935" t="n">
        <f aca="false">DataDE1!EH38/TableDE1!B117</f>
        <v>0.156919302551519</v>
      </c>
      <c r="R36" s="1157" t="n">
        <f aca="false">DataDE1!EI38/TableDE1!B117</f>
        <v>0.0345388031114275</v>
      </c>
      <c r="S36" s="1073" t="n">
        <f aca="false">DataDE1!EJ38/TableDE1!B117</f>
        <v>0.0665902291334492</v>
      </c>
      <c r="V36" s="1010" t="n">
        <f aca="false">C36+D36+E36+F36-B36</f>
        <v>0</v>
      </c>
      <c r="W36" s="1010" t="n">
        <f aca="false">G36+I36+C36-B36</f>
        <v>0</v>
      </c>
    </row>
    <row r="37" customFormat="false" ht="12" hidden="false" customHeight="false" outlineLevel="0" collapsed="false">
      <c r="A37" s="416" t="n">
        <v>1978</v>
      </c>
      <c r="B37" s="519" t="n">
        <f aca="false">DataDE1!DV39/TableDE1!B118</f>
        <v>0.430955892210752</v>
      </c>
      <c r="C37" s="891" t="n">
        <f aca="false">DataDE1!I39/TableDE1!B118</f>
        <v>0.107604906823971</v>
      </c>
      <c r="D37" s="935" t="n">
        <f aca="false">DataDE1!DX39/TableDE1!B118</f>
        <v>0.0214338383161282</v>
      </c>
      <c r="E37" s="935" t="n">
        <f aca="false">DataDE1!DY39/TableDE1!B118</f>
        <v>0.123257139026679</v>
      </c>
      <c r="F37" s="935" t="n">
        <f aca="false">DataDE1!EB39/TableDE1!B118</f>
        <v>0.178660008043974</v>
      </c>
      <c r="G37" s="935" t="n">
        <f aca="false">DataDE1!EC39/TableDE1!B118</f>
        <v>0.0369273619306366</v>
      </c>
      <c r="H37" s="1072" t="n">
        <f aca="false">DataDE1!EF39/TableDE1!B118</f>
        <v>0.000804397372301917</v>
      </c>
      <c r="I37" s="1157" t="n">
        <f aca="false">DataDE1!ED39/TableDE1!B118</f>
        <v>0.286423623456144</v>
      </c>
      <c r="J37" s="1155" t="n">
        <f aca="false">G37/TableDE11a!B118</f>
        <v>0.196594916778808</v>
      </c>
      <c r="K37" s="1054" t="n">
        <f aca="false">I37/TableDE11a!I118</f>
        <v>0.401024435965267</v>
      </c>
      <c r="L37" s="1840" t="n">
        <f aca="false">(I37-MIN(F37,Q37))/TableDE11a!$I118</f>
        <v>0.1861988171964</v>
      </c>
      <c r="M37" s="1054" t="n">
        <f aca="false">1-(1-$C37)*(1-J37)</f>
        <v>0.283045245900729</v>
      </c>
      <c r="N37" s="1054" t="n">
        <f aca="false">1-(1-$C37)*(1-K37)</f>
        <v>0.46547714572306</v>
      </c>
      <c r="O37" s="1840" t="n">
        <f aca="false">1-(1-$C37)*(1-L37)</f>
        <v>0.273767817645218</v>
      </c>
      <c r="P37" s="1155" t="n">
        <f aca="false">DataDE1!EG39/TableDE1!B118</f>
        <v>0.187206730124682</v>
      </c>
      <c r="Q37" s="935" t="n">
        <f aca="false">DataDE1!EH39/TableDE1!B118</f>
        <v>0.153434869849967</v>
      </c>
      <c r="R37" s="1157" t="n">
        <f aca="false">DataDE1!EI39/TableDE1!B118</f>
        <v>0.0337718602747144</v>
      </c>
      <c r="S37" s="1073" t="n">
        <f aca="false">DataDE1!EJ39/TableDE1!B118</f>
        <v>0.067083389194262</v>
      </c>
      <c r="V37" s="1010" t="n">
        <f aca="false">C37+D37+E37+F37-B37</f>
        <v>0</v>
      </c>
      <c r="W37" s="1010" t="n">
        <f aca="false">G37+I37+C37-B37</f>
        <v>0</v>
      </c>
    </row>
    <row r="38" customFormat="false" ht="12.75" hidden="false" customHeight="true" outlineLevel="0" collapsed="false">
      <c r="A38" s="416" t="n">
        <v>1979</v>
      </c>
      <c r="B38" s="519" t="n">
        <f aca="false">DataDE1!DV40/TableDE1!B119</f>
        <v>0.428141763046107</v>
      </c>
      <c r="C38" s="891" t="n">
        <f aca="false">DataDE1!I40/TableDE1!B119</f>
        <v>0.109035378747946</v>
      </c>
      <c r="D38" s="935" t="n">
        <f aca="false">DataDE1!DX40/TableDE1!B119</f>
        <v>0.0218132771076866</v>
      </c>
      <c r="E38" s="935" t="n">
        <f aca="false">DataDE1!DY40/TableDE1!B119</f>
        <v>0.118430436265542</v>
      </c>
      <c r="F38" s="935" t="n">
        <f aca="false">DataDE1!EB40/TableDE1!B119</f>
        <v>0.178862670924933</v>
      </c>
      <c r="G38" s="935" t="n">
        <f aca="false">DataDE1!EC40/TableDE1!B119</f>
        <v>0.0369235927532978</v>
      </c>
      <c r="H38" s="1072" t="n">
        <f aca="false">DataDE1!EF40/TableDE1!B119</f>
        <v>0.000775169762177917</v>
      </c>
      <c r="I38" s="1157" t="n">
        <f aca="false">DataDE1!ED40/TableDE1!B119</f>
        <v>0.282182791544864</v>
      </c>
      <c r="J38" s="1155" t="n">
        <f aca="false">G38/TableDE11a!B119</f>
        <v>0.194924711396469</v>
      </c>
      <c r="K38" s="1054" t="n">
        <f aca="false">I38/TableDE11a!I119</f>
        <v>0.396511569119467</v>
      </c>
      <c r="L38" s="1840" t="n">
        <f aca="false">(I38-MIN(F38,Q38))/TableDE11a!$I119</f>
        <v>0.185967874786071</v>
      </c>
      <c r="M38" s="1054" t="n">
        <f aca="false">1-(1-$C38)*(1-J38)</f>
        <v>0.282706400409967</v>
      </c>
      <c r="N38" s="1054" t="n">
        <f aca="false">1-(1-$C38)*(1-K38)</f>
        <v>0.462313158750529</v>
      </c>
      <c r="O38" s="1840" t="n">
        <f aca="false">1-(1-$C38)*(1-L38)</f>
        <v>0.274726175871767</v>
      </c>
      <c r="P38" s="1155" t="n">
        <f aca="false">DataDE1!EG40/TableDE1!B119</f>
        <v>0.18281603671204</v>
      </c>
      <c r="Q38" s="935" t="n">
        <f aca="false">DataDE1!EH40/TableDE1!B119</f>
        <v>0.149836252044554</v>
      </c>
      <c r="R38" s="1157" t="n">
        <f aca="false">DataDE1!EI40/TableDE1!B119</f>
        <v>0.0329797846674855</v>
      </c>
      <c r="S38" s="1073" t="n">
        <f aca="false">DataDE1!EJ40/TableDE1!B119</f>
        <v>0.0666801029425444</v>
      </c>
      <c r="V38" s="1010" t="n">
        <f aca="false">C38+D38+E38+F38-B38</f>
        <v>0</v>
      </c>
      <c r="W38" s="1010" t="n">
        <f aca="false">G38+I38+C38-B38</f>
        <v>0</v>
      </c>
    </row>
    <row r="39" customFormat="false" ht="12" hidden="false" customHeight="false" outlineLevel="0" collapsed="false">
      <c r="A39" s="864" t="n">
        <v>1980</v>
      </c>
      <c r="B39" s="526" t="n">
        <f aca="false">DataDE1!DV41/TableDE1!B120</f>
        <v>0.432164467449151</v>
      </c>
      <c r="C39" s="1078" t="n">
        <f aca="false">DataDE1!I41/TableDE1!B120</f>
        <v>0.109484581176642</v>
      </c>
      <c r="D39" s="1048" t="n">
        <f aca="false">DataDE1!DX41/TableDE1!B120</f>
        <v>0.0194211562294962</v>
      </c>
      <c r="E39" s="1048" t="n">
        <f aca="false">DataDE1!DY41/TableDE1!B120</f>
        <v>0.121630094043887</v>
      </c>
      <c r="F39" s="1048" t="n">
        <f aca="false">DataDE1!EB41/TableDE1!B120</f>
        <v>0.181628635999125</v>
      </c>
      <c r="G39" s="1048" t="n">
        <f aca="false">DataDE1!EC41/TableDE1!B120</f>
        <v>0.0338922245954677</v>
      </c>
      <c r="H39" s="1488" t="n">
        <f aca="false">DataDE1!EF41/TableDE1!B120</f>
        <v>0.00075818327622658</v>
      </c>
      <c r="I39" s="1153" t="n">
        <f aca="false">DataDE1!ED41/TableDE1!B120</f>
        <v>0.288787661677041</v>
      </c>
      <c r="J39" s="1151" t="n">
        <f aca="false">G39/TableDE11a!B120</f>
        <v>0.191034602448457</v>
      </c>
      <c r="K39" s="1327" t="n">
        <f aca="false">I39/TableDE11a!I120</f>
        <v>0.398008180146929</v>
      </c>
      <c r="L39" s="1841" t="n">
        <f aca="false">(I39-MIN(F39,Q39))/TableDE11a!$I120</f>
        <v>0.19231755501615</v>
      </c>
      <c r="M39" s="1327" t="n">
        <f aca="false">1-(1-$C39)*(1-J39)</f>
        <v>0.279603840185783</v>
      </c>
      <c r="N39" s="1327" t="n">
        <f aca="false">1-(1-$C39)*(1-K39)</f>
        <v>0.463917002415307</v>
      </c>
      <c r="O39" s="1841" t="n">
        <f aca="false">1-(1-$C39)*(1-L39)</f>
        <v>0.280746329228934</v>
      </c>
      <c r="P39" s="1151" t="n">
        <f aca="false">DataDE1!EG41/TableDE1!B120</f>
        <v>0.182095210322957</v>
      </c>
      <c r="Q39" s="1048" t="n">
        <f aca="false">DataDE1!EH41/TableDE1!B120</f>
        <v>0.149245461835678</v>
      </c>
      <c r="R39" s="1153" t="n">
        <f aca="false">DataDE1!EI41/TableDE1!B120</f>
        <v>0.0328497484872786</v>
      </c>
      <c r="S39" s="1842" t="n">
        <f aca="false">DataDE1!EJ41/TableDE1!B120</f>
        <v>0.0690238390318583</v>
      </c>
      <c r="V39" s="1010" t="n">
        <f aca="false">C39+D39+E39+F39-B39</f>
        <v>0</v>
      </c>
      <c r="W39" s="1010" t="n">
        <f aca="false">G39+I39+C39-B39</f>
        <v>0</v>
      </c>
    </row>
    <row r="40" customFormat="false" ht="12" hidden="false" customHeight="false" outlineLevel="0" collapsed="false">
      <c r="A40" s="416" t="n">
        <v>1981</v>
      </c>
      <c r="B40" s="519" t="n">
        <f aca="false">DataDE1!DV42/TableDE1!B121</f>
        <v>0.431483975977999</v>
      </c>
      <c r="C40" s="891" t="n">
        <f aca="false">DataDE1!I42/TableDE1!B121</f>
        <v>0.106892293876635</v>
      </c>
      <c r="D40" s="935" t="n">
        <f aca="false">DataDE1!DX42/TableDE1!B121</f>
        <v>0.0181006903519111</v>
      </c>
      <c r="E40" s="935" t="n">
        <f aca="false">DataDE1!DY42/TableDE1!B121</f>
        <v>0.117780771173598</v>
      </c>
      <c r="F40" s="935" t="n">
        <f aca="false">DataDE1!EB42/TableDE1!B121</f>
        <v>0.188710220575855</v>
      </c>
      <c r="G40" s="935" t="n">
        <f aca="false">DataDE1!EC42/TableDE1!B121</f>
        <v>0.0320070758619447</v>
      </c>
      <c r="H40" s="1072" t="n">
        <f aca="false">DataDE1!EF42/TableDE1!B121</f>
        <v>0.00078576640287366</v>
      </c>
      <c r="I40" s="1157" t="n">
        <f aca="false">DataDE1!ED42/TableDE1!B121</f>
        <v>0.292584606239419</v>
      </c>
      <c r="J40" s="1155" t="n">
        <f aca="false">G40/TableDE11a!B121</f>
        <v>0.181667222390986</v>
      </c>
      <c r="K40" s="1054" t="n">
        <f aca="false">I40/TableDE11a!I121</f>
        <v>0.399947566298306</v>
      </c>
      <c r="L40" s="1840" t="n">
        <f aca="false">(I40-MIN(F40,Q40))/TableDE11a!$I121</f>
        <v>0.188656594050284</v>
      </c>
      <c r="M40" s="1054" t="n">
        <f aca="false">1-(1-$C40)*(1-J40)</f>
        <v>0.269140690144052</v>
      </c>
      <c r="N40" s="1054" t="n">
        <f aca="false">1-(1-$C40)*(1-K40)</f>
        <v>0.464088547382937</v>
      </c>
      <c r="O40" s="1840" t="n">
        <f aca="false">1-(1-$C40)*(1-L40)</f>
        <v>0.275382951833931</v>
      </c>
      <c r="P40" s="1155" t="n">
        <f aca="false">DataDE1!EG42/TableDE1!B121</f>
        <v>0.189467923892911</v>
      </c>
      <c r="Q40" s="935" t="n">
        <f aca="false">DataDE1!EH42/TableDE1!B121</f>
        <v>0.154571476679576</v>
      </c>
      <c r="R40" s="1157" t="n">
        <f aca="false">DataDE1!EI42/TableDE1!B121</f>
        <v>0.0348964472133356</v>
      </c>
      <c r="S40" s="1073" t="n">
        <f aca="false">DataDE1!EJ42/TableDE1!B121</f>
        <v>0.0720379412920245</v>
      </c>
      <c r="V40" s="1010" t="n">
        <f aca="false">C40+D40+E40+F40-B40</f>
        <v>0</v>
      </c>
      <c r="W40" s="1010" t="n">
        <f aca="false">G40+I40+C40-B40</f>
        <v>0</v>
      </c>
    </row>
    <row r="41" customFormat="false" ht="12" hidden="false" customHeight="false" outlineLevel="0" collapsed="false">
      <c r="A41" s="416" t="n">
        <v>1982</v>
      </c>
      <c r="B41" s="519" t="n">
        <f aca="false">DataDE1!DV43/TableDE1!B122</f>
        <v>0.433593697120656</v>
      </c>
      <c r="C41" s="891" t="n">
        <f aca="false">DataDE1!I43/TableDE1!B122</f>
        <v>0.105765455997618</v>
      </c>
      <c r="D41" s="935" t="n">
        <f aca="false">DataDE1!DX43/TableDE1!B122</f>
        <v>0.0185864547657403</v>
      </c>
      <c r="E41" s="935" t="n">
        <f aca="false">DataDE1!DY43/TableDE1!B122</f>
        <v>0.116297329127804</v>
      </c>
      <c r="F41" s="935" t="n">
        <f aca="false">DataDE1!EB43/TableDE1!B122</f>
        <v>0.192944457229495</v>
      </c>
      <c r="G41" s="935" t="n">
        <f aca="false">DataDE1!EC43/TableDE1!B122</f>
        <v>0.0326096602621715</v>
      </c>
      <c r="H41" s="1072" t="n">
        <f aca="false">DataDE1!EF43/TableDE1!B122</f>
        <v>0.000866375167521761</v>
      </c>
      <c r="I41" s="1157" t="n">
        <f aca="false">DataDE1!ED43/TableDE1!B122</f>
        <v>0.295218580860867</v>
      </c>
      <c r="J41" s="1155" t="n">
        <f aca="false">G41/TableDE11a!B122</f>
        <v>0.182368226403029</v>
      </c>
      <c r="K41" s="1054" t="n">
        <f aca="false">I41/TableDE11a!I122</f>
        <v>0.405453095634427</v>
      </c>
      <c r="L41" s="1840" t="n">
        <f aca="false">(I41-MIN(F41,Q41))/TableDE11a!$I122</f>
        <v>0.185957538945543</v>
      </c>
      <c r="M41" s="1054" t="n">
        <f aca="false">1-(1-$C41)*(1-J41)</f>
        <v>0.268845423775654</v>
      </c>
      <c r="N41" s="1054" t="n">
        <f aca="false">1-(1-$C41)*(1-K41)</f>
        <v>0.468335620086624</v>
      </c>
      <c r="O41" s="1840" t="n">
        <f aca="false">1-(1-$C41)*(1-L41)</f>
        <v>0.272055111040391</v>
      </c>
      <c r="P41" s="1155" t="n">
        <f aca="false">DataDE1!EG43/TableDE1!B122</f>
        <v>0.194338779764725</v>
      </c>
      <c r="Q41" s="935" t="n">
        <f aca="false">DataDE1!EH43/TableDE1!B122</f>
        <v>0.15981914418378</v>
      </c>
      <c r="R41" s="1157" t="n">
        <f aca="false">DataDE1!EI43/TableDE1!B122</f>
        <v>0.0345196355809452</v>
      </c>
      <c r="S41" s="1073" t="n">
        <f aca="false">DataDE1!EJ43/TableDE1!B122</f>
        <v>0.0708397070568965</v>
      </c>
      <c r="V41" s="1010" t="n">
        <f aca="false">C41+D41+E41+F41-B41</f>
        <v>0</v>
      </c>
      <c r="W41" s="1010" t="n">
        <f aca="false">G41+I41+C41-B41</f>
        <v>0</v>
      </c>
    </row>
    <row r="42" customFormat="false" ht="12" hidden="false" customHeight="false" outlineLevel="0" collapsed="false">
      <c r="A42" s="416" t="n">
        <v>1983</v>
      </c>
      <c r="B42" s="519" t="n">
        <f aca="false">DataDE1!DV44/TableDE1!B123</f>
        <v>0.428831857262913</v>
      </c>
      <c r="C42" s="891" t="n">
        <f aca="false">DataDE1!I44/TableDE1!B123</f>
        <v>0.10694938263624</v>
      </c>
      <c r="D42" s="935" t="n">
        <f aca="false">DataDE1!DX44/TableDE1!B123</f>
        <v>0.0195487749692934</v>
      </c>
      <c r="E42" s="935" t="n">
        <f aca="false">DataDE1!DY44/TableDE1!B123</f>
        <v>0.114099166074084</v>
      </c>
      <c r="F42" s="935" t="n">
        <f aca="false">DataDE1!EB44/TableDE1!B123</f>
        <v>0.188234533583296</v>
      </c>
      <c r="G42" s="935" t="n">
        <f aca="false">DataDE1!EC44/TableDE1!B123</f>
        <v>0.0348527667221509</v>
      </c>
      <c r="H42" s="1072" t="n">
        <f aca="false">DataDE1!EF44/TableDE1!B123</f>
        <v>0.00094382313013123</v>
      </c>
      <c r="I42" s="1157" t="n">
        <f aca="false">DataDE1!ED44/TableDE1!B123</f>
        <v>0.287029707904522</v>
      </c>
      <c r="J42" s="1155" t="n">
        <f aca="false">G42/TableDE11a!B123</f>
        <v>0.177000396472919</v>
      </c>
      <c r="K42" s="1054" t="n">
        <f aca="false">I42/TableDE11a!I123</f>
        <v>0.403831754957581</v>
      </c>
      <c r="L42" s="1840" t="n">
        <f aca="false">(I42-MIN(F42,Q42))/TableDE11a!$I123</f>
        <v>0.186020344523881</v>
      </c>
      <c r="M42" s="1054" t="n">
        <f aca="false">1-(1-$C42)*(1-J42)</f>
        <v>0.265019695980011</v>
      </c>
      <c r="N42" s="1054" t="n">
        <f aca="false">1-(1-$C42)*(1-K42)</f>
        <v>0.467591580712199</v>
      </c>
      <c r="O42" s="1840" t="n">
        <f aca="false">1-(1-$C42)*(1-L42)</f>
        <v>0.273074966155511</v>
      </c>
      <c r="P42" s="1155" t="n">
        <f aca="false">DataDE1!EG44/TableDE1!B123</f>
        <v>0.18780787381214</v>
      </c>
      <c r="Q42" s="935" t="n">
        <f aca="false">DataDE1!EH44/TableDE1!B123</f>
        <v>0.154812851509471</v>
      </c>
      <c r="R42" s="1157" t="n">
        <f aca="false">DataDE1!EI44/TableDE1!B123</f>
        <v>0.0329950223026699</v>
      </c>
      <c r="S42" s="1073" t="n">
        <f aca="false">DataDE1!EJ44/TableDE1!B123</f>
        <v>0.0696360462861206</v>
      </c>
      <c r="V42" s="1010" t="n">
        <f aca="false">C42+D42+E42+F42-B42</f>
        <v>0</v>
      </c>
      <c r="W42" s="1010" t="n">
        <f aca="false">G42+I42+C42-B42</f>
        <v>0</v>
      </c>
    </row>
    <row r="43" customFormat="false" ht="12" hidden="false" customHeight="false" outlineLevel="0" collapsed="false">
      <c r="A43" s="416" t="n">
        <v>1984</v>
      </c>
      <c r="B43" s="519" t="n">
        <f aca="false">DataDE1!DV45/TableDE1!B124</f>
        <v>0.428929488518387</v>
      </c>
      <c r="C43" s="891" t="n">
        <f aca="false">DataDE1!I45/TableDE1!B124</f>
        <v>0.106117383985944</v>
      </c>
      <c r="D43" s="935" t="n">
        <f aca="false">DataDE1!DX45/TableDE1!B124</f>
        <v>0.0214028578098316</v>
      </c>
      <c r="E43" s="935" t="n">
        <f aca="false">DataDE1!DY45/TableDE1!B124</f>
        <v>0.113587497389146</v>
      </c>
      <c r="F43" s="935" t="n">
        <f aca="false">DataDE1!EB45/TableDE1!B124</f>
        <v>0.187821749333464</v>
      </c>
      <c r="G43" s="935" t="n">
        <f aca="false">DataDE1!EC45/TableDE1!B124</f>
        <v>0.0376258652415209</v>
      </c>
      <c r="H43" s="1072" t="n">
        <f aca="false">DataDE1!EF45/TableDE1!B124</f>
        <v>0.00098290965831603</v>
      </c>
      <c r="I43" s="1157" t="n">
        <f aca="false">DataDE1!ED45/TableDE1!B124</f>
        <v>0.285186239290921</v>
      </c>
      <c r="J43" s="1155" t="n">
        <f aca="false">G43/TableDE11a!B124</f>
        <v>0.181316361027276</v>
      </c>
      <c r="K43" s="1054" t="n">
        <f aca="false">I43/TableDE11a!I124</f>
        <v>0.406699025976562</v>
      </c>
      <c r="L43" s="1840" t="n">
        <f aca="false">(I43-MIN(F43,Q43))/TableDE11a!$I124</f>
        <v>0.193533979228398</v>
      </c>
      <c r="M43" s="1054" t="n">
        <f aca="false">1-(1-$C43)*(1-J43)</f>
        <v>0.268192927107155</v>
      </c>
      <c r="N43" s="1054" t="n">
        <f aca="false">1-(1-$C43)*(1-K43)</f>
        <v>0.469658573256242</v>
      </c>
      <c r="O43" s="1840" t="n">
        <f aca="false">1-(1-$C43)*(1-L43)</f>
        <v>0.279114043626235</v>
      </c>
      <c r="P43" s="1155" t="n">
        <f aca="false">DataDE1!EG45/TableDE1!B124</f>
        <v>0.180879949871607</v>
      </c>
      <c r="Q43" s="935" t="n">
        <f aca="false">DataDE1!EH45/TableDE1!B124</f>
        <v>0.14947598628841</v>
      </c>
      <c r="R43" s="1157" t="n">
        <f aca="false">DataDE1!EI45/TableDE1!B124</f>
        <v>0.0314039635831972</v>
      </c>
      <c r="S43" s="1073" t="n">
        <f aca="false">DataDE1!EJ45/TableDE1!B124</f>
        <v>0.0708432136231279</v>
      </c>
      <c r="V43" s="1010" t="n">
        <f aca="false">C43+D43+E43+F43-B43</f>
        <v>0</v>
      </c>
      <c r="W43" s="1010" t="n">
        <f aca="false">G43+I43+C43-B43</f>
        <v>0</v>
      </c>
    </row>
    <row r="44" customFormat="false" ht="12" hidden="false" customHeight="false" outlineLevel="0" collapsed="false">
      <c r="A44" s="416" t="n">
        <v>1985</v>
      </c>
      <c r="B44" s="519" t="n">
        <f aca="false">DataDE1!DV46/TableDE1!B125</f>
        <v>0.43077411242082</v>
      </c>
      <c r="C44" s="891" t="n">
        <f aca="false">DataDE1!I46/TableDE1!B125</f>
        <v>0.102866343091514</v>
      </c>
      <c r="D44" s="935" t="n">
        <f aca="false">DataDE1!DX46/TableDE1!B125</f>
        <v>0.0232809580331645</v>
      </c>
      <c r="E44" s="935" t="n">
        <f aca="false">DataDE1!DY46/TableDE1!B125</f>
        <v>0.115817183956</v>
      </c>
      <c r="F44" s="935" t="n">
        <f aca="false">DataDE1!EB46/TableDE1!B125</f>
        <v>0.188809627340142</v>
      </c>
      <c r="G44" s="935" t="n">
        <f aca="false">DataDE1!EC46/TableDE1!B125</f>
        <v>0.0403808801835107</v>
      </c>
      <c r="H44" s="1072" t="n">
        <f aca="false">DataDE1!EF46/TableDE1!B125</f>
        <v>0.000904913563126535</v>
      </c>
      <c r="I44" s="1157" t="n">
        <f aca="false">DataDE1!ED46/TableDE1!B125</f>
        <v>0.287526889145796</v>
      </c>
      <c r="J44" s="1155" t="n">
        <f aca="false">G44/TableDE11a!B125</f>
        <v>0.188207302629649</v>
      </c>
      <c r="K44" s="1054" t="n">
        <f aca="false">I44/TableDE11a!I125</f>
        <v>0.412723527312386</v>
      </c>
      <c r="L44" s="1840" t="n">
        <f aca="false">(I44-MIN(F44,Q44))/TableDE11a!$I125</f>
        <v>0.203054963000132</v>
      </c>
      <c r="M44" s="1054" t="n">
        <f aca="false">1-(1-$C44)*(1-J44)</f>
        <v>0.271713448756533</v>
      </c>
      <c r="N44" s="1054" t="n">
        <f aca="false">1-(1-$C44)*(1-K44)</f>
        <v>0.473134510441445</v>
      </c>
      <c r="O44" s="1840" t="n">
        <f aca="false">1-(1-$C44)*(1-L44)</f>
        <v>0.28503378460124</v>
      </c>
      <c r="P44" s="1155" t="n">
        <f aca="false">DataDE1!EG46/TableDE1!B125</f>
        <v>0.1767049394178</v>
      </c>
      <c r="Q44" s="935" t="n">
        <f aca="false">DataDE1!EH46/TableDE1!B125</f>
        <v>0.146067151637659</v>
      </c>
      <c r="R44" s="1157" t="n">
        <f aca="false">DataDE1!EI46/TableDE1!B125</f>
        <v>0.0306377877801413</v>
      </c>
      <c r="S44" s="1073" t="n">
        <f aca="false">DataDE1!EJ46/TableDE1!B125</f>
        <v>0.0714059066176211</v>
      </c>
      <c r="V44" s="1010" t="n">
        <f aca="false">C44+D44+E44+F44-B44</f>
        <v>0</v>
      </c>
      <c r="W44" s="1010" t="n">
        <f aca="false">G44+I44+C44-B44</f>
        <v>0</v>
      </c>
    </row>
    <row r="45" customFormat="false" ht="12" hidden="false" customHeight="false" outlineLevel="0" collapsed="false">
      <c r="A45" s="416" t="n">
        <v>1986</v>
      </c>
      <c r="B45" s="519" t="n">
        <f aca="false">DataDE1!DV47/TableDE1!B126</f>
        <v>0.425200102702642</v>
      </c>
      <c r="C45" s="891" t="n">
        <f aca="false">DataDE1!I47/TableDE1!B126</f>
        <v>0.0994317864678106</v>
      </c>
      <c r="D45" s="935" t="n">
        <f aca="false">DataDE1!DX47/TableDE1!B126</f>
        <v>0.0221145580995546</v>
      </c>
      <c r="E45" s="935" t="n">
        <f aca="false">DataDE1!DY47/TableDE1!B126</f>
        <v>0.114625079538731</v>
      </c>
      <c r="F45" s="935" t="n">
        <f aca="false">DataDE1!EB47/TableDE1!B126</f>
        <v>0.189028678596546</v>
      </c>
      <c r="G45" s="935" t="n">
        <f aca="false">DataDE1!EC47/TableDE1!B126</f>
        <v>0.0395370434066869</v>
      </c>
      <c r="H45" s="1072" t="n">
        <f aca="false">DataDE1!EF47/TableDE1!B126</f>
        <v>0.00107167974636913</v>
      </c>
      <c r="I45" s="1157" t="n">
        <f aca="false">DataDE1!ED47/TableDE1!B126</f>
        <v>0.286231272828145</v>
      </c>
      <c r="J45" s="1155" t="n">
        <f aca="false">G45/TableDE11a!B126</f>
        <v>0.180931336519921</v>
      </c>
      <c r="K45" s="1054" t="n">
        <f aca="false">I45/TableDE11a!I126</f>
        <v>0.411296363799987</v>
      </c>
      <c r="L45" s="1840" t="n">
        <f aca="false">(I45-MIN(F45,Q45))/TableDE11a!$I126</f>
        <v>0.20634044101095</v>
      </c>
      <c r="M45" s="1054" t="n">
        <f aca="false">1-(1-$C45)*(1-J45)</f>
        <v>0.262372796969547</v>
      </c>
      <c r="N45" s="1054" t="n">
        <f aca="false">1-(1-$C45)*(1-K45)</f>
        <v>0.469832218047451</v>
      </c>
      <c r="O45" s="1840" t="n">
        <f aca="false">1-(1-$C45)*(1-L45)</f>
        <v>0.285255428808486</v>
      </c>
      <c r="P45" s="1155" t="n">
        <f aca="false">DataDE1!EG47/TableDE1!B126</f>
        <v>0.174047488808761</v>
      </c>
      <c r="Q45" s="935" t="n">
        <f aca="false">DataDE1!EH47/TableDE1!B126</f>
        <v>0.142633876243316</v>
      </c>
      <c r="R45" s="1157" t="n">
        <f aca="false">DataDE1!EI47/TableDE1!B126</f>
        <v>0.031413612565445</v>
      </c>
      <c r="S45" s="1073" t="n">
        <f aca="false">DataDE1!EJ47/TableDE1!B126</f>
        <v>0.0712890297949296</v>
      </c>
      <c r="V45" s="1010" t="n">
        <f aca="false">C45+D45+E45+F45-B45</f>
        <v>0</v>
      </c>
      <c r="W45" s="1010" t="n">
        <f aca="false">G45+I45+C45-B45</f>
        <v>0</v>
      </c>
    </row>
    <row r="46" customFormat="false" ht="12" hidden="false" customHeight="false" outlineLevel="0" collapsed="false">
      <c r="A46" s="416" t="n">
        <v>1987</v>
      </c>
      <c r="B46" s="519" t="n">
        <f aca="false">DataDE1!DV48/TableDE1!B127</f>
        <v>0.429277176757983</v>
      </c>
      <c r="C46" s="891" t="n">
        <f aca="false">DataDE1!I48/TableDE1!B127</f>
        <v>0.0988810853254231</v>
      </c>
      <c r="D46" s="935" t="n">
        <f aca="false">DataDE1!DX48/TableDE1!B127</f>
        <v>0.0192265747688013</v>
      </c>
      <c r="E46" s="935" t="n">
        <f aca="false">DataDE1!DY48/TableDE1!B127</f>
        <v>0.119394521025999</v>
      </c>
      <c r="F46" s="935" t="n">
        <f aca="false">DataDE1!EB48/TableDE1!B127</f>
        <v>0.19177499563776</v>
      </c>
      <c r="G46" s="935" t="n">
        <f aca="false">DataDE1!EC48/TableDE1!B127</f>
        <v>0.0366579759827269</v>
      </c>
      <c r="H46" s="1072" t="n">
        <f aca="false">DataDE1!EF48/TableDE1!B127</f>
        <v>0.00125414412842436</v>
      </c>
      <c r="I46" s="1157" t="n">
        <f aca="false">DataDE1!ED48/TableDE1!B127</f>
        <v>0.293738115449833</v>
      </c>
      <c r="J46" s="1155" t="n">
        <f aca="false">G46/TableDE11a!B127</f>
        <v>0.174108075000287</v>
      </c>
      <c r="K46" s="1054" t="n">
        <f aca="false">I46/TableDE11a!I127</f>
        <v>0.414246952948886</v>
      </c>
      <c r="L46" s="1840" t="n">
        <f aca="false">(I46-MIN(F46,Q46))/TableDE11a!$I127</f>
        <v>0.208050952714374</v>
      </c>
      <c r="M46" s="1054" t="n">
        <f aca="false">1-(1-$C46)*(1-J46)</f>
        <v>0.255773164905762</v>
      </c>
      <c r="N46" s="1054" t="n">
        <f aca="false">1-(1-$C46)*(1-K46)</f>
        <v>0.472166849973974</v>
      </c>
      <c r="O46" s="1840" t="n">
        <f aca="false">1-(1-$C46)*(1-L46)</f>
        <v>0.286359734032412</v>
      </c>
      <c r="P46" s="1155" t="n">
        <f aca="false">DataDE1!EG48/TableDE1!B127</f>
        <v>0.178404728668644</v>
      </c>
      <c r="Q46" s="935" t="n">
        <f aca="false">DataDE1!EH48/TableDE1!B127</f>
        <v>0.146211394172047</v>
      </c>
      <c r="R46" s="1157" t="n">
        <f aca="false">DataDE1!EI48/TableDE1!B127</f>
        <v>0.0321933344965975</v>
      </c>
      <c r="S46" s="1073" t="n">
        <f aca="false">DataDE1!EJ48/TableDE1!B127</f>
        <v>0.0729475658698307</v>
      </c>
      <c r="V46" s="1010" t="n">
        <f aca="false">C46+D46+E46+F46-B46</f>
        <v>0</v>
      </c>
      <c r="W46" s="1010" t="n">
        <f aca="false">G46+I46+C46-B46</f>
        <v>0</v>
      </c>
    </row>
    <row r="47" customFormat="false" ht="12" hidden="false" customHeight="false" outlineLevel="0" collapsed="false">
      <c r="A47" s="416" t="n">
        <v>1988</v>
      </c>
      <c r="B47" s="519" t="n">
        <f aca="false">DataDE1!DV49/TableDE1!B128</f>
        <v>0.421388232878119</v>
      </c>
      <c r="C47" s="891" t="n">
        <f aca="false">DataDE1!I49/TableDE1!B128</f>
        <v>0.0975356812814457</v>
      </c>
      <c r="D47" s="935" t="n">
        <f aca="false">DataDE1!DX49/TableDE1!B128</f>
        <v>0.0197248177430948</v>
      </c>
      <c r="E47" s="935" t="n">
        <f aca="false">DataDE1!DY49/TableDE1!B128</f>
        <v>0.115268508060376</v>
      </c>
      <c r="F47" s="935" t="n">
        <f aca="false">DataDE1!EB49/TableDE1!B128</f>
        <v>0.188859225793203</v>
      </c>
      <c r="G47" s="935" t="n">
        <f aca="false">DataDE1!EC49/TableDE1!B128</f>
        <v>0.0380797550757942</v>
      </c>
      <c r="H47" s="1072" t="n">
        <f aca="false">DataDE1!EF49/TableDE1!B128</f>
        <v>0.0012732313379197</v>
      </c>
      <c r="I47" s="1157" t="n">
        <f aca="false">DataDE1!ED49/TableDE1!B128</f>
        <v>0.285772796520879</v>
      </c>
      <c r="J47" s="1155" t="n">
        <f aca="false">G47/TableDE11a!B128</f>
        <v>0.166040165324016</v>
      </c>
      <c r="K47" s="1054" t="n">
        <f aca="false">I47/TableDE11a!I128</f>
        <v>0.411558025187615</v>
      </c>
      <c r="L47" s="1840" t="n">
        <f aca="false">(I47-MIN(F47,Q47))/TableDE11a!$I128</f>
        <v>0.202624924653322</v>
      </c>
      <c r="M47" s="1054" t="n">
        <f aca="false">1-(1-$C47)*(1-J47)</f>
        <v>0.2473810059605</v>
      </c>
      <c r="N47" s="1054" t="n">
        <f aca="false">1-(1-$C47)*(1-K47)</f>
        <v>0.46895211409554</v>
      </c>
      <c r="O47" s="1840" t="n">
        <f aca="false">1-(1-$C47)*(1-L47)</f>
        <v>0.280397445864105</v>
      </c>
      <c r="P47" s="1155" t="n">
        <f aca="false">DataDE1!EG49/TableDE1!B128</f>
        <v>0.175808604579526</v>
      </c>
      <c r="Q47" s="935" t="n">
        <f aca="false">DataDE1!EH49/TableDE1!B128</f>
        <v>0.145076496560222</v>
      </c>
      <c r="R47" s="1157" t="n">
        <f aca="false">DataDE1!EI49/TableDE1!B128</f>
        <v>0.0307321080193038</v>
      </c>
      <c r="S47" s="1073" t="n">
        <f aca="false">DataDE1!EJ49/TableDE1!B128</f>
        <v>0.0741862614231441</v>
      </c>
      <c r="V47" s="1010" t="n">
        <f aca="false">C47+D47+E47+F47-B47</f>
        <v>0</v>
      </c>
      <c r="W47" s="1010" t="n">
        <f aca="false">G47+I47+C47-B47</f>
        <v>0</v>
      </c>
    </row>
    <row r="48" customFormat="false" ht="12" hidden="false" customHeight="false" outlineLevel="0" collapsed="false">
      <c r="A48" s="436" t="n">
        <v>1989</v>
      </c>
      <c r="B48" s="534" t="n">
        <f aca="false">DataDE1!DV50/TableDE1!B129</f>
        <v>0.42337326305702</v>
      </c>
      <c r="C48" s="990" t="n">
        <f aca="false">DataDE1!I50/TableDE1!B129</f>
        <v>0.0997891710589363</v>
      </c>
      <c r="D48" s="1063" t="n">
        <f aca="false">DataDE1!DX50/TableDE1!B129</f>
        <v>0.0211308097747964</v>
      </c>
      <c r="E48" s="1063" t="n">
        <f aca="false">DataDE1!DY50/TableDE1!B129</f>
        <v>0.118016291327264</v>
      </c>
      <c r="F48" s="1063" t="n">
        <f aca="false">DataDE1!EB50/TableDE1!B129</f>
        <v>0.184436990896023</v>
      </c>
      <c r="G48" s="1063" t="n">
        <f aca="false">DataDE1!EC50/TableDE1!B129</f>
        <v>0.0406574673223605</v>
      </c>
      <c r="H48" s="1496" t="n">
        <f aca="false">DataDE1!EF50/TableDE1!B129</f>
        <v>0.00102539530426449</v>
      </c>
      <c r="I48" s="1160" t="n">
        <f aca="false">DataDE1!ED50/TableDE1!B129</f>
        <v>0.282926624675723</v>
      </c>
      <c r="J48" s="1158" t="n">
        <f aca="false">G48/TableDE11a!B129</f>
        <v>0.170614740738594</v>
      </c>
      <c r="K48" s="1069" t="n">
        <f aca="false">I48/TableDE11a!I129</f>
        <v>0.417879994427761</v>
      </c>
      <c r="L48" s="1843" t="n">
        <f aca="false">(I48-MIN(F48,Q48))/TableDE11a!$I129</f>
        <v>0.208638465244099</v>
      </c>
      <c r="M48" s="1069" t="n">
        <f aca="false">1-(1-$C48)*(1-J48)</f>
        <v>0.253378408248791</v>
      </c>
      <c r="N48" s="1069" t="n">
        <f aca="false">1-(1-$C48)*(1-K48)</f>
        <v>0.475969267240638</v>
      </c>
      <c r="O48" s="1843" t="n">
        <f aca="false">1-(1-$C48)*(1-L48)</f>
        <v>0.287607776805317</v>
      </c>
      <c r="P48" s="1158" t="n">
        <f aca="false">DataDE1!EG50/TableDE1!B129</f>
        <v>0.171883085769046</v>
      </c>
      <c r="Q48" s="1063" t="n">
        <f aca="false">DataDE1!EH50/TableDE1!B129</f>
        <v>0.14166746526114</v>
      </c>
      <c r="R48" s="1160" t="n">
        <f aca="false">DataDE1!EI50/TableDE1!B129</f>
        <v>0.0302156205079061</v>
      </c>
      <c r="S48" s="1844" t="n">
        <f aca="false">DataDE1!EJ50/TableDE1!B129</f>
        <v>0.0675706756109248</v>
      </c>
      <c r="V48" s="1010" t="n">
        <f aca="false">C48+D48+E48+F48-B48</f>
        <v>0</v>
      </c>
      <c r="W48" s="1010" t="n">
        <f aca="false">G48+I48+C48-B48</f>
        <v>0</v>
      </c>
    </row>
    <row r="49" customFormat="false" ht="12" hidden="false" customHeight="false" outlineLevel="0" collapsed="false">
      <c r="A49" s="416" t="n">
        <v>1990</v>
      </c>
      <c r="B49" s="519" t="n">
        <f aca="false">DataDE1!DV51/TableDE1!B130</f>
        <v>0.407883853937528</v>
      </c>
      <c r="C49" s="891" t="n">
        <f aca="false">DataDE1!I51/TableDE1!B130</f>
        <v>0.103264408271008</v>
      </c>
      <c r="D49" s="935" t="n">
        <f aca="false">DataDE1!DX51/TableDE1!B130</f>
        <v>0.0176066871975363</v>
      </c>
      <c r="E49" s="935" t="n">
        <f aca="false">DataDE1!DY51/TableDE1!B130</f>
        <v>0.105816102067752</v>
      </c>
      <c r="F49" s="935" t="n">
        <f aca="false">DataDE1!EB51/TableDE1!B130</f>
        <v>0.181196656401232</v>
      </c>
      <c r="G49" s="935" t="n">
        <f aca="false">DataDE1!EC51/TableDE1!B130</f>
        <v>0.0359643516950523</v>
      </c>
      <c r="H49" s="1072" t="n">
        <f aca="false">DataDE1!EF51/TableDE1!B130</f>
        <v>0.00135503739551254</v>
      </c>
      <c r="I49" s="1157" t="n">
        <f aca="false">DataDE1!ED51/TableDE1!B130</f>
        <v>0.268655093971468</v>
      </c>
      <c r="J49" s="1155" t="n">
        <f aca="false">G49/TableDE11a!B130</f>
        <v>0.148426128788536</v>
      </c>
      <c r="K49" s="1054" t="n">
        <f aca="false">I49/TableDE11a!I130</f>
        <v>0.401634072756846</v>
      </c>
      <c r="L49" s="1840" t="n">
        <f aca="false">(I49-MIN(F49,Q49))/TableDE11a!$I130</f>
        <v>0.199098114409319</v>
      </c>
      <c r="M49" s="1054" t="n">
        <f aca="false">1-(1-$C49)*(1-J49)</f>
        <v>0.236363400698239</v>
      </c>
      <c r="N49" s="1054" t="n">
        <f aca="false">1-(1-$C49)*(1-K49)</f>
        <v>0.463423976163143</v>
      </c>
      <c r="O49" s="1840" t="n">
        <f aca="false">1-(1-$C49)*(1-L49)</f>
        <v>0.281802773707974</v>
      </c>
      <c r="P49" s="1155" t="n">
        <f aca="false">DataDE1!EG51/TableDE1!B130</f>
        <v>0.164557853057633</v>
      </c>
      <c r="Q49" s="935" t="n">
        <f aca="false">DataDE1!EH51/TableDE1!B130</f>
        <v>0.135477342718874</v>
      </c>
      <c r="R49" s="1157" t="n">
        <f aca="false">DataDE1!EI51/TableDE1!B130</f>
        <v>0.0286669599648042</v>
      </c>
      <c r="S49" s="1073" t="n">
        <f aca="false">DataDE1!EJ51/TableDE1!B130</f>
        <v>0.0674879014518258</v>
      </c>
      <c r="V49" s="1010" t="n">
        <f aca="false">C49+D49+E49+F49-B49</f>
        <v>0</v>
      </c>
      <c r="W49" s="1010" t="n">
        <f aca="false">G49+I49+C49-B49</f>
        <v>0</v>
      </c>
    </row>
    <row r="50" customFormat="false" ht="12" hidden="false" customHeight="false" outlineLevel="0" collapsed="false">
      <c r="A50" s="416" t="n">
        <v>1991</v>
      </c>
      <c r="B50" s="519" t="n">
        <f aca="false">DataDE1!DV52/TableDE1!B131</f>
        <v>0.422037172039051</v>
      </c>
      <c r="C50" s="891" t="n">
        <f aca="false">DataDE1!I52/TableDE1!B131</f>
        <v>0.0835281120121452</v>
      </c>
      <c r="D50" s="935" t="n">
        <f aca="false">DataDE1!DX52/TableDE1!B131</f>
        <v>0.0316105127877526</v>
      </c>
      <c r="E50" s="935" t="n">
        <f aca="false">DataDE1!DY52/TableDE1!B131</f>
        <v>0.112650969133529</v>
      </c>
      <c r="F50" s="935" t="n">
        <f aca="false">DataDE1!EB52/TableDE1!B131</f>
        <v>0.194247578105624</v>
      </c>
      <c r="G50" s="935" t="n">
        <f aca="false">DataDE1!EC52/TableDE1!B131</f>
        <v>0.0492223365477523</v>
      </c>
      <c r="H50" s="1072" t="n">
        <f aca="false">DataDE1!EF52/TableDE1!B131</f>
        <v>0.00101460276422886</v>
      </c>
      <c r="I50" s="1157" t="n">
        <f aca="false">DataDE1!ED52/TableDE1!B131</f>
        <v>0.289286723479154</v>
      </c>
      <c r="J50" s="1155" t="n">
        <f aca="false">G50/TableDE11a!B131</f>
        <v>0.214581906489199</v>
      </c>
      <c r="K50" s="1054" t="n">
        <f aca="false">I50/TableDE11a!I131</f>
        <v>0.410741916476105</v>
      </c>
      <c r="L50" s="1840" t="n">
        <f aca="false">(I50-MIN(F50,Q50))/TableDE11a!$I131</f>
        <v>0.202445111435571</v>
      </c>
      <c r="M50" s="1054" t="n">
        <f aca="false">1-(1-$C50)*(1-J50)</f>
        <v>0.280186396980334</v>
      </c>
      <c r="N50" s="1054" t="n">
        <f aca="false">1-(1-$C50)*(1-K50)</f>
        <v>0.459961531680751</v>
      </c>
      <c r="O50" s="1840" t="n">
        <f aca="false">1-(1-$C50)*(1-L50)</f>
        <v>0.269063365503415</v>
      </c>
      <c r="P50" s="1155" t="n">
        <f aca="false">DataDE1!EG52/TableDE1!B131</f>
        <v>0.177059455721984</v>
      </c>
      <c r="Q50" s="935" t="n">
        <f aca="false">DataDE1!EH52/TableDE1!B131</f>
        <v>0.146704044131462</v>
      </c>
      <c r="R50" s="1157" t="n">
        <f aca="false">DataDE1!EI52/TableDE1!B131</f>
        <v>0.0303554115905214</v>
      </c>
      <c r="S50" s="1073" t="n">
        <f aca="false">DataDE1!EJ52/TableDE1!B131</f>
        <v>0.0743816559820228</v>
      </c>
      <c r="V50" s="1010" t="n">
        <f aca="false">C50+D50+E50+F50-B50</f>
        <v>0</v>
      </c>
      <c r="W50" s="1010" t="n">
        <f aca="false">G50+I50+C50-B50</f>
        <v>0</v>
      </c>
    </row>
    <row r="51" customFormat="false" ht="12" hidden="false" customHeight="false" outlineLevel="0" collapsed="false">
      <c r="A51" s="416" t="n">
        <v>1992</v>
      </c>
      <c r="B51" s="519" t="n">
        <f aca="false">DataDE1!DV53/TableDE1!B132</f>
        <v>0.434562768617096</v>
      </c>
      <c r="C51" s="891" t="n">
        <f aca="false">DataDE1!I53/TableDE1!B132</f>
        <v>0.0866667603022557</v>
      </c>
      <c r="D51" s="935" t="n">
        <f aca="false">DataDE1!DX53/TableDE1!B132</f>
        <v>0.0310542430967162</v>
      </c>
      <c r="E51" s="935" t="n">
        <f aca="false">DataDE1!DY53/TableDE1!B132</f>
        <v>0.117447119301104</v>
      </c>
      <c r="F51" s="935" t="n">
        <f aca="false">DataDE1!EB53/TableDE1!B132</f>
        <v>0.19939464591702</v>
      </c>
      <c r="G51" s="935" t="n">
        <f aca="false">DataDE1!EC53/TableDE1!B132</f>
        <v>0.0485015459065873</v>
      </c>
      <c r="H51" s="1072" t="n">
        <f aca="false">DataDE1!EF53/TableDE1!B132</f>
        <v>0.00108149105311947</v>
      </c>
      <c r="I51" s="1157" t="n">
        <f aca="false">DataDE1!ED53/TableDE1!B132</f>
        <v>0.299394462408253</v>
      </c>
      <c r="J51" s="1155" t="n">
        <f aca="false">G51/TableDE11a!B132</f>
        <v>0.221511231735841</v>
      </c>
      <c r="K51" s="1054" t="n">
        <f aca="false">I51/TableDE11a!I132</f>
        <v>0.419305196133832</v>
      </c>
      <c r="L51" s="1840" t="n">
        <f aca="false">(I51-MIN(F51,Q51))/TableDE11a!$I132</f>
        <v>0.203183776673252</v>
      </c>
      <c r="M51" s="1054" t="n">
        <f aca="false">1-(1-$C51)*(1-J51)</f>
        <v>0.288980331212989</v>
      </c>
      <c r="N51" s="1054" t="n">
        <f aca="false">1-(1-$C51)*(1-K51)</f>
        <v>0.469632133509266</v>
      </c>
      <c r="O51" s="1840" t="n">
        <f aca="false">1-(1-$C51)*(1-L51)</f>
        <v>0.27224125730526</v>
      </c>
      <c r="P51" s="1155" t="n">
        <f aca="false">DataDE1!EG53/TableDE1!B132</f>
        <v>0.186192027865951</v>
      </c>
      <c r="Q51" s="935" t="n">
        <f aca="false">DataDE1!EH53/TableDE1!B132</f>
        <v>0.154316132475631</v>
      </c>
      <c r="R51" s="1157" t="n">
        <f aca="false">DataDE1!EI53/TableDE1!B132</f>
        <v>0.03187589539032</v>
      </c>
      <c r="S51" s="1073" t="n">
        <f aca="false">DataDE1!EJ53/TableDE1!B132</f>
        <v>0.0794544790584005</v>
      </c>
      <c r="V51" s="1010" t="n">
        <f aca="false">C51+D51+E51+F51-B51</f>
        <v>0</v>
      </c>
      <c r="W51" s="1010" t="n">
        <f aca="false">G51+I51+C51-B51</f>
        <v>0</v>
      </c>
    </row>
    <row r="52" customFormat="false" ht="12" hidden="false" customHeight="false" outlineLevel="0" collapsed="false">
      <c r="A52" s="416" t="n">
        <v>1993</v>
      </c>
      <c r="B52" s="519" t="n">
        <f aca="false">DataDE1!DV54/TableDE1!B133</f>
        <v>0.446011907217204</v>
      </c>
      <c r="C52" s="891" t="n">
        <f aca="false">DataDE1!I54/TableDE1!B133</f>
        <v>0.093545903284797</v>
      </c>
      <c r="D52" s="935" t="n">
        <f aca="false">DataDE1!DX54/TableDE1!B133</f>
        <v>0.0297474184988107</v>
      </c>
      <c r="E52" s="935" t="n">
        <f aca="false">DataDE1!DY54/TableDE1!B133</f>
        <v>0.115889122633337</v>
      </c>
      <c r="F52" s="935" t="n">
        <f aca="false">DataDE1!EB54/TableDE1!B133</f>
        <v>0.206829462800259</v>
      </c>
      <c r="G52" s="935" t="n">
        <f aca="false">DataDE1!EC54/TableDE1!B133</f>
        <v>0.0465150134678769</v>
      </c>
      <c r="H52" s="1072" t="n">
        <f aca="false">DataDE1!EF54/TableDE1!B133</f>
        <v>0.00105872485528469</v>
      </c>
      <c r="I52" s="1157" t="n">
        <f aca="false">DataDE1!ED54/TableDE1!B133</f>
        <v>0.30595099046453</v>
      </c>
      <c r="J52" s="1155" t="n">
        <f aca="false">G52/TableDE11a!B133</f>
        <v>0.217869379458765</v>
      </c>
      <c r="K52" s="1054" t="n">
        <f aca="false">I52/TableDE11a!I133</f>
        <v>0.427848715194696</v>
      </c>
      <c r="L52" s="1840" t="n">
        <f aca="false">(I52-MIN(F52,Q52))/TableDE11a!$I133</f>
        <v>0.196662646340436</v>
      </c>
      <c r="M52" s="1054" t="n">
        <f aca="false">1-(1-$C52)*(1-J52)</f>
        <v>0.291034494843993</v>
      </c>
      <c r="N52" s="1054" t="n">
        <f aca="false">1-(1-$C52)*(1-K52)</f>
        <v>0.481371123947366</v>
      </c>
      <c r="O52" s="1840" t="n">
        <f aca="false">1-(1-$C52)*(1-L52)</f>
        <v>0.271811564730938</v>
      </c>
      <c r="P52" s="1155" t="n">
        <f aca="false">DataDE1!EG54/TableDE1!B133</f>
        <v>0.198909650895791</v>
      </c>
      <c r="Q52" s="935" t="n">
        <f aca="false">DataDE1!EH54/TableDE1!B133</f>
        <v>0.165319198669032</v>
      </c>
      <c r="R52" s="1157" t="n">
        <f aca="false">DataDE1!EI54/TableDE1!B133</f>
        <v>0.0335904522267596</v>
      </c>
      <c r="S52" s="1073" t="n">
        <f aca="false">DataDE1!EJ54/TableDE1!B133</f>
        <v>0.080023099451388</v>
      </c>
      <c r="V52" s="1010" t="n">
        <f aca="false">C52+D52+E52+F52-B52</f>
        <v>0</v>
      </c>
      <c r="W52" s="1010" t="n">
        <f aca="false">G52+I52+C52-B52</f>
        <v>0</v>
      </c>
    </row>
    <row r="53" customFormat="false" ht="12" hidden="false" customHeight="false" outlineLevel="0" collapsed="false">
      <c r="A53" s="416" t="n">
        <v>1994</v>
      </c>
      <c r="B53" s="519" t="n">
        <f aca="false">DataDE1!DV55/TableDE1!B134</f>
        <v>0.450564078232906</v>
      </c>
      <c r="C53" s="891" t="n">
        <f aca="false">DataDE1!I55/TableDE1!B134</f>
        <v>0.0961041699615162</v>
      </c>
      <c r="D53" s="935" t="n">
        <f aca="false">DataDE1!DX55/TableDE1!B134</f>
        <v>0.0270704834203174</v>
      </c>
      <c r="E53" s="935" t="n">
        <f aca="false">DataDE1!DY55/TableDE1!B134</f>
        <v>0.114219252464547</v>
      </c>
      <c r="F53" s="935" t="n">
        <f aca="false">DataDE1!EB55/TableDE1!B134</f>
        <v>0.213170172386525</v>
      </c>
      <c r="G53" s="935" t="n">
        <f aca="false">DataDE1!EC55/TableDE1!B134</f>
        <v>0.0449977280369934</v>
      </c>
      <c r="H53" s="1072" t="n">
        <f aca="false">DataDE1!EF55/TableDE1!B134</f>
        <v>0.00117955611787654</v>
      </c>
      <c r="I53" s="1157" t="n">
        <f aca="false">DataDE1!ED55/TableDE1!B134</f>
        <v>0.309462180234397</v>
      </c>
      <c r="J53" s="1155" t="n">
        <f aca="false">G53/TableDE11a!B134</f>
        <v>0.197614129072051</v>
      </c>
      <c r="K53" s="1054" t="n">
        <f aca="false">I53/TableDE11a!I134</f>
        <v>0.442351555792251</v>
      </c>
      <c r="L53" s="1840" t="n">
        <f aca="false">(I53-MIN(F53,Q53))/TableDE11a!$I134</f>
        <v>0.201938928203011</v>
      </c>
      <c r="M53" s="1054" t="n">
        <f aca="false">1-(1-$C53)*(1-J53)</f>
        <v>0.27472675718643</v>
      </c>
      <c r="N53" s="1054" t="n">
        <f aca="false">1-(1-$C53)*(1-K53)</f>
        <v>0.495943896653168</v>
      </c>
      <c r="O53" s="1840" t="n">
        <f aca="false">1-(1-$C53)*(1-L53)</f>
        <v>0.278635925086658</v>
      </c>
      <c r="P53" s="1155" t="n">
        <f aca="false">DataDE1!EG55/TableDE1!B134</f>
        <v>0.20266619220834</v>
      </c>
      <c r="Q53" s="935" t="n">
        <f aca="false">DataDE1!EH55/TableDE1!B134</f>
        <v>0.168188887131636</v>
      </c>
      <c r="R53" s="1157" t="n">
        <f aca="false">DataDE1!EI55/TableDE1!B134</f>
        <v>0.0344773050767041</v>
      </c>
      <c r="S53" s="1073" t="n">
        <f aca="false">DataDE1!EJ55/TableDE1!B134</f>
        <v>0.0837353049712689</v>
      </c>
      <c r="V53" s="1010" t="n">
        <f aca="false">C53+D53+E53+F53-B53</f>
        <v>0</v>
      </c>
      <c r="W53" s="1010" t="n">
        <f aca="false">G53+I53+C53-B53</f>
        <v>0</v>
      </c>
    </row>
    <row r="54" customFormat="false" ht="12" hidden="false" customHeight="false" outlineLevel="0" collapsed="false">
      <c r="A54" s="416" t="n">
        <v>1995</v>
      </c>
      <c r="B54" s="519" t="n">
        <f aca="false">DataDE1!DV56/TableDE1!B135</f>
        <v>0.451977545129574</v>
      </c>
      <c r="C54" s="891" t="n">
        <f aca="false">DataDE1!I56/TableDE1!B135</f>
        <v>0.092056047968293</v>
      </c>
      <c r="D54" s="935" t="n">
        <f aca="false">DataDE1!DX56/TableDE1!B135</f>
        <v>0.0250036638906058</v>
      </c>
      <c r="E54" s="935" t="n">
        <f aca="false">DataDE1!DY56/TableDE1!B135</f>
        <v>0.116460745394649</v>
      </c>
      <c r="F54" s="935" t="n">
        <f aca="false">DataDE1!EB56/TableDE1!B135</f>
        <v>0.218457087876027</v>
      </c>
      <c r="G54" s="935" t="n">
        <f aca="false">DataDE1!EC56/TableDE1!B135</f>
        <v>0.044044440321446</v>
      </c>
      <c r="H54" s="1072" t="n">
        <f aca="false">DataDE1!EF56/TableDE1!B135</f>
        <v>0.00115332904286433</v>
      </c>
      <c r="I54" s="1157" t="n">
        <f aca="false">DataDE1!ED56/TableDE1!B135</f>
        <v>0.315877056839835</v>
      </c>
      <c r="J54" s="1155" t="n">
        <f aca="false">G54/TableDE11a!B135</f>
        <v>0.183879804478893</v>
      </c>
      <c r="K54" s="1054" t="n">
        <f aca="false">I54/TableDE11a!I135</f>
        <v>0.452686014384067</v>
      </c>
      <c r="L54" s="1840" t="n">
        <f aca="false">(I54-MIN(F54,Q54))/TableDE11a!$I135</f>
        <v>0.204841396084192</v>
      </c>
      <c r="M54" s="1054" t="n">
        <f aca="false">1-(1-$C54)*(1-J54)</f>
        <v>0.259008604345677</v>
      </c>
      <c r="N54" s="1054" t="n">
        <f aca="false">1-(1-$C54)*(1-K54)</f>
        <v>0.503069576897645</v>
      </c>
      <c r="O54" s="1840" t="n">
        <f aca="false">1-(1-$C54)*(1-L54)</f>
        <v>0.278040554668666</v>
      </c>
      <c r="P54" s="1155" t="n">
        <f aca="false">DataDE1!EG56/TableDE1!B135</f>
        <v>0.20791145491503</v>
      </c>
      <c r="Q54" s="935" t="n">
        <f aca="false">DataDE1!EH56/TableDE1!B135</f>
        <v>0.17294200857669</v>
      </c>
      <c r="R54" s="1157" t="n">
        <f aca="false">DataDE1!EI56/TableDE1!B135</f>
        <v>0.0349694463383396</v>
      </c>
      <c r="S54" s="1073" t="n">
        <f aca="false">DataDE1!EJ56/TableDE1!B135</f>
        <v>0.0866908377246921</v>
      </c>
      <c r="V54" s="1010" t="n">
        <f aca="false">C54+D54+E54+F54-B54</f>
        <v>0</v>
      </c>
      <c r="W54" s="1010" t="n">
        <f aca="false">G54+I54+C54-B54</f>
        <v>0</v>
      </c>
    </row>
    <row r="55" customFormat="false" ht="12" hidden="false" customHeight="false" outlineLevel="0" collapsed="false">
      <c r="A55" s="416" t="n">
        <v>1996</v>
      </c>
      <c r="B55" s="519" t="n">
        <f aca="false">DataDE1!DV57/TableDE1!B136</f>
        <v>0.458796069721041</v>
      </c>
      <c r="C55" s="891" t="n">
        <f aca="false">DataDE1!I57/TableDE1!B136</f>
        <v>0.0928108019927468</v>
      </c>
      <c r="D55" s="935" t="n">
        <f aca="false">DataDE1!DX57/TableDE1!B136</f>
        <v>0.0294268970623298</v>
      </c>
      <c r="E55" s="935" t="n">
        <f aca="false">DataDE1!DY57/TableDE1!B136</f>
        <v>0.110473214621842</v>
      </c>
      <c r="F55" s="935" t="n">
        <f aca="false">DataDE1!EB57/TableDE1!B136</f>
        <v>0.226085156044122</v>
      </c>
      <c r="G55" s="935" t="n">
        <f aca="false">DataDE1!EC57/TableDE1!B136</f>
        <v>0.0480365554993324</v>
      </c>
      <c r="H55" s="1072" t="n">
        <f aca="false">DataDE1!EF57/TableDE1!B136</f>
        <v>0.00128625029803361</v>
      </c>
      <c r="I55" s="1157" t="n">
        <f aca="false">DataDE1!ED57/TableDE1!B136</f>
        <v>0.317948712228961</v>
      </c>
      <c r="J55" s="1155" t="n">
        <f aca="false">G55/TableDE11a!B136</f>
        <v>0.196570176062672</v>
      </c>
      <c r="K55" s="1054" t="n">
        <f aca="false">I55/TableDE11a!I136</f>
        <v>0.459061154418981</v>
      </c>
      <c r="L55" s="1840" t="n">
        <f aca="false">(I55-MIN(F55,Q55))/TableDE11a!$I136</f>
        <v>0.197126308183883</v>
      </c>
      <c r="M55" s="1054" t="n">
        <f aca="false">1-(1-$C55)*(1-J55)</f>
        <v>0.271137142367187</v>
      </c>
      <c r="N55" s="1054" t="n">
        <f aca="false">1-(1-$C55)*(1-K55)</f>
        <v>0.509266122506386</v>
      </c>
      <c r="O55" s="1840" t="n">
        <f aca="false">1-(1-$C55)*(1-L55)</f>
        <v>0.271641659420214</v>
      </c>
      <c r="P55" s="1155" t="n">
        <f aca="false">DataDE1!EG57/TableDE1!B136</f>
        <v>0.21684925146507</v>
      </c>
      <c r="Q55" s="935" t="n">
        <f aca="false">DataDE1!EH57/TableDE1!B136</f>
        <v>0.181417761548018</v>
      </c>
      <c r="R55" s="1157" t="n">
        <f aca="false">DataDE1!EI57/TableDE1!B136</f>
        <v>0.0354314899170525</v>
      </c>
      <c r="S55" s="1073" t="n">
        <f aca="false">DataDE1!EJ57/TableDE1!B136</f>
        <v>0.0896045878352094</v>
      </c>
      <c r="V55" s="1010" t="n">
        <f aca="false">C55+D55+E55+F55-B55</f>
        <v>0</v>
      </c>
      <c r="W55" s="1010" t="n">
        <f aca="false">G55+I55+C55-B55</f>
        <v>0</v>
      </c>
    </row>
    <row r="56" customFormat="false" ht="12" hidden="false" customHeight="false" outlineLevel="0" collapsed="false">
      <c r="A56" s="416" t="n">
        <v>1997</v>
      </c>
      <c r="B56" s="519" t="n">
        <f aca="false">DataDE1!DV58/TableDE1!B137</f>
        <v>0.46218000123373</v>
      </c>
      <c r="C56" s="891" t="n">
        <f aca="false">DataDE1!I58/TableDE1!B137</f>
        <v>0.0949910554561717</v>
      </c>
      <c r="D56" s="935" t="n">
        <f aca="false">DataDE1!DX58/TableDE1!B137</f>
        <v>0.0297575720189994</v>
      </c>
      <c r="E56" s="935" t="n">
        <f aca="false">DataDE1!DY58/TableDE1!B137</f>
        <v>0.10773548824872</v>
      </c>
      <c r="F56" s="935" t="n">
        <f aca="false">DataDE1!EB58/TableDE1!B137</f>
        <v>0.229695885509839</v>
      </c>
      <c r="G56" s="935" t="n">
        <f aca="false">DataDE1!EC58/TableDE1!B137</f>
        <v>0.049010443009818</v>
      </c>
      <c r="H56" s="1072" t="n">
        <f aca="false">DataDE1!EF58/TableDE1!B137</f>
        <v>0.00127691073962124</v>
      </c>
      <c r="I56" s="1157" t="n">
        <f aca="false">DataDE1!ED58/TableDE1!B137</f>
        <v>0.31817850276774</v>
      </c>
      <c r="J56" s="1155" t="n">
        <f aca="false">G56/TableDE11a!B137</f>
        <v>0.191161915528177</v>
      </c>
      <c r="K56" s="1054" t="n">
        <f aca="false">I56/TableDE11a!I137</f>
        <v>0.468827611603519</v>
      </c>
      <c r="L56" s="1840" t="n">
        <f aca="false">(I56-MIN(F56,Q56))/TableDE11a!$I137</f>
        <v>0.200628337200992</v>
      </c>
      <c r="M56" s="1054" t="n">
        <f aca="false">1-(1-$C56)*(1-J56)</f>
        <v>0.267994298865303</v>
      </c>
      <c r="N56" s="1054" t="n">
        <f aca="false">1-(1-$C56)*(1-K56)</f>
        <v>0.519284237406476</v>
      </c>
      <c r="O56" s="1840" t="n">
        <f aca="false">1-(1-$C56)*(1-L56)</f>
        <v>0.276561495152025</v>
      </c>
      <c r="P56" s="1155" t="n">
        <f aca="false">DataDE1!EG58/TableDE1!B137</f>
        <v>0.218030966627599</v>
      </c>
      <c r="Q56" s="935" t="n">
        <f aca="false">DataDE1!EH58/TableDE1!B137</f>
        <v>0.18201838257973</v>
      </c>
      <c r="R56" s="1157" t="n">
        <f aca="false">DataDE1!EI58/TableDE1!B137</f>
        <v>0.0360125840478687</v>
      </c>
      <c r="S56" s="1073" t="n">
        <f aca="false">DataDE1!EJ58/TableDE1!B137</f>
        <v>0.0877552279316513</v>
      </c>
      <c r="V56" s="1010" t="n">
        <f aca="false">C56+D56+E56+F56-B56</f>
        <v>0</v>
      </c>
      <c r="W56" s="1010" t="n">
        <f aca="false">G56+I56+C56-B56</f>
        <v>0</v>
      </c>
    </row>
    <row r="57" customFormat="false" ht="12" hidden="false" customHeight="false" outlineLevel="0" collapsed="false">
      <c r="A57" s="416" t="n">
        <v>1998</v>
      </c>
      <c r="B57" s="519" t="n">
        <f aca="false">DataDE1!DV59/TableDE1!B138</f>
        <v>0.466805605895856</v>
      </c>
      <c r="C57" s="891" t="n">
        <f aca="false">DataDE1!I59/TableDE1!B138</f>
        <v>0.0974688896943337</v>
      </c>
      <c r="D57" s="935" t="n">
        <f aca="false">DataDE1!DX59/TableDE1!B138</f>
        <v>0.0309351214208046</v>
      </c>
      <c r="E57" s="935" t="n">
        <f aca="false">DataDE1!DY59/TableDE1!B138</f>
        <v>0.111109097499094</v>
      </c>
      <c r="F57" s="935" t="n">
        <f aca="false">DataDE1!EB59/TableDE1!B138</f>
        <v>0.227292497281624</v>
      </c>
      <c r="G57" s="935" t="n">
        <f aca="false">DataDE1!EC59/TableDE1!B138</f>
        <v>0.051296724926811</v>
      </c>
      <c r="H57" s="1072" t="n">
        <f aca="false">DataDE1!EF59/TableDE1!B138</f>
        <v>0.00148604566872055</v>
      </c>
      <c r="I57" s="1157" t="n">
        <f aca="false">DataDE1!ED59/TableDE1!B138</f>
        <v>0.318039991274711</v>
      </c>
      <c r="J57" s="1155" t="n">
        <f aca="false">G57/TableDE11a!B138</f>
        <v>0.197056300614365</v>
      </c>
      <c r="K57" s="1054" t="n">
        <f aca="false">I57/TableDE11a!I138</f>
        <v>0.473080031344144</v>
      </c>
      <c r="L57" s="1840" t="n">
        <f aca="false">(I57-MIN(F57,Q57))/TableDE11a!$I138</f>
        <v>0.204184185888635</v>
      </c>
      <c r="M57" s="1054" t="n">
        <f aca="false">1-(1-$C57)*(1-J57)</f>
        <v>0.275318331480544</v>
      </c>
      <c r="N57" s="1054" t="n">
        <f aca="false">1-(1-$C57)*(1-K57)</f>
        <v>0.524438335646804</v>
      </c>
      <c r="O57" s="1840" t="n">
        <f aca="false">1-(1-$C57)*(1-L57)</f>
        <v>0.281751469691262</v>
      </c>
      <c r="P57" s="1155" t="n">
        <f aca="false">DataDE1!EG59/TableDE1!B138</f>
        <v>0.215881357979944</v>
      </c>
      <c r="Q57" s="935" t="n">
        <f aca="false">DataDE1!EH59/TableDE1!B138</f>
        <v>0.180772018847409</v>
      </c>
      <c r="R57" s="1157" t="n">
        <f aca="false">DataDE1!EI59/TableDE1!B138</f>
        <v>0.035109339132536</v>
      </c>
      <c r="S57" s="1073" t="n">
        <f aca="false">DataDE1!EJ59/TableDE1!B138</f>
        <v>0.0874048568321856</v>
      </c>
      <c r="V57" s="1010" t="n">
        <f aca="false">C57+D57+E57+F57-B57</f>
        <v>0</v>
      </c>
      <c r="W57" s="1010" t="n">
        <f aca="false">G57+I57+C57-B57</f>
        <v>0</v>
      </c>
    </row>
    <row r="58" customFormat="false" ht="12" hidden="false" customHeight="false" outlineLevel="0" collapsed="false">
      <c r="A58" s="445" t="n">
        <f aca="false">A57+1</f>
        <v>1999</v>
      </c>
      <c r="B58" s="534" t="n">
        <f aca="false">DataDE1!DV60/TableDE1!B139</f>
        <v>0.479019839129378</v>
      </c>
      <c r="C58" s="990" t="n">
        <f aca="false">DataDE1!I60/TableDE1!B139</f>
        <v>0.104974897307166</v>
      </c>
      <c r="D58" s="1063" t="n">
        <f aca="false">DataDE1!DX60/TableDE1!B139</f>
        <v>0.033152151363014</v>
      </c>
      <c r="E58" s="1063" t="n">
        <f aca="false">DataDE1!DY60/TableDE1!B139</f>
        <v>0.1158635978353</v>
      </c>
      <c r="F58" s="1063" t="n">
        <f aca="false">DataDE1!EB60/TableDE1!B139</f>
        <v>0.225029192623898</v>
      </c>
      <c r="G58" s="1063" t="n">
        <f aca="false">DataDE1!EC60/TableDE1!B139</f>
        <v>0.0536606983711586</v>
      </c>
      <c r="H58" s="1496" t="n">
        <f aca="false">DataDE1!EF60/TableDE1!B139</f>
        <v>0.00181379551530168</v>
      </c>
      <c r="I58" s="1160" t="n">
        <f aca="false">DataDE1!ED60/TableDE1!B139</f>
        <v>0.320384243451054</v>
      </c>
      <c r="J58" s="1158" t="n">
        <f aca="false">G58/TableDE11a!B139</f>
        <v>0.216203298116434</v>
      </c>
      <c r="K58" s="1069" t="n">
        <f aca="false">I58/TableDE11a!I139</f>
        <v>0.475288380654392</v>
      </c>
      <c r="L58" s="1843" t="n">
        <f aca="false">(I58-MIN(F58,Q58))/TableDE11a!$I139</f>
        <v>0.202440412100833</v>
      </c>
      <c r="M58" s="1069" t="n">
        <f aca="false">1-(1-$C58)*(1-J58)</f>
        <v>0.298482276406356</v>
      </c>
      <c r="N58" s="1069" t="n">
        <f aca="false">1-(1-$C58)*(1-K58)</f>
        <v>0.530369929011074</v>
      </c>
      <c r="O58" s="1843" t="n">
        <f aca="false">1-(1-$C58)*(1-L58)</f>
        <v>0.286164147936894</v>
      </c>
      <c r="P58" s="1158" t="n">
        <f aca="false">DataDE1!EG60/TableDE1!B139</f>
        <v>0.219427765297231</v>
      </c>
      <c r="Q58" s="1063" t="n">
        <f aca="false">DataDE1!EH60/TableDE1!B139</f>
        <v>0.183922421713385</v>
      </c>
      <c r="R58" s="1160" t="n">
        <f aca="false">DataDE1!EI60/TableDE1!B139</f>
        <v>0.0355053435838466</v>
      </c>
      <c r="S58" s="1844" t="n">
        <f aca="false">DataDE1!EJ60/TableDE1!B139</f>
        <v>0.0879216630015352</v>
      </c>
      <c r="V58" s="1010" t="n">
        <f aca="false">C58+D58+E58+F58-B58</f>
        <v>0</v>
      </c>
      <c r="W58" s="1010" t="n">
        <f aca="false">G58+I58+C58-B58</f>
        <v>0</v>
      </c>
    </row>
    <row r="59" customFormat="false" ht="12" hidden="false" customHeight="false" outlineLevel="0" collapsed="false">
      <c r="A59" s="446" t="n">
        <f aca="false">A58+1</f>
        <v>2000</v>
      </c>
      <c r="B59" s="519" t="n">
        <f aca="false">DataDE1!DV61/TableDE1!B140</f>
        <v>0.478373817793834</v>
      </c>
      <c r="C59" s="891" t="n">
        <f aca="false">DataDE1!I61/TableDE1!B140</f>
        <v>0.104851756710524</v>
      </c>
      <c r="D59" s="935" t="n">
        <f aca="false">DataDE1!DX61/TableDE1!B140</f>
        <v>0.0349428539950015</v>
      </c>
      <c r="E59" s="935" t="n">
        <f aca="false">DataDE1!DY61/TableDE1!B140</f>
        <v>0.117713232011041</v>
      </c>
      <c r="F59" s="935" t="n">
        <f aca="false">DataDE1!EB61/TableDE1!B140</f>
        <v>0.220865975077267</v>
      </c>
      <c r="G59" s="935" t="n">
        <f aca="false">DataDE1!EC61/TableDE1!B140</f>
        <v>0.0547674166353166</v>
      </c>
      <c r="H59" s="1072" t="n">
        <f aca="false">DataDE1!EF61/TableDE1!B140</f>
        <v>0.00173380573257641</v>
      </c>
      <c r="I59" s="1157" t="n">
        <f aca="false">DataDE1!ED61/TableDE1!B140</f>
        <v>0.318754644447993</v>
      </c>
      <c r="J59" s="1155" t="n">
        <f aca="false">G59/TableDE11a!B140</f>
        <v>0.229255049740924</v>
      </c>
      <c r="K59" s="1054" t="n">
        <f aca="false">I59/TableDE11a!I140</f>
        <v>0.465686539742588</v>
      </c>
      <c r="L59" s="1840" t="n">
        <f aca="false">(I59-MIN(F59,Q59))/TableDE11a!$I140</f>
        <v>0.198762771788768</v>
      </c>
      <c r="M59" s="1054" t="n">
        <f aca="false">1-(1-$C59)*(1-J59)</f>
        <v>0.310069011751353</v>
      </c>
      <c r="N59" s="1054" t="n">
        <f aca="false">1-(1-$C59)*(1-K59)</f>
        <v>0.521710244684656</v>
      </c>
      <c r="O59" s="1840" t="n">
        <f aca="false">1-(1-$C59)*(1-L59)</f>
        <v>0.282773902708587</v>
      </c>
      <c r="P59" s="1155" t="n">
        <f aca="false">DataDE1!EG61/TableDE1!B140</f>
        <v>0.213913356102822</v>
      </c>
      <c r="Q59" s="935" t="n">
        <f aca="false">DataDE1!EH61/TableDE1!B140</f>
        <v>0.182704852916447</v>
      </c>
      <c r="R59" s="1157" t="n">
        <f aca="false">DataDE1!EI61/TableDE1!B140</f>
        <v>0.0312085031863754</v>
      </c>
      <c r="S59" s="1073" t="n">
        <f aca="false">DataDE1!EJ61/TableDE1!B140</f>
        <v>0.0886212475283121</v>
      </c>
      <c r="V59" s="1010" t="n">
        <f aca="false">C59+D59+E59+F59-B59</f>
        <v>0</v>
      </c>
      <c r="W59" s="1010" t="n">
        <f aca="false">G59+I59+C59-B59</f>
        <v>0</v>
      </c>
    </row>
    <row r="60" customFormat="false" ht="12" hidden="false" customHeight="false" outlineLevel="0" collapsed="false">
      <c r="A60" s="446" t="n">
        <f aca="false">A59+1</f>
        <v>2001</v>
      </c>
      <c r="B60" s="519" t="n">
        <f aca="false">DataDE1!DV62/TableDE1!B141</f>
        <v>0.45958652997488</v>
      </c>
      <c r="C60" s="891" t="n">
        <f aca="false">DataDE1!I62/TableDE1!B141</f>
        <v>0.106558490053636</v>
      </c>
      <c r="D60" s="935" t="n">
        <f aca="false">DataDE1!DX62/TableDE1!B141</f>
        <v>0.0201246973091633</v>
      </c>
      <c r="E60" s="935" t="n">
        <f aca="false">DataDE1!DY62/TableDE1!B141</f>
        <v>0.11437753185326</v>
      </c>
      <c r="F60" s="935" t="n">
        <f aca="false">DataDE1!EB62/TableDE1!B141</f>
        <v>0.21852581075882</v>
      </c>
      <c r="G60" s="935" t="n">
        <f aca="false">DataDE1!EC62/TableDE1!B141</f>
        <v>0.0398423453150122</v>
      </c>
      <c r="H60" s="1072" t="n">
        <f aca="false">DataDE1!EF62/TableDE1!B141</f>
        <v>0.00173693620295562</v>
      </c>
      <c r="I60" s="1157" t="n">
        <f aca="false">DataDE1!ED62/TableDE1!B141</f>
        <v>0.313185694606232</v>
      </c>
      <c r="J60" s="1155" t="n">
        <f aca="false">G60/TableDE11a!B141</f>
        <v>0.163400732457758</v>
      </c>
      <c r="K60" s="1054" t="n">
        <f aca="false">I60/TableDE11a!I141</f>
        <v>0.463752334405266</v>
      </c>
      <c r="L60" s="1840" t="n">
        <f aca="false">(I60-MIN(F60,Q60))/TableDE11a!$I141</f>
        <v>0.18977333305522</v>
      </c>
      <c r="M60" s="1054" t="n">
        <f aca="false">1-(1-$C60)*(1-J60)</f>
        <v>0.252547487187036</v>
      </c>
      <c r="N60" s="1054" t="n">
        <f aca="false">1-(1-$C60)*(1-K60)</f>
        <v>0.520894075945828</v>
      </c>
      <c r="O60" s="1840" t="n">
        <f aca="false">1-(1-$C60)*(1-L60)</f>
        <v>0.276109863286046</v>
      </c>
      <c r="P60" s="1155" t="n">
        <f aca="false">DataDE1!EG62/TableDE1!B141</f>
        <v>0.216534274786702</v>
      </c>
      <c r="Q60" s="935" t="n">
        <f aca="false">DataDE1!EH62/TableDE1!B141</f>
        <v>0.185026138909634</v>
      </c>
      <c r="R60" s="1157" t="n">
        <f aca="false">DataDE1!EI62/TableDE1!B141</f>
        <v>0.0315081358770679</v>
      </c>
      <c r="S60" s="1073" t="n">
        <f aca="false">DataDE1!EJ62/TableDE1!B141</f>
        <v>0.089234390205264</v>
      </c>
      <c r="V60" s="1010" t="n">
        <f aca="false">C60+D60+E60+F60-B60</f>
        <v>0</v>
      </c>
      <c r="W60" s="1010" t="n">
        <f aca="false">G60+I60+C60-B60</f>
        <v>0</v>
      </c>
    </row>
    <row r="61" customFormat="false" ht="12" hidden="false" customHeight="false" outlineLevel="0" collapsed="false">
      <c r="A61" s="446" t="n">
        <f aca="false">A60+1</f>
        <v>2002</v>
      </c>
      <c r="B61" s="519" t="n">
        <f aca="false">DataDE1!DV63/TableDE1!B142</f>
        <v>0.457589473036405</v>
      </c>
      <c r="C61" s="891" t="n">
        <f aca="false">DataDE1!I63/TableDE1!B142</f>
        <v>0.108419444895128</v>
      </c>
      <c r="D61" s="935" t="n">
        <f aca="false">DataDE1!DX63/TableDE1!B142</f>
        <v>0.0194639170643557</v>
      </c>
      <c r="E61" s="935" t="n">
        <f aca="false">DataDE1!DY63/TableDE1!B142</f>
        <v>0.11060137293626</v>
      </c>
      <c r="F61" s="935" t="n">
        <f aca="false">DataDE1!EB63/TableDE1!B142</f>
        <v>0.219104738140662</v>
      </c>
      <c r="G61" s="935" t="n">
        <f aca="false">DataDE1!EC63/TableDE1!B142</f>
        <v>0.0388028093193361</v>
      </c>
      <c r="H61" s="1072" t="n">
        <f aca="false">DataDE1!EF63/TableDE1!B142</f>
        <v>0.00169519024734113</v>
      </c>
      <c r="I61" s="1157" t="n">
        <f aca="false">DataDE1!ED63/TableDE1!B142</f>
        <v>0.310367218821941</v>
      </c>
      <c r="J61" s="1155" t="n">
        <f aca="false">G61/TableDE11a!B142</f>
        <v>0.156982361549895</v>
      </c>
      <c r="K61" s="1054" t="n">
        <f aca="false">I61/TableDE11a!I142</f>
        <v>0.463631738384921</v>
      </c>
      <c r="L61" s="1840" t="n">
        <f aca="false">(I61-MIN(F61,Q61))/TableDE11a!$I142</f>
        <v>0.181376006236132</v>
      </c>
      <c r="M61" s="1054" t="n">
        <f aca="false">1-(1-$C61)*(1-J61)</f>
        <v>0.248381865947457</v>
      </c>
      <c r="N61" s="1054" t="n">
        <f aca="false">1-(1-$C61)*(1-K61)</f>
        <v>0.521784487568593</v>
      </c>
      <c r="O61" s="1840" t="n">
        <f aca="false">1-(1-$C61)*(1-L61)</f>
        <v>0.270130765217843</v>
      </c>
      <c r="P61" s="1155" t="n">
        <f aca="false">DataDE1!EG63/TableDE1!B142</f>
        <v>0.222495118635344</v>
      </c>
      <c r="Q61" s="935" t="n">
        <f aca="false">DataDE1!EH63/TableDE1!B142</f>
        <v>0.188949373674759</v>
      </c>
      <c r="R61" s="1157" t="n">
        <f aca="false">DataDE1!EI63/TableDE1!B142</f>
        <v>0.0335457449605854</v>
      </c>
      <c r="S61" s="1073" t="n">
        <f aca="false">DataDE1!EJ63/TableDE1!B142</f>
        <v>0.0910143727516351</v>
      </c>
      <c r="V61" s="1010" t="n">
        <f aca="false">C61+D61+E61+F61-B61</f>
        <v>0</v>
      </c>
      <c r="W61" s="1010" t="n">
        <f aca="false">G61+I61+C61-B61</f>
        <v>0</v>
      </c>
    </row>
    <row r="62" customFormat="false" ht="13.5" hidden="false" customHeight="true" outlineLevel="0" collapsed="false">
      <c r="A62" s="446" t="n">
        <f aca="false">A61+1</f>
        <v>2003</v>
      </c>
      <c r="B62" s="519" t="n">
        <f aca="false">DataDE1!DV64/TableDE1!B143</f>
        <v>0.459210598951145</v>
      </c>
      <c r="C62" s="891" t="n">
        <f aca="false">DataDE1!I64/TableDE1!B143</f>
        <v>0.110869445211151</v>
      </c>
      <c r="D62" s="935" t="n">
        <f aca="false">DataDE1!DX64/TableDE1!B143</f>
        <v>0.021584322384764</v>
      </c>
      <c r="E62" s="935" t="n">
        <f aca="false">DataDE1!DY64/TableDE1!B143</f>
        <v>0.107457907811206</v>
      </c>
      <c r="F62" s="935" t="n">
        <f aca="false">DataDE1!EB64/TableDE1!B143</f>
        <v>0.219298923544024</v>
      </c>
      <c r="G62" s="935" t="n">
        <f aca="false">DataDE1!EC64/TableDE1!B143</f>
        <v>0.0413146505524623</v>
      </c>
      <c r="H62" s="1072" t="n">
        <f aca="false">DataDE1!EF64/TableDE1!B143</f>
        <v>0.00186033673751035</v>
      </c>
      <c r="I62" s="1157" t="n">
        <f aca="false">DataDE1!ED64/TableDE1!B143</f>
        <v>0.307026503187532</v>
      </c>
      <c r="J62" s="1155" t="n">
        <f aca="false">G62/TableDE11a!B143</f>
        <v>0.160810474971101</v>
      </c>
      <c r="K62" s="1054" t="n">
        <f aca="false">I62/TableDE11a!I143</f>
        <v>0.465535036001797</v>
      </c>
      <c r="L62" s="1840" t="n">
        <f aca="false">(I62-MIN(F62,Q62))/TableDE11a!$I143</f>
        <v>0.176820177499351</v>
      </c>
      <c r="M62" s="1054" t="n">
        <f aca="false">1-(1-$C62)*(1-J62)</f>
        <v>0.253850952038064</v>
      </c>
      <c r="N62" s="1054" t="n">
        <f aca="false">1-(1-$C62)*(1-K62)</f>
        <v>0.524790870045075</v>
      </c>
      <c r="O62" s="1840" t="n">
        <f aca="false">1-(1-$C62)*(1-L62)</f>
        <v>0.268085667729012</v>
      </c>
      <c r="P62" s="1155" t="n">
        <f aca="false">DataDE1!EG64/TableDE1!B143</f>
        <v>0.22563621308308</v>
      </c>
      <c r="Q62" s="935" t="n">
        <f aca="false">DataDE1!EH64/TableDE1!B143</f>
        <v>0.190411261385592</v>
      </c>
      <c r="R62" s="1157" t="n">
        <f aca="false">DataDE1!EI64/TableDE1!B143</f>
        <v>0.0352249516974883</v>
      </c>
      <c r="S62" s="1073" t="n">
        <f aca="false">DataDE1!EJ64/TableDE1!B143</f>
        <v>0.0920397460667955</v>
      </c>
      <c r="V62" s="1010" t="n">
        <f aca="false">C62+D62+E62+F62-B62</f>
        <v>0</v>
      </c>
      <c r="W62" s="1010" t="n">
        <f aca="false">G62+I62+C62-B62</f>
        <v>0</v>
      </c>
    </row>
    <row r="63" customFormat="false" ht="12" hidden="false" customHeight="false" outlineLevel="0" collapsed="false">
      <c r="A63" s="446" t="n">
        <f aca="false">A62+1</f>
        <v>2004</v>
      </c>
      <c r="B63" s="519" t="n">
        <f aca="false">DataDE1!DV65/TableDE1!B144</f>
        <v>0.441075714482073</v>
      </c>
      <c r="C63" s="891" t="n">
        <f aca="false">DataDE1!I65/TableDE1!B144</f>
        <v>0.107127374998678</v>
      </c>
      <c r="D63" s="935" t="n">
        <f aca="false">DataDE1!DX65/TableDE1!B144</f>
        <v>0.0252011545903425</v>
      </c>
      <c r="E63" s="935" t="n">
        <f aca="false">DataDE1!DY65/TableDE1!B144</f>
        <v>0.0986265450047051</v>
      </c>
      <c r="F63" s="935" t="n">
        <f aca="false">DataDE1!EB65/TableDE1!B144</f>
        <v>0.210120639888347</v>
      </c>
      <c r="G63" s="935" t="n">
        <f aca="false">DataDE1!EC65/TableDE1!B144</f>
        <v>0.0459986181772852</v>
      </c>
      <c r="H63" s="1072" t="n">
        <f aca="false">DataDE1!EF65/TableDE1!B144</f>
        <v>0.00226794531555631</v>
      </c>
      <c r="I63" s="1157" t="n">
        <f aca="false">DataDE1!ED65/TableDE1!B144</f>
        <v>0.28794972130611</v>
      </c>
      <c r="J63" s="1155" t="n">
        <f aca="false">G63/TableDE11a!B144</f>
        <v>0.160009010730446</v>
      </c>
      <c r="K63" s="1054" t="n">
        <f aca="false">I63/TableDE11a!I144</f>
        <v>0.455251392513153</v>
      </c>
      <c r="L63" s="1840" t="n">
        <f aca="false">(I63-MIN(F63,Q63))/TableDE11a!$I144</f>
        <v>0.168533582679228</v>
      </c>
      <c r="M63" s="1054" t="n">
        <f aca="false">1-(1-$C63)*(1-J63)</f>
        <v>0.249995040433436</v>
      </c>
      <c r="N63" s="1054" t="n">
        <f aca="false">1-(1-$C63)*(1-K63)</f>
        <v>0.513608880867405</v>
      </c>
      <c r="O63" s="1840" t="n">
        <f aca="false">1-(1-$C63)*(1-L63)</f>
        <v>0.257606397366358</v>
      </c>
      <c r="P63" s="1155" t="n">
        <f aca="false">DataDE1!EG65/TableDE1!B144</f>
        <v>0.217188805125874</v>
      </c>
      <c r="Q63" s="935" t="n">
        <f aca="false">DataDE1!EH65/TableDE1!B144</f>
        <v>0.18135103987143</v>
      </c>
      <c r="R63" s="1157" t="n">
        <f aca="false">DataDE1!EI65/TableDE1!B144</f>
        <v>0.0358377652544434</v>
      </c>
      <c r="S63" s="1073" t="n">
        <f aca="false">DataDE1!EJ65/TableDE1!B144</f>
        <v>0.0864198183529113</v>
      </c>
      <c r="V63" s="1010" t="n">
        <f aca="false">C63+D63+E63+F63-B63</f>
        <v>0</v>
      </c>
      <c r="W63" s="1010" t="n">
        <f aca="false">G63+I63+C63-B63</f>
        <v>0</v>
      </c>
    </row>
    <row r="64" customFormat="false" ht="12" hidden="false" customHeight="false" outlineLevel="0" collapsed="false">
      <c r="A64" s="446" t="n">
        <f aca="false">A63+1</f>
        <v>2005</v>
      </c>
      <c r="B64" s="519" t="n">
        <f aca="false">DataDE1!DV66/TableDE1!B145</f>
        <v>0.440282468529321</v>
      </c>
      <c r="C64" s="891" t="n">
        <f aca="false">DataDE1!I66/TableDE1!B145</f>
        <v>0.106831179779666</v>
      </c>
      <c r="D64" s="935" t="n">
        <f aca="false">DataDE1!DX66/TableDE1!B145</f>
        <v>0.0287047974896312</v>
      </c>
      <c r="E64" s="935" t="n">
        <f aca="false">DataDE1!DY66/TableDE1!B145</f>
        <v>0.0980781940331906</v>
      </c>
      <c r="F64" s="935" t="n">
        <f aca="false">DataDE1!EB66/TableDE1!B145</f>
        <v>0.206668297226833</v>
      </c>
      <c r="G64" s="935" t="n">
        <f aca="false">DataDE1!EC66/TableDE1!B145</f>
        <v>0.0502795684690219</v>
      </c>
      <c r="H64" s="1072" t="n">
        <f aca="false">DataDE1!EF66/TableDE1!B145</f>
        <v>0.00213360532464626</v>
      </c>
      <c r="I64" s="1157" t="n">
        <f aca="false">DataDE1!ED66/TableDE1!B145</f>
        <v>0.283171720280633</v>
      </c>
      <c r="J64" s="1155" t="n">
        <f aca="false">G64/TableDE11a!B145</f>
        <v>0.16796253591523</v>
      </c>
      <c r="K64" s="1054" t="n">
        <f aca="false">I64/TableDE11a!I145</f>
        <v>0.457085510498726</v>
      </c>
      <c r="L64" s="1840" t="n">
        <f aca="false">(I64-MIN(F64,Q64))/TableDE11a!$I145</f>
        <v>0.17276328005476</v>
      </c>
      <c r="M64" s="1054" t="n">
        <f aca="false">1-(1-$C64)*(1-J64)</f>
        <v>0.256850079824287</v>
      </c>
      <c r="N64" s="1054" t="n">
        <f aca="false">1-(1-$C64)*(1-K64)</f>
        <v>0.515085705931622</v>
      </c>
      <c r="O64" s="1840" t="n">
        <f aca="false">1-(1-$C64)*(1-L64)</f>
        <v>0.261137954803572</v>
      </c>
      <c r="P64" s="1155" t="n">
        <f aca="false">DataDE1!EG66/TableDE1!B145</f>
        <v>0.214557433012599</v>
      </c>
      <c r="Q64" s="935" t="n">
        <f aca="false">DataDE1!EH66/TableDE1!B145</f>
        <v>0.176142129338114</v>
      </c>
      <c r="R64" s="1157" t="n">
        <f aca="false">DataDE1!EI66/TableDE1!B145</f>
        <v>0.0384153036744847</v>
      </c>
      <c r="S64" s="1073" t="n">
        <f aca="false">DataDE1!EJ66/TableDE1!B145</f>
        <v>0.0870927285689753</v>
      </c>
      <c r="V64" s="1010" t="n">
        <f aca="false">C64+D64+E64+F64-B64</f>
        <v>0</v>
      </c>
      <c r="W64" s="1010" t="n">
        <f aca="false">G64+I64+C64-B64</f>
        <v>0</v>
      </c>
    </row>
    <row r="65" customFormat="false" ht="12" hidden="false" customHeight="false" outlineLevel="0" collapsed="false">
      <c r="A65" s="446" t="n">
        <f aca="false">A64+1</f>
        <v>2006</v>
      </c>
      <c r="B65" s="519" t="n">
        <f aca="false">DataDE1!DV67/TableDE1!B146</f>
        <v>0.436761801303575</v>
      </c>
      <c r="C65" s="891" t="n">
        <f aca="false">DataDE1!I67/TableDE1!B146</f>
        <v>0.10554019356113</v>
      </c>
      <c r="D65" s="935" t="n">
        <f aca="false">DataDE1!DX67/TableDE1!B146</f>
        <v>0.0336411218645072</v>
      </c>
      <c r="E65" s="935" t="n">
        <f aca="false">DataDE1!DY67/TableDE1!B146</f>
        <v>0.0997086707485681</v>
      </c>
      <c r="F65" s="935" t="n">
        <f aca="false">DataDE1!EB67/TableDE1!B146</f>
        <v>0.19787181512937</v>
      </c>
      <c r="G65" s="935" t="n">
        <f aca="false">DataDE1!EC67/TableDE1!B146</f>
        <v>0.0572009403311058</v>
      </c>
      <c r="H65" s="1072" t="n">
        <f aca="false">DataDE1!EF67/TableDE1!B146</f>
        <v>0.00185660675488841</v>
      </c>
      <c r="I65" s="1157" t="n">
        <f aca="false">DataDE1!ED67/TableDE1!B146</f>
        <v>0.274020667411339</v>
      </c>
      <c r="J65" s="1155" t="n">
        <f aca="false">G65/TableDE11a!B146</f>
        <v>0.178082209753987</v>
      </c>
      <c r="K65" s="1054" t="n">
        <f aca="false">I65/TableDE11a!I146</f>
        <v>0.458802282743435</v>
      </c>
      <c r="L65" s="1840" t="n">
        <f aca="false">(I65-MIN(F65,Q65))/TableDE11a!$I146</f>
        <v>0.184015304273991</v>
      </c>
      <c r="M65" s="1054" t="n">
        <f aca="false">1-(1-$C65)*(1-J65)</f>
        <v>0.264827572427887</v>
      </c>
      <c r="N65" s="1054" t="n">
        <f aca="false">1-(1-$C65)*(1-K65)</f>
        <v>0.515920394577535</v>
      </c>
      <c r="O65" s="1840" t="n">
        <f aca="false">1-(1-$C65)*(1-L65)</f>
        <v>0.270134487003834</v>
      </c>
      <c r="P65" s="1155" t="n">
        <f aca="false">DataDE1!EG67/TableDE1!B146</f>
        <v>0.201945486865495</v>
      </c>
      <c r="Q65" s="935" t="n">
        <f aca="false">DataDE1!EH67/TableDE1!B146</f>
        <v>0.164117124234644</v>
      </c>
      <c r="R65" s="1157" t="n">
        <f aca="false">DataDE1!EI67/TableDE1!B146</f>
        <v>0.0378283626308513</v>
      </c>
      <c r="S65" s="1073" t="n">
        <f aca="false">DataDE1!EJ67/TableDE1!B146</f>
        <v>0.0847323721113964</v>
      </c>
      <c r="V65" s="1010" t="n">
        <f aca="false">C65+D65+E65+F65-B65</f>
        <v>0</v>
      </c>
      <c r="W65" s="1010" t="n">
        <f aca="false">G65+I65+C65-B65</f>
        <v>0</v>
      </c>
    </row>
    <row r="66" customFormat="false" ht="12" hidden="false" customHeight="false" outlineLevel="0" collapsed="false">
      <c r="A66" s="446" t="n">
        <f aca="false">A65+1</f>
        <v>2007</v>
      </c>
      <c r="B66" s="519" t="n">
        <f aca="false">DataDE1!DV68/TableDE1!B147</f>
        <v>0.4390462700661</v>
      </c>
      <c r="C66" s="891" t="n">
        <f aca="false">DataDE1!I68/TableDE1!B147</f>
        <v>0.112200188857413</v>
      </c>
      <c r="D66" s="935" t="n">
        <f aca="false">DataDE1!DX68/TableDE1!B147</f>
        <v>0.0336732766761095</v>
      </c>
      <c r="E66" s="935" t="n">
        <f aca="false">DataDE1!DY68/TableDE1!B147</f>
        <v>0.103871576959396</v>
      </c>
      <c r="F66" s="935" t="n">
        <f aca="false">DataDE1!EB68/TableDE1!B147</f>
        <v>0.189301227573182</v>
      </c>
      <c r="G66" s="935" t="n">
        <f aca="false">DataDE1!EC68/TableDE1!B147</f>
        <v>0.0590535699569454</v>
      </c>
      <c r="H66" s="1072" t="n">
        <f aca="false">DataDE1!EF68/TableDE1!B147</f>
        <v>0.00198300283286119</v>
      </c>
      <c r="I66" s="1157" t="n">
        <f aca="false">DataDE1!ED68/TableDE1!B147</f>
        <v>0.267792511251742</v>
      </c>
      <c r="J66" s="1155" t="n">
        <f aca="false">G66/TableDE11a!B147</f>
        <v>0.180309085939829</v>
      </c>
      <c r="K66" s="1054" t="n">
        <f aca="false">I66/TableDE11a!I147</f>
        <v>0.458765623195346</v>
      </c>
      <c r="L66" s="1840" t="n">
        <f aca="false">(I66-MIN(F66,Q66))/TableDE11a!$I147</f>
        <v>0.193342416205638</v>
      </c>
      <c r="M66" s="1054" t="n">
        <f aca="false">1-(1-$C66)*(1-J66)</f>
        <v>0.272278561302085</v>
      </c>
      <c r="N66" s="1054" t="n">
        <f aca="false">1-(1-$C66)*(1-K66)</f>
        <v>0.519492222488952</v>
      </c>
      <c r="O66" s="1840" t="n">
        <f aca="false">1-(1-$C66)*(1-L66)</f>
        <v>0.28384954945063</v>
      </c>
      <c r="P66" s="1155" t="n">
        <f aca="false">DataDE1!EG68/TableDE1!B147</f>
        <v>0.189405099150142</v>
      </c>
      <c r="Q66" s="935" t="n">
        <f aca="false">DataDE1!EH68/TableDE1!B147</f>
        <v>0.154933899905571</v>
      </c>
      <c r="R66" s="1157" t="n">
        <f aca="false">DataDE1!EI68/TableDE1!B147</f>
        <v>0.0344711992445704</v>
      </c>
      <c r="S66" s="1073" t="n">
        <f aca="false">DataDE1!EJ68/TableDE1!B147</f>
        <v>0.0841737488196412</v>
      </c>
      <c r="V66" s="1010" t="n">
        <f aca="false">C66+D66+E66+F66-B66</f>
        <v>0</v>
      </c>
      <c r="W66" s="1010" t="n">
        <f aca="false">G66+I66+C66-B66</f>
        <v>0</v>
      </c>
    </row>
    <row r="67" customFormat="false" ht="12" hidden="false" customHeight="false" outlineLevel="0" collapsed="false">
      <c r="A67" s="446" t="n">
        <f aca="false">A66+1</f>
        <v>2008</v>
      </c>
      <c r="B67" s="519" t="n">
        <f aca="false">DataDE1!DV69/TableDE1!B148</f>
        <v>0.445178810980598</v>
      </c>
      <c r="C67" s="891" t="n">
        <f aca="false">DataDE1!I69/TableDE1!B148</f>
        <v>0.113077904655957</v>
      </c>
      <c r="D67" s="935" t="n">
        <f aca="false">DataDE1!DX69/TableDE1!B148</f>
        <v>0.0309571330413525</v>
      </c>
      <c r="E67" s="935" t="n">
        <f aca="false">DataDE1!DY69/TableDE1!B148</f>
        <v>0.110081751510931</v>
      </c>
      <c r="F67" s="935" t="n">
        <f aca="false">DataDE1!EB69/TableDE1!B148</f>
        <v>0.191062021772358</v>
      </c>
      <c r="G67" s="935" t="n">
        <f aca="false">DataDE1!EC69/TableDE1!B148</f>
        <v>0.0562169320024708</v>
      </c>
      <c r="H67" s="1072" t="n">
        <f aca="false">DataDE1!EF69/TableDE1!B148</f>
        <v>0.00222958666174319</v>
      </c>
      <c r="I67" s="1157" t="n">
        <f aca="false">DataDE1!ED69/TableDE1!B148</f>
        <v>0.27588397432217</v>
      </c>
      <c r="J67" s="1155" t="n">
        <f aca="false">G67/TableDE11a!B148</f>
        <v>0.182882643049644</v>
      </c>
      <c r="K67" s="1054" t="n">
        <f aca="false">I67/TableDE11a!I148</f>
        <v>0.45818493155087</v>
      </c>
      <c r="L67" s="1840" t="n">
        <f aca="false">(I67-MIN(F67,Q67))/TableDE11a!$I148</f>
        <v>0.200738300127221</v>
      </c>
      <c r="M67" s="1054" t="n">
        <f aca="false">1-(1-$C67)*(1-J67)</f>
        <v>0.275280561631604</v>
      </c>
      <c r="N67" s="1054" t="n">
        <f aca="false">1-(1-$C67)*(1-K67)</f>
        <v>0.519452244202121</v>
      </c>
      <c r="O67" s="1840" t="n">
        <f aca="false">1-(1-$C67)*(1-L67)</f>
        <v>0.291117138420593</v>
      </c>
      <c r="P67" s="1155" t="n">
        <f aca="false">DataDE1!EG69/TableDE1!B148</f>
        <v>0.18904277347493</v>
      </c>
      <c r="Q67" s="935" t="n">
        <f aca="false">DataDE1!EH69/TableDE1!B148</f>
        <v>0.155014700314573</v>
      </c>
      <c r="R67" s="1157" t="n">
        <f aca="false">DataDE1!EI69/TableDE1!B148</f>
        <v>0.0340280731603573</v>
      </c>
      <c r="S67" s="1073" t="n">
        <f aca="false">DataDE1!EJ69/TableDE1!B148</f>
        <v>0.086860396090511</v>
      </c>
      <c r="V67" s="1010" t="n">
        <f aca="false">C67+D67+E67+F67-B67</f>
        <v>0</v>
      </c>
      <c r="W67" s="1010" t="n">
        <f aca="false">G67+I67+C67-B67</f>
        <v>0</v>
      </c>
    </row>
    <row r="68" customFormat="false" ht="12" hidden="false" customHeight="false" outlineLevel="0" collapsed="false">
      <c r="A68" s="446" t="n">
        <f aca="false">A67+1</f>
        <v>2009</v>
      </c>
      <c r="B68" s="519" t="n">
        <f aca="false">DataDE1!DV70/TableDE1!B149</f>
        <v>0.451051985024569</v>
      </c>
      <c r="C68" s="891" t="n">
        <f aca="false">DataDE1!I70/TableDE1!B149</f>
        <v>0.117517159347945</v>
      </c>
      <c r="D68" s="935" t="n">
        <f aca="false">DataDE1!DX70/TableDE1!B149</f>
        <v>0.0230042508384681</v>
      </c>
      <c r="E68" s="935" t="n">
        <f aca="false">DataDE1!DY70/TableDE1!B149</f>
        <v>0.110785040168474</v>
      </c>
      <c r="F68" s="935" t="n">
        <f aca="false">DataDE1!EB70/TableDE1!B149</f>
        <v>0.199745534669683</v>
      </c>
      <c r="G68" s="935" t="n">
        <f aca="false">DataDE1!EC70/TableDE1!B149</f>
        <v>0.0455431135087442</v>
      </c>
      <c r="H68" s="1072" t="n">
        <f aca="false">DataDE1!EF70/TableDE1!B149</f>
        <v>0.00221316589969581</v>
      </c>
      <c r="I68" s="1157" t="n">
        <f aca="false">DataDE1!ED70/TableDE1!B149</f>
        <v>0.28799171216788</v>
      </c>
      <c r="J68" s="1155" t="n">
        <f aca="false">G68/TableDE11a!B149</f>
        <v>0.165403838782907</v>
      </c>
      <c r="K68" s="1054" t="n">
        <f aca="false">I68/TableDE11a!I149</f>
        <v>0.458697944312047</v>
      </c>
      <c r="L68" s="1840" t="n">
        <f aca="false">(I68-MIN(F68,Q68))/TableDE11a!$I149</f>
        <v>0.188537499924078</v>
      </c>
      <c r="M68" s="1054" t="n">
        <f aca="false">1-(1-$C68)*(1-J68)</f>
        <v>0.263483208851839</v>
      </c>
      <c r="N68" s="1054" t="n">
        <f aca="false">1-(1-$C68)*(1-K68)</f>
        <v>0.522310224245698</v>
      </c>
      <c r="O68" s="1840" t="n">
        <f aca="false">1-(1-$C68)*(1-L68)</f>
        <v>0.283898267850382</v>
      </c>
      <c r="P68" s="1155" t="n">
        <f aca="false">DataDE1!EG70/TableDE1!B149</f>
        <v>0.207511114577646</v>
      </c>
      <c r="Q68" s="935" t="n">
        <f aca="false">DataDE1!EH70/TableDE1!B149</f>
        <v>0.16961917947118</v>
      </c>
      <c r="R68" s="1157" t="n">
        <f aca="false">DataDE1!EI70/TableDE1!B149</f>
        <v>0.037891935106466</v>
      </c>
      <c r="S68" s="1073" t="n">
        <f aca="false">DataDE1!EJ70/TableDE1!B149</f>
        <v>0.0959851025661025</v>
      </c>
      <c r="V68" s="1010" t="n">
        <f aca="false">C68+D68+E68+F68-B68</f>
        <v>0</v>
      </c>
      <c r="W68" s="1010" t="n">
        <f aca="false">G68+I68+C68-B68</f>
        <v>0</v>
      </c>
    </row>
    <row r="69" customFormat="false" ht="12" hidden="false" customHeight="false" outlineLevel="0" collapsed="false">
      <c r="A69" s="542" t="n">
        <f aca="false">A68+1</f>
        <v>2010</v>
      </c>
      <c r="B69" s="526" t="n">
        <f aca="false">DataDE1!DV71/TableDE1!B150</f>
        <v>0.436525539826473</v>
      </c>
      <c r="C69" s="1078" t="n">
        <f aca="false">DataDE1!I71/TableDE1!B150</f>
        <v>0.11364547123566</v>
      </c>
      <c r="D69" s="1048" t="n">
        <f aca="false">DataDE1!DX71/TableDE1!B150</f>
        <v>0.0255258473668024</v>
      </c>
      <c r="E69" s="1048" t="n">
        <f aca="false">DataDE1!DY71/TableDE1!B150</f>
        <v>0.102261819334035</v>
      </c>
      <c r="F69" s="1048" t="n">
        <f aca="false">DataDE1!EB71/TableDE1!B150</f>
        <v>0.195092401889975</v>
      </c>
      <c r="G69" s="1048" t="n">
        <f aca="false">DataDE1!EC71/TableDE1!B150</f>
        <v>0.047850340377098</v>
      </c>
      <c r="H69" s="1488" t="n">
        <f aca="false">DataDE1!EF71/TableDE1!B150</f>
        <v>0.00205492856676887</v>
      </c>
      <c r="I69" s="1153" t="n">
        <f aca="false">DataDE1!ED71/TableDE1!B150</f>
        <v>0.275029728213715</v>
      </c>
      <c r="J69" s="1151" t="n">
        <f aca="false">G69/TableDE11a!B150</f>
        <v>0.162636366539363</v>
      </c>
      <c r="K69" s="1327" t="n">
        <f aca="false">I69/TableDE11a!I150</f>
        <v>0.449499529918778</v>
      </c>
      <c r="L69" s="1841" t="n">
        <f aca="false">(I69-MIN(F69,Q69))/TableDE11a!$I150</f>
        <v>0.182463907445354</v>
      </c>
      <c r="M69" s="1327" t="n">
        <f aca="false">1-(1-$C69)*(1-J69)</f>
        <v>0.257798951259602</v>
      </c>
      <c r="N69" s="1327" t="n">
        <f aca="false">1-(1-$C69)*(1-K69)</f>
        <v>0.512061415256611</v>
      </c>
      <c r="O69" s="1841" t="n">
        <f aca="false">1-(1-$C69)*(1-L69)</f>
        <v>0.275373181935886</v>
      </c>
      <c r="P69" s="1151" t="n">
        <f aca="false">DataDE1!EG71/TableDE1!B150</f>
        <v>0.200054984483192</v>
      </c>
      <c r="Q69" s="1048" t="n">
        <f aca="false">DataDE1!EH71/TableDE1!B150</f>
        <v>0.16338778971697</v>
      </c>
      <c r="R69" s="1153" t="n">
        <f aca="false">DataDE1!EI71/TableDE1!B150</f>
        <v>0.0366671947662228</v>
      </c>
      <c r="S69" s="1842" t="n">
        <f aca="false">DataDE1!EJ71/TableDE1!B150</f>
        <v>0.0945686513890572</v>
      </c>
      <c r="V69" s="1010" t="n">
        <f aca="false">C69+D69+E69+F69-B69</f>
        <v>0</v>
      </c>
      <c r="W69" s="1010" t="n">
        <f aca="false">G69+I69+C69-B69</f>
        <v>0</v>
      </c>
    </row>
    <row r="70" customFormat="false" ht="13" hidden="false" customHeight="false" outlineLevel="0" collapsed="false">
      <c r="A70" s="449" t="n">
        <f aca="false">A69+1</f>
        <v>2011</v>
      </c>
      <c r="B70" s="548" t="n">
        <f aca="false">DataDE1!DV72/TableDE1!B151</f>
        <v>0.445995423340961</v>
      </c>
      <c r="C70" s="993" t="n">
        <f aca="false">DataDE1!I72/TableDE1!B151</f>
        <v>0.117718849553551</v>
      </c>
      <c r="D70" s="1087" t="n">
        <f aca="false">DataDE1!DX72/TableDE1!B151</f>
        <v>0.0297482837528604</v>
      </c>
      <c r="E70" s="1087" t="n">
        <f aca="false">DataDE1!DY72/TableDE1!B151</f>
        <v>0.103226095930363</v>
      </c>
      <c r="F70" s="1087" t="n">
        <f aca="false">DataDE1!EB72/TableDE1!B151</f>
        <v>0.195302194104186</v>
      </c>
      <c r="G70" s="1087" t="n">
        <f aca="false">DataDE1!EC72/TableDE1!B151</f>
        <v>0.051848275747784</v>
      </c>
      <c r="H70" s="1505" t="n">
        <f aca="false">DataDE1!EF72/TableDE1!B151</f>
        <v>0.001906941266209</v>
      </c>
      <c r="I70" s="1237" t="n">
        <f aca="false">DataDE1!ED72/TableDE1!B151</f>
        <v>0.276428298039626</v>
      </c>
      <c r="J70" s="1234" t="n">
        <f aca="false">G70/TableDE11a!B151</f>
        <v>0.181101663503428</v>
      </c>
      <c r="K70" s="1342" t="n">
        <f aca="false">I70/TableDE11a!I151</f>
        <v>0.449878454078522</v>
      </c>
      <c r="L70" s="1845" t="n">
        <f aca="false">(I70-MIN(F70,Q70))/TableDE11a!$I151</f>
        <v>0.196078891204141</v>
      </c>
      <c r="M70" s="1342" t="n">
        <f aca="false">1-(1-$C70)*(1-J70)</f>
        <v>0.277501433577122</v>
      </c>
      <c r="N70" s="1342" t="n">
        <f aca="false">1-(1-$C70)*(1-K70)</f>
        <v>0.514638129579019</v>
      </c>
      <c r="O70" s="1845" t="n">
        <f aca="false">1-(1-$C70)*(1-L70)</f>
        <v>0.290715559263405</v>
      </c>
      <c r="P70" s="1234" t="n">
        <f aca="false">DataDE1!EG72/TableDE1!B151</f>
        <v>0.190003140844438</v>
      </c>
      <c r="Q70" s="1087" t="n">
        <f aca="false">DataDE1!EH72/TableDE1!B151</f>
        <v>0.155947413290259</v>
      </c>
      <c r="R70" s="1237" t="n">
        <f aca="false">DataDE1!EI72/TableDE1!B151</f>
        <v>0.0340557275541796</v>
      </c>
      <c r="S70" s="1846" t="n">
        <f aca="false">DataDE1!EJ72/TableDE1!B151</f>
        <v>0.0930766814735047</v>
      </c>
      <c r="T70" s="115"/>
      <c r="V70" s="1010" t="n">
        <f aca="false">C70+D70+E70+F70-B70</f>
        <v>0</v>
      </c>
      <c r="W70" s="1010" t="n">
        <f aca="false">G70+I70+C70-B70</f>
        <v>0</v>
      </c>
    </row>
    <row r="71" customFormat="false" ht="13" hidden="false" customHeight="false" outlineLevel="0" collapsed="false">
      <c r="B71" s="197"/>
      <c r="C71" s="130"/>
      <c r="D71" s="197"/>
      <c r="E71" s="197"/>
      <c r="F71" s="197"/>
      <c r="G71" s="197"/>
      <c r="H71" s="197"/>
      <c r="I71" s="197"/>
      <c r="J71" s="197"/>
      <c r="K71" s="197"/>
      <c r="L71" s="197"/>
      <c r="M71" s="1635"/>
      <c r="N71" s="1635"/>
      <c r="O71" s="197"/>
      <c r="P71" s="197"/>
      <c r="Q71" s="197"/>
      <c r="R71" s="197"/>
      <c r="S71" s="197"/>
      <c r="T71" s="115"/>
      <c r="V71" s="1010" t="n">
        <f aca="false">C71+D71+E71+F71-B71</f>
        <v>0</v>
      </c>
      <c r="W71" s="1010" t="n">
        <f aca="false">G71+I71+C71-B71</f>
        <v>0</v>
      </c>
    </row>
    <row r="72" customFormat="false" ht="12" hidden="false" customHeight="false" outlineLevel="0" collapsed="false">
      <c r="B72" s="197"/>
      <c r="C72" s="130"/>
      <c r="D72" s="197"/>
      <c r="E72" s="197"/>
      <c r="F72" s="197"/>
      <c r="G72" s="197"/>
      <c r="H72" s="197"/>
      <c r="I72" s="197"/>
      <c r="J72" s="197"/>
      <c r="K72" s="197"/>
      <c r="L72" s="197"/>
      <c r="M72" s="197"/>
      <c r="N72" s="197"/>
      <c r="O72" s="197"/>
      <c r="P72" s="197"/>
      <c r="Q72" s="197"/>
      <c r="R72" s="197"/>
      <c r="S72" s="197"/>
      <c r="T72" s="115"/>
    </row>
    <row r="73" customFormat="false" ht="12" hidden="false" customHeight="false" outlineLevel="0" collapsed="false">
      <c r="B73" s="197"/>
      <c r="C73" s="130"/>
      <c r="D73" s="197"/>
      <c r="E73" s="197"/>
      <c r="F73" s="197"/>
      <c r="G73" s="197"/>
      <c r="H73" s="197"/>
      <c r="I73" s="197"/>
      <c r="J73" s="197"/>
      <c r="K73" s="197"/>
      <c r="L73" s="197"/>
      <c r="M73" s="197"/>
      <c r="N73" s="197"/>
      <c r="O73" s="197"/>
      <c r="P73" s="197"/>
      <c r="Q73" s="197"/>
      <c r="R73" s="197"/>
      <c r="S73" s="197"/>
      <c r="T73" s="115"/>
    </row>
    <row r="74" customFormat="false" ht="12" hidden="false" customHeight="false" outlineLevel="0" collapsed="false">
      <c r="B74" s="197"/>
      <c r="C74" s="130"/>
      <c r="D74" s="197"/>
      <c r="E74" s="197"/>
      <c r="F74" s="197"/>
      <c r="G74" s="197"/>
      <c r="H74" s="197"/>
      <c r="I74" s="197"/>
      <c r="J74" s="197"/>
      <c r="K74" s="197"/>
      <c r="L74" s="197"/>
      <c r="M74" s="197"/>
      <c r="N74" s="197"/>
      <c r="O74" s="197"/>
      <c r="P74" s="197"/>
      <c r="Q74" s="197"/>
      <c r="R74" s="197"/>
      <c r="S74" s="197"/>
      <c r="T74" s="115"/>
    </row>
    <row r="75" customFormat="false" ht="12" hidden="false" customHeight="false" outlineLevel="0" collapsed="false">
      <c r="B75" s="197"/>
      <c r="C75" s="130"/>
      <c r="D75" s="197"/>
      <c r="E75" s="197"/>
      <c r="F75" s="197"/>
      <c r="G75" s="197"/>
      <c r="H75" s="197"/>
      <c r="I75" s="197"/>
      <c r="J75" s="197"/>
      <c r="K75" s="197"/>
      <c r="L75" s="197"/>
      <c r="M75" s="197"/>
      <c r="N75" s="197"/>
      <c r="O75" s="197"/>
      <c r="P75" s="197"/>
      <c r="Q75" s="197"/>
      <c r="R75" s="197"/>
      <c r="S75" s="197"/>
      <c r="T75" s="115"/>
    </row>
    <row r="76" customFormat="false" ht="12" hidden="false" customHeight="false" outlineLevel="0" collapsed="false">
      <c r="B76" s="197"/>
      <c r="C76" s="130"/>
      <c r="D76" s="197"/>
      <c r="E76" s="197"/>
      <c r="F76" s="197"/>
      <c r="G76" s="197"/>
      <c r="H76" s="197"/>
      <c r="I76" s="197"/>
      <c r="J76" s="197"/>
      <c r="K76" s="197"/>
      <c r="L76" s="197"/>
      <c r="M76" s="197"/>
      <c r="N76" s="197"/>
      <c r="O76" s="197"/>
      <c r="P76" s="197"/>
      <c r="Q76" s="197"/>
      <c r="R76" s="197"/>
      <c r="S76" s="197"/>
      <c r="T76" s="115"/>
    </row>
    <row r="77" customFormat="false" ht="12" hidden="false" customHeight="false" outlineLevel="0" collapsed="false">
      <c r="B77" s="197"/>
      <c r="C77" s="130"/>
      <c r="D77" s="197"/>
      <c r="E77" s="197"/>
      <c r="F77" s="197"/>
      <c r="G77" s="197"/>
      <c r="H77" s="197"/>
      <c r="I77" s="197"/>
      <c r="J77" s="197"/>
      <c r="K77" s="197"/>
      <c r="L77" s="197"/>
      <c r="M77" s="197"/>
      <c r="N77" s="197"/>
      <c r="O77" s="197"/>
      <c r="P77" s="197"/>
      <c r="Q77" s="197"/>
      <c r="R77" s="197"/>
      <c r="S77" s="197"/>
      <c r="T77" s="115"/>
    </row>
    <row r="78" customFormat="false" ht="12" hidden="false" customHeight="false" outlineLevel="0" collapsed="false">
      <c r="B78" s="197"/>
      <c r="C78" s="130"/>
      <c r="D78" s="197"/>
      <c r="E78" s="197"/>
      <c r="F78" s="197"/>
      <c r="G78" s="197"/>
      <c r="H78" s="197"/>
      <c r="I78" s="197"/>
      <c r="J78" s="197"/>
      <c r="K78" s="197"/>
      <c r="L78" s="197"/>
      <c r="M78" s="197"/>
      <c r="N78" s="197"/>
      <c r="O78" s="197"/>
      <c r="P78" s="197"/>
      <c r="Q78" s="197"/>
      <c r="R78" s="197"/>
      <c r="S78" s="197"/>
      <c r="T78" s="115"/>
    </row>
    <row r="79" customFormat="false" ht="12" hidden="false" customHeight="false" outlineLevel="0" collapsed="false">
      <c r="B79" s="197"/>
      <c r="C79" s="130"/>
      <c r="D79" s="197"/>
      <c r="E79" s="197"/>
      <c r="F79" s="197"/>
      <c r="G79" s="197"/>
      <c r="H79" s="197"/>
      <c r="I79" s="197"/>
      <c r="J79" s="197"/>
      <c r="K79" s="197"/>
      <c r="L79" s="197"/>
      <c r="M79" s="197"/>
      <c r="N79" s="197"/>
      <c r="O79" s="197"/>
      <c r="P79" s="197"/>
      <c r="Q79" s="197"/>
      <c r="R79" s="197"/>
      <c r="S79" s="197"/>
      <c r="T79" s="115"/>
    </row>
    <row r="80" customFormat="false" ht="12" hidden="false" customHeight="false" outlineLevel="0" collapsed="false">
      <c r="B80" s="197"/>
      <c r="C80" s="130"/>
      <c r="D80" s="197"/>
      <c r="E80" s="197"/>
      <c r="F80" s="197"/>
      <c r="G80" s="197"/>
      <c r="H80" s="197"/>
      <c r="I80" s="197"/>
      <c r="J80" s="197"/>
      <c r="K80" s="197"/>
      <c r="L80" s="197"/>
      <c r="M80" s="197"/>
      <c r="N80" s="197"/>
      <c r="O80" s="197"/>
      <c r="P80" s="197"/>
      <c r="Q80" s="197"/>
      <c r="R80" s="197"/>
      <c r="S80" s="197"/>
      <c r="T80" s="115"/>
    </row>
    <row r="81" customFormat="false" ht="12" hidden="false" customHeight="false" outlineLevel="0" collapsed="false">
      <c r="B81" s="197"/>
      <c r="C81" s="130"/>
      <c r="D81" s="197"/>
      <c r="E81" s="197"/>
      <c r="F81" s="197"/>
      <c r="G81" s="197"/>
      <c r="H81" s="197"/>
      <c r="I81" s="197"/>
      <c r="J81" s="197"/>
      <c r="K81" s="197"/>
      <c r="L81" s="197"/>
      <c r="M81" s="197"/>
      <c r="N81" s="197"/>
      <c r="O81" s="197"/>
      <c r="P81" s="197"/>
      <c r="Q81" s="197"/>
      <c r="R81" s="197"/>
      <c r="S81" s="197"/>
      <c r="T81" s="115"/>
    </row>
    <row r="82" customFormat="false" ht="12" hidden="false" customHeight="false" outlineLevel="0" collapsed="false">
      <c r="B82" s="197"/>
      <c r="C82" s="130"/>
      <c r="D82" s="197"/>
      <c r="E82" s="197"/>
      <c r="F82" s="197"/>
      <c r="G82" s="197"/>
      <c r="H82" s="197"/>
      <c r="I82" s="197"/>
      <c r="J82" s="197"/>
      <c r="K82" s="197"/>
      <c r="L82" s="197"/>
      <c r="M82" s="197"/>
      <c r="N82" s="197"/>
      <c r="O82" s="197"/>
      <c r="P82" s="197"/>
      <c r="Q82" s="197"/>
      <c r="R82" s="197"/>
      <c r="S82" s="197"/>
      <c r="T82" s="115"/>
    </row>
    <row r="83" customFormat="false" ht="12" hidden="false" customHeight="false" outlineLevel="0" collapsed="false">
      <c r="B83" s="197"/>
      <c r="C83" s="130"/>
      <c r="D83" s="197"/>
      <c r="E83" s="197"/>
      <c r="F83" s="197"/>
      <c r="G83" s="197"/>
      <c r="H83" s="197"/>
      <c r="I83" s="197"/>
      <c r="J83" s="197"/>
      <c r="K83" s="197"/>
      <c r="L83" s="197"/>
      <c r="M83" s="197"/>
      <c r="N83" s="197"/>
      <c r="O83" s="197"/>
      <c r="P83" s="197"/>
      <c r="Q83" s="197"/>
      <c r="R83" s="197"/>
      <c r="S83" s="197"/>
      <c r="T83" s="197"/>
    </row>
    <row r="84" customFormat="false" ht="12" hidden="false" customHeight="false" outlineLevel="0" collapsed="false">
      <c r="B84" s="197"/>
      <c r="C84" s="130"/>
      <c r="D84" s="197"/>
      <c r="E84" s="197"/>
      <c r="F84" s="197"/>
      <c r="G84" s="197"/>
      <c r="H84" s="197"/>
      <c r="I84" s="197"/>
      <c r="J84" s="197"/>
      <c r="K84" s="197"/>
      <c r="L84" s="197"/>
      <c r="M84" s="197"/>
      <c r="N84" s="197"/>
      <c r="O84" s="197"/>
      <c r="P84" s="197"/>
      <c r="Q84" s="197"/>
      <c r="R84" s="197"/>
      <c r="S84" s="197"/>
      <c r="T84" s="197"/>
    </row>
    <row r="85" customFormat="false" ht="12" hidden="false" customHeight="false" outlineLevel="0" collapsed="false">
      <c r="B85" s="197"/>
      <c r="C85" s="130"/>
      <c r="D85" s="197"/>
      <c r="E85" s="197"/>
      <c r="F85" s="197"/>
      <c r="G85" s="197"/>
      <c r="H85" s="197"/>
      <c r="I85" s="197"/>
      <c r="J85" s="197"/>
      <c r="K85" s="197"/>
      <c r="L85" s="197"/>
      <c r="M85" s="197"/>
      <c r="N85" s="197"/>
      <c r="O85" s="197"/>
      <c r="P85" s="197"/>
      <c r="Q85" s="197"/>
      <c r="R85" s="197"/>
      <c r="S85" s="197"/>
      <c r="T85" s="197"/>
    </row>
    <row r="86" customFormat="false" ht="12" hidden="false" customHeight="false" outlineLevel="0" collapsed="false">
      <c r="B86" s="197"/>
      <c r="C86" s="130"/>
      <c r="D86" s="197"/>
      <c r="E86" s="197"/>
      <c r="F86" s="197"/>
      <c r="G86" s="197"/>
      <c r="H86" s="197"/>
      <c r="I86" s="197"/>
      <c r="J86" s="197"/>
      <c r="K86" s="197"/>
      <c r="L86" s="197"/>
      <c r="M86" s="197"/>
      <c r="N86" s="197"/>
      <c r="O86" s="197"/>
      <c r="P86" s="197"/>
      <c r="Q86" s="197"/>
      <c r="R86" s="197"/>
      <c r="S86" s="197"/>
      <c r="T86" s="197"/>
    </row>
    <row r="87" customFormat="false" ht="12" hidden="false" customHeight="false" outlineLevel="0" collapsed="false">
      <c r="B87" s="197"/>
      <c r="C87" s="130"/>
      <c r="D87" s="197"/>
      <c r="E87" s="197"/>
      <c r="F87" s="197"/>
      <c r="G87" s="197"/>
      <c r="H87" s="197"/>
      <c r="I87" s="197"/>
      <c r="J87" s="197"/>
      <c r="K87" s="197"/>
      <c r="L87" s="197"/>
      <c r="M87" s="197"/>
      <c r="N87" s="197"/>
      <c r="O87" s="197"/>
      <c r="P87" s="197"/>
      <c r="Q87" s="197"/>
      <c r="R87" s="197"/>
      <c r="S87" s="197"/>
      <c r="T87" s="197"/>
    </row>
    <row r="88" customFormat="false" ht="12" hidden="false" customHeight="false" outlineLevel="0" collapsed="false">
      <c r="B88" s="197"/>
      <c r="C88" s="130"/>
      <c r="D88" s="197"/>
      <c r="E88" s="197"/>
      <c r="F88" s="197"/>
      <c r="G88" s="197"/>
      <c r="H88" s="197"/>
      <c r="I88" s="197"/>
      <c r="J88" s="197"/>
      <c r="K88" s="197"/>
      <c r="L88" s="197"/>
      <c r="M88" s="197"/>
      <c r="N88" s="197"/>
      <c r="O88" s="197"/>
      <c r="P88" s="197"/>
      <c r="Q88" s="197"/>
      <c r="R88" s="197"/>
      <c r="S88" s="197"/>
      <c r="T88" s="197"/>
    </row>
    <row r="89" customFormat="false" ht="12" hidden="false" customHeight="false" outlineLevel="0" collapsed="false">
      <c r="B89" s="197"/>
      <c r="C89" s="130"/>
      <c r="D89" s="197"/>
      <c r="E89" s="197"/>
      <c r="F89" s="197"/>
      <c r="G89" s="197"/>
      <c r="H89" s="197"/>
      <c r="I89" s="197"/>
      <c r="J89" s="197"/>
      <c r="K89" s="197"/>
      <c r="L89" s="197"/>
      <c r="M89" s="197"/>
      <c r="N89" s="197"/>
      <c r="O89" s="197"/>
      <c r="P89" s="197"/>
      <c r="Q89" s="197"/>
      <c r="R89" s="197"/>
      <c r="S89" s="197"/>
      <c r="T89" s="197"/>
    </row>
    <row r="90" customFormat="false" ht="12" hidden="false" customHeight="false" outlineLevel="0" collapsed="false">
      <c r="B90" s="197"/>
      <c r="C90" s="130"/>
      <c r="D90" s="197"/>
      <c r="E90" s="197"/>
      <c r="F90" s="197"/>
      <c r="G90" s="197"/>
      <c r="H90" s="197"/>
      <c r="I90" s="197"/>
      <c r="J90" s="197"/>
      <c r="K90" s="197"/>
      <c r="L90" s="197"/>
      <c r="M90" s="197"/>
      <c r="N90" s="197"/>
      <c r="O90" s="197"/>
      <c r="P90" s="197"/>
      <c r="Q90" s="197"/>
      <c r="R90" s="197"/>
      <c r="S90" s="197"/>
      <c r="T90" s="197"/>
    </row>
    <row r="91" customFormat="false" ht="12" hidden="false" customHeight="false" outlineLevel="0" collapsed="false">
      <c r="B91" s="197"/>
      <c r="C91" s="130"/>
      <c r="D91" s="197"/>
      <c r="E91" s="197"/>
      <c r="F91" s="197"/>
      <c r="G91" s="197"/>
      <c r="H91" s="197"/>
      <c r="I91" s="197"/>
      <c r="J91" s="197"/>
      <c r="K91" s="197"/>
      <c r="L91" s="197"/>
      <c r="M91" s="197"/>
      <c r="N91" s="197"/>
      <c r="O91" s="197"/>
      <c r="P91" s="197"/>
      <c r="Q91" s="197"/>
      <c r="R91" s="197"/>
      <c r="S91" s="197"/>
      <c r="T91" s="197"/>
    </row>
    <row r="92" customFormat="false" ht="12" hidden="false" customHeight="false" outlineLevel="0" collapsed="false">
      <c r="B92" s="197"/>
      <c r="C92" s="130"/>
      <c r="D92" s="197"/>
      <c r="E92" s="197"/>
      <c r="F92" s="197"/>
      <c r="G92" s="197"/>
      <c r="H92" s="197"/>
      <c r="I92" s="197"/>
      <c r="J92" s="197"/>
      <c r="K92" s="197"/>
      <c r="L92" s="197"/>
      <c r="M92" s="197"/>
      <c r="N92" s="197"/>
      <c r="O92" s="197"/>
      <c r="P92" s="197"/>
      <c r="Q92" s="197"/>
      <c r="R92" s="197"/>
      <c r="S92" s="197"/>
      <c r="T92" s="197"/>
    </row>
    <row r="93" customFormat="false" ht="12" hidden="false" customHeight="false" outlineLevel="0" collapsed="false">
      <c r="B93" s="197"/>
      <c r="C93" s="130"/>
      <c r="D93" s="197"/>
      <c r="E93" s="197"/>
      <c r="F93" s="197"/>
      <c r="G93" s="197"/>
      <c r="H93" s="197"/>
      <c r="I93" s="197"/>
      <c r="J93" s="197"/>
      <c r="K93" s="197"/>
      <c r="L93" s="197"/>
      <c r="M93" s="197"/>
      <c r="N93" s="197"/>
      <c r="O93" s="197"/>
      <c r="P93" s="197"/>
      <c r="Q93" s="197"/>
      <c r="R93" s="197"/>
      <c r="S93" s="197"/>
      <c r="T93" s="197"/>
    </row>
    <row r="94" customFormat="false" ht="12" hidden="false" customHeight="false" outlineLevel="0" collapsed="false">
      <c r="B94" s="197"/>
      <c r="C94" s="130"/>
      <c r="D94" s="197"/>
      <c r="E94" s="197"/>
      <c r="F94" s="197"/>
      <c r="G94" s="197"/>
      <c r="H94" s="197"/>
      <c r="I94" s="197"/>
      <c r="J94" s="197"/>
      <c r="K94" s="197"/>
      <c r="L94" s="197"/>
      <c r="M94" s="197"/>
      <c r="N94" s="197"/>
      <c r="O94" s="197"/>
      <c r="P94" s="197"/>
      <c r="Q94" s="197"/>
      <c r="R94" s="197"/>
      <c r="S94" s="197"/>
      <c r="T94" s="197"/>
    </row>
    <row r="95" customFormat="false" ht="12" hidden="false" customHeight="false" outlineLevel="0" collapsed="false">
      <c r="B95" s="197"/>
      <c r="C95" s="130"/>
      <c r="D95" s="197"/>
      <c r="E95" s="197"/>
      <c r="F95" s="197"/>
      <c r="G95" s="197"/>
      <c r="H95" s="197"/>
      <c r="I95" s="197"/>
      <c r="J95" s="197"/>
      <c r="K95" s="197"/>
      <c r="L95" s="197"/>
      <c r="M95" s="197"/>
      <c r="N95" s="197"/>
      <c r="O95" s="197"/>
      <c r="P95" s="197"/>
      <c r="Q95" s="197"/>
      <c r="R95" s="197"/>
      <c r="S95" s="197"/>
      <c r="T95" s="197"/>
    </row>
    <row r="96" customFormat="false" ht="12" hidden="false" customHeight="false" outlineLevel="0" collapsed="false">
      <c r="B96" s="197"/>
      <c r="C96" s="130"/>
      <c r="D96" s="197"/>
      <c r="E96" s="197"/>
      <c r="F96" s="197"/>
      <c r="G96" s="197"/>
      <c r="H96" s="197"/>
      <c r="I96" s="197"/>
      <c r="J96" s="197"/>
      <c r="K96" s="197"/>
      <c r="L96" s="197"/>
      <c r="M96" s="197"/>
      <c r="N96" s="197"/>
      <c r="O96" s="197"/>
      <c r="P96" s="197"/>
      <c r="Q96" s="197"/>
      <c r="R96" s="197"/>
      <c r="S96" s="197"/>
      <c r="T96" s="197"/>
    </row>
    <row r="97" customFormat="false" ht="12" hidden="false" customHeight="false" outlineLevel="0" collapsed="false">
      <c r="B97" s="197"/>
      <c r="C97" s="130"/>
      <c r="D97" s="197"/>
      <c r="E97" s="197"/>
      <c r="F97" s="197"/>
      <c r="G97" s="197"/>
      <c r="H97" s="197"/>
      <c r="I97" s="197"/>
      <c r="J97" s="197"/>
      <c r="K97" s="197"/>
      <c r="L97" s="197"/>
      <c r="M97" s="197"/>
      <c r="N97" s="197"/>
      <c r="O97" s="197"/>
      <c r="P97" s="197"/>
      <c r="Q97" s="197"/>
      <c r="R97" s="197"/>
      <c r="S97" s="197"/>
      <c r="T97" s="197"/>
    </row>
    <row r="98" customFormat="false" ht="12" hidden="false" customHeight="false" outlineLevel="0" collapsed="false">
      <c r="B98" s="197"/>
      <c r="C98" s="130"/>
      <c r="D98" s="197"/>
      <c r="E98" s="197"/>
      <c r="F98" s="197"/>
      <c r="G98" s="197"/>
      <c r="H98" s="197"/>
      <c r="I98" s="197"/>
      <c r="J98" s="197"/>
      <c r="K98" s="197"/>
      <c r="L98" s="197"/>
      <c r="M98" s="197"/>
      <c r="N98" s="197"/>
      <c r="O98" s="197"/>
      <c r="P98" s="197"/>
      <c r="Q98" s="197"/>
      <c r="R98" s="197"/>
      <c r="S98" s="197"/>
      <c r="T98" s="197"/>
    </row>
    <row r="99" customFormat="false" ht="12" hidden="false" customHeight="false" outlineLevel="0" collapsed="false">
      <c r="B99" s="197"/>
      <c r="C99" s="130"/>
      <c r="D99" s="197"/>
      <c r="E99" s="197"/>
      <c r="F99" s="197"/>
      <c r="G99" s="197"/>
      <c r="H99" s="197"/>
      <c r="I99" s="197"/>
      <c r="J99" s="197"/>
      <c r="K99" s="197"/>
      <c r="L99" s="197"/>
      <c r="M99" s="197"/>
      <c r="N99" s="197"/>
      <c r="O99" s="197"/>
      <c r="P99" s="197"/>
      <c r="Q99" s="197"/>
      <c r="R99" s="197"/>
      <c r="S99" s="197"/>
      <c r="T99" s="197"/>
    </row>
    <row r="100" customFormat="false" ht="12" hidden="false" customHeight="false" outlineLevel="0" collapsed="false">
      <c r="B100" s="197"/>
      <c r="C100" s="130"/>
      <c r="D100" s="197"/>
      <c r="E100" s="197"/>
      <c r="F100" s="197"/>
      <c r="G100" s="197"/>
      <c r="H100" s="197"/>
      <c r="I100" s="197"/>
      <c r="J100" s="197"/>
      <c r="K100" s="197"/>
      <c r="L100" s="197"/>
      <c r="M100" s="197"/>
      <c r="N100" s="197"/>
      <c r="O100" s="197"/>
      <c r="P100" s="197"/>
      <c r="Q100" s="197"/>
      <c r="R100" s="197"/>
      <c r="S100" s="197"/>
      <c r="T100" s="197"/>
    </row>
    <row r="101" customFormat="false" ht="12" hidden="false" customHeight="false" outlineLevel="0" collapsed="false">
      <c r="B101" s="197"/>
      <c r="C101" s="130"/>
      <c r="D101" s="197"/>
      <c r="E101" s="197"/>
      <c r="F101" s="197"/>
      <c r="G101" s="197"/>
      <c r="H101" s="197"/>
      <c r="I101" s="197"/>
      <c r="J101" s="197"/>
      <c r="K101" s="197"/>
      <c r="L101" s="197"/>
      <c r="M101" s="197"/>
      <c r="N101" s="197"/>
      <c r="O101" s="197"/>
      <c r="P101" s="197"/>
      <c r="Q101" s="197"/>
      <c r="R101" s="197"/>
      <c r="S101" s="197"/>
      <c r="T101" s="197"/>
    </row>
    <row r="102" customFormat="false" ht="12" hidden="false" customHeight="false" outlineLevel="0" collapsed="false">
      <c r="B102" s="197"/>
      <c r="C102" s="130"/>
      <c r="D102" s="197"/>
      <c r="E102" s="197"/>
      <c r="F102" s="197"/>
      <c r="G102" s="197"/>
      <c r="H102" s="197"/>
      <c r="I102" s="197"/>
      <c r="J102" s="197"/>
      <c r="K102" s="197"/>
      <c r="L102" s="197"/>
      <c r="M102" s="197"/>
      <c r="N102" s="197"/>
      <c r="O102" s="197"/>
      <c r="P102" s="197"/>
      <c r="Q102" s="197"/>
      <c r="R102" s="197"/>
      <c r="S102" s="197"/>
      <c r="T102" s="197"/>
    </row>
    <row r="103" customFormat="false" ht="12" hidden="false" customHeight="false" outlineLevel="0" collapsed="false">
      <c r="B103" s="197"/>
      <c r="C103" s="130"/>
      <c r="D103" s="197"/>
      <c r="E103" s="197"/>
      <c r="F103" s="197"/>
      <c r="G103" s="197"/>
      <c r="H103" s="197"/>
      <c r="I103" s="197"/>
      <c r="J103" s="197"/>
      <c r="K103" s="197"/>
      <c r="L103" s="197"/>
      <c r="M103" s="197"/>
      <c r="N103" s="197"/>
      <c r="O103" s="197"/>
      <c r="P103" s="197"/>
      <c r="Q103" s="197"/>
      <c r="R103" s="197"/>
      <c r="S103" s="197"/>
      <c r="T103" s="197"/>
    </row>
    <row r="104" customFormat="false" ht="12" hidden="false" customHeight="false" outlineLevel="0" collapsed="false">
      <c r="B104" s="197"/>
      <c r="C104" s="130"/>
      <c r="D104" s="197"/>
      <c r="E104" s="197"/>
      <c r="F104" s="197"/>
      <c r="G104" s="197"/>
      <c r="H104" s="197"/>
      <c r="I104" s="197"/>
      <c r="J104" s="197"/>
      <c r="K104" s="197"/>
      <c r="L104" s="197"/>
      <c r="M104" s="197"/>
      <c r="N104" s="197"/>
      <c r="O104" s="197"/>
      <c r="P104" s="197"/>
      <c r="Q104" s="197"/>
      <c r="R104" s="197"/>
      <c r="S104" s="197"/>
      <c r="T104" s="197"/>
    </row>
    <row r="105" customFormat="false" ht="12" hidden="false" customHeight="false" outlineLevel="0" collapsed="false">
      <c r="B105" s="197"/>
      <c r="C105" s="130"/>
      <c r="D105" s="197"/>
      <c r="E105" s="197"/>
      <c r="F105" s="197"/>
      <c r="G105" s="197"/>
      <c r="H105" s="197"/>
      <c r="I105" s="197"/>
      <c r="J105" s="197"/>
      <c r="K105" s="197"/>
      <c r="L105" s="197"/>
      <c r="M105" s="197"/>
      <c r="N105" s="197"/>
      <c r="O105" s="197"/>
      <c r="P105" s="197"/>
      <c r="Q105" s="197"/>
      <c r="R105" s="197"/>
      <c r="S105" s="197"/>
      <c r="T105" s="197"/>
    </row>
    <row r="106" customFormat="false" ht="12" hidden="false" customHeight="false" outlineLevel="0" collapsed="false">
      <c r="B106" s="197"/>
      <c r="C106" s="130"/>
      <c r="D106" s="197"/>
      <c r="E106" s="197"/>
      <c r="F106" s="197"/>
      <c r="G106" s="197"/>
      <c r="H106" s="197"/>
      <c r="I106" s="197"/>
      <c r="J106" s="197"/>
      <c r="K106" s="197"/>
      <c r="L106" s="197"/>
      <c r="M106" s="197"/>
      <c r="N106" s="197"/>
      <c r="O106" s="197"/>
      <c r="P106" s="197"/>
      <c r="Q106" s="197"/>
      <c r="R106" s="197"/>
      <c r="S106" s="197"/>
      <c r="T106" s="197"/>
    </row>
    <row r="107" customFormat="false" ht="12" hidden="false" customHeight="false" outlineLevel="0" collapsed="false">
      <c r="B107" s="197"/>
      <c r="C107" s="130"/>
      <c r="D107" s="197"/>
      <c r="E107" s="197"/>
      <c r="F107" s="197"/>
      <c r="G107" s="197"/>
      <c r="H107" s="197"/>
      <c r="I107" s="197"/>
      <c r="J107" s="197"/>
      <c r="K107" s="197"/>
      <c r="L107" s="197"/>
      <c r="M107" s="197"/>
      <c r="N107" s="197"/>
      <c r="O107" s="197"/>
      <c r="P107" s="197"/>
      <c r="Q107" s="197"/>
      <c r="R107" s="197"/>
      <c r="S107" s="197"/>
      <c r="T107" s="197"/>
    </row>
    <row r="108" customFormat="false" ht="12" hidden="false" customHeight="false" outlineLevel="0" collapsed="false">
      <c r="B108" s="197"/>
      <c r="C108" s="130"/>
      <c r="D108" s="197"/>
      <c r="E108" s="197"/>
      <c r="F108" s="197"/>
      <c r="G108" s="197"/>
      <c r="H108" s="197"/>
      <c r="I108" s="197"/>
      <c r="J108" s="197"/>
      <c r="K108" s="197"/>
      <c r="L108" s="197"/>
      <c r="M108" s="197"/>
      <c r="N108" s="197"/>
      <c r="O108" s="197"/>
      <c r="P108" s="197"/>
      <c r="Q108" s="197"/>
      <c r="R108" s="197"/>
      <c r="S108" s="197"/>
      <c r="T108" s="197"/>
    </row>
    <row r="109" customFormat="false" ht="12" hidden="false" customHeight="false" outlineLevel="0" collapsed="false">
      <c r="B109" s="197"/>
      <c r="C109" s="130"/>
      <c r="D109" s="197"/>
      <c r="E109" s="197"/>
      <c r="F109" s="197"/>
      <c r="G109" s="197"/>
      <c r="H109" s="197"/>
      <c r="I109" s="197"/>
      <c r="J109" s="197"/>
      <c r="K109" s="197"/>
      <c r="L109" s="197"/>
      <c r="M109" s="197"/>
      <c r="N109" s="197"/>
      <c r="O109" s="197"/>
      <c r="P109" s="197"/>
      <c r="Q109" s="197"/>
      <c r="R109" s="197"/>
      <c r="S109" s="197"/>
      <c r="T109" s="197"/>
    </row>
    <row r="110" customFormat="false" ht="12" hidden="false" customHeight="false" outlineLevel="0" collapsed="false">
      <c r="B110" s="197"/>
      <c r="C110" s="130"/>
      <c r="D110" s="197"/>
      <c r="E110" s="197"/>
      <c r="F110" s="197"/>
      <c r="G110" s="197"/>
      <c r="H110" s="197"/>
      <c r="I110" s="197"/>
      <c r="J110" s="197"/>
      <c r="K110" s="197"/>
      <c r="L110" s="197"/>
      <c r="M110" s="197"/>
      <c r="N110" s="197"/>
      <c r="O110" s="197"/>
      <c r="P110" s="197"/>
      <c r="Q110" s="197"/>
      <c r="R110" s="197"/>
      <c r="S110" s="197"/>
      <c r="T110" s="197"/>
    </row>
    <row r="111" customFormat="false" ht="12" hidden="false" customHeight="false" outlineLevel="0" collapsed="false">
      <c r="B111" s="197"/>
      <c r="C111" s="130"/>
      <c r="D111" s="197"/>
      <c r="E111" s="197"/>
      <c r="F111" s="197"/>
      <c r="G111" s="197"/>
      <c r="H111" s="197"/>
      <c r="I111" s="197"/>
      <c r="J111" s="197"/>
      <c r="K111" s="197"/>
      <c r="L111" s="197"/>
      <c r="M111" s="197"/>
      <c r="N111" s="197"/>
      <c r="O111" s="197"/>
      <c r="P111" s="197"/>
      <c r="Q111" s="197"/>
      <c r="R111" s="197"/>
      <c r="S111" s="197"/>
      <c r="T111" s="197"/>
    </row>
    <row r="112" customFormat="false" ht="12" hidden="false" customHeight="false" outlineLevel="0" collapsed="false">
      <c r="B112" s="197"/>
      <c r="C112" s="130"/>
      <c r="D112" s="197"/>
      <c r="E112" s="197"/>
      <c r="F112" s="197"/>
      <c r="G112" s="197"/>
      <c r="H112" s="197"/>
      <c r="I112" s="197"/>
      <c r="J112" s="197"/>
      <c r="K112" s="197"/>
      <c r="L112" s="197"/>
      <c r="M112" s="197"/>
      <c r="N112" s="197"/>
      <c r="O112" s="197"/>
      <c r="P112" s="197"/>
      <c r="Q112" s="197"/>
      <c r="R112" s="197"/>
      <c r="S112" s="197"/>
      <c r="T112" s="197"/>
    </row>
    <row r="113" customFormat="false" ht="12" hidden="false" customHeight="false" outlineLevel="0" collapsed="false">
      <c r="B113" s="197"/>
      <c r="C113" s="130"/>
      <c r="D113" s="197"/>
      <c r="E113" s="197"/>
      <c r="F113" s="197"/>
      <c r="G113" s="197"/>
      <c r="H113" s="197"/>
      <c r="I113" s="197"/>
      <c r="J113" s="197"/>
      <c r="K113" s="197"/>
      <c r="L113" s="197"/>
      <c r="M113" s="197"/>
      <c r="N113" s="197"/>
      <c r="O113" s="197"/>
      <c r="P113" s="197"/>
      <c r="Q113" s="197"/>
      <c r="R113" s="197"/>
      <c r="S113" s="197"/>
      <c r="T113" s="197"/>
    </row>
    <row r="114" customFormat="false" ht="12" hidden="false" customHeight="false" outlineLevel="0" collapsed="false">
      <c r="B114" s="197"/>
      <c r="C114" s="130"/>
      <c r="D114" s="197"/>
      <c r="E114" s="197"/>
      <c r="F114" s="197"/>
      <c r="G114" s="197"/>
      <c r="H114" s="197"/>
      <c r="I114" s="197"/>
      <c r="J114" s="197"/>
      <c r="K114" s="197"/>
      <c r="L114" s="197"/>
      <c r="M114" s="197"/>
      <c r="N114" s="197"/>
      <c r="O114" s="197"/>
      <c r="P114" s="197"/>
      <c r="Q114" s="197"/>
      <c r="R114" s="197"/>
      <c r="S114" s="197"/>
      <c r="T114" s="197"/>
    </row>
    <row r="115" customFormat="false" ht="12" hidden="false" customHeight="false" outlineLevel="0" collapsed="false">
      <c r="B115" s="197"/>
      <c r="C115" s="130"/>
      <c r="D115" s="197"/>
      <c r="E115" s="197"/>
      <c r="F115" s="197"/>
      <c r="G115" s="197"/>
      <c r="H115" s="197"/>
      <c r="I115" s="197"/>
      <c r="J115" s="197"/>
      <c r="K115" s="197"/>
      <c r="L115" s="197"/>
      <c r="M115" s="197"/>
      <c r="N115" s="197"/>
      <c r="O115" s="197"/>
      <c r="P115" s="197"/>
      <c r="Q115" s="197"/>
      <c r="R115" s="197"/>
      <c r="S115" s="197"/>
      <c r="T115" s="197"/>
    </row>
    <row r="116" customFormat="false" ht="12" hidden="false" customHeight="false" outlineLevel="0" collapsed="false">
      <c r="B116" s="197"/>
      <c r="C116" s="130"/>
      <c r="D116" s="197"/>
      <c r="E116" s="197"/>
      <c r="F116" s="197"/>
      <c r="G116" s="197"/>
      <c r="H116" s="197"/>
      <c r="I116" s="197"/>
      <c r="J116" s="197"/>
      <c r="K116" s="197"/>
      <c r="L116" s="197"/>
      <c r="M116" s="197"/>
      <c r="N116" s="197"/>
      <c r="O116" s="197"/>
      <c r="P116" s="197"/>
      <c r="Q116" s="197"/>
      <c r="R116" s="197"/>
      <c r="S116" s="197"/>
      <c r="T116" s="197"/>
    </row>
    <row r="117" customFormat="false" ht="12" hidden="false" customHeight="false" outlineLevel="0" collapsed="false">
      <c r="B117" s="197"/>
      <c r="C117" s="130"/>
      <c r="D117" s="197"/>
      <c r="E117" s="197"/>
      <c r="F117" s="197"/>
      <c r="G117" s="197"/>
      <c r="H117" s="197"/>
      <c r="I117" s="197"/>
      <c r="J117" s="197"/>
      <c r="K117" s="197"/>
      <c r="L117" s="197"/>
      <c r="M117" s="197"/>
      <c r="N117" s="197"/>
      <c r="O117" s="197"/>
      <c r="P117" s="197"/>
      <c r="Q117" s="197"/>
      <c r="R117" s="197"/>
      <c r="S117" s="197"/>
      <c r="T117" s="197"/>
    </row>
    <row r="118" customFormat="false" ht="12" hidden="false" customHeight="false" outlineLevel="0" collapsed="false">
      <c r="B118" s="197"/>
      <c r="C118" s="130"/>
      <c r="D118" s="197"/>
      <c r="E118" s="197"/>
      <c r="F118" s="197"/>
      <c r="G118" s="197"/>
      <c r="H118" s="197"/>
      <c r="I118" s="197"/>
      <c r="J118" s="197"/>
      <c r="K118" s="197"/>
      <c r="L118" s="197"/>
      <c r="M118" s="197"/>
      <c r="N118" s="197"/>
      <c r="O118" s="197"/>
      <c r="P118" s="197"/>
      <c r="Q118" s="197"/>
      <c r="R118" s="197"/>
      <c r="S118" s="197"/>
      <c r="T118" s="197"/>
    </row>
    <row r="119" customFormat="false" ht="12" hidden="false" customHeight="false" outlineLevel="0" collapsed="false">
      <c r="B119" s="197"/>
      <c r="C119" s="130"/>
      <c r="D119" s="197"/>
      <c r="E119" s="197"/>
      <c r="F119" s="197"/>
      <c r="G119" s="197"/>
      <c r="H119" s="197"/>
      <c r="I119" s="197"/>
      <c r="J119" s="197"/>
      <c r="K119" s="197"/>
      <c r="L119" s="197"/>
      <c r="M119" s="197"/>
      <c r="N119" s="197"/>
      <c r="O119" s="197"/>
      <c r="P119" s="197"/>
      <c r="Q119" s="197"/>
      <c r="R119" s="197"/>
      <c r="S119" s="197"/>
      <c r="T119" s="197"/>
    </row>
    <row r="120" customFormat="false" ht="12" hidden="false" customHeight="false" outlineLevel="0" collapsed="false">
      <c r="B120" s="197"/>
      <c r="C120" s="130"/>
      <c r="D120" s="197"/>
      <c r="E120" s="197"/>
      <c r="F120" s="197"/>
      <c r="G120" s="197"/>
      <c r="H120" s="197"/>
      <c r="I120" s="197"/>
      <c r="J120" s="197"/>
      <c r="K120" s="197"/>
      <c r="L120" s="197"/>
      <c r="M120" s="197"/>
      <c r="N120" s="197"/>
      <c r="O120" s="197"/>
      <c r="P120" s="197"/>
      <c r="Q120" s="197"/>
      <c r="R120" s="197"/>
      <c r="S120" s="197"/>
      <c r="T120" s="197"/>
    </row>
    <row r="121" customFormat="false" ht="12" hidden="false" customHeight="false" outlineLevel="0" collapsed="false">
      <c r="B121" s="197"/>
      <c r="C121" s="130"/>
      <c r="D121" s="197"/>
      <c r="E121" s="197"/>
      <c r="F121" s="197"/>
      <c r="G121" s="197"/>
      <c r="H121" s="197"/>
      <c r="I121" s="197"/>
      <c r="J121" s="197"/>
      <c r="K121" s="197"/>
      <c r="L121" s="197"/>
      <c r="M121" s="197"/>
      <c r="N121" s="197"/>
      <c r="O121" s="197"/>
      <c r="P121" s="197"/>
      <c r="Q121" s="197"/>
      <c r="R121" s="197"/>
      <c r="S121" s="197"/>
      <c r="T121" s="197"/>
    </row>
    <row r="122" customFormat="false" ht="12" hidden="false" customHeight="false" outlineLevel="0" collapsed="false">
      <c r="B122" s="197"/>
      <c r="C122" s="130"/>
      <c r="D122" s="197"/>
      <c r="E122" s="197"/>
      <c r="F122" s="197"/>
      <c r="G122" s="197"/>
      <c r="H122" s="197"/>
      <c r="I122" s="197"/>
      <c r="J122" s="197"/>
      <c r="K122" s="197"/>
      <c r="L122" s="197"/>
      <c r="M122" s="197"/>
      <c r="N122" s="197"/>
      <c r="O122" s="197"/>
      <c r="P122" s="197"/>
      <c r="Q122" s="197"/>
      <c r="R122" s="197"/>
      <c r="S122" s="197"/>
      <c r="T122" s="197"/>
    </row>
    <row r="123" customFormat="false" ht="12" hidden="false" customHeight="false" outlineLevel="0" collapsed="false">
      <c r="B123" s="197"/>
      <c r="C123" s="130"/>
      <c r="D123" s="197"/>
      <c r="E123" s="197"/>
      <c r="F123" s="197"/>
      <c r="G123" s="197"/>
      <c r="H123" s="197"/>
      <c r="I123" s="197"/>
      <c r="J123" s="197"/>
      <c r="K123" s="197"/>
      <c r="L123" s="197"/>
      <c r="M123" s="197"/>
      <c r="N123" s="197"/>
      <c r="O123" s="197"/>
      <c r="P123" s="197"/>
      <c r="Q123" s="197"/>
      <c r="R123" s="197"/>
      <c r="S123" s="197"/>
      <c r="T123" s="197"/>
    </row>
    <row r="124" customFormat="false" ht="12" hidden="false" customHeight="false" outlineLevel="0" collapsed="false">
      <c r="B124" s="197"/>
      <c r="C124" s="130"/>
      <c r="D124" s="197"/>
      <c r="E124" s="197"/>
      <c r="F124" s="197"/>
      <c r="G124" s="197"/>
      <c r="H124" s="197"/>
      <c r="I124" s="197"/>
      <c r="J124" s="197"/>
      <c r="K124" s="197"/>
      <c r="L124" s="197"/>
      <c r="M124" s="197"/>
      <c r="N124" s="197"/>
      <c r="O124" s="197"/>
      <c r="P124" s="197"/>
      <c r="Q124" s="197"/>
      <c r="R124" s="197"/>
      <c r="S124" s="197"/>
      <c r="T124" s="197"/>
    </row>
    <row r="125" customFormat="false" ht="12" hidden="false" customHeight="false" outlineLevel="0" collapsed="false">
      <c r="B125" s="197"/>
      <c r="C125" s="130"/>
      <c r="D125" s="197"/>
      <c r="E125" s="197"/>
      <c r="F125" s="197"/>
      <c r="G125" s="197"/>
      <c r="H125" s="197"/>
      <c r="I125" s="197"/>
      <c r="J125" s="197"/>
      <c r="K125" s="197"/>
      <c r="L125" s="197"/>
      <c r="M125" s="197"/>
      <c r="N125" s="197"/>
      <c r="O125" s="197"/>
      <c r="P125" s="197"/>
      <c r="Q125" s="197"/>
      <c r="R125" s="197"/>
      <c r="S125" s="197"/>
      <c r="T125" s="197"/>
    </row>
    <row r="126" customFormat="false" ht="12" hidden="false" customHeight="false" outlineLevel="0" collapsed="false">
      <c r="B126" s="197"/>
      <c r="C126" s="130"/>
      <c r="D126" s="197"/>
      <c r="E126" s="197"/>
      <c r="F126" s="197"/>
      <c r="G126" s="197"/>
      <c r="H126" s="197"/>
      <c r="I126" s="197"/>
      <c r="J126" s="197"/>
      <c r="K126" s="197"/>
      <c r="L126" s="197"/>
      <c r="M126" s="197"/>
      <c r="N126" s="197"/>
      <c r="O126" s="197"/>
      <c r="P126" s="197"/>
      <c r="Q126" s="197"/>
      <c r="R126" s="197"/>
      <c r="S126" s="197"/>
      <c r="T126" s="197"/>
    </row>
    <row r="127" customFormat="false" ht="12" hidden="false" customHeight="false" outlineLevel="0" collapsed="false">
      <c r="B127" s="197"/>
      <c r="C127" s="130"/>
      <c r="D127" s="197"/>
      <c r="E127" s="197"/>
      <c r="F127" s="197"/>
      <c r="G127" s="197"/>
      <c r="H127" s="197"/>
      <c r="I127" s="197"/>
      <c r="J127" s="197"/>
      <c r="K127" s="197"/>
      <c r="L127" s="197"/>
      <c r="M127" s="197"/>
      <c r="N127" s="197"/>
      <c r="O127" s="197"/>
      <c r="P127" s="197"/>
      <c r="Q127" s="197"/>
      <c r="R127" s="197"/>
      <c r="S127" s="197"/>
      <c r="T127" s="197"/>
    </row>
    <row r="128" customFormat="false" ht="12" hidden="false" customHeight="false" outlineLevel="0" collapsed="false">
      <c r="B128" s="197"/>
      <c r="C128" s="130"/>
      <c r="D128" s="197"/>
      <c r="E128" s="197"/>
      <c r="F128" s="197"/>
      <c r="G128" s="197"/>
      <c r="H128" s="197"/>
      <c r="I128" s="197"/>
      <c r="J128" s="197"/>
      <c r="K128" s="197"/>
      <c r="L128" s="197"/>
      <c r="M128" s="197"/>
      <c r="N128" s="197"/>
      <c r="O128" s="197"/>
      <c r="P128" s="197"/>
      <c r="Q128" s="197"/>
      <c r="R128" s="197"/>
      <c r="S128" s="197"/>
      <c r="T128" s="197"/>
    </row>
    <row r="129" customFormat="false" ht="12" hidden="false" customHeight="false" outlineLevel="0" collapsed="false">
      <c r="B129" s="197"/>
      <c r="C129" s="130"/>
      <c r="D129" s="197"/>
      <c r="E129" s="197"/>
      <c r="F129" s="197"/>
      <c r="G129" s="197"/>
      <c r="H129" s="197"/>
      <c r="I129" s="197"/>
      <c r="J129" s="197"/>
      <c r="K129" s="197"/>
      <c r="L129" s="197"/>
      <c r="M129" s="197"/>
      <c r="N129" s="197"/>
      <c r="O129" s="197"/>
      <c r="P129" s="197"/>
      <c r="Q129" s="197"/>
      <c r="R129" s="197"/>
      <c r="S129" s="197"/>
      <c r="T129" s="197"/>
    </row>
    <row r="130" customFormat="false" ht="12" hidden="false" customHeight="false" outlineLevel="0" collapsed="false">
      <c r="B130" s="197"/>
      <c r="C130" s="130"/>
      <c r="D130" s="197"/>
      <c r="E130" s="197"/>
      <c r="F130" s="197"/>
      <c r="G130" s="197"/>
      <c r="H130" s="197"/>
      <c r="I130" s="197"/>
      <c r="J130" s="197"/>
      <c r="K130" s="197"/>
      <c r="L130" s="197"/>
      <c r="M130" s="197"/>
      <c r="N130" s="197"/>
      <c r="O130" s="197"/>
      <c r="P130" s="197"/>
      <c r="Q130" s="197"/>
      <c r="R130" s="197"/>
      <c r="S130" s="197"/>
      <c r="T130" s="197"/>
    </row>
    <row r="131" customFormat="false" ht="12" hidden="false" customHeight="false" outlineLevel="0" collapsed="false">
      <c r="B131" s="197"/>
      <c r="C131" s="130"/>
      <c r="D131" s="197"/>
      <c r="E131" s="197"/>
      <c r="F131" s="197"/>
      <c r="G131" s="197"/>
      <c r="H131" s="197"/>
      <c r="I131" s="197"/>
      <c r="J131" s="197"/>
      <c r="K131" s="197"/>
      <c r="L131" s="197"/>
      <c r="M131" s="197"/>
      <c r="N131" s="197"/>
      <c r="O131" s="197"/>
      <c r="P131" s="197"/>
      <c r="Q131" s="197"/>
      <c r="R131" s="197"/>
      <c r="S131" s="197"/>
      <c r="T131" s="197"/>
    </row>
    <row r="132" customFormat="false" ht="12" hidden="false" customHeight="false" outlineLevel="0" collapsed="false">
      <c r="B132" s="197"/>
      <c r="C132" s="130"/>
      <c r="D132" s="197"/>
      <c r="E132" s="197"/>
      <c r="F132" s="197"/>
      <c r="G132" s="197"/>
      <c r="H132" s="197"/>
      <c r="I132" s="197"/>
      <c r="J132" s="197"/>
      <c r="K132" s="197"/>
      <c r="L132" s="197"/>
      <c r="M132" s="197"/>
      <c r="N132" s="197"/>
      <c r="O132" s="197"/>
      <c r="P132" s="197"/>
      <c r="Q132" s="197"/>
      <c r="R132" s="197"/>
      <c r="S132" s="197"/>
      <c r="T132" s="197"/>
    </row>
    <row r="133" customFormat="false" ht="12" hidden="false" customHeight="false" outlineLevel="0" collapsed="false">
      <c r="B133" s="197"/>
      <c r="C133" s="130"/>
      <c r="D133" s="197"/>
      <c r="E133" s="197"/>
      <c r="F133" s="197"/>
      <c r="G133" s="197"/>
      <c r="H133" s="197"/>
      <c r="I133" s="197"/>
      <c r="J133" s="197"/>
      <c r="K133" s="197"/>
      <c r="L133" s="197"/>
      <c r="M133" s="197"/>
      <c r="N133" s="197"/>
      <c r="O133" s="197"/>
      <c r="P133" s="197"/>
      <c r="Q133" s="197"/>
      <c r="R133" s="197"/>
      <c r="S133" s="197"/>
      <c r="T133" s="197"/>
    </row>
    <row r="134" customFormat="false" ht="12" hidden="false" customHeight="false" outlineLevel="0" collapsed="false">
      <c r="B134" s="197"/>
      <c r="C134" s="130"/>
      <c r="D134" s="197"/>
      <c r="E134" s="197"/>
      <c r="F134" s="197"/>
      <c r="G134" s="197"/>
      <c r="H134" s="197"/>
      <c r="I134" s="197"/>
      <c r="J134" s="197"/>
      <c r="K134" s="197"/>
      <c r="L134" s="197"/>
      <c r="M134" s="197"/>
      <c r="N134" s="197"/>
      <c r="O134" s="197"/>
      <c r="P134" s="197"/>
      <c r="Q134" s="197"/>
      <c r="R134" s="197"/>
      <c r="S134" s="197"/>
      <c r="T134" s="197"/>
    </row>
    <row r="135" customFormat="false" ht="12" hidden="false" customHeight="false" outlineLevel="0" collapsed="false">
      <c r="B135" s="197"/>
      <c r="C135" s="130"/>
      <c r="D135" s="197"/>
      <c r="E135" s="197"/>
      <c r="F135" s="197"/>
      <c r="G135" s="197"/>
      <c r="H135" s="197"/>
      <c r="I135" s="197"/>
      <c r="J135" s="197"/>
      <c r="K135" s="197"/>
      <c r="L135" s="197"/>
      <c r="M135" s="197"/>
      <c r="N135" s="197"/>
      <c r="O135" s="197"/>
      <c r="P135" s="197"/>
      <c r="Q135" s="197"/>
      <c r="R135" s="197"/>
      <c r="S135" s="197"/>
      <c r="T135" s="197"/>
    </row>
    <row r="136" customFormat="false" ht="12" hidden="false" customHeight="false" outlineLevel="0" collapsed="false">
      <c r="B136" s="197"/>
      <c r="C136" s="130"/>
      <c r="D136" s="197"/>
      <c r="E136" s="197"/>
      <c r="F136" s="197"/>
      <c r="G136" s="197"/>
      <c r="H136" s="197"/>
      <c r="I136" s="197"/>
      <c r="J136" s="197"/>
      <c r="K136" s="197"/>
      <c r="L136" s="197"/>
      <c r="M136" s="197"/>
      <c r="N136" s="197"/>
      <c r="O136" s="197"/>
      <c r="P136" s="197"/>
      <c r="Q136" s="197"/>
      <c r="R136" s="197"/>
      <c r="S136" s="197"/>
      <c r="T136" s="197"/>
    </row>
    <row r="137" customFormat="false" ht="12" hidden="false" customHeight="false" outlineLevel="0" collapsed="false">
      <c r="B137" s="197"/>
      <c r="C137" s="130"/>
      <c r="D137" s="197"/>
      <c r="E137" s="197"/>
      <c r="F137" s="197"/>
      <c r="G137" s="197"/>
      <c r="H137" s="197"/>
      <c r="I137" s="197"/>
      <c r="J137" s="197"/>
      <c r="K137" s="197"/>
      <c r="L137" s="197"/>
      <c r="M137" s="197"/>
      <c r="N137" s="197"/>
      <c r="O137" s="197"/>
      <c r="P137" s="197"/>
      <c r="Q137" s="197"/>
      <c r="R137" s="197"/>
      <c r="S137" s="197"/>
      <c r="T137" s="197"/>
    </row>
    <row r="138" customFormat="false" ht="12" hidden="false" customHeight="false" outlineLevel="0" collapsed="false">
      <c r="B138" s="197"/>
      <c r="C138" s="130"/>
      <c r="D138" s="197"/>
      <c r="E138" s="197"/>
      <c r="F138" s="197"/>
      <c r="G138" s="197"/>
      <c r="H138" s="197"/>
      <c r="I138" s="197"/>
      <c r="J138" s="197"/>
      <c r="K138" s="197"/>
      <c r="L138" s="197"/>
      <c r="M138" s="197"/>
      <c r="N138" s="197"/>
      <c r="O138" s="197"/>
      <c r="P138" s="197"/>
      <c r="Q138" s="197"/>
      <c r="R138" s="197"/>
      <c r="S138" s="197"/>
      <c r="T138" s="197"/>
    </row>
    <row r="139" customFormat="false" ht="12" hidden="false" customHeight="false" outlineLevel="0" collapsed="false">
      <c r="B139" s="197"/>
      <c r="C139" s="130"/>
      <c r="D139" s="197"/>
      <c r="E139" s="197"/>
      <c r="F139" s="197"/>
      <c r="G139" s="197"/>
      <c r="H139" s="197"/>
      <c r="I139" s="197"/>
      <c r="J139" s="197"/>
      <c r="K139" s="197"/>
      <c r="L139" s="197"/>
      <c r="M139" s="197"/>
      <c r="N139" s="197"/>
      <c r="O139" s="197"/>
      <c r="P139" s="197"/>
      <c r="Q139" s="197"/>
      <c r="R139" s="197"/>
      <c r="S139" s="197"/>
      <c r="T139" s="197"/>
    </row>
    <row r="140" customFormat="false" ht="12" hidden="false" customHeight="false" outlineLevel="0" collapsed="false">
      <c r="B140" s="197"/>
      <c r="C140" s="130"/>
      <c r="D140" s="197"/>
      <c r="E140" s="197"/>
      <c r="F140" s="197"/>
      <c r="G140" s="197"/>
      <c r="H140" s="197"/>
      <c r="I140" s="197"/>
      <c r="J140" s="197"/>
      <c r="K140" s="197"/>
      <c r="L140" s="197"/>
      <c r="M140" s="197"/>
      <c r="N140" s="197"/>
      <c r="O140" s="197"/>
      <c r="P140" s="197"/>
      <c r="Q140" s="197"/>
      <c r="R140" s="197"/>
      <c r="S140" s="197"/>
      <c r="T140" s="197"/>
    </row>
    <row r="141" customFormat="false" ht="12" hidden="false" customHeight="false" outlineLevel="0" collapsed="false">
      <c r="B141" s="197"/>
      <c r="C141" s="130"/>
      <c r="D141" s="197"/>
      <c r="E141" s="197"/>
      <c r="F141" s="197"/>
      <c r="G141" s="197"/>
      <c r="H141" s="197"/>
      <c r="I141" s="197"/>
      <c r="J141" s="197"/>
      <c r="K141" s="197"/>
      <c r="L141" s="197"/>
      <c r="M141" s="197"/>
      <c r="N141" s="197"/>
      <c r="O141" s="197"/>
      <c r="P141" s="197"/>
      <c r="Q141" s="197"/>
      <c r="R141" s="197"/>
      <c r="S141" s="197"/>
      <c r="T141" s="197"/>
    </row>
    <row r="142" customFormat="false" ht="12" hidden="false" customHeight="false" outlineLevel="0" collapsed="false">
      <c r="B142" s="197"/>
      <c r="C142" s="130"/>
      <c r="D142" s="197"/>
      <c r="E142" s="197"/>
      <c r="F142" s="197"/>
      <c r="G142" s="197"/>
      <c r="H142" s="197"/>
      <c r="I142" s="197"/>
      <c r="J142" s="197"/>
      <c r="K142" s="197"/>
      <c r="L142" s="197"/>
      <c r="M142" s="197"/>
      <c r="N142" s="197"/>
      <c r="O142" s="197"/>
      <c r="P142" s="197"/>
      <c r="Q142" s="197"/>
      <c r="R142" s="197"/>
      <c r="S142" s="197"/>
      <c r="T142" s="197"/>
    </row>
    <row r="143" customFormat="false" ht="12" hidden="false" customHeight="false" outlineLevel="0" collapsed="false">
      <c r="B143" s="197"/>
      <c r="C143" s="130"/>
      <c r="D143" s="197"/>
      <c r="E143" s="197"/>
      <c r="F143" s="197"/>
      <c r="G143" s="197"/>
      <c r="H143" s="197"/>
      <c r="I143" s="197"/>
      <c r="J143" s="197"/>
      <c r="K143" s="197"/>
      <c r="L143" s="197"/>
      <c r="M143" s="197"/>
      <c r="N143" s="197"/>
      <c r="O143" s="197"/>
      <c r="P143" s="197"/>
      <c r="Q143" s="197"/>
      <c r="R143" s="197"/>
      <c r="S143" s="197"/>
      <c r="T143" s="197"/>
    </row>
    <row r="144" customFormat="false" ht="12" hidden="false" customHeight="false" outlineLevel="0" collapsed="false">
      <c r="B144" s="197"/>
      <c r="C144" s="130"/>
      <c r="D144" s="197"/>
      <c r="E144" s="197"/>
      <c r="F144" s="197"/>
      <c r="G144" s="197"/>
      <c r="H144" s="197"/>
      <c r="I144" s="197"/>
      <c r="J144" s="197"/>
      <c r="K144" s="197"/>
      <c r="L144" s="197"/>
      <c r="M144" s="197"/>
      <c r="N144" s="197"/>
      <c r="O144" s="197"/>
      <c r="P144" s="197"/>
      <c r="Q144" s="197"/>
      <c r="R144" s="197"/>
      <c r="S144" s="197"/>
      <c r="T144" s="197"/>
    </row>
    <row r="145" customFormat="false" ht="12" hidden="false" customHeight="false" outlineLevel="0" collapsed="false">
      <c r="B145" s="197"/>
      <c r="C145" s="130"/>
      <c r="D145" s="197"/>
      <c r="E145" s="197"/>
      <c r="F145" s="197"/>
      <c r="G145" s="197"/>
      <c r="H145" s="197"/>
      <c r="I145" s="197"/>
      <c r="J145" s="197"/>
      <c r="K145" s="197"/>
      <c r="L145" s="197"/>
      <c r="M145" s="197"/>
      <c r="N145" s="197"/>
      <c r="O145" s="197"/>
      <c r="P145" s="197"/>
      <c r="Q145" s="197"/>
      <c r="R145" s="197"/>
      <c r="S145" s="197"/>
      <c r="T145" s="197"/>
    </row>
    <row r="146" customFormat="false" ht="12" hidden="false" customHeight="false" outlineLevel="0" collapsed="false">
      <c r="B146" s="197"/>
      <c r="C146" s="130"/>
      <c r="D146" s="197"/>
      <c r="E146" s="197"/>
      <c r="F146" s="197"/>
      <c r="G146" s="197"/>
      <c r="H146" s="197"/>
      <c r="I146" s="197"/>
      <c r="J146" s="197"/>
      <c r="K146" s="197"/>
      <c r="L146" s="197"/>
      <c r="M146" s="197"/>
      <c r="N146" s="197"/>
      <c r="O146" s="197"/>
      <c r="P146" s="197"/>
      <c r="Q146" s="197"/>
      <c r="R146" s="197"/>
      <c r="S146" s="197"/>
      <c r="T146" s="197"/>
    </row>
    <row r="147" customFormat="false" ht="12" hidden="false" customHeight="false" outlineLevel="0" collapsed="false">
      <c r="B147" s="197"/>
      <c r="C147" s="130"/>
      <c r="D147" s="197"/>
      <c r="E147" s="197"/>
      <c r="F147" s="197"/>
      <c r="G147" s="197"/>
      <c r="H147" s="197"/>
      <c r="I147" s="197"/>
      <c r="J147" s="197"/>
      <c r="K147" s="197"/>
      <c r="L147" s="197"/>
      <c r="M147" s="197"/>
      <c r="N147" s="197"/>
      <c r="O147" s="197"/>
      <c r="P147" s="197"/>
      <c r="Q147" s="197"/>
      <c r="R147" s="197"/>
      <c r="S147" s="197"/>
      <c r="T147" s="197"/>
    </row>
    <row r="148" customFormat="false" ht="12" hidden="false" customHeight="false" outlineLevel="0" collapsed="false">
      <c r="B148" s="197"/>
      <c r="C148" s="130"/>
      <c r="D148" s="197"/>
      <c r="E148" s="197"/>
      <c r="F148" s="197"/>
      <c r="G148" s="197"/>
      <c r="H148" s="197"/>
      <c r="I148" s="197"/>
      <c r="J148" s="197"/>
      <c r="K148" s="197"/>
      <c r="L148" s="197"/>
      <c r="M148" s="197"/>
      <c r="N148" s="197"/>
      <c r="O148" s="197"/>
      <c r="P148" s="197"/>
      <c r="Q148" s="197"/>
      <c r="R148" s="197"/>
      <c r="S148" s="197"/>
      <c r="T148" s="197"/>
    </row>
    <row r="149" customFormat="false" ht="12" hidden="false" customHeight="false" outlineLevel="0" collapsed="false">
      <c r="B149" s="197"/>
      <c r="C149" s="130"/>
      <c r="D149" s="197"/>
      <c r="E149" s="197"/>
      <c r="F149" s="197"/>
      <c r="G149" s="197"/>
      <c r="H149" s="197"/>
      <c r="I149" s="197"/>
      <c r="J149" s="197"/>
      <c r="K149" s="197"/>
      <c r="L149" s="197"/>
      <c r="M149" s="197"/>
      <c r="N149" s="197"/>
      <c r="O149" s="197"/>
      <c r="P149" s="197"/>
      <c r="Q149" s="197"/>
      <c r="R149" s="197"/>
      <c r="S149" s="197"/>
      <c r="T149" s="197"/>
    </row>
    <row r="150" customFormat="false" ht="12" hidden="false" customHeight="false" outlineLevel="0" collapsed="false">
      <c r="B150" s="197"/>
      <c r="C150" s="130"/>
      <c r="D150" s="197"/>
      <c r="E150" s="197"/>
      <c r="F150" s="197"/>
      <c r="G150" s="197"/>
      <c r="H150" s="197"/>
      <c r="I150" s="197"/>
      <c r="J150" s="197"/>
      <c r="K150" s="197"/>
      <c r="L150" s="197"/>
      <c r="M150" s="197"/>
      <c r="N150" s="197"/>
      <c r="O150" s="197"/>
      <c r="P150" s="197"/>
      <c r="Q150" s="197"/>
      <c r="R150" s="197"/>
      <c r="S150" s="197"/>
      <c r="T150" s="197"/>
    </row>
    <row r="151" customFormat="false" ht="12" hidden="false" customHeight="false" outlineLevel="0" collapsed="false">
      <c r="B151" s="197"/>
      <c r="C151" s="130"/>
      <c r="D151" s="197"/>
      <c r="E151" s="197"/>
      <c r="F151" s="197"/>
      <c r="G151" s="197"/>
      <c r="H151" s="197"/>
      <c r="I151" s="197"/>
      <c r="J151" s="197"/>
      <c r="K151" s="197"/>
      <c r="L151" s="197"/>
      <c r="M151" s="197"/>
      <c r="N151" s="197"/>
      <c r="O151" s="197"/>
      <c r="P151" s="197"/>
      <c r="Q151" s="197"/>
      <c r="R151" s="197"/>
      <c r="S151" s="197"/>
      <c r="T151" s="197"/>
    </row>
    <row r="152" customFormat="false" ht="12" hidden="false" customHeight="false" outlineLevel="0" collapsed="false">
      <c r="B152" s="197"/>
      <c r="C152" s="130"/>
      <c r="D152" s="197"/>
      <c r="E152" s="197"/>
      <c r="F152" s="197"/>
      <c r="G152" s="197"/>
      <c r="H152" s="197"/>
      <c r="I152" s="197"/>
      <c r="J152" s="197"/>
      <c r="K152" s="197"/>
      <c r="L152" s="197"/>
      <c r="M152" s="197"/>
      <c r="N152" s="197"/>
      <c r="O152" s="197"/>
      <c r="P152" s="197"/>
      <c r="Q152" s="197"/>
      <c r="R152" s="197"/>
      <c r="S152" s="197"/>
      <c r="T152" s="197"/>
    </row>
    <row r="153" customFormat="false" ht="12" hidden="false" customHeight="false" outlineLevel="0" collapsed="false">
      <c r="B153" s="197"/>
      <c r="C153" s="130"/>
      <c r="D153" s="197"/>
      <c r="E153" s="197"/>
      <c r="F153" s="197"/>
      <c r="G153" s="197"/>
      <c r="H153" s="197"/>
      <c r="I153" s="197"/>
      <c r="J153" s="197"/>
      <c r="K153" s="197"/>
      <c r="L153" s="197"/>
      <c r="M153" s="197"/>
      <c r="N153" s="197"/>
      <c r="O153" s="197"/>
      <c r="P153" s="197"/>
      <c r="Q153" s="197"/>
      <c r="R153" s="197"/>
      <c r="S153" s="197"/>
      <c r="T153" s="197"/>
    </row>
    <row r="154" customFormat="false" ht="12" hidden="false" customHeight="false" outlineLevel="0" collapsed="false">
      <c r="B154" s="197"/>
      <c r="C154" s="130"/>
      <c r="D154" s="197"/>
      <c r="E154" s="197"/>
      <c r="F154" s="197"/>
      <c r="G154" s="197"/>
      <c r="H154" s="197"/>
      <c r="I154" s="197"/>
      <c r="J154" s="197"/>
      <c r="K154" s="197"/>
      <c r="L154" s="197"/>
      <c r="M154" s="197"/>
      <c r="N154" s="197"/>
      <c r="O154" s="197"/>
      <c r="P154" s="197"/>
      <c r="Q154" s="197"/>
      <c r="R154" s="197"/>
      <c r="S154" s="197"/>
      <c r="T154" s="197"/>
    </row>
    <row r="155" customFormat="false" ht="12" hidden="false" customHeight="false" outlineLevel="0" collapsed="false">
      <c r="B155" s="197"/>
      <c r="C155" s="130"/>
      <c r="D155" s="197"/>
      <c r="E155" s="197"/>
      <c r="F155" s="197"/>
      <c r="G155" s="197"/>
      <c r="H155" s="197"/>
      <c r="I155" s="197"/>
      <c r="J155" s="197"/>
      <c r="K155" s="197"/>
      <c r="L155" s="197"/>
      <c r="M155" s="197"/>
      <c r="N155" s="197"/>
      <c r="O155" s="197"/>
      <c r="P155" s="197"/>
      <c r="Q155" s="197"/>
      <c r="R155" s="197"/>
      <c r="S155" s="197"/>
      <c r="T155" s="197"/>
    </row>
    <row r="156" customFormat="false" ht="12" hidden="false" customHeight="false" outlineLevel="0" collapsed="false">
      <c r="B156" s="197"/>
      <c r="C156" s="130"/>
      <c r="D156" s="197"/>
      <c r="E156" s="197"/>
      <c r="F156" s="197"/>
      <c r="G156" s="197"/>
      <c r="H156" s="197"/>
      <c r="I156" s="197"/>
      <c r="J156" s="197"/>
      <c r="K156" s="197"/>
      <c r="L156" s="197"/>
      <c r="M156" s="197"/>
      <c r="N156" s="197"/>
      <c r="O156" s="197"/>
      <c r="P156" s="197"/>
      <c r="Q156" s="197"/>
      <c r="R156" s="197"/>
      <c r="S156" s="197"/>
      <c r="T156" s="197"/>
    </row>
    <row r="157" customFormat="false" ht="12" hidden="false" customHeight="false" outlineLevel="0" collapsed="false">
      <c r="B157" s="197"/>
      <c r="C157" s="130"/>
      <c r="D157" s="197"/>
      <c r="E157" s="197"/>
      <c r="F157" s="197"/>
      <c r="G157" s="197"/>
      <c r="H157" s="197"/>
      <c r="I157" s="197"/>
      <c r="J157" s="197"/>
      <c r="K157" s="197"/>
      <c r="L157" s="197"/>
      <c r="M157" s="197"/>
      <c r="N157" s="197"/>
      <c r="O157" s="197"/>
      <c r="P157" s="197"/>
      <c r="Q157" s="197"/>
      <c r="R157" s="197"/>
      <c r="S157" s="197"/>
      <c r="T157" s="197"/>
    </row>
    <row r="158" customFormat="false" ht="12" hidden="false" customHeight="false" outlineLevel="0" collapsed="false">
      <c r="B158" s="197"/>
      <c r="C158" s="130"/>
      <c r="D158" s="197"/>
      <c r="E158" s="197"/>
      <c r="F158" s="197"/>
      <c r="G158" s="197"/>
      <c r="H158" s="197"/>
      <c r="I158" s="197"/>
      <c r="J158" s="197"/>
      <c r="K158" s="197"/>
      <c r="L158" s="197"/>
      <c r="M158" s="197"/>
      <c r="N158" s="197"/>
      <c r="O158" s="197"/>
      <c r="P158" s="197"/>
      <c r="Q158" s="197"/>
      <c r="R158" s="197"/>
      <c r="S158" s="197"/>
      <c r="T158" s="197"/>
    </row>
    <row r="159" customFormat="false" ht="12" hidden="false" customHeight="false" outlineLevel="0" collapsed="false">
      <c r="B159" s="197"/>
      <c r="C159" s="130"/>
      <c r="D159" s="197"/>
      <c r="E159" s="197"/>
      <c r="F159" s="197"/>
      <c r="G159" s="197"/>
      <c r="H159" s="197"/>
      <c r="I159" s="197"/>
      <c r="J159" s="197"/>
      <c r="K159" s="197"/>
      <c r="L159" s="197"/>
      <c r="M159" s="197"/>
      <c r="N159" s="197"/>
      <c r="O159" s="197"/>
      <c r="P159" s="197"/>
      <c r="Q159" s="197"/>
      <c r="R159" s="197"/>
      <c r="S159" s="197"/>
      <c r="T159" s="197"/>
    </row>
    <row r="160" customFormat="false" ht="12" hidden="false" customHeight="false" outlineLevel="0" collapsed="false">
      <c r="B160" s="197"/>
      <c r="C160" s="130"/>
      <c r="D160" s="197"/>
      <c r="E160" s="197"/>
      <c r="F160" s="197"/>
      <c r="G160" s="197"/>
      <c r="H160" s="197"/>
      <c r="I160" s="197"/>
      <c r="J160" s="197"/>
      <c r="K160" s="197"/>
      <c r="L160" s="197"/>
      <c r="M160" s="197"/>
      <c r="N160" s="197"/>
      <c r="O160" s="197"/>
      <c r="P160" s="197"/>
      <c r="Q160" s="197"/>
      <c r="R160" s="197"/>
      <c r="S160" s="197"/>
      <c r="T160" s="197"/>
    </row>
    <row r="161" customFormat="false" ht="12" hidden="false" customHeight="false" outlineLevel="0" collapsed="false">
      <c r="B161" s="197"/>
      <c r="C161" s="130"/>
      <c r="D161" s="197"/>
      <c r="E161" s="197"/>
      <c r="F161" s="197"/>
      <c r="G161" s="197"/>
      <c r="H161" s="197"/>
      <c r="I161" s="197"/>
      <c r="J161" s="197"/>
      <c r="K161" s="197"/>
      <c r="L161" s="197"/>
      <c r="M161" s="197"/>
      <c r="N161" s="197"/>
      <c r="O161" s="197"/>
      <c r="P161" s="197"/>
      <c r="Q161" s="197"/>
      <c r="R161" s="197"/>
      <c r="S161" s="197"/>
      <c r="T161" s="197"/>
    </row>
    <row r="162" customFormat="false" ht="12" hidden="false" customHeight="false" outlineLevel="0" collapsed="false">
      <c r="B162" s="197"/>
      <c r="C162" s="130"/>
      <c r="D162" s="197"/>
      <c r="E162" s="197"/>
      <c r="F162" s="197"/>
      <c r="G162" s="197"/>
      <c r="H162" s="197"/>
      <c r="I162" s="197"/>
      <c r="J162" s="197"/>
      <c r="K162" s="197"/>
      <c r="L162" s="197"/>
      <c r="M162" s="197"/>
      <c r="N162" s="197"/>
      <c r="O162" s="197"/>
      <c r="P162" s="197"/>
      <c r="Q162" s="197"/>
      <c r="R162" s="197"/>
      <c r="S162" s="197"/>
      <c r="T162" s="197"/>
    </row>
    <row r="163" customFormat="false" ht="12" hidden="false" customHeight="false" outlineLevel="0" collapsed="false">
      <c r="B163" s="197"/>
      <c r="C163" s="130"/>
      <c r="D163" s="197"/>
      <c r="E163" s="197"/>
      <c r="F163" s="197"/>
      <c r="G163" s="197"/>
      <c r="H163" s="197"/>
      <c r="I163" s="197"/>
      <c r="J163" s="197"/>
      <c r="K163" s="197"/>
      <c r="L163" s="197"/>
      <c r="M163" s="197"/>
      <c r="N163" s="197"/>
      <c r="O163" s="197"/>
      <c r="P163" s="197"/>
      <c r="Q163" s="197"/>
      <c r="R163" s="197"/>
      <c r="S163" s="197"/>
      <c r="T163" s="197"/>
    </row>
    <row r="164" customFormat="false" ht="12" hidden="false" customHeight="false" outlineLevel="0" collapsed="false">
      <c r="B164" s="197"/>
      <c r="C164" s="130"/>
      <c r="D164" s="197"/>
      <c r="E164" s="197"/>
      <c r="F164" s="197"/>
      <c r="G164" s="197"/>
      <c r="H164" s="197"/>
      <c r="I164" s="197"/>
      <c r="J164" s="197"/>
      <c r="K164" s="197"/>
      <c r="L164" s="197"/>
      <c r="M164" s="197"/>
      <c r="N164" s="197"/>
      <c r="O164" s="197"/>
      <c r="P164" s="197"/>
      <c r="Q164" s="197"/>
      <c r="R164" s="197"/>
      <c r="S164" s="197"/>
      <c r="T164" s="197"/>
    </row>
    <row r="165" customFormat="false" ht="12" hidden="false" customHeight="false" outlineLevel="0" collapsed="false">
      <c r="B165" s="197"/>
      <c r="C165" s="130"/>
      <c r="D165" s="197"/>
      <c r="E165" s="197"/>
      <c r="F165" s="197"/>
      <c r="G165" s="197"/>
      <c r="H165" s="197"/>
      <c r="I165" s="197"/>
      <c r="J165" s="197"/>
      <c r="K165" s="197"/>
      <c r="L165" s="197"/>
      <c r="M165" s="197"/>
      <c r="N165" s="197"/>
      <c r="O165" s="197"/>
      <c r="P165" s="197"/>
      <c r="Q165" s="197"/>
      <c r="R165" s="197"/>
      <c r="S165" s="197"/>
      <c r="T165" s="197"/>
    </row>
    <row r="166" customFormat="false" ht="12" hidden="false" customHeight="false" outlineLevel="0" collapsed="false">
      <c r="B166" s="197"/>
      <c r="C166" s="130"/>
      <c r="D166" s="197"/>
      <c r="E166" s="197"/>
      <c r="F166" s="197"/>
      <c r="G166" s="197"/>
      <c r="H166" s="197"/>
      <c r="I166" s="197"/>
      <c r="J166" s="197"/>
      <c r="K166" s="197"/>
      <c r="L166" s="197"/>
      <c r="M166" s="197"/>
      <c r="N166" s="197"/>
      <c r="O166" s="197"/>
      <c r="P166" s="197"/>
      <c r="Q166" s="197"/>
      <c r="R166" s="197"/>
      <c r="S166" s="197"/>
      <c r="T166" s="197"/>
    </row>
    <row r="167" customFormat="false" ht="12" hidden="false" customHeight="false" outlineLevel="0" collapsed="false">
      <c r="B167" s="197"/>
      <c r="C167" s="130"/>
      <c r="D167" s="197"/>
      <c r="E167" s="197"/>
      <c r="F167" s="197"/>
      <c r="G167" s="197"/>
      <c r="H167" s="197"/>
      <c r="I167" s="197"/>
      <c r="J167" s="197"/>
      <c r="K167" s="197"/>
      <c r="L167" s="197"/>
      <c r="M167" s="197"/>
      <c r="N167" s="197"/>
      <c r="O167" s="197"/>
      <c r="P167" s="197"/>
      <c r="Q167" s="197"/>
      <c r="R167" s="197"/>
      <c r="S167" s="197"/>
      <c r="T167" s="197"/>
    </row>
    <row r="168" customFormat="false" ht="12" hidden="false" customHeight="false" outlineLevel="0" collapsed="false">
      <c r="B168" s="197"/>
      <c r="C168" s="130"/>
      <c r="D168" s="197"/>
      <c r="E168" s="197"/>
      <c r="F168" s="197"/>
      <c r="G168" s="197"/>
      <c r="H168" s="197"/>
      <c r="I168" s="197"/>
      <c r="J168" s="197"/>
      <c r="K168" s="197"/>
      <c r="L168" s="197"/>
      <c r="M168" s="197"/>
      <c r="N168" s="197"/>
      <c r="O168" s="197"/>
      <c r="P168" s="197"/>
      <c r="Q168" s="197"/>
      <c r="R168" s="197"/>
      <c r="S168" s="197"/>
      <c r="T168" s="197"/>
    </row>
    <row r="169" customFormat="false" ht="12" hidden="false" customHeight="false" outlineLevel="0" collapsed="false">
      <c r="B169" s="197"/>
      <c r="C169" s="130"/>
      <c r="D169" s="197"/>
      <c r="E169" s="197"/>
      <c r="F169" s="197"/>
      <c r="G169" s="197"/>
      <c r="H169" s="197"/>
      <c r="I169" s="197"/>
      <c r="J169" s="197"/>
      <c r="K169" s="197"/>
      <c r="L169" s="197"/>
      <c r="M169" s="197"/>
      <c r="N169" s="197"/>
      <c r="O169" s="197"/>
      <c r="P169" s="197"/>
      <c r="Q169" s="197"/>
      <c r="R169" s="197"/>
      <c r="S169" s="197"/>
      <c r="T169" s="197"/>
    </row>
    <row r="170" customFormat="false" ht="12" hidden="false" customHeight="false" outlineLevel="0" collapsed="false">
      <c r="B170" s="197"/>
      <c r="C170" s="130"/>
      <c r="D170" s="197"/>
      <c r="E170" s="197"/>
      <c r="F170" s="197"/>
      <c r="G170" s="197"/>
      <c r="H170" s="197"/>
      <c r="I170" s="197"/>
      <c r="J170" s="197"/>
      <c r="K170" s="197"/>
      <c r="L170" s="197"/>
      <c r="M170" s="197"/>
      <c r="N170" s="197"/>
      <c r="O170" s="197"/>
      <c r="P170" s="197"/>
      <c r="Q170" s="197"/>
      <c r="R170" s="197"/>
      <c r="S170" s="197"/>
      <c r="T170" s="197"/>
    </row>
    <row r="171" customFormat="false" ht="12" hidden="false" customHeight="false" outlineLevel="0" collapsed="false">
      <c r="B171" s="197"/>
      <c r="C171" s="130"/>
      <c r="D171" s="197"/>
      <c r="E171" s="197"/>
      <c r="F171" s="197"/>
      <c r="G171" s="197"/>
      <c r="H171" s="197"/>
      <c r="I171" s="197"/>
      <c r="J171" s="197"/>
      <c r="K171" s="197"/>
      <c r="L171" s="197"/>
      <c r="M171" s="197"/>
      <c r="N171" s="197"/>
      <c r="O171" s="197"/>
      <c r="P171" s="197"/>
      <c r="Q171" s="197"/>
      <c r="R171" s="197"/>
      <c r="S171" s="197"/>
      <c r="T171" s="197"/>
    </row>
    <row r="172" customFormat="false" ht="12" hidden="false" customHeight="false" outlineLevel="0" collapsed="false">
      <c r="B172" s="197"/>
      <c r="C172" s="130"/>
      <c r="D172" s="197"/>
      <c r="E172" s="197"/>
      <c r="F172" s="197"/>
      <c r="G172" s="197"/>
      <c r="H172" s="197"/>
      <c r="I172" s="197"/>
      <c r="J172" s="197"/>
      <c r="K172" s="197"/>
      <c r="L172" s="197"/>
      <c r="M172" s="197"/>
      <c r="N172" s="197"/>
      <c r="O172" s="197"/>
      <c r="P172" s="197"/>
      <c r="Q172" s="197"/>
      <c r="R172" s="197"/>
      <c r="S172" s="197"/>
      <c r="T172" s="197"/>
    </row>
    <row r="173" customFormat="false" ht="12" hidden="false" customHeight="false" outlineLevel="0" collapsed="false">
      <c r="B173" s="197"/>
      <c r="C173" s="130"/>
      <c r="D173" s="197"/>
      <c r="E173" s="197"/>
      <c r="F173" s="197"/>
      <c r="G173" s="197"/>
      <c r="H173" s="197"/>
      <c r="I173" s="197"/>
      <c r="J173" s="197"/>
      <c r="K173" s="197"/>
      <c r="L173" s="197"/>
      <c r="M173" s="197"/>
      <c r="N173" s="197"/>
      <c r="O173" s="197"/>
      <c r="P173" s="197"/>
      <c r="Q173" s="197"/>
      <c r="R173" s="197"/>
      <c r="S173" s="197"/>
      <c r="T173" s="197"/>
    </row>
    <row r="174" customFormat="false" ht="12" hidden="false" customHeight="false" outlineLevel="0" collapsed="false">
      <c r="B174" s="197"/>
      <c r="C174" s="130"/>
      <c r="D174" s="197"/>
      <c r="E174" s="197"/>
      <c r="F174" s="197"/>
      <c r="G174" s="197"/>
      <c r="H174" s="197"/>
      <c r="I174" s="197"/>
      <c r="J174" s="197"/>
      <c r="K174" s="197"/>
      <c r="L174" s="197"/>
      <c r="M174" s="197"/>
      <c r="N174" s="197"/>
      <c r="O174" s="197"/>
      <c r="P174" s="197"/>
      <c r="Q174" s="197"/>
      <c r="R174" s="197"/>
      <c r="S174" s="197"/>
      <c r="T174" s="197"/>
    </row>
    <row r="175" customFormat="false" ht="12" hidden="false" customHeight="false" outlineLevel="0" collapsed="false">
      <c r="B175" s="197"/>
      <c r="C175" s="130"/>
      <c r="D175" s="197"/>
      <c r="E175" s="197"/>
      <c r="F175" s="197"/>
      <c r="G175" s="197"/>
      <c r="H175" s="197"/>
      <c r="I175" s="197"/>
      <c r="J175" s="197"/>
      <c r="K175" s="197"/>
      <c r="L175" s="197"/>
      <c r="M175" s="197"/>
      <c r="N175" s="197"/>
      <c r="O175" s="197"/>
      <c r="P175" s="197"/>
      <c r="Q175" s="197"/>
      <c r="R175" s="197"/>
      <c r="S175" s="197"/>
      <c r="T175" s="197"/>
    </row>
    <row r="176" customFormat="false" ht="12" hidden="false" customHeight="false" outlineLevel="0" collapsed="false">
      <c r="B176" s="197"/>
      <c r="C176" s="130"/>
      <c r="D176" s="197"/>
      <c r="E176" s="197"/>
      <c r="F176" s="197"/>
      <c r="G176" s="197"/>
      <c r="H176" s="197"/>
      <c r="I176" s="197"/>
      <c r="J176" s="197"/>
      <c r="K176" s="197"/>
      <c r="L176" s="197"/>
      <c r="M176" s="197"/>
      <c r="N176" s="197"/>
      <c r="O176" s="197"/>
      <c r="P176" s="197"/>
      <c r="Q176" s="197"/>
      <c r="R176" s="197"/>
      <c r="S176" s="197"/>
      <c r="T176" s="197"/>
    </row>
    <row r="177" customFormat="false" ht="12" hidden="false" customHeight="false" outlineLevel="0" collapsed="false">
      <c r="B177" s="197"/>
      <c r="C177" s="130"/>
      <c r="D177" s="197"/>
      <c r="E177" s="197"/>
      <c r="F177" s="197"/>
      <c r="G177" s="197"/>
      <c r="H177" s="197"/>
      <c r="I177" s="197"/>
      <c r="J177" s="197"/>
      <c r="K177" s="197"/>
      <c r="L177" s="197"/>
      <c r="M177" s="197"/>
      <c r="N177" s="197"/>
      <c r="O177" s="197"/>
      <c r="P177" s="197"/>
      <c r="Q177" s="197"/>
      <c r="R177" s="197"/>
      <c r="S177" s="197"/>
      <c r="T177" s="197"/>
    </row>
    <row r="178" customFormat="false" ht="12" hidden="false" customHeight="false" outlineLevel="0" collapsed="false">
      <c r="B178" s="197"/>
      <c r="C178" s="130"/>
      <c r="D178" s="197"/>
      <c r="E178" s="197"/>
      <c r="F178" s="197"/>
      <c r="G178" s="197"/>
      <c r="H178" s="197"/>
      <c r="I178" s="197"/>
      <c r="J178" s="197"/>
      <c r="K178" s="197"/>
      <c r="L178" s="197"/>
      <c r="M178" s="197"/>
      <c r="N178" s="197"/>
      <c r="O178" s="197"/>
      <c r="P178" s="197"/>
      <c r="Q178" s="197"/>
      <c r="R178" s="197"/>
      <c r="S178" s="197"/>
      <c r="T178" s="197"/>
    </row>
    <row r="179" customFormat="false" ht="12" hidden="false" customHeight="false" outlineLevel="0" collapsed="false">
      <c r="B179" s="197"/>
      <c r="C179" s="130"/>
      <c r="D179" s="197"/>
      <c r="E179" s="197"/>
      <c r="F179" s="197"/>
      <c r="G179" s="197"/>
      <c r="H179" s="197"/>
      <c r="I179" s="197"/>
      <c r="J179" s="197"/>
      <c r="K179" s="197"/>
      <c r="L179" s="197"/>
      <c r="M179" s="197"/>
      <c r="N179" s="197"/>
      <c r="O179" s="197"/>
      <c r="P179" s="197"/>
      <c r="Q179" s="197"/>
      <c r="R179" s="197"/>
      <c r="S179" s="197"/>
      <c r="T179" s="197"/>
    </row>
    <row r="180" customFormat="false" ht="12" hidden="false" customHeight="false" outlineLevel="0" collapsed="false">
      <c r="B180" s="197"/>
      <c r="C180" s="130"/>
      <c r="D180" s="197"/>
      <c r="E180" s="197"/>
      <c r="F180" s="197"/>
      <c r="G180" s="197"/>
      <c r="H180" s="197"/>
      <c r="I180" s="197"/>
      <c r="J180" s="197"/>
      <c r="K180" s="197"/>
      <c r="L180" s="197"/>
      <c r="M180" s="197"/>
      <c r="N180" s="197"/>
      <c r="O180" s="197"/>
      <c r="P180" s="197"/>
      <c r="Q180" s="197"/>
      <c r="R180" s="197"/>
      <c r="S180" s="197"/>
      <c r="T180" s="197"/>
    </row>
    <row r="181" customFormat="false" ht="12" hidden="false" customHeight="false" outlineLevel="0" collapsed="false">
      <c r="B181" s="197"/>
      <c r="C181" s="130"/>
      <c r="D181" s="197"/>
      <c r="E181" s="197"/>
      <c r="F181" s="197"/>
      <c r="G181" s="197"/>
      <c r="H181" s="197"/>
      <c r="I181" s="197"/>
      <c r="J181" s="197"/>
      <c r="K181" s="197"/>
      <c r="L181" s="197"/>
      <c r="M181" s="197"/>
      <c r="N181" s="197"/>
      <c r="O181" s="197"/>
      <c r="P181" s="197"/>
      <c r="Q181" s="197"/>
      <c r="R181" s="197"/>
      <c r="S181" s="197"/>
      <c r="T181" s="197"/>
    </row>
    <row r="182" customFormat="false" ht="12" hidden="false" customHeight="false" outlineLevel="0" collapsed="false">
      <c r="B182" s="197"/>
      <c r="C182" s="130"/>
      <c r="D182" s="197"/>
      <c r="E182" s="197"/>
      <c r="F182" s="197"/>
      <c r="G182" s="197"/>
      <c r="H182" s="197"/>
      <c r="I182" s="197"/>
      <c r="J182" s="197"/>
      <c r="K182" s="197"/>
      <c r="L182" s="197"/>
      <c r="M182" s="197"/>
      <c r="N182" s="197"/>
      <c r="O182" s="197"/>
      <c r="P182" s="197"/>
      <c r="Q182" s="197"/>
      <c r="R182" s="197"/>
      <c r="S182" s="197"/>
      <c r="T182" s="197"/>
    </row>
    <row r="183" customFormat="false" ht="12" hidden="false" customHeight="false" outlineLevel="0" collapsed="false">
      <c r="B183" s="197"/>
      <c r="C183" s="130"/>
      <c r="D183" s="197"/>
      <c r="E183" s="197"/>
      <c r="F183" s="197"/>
      <c r="G183" s="197"/>
      <c r="H183" s="197"/>
      <c r="I183" s="197"/>
      <c r="J183" s="197"/>
      <c r="K183" s="197"/>
      <c r="L183" s="197"/>
      <c r="M183" s="197"/>
      <c r="N183" s="197"/>
      <c r="O183" s="197"/>
      <c r="P183" s="197"/>
      <c r="Q183" s="197"/>
      <c r="R183" s="197"/>
      <c r="S183" s="197"/>
      <c r="T183" s="197"/>
    </row>
    <row r="184" customFormat="false" ht="12" hidden="false" customHeight="false" outlineLevel="0" collapsed="false">
      <c r="B184" s="197"/>
      <c r="C184" s="130"/>
      <c r="D184" s="197"/>
      <c r="E184" s="197"/>
      <c r="F184" s="197"/>
      <c r="G184" s="197"/>
      <c r="H184" s="197"/>
      <c r="I184" s="197"/>
      <c r="J184" s="197"/>
      <c r="K184" s="197"/>
      <c r="L184" s="197"/>
      <c r="M184" s="197"/>
      <c r="N184" s="197"/>
      <c r="O184" s="197"/>
      <c r="P184" s="197"/>
      <c r="Q184" s="197"/>
      <c r="R184" s="197"/>
      <c r="S184" s="197"/>
      <c r="T184" s="197"/>
    </row>
    <row r="185" customFormat="false" ht="12" hidden="false" customHeight="false" outlineLevel="0" collapsed="false">
      <c r="B185" s="197"/>
      <c r="C185" s="130"/>
      <c r="D185" s="197"/>
      <c r="E185" s="197"/>
      <c r="F185" s="197"/>
      <c r="G185" s="197"/>
      <c r="H185" s="197"/>
      <c r="I185" s="197"/>
      <c r="J185" s="197"/>
      <c r="K185" s="197"/>
      <c r="L185" s="197"/>
      <c r="M185" s="197"/>
      <c r="N185" s="197"/>
      <c r="O185" s="197"/>
      <c r="P185" s="197"/>
      <c r="Q185" s="197"/>
      <c r="R185" s="197"/>
      <c r="S185" s="197"/>
      <c r="T185" s="197"/>
    </row>
    <row r="186" customFormat="false" ht="12" hidden="false" customHeight="false" outlineLevel="0" collapsed="false">
      <c r="B186" s="197"/>
      <c r="C186" s="130"/>
      <c r="D186" s="197"/>
      <c r="E186" s="197"/>
      <c r="F186" s="197"/>
      <c r="G186" s="197"/>
      <c r="H186" s="197"/>
      <c r="I186" s="197"/>
      <c r="J186" s="197"/>
      <c r="K186" s="197"/>
      <c r="L186" s="197"/>
      <c r="M186" s="197"/>
      <c r="N186" s="197"/>
      <c r="O186" s="197"/>
      <c r="P186" s="197"/>
      <c r="Q186" s="197"/>
      <c r="R186" s="197"/>
      <c r="S186" s="197"/>
      <c r="T186" s="197"/>
    </row>
    <row r="187" customFormat="false" ht="12" hidden="false" customHeight="false" outlineLevel="0" collapsed="false">
      <c r="B187" s="197"/>
      <c r="C187" s="130"/>
      <c r="D187" s="197"/>
      <c r="E187" s="197"/>
      <c r="F187" s="197"/>
      <c r="G187" s="197"/>
      <c r="H187" s="197"/>
      <c r="I187" s="197"/>
      <c r="J187" s="197"/>
      <c r="K187" s="197"/>
      <c r="L187" s="197"/>
      <c r="M187" s="197"/>
      <c r="N187" s="197"/>
      <c r="O187" s="197"/>
      <c r="P187" s="197"/>
      <c r="Q187" s="197"/>
      <c r="R187" s="197"/>
      <c r="S187" s="197"/>
      <c r="T187" s="197"/>
    </row>
    <row r="188" customFormat="false" ht="12" hidden="false" customHeight="false" outlineLevel="0" collapsed="false">
      <c r="B188" s="197"/>
      <c r="C188" s="130"/>
      <c r="D188" s="197"/>
      <c r="E188" s="197"/>
      <c r="F188" s="197"/>
      <c r="G188" s="197"/>
      <c r="H188" s="197"/>
      <c r="I188" s="197"/>
      <c r="J188" s="197"/>
      <c r="K188" s="197"/>
      <c r="L188" s="197"/>
      <c r="M188" s="197"/>
      <c r="N188" s="197"/>
      <c r="O188" s="197"/>
      <c r="P188" s="197"/>
      <c r="Q188" s="197"/>
      <c r="R188" s="197"/>
      <c r="S188" s="197"/>
      <c r="T188" s="197"/>
    </row>
    <row r="189" customFormat="false" ht="12" hidden="false" customHeight="false" outlineLevel="0" collapsed="false">
      <c r="B189" s="197"/>
      <c r="C189" s="130"/>
      <c r="D189" s="197"/>
      <c r="E189" s="197"/>
      <c r="F189" s="197"/>
      <c r="G189" s="197"/>
      <c r="H189" s="197"/>
      <c r="I189" s="197"/>
      <c r="J189" s="197"/>
      <c r="K189" s="197"/>
      <c r="L189" s="197"/>
      <c r="M189" s="197"/>
      <c r="N189" s="197"/>
      <c r="O189" s="197"/>
      <c r="P189" s="197"/>
      <c r="Q189" s="197"/>
      <c r="R189" s="197"/>
      <c r="S189" s="197"/>
      <c r="T189" s="197"/>
    </row>
    <row r="190" customFormat="false" ht="12" hidden="false" customHeight="false" outlineLevel="0" collapsed="false">
      <c r="B190" s="197"/>
      <c r="C190" s="130"/>
      <c r="D190" s="197"/>
      <c r="E190" s="197"/>
      <c r="F190" s="197"/>
      <c r="G190" s="197"/>
      <c r="H190" s="197"/>
      <c r="I190" s="197"/>
      <c r="J190" s="197"/>
      <c r="K190" s="197"/>
      <c r="L190" s="197"/>
      <c r="M190" s="197"/>
      <c r="N190" s="197"/>
      <c r="O190" s="197"/>
      <c r="P190" s="197"/>
      <c r="Q190" s="197"/>
      <c r="R190" s="197"/>
      <c r="S190" s="197"/>
      <c r="T190" s="197"/>
    </row>
    <row r="191" customFormat="false" ht="12" hidden="false" customHeight="false" outlineLevel="0" collapsed="false">
      <c r="B191" s="197"/>
      <c r="C191" s="130"/>
      <c r="D191" s="197"/>
      <c r="E191" s="197"/>
      <c r="F191" s="197"/>
      <c r="G191" s="197"/>
      <c r="H191" s="197"/>
      <c r="I191" s="197"/>
      <c r="J191" s="197"/>
      <c r="K191" s="197"/>
      <c r="L191" s="197"/>
      <c r="M191" s="197"/>
      <c r="N191" s="197"/>
      <c r="O191" s="197"/>
      <c r="P191" s="197"/>
      <c r="Q191" s="197"/>
      <c r="R191" s="197"/>
      <c r="S191" s="197"/>
      <c r="T191" s="197"/>
    </row>
    <row r="192" customFormat="false" ht="12" hidden="false" customHeight="false" outlineLevel="0" collapsed="false">
      <c r="B192" s="197"/>
      <c r="C192" s="130"/>
      <c r="D192" s="197"/>
      <c r="E192" s="197"/>
      <c r="F192" s="197"/>
      <c r="G192" s="197"/>
      <c r="H192" s="197"/>
      <c r="I192" s="197"/>
      <c r="J192" s="197"/>
      <c r="K192" s="197"/>
      <c r="L192" s="197"/>
      <c r="M192" s="197"/>
      <c r="N192" s="197"/>
      <c r="O192" s="197"/>
      <c r="P192" s="197"/>
      <c r="Q192" s="197"/>
      <c r="R192" s="197"/>
      <c r="S192" s="197"/>
      <c r="T192" s="197"/>
    </row>
    <row r="193" customFormat="false" ht="12" hidden="false" customHeight="false" outlineLevel="0" collapsed="false">
      <c r="B193" s="197"/>
      <c r="C193" s="130"/>
      <c r="D193" s="197"/>
      <c r="E193" s="197"/>
      <c r="F193" s="197"/>
      <c r="G193" s="197"/>
      <c r="H193" s="197"/>
      <c r="I193" s="197"/>
      <c r="J193" s="197"/>
      <c r="K193" s="197"/>
      <c r="L193" s="197"/>
      <c r="M193" s="197"/>
      <c r="N193" s="197"/>
      <c r="O193" s="197"/>
      <c r="P193" s="197"/>
      <c r="Q193" s="197"/>
      <c r="R193" s="197"/>
      <c r="S193" s="197"/>
      <c r="T193" s="197"/>
    </row>
    <row r="194" customFormat="false" ht="12" hidden="false" customHeight="false" outlineLevel="0" collapsed="false">
      <c r="B194" s="197"/>
      <c r="C194" s="130"/>
      <c r="D194" s="197"/>
      <c r="E194" s="197"/>
      <c r="F194" s="197"/>
      <c r="G194" s="197"/>
      <c r="H194" s="197"/>
      <c r="I194" s="197"/>
      <c r="J194" s="197"/>
      <c r="K194" s="197"/>
      <c r="L194" s="197"/>
      <c r="M194" s="197"/>
      <c r="N194" s="197"/>
      <c r="O194" s="197"/>
      <c r="P194" s="197"/>
      <c r="Q194" s="197"/>
      <c r="R194" s="197"/>
      <c r="S194" s="197"/>
      <c r="T194" s="197"/>
    </row>
    <row r="195" customFormat="false" ht="12" hidden="false" customHeight="false" outlineLevel="0" collapsed="false">
      <c r="B195" s="197"/>
      <c r="C195" s="130"/>
      <c r="D195" s="197"/>
      <c r="E195" s="197"/>
      <c r="F195" s="197"/>
      <c r="G195" s="197"/>
      <c r="H195" s="197"/>
      <c r="I195" s="197"/>
      <c r="J195" s="197"/>
      <c r="K195" s="197"/>
      <c r="L195" s="197"/>
      <c r="M195" s="197"/>
      <c r="N195" s="197"/>
      <c r="O195" s="197"/>
      <c r="P195" s="197"/>
      <c r="Q195" s="197"/>
      <c r="R195" s="197"/>
      <c r="S195" s="197"/>
      <c r="T195" s="197"/>
    </row>
    <row r="196" customFormat="false" ht="12" hidden="false" customHeight="false" outlineLevel="0" collapsed="false">
      <c r="B196" s="197"/>
      <c r="C196" s="130"/>
      <c r="D196" s="197"/>
      <c r="E196" s="197"/>
      <c r="F196" s="197"/>
      <c r="G196" s="197"/>
      <c r="H196" s="197"/>
      <c r="I196" s="197"/>
      <c r="J196" s="197"/>
      <c r="K196" s="197"/>
      <c r="L196" s="197"/>
      <c r="M196" s="197"/>
      <c r="N196" s="197"/>
      <c r="O196" s="197"/>
      <c r="P196" s="197"/>
      <c r="Q196" s="197"/>
      <c r="R196" s="197"/>
      <c r="S196" s="197"/>
      <c r="T196" s="197"/>
    </row>
    <row r="197" customFormat="false" ht="12" hidden="false" customHeight="false" outlineLevel="0" collapsed="false">
      <c r="B197" s="197"/>
      <c r="C197" s="130"/>
      <c r="D197" s="197"/>
      <c r="E197" s="197"/>
      <c r="F197" s="197"/>
      <c r="G197" s="197"/>
      <c r="H197" s="197"/>
      <c r="I197" s="197"/>
      <c r="J197" s="197"/>
      <c r="K197" s="197"/>
      <c r="L197" s="197"/>
      <c r="M197" s="197"/>
      <c r="N197" s="197"/>
      <c r="O197" s="197"/>
      <c r="P197" s="197"/>
      <c r="Q197" s="197"/>
      <c r="R197" s="197"/>
      <c r="S197" s="197"/>
      <c r="T197" s="197"/>
    </row>
    <row r="198" customFormat="false" ht="12" hidden="false" customHeight="false" outlineLevel="0" collapsed="false">
      <c r="B198" s="197"/>
      <c r="C198" s="130"/>
      <c r="D198" s="197"/>
      <c r="E198" s="197"/>
      <c r="F198" s="197"/>
      <c r="G198" s="197"/>
      <c r="H198" s="197"/>
      <c r="I198" s="197"/>
      <c r="J198" s="197"/>
      <c r="K198" s="197"/>
      <c r="L198" s="197"/>
      <c r="M198" s="197"/>
      <c r="N198" s="197"/>
      <c r="O198" s="197"/>
      <c r="P198" s="197"/>
      <c r="Q198" s="197"/>
      <c r="R198" s="197"/>
      <c r="S198" s="197"/>
      <c r="T198" s="197"/>
    </row>
    <row r="199" customFormat="false" ht="12" hidden="false" customHeight="false" outlineLevel="0" collapsed="false">
      <c r="B199" s="197"/>
      <c r="C199" s="130"/>
      <c r="D199" s="197"/>
      <c r="E199" s="197"/>
      <c r="F199" s="197"/>
      <c r="G199" s="197"/>
      <c r="H199" s="197"/>
      <c r="I199" s="197"/>
      <c r="J199" s="197"/>
      <c r="K199" s="197"/>
      <c r="L199" s="197"/>
      <c r="M199" s="197"/>
      <c r="N199" s="197"/>
      <c r="O199" s="197"/>
      <c r="P199" s="197"/>
      <c r="Q199" s="197"/>
      <c r="R199" s="197"/>
      <c r="S199" s="197"/>
      <c r="T199" s="197"/>
    </row>
    <row r="200" customFormat="false" ht="12" hidden="false" customHeight="false" outlineLevel="0" collapsed="false">
      <c r="B200" s="197"/>
      <c r="C200" s="130"/>
      <c r="D200" s="197"/>
      <c r="E200" s="197"/>
      <c r="F200" s="197"/>
      <c r="G200" s="197"/>
      <c r="H200" s="197"/>
      <c r="I200" s="197"/>
      <c r="J200" s="197"/>
      <c r="K200" s="197"/>
      <c r="L200" s="197"/>
      <c r="M200" s="197"/>
      <c r="N200" s="197"/>
      <c r="O200" s="197"/>
      <c r="P200" s="197"/>
      <c r="Q200" s="197"/>
      <c r="R200" s="197"/>
      <c r="S200" s="197"/>
      <c r="T200" s="197"/>
    </row>
    <row r="201" customFormat="false" ht="12" hidden="false" customHeight="false" outlineLevel="0" collapsed="false">
      <c r="B201" s="197"/>
      <c r="C201" s="130"/>
      <c r="D201" s="197"/>
      <c r="E201" s="197"/>
      <c r="F201" s="197"/>
      <c r="G201" s="197"/>
      <c r="H201" s="197"/>
      <c r="I201" s="197"/>
      <c r="J201" s="197"/>
      <c r="K201" s="197"/>
      <c r="L201" s="197"/>
      <c r="M201" s="197"/>
      <c r="N201" s="197"/>
      <c r="O201" s="197"/>
      <c r="P201" s="197"/>
      <c r="Q201" s="197"/>
      <c r="R201" s="197"/>
      <c r="S201" s="197"/>
      <c r="T201" s="197"/>
    </row>
    <row r="202" customFormat="false" ht="12" hidden="false" customHeight="false" outlineLevel="0" collapsed="false">
      <c r="B202" s="197"/>
      <c r="C202" s="130"/>
      <c r="D202" s="197"/>
      <c r="E202" s="197"/>
      <c r="F202" s="197"/>
      <c r="G202" s="197"/>
      <c r="H202" s="197"/>
      <c r="I202" s="197"/>
      <c r="J202" s="197"/>
      <c r="K202" s="197"/>
      <c r="L202" s="197"/>
      <c r="M202" s="197"/>
      <c r="N202" s="197"/>
      <c r="O202" s="197"/>
      <c r="P202" s="197"/>
      <c r="Q202" s="197"/>
      <c r="R202" s="197"/>
      <c r="S202" s="197"/>
      <c r="T202" s="197"/>
    </row>
    <row r="203" customFormat="false" ht="12" hidden="false" customHeight="false" outlineLevel="0" collapsed="false">
      <c r="B203" s="197"/>
      <c r="C203" s="130"/>
      <c r="D203" s="197"/>
      <c r="E203" s="197"/>
      <c r="F203" s="197"/>
      <c r="G203" s="197"/>
      <c r="H203" s="197"/>
      <c r="I203" s="197"/>
      <c r="J203" s="197"/>
      <c r="K203" s="197"/>
      <c r="L203" s="197"/>
      <c r="M203" s="197"/>
      <c r="N203" s="197"/>
      <c r="O203" s="197"/>
      <c r="P203" s="197"/>
      <c r="Q203" s="197"/>
      <c r="R203" s="197"/>
      <c r="S203" s="197"/>
      <c r="T203" s="197"/>
    </row>
    <row r="204" customFormat="false" ht="12" hidden="false" customHeight="false" outlineLevel="0" collapsed="false">
      <c r="B204" s="197"/>
      <c r="C204" s="130"/>
      <c r="D204" s="197"/>
      <c r="E204" s="197"/>
      <c r="F204" s="197"/>
      <c r="G204" s="197"/>
      <c r="H204" s="197"/>
      <c r="I204" s="197"/>
      <c r="J204" s="197"/>
      <c r="K204" s="197"/>
      <c r="L204" s="197"/>
      <c r="M204" s="197"/>
      <c r="N204" s="197"/>
      <c r="O204" s="197"/>
      <c r="P204" s="197"/>
      <c r="Q204" s="197"/>
      <c r="R204" s="197"/>
      <c r="S204" s="197"/>
      <c r="T204" s="197"/>
    </row>
    <row r="205" customFormat="false" ht="12" hidden="false" customHeight="false" outlineLevel="0" collapsed="false">
      <c r="B205" s="197"/>
      <c r="C205" s="130"/>
      <c r="D205" s="197"/>
      <c r="E205" s="197"/>
      <c r="F205" s="197"/>
      <c r="G205" s="197"/>
      <c r="H205" s="197"/>
      <c r="I205" s="197"/>
      <c r="J205" s="197"/>
      <c r="K205" s="197"/>
      <c r="L205" s="197"/>
      <c r="M205" s="197"/>
      <c r="N205" s="197"/>
      <c r="O205" s="197"/>
      <c r="P205" s="197"/>
      <c r="Q205" s="197"/>
      <c r="R205" s="197"/>
      <c r="S205" s="197"/>
      <c r="T205" s="197"/>
    </row>
    <row r="206" customFormat="false" ht="12" hidden="false" customHeight="false" outlineLevel="0" collapsed="false">
      <c r="B206" s="197"/>
      <c r="C206" s="130"/>
      <c r="D206" s="197"/>
      <c r="E206" s="197"/>
      <c r="F206" s="197"/>
      <c r="G206" s="197"/>
      <c r="H206" s="197"/>
      <c r="I206" s="197"/>
      <c r="J206" s="197"/>
      <c r="K206" s="197"/>
      <c r="L206" s="197"/>
      <c r="M206" s="197"/>
      <c r="N206" s="197"/>
      <c r="O206" s="197"/>
      <c r="P206" s="197"/>
      <c r="Q206" s="197"/>
      <c r="R206" s="197"/>
      <c r="S206" s="197"/>
      <c r="T206" s="197"/>
    </row>
    <row r="207" customFormat="false" ht="12" hidden="false" customHeight="false" outlineLevel="0" collapsed="false">
      <c r="B207" s="197"/>
      <c r="C207" s="130"/>
      <c r="D207" s="197"/>
      <c r="E207" s="197"/>
      <c r="F207" s="197"/>
      <c r="G207" s="197"/>
      <c r="H207" s="197"/>
      <c r="I207" s="197"/>
      <c r="J207" s="197"/>
      <c r="K207" s="197"/>
      <c r="L207" s="197"/>
      <c r="M207" s="197"/>
      <c r="N207" s="197"/>
      <c r="O207" s="197"/>
      <c r="P207" s="197"/>
      <c r="Q207" s="197"/>
      <c r="R207" s="197"/>
      <c r="S207" s="197"/>
      <c r="T207" s="197"/>
    </row>
    <row r="208" customFormat="false" ht="12" hidden="false" customHeight="false" outlineLevel="0" collapsed="false">
      <c r="B208" s="197"/>
      <c r="C208" s="130"/>
      <c r="D208" s="197"/>
      <c r="E208" s="197"/>
      <c r="F208" s="197"/>
      <c r="G208" s="197"/>
      <c r="H208" s="197"/>
      <c r="I208" s="197"/>
      <c r="J208" s="197"/>
      <c r="K208" s="197"/>
      <c r="L208" s="197"/>
      <c r="M208" s="197"/>
      <c r="N208" s="197"/>
      <c r="O208" s="197"/>
      <c r="P208" s="197"/>
      <c r="Q208" s="197"/>
      <c r="R208" s="197"/>
      <c r="S208" s="197"/>
      <c r="T208" s="197"/>
    </row>
    <row r="209" customFormat="false" ht="12" hidden="false" customHeight="false" outlineLevel="0" collapsed="false">
      <c r="B209" s="197"/>
      <c r="C209" s="130"/>
      <c r="D209" s="197"/>
      <c r="E209" s="197"/>
      <c r="F209" s="197"/>
      <c r="G209" s="197"/>
      <c r="H209" s="197"/>
      <c r="I209" s="197"/>
      <c r="J209" s="197"/>
      <c r="K209" s="197"/>
      <c r="L209" s="197"/>
      <c r="M209" s="197"/>
      <c r="N209" s="197"/>
      <c r="O209" s="197"/>
      <c r="P209" s="197"/>
      <c r="Q209" s="197"/>
      <c r="R209" s="197"/>
      <c r="S209" s="197"/>
      <c r="T209" s="197"/>
    </row>
    <row r="210" customFormat="false" ht="12" hidden="false" customHeight="false" outlineLevel="0" collapsed="false">
      <c r="B210" s="197"/>
      <c r="C210" s="130"/>
      <c r="D210" s="197"/>
      <c r="E210" s="197"/>
      <c r="F210" s="197"/>
      <c r="G210" s="197"/>
      <c r="H210" s="197"/>
      <c r="I210" s="197"/>
      <c r="J210" s="197"/>
      <c r="K210" s="197"/>
      <c r="L210" s="197"/>
      <c r="M210" s="197"/>
      <c r="N210" s="197"/>
      <c r="O210" s="197"/>
      <c r="P210" s="197"/>
      <c r="Q210" s="197"/>
      <c r="R210" s="197"/>
      <c r="S210" s="197"/>
      <c r="T210" s="197"/>
    </row>
    <row r="211" customFormat="false" ht="12" hidden="false" customHeight="false" outlineLevel="0" collapsed="false">
      <c r="B211" s="197"/>
      <c r="C211" s="130"/>
      <c r="D211" s="197"/>
      <c r="E211" s="197"/>
      <c r="F211" s="197"/>
      <c r="G211" s="197"/>
      <c r="H211" s="197"/>
      <c r="I211" s="197"/>
      <c r="J211" s="197"/>
      <c r="K211" s="197"/>
      <c r="L211" s="197"/>
      <c r="M211" s="197"/>
      <c r="N211" s="197"/>
      <c r="O211" s="197"/>
      <c r="P211" s="197"/>
      <c r="Q211" s="197"/>
      <c r="R211" s="197"/>
      <c r="S211" s="197"/>
      <c r="T211" s="197"/>
    </row>
    <row r="212" customFormat="false" ht="12" hidden="false" customHeight="false" outlineLevel="0" collapsed="false">
      <c r="B212" s="197"/>
      <c r="C212" s="130"/>
      <c r="D212" s="197"/>
      <c r="E212" s="197"/>
      <c r="F212" s="197"/>
      <c r="G212" s="197"/>
      <c r="H212" s="197"/>
      <c r="I212" s="197"/>
      <c r="J212" s="197"/>
      <c r="K212" s="197"/>
      <c r="L212" s="197"/>
      <c r="M212" s="197"/>
      <c r="N212" s="197"/>
      <c r="O212" s="197"/>
      <c r="P212" s="197"/>
      <c r="Q212" s="197"/>
      <c r="R212" s="197"/>
      <c r="S212" s="197"/>
      <c r="T212" s="197"/>
    </row>
    <row r="213" customFormat="false" ht="12" hidden="false" customHeight="false" outlineLevel="0" collapsed="false">
      <c r="B213" s="197"/>
      <c r="C213" s="130"/>
      <c r="D213" s="197"/>
      <c r="E213" s="197"/>
      <c r="F213" s="197"/>
      <c r="G213" s="197"/>
      <c r="H213" s="197"/>
      <c r="I213" s="197"/>
      <c r="J213" s="197"/>
      <c r="K213" s="197"/>
      <c r="L213" s="197"/>
      <c r="M213" s="197"/>
      <c r="N213" s="197"/>
      <c r="O213" s="197"/>
      <c r="P213" s="197"/>
      <c r="Q213" s="197"/>
      <c r="R213" s="197"/>
      <c r="S213" s="197"/>
      <c r="T213" s="197"/>
    </row>
    <row r="214" customFormat="false" ht="12" hidden="false" customHeight="false" outlineLevel="0" collapsed="false">
      <c r="B214" s="197"/>
      <c r="C214" s="130"/>
      <c r="D214" s="197"/>
      <c r="E214" s="197"/>
      <c r="F214" s="197"/>
      <c r="G214" s="197"/>
      <c r="H214" s="197"/>
      <c r="I214" s="197"/>
      <c r="J214" s="197"/>
      <c r="K214" s="197"/>
      <c r="L214" s="197"/>
      <c r="M214" s="197"/>
      <c r="N214" s="197"/>
      <c r="O214" s="197"/>
      <c r="P214" s="197"/>
      <c r="Q214" s="197"/>
      <c r="R214" s="197"/>
      <c r="S214" s="197"/>
      <c r="T214" s="197"/>
    </row>
    <row r="215" customFormat="false" ht="12" hidden="false" customHeight="false" outlineLevel="0" collapsed="false">
      <c r="B215" s="197"/>
      <c r="C215" s="130"/>
      <c r="D215" s="197"/>
      <c r="E215" s="197"/>
      <c r="F215" s="197"/>
      <c r="G215" s="197"/>
      <c r="H215" s="197"/>
      <c r="I215" s="197"/>
      <c r="J215" s="197"/>
      <c r="K215" s="197"/>
      <c r="L215" s="197"/>
      <c r="M215" s="197"/>
      <c r="N215" s="197"/>
      <c r="O215" s="197"/>
      <c r="P215" s="197"/>
      <c r="Q215" s="197"/>
      <c r="R215" s="197"/>
      <c r="S215" s="197"/>
      <c r="T215" s="197"/>
    </row>
    <row r="216" customFormat="false" ht="12" hidden="false" customHeight="false" outlineLevel="0" collapsed="false">
      <c r="B216" s="197"/>
      <c r="C216" s="130"/>
      <c r="D216" s="197"/>
      <c r="E216" s="197"/>
      <c r="F216" s="197"/>
      <c r="G216" s="197"/>
      <c r="H216" s="197"/>
      <c r="I216" s="197"/>
      <c r="J216" s="197"/>
      <c r="K216" s="197"/>
      <c r="L216" s="197"/>
      <c r="M216" s="197"/>
      <c r="N216" s="197"/>
      <c r="O216" s="197"/>
      <c r="P216" s="197"/>
      <c r="Q216" s="197"/>
      <c r="R216" s="197"/>
      <c r="S216" s="197"/>
      <c r="T216" s="197"/>
    </row>
    <row r="217" customFormat="false" ht="12" hidden="false" customHeight="false" outlineLevel="0" collapsed="false">
      <c r="B217" s="197"/>
      <c r="C217" s="130"/>
      <c r="D217" s="197"/>
      <c r="E217" s="197"/>
      <c r="F217" s="197"/>
      <c r="G217" s="197"/>
      <c r="H217" s="197"/>
      <c r="I217" s="197"/>
      <c r="J217" s="197"/>
      <c r="K217" s="197"/>
      <c r="L217" s="197"/>
      <c r="M217" s="197"/>
      <c r="N217" s="197"/>
      <c r="O217" s="197"/>
      <c r="P217" s="197"/>
      <c r="Q217" s="197"/>
      <c r="R217" s="197"/>
      <c r="S217" s="197"/>
      <c r="T217" s="197"/>
    </row>
    <row r="218" customFormat="false" ht="12" hidden="false" customHeight="false" outlineLevel="0" collapsed="false">
      <c r="B218" s="197"/>
      <c r="C218" s="130"/>
      <c r="D218" s="197"/>
      <c r="E218" s="197"/>
      <c r="F218" s="197"/>
      <c r="G218" s="197"/>
      <c r="H218" s="197"/>
      <c r="I218" s="197"/>
      <c r="J218" s="197"/>
      <c r="K218" s="197"/>
      <c r="L218" s="197"/>
      <c r="M218" s="197"/>
      <c r="N218" s="197"/>
      <c r="O218" s="197"/>
      <c r="P218" s="197"/>
      <c r="Q218" s="197"/>
      <c r="R218" s="197"/>
      <c r="S218" s="197"/>
      <c r="T218" s="197"/>
    </row>
    <row r="219" customFormat="false" ht="12" hidden="false" customHeight="false" outlineLevel="0" collapsed="false">
      <c r="B219" s="197"/>
      <c r="C219" s="130"/>
      <c r="D219" s="197"/>
      <c r="E219" s="197"/>
      <c r="F219" s="197"/>
      <c r="G219" s="197"/>
      <c r="H219" s="197"/>
      <c r="I219" s="197"/>
      <c r="J219" s="197"/>
      <c r="K219" s="197"/>
      <c r="L219" s="197"/>
      <c r="M219" s="197"/>
      <c r="N219" s="197"/>
      <c r="O219" s="197"/>
      <c r="P219" s="197"/>
      <c r="Q219" s="197"/>
      <c r="R219" s="197"/>
      <c r="S219" s="197"/>
      <c r="T219" s="197"/>
    </row>
    <row r="220" customFormat="false" ht="12" hidden="false" customHeight="false" outlineLevel="0" collapsed="false">
      <c r="B220" s="197"/>
      <c r="C220" s="130"/>
      <c r="D220" s="197"/>
      <c r="E220" s="197"/>
      <c r="F220" s="197"/>
      <c r="G220" s="197"/>
      <c r="H220" s="197"/>
      <c r="I220" s="197"/>
      <c r="J220" s="197"/>
      <c r="K220" s="197"/>
      <c r="L220" s="197"/>
      <c r="M220" s="197"/>
      <c r="N220" s="197"/>
      <c r="O220" s="197"/>
      <c r="P220" s="197"/>
      <c r="Q220" s="197"/>
      <c r="R220" s="197"/>
      <c r="S220" s="197"/>
      <c r="T220" s="197"/>
    </row>
    <row r="221" customFormat="false" ht="12" hidden="false" customHeight="false" outlineLevel="0" collapsed="false">
      <c r="B221" s="197"/>
      <c r="C221" s="130"/>
      <c r="D221" s="197"/>
      <c r="E221" s="197"/>
      <c r="F221" s="197"/>
      <c r="G221" s="197"/>
      <c r="H221" s="197"/>
      <c r="I221" s="197"/>
      <c r="J221" s="197"/>
      <c r="K221" s="197"/>
      <c r="L221" s="197"/>
      <c r="M221" s="197"/>
      <c r="N221" s="197"/>
      <c r="O221" s="197"/>
      <c r="P221" s="197"/>
      <c r="Q221" s="197"/>
      <c r="R221" s="197"/>
      <c r="S221" s="197"/>
      <c r="T221" s="197"/>
    </row>
    <row r="222" customFormat="false" ht="12" hidden="false" customHeight="false" outlineLevel="0" collapsed="false">
      <c r="B222" s="197"/>
      <c r="C222" s="130"/>
      <c r="D222" s="197"/>
      <c r="E222" s="197"/>
      <c r="F222" s="197"/>
      <c r="G222" s="197"/>
      <c r="H222" s="197"/>
      <c r="I222" s="197"/>
      <c r="J222" s="197"/>
      <c r="K222" s="197"/>
      <c r="L222" s="197"/>
      <c r="M222" s="197"/>
      <c r="N222" s="197"/>
      <c r="O222" s="197"/>
      <c r="P222" s="197"/>
      <c r="Q222" s="197"/>
      <c r="R222" s="197"/>
      <c r="S222" s="197"/>
      <c r="T222" s="197"/>
    </row>
    <row r="223" customFormat="false" ht="12" hidden="false" customHeight="false" outlineLevel="0" collapsed="false">
      <c r="B223" s="197"/>
      <c r="C223" s="130"/>
      <c r="D223" s="197"/>
      <c r="E223" s="197"/>
      <c r="F223" s="197"/>
      <c r="G223" s="197"/>
      <c r="H223" s="197"/>
      <c r="I223" s="197"/>
      <c r="J223" s="197"/>
      <c r="K223" s="197"/>
      <c r="L223" s="197"/>
      <c r="M223" s="197"/>
      <c r="N223" s="197"/>
      <c r="O223" s="197"/>
      <c r="P223" s="197"/>
      <c r="Q223" s="197"/>
      <c r="R223" s="197"/>
      <c r="S223" s="197"/>
      <c r="T223" s="197"/>
    </row>
    <row r="224" customFormat="false" ht="12" hidden="false" customHeight="false" outlineLevel="0" collapsed="false">
      <c r="B224" s="197"/>
      <c r="C224" s="130"/>
      <c r="D224" s="197"/>
      <c r="E224" s="197"/>
      <c r="F224" s="197"/>
      <c r="G224" s="197"/>
      <c r="H224" s="197"/>
      <c r="I224" s="197"/>
      <c r="J224" s="197"/>
      <c r="K224" s="197"/>
      <c r="L224" s="197"/>
      <c r="M224" s="197"/>
      <c r="N224" s="197"/>
      <c r="O224" s="197"/>
      <c r="P224" s="197"/>
      <c r="Q224" s="197"/>
      <c r="R224" s="197"/>
      <c r="S224" s="197"/>
      <c r="T224" s="197"/>
    </row>
    <row r="225" customFormat="false" ht="12" hidden="false" customHeight="false" outlineLevel="0" collapsed="false">
      <c r="B225" s="197"/>
      <c r="C225" s="130"/>
      <c r="D225" s="197"/>
      <c r="E225" s="197"/>
      <c r="F225" s="197"/>
      <c r="G225" s="197"/>
      <c r="H225" s="197"/>
      <c r="I225" s="197"/>
      <c r="J225" s="197"/>
      <c r="K225" s="197"/>
      <c r="L225" s="197"/>
      <c r="M225" s="197"/>
      <c r="N225" s="197"/>
      <c r="O225" s="197"/>
      <c r="P225" s="197"/>
      <c r="Q225" s="197"/>
      <c r="R225" s="197"/>
      <c r="S225" s="197"/>
      <c r="T225" s="197"/>
    </row>
    <row r="226" customFormat="false" ht="12" hidden="false" customHeight="false" outlineLevel="0" collapsed="false">
      <c r="B226" s="197"/>
      <c r="C226" s="130"/>
      <c r="D226" s="197"/>
      <c r="E226" s="197"/>
      <c r="F226" s="197"/>
      <c r="G226" s="197"/>
      <c r="H226" s="197"/>
      <c r="I226" s="197"/>
      <c r="J226" s="197"/>
      <c r="K226" s="197"/>
      <c r="L226" s="197"/>
      <c r="M226" s="197"/>
      <c r="N226" s="197"/>
      <c r="O226" s="197"/>
      <c r="P226" s="197"/>
      <c r="Q226" s="197"/>
      <c r="R226" s="197"/>
      <c r="S226" s="197"/>
      <c r="T226" s="197"/>
    </row>
    <row r="227" customFormat="false" ht="12" hidden="false" customHeight="false" outlineLevel="0" collapsed="false">
      <c r="B227" s="197"/>
      <c r="C227" s="130"/>
      <c r="D227" s="197"/>
      <c r="E227" s="197"/>
      <c r="F227" s="197"/>
      <c r="G227" s="197"/>
      <c r="H227" s="197"/>
      <c r="I227" s="197"/>
      <c r="J227" s="197"/>
      <c r="K227" s="197"/>
      <c r="L227" s="197"/>
      <c r="M227" s="197"/>
      <c r="N227" s="197"/>
      <c r="O227" s="197"/>
      <c r="P227" s="197"/>
      <c r="Q227" s="197"/>
      <c r="R227" s="197"/>
      <c r="S227" s="197"/>
      <c r="T227" s="197"/>
    </row>
    <row r="228" customFormat="false" ht="12" hidden="false" customHeight="false" outlineLevel="0" collapsed="false">
      <c r="B228" s="197"/>
      <c r="C228" s="130"/>
      <c r="D228" s="197"/>
      <c r="E228" s="197"/>
      <c r="F228" s="197"/>
      <c r="G228" s="197"/>
      <c r="H228" s="197"/>
      <c r="I228" s="197"/>
      <c r="J228" s="197"/>
      <c r="K228" s="197"/>
      <c r="L228" s="197"/>
      <c r="M228" s="197"/>
      <c r="N228" s="197"/>
      <c r="O228" s="197"/>
      <c r="P228" s="197"/>
      <c r="Q228" s="197"/>
      <c r="R228" s="197"/>
      <c r="S228" s="197"/>
      <c r="T228" s="197"/>
    </row>
    <row r="229" customFormat="false" ht="12" hidden="false" customHeight="false" outlineLevel="0" collapsed="false">
      <c r="B229" s="197"/>
      <c r="C229" s="130"/>
      <c r="D229" s="197"/>
      <c r="E229" s="197"/>
      <c r="F229" s="197"/>
      <c r="G229" s="197"/>
      <c r="H229" s="197"/>
      <c r="I229" s="197"/>
      <c r="J229" s="197"/>
      <c r="K229" s="197"/>
      <c r="L229" s="197"/>
      <c r="M229" s="197"/>
      <c r="N229" s="197"/>
      <c r="O229" s="197"/>
      <c r="P229" s="197"/>
      <c r="Q229" s="197"/>
      <c r="R229" s="197"/>
      <c r="S229" s="197"/>
      <c r="T229" s="197"/>
    </row>
    <row r="230" customFormat="false" ht="12" hidden="false" customHeight="false" outlineLevel="0" collapsed="false">
      <c r="B230" s="197"/>
      <c r="C230" s="130"/>
      <c r="D230" s="197"/>
      <c r="E230" s="197"/>
      <c r="F230" s="197"/>
      <c r="G230" s="197"/>
      <c r="H230" s="197"/>
      <c r="I230" s="197"/>
      <c r="J230" s="197"/>
      <c r="K230" s="197"/>
      <c r="L230" s="197"/>
      <c r="M230" s="197"/>
      <c r="N230" s="197"/>
      <c r="O230" s="197"/>
      <c r="P230" s="197"/>
      <c r="Q230" s="197"/>
      <c r="R230" s="197"/>
      <c r="S230" s="197"/>
      <c r="T230" s="197"/>
    </row>
    <row r="231" customFormat="false" ht="12" hidden="false" customHeight="false" outlineLevel="0" collapsed="false">
      <c r="B231" s="197"/>
      <c r="C231" s="130"/>
      <c r="D231" s="197"/>
      <c r="E231" s="197"/>
      <c r="F231" s="197"/>
      <c r="G231" s="197"/>
      <c r="H231" s="197"/>
      <c r="I231" s="197"/>
      <c r="J231" s="197"/>
      <c r="K231" s="197"/>
      <c r="L231" s="197"/>
      <c r="M231" s="197"/>
      <c r="N231" s="197"/>
      <c r="O231" s="197"/>
      <c r="P231" s="197"/>
      <c r="Q231" s="197"/>
      <c r="R231" s="197"/>
      <c r="S231" s="197"/>
      <c r="T231" s="197"/>
    </row>
    <row r="232" customFormat="false" ht="12" hidden="false" customHeight="false" outlineLevel="0" collapsed="false">
      <c r="B232" s="197"/>
      <c r="C232" s="130"/>
      <c r="D232" s="197"/>
      <c r="E232" s="197"/>
      <c r="F232" s="197"/>
      <c r="G232" s="197"/>
      <c r="H232" s="197"/>
      <c r="I232" s="197"/>
      <c r="J232" s="197"/>
      <c r="K232" s="197"/>
      <c r="L232" s="197"/>
      <c r="M232" s="197"/>
      <c r="N232" s="197"/>
      <c r="O232" s="197"/>
      <c r="P232" s="197"/>
      <c r="Q232" s="197"/>
      <c r="R232" s="197"/>
      <c r="S232" s="197"/>
      <c r="T232" s="197"/>
    </row>
    <row r="233" customFormat="false" ht="12" hidden="false" customHeight="false" outlineLevel="0" collapsed="false">
      <c r="B233" s="197"/>
      <c r="C233" s="130"/>
      <c r="D233" s="197"/>
      <c r="E233" s="197"/>
      <c r="F233" s="197"/>
      <c r="G233" s="197"/>
      <c r="H233" s="197"/>
      <c r="I233" s="197"/>
      <c r="J233" s="197"/>
      <c r="K233" s="197"/>
      <c r="L233" s="197"/>
      <c r="M233" s="197"/>
      <c r="N233" s="197"/>
      <c r="O233" s="197"/>
      <c r="P233" s="197"/>
      <c r="Q233" s="197"/>
      <c r="R233" s="197"/>
      <c r="S233" s="197"/>
      <c r="T233" s="197"/>
    </row>
    <row r="234" customFormat="false" ht="12" hidden="false" customHeight="false" outlineLevel="0" collapsed="false">
      <c r="B234" s="197"/>
      <c r="C234" s="130"/>
      <c r="D234" s="197"/>
      <c r="E234" s="197"/>
      <c r="F234" s="197"/>
      <c r="G234" s="197"/>
      <c r="H234" s="197"/>
      <c r="I234" s="197"/>
      <c r="J234" s="197"/>
      <c r="K234" s="197"/>
      <c r="L234" s="197"/>
      <c r="M234" s="197"/>
      <c r="N234" s="197"/>
      <c r="O234" s="197"/>
      <c r="P234" s="197"/>
      <c r="Q234" s="197"/>
      <c r="R234" s="197"/>
      <c r="S234" s="197"/>
      <c r="T234" s="197"/>
    </row>
    <row r="235" customFormat="false" ht="12" hidden="false" customHeight="false" outlineLevel="0" collapsed="false">
      <c r="B235" s="197"/>
      <c r="C235" s="130"/>
      <c r="D235" s="197"/>
      <c r="E235" s="197"/>
      <c r="F235" s="197"/>
      <c r="G235" s="197"/>
      <c r="H235" s="197"/>
      <c r="I235" s="197"/>
      <c r="J235" s="197"/>
      <c r="K235" s="197"/>
      <c r="L235" s="197"/>
      <c r="M235" s="197"/>
      <c r="N235" s="197"/>
      <c r="O235" s="197"/>
      <c r="P235" s="197"/>
      <c r="Q235" s="197"/>
      <c r="R235" s="197"/>
      <c r="S235" s="197"/>
      <c r="T235" s="197"/>
    </row>
    <row r="236" customFormat="false" ht="12" hidden="false" customHeight="false" outlineLevel="0" collapsed="false">
      <c r="B236" s="197"/>
      <c r="C236" s="130"/>
      <c r="D236" s="197"/>
      <c r="E236" s="197"/>
      <c r="F236" s="197"/>
      <c r="G236" s="197"/>
      <c r="H236" s="197"/>
      <c r="I236" s="197"/>
      <c r="J236" s="197"/>
      <c r="K236" s="197"/>
      <c r="L236" s="197"/>
      <c r="M236" s="197"/>
      <c r="N236" s="197"/>
      <c r="O236" s="197"/>
      <c r="P236" s="197"/>
      <c r="Q236" s="197"/>
      <c r="R236" s="197"/>
      <c r="S236" s="197"/>
      <c r="T236" s="197"/>
    </row>
    <row r="237" customFormat="false" ht="12" hidden="false" customHeight="false" outlineLevel="0" collapsed="false">
      <c r="B237" s="197"/>
      <c r="C237" s="130"/>
      <c r="D237" s="197"/>
      <c r="E237" s="197"/>
      <c r="F237" s="197"/>
      <c r="G237" s="197"/>
      <c r="H237" s="197"/>
      <c r="I237" s="197"/>
      <c r="J237" s="197"/>
      <c r="K237" s="197"/>
      <c r="L237" s="197"/>
      <c r="M237" s="197"/>
      <c r="N237" s="197"/>
      <c r="O237" s="197"/>
      <c r="P237" s="197"/>
      <c r="Q237" s="197"/>
      <c r="R237" s="197"/>
      <c r="S237" s="197"/>
      <c r="T237" s="197"/>
    </row>
    <row r="238" customFormat="false" ht="12" hidden="false" customHeight="false" outlineLevel="0" collapsed="false">
      <c r="B238" s="197"/>
      <c r="C238" s="130"/>
      <c r="D238" s="197"/>
      <c r="E238" s="197"/>
      <c r="F238" s="197"/>
      <c r="G238" s="197"/>
      <c r="H238" s="197"/>
      <c r="I238" s="197"/>
      <c r="J238" s="197"/>
      <c r="K238" s="197"/>
      <c r="L238" s="197"/>
      <c r="M238" s="197"/>
      <c r="N238" s="197"/>
      <c r="O238" s="197"/>
      <c r="P238" s="197"/>
      <c r="Q238" s="197"/>
      <c r="R238" s="197"/>
      <c r="S238" s="197"/>
      <c r="T238" s="197"/>
    </row>
    <row r="239" customFormat="false" ht="12" hidden="false" customHeight="false" outlineLevel="0" collapsed="false">
      <c r="B239" s="197"/>
      <c r="C239" s="130"/>
      <c r="D239" s="197"/>
      <c r="E239" s="197"/>
      <c r="F239" s="197"/>
      <c r="G239" s="197"/>
      <c r="H239" s="197"/>
      <c r="I239" s="197"/>
      <c r="J239" s="197"/>
      <c r="K239" s="197"/>
      <c r="L239" s="197"/>
      <c r="M239" s="197"/>
      <c r="N239" s="197"/>
      <c r="O239" s="197"/>
      <c r="P239" s="197"/>
      <c r="Q239" s="197"/>
      <c r="R239" s="197"/>
      <c r="S239" s="197"/>
      <c r="T239" s="197"/>
    </row>
    <row r="240" customFormat="false" ht="12" hidden="false" customHeight="false" outlineLevel="0" collapsed="false">
      <c r="B240" s="197"/>
      <c r="C240" s="130"/>
      <c r="D240" s="197"/>
      <c r="E240" s="197"/>
      <c r="F240" s="197"/>
      <c r="G240" s="197"/>
      <c r="H240" s="197"/>
      <c r="I240" s="197"/>
      <c r="J240" s="197"/>
      <c r="K240" s="197"/>
      <c r="L240" s="197"/>
      <c r="M240" s="197"/>
      <c r="N240" s="197"/>
      <c r="O240" s="197"/>
      <c r="P240" s="197"/>
      <c r="Q240" s="197"/>
      <c r="R240" s="197"/>
      <c r="S240" s="197"/>
      <c r="T240" s="197"/>
    </row>
    <row r="241" customFormat="false" ht="12" hidden="false" customHeight="false" outlineLevel="0" collapsed="false">
      <c r="B241" s="197"/>
      <c r="C241" s="130"/>
      <c r="D241" s="197"/>
      <c r="E241" s="197"/>
      <c r="F241" s="197"/>
      <c r="G241" s="197"/>
      <c r="H241" s="197"/>
      <c r="I241" s="197"/>
      <c r="J241" s="197"/>
      <c r="K241" s="197"/>
      <c r="L241" s="197"/>
      <c r="M241" s="197"/>
      <c r="N241" s="197"/>
      <c r="O241" s="197"/>
      <c r="P241" s="197"/>
      <c r="Q241" s="197"/>
      <c r="R241" s="197"/>
      <c r="S241" s="197"/>
      <c r="T241" s="197"/>
    </row>
    <row r="242" customFormat="false" ht="12" hidden="false" customHeight="false" outlineLevel="0" collapsed="false">
      <c r="B242" s="197"/>
      <c r="C242" s="130"/>
      <c r="D242" s="197"/>
      <c r="E242" s="197"/>
      <c r="F242" s="197"/>
      <c r="G242" s="197"/>
      <c r="H242" s="197"/>
      <c r="I242" s="197"/>
      <c r="J242" s="197"/>
      <c r="K242" s="197"/>
      <c r="L242" s="197"/>
      <c r="M242" s="197"/>
      <c r="N242" s="197"/>
      <c r="O242" s="197"/>
      <c r="P242" s="197"/>
      <c r="Q242" s="197"/>
      <c r="R242" s="197"/>
      <c r="S242" s="197"/>
      <c r="T242" s="197"/>
    </row>
    <row r="243" customFormat="false" ht="12" hidden="false" customHeight="false" outlineLevel="0" collapsed="false">
      <c r="B243" s="197"/>
      <c r="C243" s="130"/>
      <c r="D243" s="197"/>
      <c r="E243" s="197"/>
      <c r="F243" s="197"/>
      <c r="G243" s="197"/>
      <c r="H243" s="197"/>
      <c r="I243" s="197"/>
      <c r="J243" s="197"/>
      <c r="K243" s="197"/>
      <c r="L243" s="197"/>
      <c r="M243" s="197"/>
      <c r="N243" s="197"/>
      <c r="O243" s="197"/>
      <c r="P243" s="197"/>
      <c r="Q243" s="197"/>
      <c r="R243" s="197"/>
      <c r="S243" s="197"/>
      <c r="T243" s="197"/>
    </row>
    <row r="244" customFormat="false" ht="12" hidden="false" customHeight="false" outlineLevel="0" collapsed="false">
      <c r="B244" s="197"/>
      <c r="C244" s="130"/>
      <c r="D244" s="197"/>
      <c r="E244" s="197"/>
      <c r="F244" s="197"/>
      <c r="G244" s="197"/>
      <c r="H244" s="197"/>
      <c r="I244" s="197"/>
      <c r="J244" s="197"/>
      <c r="K244" s="197"/>
      <c r="L244" s="197"/>
      <c r="M244" s="197"/>
      <c r="N244" s="197"/>
      <c r="O244" s="197"/>
      <c r="P244" s="197"/>
      <c r="Q244" s="197"/>
      <c r="R244" s="197"/>
      <c r="S244" s="197"/>
      <c r="T244" s="197"/>
    </row>
    <row r="245" customFormat="false" ht="12" hidden="false" customHeight="false" outlineLevel="0" collapsed="false">
      <c r="B245" s="197"/>
      <c r="C245" s="130"/>
      <c r="D245" s="197"/>
      <c r="E245" s="197"/>
      <c r="F245" s="197"/>
      <c r="G245" s="197"/>
      <c r="H245" s="197"/>
      <c r="I245" s="197"/>
      <c r="J245" s="197"/>
      <c r="K245" s="197"/>
      <c r="L245" s="197"/>
      <c r="M245" s="197"/>
      <c r="N245" s="197"/>
      <c r="O245" s="197"/>
      <c r="P245" s="197"/>
      <c r="Q245" s="197"/>
      <c r="R245" s="197"/>
      <c r="S245" s="197"/>
      <c r="T245" s="197"/>
    </row>
    <row r="246" customFormat="false" ht="12" hidden="false" customHeight="false" outlineLevel="0" collapsed="false">
      <c r="B246" s="197"/>
      <c r="C246" s="130"/>
      <c r="D246" s="197"/>
      <c r="E246" s="197"/>
      <c r="F246" s="197"/>
      <c r="G246" s="197"/>
      <c r="H246" s="197"/>
      <c r="I246" s="197"/>
      <c r="J246" s="197"/>
      <c r="K246" s="197"/>
      <c r="L246" s="197"/>
      <c r="M246" s="197"/>
      <c r="N246" s="197"/>
      <c r="O246" s="197"/>
      <c r="P246" s="197"/>
      <c r="Q246" s="197"/>
      <c r="R246" s="197"/>
      <c r="S246" s="197"/>
      <c r="T246" s="197"/>
    </row>
    <row r="247" customFormat="false" ht="12" hidden="false" customHeight="false" outlineLevel="0" collapsed="false">
      <c r="B247" s="197"/>
      <c r="C247" s="130"/>
      <c r="D247" s="197"/>
      <c r="E247" s="197"/>
      <c r="F247" s="197"/>
      <c r="G247" s="197"/>
      <c r="H247" s="197"/>
      <c r="I247" s="197"/>
      <c r="J247" s="197"/>
      <c r="K247" s="197"/>
      <c r="L247" s="197"/>
      <c r="M247" s="197"/>
      <c r="N247" s="197"/>
      <c r="O247" s="197"/>
      <c r="P247" s="197"/>
      <c r="Q247" s="197"/>
      <c r="R247" s="197"/>
      <c r="S247" s="197"/>
      <c r="T247" s="197"/>
    </row>
    <row r="248" customFormat="false" ht="12" hidden="false" customHeight="false" outlineLevel="0" collapsed="false">
      <c r="B248" s="197"/>
      <c r="C248" s="130"/>
      <c r="D248" s="197"/>
      <c r="E248" s="197"/>
      <c r="F248" s="197"/>
      <c r="G248" s="197"/>
      <c r="H248" s="197"/>
      <c r="I248" s="197"/>
      <c r="J248" s="197"/>
      <c r="K248" s="197"/>
      <c r="L248" s="197"/>
      <c r="M248" s="197"/>
      <c r="N248" s="197"/>
      <c r="O248" s="197"/>
      <c r="P248" s="197"/>
      <c r="Q248" s="197"/>
      <c r="R248" s="197"/>
      <c r="S248" s="197"/>
      <c r="T248" s="197"/>
    </row>
    <row r="249" customFormat="false" ht="12" hidden="false" customHeight="false" outlineLevel="0" collapsed="false">
      <c r="B249" s="197"/>
      <c r="C249" s="130"/>
      <c r="D249" s="197"/>
      <c r="E249" s="197"/>
      <c r="F249" s="197"/>
      <c r="G249" s="197"/>
      <c r="H249" s="197"/>
      <c r="I249" s="197"/>
      <c r="J249" s="197"/>
      <c r="K249" s="197"/>
      <c r="L249" s="197"/>
      <c r="M249" s="197"/>
      <c r="N249" s="197"/>
      <c r="O249" s="197"/>
      <c r="P249" s="197"/>
      <c r="Q249" s="197"/>
      <c r="R249" s="197"/>
      <c r="S249" s="197"/>
      <c r="T249" s="197"/>
    </row>
    <row r="250" customFormat="false" ht="12" hidden="false" customHeight="false" outlineLevel="0" collapsed="false">
      <c r="B250" s="197"/>
      <c r="C250" s="130"/>
      <c r="D250" s="197"/>
      <c r="E250" s="197"/>
      <c r="F250" s="197"/>
      <c r="G250" s="197"/>
      <c r="H250" s="197"/>
      <c r="I250" s="197"/>
      <c r="J250" s="197"/>
      <c r="K250" s="197"/>
      <c r="L250" s="197"/>
      <c r="M250" s="197"/>
      <c r="N250" s="197"/>
      <c r="O250" s="197"/>
      <c r="P250" s="197"/>
      <c r="Q250" s="197"/>
      <c r="R250" s="197"/>
      <c r="S250" s="197"/>
      <c r="T250" s="197"/>
    </row>
    <row r="251" customFormat="false" ht="12" hidden="false" customHeight="false" outlineLevel="0" collapsed="false">
      <c r="B251" s="197"/>
      <c r="C251" s="130"/>
      <c r="D251" s="197"/>
      <c r="E251" s="197"/>
      <c r="F251" s="197"/>
      <c r="G251" s="197"/>
      <c r="H251" s="197"/>
      <c r="I251" s="197"/>
      <c r="J251" s="197"/>
      <c r="K251" s="197"/>
      <c r="L251" s="197"/>
      <c r="M251" s="197"/>
      <c r="N251" s="197"/>
      <c r="O251" s="197"/>
      <c r="P251" s="197"/>
      <c r="Q251" s="197"/>
      <c r="R251" s="197"/>
      <c r="S251" s="197"/>
      <c r="T251" s="197"/>
    </row>
    <row r="252" customFormat="false" ht="12" hidden="false" customHeight="false" outlineLevel="0" collapsed="false">
      <c r="B252" s="197"/>
      <c r="C252" s="130"/>
      <c r="D252" s="197"/>
      <c r="E252" s="197"/>
      <c r="F252" s="197"/>
      <c r="G252" s="197"/>
      <c r="H252" s="197"/>
      <c r="I252" s="197"/>
      <c r="J252" s="197"/>
      <c r="K252" s="197"/>
      <c r="L252" s="197"/>
      <c r="M252" s="197"/>
      <c r="N252" s="197"/>
      <c r="O252" s="197"/>
      <c r="P252" s="197"/>
      <c r="Q252" s="197"/>
      <c r="R252" s="197"/>
      <c r="S252" s="197"/>
      <c r="T252" s="197"/>
    </row>
    <row r="253" customFormat="false" ht="12" hidden="false" customHeight="false" outlineLevel="0" collapsed="false">
      <c r="B253" s="197"/>
      <c r="C253" s="130"/>
      <c r="D253" s="197"/>
      <c r="E253" s="197"/>
      <c r="F253" s="197"/>
      <c r="G253" s="197"/>
      <c r="H253" s="197"/>
      <c r="I253" s="197"/>
      <c r="J253" s="197"/>
      <c r="K253" s="197"/>
      <c r="L253" s="197"/>
      <c r="M253" s="197"/>
      <c r="N253" s="197"/>
      <c r="O253" s="197"/>
      <c r="P253" s="197"/>
      <c r="Q253" s="197"/>
      <c r="R253" s="197"/>
      <c r="S253" s="197"/>
      <c r="T253" s="197"/>
    </row>
    <row r="254" customFormat="false" ht="12" hidden="false" customHeight="false" outlineLevel="0" collapsed="false">
      <c r="B254" s="197"/>
      <c r="C254" s="130"/>
      <c r="D254" s="197"/>
      <c r="E254" s="197"/>
      <c r="F254" s="197"/>
      <c r="G254" s="197"/>
      <c r="H254" s="197"/>
      <c r="I254" s="197"/>
      <c r="J254" s="197"/>
      <c r="K254" s="197"/>
      <c r="L254" s="197"/>
      <c r="M254" s="197"/>
      <c r="N254" s="197"/>
      <c r="O254" s="197"/>
      <c r="P254" s="197"/>
      <c r="Q254" s="197"/>
      <c r="R254" s="197"/>
      <c r="S254" s="197"/>
      <c r="T254" s="197"/>
    </row>
    <row r="255" customFormat="false" ht="12" hidden="false" customHeight="false" outlineLevel="0" collapsed="false">
      <c r="B255" s="197"/>
      <c r="C255" s="130"/>
      <c r="D255" s="197"/>
      <c r="E255" s="197"/>
      <c r="F255" s="197"/>
      <c r="G255" s="197"/>
      <c r="H255" s="197"/>
      <c r="I255" s="197"/>
      <c r="J255" s="197"/>
      <c r="K255" s="197"/>
      <c r="L255" s="197"/>
      <c r="M255" s="197"/>
      <c r="N255" s="197"/>
      <c r="O255" s="197"/>
      <c r="P255" s="197"/>
      <c r="Q255" s="197"/>
      <c r="R255" s="197"/>
      <c r="S255" s="197"/>
      <c r="T255" s="197"/>
    </row>
    <row r="256" customFormat="false" ht="12" hidden="false" customHeight="false" outlineLevel="0" collapsed="false">
      <c r="B256" s="197"/>
      <c r="C256" s="130"/>
      <c r="D256" s="197"/>
      <c r="E256" s="197"/>
      <c r="F256" s="197"/>
      <c r="G256" s="197"/>
      <c r="H256" s="197"/>
      <c r="I256" s="197"/>
      <c r="J256" s="197"/>
      <c r="K256" s="197"/>
      <c r="L256" s="197"/>
      <c r="M256" s="197"/>
      <c r="N256" s="197"/>
      <c r="O256" s="197"/>
      <c r="P256" s="197"/>
      <c r="Q256" s="197"/>
      <c r="R256" s="197"/>
      <c r="S256" s="197"/>
      <c r="T256" s="197"/>
    </row>
    <row r="257" customFormat="false" ht="12" hidden="false" customHeight="false" outlineLevel="0" collapsed="false">
      <c r="B257" s="197"/>
      <c r="C257" s="130"/>
      <c r="D257" s="197"/>
      <c r="E257" s="197"/>
      <c r="F257" s="197"/>
      <c r="G257" s="197"/>
      <c r="H257" s="197"/>
      <c r="I257" s="197"/>
      <c r="J257" s="197"/>
      <c r="K257" s="197"/>
      <c r="L257" s="197"/>
      <c r="M257" s="197"/>
      <c r="N257" s="197"/>
      <c r="O257" s="197"/>
      <c r="P257" s="197"/>
      <c r="Q257" s="197"/>
      <c r="R257" s="197"/>
      <c r="S257" s="197"/>
      <c r="T257" s="197"/>
    </row>
    <row r="258" customFormat="false" ht="12" hidden="false" customHeight="false" outlineLevel="0" collapsed="false">
      <c r="B258" s="197"/>
      <c r="C258" s="130"/>
      <c r="D258" s="197"/>
      <c r="E258" s="197"/>
      <c r="F258" s="197"/>
      <c r="G258" s="197"/>
      <c r="H258" s="197"/>
      <c r="I258" s="197"/>
      <c r="J258" s="197"/>
      <c r="K258" s="197"/>
      <c r="L258" s="197"/>
      <c r="M258" s="197"/>
      <c r="N258" s="197"/>
      <c r="O258" s="197"/>
      <c r="P258" s="197"/>
      <c r="Q258" s="197"/>
      <c r="R258" s="197"/>
      <c r="S258" s="197"/>
      <c r="T258" s="197"/>
    </row>
    <row r="259" customFormat="false" ht="12" hidden="false" customHeight="false" outlineLevel="0" collapsed="false">
      <c r="B259" s="197"/>
      <c r="C259" s="130"/>
      <c r="D259" s="197"/>
      <c r="E259" s="197"/>
      <c r="F259" s="197"/>
      <c r="G259" s="197"/>
      <c r="H259" s="197"/>
      <c r="I259" s="197"/>
      <c r="J259" s="197"/>
      <c r="K259" s="197"/>
      <c r="L259" s="197"/>
      <c r="M259" s="197"/>
      <c r="N259" s="197"/>
      <c r="O259" s="197"/>
      <c r="P259" s="197"/>
      <c r="Q259" s="197"/>
      <c r="R259" s="197"/>
      <c r="S259" s="197"/>
      <c r="T259" s="197"/>
    </row>
    <row r="260" customFormat="false" ht="12" hidden="false" customHeight="false" outlineLevel="0" collapsed="false">
      <c r="B260" s="197"/>
      <c r="C260" s="130"/>
      <c r="D260" s="197"/>
      <c r="E260" s="197"/>
      <c r="F260" s="197"/>
      <c r="G260" s="197"/>
      <c r="H260" s="197"/>
      <c r="I260" s="197"/>
      <c r="J260" s="197"/>
      <c r="K260" s="197"/>
      <c r="L260" s="197"/>
      <c r="M260" s="197"/>
      <c r="N260" s="197"/>
      <c r="O260" s="197"/>
      <c r="P260" s="197"/>
      <c r="Q260" s="197"/>
      <c r="R260" s="197"/>
      <c r="S260" s="197"/>
      <c r="T260" s="197"/>
    </row>
    <row r="261" customFormat="false" ht="12" hidden="false" customHeight="false" outlineLevel="0" collapsed="false">
      <c r="B261" s="197"/>
      <c r="C261" s="130"/>
      <c r="D261" s="197"/>
      <c r="E261" s="197"/>
      <c r="F261" s="197"/>
      <c r="G261" s="197"/>
      <c r="H261" s="197"/>
      <c r="I261" s="197"/>
      <c r="J261" s="197"/>
      <c r="K261" s="197"/>
      <c r="L261" s="197"/>
      <c r="M261" s="197"/>
      <c r="N261" s="197"/>
      <c r="O261" s="197"/>
      <c r="P261" s="197"/>
      <c r="Q261" s="197"/>
      <c r="R261" s="197"/>
      <c r="S261" s="197"/>
      <c r="T261" s="197"/>
    </row>
    <row r="262" customFormat="false" ht="12" hidden="false" customHeight="false" outlineLevel="0" collapsed="false">
      <c r="B262" s="197"/>
      <c r="C262" s="130"/>
      <c r="D262" s="197"/>
      <c r="E262" s="197"/>
      <c r="F262" s="197"/>
      <c r="G262" s="197"/>
      <c r="H262" s="197"/>
      <c r="I262" s="197"/>
      <c r="J262" s="197"/>
      <c r="K262" s="197"/>
      <c r="L262" s="197"/>
      <c r="M262" s="197"/>
      <c r="N262" s="197"/>
      <c r="O262" s="197"/>
      <c r="P262" s="197"/>
      <c r="Q262" s="197"/>
      <c r="R262" s="197"/>
      <c r="S262" s="197"/>
      <c r="T262" s="197"/>
    </row>
    <row r="263" customFormat="false" ht="12" hidden="false" customHeight="false" outlineLevel="0" collapsed="false">
      <c r="B263" s="197"/>
      <c r="C263" s="130"/>
      <c r="D263" s="197"/>
      <c r="E263" s="197"/>
      <c r="F263" s="197"/>
      <c r="G263" s="197"/>
      <c r="H263" s="197"/>
      <c r="I263" s="197"/>
      <c r="J263" s="197"/>
      <c r="K263" s="197"/>
      <c r="L263" s="197"/>
      <c r="M263" s="197"/>
      <c r="N263" s="197"/>
      <c r="O263" s="197"/>
      <c r="P263" s="197"/>
      <c r="Q263" s="197"/>
      <c r="R263" s="197"/>
      <c r="S263" s="197"/>
      <c r="T263" s="197"/>
    </row>
    <row r="264" customFormat="false" ht="12" hidden="false" customHeight="false" outlineLevel="0" collapsed="false">
      <c r="B264" s="197"/>
      <c r="C264" s="130"/>
      <c r="D264" s="197"/>
      <c r="E264" s="197"/>
      <c r="F264" s="197"/>
      <c r="G264" s="197"/>
      <c r="H264" s="197"/>
      <c r="I264" s="197"/>
      <c r="J264" s="197"/>
      <c r="K264" s="197"/>
      <c r="L264" s="197"/>
      <c r="M264" s="197"/>
      <c r="N264" s="197"/>
      <c r="O264" s="197"/>
      <c r="P264" s="197"/>
      <c r="Q264" s="197"/>
      <c r="R264" s="197"/>
      <c r="S264" s="197"/>
      <c r="T264" s="197"/>
    </row>
    <row r="265" customFormat="false" ht="12" hidden="false" customHeight="false" outlineLevel="0" collapsed="false">
      <c r="B265" s="197"/>
      <c r="C265" s="130"/>
      <c r="D265" s="197"/>
      <c r="E265" s="197"/>
      <c r="F265" s="197"/>
      <c r="G265" s="197"/>
      <c r="H265" s="197"/>
      <c r="I265" s="197"/>
      <c r="J265" s="197"/>
      <c r="K265" s="197"/>
      <c r="L265" s="197"/>
      <c r="M265" s="197"/>
      <c r="N265" s="197"/>
      <c r="O265" s="197"/>
      <c r="P265" s="197"/>
      <c r="Q265" s="197"/>
      <c r="R265" s="197"/>
      <c r="S265" s="197"/>
      <c r="T265" s="197"/>
    </row>
    <row r="266" customFormat="false" ht="12" hidden="false" customHeight="false" outlineLevel="0" collapsed="false">
      <c r="B266" s="197"/>
      <c r="C266" s="130"/>
      <c r="D266" s="197"/>
      <c r="E266" s="197"/>
      <c r="F266" s="197"/>
      <c r="G266" s="197"/>
      <c r="H266" s="197"/>
      <c r="I266" s="197"/>
      <c r="J266" s="197"/>
      <c r="K266" s="197"/>
      <c r="L266" s="197"/>
      <c r="M266" s="197"/>
      <c r="N266" s="197"/>
      <c r="O266" s="197"/>
      <c r="P266" s="197"/>
      <c r="Q266" s="197"/>
      <c r="R266" s="197"/>
      <c r="S266" s="197"/>
      <c r="T266" s="197"/>
    </row>
    <row r="267" customFormat="false" ht="12" hidden="false" customHeight="false" outlineLevel="0" collapsed="false">
      <c r="B267" s="197"/>
      <c r="C267" s="130"/>
      <c r="D267" s="197"/>
      <c r="E267" s="197"/>
      <c r="F267" s="197"/>
      <c r="G267" s="197"/>
      <c r="H267" s="197"/>
      <c r="I267" s="197"/>
      <c r="J267" s="197"/>
      <c r="K267" s="197"/>
      <c r="L267" s="197"/>
      <c r="M267" s="197"/>
      <c r="N267" s="197"/>
      <c r="O267" s="197"/>
      <c r="P267" s="197"/>
      <c r="Q267" s="197"/>
      <c r="R267" s="197"/>
      <c r="S267" s="197"/>
      <c r="T267" s="197"/>
    </row>
    <row r="268" customFormat="false" ht="12" hidden="false" customHeight="false" outlineLevel="0" collapsed="false">
      <c r="B268" s="197"/>
      <c r="C268" s="130"/>
      <c r="D268" s="197"/>
      <c r="E268" s="197"/>
      <c r="F268" s="197"/>
      <c r="G268" s="197"/>
      <c r="H268" s="197"/>
      <c r="I268" s="197"/>
      <c r="J268" s="197"/>
      <c r="K268" s="197"/>
      <c r="L268" s="197"/>
      <c r="M268" s="197"/>
      <c r="N268" s="197"/>
      <c r="O268" s="197"/>
      <c r="P268" s="197"/>
      <c r="Q268" s="197"/>
      <c r="R268" s="197"/>
      <c r="S268" s="197"/>
      <c r="T268" s="197"/>
    </row>
    <row r="269" customFormat="false" ht="12" hidden="false" customHeight="false" outlineLevel="0" collapsed="false">
      <c r="B269" s="197"/>
      <c r="C269" s="130"/>
      <c r="D269" s="197"/>
      <c r="E269" s="197"/>
      <c r="F269" s="197"/>
      <c r="G269" s="197"/>
      <c r="H269" s="197"/>
      <c r="I269" s="197"/>
      <c r="J269" s="197"/>
      <c r="K269" s="197"/>
      <c r="L269" s="197"/>
      <c r="M269" s="197"/>
      <c r="N269" s="197"/>
      <c r="O269" s="197"/>
      <c r="P269" s="197"/>
      <c r="Q269" s="197"/>
      <c r="R269" s="197"/>
      <c r="S269" s="197"/>
      <c r="T269" s="197"/>
    </row>
    <row r="270" customFormat="false" ht="12" hidden="false" customHeight="false" outlineLevel="0" collapsed="false">
      <c r="B270" s="197"/>
      <c r="C270" s="130"/>
      <c r="D270" s="197"/>
      <c r="E270" s="197"/>
      <c r="F270" s="197"/>
      <c r="G270" s="197"/>
      <c r="H270" s="197"/>
      <c r="I270" s="197"/>
      <c r="J270" s="197"/>
      <c r="K270" s="197"/>
      <c r="L270" s="197"/>
      <c r="M270" s="197"/>
      <c r="N270" s="197"/>
      <c r="O270" s="197"/>
      <c r="P270" s="197"/>
      <c r="Q270" s="197"/>
      <c r="R270" s="197"/>
      <c r="S270" s="197"/>
      <c r="T270" s="197"/>
    </row>
    <row r="271" customFormat="false" ht="12" hidden="false" customHeight="false" outlineLevel="0" collapsed="false">
      <c r="B271" s="197"/>
      <c r="C271" s="130"/>
      <c r="D271" s="197"/>
      <c r="E271" s="197"/>
      <c r="F271" s="197"/>
      <c r="G271" s="197"/>
      <c r="H271" s="197"/>
      <c r="I271" s="197"/>
      <c r="J271" s="197"/>
      <c r="K271" s="197"/>
      <c r="L271" s="197"/>
      <c r="M271" s="197"/>
      <c r="N271" s="197"/>
      <c r="O271" s="197"/>
      <c r="P271" s="197"/>
      <c r="Q271" s="197"/>
      <c r="R271" s="197"/>
      <c r="S271" s="197"/>
      <c r="T271" s="197"/>
    </row>
    <row r="272" customFormat="false" ht="12" hidden="false" customHeight="false" outlineLevel="0" collapsed="false">
      <c r="B272" s="197"/>
      <c r="C272" s="130"/>
      <c r="D272" s="197"/>
      <c r="E272" s="197"/>
      <c r="F272" s="197"/>
      <c r="G272" s="197"/>
      <c r="H272" s="197"/>
      <c r="I272" s="197"/>
      <c r="J272" s="197"/>
      <c r="K272" s="197"/>
      <c r="L272" s="197"/>
      <c r="M272" s="197"/>
      <c r="N272" s="197"/>
      <c r="O272" s="197"/>
      <c r="P272" s="197"/>
      <c r="Q272" s="197"/>
      <c r="R272" s="197"/>
      <c r="S272" s="197"/>
      <c r="T272" s="197"/>
    </row>
    <row r="273" customFormat="false" ht="12" hidden="false" customHeight="false" outlineLevel="0" collapsed="false">
      <c r="B273" s="197"/>
      <c r="C273" s="130"/>
      <c r="D273" s="197"/>
      <c r="E273" s="197"/>
      <c r="F273" s="197"/>
      <c r="G273" s="197"/>
      <c r="H273" s="197"/>
      <c r="I273" s="197"/>
      <c r="J273" s="197"/>
      <c r="K273" s="197"/>
      <c r="L273" s="197"/>
      <c r="M273" s="197"/>
      <c r="N273" s="197"/>
      <c r="O273" s="197"/>
      <c r="P273" s="197"/>
      <c r="Q273" s="197"/>
      <c r="R273" s="197"/>
      <c r="S273" s="197"/>
      <c r="T273" s="197"/>
    </row>
    <row r="274" customFormat="false" ht="12" hidden="false" customHeight="false" outlineLevel="0" collapsed="false">
      <c r="B274" s="197"/>
      <c r="C274" s="130"/>
      <c r="D274" s="197"/>
      <c r="E274" s="197"/>
      <c r="F274" s="197"/>
      <c r="G274" s="197"/>
      <c r="H274" s="197"/>
      <c r="I274" s="197"/>
      <c r="J274" s="197"/>
      <c r="K274" s="197"/>
      <c r="L274" s="197"/>
      <c r="M274" s="197"/>
      <c r="N274" s="197"/>
      <c r="O274" s="197"/>
      <c r="P274" s="197"/>
      <c r="Q274" s="197"/>
      <c r="R274" s="197"/>
      <c r="S274" s="197"/>
      <c r="T274" s="197"/>
    </row>
    <row r="275" customFormat="false" ht="12" hidden="false" customHeight="false" outlineLevel="0" collapsed="false">
      <c r="B275" s="197"/>
      <c r="C275" s="130"/>
      <c r="D275" s="197"/>
      <c r="E275" s="197"/>
      <c r="F275" s="197"/>
      <c r="G275" s="197"/>
      <c r="H275" s="197"/>
      <c r="I275" s="197"/>
      <c r="J275" s="197"/>
      <c r="K275" s="197"/>
      <c r="L275" s="197"/>
      <c r="M275" s="197"/>
      <c r="N275" s="197"/>
      <c r="O275" s="197"/>
      <c r="P275" s="197"/>
      <c r="Q275" s="197"/>
      <c r="R275" s="197"/>
      <c r="S275" s="197"/>
      <c r="T275" s="197"/>
    </row>
    <row r="276" customFormat="false" ht="12" hidden="false" customHeight="false" outlineLevel="0" collapsed="false">
      <c r="B276" s="197"/>
      <c r="C276" s="130"/>
      <c r="D276" s="197"/>
      <c r="E276" s="197"/>
      <c r="F276" s="197"/>
      <c r="G276" s="197"/>
      <c r="H276" s="197"/>
      <c r="I276" s="197"/>
      <c r="J276" s="197"/>
      <c r="K276" s="197"/>
      <c r="L276" s="197"/>
      <c r="M276" s="197"/>
      <c r="N276" s="197"/>
      <c r="O276" s="197"/>
      <c r="P276" s="197"/>
      <c r="Q276" s="197"/>
      <c r="R276" s="197"/>
      <c r="S276" s="197"/>
      <c r="T276" s="197"/>
    </row>
    <row r="277" customFormat="false" ht="12" hidden="false" customHeight="false" outlineLevel="0" collapsed="false">
      <c r="T277" s="197"/>
    </row>
    <row r="278" customFormat="false" ht="12" hidden="false" customHeight="false" outlineLevel="0" collapsed="false">
      <c r="T278" s="197"/>
    </row>
    <row r="279" customFormat="false" ht="12" hidden="false" customHeight="false" outlineLevel="0" collapsed="false">
      <c r="T279" s="197"/>
    </row>
    <row r="280" customFormat="false" ht="12" hidden="false" customHeight="false" outlineLevel="0" collapsed="false">
      <c r="T280" s="197"/>
    </row>
    <row r="281" customFormat="false" ht="12" hidden="false" customHeight="false" outlineLevel="0" collapsed="false">
      <c r="T281" s="197"/>
    </row>
    <row r="282" customFormat="false" ht="12" hidden="false" customHeight="false" outlineLevel="0" collapsed="false">
      <c r="T282" s="197"/>
    </row>
    <row r="283" customFormat="false" ht="12" hidden="false" customHeight="false" outlineLevel="0" collapsed="false">
      <c r="T283" s="197"/>
    </row>
    <row r="284" customFormat="false" ht="12" hidden="false" customHeight="false" outlineLevel="0" collapsed="false">
      <c r="T284" s="197"/>
    </row>
    <row r="285" customFormat="false" ht="12" hidden="false" customHeight="false" outlineLevel="0" collapsed="false">
      <c r="T285" s="197"/>
    </row>
    <row r="286" customFormat="false" ht="12" hidden="false" customHeight="false" outlineLevel="0" collapsed="false">
      <c r="T286" s="197"/>
    </row>
    <row r="287" customFormat="false" ht="12" hidden="false" customHeight="false" outlineLevel="0" collapsed="false">
      <c r="T287" s="197"/>
    </row>
    <row r="288" customFormat="false" ht="12" hidden="false" customHeight="false" outlineLevel="0" collapsed="false">
      <c r="T288" s="197"/>
    </row>
  </sheetData>
  <mergeCells count="8">
    <mergeCell ref="A3:S3"/>
    <mergeCell ref="B6:I6"/>
    <mergeCell ref="J6:O6"/>
    <mergeCell ref="P6:S6"/>
    <mergeCell ref="A7:A8"/>
    <mergeCell ref="S7:S8"/>
    <mergeCell ref="J8:L8"/>
    <mergeCell ref="M8:O8"/>
  </mergeCells>
  <hyperlinks>
    <hyperlink ref="B1" location="Index!A1" display="Back to index"/>
  </hyperlinks>
  <printOptions headings="false" gridLines="false" gridLinesSet="true" horizontalCentered="true" verticalCentered="true"/>
  <pageMargins left="0.7875" right="0.7875" top="0.984027777777778" bottom="0.984027777777778" header="0.511811023622047" footer="0.511811023622047"/>
  <pageSetup paperSize="9" scale="100" fitToWidth="1" fitToHeight="2"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CCFF"/>
    <pageSetUpPr fitToPage="true"/>
  </sheetPr>
  <dimension ref="A1:W3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126" activePane="bottomRight" state="frozen"/>
      <selection pane="topLeft" activeCell="A1" activeCellId="0" sqref="A1"/>
      <selection pane="topRight" activeCell="B1" activeCellId="0" sqref="B1"/>
      <selection pane="bottomLeft" activeCell="A126" activeCellId="0" sqref="A126"/>
      <selection pane="bottomRight" activeCell="A1" activeCellId="0" sqref="A1"/>
    </sheetView>
  </sheetViews>
  <sheetFormatPr defaultColWidth="11.0546875" defaultRowHeight="12" zeroHeight="false" outlineLevelRow="0" outlineLevelCol="0"/>
  <cols>
    <col collapsed="false" customWidth="true" hidden="false" outlineLevel="0" max="3" min="1" style="0" width="9.66"/>
    <col collapsed="false" customWidth="true" hidden="false" outlineLevel="0" max="9" min="5" style="0" width="9.66"/>
    <col collapsed="false" customWidth="true" hidden="false" outlineLevel="0" max="11" min="10" style="20" width="9.66"/>
    <col collapsed="false" customWidth="true" hidden="false" outlineLevel="0" max="18" min="12" style="0" width="9.66"/>
  </cols>
  <sheetData>
    <row r="1" customFormat="false" ht="12" hidden="false" customHeight="false" outlineLevel="0" collapsed="false">
      <c r="B1" s="21" t="s">
        <v>9</v>
      </c>
      <c r="C1" s="198"/>
      <c r="E1" s="198"/>
      <c r="F1" s="198"/>
      <c r="G1" s="198"/>
      <c r="H1" s="198"/>
      <c r="I1" s="198"/>
      <c r="J1" s="356"/>
      <c r="K1" s="356"/>
      <c r="M1" s="198"/>
      <c r="N1" s="198"/>
      <c r="O1" s="198"/>
      <c r="P1" s="198"/>
      <c r="Q1" s="198"/>
    </row>
    <row r="2" customFormat="false" ht="13" hidden="false" customHeight="false" outlineLevel="0" collapsed="false"/>
    <row r="3" customFormat="false" ht="16" hidden="false" customHeight="false" outlineLevel="0" collapsed="false">
      <c r="A3" s="1292" t="s">
        <v>641</v>
      </c>
      <c r="B3" s="1292"/>
      <c r="C3" s="1292"/>
      <c r="D3" s="1292"/>
      <c r="E3" s="1292"/>
      <c r="F3" s="1292"/>
      <c r="G3" s="1292"/>
      <c r="H3" s="1292"/>
      <c r="I3" s="1292"/>
      <c r="J3" s="1292"/>
      <c r="K3" s="1292"/>
      <c r="L3" s="1292"/>
      <c r="M3" s="1292"/>
      <c r="N3" s="1292"/>
      <c r="O3" s="1292"/>
      <c r="P3" s="1292"/>
      <c r="Q3" s="1292"/>
    </row>
    <row r="4" customFormat="false" ht="12" hidden="false" customHeight="false" outlineLevel="0" collapsed="false">
      <c r="A4" s="28"/>
      <c r="B4" s="29"/>
      <c r="C4" s="29"/>
      <c r="D4" s="29"/>
      <c r="E4" s="29"/>
      <c r="F4" s="29"/>
      <c r="G4" s="29"/>
      <c r="H4" s="29"/>
      <c r="I4" s="29"/>
      <c r="J4" s="114"/>
      <c r="K4" s="114"/>
      <c r="L4" s="29"/>
      <c r="M4" s="29"/>
      <c r="N4" s="29"/>
      <c r="O4" s="29"/>
      <c r="P4" s="29"/>
      <c r="Q4" s="199"/>
    </row>
    <row r="5" customFormat="false" ht="12" hidden="false" customHeight="false" outlineLevel="0" collapsed="false">
      <c r="A5" s="28"/>
      <c r="B5" s="31" t="s">
        <v>11</v>
      </c>
      <c r="C5" s="31" t="s">
        <v>12</v>
      </c>
      <c r="D5" s="31" t="s">
        <v>13</v>
      </c>
      <c r="E5" s="31" t="s">
        <v>14</v>
      </c>
      <c r="F5" s="31" t="s">
        <v>15</v>
      </c>
      <c r="G5" s="32" t="s">
        <v>16</v>
      </c>
      <c r="H5" s="32" t="s">
        <v>17</v>
      </c>
      <c r="I5" s="32" t="s">
        <v>18</v>
      </c>
      <c r="J5" s="31" t="s">
        <v>19</v>
      </c>
      <c r="K5" s="31" t="s">
        <v>20</v>
      </c>
      <c r="L5" s="31" t="s">
        <v>21</v>
      </c>
      <c r="M5" s="32" t="s">
        <v>22</v>
      </c>
      <c r="N5" s="32" t="s">
        <v>23</v>
      </c>
      <c r="O5" s="32" t="s">
        <v>24</v>
      </c>
      <c r="P5" s="32" t="s">
        <v>25</v>
      </c>
      <c r="Q5" s="486" t="s">
        <v>26</v>
      </c>
    </row>
    <row r="6" customFormat="false" ht="15" hidden="false" customHeight="true" outlineLevel="0" collapsed="false">
      <c r="A6" s="1847"/>
      <c r="B6" s="1848" t="s">
        <v>642</v>
      </c>
      <c r="C6" s="1848"/>
      <c r="D6" s="1848"/>
      <c r="E6" s="1848"/>
      <c r="F6" s="1848"/>
      <c r="G6" s="1848"/>
      <c r="H6" s="1848"/>
      <c r="I6" s="1848"/>
      <c r="J6" s="1849" t="s">
        <v>643</v>
      </c>
      <c r="K6" s="1849"/>
      <c r="L6" s="1849"/>
      <c r="M6" s="1849"/>
      <c r="N6" s="1849"/>
      <c r="O6" s="1849"/>
      <c r="P6" s="1849"/>
      <c r="Q6" s="1849"/>
    </row>
    <row r="7" customFormat="false" ht="63" hidden="false" customHeight="true" outlineLevel="0" collapsed="false">
      <c r="A7" s="1847"/>
      <c r="B7" s="1475" t="s">
        <v>644</v>
      </c>
      <c r="C7" s="1350" t="s">
        <v>645</v>
      </c>
      <c r="D7" s="372" t="s">
        <v>646</v>
      </c>
      <c r="E7" s="1834" t="s">
        <v>647</v>
      </c>
      <c r="F7" s="1834" t="s">
        <v>648</v>
      </c>
      <c r="G7" s="1834" t="s">
        <v>649</v>
      </c>
      <c r="H7" s="1350" t="s">
        <v>650</v>
      </c>
      <c r="I7" s="1850" t="s">
        <v>651</v>
      </c>
      <c r="J7" s="1851" t="s">
        <v>652</v>
      </c>
      <c r="K7" s="784" t="s">
        <v>653</v>
      </c>
      <c r="L7" s="372" t="s">
        <v>654</v>
      </c>
      <c r="M7" s="1852" t="s">
        <v>647</v>
      </c>
      <c r="N7" s="1834" t="s">
        <v>648</v>
      </c>
      <c r="O7" s="1834" t="s">
        <v>655</v>
      </c>
      <c r="P7" s="1350" t="s">
        <v>656</v>
      </c>
      <c r="Q7" s="1853" t="s">
        <v>657</v>
      </c>
      <c r="R7" s="965"/>
      <c r="S7" s="56"/>
      <c r="T7" s="56"/>
    </row>
    <row r="8" customFormat="false" ht="30" hidden="false" customHeight="true" outlineLevel="0" collapsed="false">
      <c r="A8" s="1854"/>
      <c r="B8" s="52" t="s">
        <v>658</v>
      </c>
      <c r="C8" s="802"/>
      <c r="D8" s="830"/>
      <c r="E8" s="1855"/>
      <c r="F8" s="1855"/>
      <c r="G8" s="1855"/>
      <c r="H8" s="971"/>
      <c r="I8" s="1856"/>
      <c r="J8" s="1857" t="s">
        <v>659</v>
      </c>
      <c r="K8" s="801"/>
      <c r="L8" s="830"/>
      <c r="M8" s="1858"/>
      <c r="N8" s="1855"/>
      <c r="O8" s="1855"/>
      <c r="P8" s="971"/>
      <c r="Q8" s="1859"/>
      <c r="S8" s="56"/>
      <c r="T8" s="56"/>
    </row>
    <row r="9" customFormat="false" ht="13" hidden="false" customHeight="false" outlineLevel="0" collapsed="false">
      <c r="A9" s="1860" t="n">
        <v>1870</v>
      </c>
      <c r="B9" s="1861" t="n">
        <f aca="false">100*DataDE1c!AZ33/DataDE1c!AZ$113</f>
        <v>34.3421052631579</v>
      </c>
      <c r="C9" s="1862" t="n">
        <f aca="false">C10/(1+K10)</f>
        <v>38.26176289559</v>
      </c>
      <c r="D9" s="1863"/>
      <c r="E9" s="1864"/>
      <c r="F9" s="1864"/>
      <c r="G9" s="1865" t="n">
        <v>101.583333333333</v>
      </c>
      <c r="H9" s="1865" t="n">
        <v>103.083333333333</v>
      </c>
      <c r="I9" s="1865" t="n">
        <v>102.5</v>
      </c>
      <c r="J9" s="1866"/>
      <c r="K9" s="1867"/>
      <c r="L9" s="1868"/>
      <c r="M9" s="1869"/>
      <c r="N9" s="1869"/>
      <c r="O9" s="1869"/>
      <c r="P9" s="1869"/>
      <c r="Q9" s="1870"/>
    </row>
    <row r="10" customFormat="false" ht="13" hidden="false" customHeight="false" outlineLevel="0" collapsed="false">
      <c r="A10" s="1871" t="n">
        <f aca="false">A9+1</f>
        <v>1871</v>
      </c>
      <c r="B10" s="1872" t="n">
        <f aca="false">100*DataDE1c!AZ34/DataDE1c!AZ$113</f>
        <v>36.7894736842105</v>
      </c>
      <c r="C10" s="1873" t="n">
        <f aca="false">C11/(1+K11)</f>
        <v>39.9986782021343</v>
      </c>
      <c r="D10" s="1874"/>
      <c r="E10" s="1875"/>
      <c r="F10" s="1875"/>
      <c r="G10" s="1876" t="n">
        <v>119.166666666667</v>
      </c>
      <c r="H10" s="1876" t="n">
        <v>131.166666666667</v>
      </c>
      <c r="I10" s="1876" t="n">
        <v>121.083333333333</v>
      </c>
      <c r="J10" s="1877" t="n">
        <f aca="false">B10/B9-1</f>
        <v>0.0712643678160918</v>
      </c>
      <c r="K10" s="1878" t="n">
        <f aca="false">DataDE1c!BB34/DataDE1c!BB33-1</f>
        <v>0.0453955901426719</v>
      </c>
      <c r="L10" s="1879"/>
      <c r="M10" s="1880"/>
      <c r="N10" s="1880"/>
      <c r="O10" s="1880" t="n">
        <f aca="false">G10/G9-1</f>
        <v>0.173092698933552</v>
      </c>
      <c r="P10" s="1880" t="n">
        <f aca="false">H10/H9-1</f>
        <v>0.272433306386419</v>
      </c>
      <c r="Q10" s="1881" t="n">
        <f aca="false">I10/I9-1</f>
        <v>0.18130081300813</v>
      </c>
      <c r="R10" s="25"/>
      <c r="S10" s="25"/>
      <c r="T10" s="25"/>
    </row>
    <row r="11" customFormat="false" ht="13" hidden="false" customHeight="false" outlineLevel="0" collapsed="false">
      <c r="A11" s="1871" t="n">
        <f aca="false">A10+1</f>
        <v>1872</v>
      </c>
      <c r="B11" s="1872" t="n">
        <f aca="false">100*DataDE1c!AZ35/DataDE1c!AZ$113</f>
        <v>38.7631578947368</v>
      </c>
      <c r="C11" s="1873" t="n">
        <f aca="false">C12/(1+K12)</f>
        <v>42.9266211474519</v>
      </c>
      <c r="D11" s="1874"/>
      <c r="E11" s="1875"/>
      <c r="F11" s="1875"/>
      <c r="G11" s="1876" t="n">
        <v>160</v>
      </c>
      <c r="H11" s="1876" t="n">
        <v>191.583333333333</v>
      </c>
      <c r="I11" s="1876" t="n">
        <v>168.666666666667</v>
      </c>
      <c r="J11" s="1877" t="n">
        <f aca="false">B11/B10-1</f>
        <v>0.053648068669528</v>
      </c>
      <c r="K11" s="1878" t="n">
        <f aca="false">DataDE1c!BB35/DataDE1c!BB34-1</f>
        <v>0.0732009925558312</v>
      </c>
      <c r="L11" s="1879"/>
      <c r="M11" s="1880"/>
      <c r="N11" s="1880"/>
      <c r="O11" s="1880" t="n">
        <f aca="false">G11/G10-1</f>
        <v>0.342657342657343</v>
      </c>
      <c r="P11" s="1880" t="n">
        <f aca="false">H11/H10-1</f>
        <v>0.460609911054638</v>
      </c>
      <c r="Q11" s="1881" t="n">
        <f aca="false">I11/I10-1</f>
        <v>0.392980041293875</v>
      </c>
      <c r="R11" s="25"/>
      <c r="S11" s="25"/>
      <c r="T11" s="25"/>
    </row>
    <row r="12" customFormat="false" ht="13" hidden="false" customHeight="false" outlineLevel="0" collapsed="false">
      <c r="A12" s="1871" t="n">
        <f aca="false">A11+1</f>
        <v>1873</v>
      </c>
      <c r="B12" s="1872" t="n">
        <f aca="false">100*DataDE1c!AZ36/DataDE1c!AZ$113</f>
        <v>42.6315789473684</v>
      </c>
      <c r="C12" s="1873" t="n">
        <f aca="false">C13/(1+K13)</f>
        <v>45.2590502733828</v>
      </c>
      <c r="D12" s="1874"/>
      <c r="E12" s="1875"/>
      <c r="F12" s="1875"/>
      <c r="G12" s="1876" t="n">
        <v>157.833333333333</v>
      </c>
      <c r="H12" s="1876" t="n">
        <v>203.75</v>
      </c>
      <c r="I12" s="1876" t="n">
        <v>163.416666666667</v>
      </c>
      <c r="J12" s="1877" t="n">
        <f aca="false">B12/B11-1</f>
        <v>0.0997963340122203</v>
      </c>
      <c r="K12" s="1878" t="n">
        <f aca="false">DataDE1c!BB36/DataDE1c!BB35-1</f>
        <v>0.0543352601156071</v>
      </c>
      <c r="L12" s="1879"/>
      <c r="M12" s="1880"/>
      <c r="N12" s="1880"/>
      <c r="O12" s="1880" t="n">
        <f aca="false">G12/G11-1</f>
        <v>-0.0135416666666666</v>
      </c>
      <c r="P12" s="1880" t="n">
        <f aca="false">H12/H11-1</f>
        <v>0.0635058721183122</v>
      </c>
      <c r="Q12" s="1881" t="n">
        <f aca="false">I12/I11-1</f>
        <v>-0.0311264822134387</v>
      </c>
      <c r="R12" s="25"/>
      <c r="S12" s="25"/>
      <c r="T12" s="25"/>
    </row>
    <row r="13" customFormat="false" ht="13" hidden="false" customHeight="false" outlineLevel="0" collapsed="false">
      <c r="A13" s="1871" t="n">
        <f aca="false">A12+1</f>
        <v>1874</v>
      </c>
      <c r="B13" s="1872" t="n">
        <f aca="false">100*DataDE1c!AZ37/DataDE1c!AZ$113</f>
        <v>44.7894736842105</v>
      </c>
      <c r="C13" s="1873" t="n">
        <f aca="false">C14/(1+K14)</f>
        <v>45.5071810314605</v>
      </c>
      <c r="D13" s="1874"/>
      <c r="E13" s="1875"/>
      <c r="F13" s="1875"/>
      <c r="G13" s="1876" t="n">
        <v>121.583333333333</v>
      </c>
      <c r="H13" s="1876" t="n">
        <v>167.5</v>
      </c>
      <c r="I13" s="1876" t="n">
        <v>127.5</v>
      </c>
      <c r="J13" s="1877" t="n">
        <f aca="false">B13/B12-1</f>
        <v>0.0506172839506172</v>
      </c>
      <c r="K13" s="1878" t="n">
        <f aca="false">DataDE1c!BB37/DataDE1c!BB36-1</f>
        <v>0.00548245614035081</v>
      </c>
      <c r="L13" s="1879"/>
      <c r="M13" s="1880"/>
      <c r="N13" s="1880"/>
      <c r="O13" s="1880" t="n">
        <f aca="false">G13/G12-1</f>
        <v>-0.229672650475185</v>
      </c>
      <c r="P13" s="1880" t="n">
        <f aca="false">H13/H12-1</f>
        <v>-0.177914110429448</v>
      </c>
      <c r="Q13" s="1881" t="n">
        <f aca="false">I13/I12-1</f>
        <v>-0.219785823559408</v>
      </c>
      <c r="R13" s="25"/>
      <c r="S13" s="25"/>
      <c r="T13" s="25"/>
    </row>
    <row r="14" customFormat="false" ht="13" hidden="false" customHeight="false" outlineLevel="0" collapsed="false">
      <c r="A14" s="1871" t="n">
        <f aca="false">A13+1</f>
        <v>1875</v>
      </c>
      <c r="B14" s="1872" t="n">
        <f aca="false">100*DataDE1c!AZ38/DataDE1c!AZ$113</f>
        <v>41.0263157894737</v>
      </c>
      <c r="C14" s="1873" t="n">
        <f aca="false">C15/(1+K15)</f>
        <v>43.025873450683</v>
      </c>
      <c r="D14" s="1874"/>
      <c r="E14" s="1875"/>
      <c r="F14" s="1875"/>
      <c r="G14" s="1876" t="n">
        <v>96.25</v>
      </c>
      <c r="H14" s="1876" t="n">
        <v>140.833333333333</v>
      </c>
      <c r="I14" s="1876" t="n">
        <v>116.833333333333</v>
      </c>
      <c r="J14" s="1877" t="n">
        <f aca="false">B14/B13-1</f>
        <v>-0.0840188014101058</v>
      </c>
      <c r="K14" s="1878" t="n">
        <f aca="false">DataDE1c!BB38/DataDE1c!BB37-1</f>
        <v>-0.054525627044711</v>
      </c>
      <c r="L14" s="1879"/>
      <c r="M14" s="1880"/>
      <c r="N14" s="1880"/>
      <c r="O14" s="1880" t="n">
        <f aca="false">G14/G13-1</f>
        <v>-0.208361891706648</v>
      </c>
      <c r="P14" s="1880" t="n">
        <f aca="false">H14/H13-1</f>
        <v>-0.159203980099502</v>
      </c>
      <c r="Q14" s="1881" t="n">
        <f aca="false">I14/I13-1</f>
        <v>-0.0836601307189543</v>
      </c>
      <c r="R14" s="25"/>
      <c r="S14" s="25"/>
      <c r="T14" s="25"/>
    </row>
    <row r="15" customFormat="false" ht="13" hidden="false" customHeight="false" outlineLevel="0" collapsed="false">
      <c r="A15" s="1871" t="n">
        <f aca="false">A14+1</f>
        <v>1876</v>
      </c>
      <c r="B15" s="1872" t="n">
        <f aca="false">100*DataDE1c!AZ39/DataDE1c!AZ$113</f>
        <v>40.4736842105263</v>
      </c>
      <c r="C15" s="1873" t="n">
        <f aca="false">C16/(1+K16)</f>
        <v>42.6784903893741</v>
      </c>
      <c r="D15" s="1874"/>
      <c r="E15" s="1875"/>
      <c r="F15" s="1875"/>
      <c r="G15" s="1876" t="n">
        <v>78.3333333333333</v>
      </c>
      <c r="H15" s="1876" t="n">
        <v>120.666666666667</v>
      </c>
      <c r="I15" s="1876" t="n">
        <v>101.416666666667</v>
      </c>
      <c r="J15" s="1877" t="n">
        <f aca="false">B15/B14-1</f>
        <v>-0.0134701731879409</v>
      </c>
      <c r="K15" s="1878" t="n">
        <f aca="false">DataDE1c!BB39/DataDE1c!BB38-1</f>
        <v>-0.00807381776239913</v>
      </c>
      <c r="L15" s="1879"/>
      <c r="M15" s="1880"/>
      <c r="N15" s="1880"/>
      <c r="O15" s="1880" t="n">
        <f aca="false">G15/G14-1</f>
        <v>-0.186147186147186</v>
      </c>
      <c r="P15" s="1880" t="n">
        <f aca="false">H15/H14-1</f>
        <v>-0.143195266272189</v>
      </c>
      <c r="Q15" s="1881" t="n">
        <f aca="false">I15/I14-1</f>
        <v>-0.131954350927247</v>
      </c>
      <c r="R15" s="25"/>
      <c r="S15" s="25"/>
      <c r="T15" s="25"/>
    </row>
    <row r="16" customFormat="false" ht="13" hidden="false" customHeight="false" outlineLevel="0" collapsed="false">
      <c r="A16" s="1871" t="n">
        <f aca="false">A15+1</f>
        <v>1877</v>
      </c>
      <c r="B16" s="1872" t="n">
        <f aca="false">100*DataDE1c!AZ40/DataDE1c!AZ$113</f>
        <v>41.3684210526316</v>
      </c>
      <c r="C16" s="1873" t="n">
        <f aca="false">C17/(1+K17)</f>
        <v>41.7355935086786</v>
      </c>
      <c r="D16" s="1874"/>
      <c r="E16" s="1875"/>
      <c r="F16" s="1875"/>
      <c r="G16" s="1876" t="n">
        <v>72.1666666666667</v>
      </c>
      <c r="H16" s="1876" t="n">
        <v>116.583333333333</v>
      </c>
      <c r="I16" s="1876" t="n">
        <v>96</v>
      </c>
      <c r="J16" s="1877" t="n">
        <f aca="false">B16/B15-1</f>
        <v>0.0221066319895968</v>
      </c>
      <c r="K16" s="1878" t="n">
        <f aca="false">DataDE1c!BB40/DataDE1c!BB39-1</f>
        <v>-0.022093023255814</v>
      </c>
      <c r="L16" s="1879"/>
      <c r="M16" s="1880"/>
      <c r="N16" s="1880"/>
      <c r="O16" s="1880" t="n">
        <f aca="false">G16/G15-1</f>
        <v>-0.078723404255319</v>
      </c>
      <c r="P16" s="1880" t="n">
        <f aca="false">H16/H15-1</f>
        <v>-0.0338397790055249</v>
      </c>
      <c r="Q16" s="1881" t="n">
        <f aca="false">I16/I15-1</f>
        <v>-0.0534100246507807</v>
      </c>
      <c r="R16" s="25"/>
      <c r="S16" s="25"/>
      <c r="T16" s="25"/>
    </row>
    <row r="17" customFormat="false" ht="13" hidden="false" customHeight="false" outlineLevel="0" collapsed="false">
      <c r="A17" s="1871" t="n">
        <f aca="false">A16+1</f>
        <v>1878</v>
      </c>
      <c r="B17" s="1872" t="n">
        <f aca="false">100*DataDE1c!AZ41/DataDE1c!AZ$113</f>
        <v>39.2105263157895</v>
      </c>
      <c r="C17" s="1873" t="n">
        <f aca="false">C18/(1+K18)</f>
        <v>40.6934443247521</v>
      </c>
      <c r="D17" s="1874"/>
      <c r="E17" s="1875"/>
      <c r="F17" s="1875"/>
      <c r="G17" s="1876" t="n">
        <v>75.8333333333333</v>
      </c>
      <c r="H17" s="1876" t="n">
        <v>129</v>
      </c>
      <c r="I17" s="1876" t="n">
        <v>112.166666666667</v>
      </c>
      <c r="J17" s="1877" t="n">
        <f aca="false">B17/B16-1</f>
        <v>-0.0521628498727736</v>
      </c>
      <c r="K17" s="1878" t="n">
        <f aca="false">DataDE1c!BB41/DataDE1c!BB40-1</f>
        <v>-0.0249702734839476</v>
      </c>
      <c r="L17" s="1879"/>
      <c r="M17" s="1880"/>
      <c r="N17" s="1880"/>
      <c r="O17" s="1880" t="n">
        <f aca="false">G17/G16-1</f>
        <v>0.0508083140877598</v>
      </c>
      <c r="P17" s="1880" t="n">
        <f aca="false">H17/H16-1</f>
        <v>0.10650464617584</v>
      </c>
      <c r="Q17" s="1881" t="n">
        <f aca="false">I17/I16-1</f>
        <v>0.168402777777778</v>
      </c>
      <c r="R17" s="25"/>
      <c r="S17" s="25"/>
      <c r="T17" s="25"/>
    </row>
    <row r="18" customFormat="false" ht="13" hidden="false" customHeight="false" outlineLevel="0" collapsed="false">
      <c r="A18" s="1882" t="n">
        <f aca="false">A17+1</f>
        <v>1879</v>
      </c>
      <c r="B18" s="1883" t="n">
        <f aca="false">100*DataDE1c!AZ42/DataDE1c!AZ$113</f>
        <v>38.5263157894737</v>
      </c>
      <c r="C18" s="1884" t="n">
        <f aca="false">C19/(1+K19)</f>
        <v>39.0557813214389</v>
      </c>
      <c r="D18" s="1885"/>
      <c r="E18" s="1886"/>
      <c r="F18" s="1886"/>
      <c r="G18" s="1887" t="n">
        <v>91.0833333333333</v>
      </c>
      <c r="H18" s="1887" t="n">
        <v>163.583333333333</v>
      </c>
      <c r="I18" s="1887" t="n">
        <v>144.333333333333</v>
      </c>
      <c r="J18" s="1888" t="n">
        <f aca="false">B18/B17-1</f>
        <v>-0.0174496644295301</v>
      </c>
      <c r="K18" s="1889" t="n">
        <f aca="false">DataDE1c!BB42/DataDE1c!BB41-1</f>
        <v>-0.0402439024390243</v>
      </c>
      <c r="L18" s="1890"/>
      <c r="M18" s="1891"/>
      <c r="N18" s="1891"/>
      <c r="O18" s="1891" t="n">
        <f aca="false">G18/G17-1</f>
        <v>0.201098901098901</v>
      </c>
      <c r="P18" s="1891" t="n">
        <f aca="false">H18/H17-1</f>
        <v>0.268087855297158</v>
      </c>
      <c r="Q18" s="1892" t="n">
        <f aca="false">I18/I17-1</f>
        <v>0.286775631500743</v>
      </c>
      <c r="R18" s="25"/>
      <c r="S18" s="25"/>
      <c r="T18" s="25"/>
    </row>
    <row r="19" customFormat="false" ht="13" hidden="false" customHeight="false" outlineLevel="0" collapsed="false">
      <c r="A19" s="1871" t="n">
        <f aca="false">A18+1</f>
        <v>1880</v>
      </c>
      <c r="B19" s="1872" t="n">
        <f aca="false">100*DataDE1c!AZ43/DataDE1c!AZ$113</f>
        <v>40.9473684210526</v>
      </c>
      <c r="C19" s="1873" t="n">
        <f aca="false">C20/(1+K20)</f>
        <v>40.7926966279832</v>
      </c>
      <c r="D19" s="1874"/>
      <c r="E19" s="1875"/>
      <c r="F19" s="1875"/>
      <c r="G19" s="1876" t="n">
        <v>117.416666666667</v>
      </c>
      <c r="H19" s="1876" t="n">
        <v>221.083333333333</v>
      </c>
      <c r="I19" s="1876" t="n">
        <v>184.083333333333</v>
      </c>
      <c r="J19" s="1877" t="n">
        <f aca="false">B19/B18-1</f>
        <v>0.0628415300546446</v>
      </c>
      <c r="K19" s="1878" t="n">
        <f aca="false">DataDE1c!BB43/DataDE1c!BB42-1</f>
        <v>0.0444726810673444</v>
      </c>
      <c r="L19" s="1879"/>
      <c r="M19" s="1880"/>
      <c r="N19" s="1880"/>
      <c r="O19" s="1880" t="n">
        <f aca="false">G19/G18-1</f>
        <v>0.289112534309241</v>
      </c>
      <c r="P19" s="1880" t="n">
        <f aca="false">H19/H18-1</f>
        <v>0.351502801833928</v>
      </c>
      <c r="Q19" s="1881" t="n">
        <f aca="false">I19/I18-1</f>
        <v>0.27540415704388</v>
      </c>
      <c r="R19" s="25"/>
      <c r="S19" s="25"/>
      <c r="T19" s="25"/>
    </row>
    <row r="20" customFormat="false" ht="13" hidden="false" customHeight="false" outlineLevel="0" collapsed="false">
      <c r="A20" s="1871" t="n">
        <f aca="false">A19+1</f>
        <v>1881</v>
      </c>
      <c r="B20" s="1872" t="n">
        <f aca="false">100*DataDE1c!AZ44/DataDE1c!AZ$113</f>
        <v>41.2894736842105</v>
      </c>
      <c r="C20" s="1873" t="n">
        <f aca="false">C21/(1+K21)</f>
        <v>40.1971828085966</v>
      </c>
      <c r="D20" s="1874"/>
      <c r="E20" s="1875"/>
      <c r="F20" s="1875"/>
      <c r="G20" s="1876" t="n">
        <v>123</v>
      </c>
      <c r="H20" s="1876" t="n">
        <v>243.583333333333</v>
      </c>
      <c r="I20" s="1876" t="n">
        <v>200.833333333333</v>
      </c>
      <c r="J20" s="1877" t="n">
        <f aca="false">B20/B19-1</f>
        <v>0.00835475578406175</v>
      </c>
      <c r="K20" s="1878" t="n">
        <f aca="false">DataDE1c!BB44/DataDE1c!BB43-1</f>
        <v>-0.0145985401459854</v>
      </c>
      <c r="L20" s="1879"/>
      <c r="M20" s="1880"/>
      <c r="N20" s="1880"/>
      <c r="O20" s="1880" t="n">
        <f aca="false">G20/G19-1</f>
        <v>0.0475514549325762</v>
      </c>
      <c r="P20" s="1880" t="n">
        <f aca="false">H20/H19-1</f>
        <v>0.101771579344139</v>
      </c>
      <c r="Q20" s="1881" t="n">
        <f aca="false">I20/I19-1</f>
        <v>0.0909913988229969</v>
      </c>
      <c r="R20" s="25"/>
      <c r="S20" s="25"/>
      <c r="T20" s="25"/>
    </row>
    <row r="21" customFormat="false" ht="13" hidden="false" customHeight="false" outlineLevel="0" collapsed="false">
      <c r="A21" s="1871" t="n">
        <f aca="false">A20+1</f>
        <v>1882</v>
      </c>
      <c r="B21" s="1872" t="n">
        <f aca="false">100*DataDE1c!AZ45/DataDE1c!AZ$113</f>
        <v>40.2894736842105</v>
      </c>
      <c r="C21" s="1873" t="n">
        <f aca="false">C22/(1+K22)</f>
        <v>40.4453135666743</v>
      </c>
      <c r="D21" s="1874"/>
      <c r="E21" s="1875"/>
      <c r="F21" s="1875"/>
      <c r="G21" s="1876" t="n">
        <v>123</v>
      </c>
      <c r="H21" s="1876" t="n">
        <v>255.75</v>
      </c>
      <c r="I21" s="1876" t="n">
        <v>216.083333333333</v>
      </c>
      <c r="J21" s="1877" t="n">
        <f aca="false">B21/B20-1</f>
        <v>-0.024219247928617</v>
      </c>
      <c r="K21" s="1878" t="n">
        <f aca="false">DataDE1c!BB45/DataDE1c!BB44-1</f>
        <v>0.00617283950617287</v>
      </c>
      <c r="L21" s="1879"/>
      <c r="M21" s="1880"/>
      <c r="N21" s="1880"/>
      <c r="O21" s="1880" t="n">
        <f aca="false">G21/G20-1</f>
        <v>0</v>
      </c>
      <c r="P21" s="1880" t="n">
        <f aca="false">H21/H20-1</f>
        <v>0.0499486828600753</v>
      </c>
      <c r="Q21" s="1881" t="n">
        <f aca="false">I21/I20-1</f>
        <v>0.0759336099585062</v>
      </c>
      <c r="R21" s="25"/>
      <c r="S21" s="25"/>
      <c r="T21" s="25"/>
    </row>
    <row r="22" customFormat="false" ht="13" hidden="false" customHeight="false" outlineLevel="0" collapsed="false">
      <c r="A22" s="1871" t="n">
        <f aca="false">A21+1</f>
        <v>1883</v>
      </c>
      <c r="B22" s="1872" t="n">
        <f aca="false">100*DataDE1c!AZ46/DataDE1c!AZ$113</f>
        <v>40.2105263157895</v>
      </c>
      <c r="C22" s="1873" t="n">
        <f aca="false">C23/(1+K23)</f>
        <v>39.4031643827477</v>
      </c>
      <c r="D22" s="1874"/>
      <c r="E22" s="1875"/>
      <c r="F22" s="1875"/>
      <c r="G22" s="1876" t="n">
        <v>124.083333333333</v>
      </c>
      <c r="H22" s="1876" t="n">
        <v>270.583333333333</v>
      </c>
      <c r="I22" s="1876" t="n">
        <v>229.166666666667</v>
      </c>
      <c r="J22" s="1877" t="n">
        <f aca="false">B22/B21-1</f>
        <v>-0.00195950359242314</v>
      </c>
      <c r="K22" s="1878" t="n">
        <f aca="false">DataDE1c!BB46/DataDE1c!BB45-1</f>
        <v>-0.0257668711656441</v>
      </c>
      <c r="L22" s="1879"/>
      <c r="M22" s="1880"/>
      <c r="N22" s="1880"/>
      <c r="O22" s="1880" t="n">
        <f aca="false">G22/G21-1</f>
        <v>0.00880758807588067</v>
      </c>
      <c r="P22" s="1880" t="n">
        <f aca="false">H22/H21-1</f>
        <v>0.057999348321929</v>
      </c>
      <c r="Q22" s="1881" t="n">
        <f aca="false">I22/I21-1</f>
        <v>0.0605476282298496</v>
      </c>
      <c r="R22" s="25"/>
      <c r="S22" s="25"/>
      <c r="T22" s="25"/>
    </row>
    <row r="23" customFormat="false" ht="13" hidden="false" customHeight="false" outlineLevel="0" collapsed="false">
      <c r="A23" s="1871" t="n">
        <f aca="false">A22+1</f>
        <v>1884</v>
      </c>
      <c r="B23" s="1872" t="n">
        <f aca="false">100*DataDE1c!AZ47/DataDE1c!AZ$113</f>
        <v>38.6315789473684</v>
      </c>
      <c r="C23" s="1873" t="n">
        <f aca="false">C24/(1+K24)</f>
        <v>39.0061551698233</v>
      </c>
      <c r="D23" s="1874"/>
      <c r="E23" s="1875"/>
      <c r="F23" s="1875"/>
      <c r="G23" s="1876" t="n">
        <v>119.333333333333</v>
      </c>
      <c r="H23" s="1876" t="n">
        <v>273</v>
      </c>
      <c r="I23" s="1876" t="n">
        <v>241.083333333333</v>
      </c>
      <c r="J23" s="1877" t="n">
        <f aca="false">B23/B22-1</f>
        <v>-0.0392670157068061</v>
      </c>
      <c r="K23" s="1878" t="n">
        <f aca="false">DataDE1c!BB47/DataDE1c!BB46-1</f>
        <v>-0.0100755667506298</v>
      </c>
      <c r="L23" s="1879"/>
      <c r="M23" s="1880"/>
      <c r="N23" s="1880"/>
      <c r="O23" s="1880" t="n">
        <f aca="false">G23/G22-1</f>
        <v>-0.0382807253190061</v>
      </c>
      <c r="P23" s="1880" t="n">
        <f aca="false">H23/H22-1</f>
        <v>0.0089313212195874</v>
      </c>
      <c r="Q23" s="1881" t="n">
        <f aca="false">I23/I22-1</f>
        <v>0.052</v>
      </c>
      <c r="R23" s="25"/>
      <c r="S23" s="25"/>
      <c r="T23" s="25"/>
    </row>
    <row r="24" customFormat="false" ht="13" hidden="false" customHeight="false" outlineLevel="0" collapsed="false">
      <c r="A24" s="1871" t="n">
        <f aca="false">A23+1</f>
        <v>1885</v>
      </c>
      <c r="B24" s="1872" t="n">
        <f aca="false">100*DataDE1c!AZ48/DataDE1c!AZ$113</f>
        <v>37.5789473684211</v>
      </c>
      <c r="C24" s="1873" t="n">
        <f aca="false">C25/(1+K25)</f>
        <v>38.1128844407434</v>
      </c>
      <c r="D24" s="1874"/>
      <c r="E24" s="1875"/>
      <c r="F24" s="1875"/>
      <c r="G24" s="1876" t="n">
        <v>114.75</v>
      </c>
      <c r="H24" s="1876" t="n">
        <v>276.166666666667</v>
      </c>
      <c r="I24" s="1876" t="n">
        <v>250.666666666667</v>
      </c>
      <c r="J24" s="1877" t="n">
        <f aca="false">B24/B23-1</f>
        <v>-0.0272479564032694</v>
      </c>
      <c r="K24" s="1878" t="n">
        <f aca="false">DataDE1c!BB48/DataDE1c!BB47-1</f>
        <v>-0.0229007633587786</v>
      </c>
      <c r="L24" s="1879"/>
      <c r="M24" s="1880"/>
      <c r="N24" s="1880"/>
      <c r="O24" s="1880" t="n">
        <f aca="false">G24/G23-1</f>
        <v>-0.0384078212290503</v>
      </c>
      <c r="P24" s="1880" t="n">
        <f aca="false">H24/H23-1</f>
        <v>0.0115995115995116</v>
      </c>
      <c r="Q24" s="1881" t="n">
        <f aca="false">I24/I23-1</f>
        <v>0.0397511234013135</v>
      </c>
      <c r="R24" s="25"/>
      <c r="S24" s="25"/>
      <c r="T24" s="25"/>
    </row>
    <row r="25" customFormat="false" ht="13" hidden="false" customHeight="false" outlineLevel="0" collapsed="false">
      <c r="A25" s="1871" t="n">
        <f aca="false">A24+1</f>
        <v>1886</v>
      </c>
      <c r="B25" s="1872" t="n">
        <f aca="false">100*DataDE1c!AZ49/DataDE1c!AZ$113</f>
        <v>37</v>
      </c>
      <c r="C25" s="1873" t="n">
        <f aca="false">C26/(1+K26)</f>
        <v>37.8647536826656</v>
      </c>
      <c r="D25" s="1874"/>
      <c r="E25" s="1875"/>
      <c r="F25" s="1875"/>
      <c r="G25" s="1876" t="n">
        <v>116.083333333333</v>
      </c>
      <c r="H25" s="1876" t="n">
        <v>292.25</v>
      </c>
      <c r="I25" s="1876" t="n">
        <v>268.916666666667</v>
      </c>
      <c r="J25" s="1877" t="n">
        <f aca="false">B25/B24-1</f>
        <v>-0.0154061624649861</v>
      </c>
      <c r="K25" s="1878" t="n">
        <f aca="false">DataDE1c!BB49/DataDE1c!BB48-1</f>
        <v>-0.00651041666666663</v>
      </c>
      <c r="L25" s="1879"/>
      <c r="M25" s="1880"/>
      <c r="N25" s="1880"/>
      <c r="O25" s="1880" t="n">
        <f aca="false">G25/G24-1</f>
        <v>0.0116194625998547</v>
      </c>
      <c r="P25" s="1880" t="n">
        <f aca="false">H25/H24-1</f>
        <v>0.0582377791188895</v>
      </c>
      <c r="Q25" s="1881" t="n">
        <f aca="false">I25/I24-1</f>
        <v>0.0728058510638299</v>
      </c>
      <c r="R25" s="25"/>
      <c r="S25" s="25"/>
      <c r="T25" s="25"/>
    </row>
    <row r="26" customFormat="false" ht="13" hidden="false" customHeight="false" outlineLevel="0" collapsed="false">
      <c r="A26" s="1871" t="n">
        <f aca="false">A25+1</f>
        <v>1887</v>
      </c>
      <c r="B26" s="1872" t="n">
        <f aca="false">100*DataDE1c!AZ50/DataDE1c!AZ$113</f>
        <v>37</v>
      </c>
      <c r="C26" s="1873" t="n">
        <f aca="false">C27/(1+K27)</f>
        <v>38.0632582891278</v>
      </c>
      <c r="D26" s="1874"/>
      <c r="E26" s="1875"/>
      <c r="F26" s="1875"/>
      <c r="G26" s="1876" t="n">
        <v>118.916666666667</v>
      </c>
      <c r="H26" s="1876" t="n">
        <v>313.25</v>
      </c>
      <c r="I26" s="1876" t="n">
        <v>288.416666666667</v>
      </c>
      <c r="J26" s="1877" t="n">
        <f aca="false">B26/B25-1</f>
        <v>0</v>
      </c>
      <c r="K26" s="1878" t="n">
        <f aca="false">DataDE1c!BB50/DataDE1c!BB49-1</f>
        <v>0.00524246395806038</v>
      </c>
      <c r="L26" s="1879"/>
      <c r="M26" s="1880"/>
      <c r="N26" s="1880"/>
      <c r="O26" s="1880" t="n">
        <f aca="false">G26/G25-1</f>
        <v>0.0244077530509692</v>
      </c>
      <c r="P26" s="1880" t="n">
        <f aca="false">H26/H25-1</f>
        <v>0.0718562874251496</v>
      </c>
      <c r="Q26" s="1881" t="n">
        <f aca="false">I26/I25-1</f>
        <v>0.0725131701270529</v>
      </c>
      <c r="R26" s="25"/>
      <c r="S26" s="25"/>
      <c r="T26" s="25"/>
    </row>
    <row r="27" customFormat="false" ht="13" hidden="false" customHeight="false" outlineLevel="0" collapsed="false">
      <c r="A27" s="1871" t="n">
        <f aca="false">A26+1</f>
        <v>1888</v>
      </c>
      <c r="B27" s="1872" t="n">
        <f aca="false">100*DataDE1c!AZ51/DataDE1c!AZ$113</f>
        <v>37.5263157894737</v>
      </c>
      <c r="C27" s="1873" t="n">
        <f aca="false">C28/(1+K28)</f>
        <v>38.8572767149767</v>
      </c>
      <c r="D27" s="1874"/>
      <c r="E27" s="1875"/>
      <c r="F27" s="1875"/>
      <c r="G27" s="1876" t="n">
        <v>136.083333333333</v>
      </c>
      <c r="H27" s="1876" t="n">
        <v>375.333333333333</v>
      </c>
      <c r="I27" s="1876" t="n">
        <v>340.5</v>
      </c>
      <c r="J27" s="1877" t="n">
        <f aca="false">B27/B26-1</f>
        <v>0.0142247510668561</v>
      </c>
      <c r="K27" s="1878" t="n">
        <f aca="false">DataDE1c!BB51/DataDE1c!BB50-1</f>
        <v>0.0208604954367666</v>
      </c>
      <c r="L27" s="1879"/>
      <c r="M27" s="1880"/>
      <c r="N27" s="1880"/>
      <c r="O27" s="1880" t="n">
        <f aca="false">G27/G26-1</f>
        <v>0.144358794674142</v>
      </c>
      <c r="P27" s="1880" t="n">
        <f aca="false">H27/H26-1</f>
        <v>0.198191008246874</v>
      </c>
      <c r="Q27" s="1881" t="n">
        <f aca="false">I27/I26-1</f>
        <v>0.180583646344987</v>
      </c>
      <c r="R27" s="25"/>
      <c r="S27" s="25"/>
      <c r="T27" s="25"/>
    </row>
    <row r="28" customFormat="false" ht="13" hidden="false" customHeight="false" outlineLevel="0" collapsed="false">
      <c r="A28" s="1871" t="n">
        <f aca="false">A27+1</f>
        <v>1889</v>
      </c>
      <c r="B28" s="1872" t="n">
        <f aca="false">100*DataDE1c!AZ52/DataDE1c!AZ$113</f>
        <v>38.9210526315789</v>
      </c>
      <c r="C28" s="1873" t="n">
        <f aca="false">C29/(1+K29)</f>
        <v>40.0483043537499</v>
      </c>
      <c r="D28" s="1874"/>
      <c r="E28" s="1875"/>
      <c r="F28" s="1875"/>
      <c r="G28" s="1876" t="n">
        <v>165.75</v>
      </c>
      <c r="H28" s="1876" t="n">
        <v>480.416666666667</v>
      </c>
      <c r="I28" s="1876" t="n">
        <v>420</v>
      </c>
      <c r="J28" s="1877" t="n">
        <f aca="false">B28/B27-1</f>
        <v>0.0371669004207571</v>
      </c>
      <c r="K28" s="1878" t="n">
        <f aca="false">DataDE1c!BB52/DataDE1c!BB51-1</f>
        <v>0.0306513409961686</v>
      </c>
      <c r="L28" s="1879"/>
      <c r="M28" s="1880"/>
      <c r="N28" s="1880"/>
      <c r="O28" s="1880" t="n">
        <f aca="false">G28/G27-1</f>
        <v>0.218003674219228</v>
      </c>
      <c r="P28" s="1880" t="n">
        <f aca="false">H28/H27-1</f>
        <v>0.279973357015986</v>
      </c>
      <c r="Q28" s="1892" t="n">
        <f aca="false">I28/I27-1</f>
        <v>0.233480176211454</v>
      </c>
      <c r="R28" s="25"/>
      <c r="S28" s="25"/>
      <c r="T28" s="25"/>
    </row>
    <row r="29" customFormat="false" ht="13" hidden="false" customHeight="false" outlineLevel="0" collapsed="false">
      <c r="A29" s="1893" t="n">
        <f aca="false">A28+1</f>
        <v>1890</v>
      </c>
      <c r="B29" s="1894" t="n">
        <f aca="false">100*DataDE1c!AZ53/DataDE1c!AZ$113</f>
        <v>40.2105263157895</v>
      </c>
      <c r="C29" s="1895" t="n">
        <f aca="false">C30/(1+K30)</f>
        <v>41.0904535376765</v>
      </c>
      <c r="D29" s="1896"/>
      <c r="E29" s="1897"/>
      <c r="F29" s="1897"/>
      <c r="G29" s="1898" t="n">
        <v>161.083333333333</v>
      </c>
      <c r="H29" s="1898" t="n">
        <v>492.75</v>
      </c>
      <c r="I29" s="1898" t="n">
        <v>417.5</v>
      </c>
      <c r="J29" s="1899" t="n">
        <f aca="false">B29/B28-1</f>
        <v>0.0331304935767414</v>
      </c>
      <c r="K29" s="1900" t="n">
        <f aca="false">DataDE1c!BB53/DataDE1c!BB52-1</f>
        <v>0.0260223048327137</v>
      </c>
      <c r="L29" s="1901"/>
      <c r="M29" s="1902"/>
      <c r="N29" s="1902"/>
      <c r="O29" s="1902" t="n">
        <f aca="false">G29/G28-1</f>
        <v>-0.0281548516842634</v>
      </c>
      <c r="P29" s="1902" t="n">
        <f aca="false">H29/H28-1</f>
        <v>0.0256721595836946</v>
      </c>
      <c r="Q29" s="1881" t="n">
        <f aca="false">I29/I28-1</f>
        <v>-0.00595238095238093</v>
      </c>
      <c r="R29" s="25"/>
      <c r="S29" s="25"/>
      <c r="T29" s="25"/>
    </row>
    <row r="30" customFormat="false" ht="13" hidden="false" customHeight="false" outlineLevel="0" collapsed="false">
      <c r="A30" s="1871" t="n">
        <f aca="false">A29+1</f>
        <v>1891</v>
      </c>
      <c r="B30" s="1872" t="n">
        <f aca="false">100*DataDE1c!AZ54/DataDE1c!AZ$113</f>
        <v>41.0263157894737</v>
      </c>
      <c r="C30" s="1873" t="n">
        <f aca="false">C31/(1+K31)</f>
        <v>40.7926966279832</v>
      </c>
      <c r="D30" s="1874"/>
      <c r="E30" s="1875"/>
      <c r="F30" s="1875"/>
      <c r="G30" s="1876" t="n">
        <v>139.583333333333</v>
      </c>
      <c r="H30" s="1876" t="n">
        <v>452.75</v>
      </c>
      <c r="I30" s="1876" t="n">
        <v>376.25</v>
      </c>
      <c r="J30" s="1877" t="n">
        <f aca="false">B30/B29-1</f>
        <v>0.0202879581151829</v>
      </c>
      <c r="K30" s="1878" t="n">
        <f aca="false">DataDE1c!BB54/DataDE1c!BB53-1</f>
        <v>-0.00724637681159412</v>
      </c>
      <c r="L30" s="1879"/>
      <c r="M30" s="1880"/>
      <c r="N30" s="1880"/>
      <c r="O30" s="1880" t="n">
        <f aca="false">G30/G29-1</f>
        <v>-0.13347128815313</v>
      </c>
      <c r="P30" s="1880" t="n">
        <f aca="false">H30/H29-1</f>
        <v>-0.0811770674784373</v>
      </c>
      <c r="Q30" s="1881" t="n">
        <f aca="false">I30/I29-1</f>
        <v>-0.0988023952095808</v>
      </c>
      <c r="R30" s="25"/>
      <c r="S30" s="25"/>
      <c r="T30" s="25"/>
    </row>
    <row r="31" customFormat="false" ht="13" hidden="false" customHeight="false" outlineLevel="0" collapsed="false">
      <c r="A31" s="1871" t="n">
        <f aca="false">A30+1</f>
        <v>1892</v>
      </c>
      <c r="B31" s="1872" t="n">
        <f aca="false">100*DataDE1c!AZ55/DataDE1c!AZ$113</f>
        <v>40.7894736842105</v>
      </c>
      <c r="C31" s="1873" t="n">
        <f aca="false">C32/(1+K32)</f>
        <v>41.0408273860609</v>
      </c>
      <c r="D31" s="1874"/>
      <c r="E31" s="1875"/>
      <c r="F31" s="1875"/>
      <c r="G31" s="1876" t="n">
        <v>133.166666666667</v>
      </c>
      <c r="H31" s="1876" t="n">
        <v>455.916666666667</v>
      </c>
      <c r="I31" s="1876" t="n">
        <v>381</v>
      </c>
      <c r="J31" s="1877" t="n">
        <f aca="false">B31/B30-1</f>
        <v>-0.00577293136626011</v>
      </c>
      <c r="K31" s="1878" t="n">
        <f aca="false">DataDE1c!BB55/DataDE1c!BB54-1</f>
        <v>0.0060827250608273</v>
      </c>
      <c r="L31" s="1879"/>
      <c r="M31" s="1880"/>
      <c r="N31" s="1880"/>
      <c r="O31" s="1880" t="n">
        <f aca="false">G31/G30-1</f>
        <v>-0.0459701492537314</v>
      </c>
      <c r="P31" s="1880" t="n">
        <f aca="false">H31/H30-1</f>
        <v>0.00699429412847419</v>
      </c>
      <c r="Q31" s="1881" t="n">
        <f aca="false">I31/I30-1</f>
        <v>0.0126245847176081</v>
      </c>
      <c r="R31" s="25"/>
      <c r="S31" s="25"/>
      <c r="T31" s="25"/>
    </row>
    <row r="32" customFormat="false" ht="13" hidden="false" customHeight="false" outlineLevel="0" collapsed="false">
      <c r="A32" s="1871" t="n">
        <f aca="false">A31+1</f>
        <v>1893</v>
      </c>
      <c r="B32" s="1872" t="n">
        <f aca="false">100*DataDE1c!AZ56/DataDE1c!AZ$113</f>
        <v>40.2105263157895</v>
      </c>
      <c r="C32" s="1873" t="n">
        <f aca="false">C33/(1+K33)</f>
        <v>38.6091459568989</v>
      </c>
      <c r="D32" s="1874"/>
      <c r="E32" s="1875"/>
      <c r="F32" s="1875"/>
      <c r="G32" s="1876" t="n">
        <v>133.75</v>
      </c>
      <c r="H32" s="1876" t="n">
        <v>480.583333333333</v>
      </c>
      <c r="I32" s="1876" t="n">
        <v>406.833333333333</v>
      </c>
      <c r="J32" s="1877" t="n">
        <f aca="false">B32/B31-1</f>
        <v>-0.014193548387097</v>
      </c>
      <c r="K32" s="1878" t="n">
        <f aca="false">DataDE1c!BB56/DataDE1c!BB55-1</f>
        <v>-0.0592503022974608</v>
      </c>
      <c r="L32" s="1879"/>
      <c r="M32" s="1880"/>
      <c r="N32" s="1880"/>
      <c r="O32" s="1880" t="n">
        <f aca="false">G32/G31-1</f>
        <v>0.00438047559449317</v>
      </c>
      <c r="P32" s="1880" t="n">
        <f aca="false">H32/H31-1</f>
        <v>0.0541034545786876</v>
      </c>
      <c r="Q32" s="1881" t="n">
        <f aca="false">I32/I31-1</f>
        <v>0.0678040244969378</v>
      </c>
      <c r="R32" s="25"/>
      <c r="S32" s="25"/>
      <c r="T32" s="25"/>
    </row>
    <row r="33" customFormat="false" ht="13" hidden="false" customHeight="false" outlineLevel="0" collapsed="false">
      <c r="A33" s="1871" t="n">
        <f aca="false">A32+1</f>
        <v>1894</v>
      </c>
      <c r="B33" s="1872" t="n">
        <f aca="false">100*DataDE1c!AZ57/DataDE1c!AZ$113</f>
        <v>39.6315789473684</v>
      </c>
      <c r="C33" s="1873" t="n">
        <f aca="false">C34/(1+K34)</f>
        <v>38.1128844407434</v>
      </c>
      <c r="D33" s="1874"/>
      <c r="E33" s="1875"/>
      <c r="F33" s="1875"/>
      <c r="G33" s="1876" t="n">
        <v>143.833333333333</v>
      </c>
      <c r="H33" s="1876" t="n">
        <v>541.583333333333</v>
      </c>
      <c r="I33" s="1876" t="n">
        <v>465.333333333333</v>
      </c>
      <c r="J33" s="1877" t="n">
        <f aca="false">B33/B32-1</f>
        <v>-0.0143979057591622</v>
      </c>
      <c r="K33" s="1878" t="n">
        <f aca="false">DataDE1c!BB57/DataDE1c!BB56-1</f>
        <v>-0.012853470437018</v>
      </c>
      <c r="L33" s="1879"/>
      <c r="M33" s="1880"/>
      <c r="N33" s="1880"/>
      <c r="O33" s="1880" t="n">
        <f aca="false">G33/G32-1</f>
        <v>0.0753894080996886</v>
      </c>
      <c r="P33" s="1880" t="n">
        <f aca="false">H33/H32-1</f>
        <v>0.126929079243975</v>
      </c>
      <c r="Q33" s="1881" t="n">
        <f aca="false">I33/I32-1</f>
        <v>0.143793527242933</v>
      </c>
      <c r="R33" s="25"/>
      <c r="S33" s="25"/>
      <c r="T33" s="25"/>
    </row>
    <row r="34" customFormat="false" ht="13" hidden="false" customHeight="false" outlineLevel="0" collapsed="false">
      <c r="A34" s="1871" t="n">
        <f aca="false">A33+1</f>
        <v>1895</v>
      </c>
      <c r="B34" s="1872" t="n">
        <f aca="false">100*DataDE1c!AZ58/DataDE1c!AZ$113</f>
        <v>39.3684210526316</v>
      </c>
      <c r="C34" s="1873" t="n">
        <f aca="false">C35/(1+K35)</f>
        <v>38.26176289559</v>
      </c>
      <c r="D34" s="1874"/>
      <c r="E34" s="1875"/>
      <c r="F34" s="1875"/>
      <c r="G34" s="1876" t="n">
        <v>162.25</v>
      </c>
      <c r="H34" s="1876" t="n">
        <v>640.75</v>
      </c>
      <c r="I34" s="1876" t="n">
        <v>555</v>
      </c>
      <c r="J34" s="1877" t="n">
        <f aca="false">B34/B33-1</f>
        <v>-0.00664010624169986</v>
      </c>
      <c r="K34" s="1878" t="n">
        <f aca="false">DataDE1c!BB58/DataDE1c!BB57-1</f>
        <v>0.00390625</v>
      </c>
      <c r="L34" s="1879"/>
      <c r="M34" s="1880"/>
      <c r="N34" s="1880"/>
      <c r="O34" s="1880" t="n">
        <f aca="false">G34/G33-1</f>
        <v>0.128041714947856</v>
      </c>
      <c r="P34" s="1880" t="n">
        <f aca="false">H34/H33-1</f>
        <v>0.183105093091245</v>
      </c>
      <c r="Q34" s="1881" t="n">
        <f aca="false">I34/I33-1</f>
        <v>0.19269340974212</v>
      </c>
      <c r="R34" s="25"/>
      <c r="S34" s="25"/>
      <c r="T34" s="25"/>
    </row>
    <row r="35" customFormat="false" ht="13" hidden="false" customHeight="false" outlineLevel="0" collapsed="false">
      <c r="A35" s="1871" t="n">
        <f aca="false">A34+1</f>
        <v>1896</v>
      </c>
      <c r="B35" s="1872" t="n">
        <f aca="false">100*DataDE1c!AZ59/DataDE1c!AZ$113</f>
        <v>38.5</v>
      </c>
      <c r="C35" s="1873" t="n">
        <f aca="false">C36/(1+K36)</f>
        <v>38.8572767149767</v>
      </c>
      <c r="D35" s="1874"/>
      <c r="E35" s="1875"/>
      <c r="F35" s="1875"/>
      <c r="G35" s="1876" t="n">
        <v>167.25</v>
      </c>
      <c r="H35" s="1876" t="n">
        <v>691.583333333333</v>
      </c>
      <c r="I35" s="1876" t="n">
        <v>612.833333333333</v>
      </c>
      <c r="J35" s="1877" t="n">
        <f aca="false">B35/B34-1</f>
        <v>-0.0220588235294117</v>
      </c>
      <c r="K35" s="1878" t="n">
        <f aca="false">DataDE1c!BB59/DataDE1c!BB58-1</f>
        <v>0.0155642023346303</v>
      </c>
      <c r="L35" s="1879"/>
      <c r="M35" s="1880"/>
      <c r="N35" s="1880"/>
      <c r="O35" s="1880" t="n">
        <f aca="false">G35/G34-1</f>
        <v>0.0308166409861326</v>
      </c>
      <c r="P35" s="1880" t="n">
        <f aca="false">H35/H34-1</f>
        <v>0.0793341136688777</v>
      </c>
      <c r="Q35" s="1881" t="n">
        <f aca="false">I35/I34-1</f>
        <v>0.104204204204204</v>
      </c>
      <c r="R35" s="25"/>
      <c r="S35" s="25"/>
      <c r="T35" s="25"/>
    </row>
    <row r="36" customFormat="false" ht="13" hidden="false" customHeight="false" outlineLevel="0" collapsed="false">
      <c r="A36" s="1871" t="n">
        <f aca="false">A35+1</f>
        <v>1897</v>
      </c>
      <c r="B36" s="1872" t="n">
        <f aca="false">100*DataDE1c!AZ60/DataDE1c!AZ$113</f>
        <v>39.5526315789474</v>
      </c>
      <c r="C36" s="1873" t="n">
        <f aca="false">C37/(1+K37)</f>
        <v>39.8001735956721</v>
      </c>
      <c r="D36" s="1874"/>
      <c r="E36" s="1875"/>
      <c r="F36" s="1875"/>
      <c r="G36" s="1876" t="n">
        <v>176.75</v>
      </c>
      <c r="H36" s="1876" t="n">
        <v>770.25</v>
      </c>
      <c r="I36" s="1876" t="n">
        <v>664.166666666667</v>
      </c>
      <c r="J36" s="1877" t="n">
        <f aca="false">B36/B35-1</f>
        <v>0.0273410799726586</v>
      </c>
      <c r="K36" s="1878" t="n">
        <f aca="false">DataDE1c!BB60/DataDE1c!BB59-1</f>
        <v>0.0242656449553003</v>
      </c>
      <c r="L36" s="1879"/>
      <c r="M36" s="1880"/>
      <c r="N36" s="1880"/>
      <c r="O36" s="1880" t="n">
        <f aca="false">G36/G35-1</f>
        <v>0.0568011958146488</v>
      </c>
      <c r="P36" s="1880" t="n">
        <f aca="false">H36/H35-1</f>
        <v>0.11374864441499</v>
      </c>
      <c r="Q36" s="1881" t="n">
        <f aca="false">I36/I35-1</f>
        <v>0.0837639379929289</v>
      </c>
      <c r="R36" s="25"/>
      <c r="S36" s="25"/>
      <c r="T36" s="25"/>
    </row>
    <row r="37" customFormat="false" ht="13" hidden="false" customHeight="false" outlineLevel="0" collapsed="false">
      <c r="A37" s="1871" t="n">
        <f aca="false">A36+1</f>
        <v>1898</v>
      </c>
      <c r="B37" s="1872" t="n">
        <f aca="false">100*DataDE1c!AZ61/DataDE1c!AZ$113</f>
        <v>40.9210526315789</v>
      </c>
      <c r="C37" s="1873" t="n">
        <f aca="false">C38/(1+K38)</f>
        <v>39.9986782021343</v>
      </c>
      <c r="D37" s="1874"/>
      <c r="E37" s="1875"/>
      <c r="F37" s="1875"/>
      <c r="G37" s="1876" t="n">
        <v>182.333333333333</v>
      </c>
      <c r="H37" s="1876" t="n">
        <v>838.166666666667</v>
      </c>
      <c r="I37" s="1876" t="n">
        <v>697.25</v>
      </c>
      <c r="J37" s="1877" t="n">
        <f aca="false">B37/B36-1</f>
        <v>0.0345974717232203</v>
      </c>
      <c r="K37" s="1878" t="n">
        <f aca="false">DataDE1c!BB61/DataDE1c!BB60-1</f>
        <v>0.00498753117206974</v>
      </c>
      <c r="L37" s="1879"/>
      <c r="M37" s="1880"/>
      <c r="N37" s="1880"/>
      <c r="O37" s="1880" t="n">
        <f aca="false">G37/G36-1</f>
        <v>0.0315888731730316</v>
      </c>
      <c r="P37" s="1880" t="n">
        <f aca="false">H37/H36-1</f>
        <v>0.088174835010278</v>
      </c>
      <c r="Q37" s="1881" t="n">
        <f aca="false">I37/I36-1</f>
        <v>0.0498117942283565</v>
      </c>
      <c r="R37" s="25"/>
      <c r="S37" s="25"/>
      <c r="T37" s="25"/>
    </row>
    <row r="38" customFormat="false" ht="13" hidden="false" customHeight="false" outlineLevel="0" collapsed="false">
      <c r="A38" s="1882" t="n">
        <f aca="false">A37+1</f>
        <v>1899</v>
      </c>
      <c r="B38" s="1883" t="n">
        <f aca="false">100*DataDE1c!AZ62/DataDE1c!AZ$113</f>
        <v>40.5789473684211</v>
      </c>
      <c r="C38" s="1884" t="n">
        <f aca="false">C39/(1+K39)</f>
        <v>41.5370889022164</v>
      </c>
      <c r="D38" s="1885"/>
      <c r="E38" s="1886"/>
      <c r="F38" s="1886"/>
      <c r="G38" s="1887" t="n">
        <v>186.166666666667</v>
      </c>
      <c r="H38" s="1887" t="n">
        <v>903.333333333333</v>
      </c>
      <c r="I38" s="1887" t="n">
        <v>758.416666666667</v>
      </c>
      <c r="J38" s="1888" t="n">
        <f aca="false">B38/B37-1</f>
        <v>-0.00836012861736291</v>
      </c>
      <c r="K38" s="1889" t="n">
        <f aca="false">DataDE1c!BB62/DataDE1c!BB61-1</f>
        <v>0.0384615384615386</v>
      </c>
      <c r="L38" s="1890"/>
      <c r="M38" s="1891"/>
      <c r="N38" s="1891"/>
      <c r="O38" s="1891" t="n">
        <f aca="false">G38/G37-1</f>
        <v>0.0210237659963435</v>
      </c>
      <c r="P38" s="1891" t="n">
        <f aca="false">H38/H37-1</f>
        <v>0.0777490554782263</v>
      </c>
      <c r="Q38" s="1892" t="n">
        <f aca="false">I38/I37-1</f>
        <v>0.0877255886219672</v>
      </c>
      <c r="R38" s="25"/>
      <c r="S38" s="25"/>
      <c r="T38" s="25"/>
    </row>
    <row r="39" customFormat="false" ht="13" hidden="false" customHeight="false" outlineLevel="0" collapsed="false">
      <c r="A39" s="1871" t="n">
        <f aca="false">A38+1</f>
        <v>1900</v>
      </c>
      <c r="B39" s="1872" t="n">
        <f aca="false">100*DataDE1c!AZ63/DataDE1c!AZ$113</f>
        <v>41.4736842105263</v>
      </c>
      <c r="C39" s="1873" t="n">
        <f aca="false">C40/(1+K40)</f>
        <v>42.9266211474519</v>
      </c>
      <c r="D39" s="1874"/>
      <c r="E39" s="1875"/>
      <c r="F39" s="1875"/>
      <c r="G39" s="1876" t="n">
        <v>171.583333333333</v>
      </c>
      <c r="H39" s="1876" t="n">
        <v>878.25</v>
      </c>
      <c r="I39" s="1876" t="n">
        <v>723.333333333333</v>
      </c>
      <c r="J39" s="1877" t="n">
        <f aca="false">B39/B38-1</f>
        <v>0.0220492866407263</v>
      </c>
      <c r="K39" s="1878" t="n">
        <f aca="false">DataDE1c!BB63/DataDE1c!BB62-1</f>
        <v>0.0334528076463561</v>
      </c>
      <c r="L39" s="1879"/>
      <c r="M39" s="1880"/>
      <c r="N39" s="1880"/>
      <c r="O39" s="1880" t="n">
        <f aca="false">G39/G38-1</f>
        <v>-0.0783348254252461</v>
      </c>
      <c r="P39" s="1880" t="n">
        <f aca="false">H39/H38-1</f>
        <v>-0.0277675276752768</v>
      </c>
      <c r="Q39" s="1881" t="n">
        <f aca="false">I39/I38-1</f>
        <v>-0.0462586528952862</v>
      </c>
      <c r="R39" s="25"/>
      <c r="S39" s="25"/>
      <c r="T39" s="25"/>
    </row>
    <row r="40" customFormat="false" ht="13" hidden="false" customHeight="false" outlineLevel="0" collapsed="false">
      <c r="A40" s="1871" t="n">
        <f aca="false">A39+1</f>
        <v>1901</v>
      </c>
      <c r="B40" s="1872" t="n">
        <f aca="false">100*DataDE1c!AZ64/DataDE1c!AZ$113</f>
        <v>42.0526315789474</v>
      </c>
      <c r="C40" s="1873" t="n">
        <f aca="false">C41/(1+K41)</f>
        <v>42.0333504183719</v>
      </c>
      <c r="D40" s="1874"/>
      <c r="E40" s="1875"/>
      <c r="F40" s="1875"/>
      <c r="G40" s="1876" t="n">
        <v>153.75</v>
      </c>
      <c r="H40" s="1876" t="n">
        <v>829.833333333333</v>
      </c>
      <c r="I40" s="1876" t="n">
        <v>672.833333333333</v>
      </c>
      <c r="J40" s="1877" t="n">
        <f aca="false">B40/B39-1</f>
        <v>0.0139593908629443</v>
      </c>
      <c r="K40" s="1878" t="n">
        <f aca="false">DataDE1c!BB64/DataDE1c!BB63-1</f>
        <v>-0.0208092485549133</v>
      </c>
      <c r="L40" s="1879"/>
      <c r="M40" s="1880"/>
      <c r="N40" s="1880"/>
      <c r="O40" s="1880" t="n">
        <f aca="false">G40/G39-1</f>
        <v>-0.103933948518698</v>
      </c>
      <c r="P40" s="1880" t="n">
        <f aca="false">H40/H39-1</f>
        <v>-0.0551285700730619</v>
      </c>
      <c r="Q40" s="1881" t="n">
        <f aca="false">I40/I39-1</f>
        <v>-0.069815668202765</v>
      </c>
      <c r="R40" s="25"/>
      <c r="S40" s="25"/>
      <c r="T40" s="25"/>
    </row>
    <row r="41" customFormat="false" ht="13" hidden="false" customHeight="false" outlineLevel="0" collapsed="false">
      <c r="A41" s="1871" t="n">
        <f aca="false">A40+1</f>
        <v>1902</v>
      </c>
      <c r="B41" s="1872" t="n">
        <f aca="false">100*DataDE1c!AZ65/DataDE1c!AZ$113</f>
        <v>42.5263157894737</v>
      </c>
      <c r="C41" s="1873" t="n">
        <f aca="false">C42/(1+K42)</f>
        <v>42.0829765699875</v>
      </c>
      <c r="D41" s="1874"/>
      <c r="E41" s="1875"/>
      <c r="F41" s="1875"/>
      <c r="G41" s="1876" t="n">
        <v>154.583333333333</v>
      </c>
      <c r="H41" s="1876" t="n">
        <v>874.25</v>
      </c>
      <c r="I41" s="1876" t="n">
        <v>700.666666666667</v>
      </c>
      <c r="J41" s="1877" t="n">
        <f aca="false">B41/B40-1</f>
        <v>0.0112640801001251</v>
      </c>
      <c r="K41" s="1878" t="n">
        <f aca="false">DataDE1c!BB65/DataDE1c!BB64-1</f>
        <v>0.00118063754427378</v>
      </c>
      <c r="L41" s="1879"/>
      <c r="M41" s="1880"/>
      <c r="N41" s="1880"/>
      <c r="O41" s="1880" t="n">
        <f aca="false">G41/G40-1</f>
        <v>0.00542005420054204</v>
      </c>
      <c r="P41" s="1880" t="n">
        <f aca="false">H41/H40-1</f>
        <v>0.0535248041775456</v>
      </c>
      <c r="Q41" s="1881" t="n">
        <f aca="false">I41/I40-1</f>
        <v>0.0413673519940549</v>
      </c>
      <c r="R41" s="25"/>
      <c r="S41" s="25"/>
      <c r="T41" s="25"/>
    </row>
    <row r="42" customFormat="false" ht="13" hidden="false" customHeight="false" outlineLevel="0" collapsed="false">
      <c r="A42" s="1871" t="n">
        <f aca="false">A41+1</f>
        <v>1903</v>
      </c>
      <c r="B42" s="1872" t="n">
        <f aca="false">100*DataDE1c!AZ66/DataDE1c!AZ$113</f>
        <v>42.1315789473684</v>
      </c>
      <c r="C42" s="1873" t="n">
        <f aca="false">C43/(1+K43)</f>
        <v>42.2318550248341</v>
      </c>
      <c r="D42" s="1874"/>
      <c r="E42" s="1875"/>
      <c r="F42" s="1875"/>
      <c r="G42" s="1876" t="n">
        <v>161.166666666667</v>
      </c>
      <c r="H42" s="1876" t="n">
        <v>953</v>
      </c>
      <c r="I42" s="1876" t="n">
        <v>770.5</v>
      </c>
      <c r="J42" s="1877" t="n">
        <f aca="false">B42/B41-1</f>
        <v>-0.00928217821782185</v>
      </c>
      <c r="K42" s="1878" t="n">
        <f aca="false">DataDE1c!BB66/DataDE1c!BB65-1</f>
        <v>0.00353773584905648</v>
      </c>
      <c r="L42" s="1879"/>
      <c r="M42" s="1880"/>
      <c r="N42" s="1880"/>
      <c r="O42" s="1880" t="n">
        <f aca="false">G42/G41-1</f>
        <v>0.042587601078167</v>
      </c>
      <c r="P42" s="1880" t="n">
        <f aca="false">H42/H41-1</f>
        <v>0.0900772090363169</v>
      </c>
      <c r="Q42" s="1881" t="n">
        <f aca="false">I42/I41-1</f>
        <v>0.0996669838249287</v>
      </c>
      <c r="R42" s="25"/>
      <c r="S42" s="25"/>
      <c r="T42" s="25"/>
    </row>
    <row r="43" customFormat="false" ht="13" hidden="false" customHeight="false" outlineLevel="0" collapsed="false">
      <c r="A43" s="1871" t="n">
        <f aca="false">A42+1</f>
        <v>1904</v>
      </c>
      <c r="B43" s="1872" t="n">
        <f aca="false">100*DataDE1c!AZ67/DataDE1c!AZ$113</f>
        <v>42.4473684210526</v>
      </c>
      <c r="C43" s="1873" t="n">
        <f aca="false">C44/(1+K44)</f>
        <v>42.4303596312964</v>
      </c>
      <c r="D43" s="1874"/>
      <c r="E43" s="1875"/>
      <c r="F43" s="1875"/>
      <c r="G43" s="1876" t="n">
        <v>172</v>
      </c>
      <c r="H43" s="1903" t="n">
        <v>1068.83333333333</v>
      </c>
      <c r="I43" s="1903" t="n">
        <v>857</v>
      </c>
      <c r="J43" s="1877" t="n">
        <f aca="false">B43/B42-1</f>
        <v>0.00749531542785764</v>
      </c>
      <c r="K43" s="1878" t="n">
        <f aca="false">DataDE1c!BB67/DataDE1c!BB66-1</f>
        <v>0.00470035252643952</v>
      </c>
      <c r="L43" s="1879"/>
      <c r="M43" s="1880"/>
      <c r="N43" s="1880"/>
      <c r="O43" s="1880" t="n">
        <f aca="false">G43/G42-1</f>
        <v>0.0672182006204758</v>
      </c>
      <c r="P43" s="1880" t="n">
        <f aca="false">H43/H42-1</f>
        <v>0.121545995103183</v>
      </c>
      <c r="Q43" s="1881" t="n">
        <f aca="false">I43/I42-1</f>
        <v>0.112264763140818</v>
      </c>
      <c r="R43" s="25"/>
      <c r="S43" s="25"/>
      <c r="T43" s="25"/>
    </row>
    <row r="44" customFormat="false" ht="13" hidden="false" customHeight="false" outlineLevel="0" collapsed="false">
      <c r="A44" s="1871" t="n">
        <f aca="false">A43+1</f>
        <v>1905</v>
      </c>
      <c r="B44" s="1872" t="n">
        <f aca="false">100*DataDE1c!AZ68/DataDE1c!AZ$113</f>
        <v>43.7368421052632</v>
      </c>
      <c r="C44" s="1873" t="n">
        <f aca="false">C45/(1+K45)</f>
        <v>43.7702657249162</v>
      </c>
      <c r="D44" s="1874"/>
      <c r="E44" s="1875"/>
      <c r="F44" s="1875"/>
      <c r="G44" s="1876" t="n">
        <v>188.25</v>
      </c>
      <c r="H44" s="1903" t="n">
        <v>1228.66666666667</v>
      </c>
      <c r="I44" s="1903" t="n">
        <v>957</v>
      </c>
      <c r="J44" s="1877" t="n">
        <f aca="false">B44/B43-1</f>
        <v>0.0303781773093612</v>
      </c>
      <c r="K44" s="1878" t="n">
        <f aca="false">DataDE1c!BB68/DataDE1c!BB67-1</f>
        <v>0.0315789473684212</v>
      </c>
      <c r="L44" s="1879"/>
      <c r="M44" s="1880"/>
      <c r="N44" s="1880"/>
      <c r="O44" s="1880" t="n">
        <f aca="false">G44/G43-1</f>
        <v>0.0944767441860466</v>
      </c>
      <c r="P44" s="1880" t="n">
        <f aca="false">H44/H43-1</f>
        <v>0.149539996881335</v>
      </c>
      <c r="Q44" s="1881" t="n">
        <f aca="false">I44/I43-1</f>
        <v>0.116686114352392</v>
      </c>
      <c r="R44" s="25"/>
      <c r="S44" s="25"/>
      <c r="T44" s="25"/>
    </row>
    <row r="45" customFormat="false" ht="13" hidden="false" customHeight="false" outlineLevel="0" collapsed="false">
      <c r="A45" s="1871" t="n">
        <f aca="false">A44+1</f>
        <v>1906</v>
      </c>
      <c r="B45" s="1872" t="n">
        <f aca="false">100*DataDE1c!AZ69/DataDE1c!AZ$113</f>
        <v>46.7105263157895</v>
      </c>
      <c r="C45" s="1873" t="n">
        <f aca="false">C46/(1+K46)</f>
        <v>45.9538163960005</v>
      </c>
      <c r="D45" s="1874"/>
      <c r="E45" s="1875"/>
      <c r="F45" s="1875"/>
      <c r="G45" s="1876" t="n">
        <v>186.333333333333</v>
      </c>
      <c r="H45" s="1903" t="n">
        <v>1278.33333333333</v>
      </c>
      <c r="I45" s="1903" t="n">
        <v>933.083333333333</v>
      </c>
      <c r="J45" s="1877" t="n">
        <f aca="false">B45/B44-1</f>
        <v>0.067990373044525</v>
      </c>
      <c r="K45" s="1878" t="n">
        <f aca="false">DataDE1c!BB69/DataDE1c!BB68-1</f>
        <v>0.0498866213151927</v>
      </c>
      <c r="L45" s="1879"/>
      <c r="M45" s="1880"/>
      <c r="N45" s="1880"/>
      <c r="O45" s="1880" t="n">
        <f aca="false">G45/G44-1</f>
        <v>-0.010181496237273</v>
      </c>
      <c r="P45" s="1880" t="n">
        <f aca="false">H45/H44-1</f>
        <v>0.0404232230059685</v>
      </c>
      <c r="Q45" s="1881" t="n">
        <f aca="false">I45/I44-1</f>
        <v>-0.0249912922326715</v>
      </c>
      <c r="R45" s="25"/>
      <c r="S45" s="25"/>
      <c r="T45" s="25"/>
    </row>
    <row r="46" customFormat="false" ht="13" hidden="false" customHeight="false" outlineLevel="0" collapsed="false">
      <c r="A46" s="1871" t="n">
        <f aca="false">A45+1</f>
        <v>1907</v>
      </c>
      <c r="B46" s="1872" t="n">
        <f aca="false">100*DataDE1c!AZ70/DataDE1c!AZ$113</f>
        <v>47.5263157894737</v>
      </c>
      <c r="C46" s="1873" t="n">
        <f aca="false">C47/(1+K47)</f>
        <v>46.2515733056938</v>
      </c>
      <c r="D46" s="1874"/>
      <c r="E46" s="1875"/>
      <c r="F46" s="1875"/>
      <c r="G46" s="1876" t="n">
        <v>171.75</v>
      </c>
      <c r="H46" s="1903" t="n">
        <v>1246</v>
      </c>
      <c r="I46" s="1903" t="n">
        <v>894.25</v>
      </c>
      <c r="J46" s="1877" t="n">
        <f aca="false">B46/B45-1</f>
        <v>0.017464788732394</v>
      </c>
      <c r="K46" s="1878" t="n">
        <f aca="false">DataDE1c!BB70/DataDE1c!BB69-1</f>
        <v>0.00647948164146883</v>
      </c>
      <c r="L46" s="1879"/>
      <c r="M46" s="1880"/>
      <c r="N46" s="1880"/>
      <c r="O46" s="1880" t="n">
        <f aca="false">G46/G45-1</f>
        <v>-0.0782647584973167</v>
      </c>
      <c r="P46" s="1880" t="n">
        <f aca="false">H46/H45-1</f>
        <v>-0.0252933507170795</v>
      </c>
      <c r="Q46" s="1881" t="n">
        <f aca="false">I46/I45-1</f>
        <v>-0.0416182906135573</v>
      </c>
      <c r="R46" s="25"/>
      <c r="S46" s="25"/>
      <c r="T46" s="25"/>
    </row>
    <row r="47" customFormat="false" ht="13" hidden="false" customHeight="false" outlineLevel="0" collapsed="false">
      <c r="A47" s="1871" t="n">
        <f aca="false">A46+1</f>
        <v>1908</v>
      </c>
      <c r="B47" s="1872" t="n">
        <f aca="false">100*DataDE1c!AZ71/DataDE1c!AZ$113</f>
        <v>47.3684210526316</v>
      </c>
      <c r="C47" s="1873" t="n">
        <f aca="false">C48/(1+K48)</f>
        <v>45.5568071830761</v>
      </c>
      <c r="D47" s="1874"/>
      <c r="E47" s="1875"/>
      <c r="F47" s="1875"/>
      <c r="G47" s="1876" t="n">
        <v>166.916666666667</v>
      </c>
      <c r="H47" s="1903" t="n">
        <v>1278.58333333333</v>
      </c>
      <c r="I47" s="1903" t="n">
        <v>919.333333333333</v>
      </c>
      <c r="J47" s="1877" t="n">
        <f aca="false">B47/B46-1</f>
        <v>-0.00332225913621242</v>
      </c>
      <c r="K47" s="1878" t="n">
        <f aca="false">DataDE1c!BB71/DataDE1c!BB70-1</f>
        <v>-0.0150214592274679</v>
      </c>
      <c r="L47" s="1879"/>
      <c r="M47" s="1880"/>
      <c r="N47" s="1880"/>
      <c r="O47" s="1880" t="n">
        <f aca="false">G47/G46-1</f>
        <v>-0.0281416787967007</v>
      </c>
      <c r="P47" s="1880" t="n">
        <f aca="false">H47/H46-1</f>
        <v>0.0261503477795613</v>
      </c>
      <c r="Q47" s="1881" t="n">
        <f aca="false">I47/I46-1</f>
        <v>0.0280495759947814</v>
      </c>
      <c r="R47" s="25"/>
      <c r="S47" s="25"/>
      <c r="T47" s="25"/>
    </row>
    <row r="48" customFormat="false" ht="13" hidden="false" customHeight="false" outlineLevel="0" collapsed="false">
      <c r="A48" s="1871" t="n">
        <f aca="false">A47+1</f>
        <v>1909</v>
      </c>
      <c r="B48" s="1872" t="n">
        <f aca="false">100*DataDE1c!AZ72/DataDE1c!AZ$113</f>
        <v>48.2894736842105</v>
      </c>
      <c r="C48" s="1873" t="n">
        <f aca="false">C49/(1+K49)</f>
        <v>46.5989563670027</v>
      </c>
      <c r="D48" s="1874"/>
      <c r="E48" s="1875"/>
      <c r="F48" s="1875"/>
      <c r="G48" s="1876" t="n">
        <v>177.083333333333</v>
      </c>
      <c r="H48" s="1903" t="n">
        <v>1429.58333333333</v>
      </c>
      <c r="I48" s="1903" t="n">
        <v>1008.66666666667</v>
      </c>
      <c r="J48" s="1877" t="n">
        <f aca="false">B48/B47-1</f>
        <v>0.0194444444444442</v>
      </c>
      <c r="K48" s="1878" t="n">
        <f aca="false">DataDE1c!BB72/DataDE1c!BB71-1</f>
        <v>0.0228758169934642</v>
      </c>
      <c r="L48" s="1879"/>
      <c r="M48" s="1880"/>
      <c r="N48" s="1880"/>
      <c r="O48" s="1880" t="n">
        <f aca="false">G48/G47-1</f>
        <v>0.0609086370444334</v>
      </c>
      <c r="P48" s="1880" t="n">
        <f aca="false">H48/H47-1</f>
        <v>0.118099459036694</v>
      </c>
      <c r="Q48" s="1892" t="n">
        <f aca="false">I48/I47-1</f>
        <v>0.0971718636693255</v>
      </c>
      <c r="R48" s="25"/>
      <c r="S48" s="25"/>
      <c r="T48" s="25"/>
    </row>
    <row r="49" customFormat="false" ht="13" hidden="false" customHeight="false" outlineLevel="0" collapsed="false">
      <c r="A49" s="1893" t="n">
        <f aca="false">A48+1</f>
        <v>1910</v>
      </c>
      <c r="B49" s="1894" t="n">
        <f aca="false">100*DataDE1c!AZ73/DataDE1c!AZ$113</f>
        <v>49.2894736842105</v>
      </c>
      <c r="C49" s="1895" t="n">
        <f aca="false">C50/(1+K50)</f>
        <v>48.2862455219314</v>
      </c>
      <c r="D49" s="1896"/>
      <c r="E49" s="1897"/>
      <c r="F49" s="1897"/>
      <c r="G49" s="1898" t="n">
        <v>188.166666666667</v>
      </c>
      <c r="H49" s="1904" t="n">
        <v>1595.66666666667</v>
      </c>
      <c r="I49" s="1904" t="n">
        <v>1101.5</v>
      </c>
      <c r="J49" s="1899" t="n">
        <f aca="false">B49/B48-1</f>
        <v>0.0207084468664851</v>
      </c>
      <c r="K49" s="1900" t="n">
        <f aca="false">DataDE1c!BB73/DataDE1c!BB72-1</f>
        <v>0.0362087326943557</v>
      </c>
      <c r="L49" s="1901"/>
      <c r="M49" s="1902"/>
      <c r="N49" s="1902"/>
      <c r="O49" s="1902" t="n">
        <f aca="false">G49/G48-1</f>
        <v>0.0625882352941176</v>
      </c>
      <c r="P49" s="1902" t="n">
        <f aca="false">H49/H48-1</f>
        <v>0.116176041970271</v>
      </c>
      <c r="Q49" s="1881" t="n">
        <f aca="false">I49/I48-1</f>
        <v>0.0920356906807667</v>
      </c>
      <c r="R49" s="25"/>
      <c r="S49" s="25"/>
      <c r="T49" s="25"/>
    </row>
    <row r="50" customFormat="false" ht="13" hidden="false" customHeight="false" outlineLevel="0" collapsed="false">
      <c r="A50" s="1871" t="n">
        <f aca="false">A49+1</f>
        <v>1911</v>
      </c>
      <c r="B50" s="1872" t="n">
        <f aca="false">100*DataDE1c!AZ74/DataDE1c!AZ$113</f>
        <v>50.8421052631579</v>
      </c>
      <c r="C50" s="1873" t="n">
        <f aca="false">C51/(1+K51)</f>
        <v>48.1373670670848</v>
      </c>
      <c r="D50" s="1874"/>
      <c r="E50" s="1875"/>
      <c r="F50" s="1875"/>
      <c r="G50" s="1876" t="n">
        <v>189.583333333333</v>
      </c>
      <c r="H50" s="1903" t="n">
        <v>1690</v>
      </c>
      <c r="I50" s="1903" t="n">
        <v>1132.16666666667</v>
      </c>
      <c r="J50" s="1877" t="n">
        <f aca="false">B50/B49-1</f>
        <v>0.0315002669514148</v>
      </c>
      <c r="K50" s="1878" t="n">
        <f aca="false">DataDE1c!BB74/DataDE1c!BB73-1</f>
        <v>-0.00308324768756418</v>
      </c>
      <c r="L50" s="1879"/>
      <c r="M50" s="1880"/>
      <c r="N50" s="1880"/>
      <c r="O50" s="1880" t="n">
        <f aca="false">G50/G49-1</f>
        <v>0.00752878653675837</v>
      </c>
      <c r="P50" s="1880" t="n">
        <f aca="false">H50/H49-1</f>
        <v>0.059118445790683</v>
      </c>
      <c r="Q50" s="1881" t="n">
        <f aca="false">I50/I49-1</f>
        <v>0.027840823119988</v>
      </c>
      <c r="R50" s="25"/>
      <c r="S50" s="25"/>
      <c r="T50" s="25"/>
    </row>
    <row r="51" customFormat="false" ht="13" hidden="false" customHeight="false" outlineLevel="0" collapsed="false">
      <c r="A51" s="1871" t="n">
        <f aca="false">A50+1</f>
        <v>1912</v>
      </c>
      <c r="B51" s="1872" t="n">
        <f aca="false">100*DataDE1c!AZ75/DataDE1c!AZ$113</f>
        <v>53.6052631578947</v>
      </c>
      <c r="C51" s="1873" t="n">
        <f aca="false">C52/(1+K52)</f>
        <v>49.328394705858</v>
      </c>
      <c r="D51" s="1874"/>
      <c r="E51" s="1875"/>
      <c r="F51" s="1875"/>
      <c r="G51" s="1876" t="n">
        <v>189.166666666667</v>
      </c>
      <c r="H51" s="1903" t="n">
        <v>1775.58333333333</v>
      </c>
      <c r="I51" s="1903" t="n">
        <v>1128.33333333333</v>
      </c>
      <c r="J51" s="1877" t="n">
        <f aca="false">B51/B50-1</f>
        <v>0.0543478260869563</v>
      </c>
      <c r="K51" s="1878" t="n">
        <f aca="false">DataDE1c!BB75/DataDE1c!BB74-1</f>
        <v>0.0247422680412372</v>
      </c>
      <c r="L51" s="1879"/>
      <c r="M51" s="1880"/>
      <c r="N51" s="1880"/>
      <c r="O51" s="1880" t="n">
        <f aca="false">G51/G50-1</f>
        <v>-0.0021978021978023</v>
      </c>
      <c r="P51" s="1880" t="n">
        <f aca="false">H51/H50-1</f>
        <v>0.0506410256410257</v>
      </c>
      <c r="Q51" s="1881" t="n">
        <f aca="false">I51/I50-1</f>
        <v>-0.00338583836302087</v>
      </c>
      <c r="R51" s="25"/>
      <c r="S51" s="25"/>
      <c r="T51" s="25"/>
    </row>
    <row r="52" customFormat="false" ht="13" hidden="false" customHeight="false" outlineLevel="0" collapsed="false">
      <c r="A52" s="1871" t="n">
        <f aca="false">A51+1</f>
        <v>1913</v>
      </c>
      <c r="B52" s="1872" t="n">
        <f aca="false">100*DataDE1c!AZ76/DataDE1c!AZ$113</f>
        <v>53.9473684210526</v>
      </c>
      <c r="C52" s="1873" t="n">
        <f aca="false">C53/(1+K53)</f>
        <v>49.6261516155513</v>
      </c>
      <c r="D52" s="1874"/>
      <c r="E52" s="1875"/>
      <c r="F52" s="1875"/>
      <c r="G52" s="1876" t="n">
        <v>182.083333333333</v>
      </c>
      <c r="H52" s="1903" t="n">
        <v>1799.25</v>
      </c>
      <c r="I52" s="1903" t="n">
        <v>1136.33333333333</v>
      </c>
      <c r="J52" s="1877" t="n">
        <f aca="false">B52/B51-1</f>
        <v>0.00638193421698596</v>
      </c>
      <c r="K52" s="1878" t="n">
        <f aca="false">DataDE1c!BB76/DataDE1c!BB75-1</f>
        <v>0.00603621730382287</v>
      </c>
      <c r="L52" s="1879"/>
      <c r="M52" s="1880"/>
      <c r="N52" s="1880"/>
      <c r="O52" s="1880" t="n">
        <f aca="false">G52/G51-1</f>
        <v>-0.0374449339207047</v>
      </c>
      <c r="P52" s="1880" t="n">
        <f aca="false">H52/H51-1</f>
        <v>0.0133289529262683</v>
      </c>
      <c r="Q52" s="1881" t="n">
        <f aca="false">I52/I51-1</f>
        <v>0.00709010339734117</v>
      </c>
      <c r="R52" s="25"/>
      <c r="S52" s="176"/>
      <c r="T52" s="176"/>
    </row>
    <row r="53" customFormat="false" ht="13" hidden="false" customHeight="false" outlineLevel="0" collapsed="false">
      <c r="A53" s="1871" t="n">
        <f aca="false">A52+1</f>
        <v>1914</v>
      </c>
      <c r="B53" s="1872" t="n">
        <f aca="false">100*DataDE1c!AZ77/DataDE1c!AZ$113</f>
        <v>55.6052631578947</v>
      </c>
      <c r="C53" s="1873" t="n">
        <f aca="false">C54/(1+K54)</f>
        <v>51.1512479822731</v>
      </c>
      <c r="D53" s="1874"/>
      <c r="E53" s="1875"/>
      <c r="F53" s="1875"/>
      <c r="G53" s="1876" t="n">
        <v>167.75</v>
      </c>
      <c r="H53" s="1903" t="n">
        <v>1744.91666666667</v>
      </c>
      <c r="I53" s="1903" t="n">
        <v>1082.66666666667</v>
      </c>
      <c r="J53" s="1877" t="n">
        <f aca="false">B53/B52-1</f>
        <v>0.0307317073170732</v>
      </c>
      <c r="K53" s="1878" t="n">
        <f aca="false">J53</f>
        <v>0.0307317073170732</v>
      </c>
      <c r="L53" s="1879"/>
      <c r="M53" s="1880"/>
      <c r="N53" s="1880"/>
      <c r="O53" s="1880" t="n">
        <f aca="false">G53/G52-1</f>
        <v>-0.0787185354691076</v>
      </c>
      <c r="P53" s="1880" t="n">
        <f aca="false">H53/H52-1</f>
        <v>-0.0301977675883469</v>
      </c>
      <c r="Q53" s="1881" t="n">
        <f aca="false">I53/I52-1</f>
        <v>-0.0472279260780286</v>
      </c>
      <c r="R53" s="25"/>
      <c r="S53" s="176"/>
      <c r="T53" s="176"/>
    </row>
    <row r="54" customFormat="false" ht="13" hidden="false" customHeight="false" outlineLevel="0" collapsed="false">
      <c r="A54" s="1871" t="n">
        <f aca="false">A53+1</f>
        <v>1915</v>
      </c>
      <c r="B54" s="1872" t="n">
        <f aca="false">100*DataDE1c!AZ78/DataDE1c!AZ$113</f>
        <v>69.6315789473684</v>
      </c>
      <c r="C54" s="1873" t="n">
        <f aca="false">C55/(1+K55)</f>
        <v>64.0540474023164</v>
      </c>
      <c r="D54" s="1874"/>
      <c r="E54" s="1875"/>
      <c r="F54" s="1875"/>
      <c r="G54" s="1876" t="n">
        <v>153.083333333333</v>
      </c>
      <c r="H54" s="1903" t="n">
        <v>1660.08333333333</v>
      </c>
      <c r="I54" s="1903" t="n">
        <v>811.666666666667</v>
      </c>
      <c r="J54" s="1877" t="n">
        <f aca="false">B54/B53-1</f>
        <v>0.252247988641741</v>
      </c>
      <c r="K54" s="1878" t="n">
        <f aca="false">J54</f>
        <v>0.252247988641741</v>
      </c>
      <c r="L54" s="1879"/>
      <c r="M54" s="1880"/>
      <c r="N54" s="1880"/>
      <c r="O54" s="1880" t="n">
        <f aca="false">G54/G53-1</f>
        <v>-0.087431693989071</v>
      </c>
      <c r="P54" s="1880" t="n">
        <f aca="false">H54/H53-1</f>
        <v>-0.0486174124838819</v>
      </c>
      <c r="Q54" s="1881" t="n">
        <f aca="false">I54/I53-1</f>
        <v>-0.250307881773399</v>
      </c>
      <c r="R54" s="25"/>
      <c r="S54" s="176"/>
      <c r="T54" s="176"/>
    </row>
    <row r="55" customFormat="false" ht="13" hidden="false" customHeight="false" outlineLevel="0" collapsed="false">
      <c r="A55" s="1871" t="n">
        <f aca="false">A54+1</f>
        <v>1916</v>
      </c>
      <c r="B55" s="1872" t="n">
        <f aca="false">100*DataDE1c!AZ79/DataDE1c!AZ$113</f>
        <v>90.7368421052632</v>
      </c>
      <c r="C55" s="1873" t="n">
        <f aca="false">C56/(1+K56)</f>
        <v>83.4687662294736</v>
      </c>
      <c r="D55" s="1874"/>
      <c r="E55" s="1875"/>
      <c r="F55" s="1875"/>
      <c r="G55" s="1876" t="n">
        <v>178.083333333333</v>
      </c>
      <c r="H55" s="1903" t="n">
        <v>2014.5</v>
      </c>
      <c r="I55" s="1903" t="n">
        <v>760.583333333333</v>
      </c>
      <c r="J55" s="1877" t="n">
        <f aca="false">B55/B54-1</f>
        <v>0.303099017384732</v>
      </c>
      <c r="K55" s="1878" t="n">
        <f aca="false">J55</f>
        <v>0.303099017384732</v>
      </c>
      <c r="L55" s="1879"/>
      <c r="M55" s="1880"/>
      <c r="N55" s="1880"/>
      <c r="O55" s="1880" t="n">
        <f aca="false">G55/G54-1</f>
        <v>0.163309744148068</v>
      </c>
      <c r="P55" s="1880" t="n">
        <f aca="false">H55/H54-1</f>
        <v>0.21349329852919</v>
      </c>
      <c r="Q55" s="1881" t="n">
        <f aca="false">I55/I54-1</f>
        <v>-0.0629363449691991</v>
      </c>
      <c r="R55" s="25"/>
      <c r="S55" s="176"/>
      <c r="T55" s="176"/>
    </row>
    <row r="56" customFormat="false" ht="13" hidden="false" customHeight="false" outlineLevel="0" collapsed="false">
      <c r="A56" s="1871" t="n">
        <f aca="false">A55+1</f>
        <v>1917</v>
      </c>
      <c r="B56" s="1872" t="n">
        <f aca="false">100*DataDE1c!AZ80/DataDE1c!AZ$113</f>
        <v>135.184210526316</v>
      </c>
      <c r="C56" s="1873" t="n">
        <f aca="false">C57/(1+K57)</f>
        <v>124.35587358492</v>
      </c>
      <c r="D56" s="1874"/>
      <c r="E56" s="1875"/>
      <c r="F56" s="1875"/>
      <c r="G56" s="1876" t="n">
        <v>215.25</v>
      </c>
      <c r="H56" s="1903" t="n">
        <v>2565.83333333333</v>
      </c>
      <c r="I56" s="1903" t="n">
        <v>648.166666666667</v>
      </c>
      <c r="J56" s="1877" t="n">
        <f aca="false">B56/B55-1</f>
        <v>0.489849187935035</v>
      </c>
      <c r="K56" s="1878" t="n">
        <f aca="false">J56</f>
        <v>0.489849187935035</v>
      </c>
      <c r="L56" s="1879"/>
      <c r="M56" s="1880"/>
      <c r="N56" s="1880"/>
      <c r="O56" s="1880" t="n">
        <f aca="false">G56/G55-1</f>
        <v>0.208703790360318</v>
      </c>
      <c r="P56" s="1880" t="n">
        <f aca="false">H56/H55-1</f>
        <v>0.273682468768098</v>
      </c>
      <c r="Q56" s="1881" t="n">
        <f aca="false">I56/I55-1</f>
        <v>-0.147803221211789</v>
      </c>
      <c r="R56" s="25"/>
      <c r="S56" s="176"/>
      <c r="T56" s="176"/>
    </row>
    <row r="57" customFormat="false" ht="13" hidden="false" customHeight="false" outlineLevel="0" collapsed="false">
      <c r="A57" s="1871" t="n">
        <f aca="false">A56+1</f>
        <v>1918</v>
      </c>
      <c r="B57" s="1872" t="n">
        <f aca="false">100*DataDE1c!AZ81/DataDE1c!AZ$113</f>
        <v>162.052631578947</v>
      </c>
      <c r="C57" s="1873" t="n">
        <f aca="false">C58/(1+K58)</f>
        <v>149.072117877349</v>
      </c>
      <c r="D57" s="1874"/>
      <c r="E57" s="1875"/>
      <c r="F57" s="1875"/>
      <c r="G57" s="1876" t="n">
        <v>220</v>
      </c>
      <c r="H57" s="1903" t="n">
        <v>2737.25</v>
      </c>
      <c r="I57" s="1903" t="n">
        <v>579.333333333333</v>
      </c>
      <c r="J57" s="1877" t="n">
        <f aca="false">B57/B56-1</f>
        <v>0.198754136655635</v>
      </c>
      <c r="K57" s="1878" t="n">
        <f aca="false">J57</f>
        <v>0.198754136655635</v>
      </c>
      <c r="L57" s="1879"/>
      <c r="M57" s="1880"/>
      <c r="N57" s="1880"/>
      <c r="O57" s="1880" t="n">
        <f aca="false">G57/G56-1</f>
        <v>0.0220673635307782</v>
      </c>
      <c r="P57" s="1880" t="n">
        <f aca="false">H57/H56-1</f>
        <v>0.0668074050016239</v>
      </c>
      <c r="Q57" s="1881" t="n">
        <f aca="false">I57/I56-1</f>
        <v>-0.106196965800977</v>
      </c>
      <c r="R57" s="25"/>
      <c r="S57" s="176"/>
      <c r="T57" s="176"/>
    </row>
    <row r="58" customFormat="false" ht="13" hidden="false" customHeight="false" outlineLevel="0" collapsed="false">
      <c r="A58" s="1882" t="n">
        <f aca="false">A57+1</f>
        <v>1919</v>
      </c>
      <c r="B58" s="1883" t="n">
        <f aca="false">100*DataDE1c!AZ82/DataDE1c!AZ$113</f>
        <v>222.236842105263</v>
      </c>
      <c r="C58" s="1884" t="n">
        <f aca="false">C59/(1+K59)</f>
        <v>204.435536777235</v>
      </c>
      <c r="D58" s="1885"/>
      <c r="E58" s="1886"/>
      <c r="F58" s="1886"/>
      <c r="G58" s="1887" t="n">
        <v>162.583333333333</v>
      </c>
      <c r="H58" s="1905" t="n">
        <v>2133.83333333333</v>
      </c>
      <c r="I58" s="1905" t="n">
        <v>332.416666666667</v>
      </c>
      <c r="J58" s="1888" t="n">
        <f aca="false">B58/B57-1</f>
        <v>0.371386813900617</v>
      </c>
      <c r="K58" s="1889" t="n">
        <f aca="false">J58</f>
        <v>0.371386813900617</v>
      </c>
      <c r="L58" s="1890"/>
      <c r="M58" s="1891"/>
      <c r="N58" s="1891"/>
      <c r="O58" s="1891" t="n">
        <f aca="false">G58/G57-1</f>
        <v>-0.260984848484849</v>
      </c>
      <c r="P58" s="1891" t="n">
        <f aca="false">H58/H57-1</f>
        <v>-0.220446311687521</v>
      </c>
      <c r="Q58" s="1892" t="n">
        <f aca="false">I58/I57-1</f>
        <v>-0.426208285385501</v>
      </c>
      <c r="R58" s="25"/>
      <c r="S58" s="176"/>
      <c r="T58" s="176"/>
    </row>
    <row r="59" customFormat="false" ht="13" hidden="false" customHeight="false" outlineLevel="0" collapsed="false">
      <c r="A59" s="1871" t="n">
        <f aca="false">A58+1</f>
        <v>1920</v>
      </c>
      <c r="B59" s="1872" t="n">
        <f aca="false">100*DataDE1c!AZ83/DataDE1c!AZ$113</f>
        <v>545.368421052631</v>
      </c>
      <c r="C59" s="1873" t="n">
        <f aca="false">C60/(1+K60)</f>
        <v>501.684081014968</v>
      </c>
      <c r="D59" s="1874"/>
      <c r="E59" s="1875"/>
      <c r="F59" s="1875"/>
      <c r="G59" s="1876" t="n">
        <v>317.083333333333</v>
      </c>
      <c r="H59" s="1903" t="n">
        <v>4339.33333333333</v>
      </c>
      <c r="I59" s="1903" t="n">
        <v>272.5</v>
      </c>
      <c r="J59" s="1877" t="n">
        <f aca="false">B59/B58-1</f>
        <v>1.45399644760213</v>
      </c>
      <c r="K59" s="1878" t="n">
        <f aca="false">J59</f>
        <v>1.45399644760213</v>
      </c>
      <c r="L59" s="1879"/>
      <c r="M59" s="1880"/>
      <c r="N59" s="1880"/>
      <c r="O59" s="1880" t="n">
        <f aca="false">G59/G58-1</f>
        <v>0.950281906714505</v>
      </c>
      <c r="P59" s="1880" t="n">
        <f aca="false">H59/H58-1</f>
        <v>1.03358587830977</v>
      </c>
      <c r="Q59" s="1881" t="n">
        <f aca="false">I59/I58-1</f>
        <v>-0.180245675607922</v>
      </c>
      <c r="R59" s="25"/>
      <c r="S59" s="176"/>
      <c r="T59" s="176"/>
    </row>
    <row r="60" customFormat="false" ht="13" hidden="false" customHeight="false" outlineLevel="0" collapsed="false">
      <c r="A60" s="1871" t="n">
        <f aca="false">A59+1</f>
        <v>1921</v>
      </c>
      <c r="B60" s="1906" t="n">
        <f aca="false">100*DataDE1c!AZ84/DataDE1c!AZ$113</f>
        <v>717.052631578947</v>
      </c>
      <c r="C60" s="1903" t="n">
        <f aca="false">C61/(1+K61)</f>
        <v>659.616282546606</v>
      </c>
      <c r="D60" s="1907"/>
      <c r="E60" s="1875"/>
      <c r="F60" s="1875"/>
      <c r="G60" s="1876" t="n">
        <v>667.75</v>
      </c>
      <c r="H60" s="1903" t="n">
        <v>9512.91666666667</v>
      </c>
      <c r="I60" s="1903" t="n">
        <v>430.583333333333</v>
      </c>
      <c r="J60" s="1877" t="n">
        <f aca="false">B60/B59-1</f>
        <v>0.314804091874156</v>
      </c>
      <c r="K60" s="1878" t="n">
        <f aca="false">J60</f>
        <v>0.314804091874156</v>
      </c>
      <c r="L60" s="1879"/>
      <c r="M60" s="1880"/>
      <c r="N60" s="1880"/>
      <c r="O60" s="1880" t="n">
        <f aca="false">G60/G59-1</f>
        <v>1.10591327201051</v>
      </c>
      <c r="P60" s="1880" t="n">
        <f aca="false">H60/H59-1</f>
        <v>1.19225303426026</v>
      </c>
      <c r="Q60" s="1881" t="n">
        <f aca="false">I60/I59-1</f>
        <v>0.580122324159021</v>
      </c>
      <c r="R60" s="25"/>
      <c r="S60" s="176"/>
      <c r="T60" s="176"/>
    </row>
    <row r="61" customFormat="false" ht="13" hidden="false" customHeight="false" outlineLevel="0" collapsed="false">
      <c r="A61" s="1871" t="n">
        <f aca="false">A60+1</f>
        <v>1922</v>
      </c>
      <c r="B61" s="1906" t="n">
        <f aca="false">100*DataDE1c!AZ85/DataDE1c!AZ$113</f>
        <v>12931.6567766019</v>
      </c>
      <c r="C61" s="1903" t="n">
        <f aca="false">C62/(1+K62)</f>
        <v>11895.8232554951</v>
      </c>
      <c r="D61" s="1907"/>
      <c r="E61" s="1875"/>
      <c r="F61" s="1875"/>
      <c r="G61" s="1876"/>
      <c r="H61" s="1903"/>
      <c r="I61" s="1903" t="n">
        <v>302.083333333333</v>
      </c>
      <c r="J61" s="1908" t="n">
        <f aca="false">B61/B60-1</f>
        <v>17.0344596855136</v>
      </c>
      <c r="K61" s="1909" t="n">
        <f aca="false">J61</f>
        <v>17.0344596855136</v>
      </c>
      <c r="L61" s="1910"/>
      <c r="M61" s="1880"/>
      <c r="N61" s="1880"/>
      <c r="O61" s="1880"/>
      <c r="P61" s="1880"/>
      <c r="Q61" s="1881" t="n">
        <f aca="false">I61/I60-1</f>
        <v>-0.298432359202632</v>
      </c>
      <c r="R61" s="25"/>
      <c r="S61" s="176"/>
      <c r="T61" s="176"/>
    </row>
    <row r="62" customFormat="false" ht="13" hidden="false" customHeight="false" outlineLevel="0" collapsed="false">
      <c r="A62" s="1871" t="n">
        <f aca="false">A61+1</f>
        <v>1923</v>
      </c>
      <c r="B62" s="1911" t="n">
        <f aca="false">100*DataDE1c!AZ86/DataDE1c!AZ$113</f>
        <v>3666647658023.47</v>
      </c>
      <c r="C62" s="1912" t="n">
        <f aca="false">C63/(1+K63)</f>
        <v>3372946965228.97</v>
      </c>
      <c r="D62" s="1913"/>
      <c r="E62" s="1875"/>
      <c r="F62" s="1875"/>
      <c r="G62" s="1876"/>
      <c r="H62" s="1903"/>
      <c r="I62" s="1903" t="n">
        <v>400.583333333333</v>
      </c>
      <c r="J62" s="1914" t="n">
        <f aca="false">B62/B61-1</f>
        <v>283540439.437436</v>
      </c>
      <c r="K62" s="1912" t="n">
        <f aca="false">J62</f>
        <v>283540439.437436</v>
      </c>
      <c r="L62" s="1913"/>
      <c r="M62" s="1880"/>
      <c r="N62" s="1880"/>
      <c r="O62" s="1880"/>
      <c r="P62" s="1880"/>
      <c r="Q62" s="1881" t="n">
        <f aca="false">I62/I61-1</f>
        <v>0.326068965517241</v>
      </c>
      <c r="R62" s="25"/>
      <c r="S62" s="176"/>
      <c r="T62" s="176"/>
    </row>
    <row r="63" customFormat="false" ht="13" hidden="false" customHeight="false" outlineLevel="0" collapsed="false">
      <c r="A63" s="1871" t="n">
        <f aca="false">A62+1</f>
        <v>1924</v>
      </c>
      <c r="B63" s="1872" t="n">
        <f aca="false">100*DataDE1c!AZ87/DataDE1c!AZ$113</f>
        <v>68.5</v>
      </c>
      <c r="C63" s="1873" t="n">
        <f aca="false">C64/(1+K64)</f>
        <v>63.0132092874779</v>
      </c>
      <c r="D63" s="1874"/>
      <c r="E63" s="1875"/>
      <c r="F63" s="1875"/>
      <c r="G63" s="1876" t="n">
        <v>40.8333333333333</v>
      </c>
      <c r="H63" s="1903" t="n">
        <v>625.5</v>
      </c>
      <c r="I63" s="1903" t="n">
        <v>312.083333333333</v>
      </c>
      <c r="J63" s="1877" t="n">
        <f aca="false">B63/B62-1</f>
        <v>-0.999999999981318</v>
      </c>
      <c r="K63" s="1878" t="n">
        <f aca="false">J63</f>
        <v>-0.999999999981318</v>
      </c>
      <c r="L63" s="1879"/>
      <c r="M63" s="1880"/>
      <c r="N63" s="1880"/>
      <c r="O63" s="1880"/>
      <c r="P63" s="1880"/>
      <c r="Q63" s="1881" t="n">
        <f aca="false">I63/I62-1</f>
        <v>-0.220927813605159</v>
      </c>
      <c r="R63" s="25"/>
      <c r="S63" s="176"/>
      <c r="T63" s="176"/>
    </row>
    <row r="64" customFormat="false" ht="13" hidden="false" customHeight="false" outlineLevel="0" collapsed="false">
      <c r="A64" s="1871" t="n">
        <f aca="false">A63+1</f>
        <v>1925</v>
      </c>
      <c r="B64" s="1872" t="n">
        <f aca="false">100*DataDE1c!AZ88/DataDE1c!AZ$113</f>
        <v>74.921052631579</v>
      </c>
      <c r="C64" s="1873" t="n">
        <f aca="false">C65/(1+K65)</f>
        <v>68.9199411607567</v>
      </c>
      <c r="D64" s="1874"/>
      <c r="E64" s="1875"/>
      <c r="F64" s="1875"/>
      <c r="G64" s="1876" t="n">
        <v>44.3333333333333</v>
      </c>
      <c r="H64" s="1903" t="n">
        <v>722.25</v>
      </c>
      <c r="I64" s="1903" t="n">
        <v>329.75</v>
      </c>
      <c r="J64" s="1877" t="n">
        <f aca="false">B64/B63-1</f>
        <v>0.0937379946215906</v>
      </c>
      <c r="K64" s="1878" t="n">
        <f aca="false">J64</f>
        <v>0.0937379946215906</v>
      </c>
      <c r="L64" s="1879"/>
      <c r="M64" s="1880"/>
      <c r="N64" s="1880"/>
      <c r="O64" s="1880" t="n">
        <f aca="false">G64/G63-1</f>
        <v>0.0857142857142856</v>
      </c>
      <c r="P64" s="1880" t="n">
        <f aca="false">H64/H63-1</f>
        <v>0.154676258992806</v>
      </c>
      <c r="Q64" s="1881" t="n">
        <f aca="false">I64/I63-1</f>
        <v>0.0566088117489987</v>
      </c>
      <c r="R64" s="25"/>
      <c r="S64" s="176"/>
      <c r="T64" s="176"/>
    </row>
    <row r="65" customFormat="false" ht="13" hidden="false" customHeight="false" outlineLevel="0" collapsed="false">
      <c r="A65" s="1871" t="n">
        <f aca="false">A64+1</f>
        <v>1926</v>
      </c>
      <c r="B65" s="1872" t="n">
        <f aca="false">100*DataDE1c!AZ89/DataDE1c!AZ$113</f>
        <v>75.7368421052631</v>
      </c>
      <c r="C65" s="1873" t="n">
        <f aca="false">C66/(1+K66)</f>
        <v>70.793777538825</v>
      </c>
      <c r="D65" s="1874"/>
      <c r="E65" s="1875"/>
      <c r="F65" s="1875"/>
      <c r="G65" s="1876" t="n">
        <v>53.5</v>
      </c>
      <c r="H65" s="1903" t="n">
        <v>924.916666666667</v>
      </c>
      <c r="I65" s="1903" t="n">
        <v>415.166666666667</v>
      </c>
      <c r="J65" s="1877" t="n">
        <f aca="false">B65/B64-1</f>
        <v>0.0108886547242708</v>
      </c>
      <c r="K65" s="1878" t="n">
        <f aca="false">DataDE1c!BF89/DataDE1c!BF88-1</f>
        <v>0.0271885951512574</v>
      </c>
      <c r="L65" s="1879"/>
      <c r="M65" s="1880"/>
      <c r="N65" s="1880"/>
      <c r="O65" s="1880" t="n">
        <f aca="false">G65/G64-1</f>
        <v>0.206766917293233</v>
      </c>
      <c r="P65" s="1880" t="n">
        <f aca="false">H65/H64-1</f>
        <v>0.280604592131072</v>
      </c>
      <c r="Q65" s="1881" t="n">
        <f aca="false">I65/I64-1</f>
        <v>0.259034622188527</v>
      </c>
      <c r="R65" s="25"/>
      <c r="S65" s="176"/>
      <c r="T65" s="176"/>
    </row>
    <row r="66" customFormat="false" ht="13" hidden="false" customHeight="false" outlineLevel="0" collapsed="false">
      <c r="A66" s="1871" t="n">
        <f aca="false">A65+1</f>
        <v>1927</v>
      </c>
      <c r="B66" s="1872" t="n">
        <f aca="false">100*DataDE1c!AZ90/DataDE1c!AZ$113</f>
        <v>79.2105263157895</v>
      </c>
      <c r="C66" s="1873" t="n">
        <f aca="false">C67/(1+K67)</f>
        <v>72.4300130892526</v>
      </c>
      <c r="D66" s="1874"/>
      <c r="E66" s="1875"/>
      <c r="F66" s="1875"/>
      <c r="G66" s="1876" t="n">
        <v>78.25</v>
      </c>
      <c r="H66" s="1903" t="n">
        <v>1401.58333333333</v>
      </c>
      <c r="I66" s="1903" t="n">
        <v>603.833333333333</v>
      </c>
      <c r="J66" s="1877" t="n">
        <f aca="false">B66/B65-1</f>
        <v>0.0458651841556637</v>
      </c>
      <c r="K66" s="1878" t="n">
        <f aca="false">DataDE1c!BF90/DataDE1c!BF89-1</f>
        <v>0.0231127029424341</v>
      </c>
      <c r="L66" s="1879"/>
      <c r="M66" s="1880"/>
      <c r="N66" s="1880"/>
      <c r="O66" s="1880" t="n">
        <f aca="false">G66/G65-1</f>
        <v>0.462616822429907</v>
      </c>
      <c r="P66" s="1880" t="n">
        <f aca="false">H66/H65-1</f>
        <v>0.515361744301288</v>
      </c>
      <c r="Q66" s="1881" t="n">
        <f aca="false">I66/I65-1</f>
        <v>0.454435969490165</v>
      </c>
      <c r="R66" s="25"/>
      <c r="S66" s="176"/>
      <c r="T66" s="176"/>
    </row>
    <row r="67" customFormat="false" ht="13" hidden="false" customHeight="false" outlineLevel="0" collapsed="false">
      <c r="A67" s="1871" t="n">
        <f aca="false">A66+1</f>
        <v>1928</v>
      </c>
      <c r="B67" s="1872" t="n">
        <f aca="false">100*DataDE1c!AZ91/DataDE1c!AZ$113</f>
        <v>81.3684210526316</v>
      </c>
      <c r="C67" s="1873" t="n">
        <f aca="false">C68/(1+K68)</f>
        <v>75.044102110426</v>
      </c>
      <c r="D67" s="1874"/>
      <c r="E67" s="1875"/>
      <c r="F67" s="1875"/>
      <c r="G67" s="1876" t="n">
        <v>73.6666666666667</v>
      </c>
      <c r="H67" s="1903" t="n">
        <v>1378.33333333333</v>
      </c>
      <c r="I67" s="1903" t="n">
        <v>577.083333333333</v>
      </c>
      <c r="J67" s="1877" t="n">
        <f aca="false">B67/B66-1</f>
        <v>0.0272425249169437</v>
      </c>
      <c r="K67" s="1878" t="n">
        <f aca="false">DataDE1c!BF91/DataDE1c!BF90-1</f>
        <v>0.0360912404910403</v>
      </c>
      <c r="L67" s="1879"/>
      <c r="M67" s="1880"/>
      <c r="N67" s="1880"/>
      <c r="O67" s="1880" t="n">
        <f aca="false">G67/G66-1</f>
        <v>-0.0585729499467518</v>
      </c>
      <c r="P67" s="1880" t="n">
        <f aca="false">H67/H66-1</f>
        <v>-0.0165883821868126</v>
      </c>
      <c r="Q67" s="1881" t="n">
        <f aca="false">I67/I66-1</f>
        <v>-0.0443003036157881</v>
      </c>
      <c r="R67" s="25"/>
      <c r="S67" s="176"/>
      <c r="T67" s="176"/>
    </row>
    <row r="68" customFormat="false" ht="13" hidden="false" customHeight="false" outlineLevel="0" collapsed="false">
      <c r="A68" s="1871" t="n">
        <f aca="false">A67+1</f>
        <v>1929</v>
      </c>
      <c r="B68" s="1872" t="n">
        <f aca="false">100*DataDE1c!AZ92/DataDE1c!AZ$113</f>
        <v>82.6315789473684</v>
      </c>
      <c r="C68" s="1873" t="n">
        <f aca="false">C69/(1+K69)</f>
        <v>76.3675822247273</v>
      </c>
      <c r="D68" s="1874"/>
      <c r="E68" s="1875"/>
      <c r="F68" s="1875"/>
      <c r="G68" s="1876" t="n">
        <v>66.3333333333333</v>
      </c>
      <c r="H68" s="1903" t="n">
        <v>1306.75</v>
      </c>
      <c r="I68" s="1903" t="n">
        <v>539</v>
      </c>
      <c r="J68" s="1877" t="n">
        <f aca="false">B68/B67-1</f>
        <v>0.0155239327296248</v>
      </c>
      <c r="K68" s="1878" t="n">
        <f aca="false">DataDE1c!BF92/DataDE1c!BF91-1</f>
        <v>0.0176360310415038</v>
      </c>
      <c r="L68" s="1879"/>
      <c r="M68" s="1880"/>
      <c r="N68" s="1880"/>
      <c r="O68" s="1880" t="n">
        <f aca="false">G68/G67-1</f>
        <v>-0.0995475113122173</v>
      </c>
      <c r="P68" s="1880" t="n">
        <f aca="false">H68/H67-1</f>
        <v>-0.0519347037484884</v>
      </c>
      <c r="Q68" s="1881" t="n">
        <f aca="false">I68/I67-1</f>
        <v>-0.0659927797833936</v>
      </c>
      <c r="R68" s="25"/>
      <c r="S68" s="176"/>
      <c r="T68" s="176"/>
    </row>
    <row r="69" customFormat="false" ht="13" hidden="false" customHeight="false" outlineLevel="0" collapsed="false">
      <c r="A69" s="1893" t="n">
        <f aca="false">A68+1</f>
        <v>1930</v>
      </c>
      <c r="B69" s="1894" t="n">
        <f aca="false">100*DataDE1c!AZ93/DataDE1c!AZ$113</f>
        <v>79.4736842105263</v>
      </c>
      <c r="C69" s="1895" t="n">
        <f aca="false">C70/(1+K70)</f>
        <v>76.1721161946732</v>
      </c>
      <c r="D69" s="1896"/>
      <c r="E69" s="1897"/>
      <c r="F69" s="1897"/>
      <c r="G69" s="1898" t="n">
        <v>54.1666666666667</v>
      </c>
      <c r="H69" s="1904" t="n">
        <v>1135.83333333333</v>
      </c>
      <c r="I69" s="1904" t="n">
        <v>486.666666666667</v>
      </c>
      <c r="J69" s="1899" t="n">
        <f aca="false">B69/B68-1</f>
        <v>-0.0382165605095542</v>
      </c>
      <c r="K69" s="1900" t="n">
        <f aca="false">DataDE1c!BF93/DataDE1c!BF92-1</f>
        <v>-0.00255954194646246</v>
      </c>
      <c r="L69" s="1901"/>
      <c r="M69" s="1902"/>
      <c r="N69" s="1902"/>
      <c r="O69" s="1902" t="n">
        <f aca="false">G69/G68-1</f>
        <v>-0.183417085427136</v>
      </c>
      <c r="P69" s="1902" t="n">
        <f aca="false">H69/H68-1</f>
        <v>-0.130795229896053</v>
      </c>
      <c r="Q69" s="1915" t="n">
        <f aca="false">I69/I68-1</f>
        <v>-0.0970933828076684</v>
      </c>
      <c r="R69" s="25"/>
      <c r="S69" s="176"/>
      <c r="T69" s="176"/>
    </row>
    <row r="70" customFormat="false" ht="13" hidden="false" customHeight="false" outlineLevel="0" collapsed="false">
      <c r="A70" s="1871" t="n">
        <f aca="false">A69+1</f>
        <v>1931</v>
      </c>
      <c r="B70" s="1872" t="n">
        <f aca="false">100*DataDE1c!AZ94/DataDE1c!AZ$113</f>
        <v>73.0263157894737</v>
      </c>
      <c r="C70" s="1873" t="n">
        <f aca="false">C71/(1+K71)</f>
        <v>71.958050937029</v>
      </c>
      <c r="D70" s="1874"/>
      <c r="E70" s="1875"/>
      <c r="F70" s="1875"/>
      <c r="G70" s="1876" t="n">
        <v>36.75</v>
      </c>
      <c r="H70" s="1903" t="n">
        <v>836.583333333333</v>
      </c>
      <c r="I70" s="1903" t="n">
        <v>389.5</v>
      </c>
      <c r="J70" s="1877" t="n">
        <f aca="false">B70/B69-1</f>
        <v>-0.0811258278145697</v>
      </c>
      <c r="K70" s="1878" t="n">
        <f aca="false">DataDE1c!BF94/DataDE1c!BF93-1</f>
        <v>-0.0553229379485047</v>
      </c>
      <c r="L70" s="1879"/>
      <c r="M70" s="1880"/>
      <c r="N70" s="1880"/>
      <c r="O70" s="1880" t="n">
        <f aca="false">G70/G69-1</f>
        <v>-0.321538461538462</v>
      </c>
      <c r="P70" s="1880" t="n">
        <f aca="false">H70/H69-1</f>
        <v>-0.263462949376376</v>
      </c>
      <c r="Q70" s="1881" t="n">
        <f aca="false">I70/I69-1</f>
        <v>-0.199657534246575</v>
      </c>
      <c r="R70" s="25"/>
      <c r="S70" s="176"/>
      <c r="T70" s="176"/>
    </row>
    <row r="71" customFormat="false" ht="13" hidden="false" customHeight="false" outlineLevel="0" collapsed="false">
      <c r="A71" s="1871" t="n">
        <f aca="false">A70+1</f>
        <v>1932</v>
      </c>
      <c r="B71" s="1872" t="n">
        <f aca="false">100*DataDE1c!AZ95/DataDE1c!AZ$113</f>
        <v>64.6842105263158</v>
      </c>
      <c r="C71" s="1873" t="n">
        <f aca="false">C72/(1+K72)</f>
        <v>63.6668726233665</v>
      </c>
      <c r="D71" s="1874"/>
      <c r="E71" s="1875"/>
      <c r="F71" s="1875"/>
      <c r="G71" s="1876" t="n">
        <v>27.25</v>
      </c>
      <c r="H71" s="1903" t="n">
        <v>669.916666666667</v>
      </c>
      <c r="I71" s="1903" t="n">
        <v>353.25</v>
      </c>
      <c r="J71" s="1877" t="n">
        <f aca="false">B71/B70-1</f>
        <v>-0.114234234234234</v>
      </c>
      <c r="K71" s="1878" t="n">
        <f aca="false">DataDE1c!BF95/DataDE1c!BF94-1</f>
        <v>-0.115222385899781</v>
      </c>
      <c r="L71" s="1879"/>
      <c r="M71" s="1880"/>
      <c r="N71" s="1880"/>
      <c r="O71" s="1880" t="n">
        <f aca="false">G71/G70-1</f>
        <v>-0.258503401360544</v>
      </c>
      <c r="P71" s="1880" t="n">
        <f aca="false">H71/H70-1</f>
        <v>-0.199223030182289</v>
      </c>
      <c r="Q71" s="1881" t="n">
        <f aca="false">I71/I70-1</f>
        <v>-0.0930680359435173</v>
      </c>
      <c r="R71" s="25"/>
      <c r="S71" s="176"/>
      <c r="T71" s="176"/>
    </row>
    <row r="72" customFormat="false" ht="13" hidden="false" customHeight="false" outlineLevel="0" collapsed="false">
      <c r="A72" s="1871" t="n">
        <f aca="false">A71+1</f>
        <v>1933</v>
      </c>
      <c r="B72" s="1872" t="n">
        <f aca="false">100*DataDE1c!AZ96/DataDE1c!AZ$113</f>
        <v>63.2631578947368</v>
      </c>
      <c r="C72" s="1873" t="n">
        <f aca="false">C73/(1+K73)</f>
        <v>60.8447362072646</v>
      </c>
      <c r="D72" s="1874"/>
      <c r="E72" s="1875"/>
      <c r="F72" s="1875"/>
      <c r="G72" s="1876" t="n">
        <v>33.3333333333333</v>
      </c>
      <c r="H72" s="1903" t="n">
        <v>862.25</v>
      </c>
      <c r="I72" s="1903" t="n">
        <v>464.25</v>
      </c>
      <c r="J72" s="1877" t="n">
        <f aca="false">B72/B71-1</f>
        <v>-0.0219690805532952</v>
      </c>
      <c r="K72" s="1878" t="n">
        <f aca="false">DataDE1c!BF96/DataDE1c!BF95-1</f>
        <v>-0.0443266065980161</v>
      </c>
      <c r="L72" s="1879"/>
      <c r="M72" s="1880"/>
      <c r="N72" s="1880"/>
      <c r="O72" s="1880" t="n">
        <f aca="false">G72/G71-1</f>
        <v>0.223241590214067</v>
      </c>
      <c r="P72" s="1880" t="n">
        <f aca="false">H72/H71-1</f>
        <v>0.287100385620102</v>
      </c>
      <c r="Q72" s="1881" t="n">
        <f aca="false">I72/I71-1</f>
        <v>0.314225053078556</v>
      </c>
      <c r="R72" s="25"/>
      <c r="S72" s="176"/>
      <c r="T72" s="176"/>
    </row>
    <row r="73" customFormat="false" ht="13" hidden="false" customHeight="false" outlineLevel="0" collapsed="false">
      <c r="A73" s="1871" t="n">
        <f aca="false">A72+1</f>
        <v>1934</v>
      </c>
      <c r="B73" s="1872" t="n">
        <f aca="false">100*DataDE1c!AZ97/DataDE1c!AZ$113</f>
        <v>64.9736842105263</v>
      </c>
      <c r="C73" s="1873" t="n">
        <f aca="false">C74/(1+K74)</f>
        <v>61.0091552526254</v>
      </c>
      <c r="D73" s="1874"/>
      <c r="E73" s="1875"/>
      <c r="F73" s="1875"/>
      <c r="G73" s="1876" t="n">
        <v>38.5</v>
      </c>
      <c r="H73" s="1903" t="n">
        <v>1033.83333333333</v>
      </c>
      <c r="I73" s="1903" t="n">
        <v>542.416666666667</v>
      </c>
      <c r="J73" s="1877" t="n">
        <f aca="false">B73/B72-1</f>
        <v>0.0270382695507487</v>
      </c>
      <c r="K73" s="1878" t="n">
        <f aca="false">DataDE1c!BF97/DataDE1c!BF96-1</f>
        <v>0.00270227230176046</v>
      </c>
      <c r="L73" s="1879"/>
      <c r="M73" s="1880"/>
      <c r="N73" s="1880"/>
      <c r="O73" s="1880" t="n">
        <f aca="false">G73/G72-1</f>
        <v>0.155</v>
      </c>
      <c r="P73" s="1880" t="n">
        <f aca="false">H73/H72-1</f>
        <v>0.198994877742341</v>
      </c>
      <c r="Q73" s="1881" t="n">
        <f aca="false">I73/I72-1</f>
        <v>0.168371926045593</v>
      </c>
      <c r="R73" s="25"/>
      <c r="S73" s="176"/>
      <c r="T73" s="176"/>
    </row>
    <row r="74" customFormat="false" ht="13" hidden="false" customHeight="false" outlineLevel="0" collapsed="false">
      <c r="A74" s="1871" t="n">
        <f aca="false">A73+1</f>
        <v>1935</v>
      </c>
      <c r="B74" s="1872" t="n">
        <f aca="false">100*DataDE1c!AZ98/DataDE1c!AZ$113</f>
        <v>66.0526315789474</v>
      </c>
      <c r="C74" s="1873" t="n">
        <f aca="false">C75/(1+K75)</f>
        <v>60.7425423052515</v>
      </c>
      <c r="D74" s="1874"/>
      <c r="E74" s="1875"/>
      <c r="F74" s="1875"/>
      <c r="G74" s="1876" t="n">
        <v>44.6666666666667</v>
      </c>
      <c r="H74" s="1903" t="n">
        <v>1251.83333333333</v>
      </c>
      <c r="I74" s="1903" t="n">
        <v>646.083333333333</v>
      </c>
      <c r="J74" s="1877" t="n">
        <f aca="false">B74/B73-1</f>
        <v>0.0166059133252332</v>
      </c>
      <c r="K74" s="1878" t="n">
        <f aca="false">DataDE1c!BF98/DataDE1c!BF97-1</f>
        <v>-0.00437004817178477</v>
      </c>
      <c r="L74" s="1879"/>
      <c r="M74" s="1880"/>
      <c r="N74" s="1880"/>
      <c r="O74" s="1880" t="n">
        <f aca="false">G74/G73-1</f>
        <v>0.16017316017316</v>
      </c>
      <c r="P74" s="1880" t="n">
        <f aca="false">H74/H73-1</f>
        <v>0.210865710140255</v>
      </c>
      <c r="Q74" s="1881" t="n">
        <f aca="false">I74/I73-1</f>
        <v>0.191119987709326</v>
      </c>
      <c r="R74" s="25"/>
      <c r="S74" s="176"/>
      <c r="T74" s="176"/>
    </row>
    <row r="75" customFormat="false" ht="13" hidden="false" customHeight="false" outlineLevel="0" collapsed="false">
      <c r="A75" s="1871" t="n">
        <f aca="false">A74+1</f>
        <v>1936</v>
      </c>
      <c r="B75" s="1872" t="n">
        <f aca="false">100*DataDE1c!AZ99/DataDE1c!AZ$113</f>
        <v>66.7368421052632</v>
      </c>
      <c r="C75" s="1873" t="n">
        <f aca="false">C76/(1+K76)</f>
        <v>60.4739063670864</v>
      </c>
      <c r="D75" s="1874"/>
      <c r="E75" s="1875"/>
      <c r="F75" s="1875"/>
      <c r="G75" s="1876" t="n">
        <v>49.5</v>
      </c>
      <c r="H75" s="1903" t="n">
        <v>1439.08333333333</v>
      </c>
      <c r="I75" s="1903" t="n">
        <v>734.166666666667</v>
      </c>
      <c r="J75" s="1877" t="n">
        <f aca="false">B75/B74-1</f>
        <v>0.0103585657370517</v>
      </c>
      <c r="K75" s="1878" t="n">
        <f aca="false">DataDE1c!BF99/DataDE1c!BF98-1</f>
        <v>-0.00442253366372347</v>
      </c>
      <c r="L75" s="1879"/>
      <c r="M75" s="1880"/>
      <c r="N75" s="1880"/>
      <c r="O75" s="1880" t="n">
        <f aca="false">G75/G74-1</f>
        <v>0.108208955223881</v>
      </c>
      <c r="P75" s="1880" t="n">
        <f aca="false">H75/H74-1</f>
        <v>0.149580615097856</v>
      </c>
      <c r="Q75" s="1881" t="n">
        <f aca="false">I75/I74-1</f>
        <v>0.136334322197859</v>
      </c>
      <c r="R75" s="25"/>
      <c r="S75" s="176"/>
      <c r="T75" s="176"/>
    </row>
    <row r="76" customFormat="false" ht="13" hidden="false" customHeight="false" outlineLevel="0" collapsed="false">
      <c r="A76" s="1871" t="n">
        <f aca="false">A75+1</f>
        <v>1937</v>
      </c>
      <c r="B76" s="1872" t="n">
        <f aca="false">100*DataDE1c!AZ100/DataDE1c!AZ$113</f>
        <v>67.0526315789474</v>
      </c>
      <c r="C76" s="1873" t="n">
        <f aca="false">C77/(1+K77)</f>
        <v>60.9526249541003</v>
      </c>
      <c r="D76" s="1874"/>
      <c r="E76" s="1875"/>
      <c r="F76" s="1875"/>
      <c r="G76" s="1876" t="n">
        <v>55.4166666666667</v>
      </c>
      <c r="H76" s="1903" t="n">
        <v>1673.58333333333</v>
      </c>
      <c r="I76" s="1903" t="n">
        <v>849.333333333333</v>
      </c>
      <c r="J76" s="1877" t="n">
        <f aca="false">B76/B75-1</f>
        <v>0.00473186119873814</v>
      </c>
      <c r="K76" s="1878" t="n">
        <f aca="false">DataDE1c!BF100/DataDE1c!BF99-1</f>
        <v>0.00791611813710258</v>
      </c>
      <c r="L76" s="1879"/>
      <c r="M76" s="1880"/>
      <c r="N76" s="1880"/>
      <c r="O76" s="1880" t="n">
        <f aca="false">G76/G75-1</f>
        <v>0.119528619528619</v>
      </c>
      <c r="P76" s="1880" t="n">
        <f aca="false">H76/H75-1</f>
        <v>0.162950952573977</v>
      </c>
      <c r="Q76" s="1881" t="n">
        <f aca="false">I76/I75-1</f>
        <v>0.156867196367764</v>
      </c>
      <c r="R76" s="25"/>
      <c r="S76" s="176"/>
      <c r="T76" s="176"/>
    </row>
    <row r="77" customFormat="false" ht="13" hidden="false" customHeight="false" outlineLevel="0" collapsed="false">
      <c r="A77" s="1871" t="n">
        <f aca="false">A76+1</f>
        <v>1938</v>
      </c>
      <c r="B77" s="1872" t="n">
        <f aca="false">100*DataDE1c!AZ101/DataDE1c!AZ$113</f>
        <v>67.3684210526316</v>
      </c>
      <c r="C77" s="1873" t="n">
        <f aca="false">C78/(1+K78)</f>
        <v>62.548828125</v>
      </c>
      <c r="D77" s="1874"/>
      <c r="E77" s="1875"/>
      <c r="F77" s="1875"/>
      <c r="G77" s="1876" t="n">
        <v>54</v>
      </c>
      <c r="H77" s="1903" t="n">
        <v>1702.58333333333</v>
      </c>
      <c r="I77" s="1903" t="n">
        <v>860.666666666667</v>
      </c>
      <c r="J77" s="1877" t="n">
        <f aca="false">B77/B76-1</f>
        <v>0.00470957613814749</v>
      </c>
      <c r="K77" s="1878" t="n">
        <f aca="false">DataDE1c!BF101/DataDE1c!BF100-1</f>
        <v>0.0261876034395843</v>
      </c>
      <c r="L77" s="1879"/>
      <c r="M77" s="1880"/>
      <c r="N77" s="1880"/>
      <c r="O77" s="1880" t="n">
        <f aca="false">G77/G76-1</f>
        <v>-0.025563909774436</v>
      </c>
      <c r="P77" s="1880" t="n">
        <f aca="false">H77/H76-1</f>
        <v>0.0173280884330029</v>
      </c>
      <c r="Q77" s="1881" t="n">
        <f aca="false">I77/I76-1</f>
        <v>0.0133437990580847</v>
      </c>
      <c r="R77" s="25"/>
      <c r="S77" s="176"/>
      <c r="T77" s="176"/>
    </row>
    <row r="78" customFormat="false" ht="13" hidden="false" customHeight="false" outlineLevel="0" collapsed="false">
      <c r="A78" s="1882" t="n">
        <f aca="false">A77+1</f>
        <v>1939</v>
      </c>
      <c r="B78" s="1883" t="n">
        <f aca="false">100*DataDE1c!AZ102/DataDE1c!AZ$113</f>
        <v>67.7368421052632</v>
      </c>
      <c r="C78" s="1884" t="n">
        <f aca="false">C79/(1+K79)</f>
        <v>63.525390625</v>
      </c>
      <c r="D78" s="1885"/>
      <c r="E78" s="1886"/>
      <c r="F78" s="1886"/>
      <c r="G78" s="1887" t="n">
        <v>50.8333333333333</v>
      </c>
      <c r="H78" s="1905" t="n">
        <v>1682.33333333333</v>
      </c>
      <c r="I78" s="1905" t="n">
        <v>846.583333333333</v>
      </c>
      <c r="J78" s="1888" t="n">
        <f aca="false">B78/B77-1</f>
        <v>0.00546875000000013</v>
      </c>
      <c r="K78" s="1889" t="n">
        <f aca="false">DataDE1c!BC102/DataDE1c!BC101-1</f>
        <v>0.0156128024980484</v>
      </c>
      <c r="L78" s="1890"/>
      <c r="M78" s="1891"/>
      <c r="N78" s="1891"/>
      <c r="O78" s="1891" t="n">
        <f aca="false">G78/G77-1</f>
        <v>-0.0586419753086419</v>
      </c>
      <c r="P78" s="1891" t="n">
        <f aca="false">H78/H77-1</f>
        <v>-0.011893690959816</v>
      </c>
      <c r="Q78" s="1892" t="n">
        <f aca="false">I78/I77-1</f>
        <v>-0.0163632842757552</v>
      </c>
      <c r="R78" s="25"/>
      <c r="S78" s="176"/>
      <c r="T78" s="176"/>
    </row>
    <row r="79" customFormat="false" ht="13" hidden="false" customHeight="false" outlineLevel="0" collapsed="false">
      <c r="A79" s="1871" t="n">
        <f aca="false">A78+1</f>
        <v>1940</v>
      </c>
      <c r="B79" s="1872" t="n">
        <f aca="false">100*DataDE1c!AZ103/DataDE1c!AZ$113</f>
        <v>69.8684210526316</v>
      </c>
      <c r="C79" s="1873" t="n">
        <f aca="false">C80/(1+K80)</f>
        <v>61.42578125</v>
      </c>
      <c r="D79" s="1874"/>
      <c r="E79" s="1875"/>
      <c r="F79" s="1875"/>
      <c r="G79" s="1876" t="n">
        <v>62.1666666666667</v>
      </c>
      <c r="H79" s="1903" t="n">
        <v>2151.91666666667</v>
      </c>
      <c r="I79" s="1903" t="n">
        <v>1049.5</v>
      </c>
      <c r="J79" s="1877" t="n">
        <f aca="false">B79/B78-1</f>
        <v>0.0314685314685315</v>
      </c>
      <c r="K79" s="1878" t="n">
        <f aca="false">DataDE1c!BC103/DataDE1c!BC102-1</f>
        <v>-0.0330514988470407</v>
      </c>
      <c r="L79" s="1879"/>
      <c r="M79" s="1880"/>
      <c r="N79" s="1880"/>
      <c r="O79" s="1880" t="n">
        <f aca="false">G79/G78-1</f>
        <v>0.222950819672131</v>
      </c>
      <c r="P79" s="1880" t="n">
        <f aca="false">H79/H78-1</f>
        <v>0.279126213592233</v>
      </c>
      <c r="Q79" s="1881" t="n">
        <f aca="false">I79/I78-1</f>
        <v>0.239688945762378</v>
      </c>
      <c r="R79" s="25"/>
      <c r="S79" s="176"/>
      <c r="T79" s="176"/>
    </row>
    <row r="80" customFormat="false" ht="13" hidden="false" customHeight="false" outlineLevel="0" collapsed="false">
      <c r="A80" s="1871" t="n">
        <f aca="false">A79+1</f>
        <v>1941</v>
      </c>
      <c r="B80" s="1872" t="n">
        <f aca="false">100*DataDE1c!AZ104/DataDE1c!AZ$113</f>
        <v>71.4736842105263</v>
      </c>
      <c r="C80" s="1873" t="n">
        <f aca="false">C81/(1+K81)</f>
        <v>58.642578125</v>
      </c>
      <c r="D80" s="1874"/>
      <c r="E80" s="1875"/>
      <c r="F80" s="1875"/>
      <c r="G80" s="1876" t="n">
        <v>74</v>
      </c>
      <c r="H80" s="1903" t="n">
        <v>2661.33333333333</v>
      </c>
      <c r="I80" s="1903" t="n">
        <v>1268.58333333333</v>
      </c>
      <c r="J80" s="1877" t="n">
        <f aca="false">B80/B79-1</f>
        <v>0.022975517890772</v>
      </c>
      <c r="K80" s="1878" t="n">
        <f aca="false">DataDE1c!BC104/DataDE1c!BC103-1</f>
        <v>-0.0453100158982512</v>
      </c>
      <c r="L80" s="1879"/>
      <c r="M80" s="1880"/>
      <c r="N80" s="1880"/>
      <c r="O80" s="1880" t="n">
        <f aca="false">G80/G79-1</f>
        <v>0.190348525469169</v>
      </c>
      <c r="P80" s="1880" t="n">
        <f aca="false">H80/H79-1</f>
        <v>0.236726948844054</v>
      </c>
      <c r="Q80" s="1881" t="n">
        <f aca="false">I80/I79-1</f>
        <v>0.208750198507226</v>
      </c>
      <c r="R80" s="25"/>
      <c r="S80" s="176"/>
      <c r="T80" s="176"/>
    </row>
    <row r="81" customFormat="false" ht="13" hidden="false" customHeight="false" outlineLevel="0" collapsed="false">
      <c r="A81" s="1871" t="n">
        <f aca="false">A80+1</f>
        <v>1942</v>
      </c>
      <c r="B81" s="1872" t="n">
        <f aca="false">100*DataDE1c!AZ105/DataDE1c!AZ$113</f>
        <v>73.7105263157895</v>
      </c>
      <c r="C81" s="1873" t="n">
        <f aca="false">C82/(1+K82)</f>
        <v>57.8125</v>
      </c>
      <c r="D81" s="1874"/>
      <c r="E81" s="1875"/>
      <c r="F81" s="1875"/>
      <c r="G81" s="1876" t="n">
        <v>76.75</v>
      </c>
      <c r="H81" s="1903" t="n">
        <v>2864.25</v>
      </c>
      <c r="I81" s="1903" t="n">
        <v>1324.25</v>
      </c>
      <c r="J81" s="1877" t="n">
        <f aca="false">B81/B80-1</f>
        <v>0.0312960235640649</v>
      </c>
      <c r="K81" s="1878" t="n">
        <f aca="false">DataDE1c!BC105/DataDE1c!BC104-1</f>
        <v>-0.0141548709408825</v>
      </c>
      <c r="L81" s="1879"/>
      <c r="M81" s="1880"/>
      <c r="N81" s="1880"/>
      <c r="O81" s="1880" t="n">
        <f aca="false">G81/G80-1</f>
        <v>0.0371621621621621</v>
      </c>
      <c r="P81" s="1880" t="n">
        <f aca="false">H81/H80-1</f>
        <v>0.0762462424849699</v>
      </c>
      <c r="Q81" s="1881" t="n">
        <f aca="false">I81/I80-1</f>
        <v>0.0438809695854956</v>
      </c>
      <c r="R81" s="25"/>
      <c r="S81" s="176"/>
      <c r="T81" s="176"/>
    </row>
    <row r="82" customFormat="false" ht="13" hidden="false" customHeight="false" outlineLevel="0" collapsed="false">
      <c r="A82" s="1871" t="n">
        <f aca="false">A81+1</f>
        <v>1943</v>
      </c>
      <c r="B82" s="1872" t="n">
        <f aca="false">100*DataDE1c!AZ106/DataDE1c!AZ$113</f>
        <v>74.2631578947368</v>
      </c>
      <c r="C82" s="1873" t="n">
        <f aca="false">C83/(1+K83)</f>
        <v>58.69140625</v>
      </c>
      <c r="D82" s="1874"/>
      <c r="E82" s="1875"/>
      <c r="F82" s="1875"/>
      <c r="G82" s="1876" t="n">
        <v>76.25</v>
      </c>
      <c r="H82" s="1903" t="n">
        <v>2938.75</v>
      </c>
      <c r="I82" s="1903" t="n">
        <v>1347.83333333333</v>
      </c>
      <c r="J82" s="1877" t="n">
        <f aca="false">B82/B81-1</f>
        <v>0.00749732238486267</v>
      </c>
      <c r="K82" s="1878" t="n">
        <f aca="false">DataDE1c!BC106/DataDE1c!BC105-1</f>
        <v>0.0152027027027026</v>
      </c>
      <c r="L82" s="1879"/>
      <c r="M82" s="1880"/>
      <c r="N82" s="1880"/>
      <c r="O82" s="1880" t="n">
        <f aca="false">G82/G81-1</f>
        <v>-0.00651465798045603</v>
      </c>
      <c r="P82" s="1880" t="n">
        <f aca="false">H82/H81-1</f>
        <v>0.0260102993802915</v>
      </c>
      <c r="Q82" s="1881" t="n">
        <f aca="false">I82/I81-1</f>
        <v>0.0178088226039896</v>
      </c>
      <c r="R82" s="25"/>
      <c r="S82" s="176"/>
      <c r="T82" s="176"/>
    </row>
    <row r="83" customFormat="false" ht="13" hidden="false" customHeight="false" outlineLevel="0" collapsed="false">
      <c r="A83" s="1871" t="n">
        <f aca="false">A82+1</f>
        <v>1944</v>
      </c>
      <c r="B83" s="1872" t="n">
        <f aca="false">100*DataDE1c!AZ107/DataDE1c!AZ$113</f>
        <v>76.1052631578947</v>
      </c>
      <c r="C83" s="1873" t="n">
        <f aca="false">C84/(1+K84)</f>
        <v>61.767578125</v>
      </c>
      <c r="D83" s="1874"/>
      <c r="E83" s="1875"/>
      <c r="F83" s="1875"/>
      <c r="G83" s="1876" t="n">
        <v>76</v>
      </c>
      <c r="H83" s="1903" t="n">
        <v>3009.33333333333</v>
      </c>
      <c r="I83" s="1903" t="n">
        <v>1348.33333333333</v>
      </c>
      <c r="J83" s="1877" t="n">
        <f aca="false">B83/B82-1</f>
        <v>0.0248051027639973</v>
      </c>
      <c r="K83" s="1878" t="n">
        <f aca="false">DataDE1c!BC107/DataDE1c!BC106-1</f>
        <v>0.0524126455906822</v>
      </c>
      <c r="L83" s="1879"/>
      <c r="M83" s="1880"/>
      <c r="N83" s="1880"/>
      <c r="O83" s="1880" t="n">
        <f aca="false">G83/G82-1</f>
        <v>-0.00327868852459012</v>
      </c>
      <c r="P83" s="1880" t="n">
        <f aca="false">H83/H82-1</f>
        <v>0.0240181483056856</v>
      </c>
      <c r="Q83" s="1881" t="n">
        <f aca="false">I83/I82-1</f>
        <v>0.000370965747495955</v>
      </c>
      <c r="R83" s="25"/>
      <c r="S83" s="176"/>
      <c r="T83" s="176"/>
    </row>
    <row r="84" customFormat="false" ht="13" hidden="false" customHeight="false" outlineLevel="0" collapsed="false">
      <c r="A84" s="1871" t="n">
        <f aca="false">A83+1</f>
        <v>1945</v>
      </c>
      <c r="B84" s="1872" t="n">
        <f aca="false">100*DataDE1c!AZ108/DataDE1c!AZ$113</f>
        <v>78.8947368421053</v>
      </c>
      <c r="C84" s="1873" t="n">
        <f aca="false">C85/(1+K85)</f>
        <v>70.2880859375</v>
      </c>
      <c r="D84" s="1874"/>
      <c r="E84" s="1875"/>
      <c r="F84" s="1875"/>
      <c r="G84" s="1876" t="n">
        <v>74</v>
      </c>
      <c r="H84" s="1903" t="n">
        <v>2943.91666666667</v>
      </c>
      <c r="I84" s="1903" t="n">
        <v>1273.16666666667</v>
      </c>
      <c r="J84" s="1877" t="n">
        <f aca="false">B84/B83-1</f>
        <v>0.0366528354080218</v>
      </c>
      <c r="K84" s="1878" t="n">
        <f aca="false">DataDE1c!BC108/DataDE1c!BC107-1</f>
        <v>0.13794466403162</v>
      </c>
      <c r="L84" s="1879"/>
      <c r="M84" s="1880"/>
      <c r="N84" s="1880"/>
      <c r="O84" s="1880" t="n">
        <f aca="false">G84/G83-1</f>
        <v>-0.0263157894736842</v>
      </c>
      <c r="P84" s="1880" t="n">
        <f aca="false">H84/H83-1</f>
        <v>-0.0217379264510413</v>
      </c>
      <c r="Q84" s="1881" t="n">
        <f aca="false">I84/I83-1</f>
        <v>-0.0557478368355994</v>
      </c>
      <c r="R84" s="25"/>
      <c r="S84" s="176"/>
      <c r="T84" s="176"/>
    </row>
    <row r="85" customFormat="false" ht="13" hidden="false" customHeight="false" outlineLevel="0" collapsed="false">
      <c r="A85" s="1871" t="n">
        <f aca="false">A84+1</f>
        <v>1946</v>
      </c>
      <c r="B85" s="1872" t="n">
        <f aca="false">100*DataDE1c!AZ109/DataDE1c!AZ$113</f>
        <v>87.0263157894737</v>
      </c>
      <c r="C85" s="1873" t="n">
        <f aca="false">C86/(1+K86)</f>
        <v>78.80859375</v>
      </c>
      <c r="D85" s="1874"/>
      <c r="E85" s="1875"/>
      <c r="F85" s="1875"/>
      <c r="G85" s="1876" t="n">
        <v>68.5</v>
      </c>
      <c r="H85" s="1903" t="n">
        <v>2729.83333333333</v>
      </c>
      <c r="I85" s="1903" t="n">
        <v>1071.08333333333</v>
      </c>
      <c r="J85" s="1877" t="n">
        <f aca="false">B85/B84-1</f>
        <v>0.103068712474983</v>
      </c>
      <c r="K85" s="1878" t="n">
        <f aca="false">DataDE1c!BC109/DataDE1c!BC108-1</f>
        <v>0.121222646752345</v>
      </c>
      <c r="L85" s="1879"/>
      <c r="M85" s="1880"/>
      <c r="N85" s="1880"/>
      <c r="O85" s="1880" t="n">
        <f aca="false">G85/G84-1</f>
        <v>-0.0743243243243243</v>
      </c>
      <c r="P85" s="1880" t="n">
        <f aca="false">H85/H84-1</f>
        <v>-0.0727205819911115</v>
      </c>
      <c r="Q85" s="1881" t="n">
        <f aca="false">I85/I84-1</f>
        <v>-0.158724964000524</v>
      </c>
      <c r="R85" s="25"/>
      <c r="S85" s="176"/>
      <c r="T85" s="176"/>
    </row>
    <row r="86" customFormat="false" ht="13" hidden="false" customHeight="false" outlineLevel="0" collapsed="false">
      <c r="A86" s="1871" t="n">
        <f aca="false">A85+1</f>
        <v>1947</v>
      </c>
      <c r="B86" s="1872" t="n">
        <f aca="false">100*DataDE1c!AZ110/DataDE1c!AZ$113</f>
        <v>90.578947368421</v>
      </c>
      <c r="C86" s="1873" t="n">
        <f aca="false">C87/(1+K87)</f>
        <v>83.7890625</v>
      </c>
      <c r="D86" s="1874"/>
      <c r="E86" s="1875"/>
      <c r="F86" s="1875"/>
      <c r="G86" s="1876" t="n">
        <v>73.25</v>
      </c>
      <c r="H86" s="1903" t="n">
        <v>2921.08333333333</v>
      </c>
      <c r="I86" s="1903" t="n">
        <v>1099</v>
      </c>
      <c r="J86" s="1877" t="n">
        <f aca="false">B86/B85-1</f>
        <v>0.0408224977320832</v>
      </c>
      <c r="K86" s="1878" t="n">
        <f aca="false">DataDE1c!BC110/DataDE1c!BC109-1</f>
        <v>0.0631970260223047</v>
      </c>
      <c r="L86" s="1879"/>
      <c r="M86" s="1880"/>
      <c r="N86" s="1880"/>
      <c r="O86" s="1880" t="n">
        <f aca="false">G86/G85-1</f>
        <v>0.0693430656934306</v>
      </c>
      <c r="P86" s="1880" t="n">
        <f aca="false">H86/H85-1</f>
        <v>0.070059222174736</v>
      </c>
      <c r="Q86" s="1881" t="n">
        <f aca="false">I86/I85-1</f>
        <v>0.0260639539407144</v>
      </c>
      <c r="R86" s="25"/>
      <c r="S86" s="176"/>
      <c r="T86" s="176"/>
    </row>
    <row r="87" customFormat="false" ht="13" hidden="false" customHeight="false" outlineLevel="0" collapsed="false">
      <c r="A87" s="1871" t="n">
        <f aca="false">A86+1</f>
        <v>1948</v>
      </c>
      <c r="B87" s="1872" t="n">
        <f aca="false">100*DataDE1c!AZ111/DataDE1c!AZ$113</f>
        <v>101.131578947368</v>
      </c>
      <c r="C87" s="1873" t="n">
        <f aca="false">C88/(1+K88)</f>
        <v>96.923828125</v>
      </c>
      <c r="D87" s="1874"/>
      <c r="E87" s="1875"/>
      <c r="F87" s="1875"/>
      <c r="G87" s="1876" t="n">
        <v>52.9166666666667</v>
      </c>
      <c r="H87" s="1903" t="n">
        <v>2050.41666666667</v>
      </c>
      <c r="I87" s="1903" t="n">
        <v>736.75</v>
      </c>
      <c r="J87" s="1877" t="n">
        <f aca="false">B87/B86-1</f>
        <v>0.116502033701337</v>
      </c>
      <c r="K87" s="1878" t="n">
        <f aca="false">DataDE1c!BC111/DataDE1c!BC110-1</f>
        <v>0.156759906759907</v>
      </c>
      <c r="L87" s="1879"/>
      <c r="M87" s="1880"/>
      <c r="N87" s="1880"/>
      <c r="O87" s="1880" t="n">
        <f aca="false">G87/G86-1</f>
        <v>-0.277588168373151</v>
      </c>
      <c r="P87" s="1880" t="n">
        <f aca="false">H87/H86-1</f>
        <v>-0.298062933272473</v>
      </c>
      <c r="Q87" s="1881" t="n">
        <f aca="false">I87/I86-1</f>
        <v>-0.329617834394904</v>
      </c>
      <c r="R87" s="25"/>
      <c r="S87" s="176"/>
      <c r="T87" s="176"/>
    </row>
    <row r="88" customFormat="false" ht="13" hidden="false" customHeight="false" outlineLevel="0" collapsed="false">
      <c r="A88" s="1871" t="n">
        <f aca="false">A87+1</f>
        <v>1949</v>
      </c>
      <c r="B88" s="1872" t="n">
        <f aca="false">100*DataDE1c!AZ112/DataDE1c!AZ$113</f>
        <v>108.157894736842</v>
      </c>
      <c r="C88" s="1873" t="n">
        <f aca="false">C89/(1+K89)</f>
        <v>103.3203125</v>
      </c>
      <c r="D88" s="1874"/>
      <c r="E88" s="1875"/>
      <c r="F88" s="1875"/>
      <c r="G88" s="1876" t="n">
        <v>14.5833333333333</v>
      </c>
      <c r="H88" s="1903" t="n">
        <v>585</v>
      </c>
      <c r="I88" s="1903" t="n">
        <v>185.5</v>
      </c>
      <c r="J88" s="1877" t="n">
        <f aca="false">B88/B87-1</f>
        <v>0.0694769711163155</v>
      </c>
      <c r="K88" s="1878" t="n">
        <f aca="false">DataDE1c!BC112/DataDE1c!BC111-1</f>
        <v>0.0659949622166247</v>
      </c>
      <c r="L88" s="1879"/>
      <c r="M88" s="1880"/>
      <c r="N88" s="1880"/>
      <c r="O88" s="1880" t="n">
        <f aca="false">G88/G87-1</f>
        <v>-0.724409448818898</v>
      </c>
      <c r="P88" s="1880" t="n">
        <f aca="false">H88/H87-1</f>
        <v>-0.714692135744767</v>
      </c>
      <c r="Q88" s="1881" t="n">
        <f aca="false">I88/I87-1</f>
        <v>-0.748218527315915</v>
      </c>
      <c r="R88" s="25"/>
      <c r="S88" s="176"/>
      <c r="T88" s="176"/>
    </row>
    <row r="89" customFormat="false" ht="13" hidden="false" customHeight="false" outlineLevel="0" collapsed="false">
      <c r="A89" s="1893" t="n">
        <f aca="false">A88+1</f>
        <v>1950</v>
      </c>
      <c r="B89" s="1894" t="n">
        <f aca="false">100*DataDE1c!AZ113/DataDE1c!AZ$113</f>
        <v>100</v>
      </c>
      <c r="C89" s="1895" t="n">
        <v>100</v>
      </c>
      <c r="D89" s="1896" t="n">
        <v>100</v>
      </c>
      <c r="E89" s="1897"/>
      <c r="F89" s="1897"/>
      <c r="G89" s="1898" t="n">
        <v>20.25</v>
      </c>
      <c r="H89" s="1904" t="n">
        <v>803.083333333333</v>
      </c>
      <c r="I89" s="1904" t="n">
        <v>273.583333333333</v>
      </c>
      <c r="J89" s="1899" t="n">
        <f aca="false">B89/B88-1</f>
        <v>-0.0754257907542578</v>
      </c>
      <c r="K89" s="1900" t="n">
        <f aca="false">DataDE1c!BC113/DataDE1c!BC112-1</f>
        <v>-0.0321361058601134</v>
      </c>
      <c r="L89" s="1901"/>
      <c r="M89" s="1902"/>
      <c r="N89" s="1902"/>
      <c r="O89" s="1902" t="n">
        <f aca="false">G89/G88-1</f>
        <v>0.388571428571429</v>
      </c>
      <c r="P89" s="1902" t="n">
        <f aca="false">H89/H88-1</f>
        <v>0.372792022792023</v>
      </c>
      <c r="Q89" s="1915" t="n">
        <f aca="false">I89/I88-1</f>
        <v>0.474842767295598</v>
      </c>
      <c r="R89" s="25"/>
      <c r="S89" s="176"/>
      <c r="T89" s="176"/>
    </row>
    <row r="90" customFormat="false" ht="13" hidden="false" customHeight="false" outlineLevel="0" collapsed="false">
      <c r="A90" s="1871" t="n">
        <f aca="false">A89+1</f>
        <v>1951</v>
      </c>
      <c r="B90" s="1872" t="n">
        <f aca="false">B89*(1+J90)</f>
        <v>107.575757575758</v>
      </c>
      <c r="C90" s="1873" t="n">
        <f aca="false">C89*(1+K90)</f>
        <v>111.654226886227</v>
      </c>
      <c r="D90" s="1874" t="n">
        <f aca="false">D89*(1+L90)</f>
        <v>108.071748878924</v>
      </c>
      <c r="E90" s="1875"/>
      <c r="F90" s="1875"/>
      <c r="G90" s="1876" t="n">
        <v>29</v>
      </c>
      <c r="H90" s="1903" t="n">
        <v>1166.08333333333</v>
      </c>
      <c r="I90" s="1903" t="n">
        <v>366.916666666667</v>
      </c>
      <c r="J90" s="1877" t="n">
        <f aca="false">DataDE1!GB12</f>
        <v>0.0757575757575757</v>
      </c>
      <c r="K90" s="1878" t="n">
        <f aca="false">DataDE1!GD12</f>
        <v>0.11654226886227</v>
      </c>
      <c r="L90" s="1879" t="n">
        <f aca="false">DataDE1!GF12</f>
        <v>0.0807174887892377</v>
      </c>
      <c r="M90" s="1880"/>
      <c r="N90" s="1880"/>
      <c r="O90" s="1880" t="n">
        <f aca="false">G90/G89-1</f>
        <v>0.432098765432099</v>
      </c>
      <c r="P90" s="1880" t="n">
        <f aca="false">H90/H89-1</f>
        <v>0.452007886271661</v>
      </c>
      <c r="Q90" s="1881" t="n">
        <f aca="false">I90/I89-1</f>
        <v>0.341151385927506</v>
      </c>
      <c r="R90" s="25"/>
      <c r="S90" s="25"/>
      <c r="T90" s="25"/>
    </row>
    <row r="91" customFormat="false" ht="13" hidden="false" customHeight="false" outlineLevel="0" collapsed="false">
      <c r="A91" s="1871" t="n">
        <f aca="false">A90+1</f>
        <v>1952</v>
      </c>
      <c r="B91" s="1872" t="n">
        <f aca="false">B90*(1+J91)</f>
        <v>109.848484848485</v>
      </c>
      <c r="C91" s="1873" t="n">
        <f aca="false">C90*(1+K91)</f>
        <v>116.842285445364</v>
      </c>
      <c r="D91" s="1874" t="n">
        <f aca="false">D90*(1+L91)</f>
        <v>109.641255605381</v>
      </c>
      <c r="E91" s="1875"/>
      <c r="F91" s="1875"/>
      <c r="G91" s="1876" t="n">
        <v>37.1666666666667</v>
      </c>
      <c r="H91" s="1903" t="n">
        <v>1504.41666666667</v>
      </c>
      <c r="I91" s="1903" t="n">
        <v>465.166666666667</v>
      </c>
      <c r="J91" s="1877" t="n">
        <f aca="false">DataDE1!GB13</f>
        <v>0.0211267605633803</v>
      </c>
      <c r="K91" s="1878" t="n">
        <f aca="false">DataDE1!GD13</f>
        <v>0.0464654021958693</v>
      </c>
      <c r="L91" s="1879" t="n">
        <f aca="false">DataDE1!GF13</f>
        <v>0.0145228215767634</v>
      </c>
      <c r="M91" s="1880"/>
      <c r="N91" s="1880"/>
      <c r="O91" s="1880" t="n">
        <f aca="false">G91/G90-1</f>
        <v>0.281609195402299</v>
      </c>
      <c r="P91" s="1880" t="n">
        <f aca="false">H91/H90-1</f>
        <v>0.290145072536268</v>
      </c>
      <c r="Q91" s="1881" t="n">
        <f aca="false">I91/I90-1</f>
        <v>0.267771973654327</v>
      </c>
      <c r="R91" s="25"/>
      <c r="T91" s="25"/>
      <c r="W91" s="1916"/>
    </row>
    <row r="92" customFormat="false" ht="13" hidden="false" customHeight="false" outlineLevel="0" collapsed="false">
      <c r="A92" s="1871" t="n">
        <f aca="false">A91+1</f>
        <v>1953</v>
      </c>
      <c r="B92" s="1872" t="n">
        <f aca="false">B91*(1+J92)</f>
        <v>107.954545454545</v>
      </c>
      <c r="C92" s="1873" t="n">
        <f aca="false">C91*(1+K92)</f>
        <v>115.190833566369</v>
      </c>
      <c r="D92" s="1874" t="n">
        <f aca="false">D91*(1+L92)</f>
        <v>108.520179372197</v>
      </c>
      <c r="E92" s="1875"/>
      <c r="F92" s="1875"/>
      <c r="G92" s="1876" t="n">
        <v>33.4166666666667</v>
      </c>
      <c r="H92" s="1903" t="n">
        <v>1383.66666666667</v>
      </c>
      <c r="I92" s="1903" t="n">
        <v>435.166666666667</v>
      </c>
      <c r="J92" s="1877" t="n">
        <f aca="false">DataDE1!GB14</f>
        <v>-0.0172413793103449</v>
      </c>
      <c r="K92" s="1878" t="n">
        <f aca="false">DataDE1!GD14</f>
        <v>-0.0141340258169455</v>
      </c>
      <c r="L92" s="1879" t="n">
        <f aca="false">DataDE1!GF14</f>
        <v>-0.0102249488752556</v>
      </c>
      <c r="M92" s="1880"/>
      <c r="N92" s="1880"/>
      <c r="O92" s="1880" t="n">
        <f aca="false">G92/G91-1</f>
        <v>-0.100896860986547</v>
      </c>
      <c r="P92" s="1880" t="n">
        <f aca="false">H92/H91-1</f>
        <v>-0.0802636680884064</v>
      </c>
      <c r="Q92" s="1881" t="n">
        <f aca="false">I92/I91-1</f>
        <v>-0.0644930132568972</v>
      </c>
      <c r="R92" s="25"/>
      <c r="S92" s="158"/>
      <c r="T92" s="25"/>
    </row>
    <row r="93" customFormat="false" ht="13" hidden="false" customHeight="false" outlineLevel="0" collapsed="false">
      <c r="A93" s="1871" t="n">
        <f aca="false">A92+1</f>
        <v>1954</v>
      </c>
      <c r="B93" s="1872" t="n">
        <f aca="false">B92*(1+J93)</f>
        <v>108.333333333333</v>
      </c>
      <c r="C93" s="1873" t="n">
        <f aca="false">C92*(1+K93)</f>
        <v>114.844707130149</v>
      </c>
      <c r="D93" s="1874" t="n">
        <f aca="false">D92*(1+L93)</f>
        <v>108.968609865471</v>
      </c>
      <c r="E93" s="1875"/>
      <c r="F93" s="1875"/>
      <c r="G93" s="1876" t="n">
        <v>48</v>
      </c>
      <c r="H93" s="1903" t="n">
        <v>2038.16666666667</v>
      </c>
      <c r="I93" s="1903" t="n">
        <v>639.333333333333</v>
      </c>
      <c r="J93" s="1877" t="n">
        <f aca="false">DataDE1!GB15</f>
        <v>0.00350877192982457</v>
      </c>
      <c r="K93" s="1878" t="n">
        <f aca="false">DataDE1!GD15</f>
        <v>-0.00300480885069754</v>
      </c>
      <c r="L93" s="1879" t="n">
        <f aca="false">DataDE1!GF15</f>
        <v>0.00413223140495878</v>
      </c>
      <c r="M93" s="1880"/>
      <c r="N93" s="1880"/>
      <c r="O93" s="1880" t="n">
        <f aca="false">G93/G92-1</f>
        <v>0.43640897755611</v>
      </c>
      <c r="P93" s="1880" t="n">
        <f aca="false">H93/H92-1</f>
        <v>0.473018549747049</v>
      </c>
      <c r="Q93" s="1881" t="n">
        <f aca="false">I93/I92-1</f>
        <v>0.46916890080429</v>
      </c>
      <c r="R93" s="25"/>
      <c r="S93" s="25"/>
      <c r="T93" s="1916"/>
    </row>
    <row r="94" customFormat="false" ht="13" hidden="false" customHeight="false" outlineLevel="0" collapsed="false">
      <c r="A94" s="1871" t="n">
        <f aca="false">A93+1</f>
        <v>1955</v>
      </c>
      <c r="B94" s="1872" t="n">
        <f aca="false">B93*(1+J94)</f>
        <v>109.848484848485</v>
      </c>
      <c r="C94" s="1873" t="n">
        <f aca="false">C93*(1+K94)</f>
        <v>117.102787316097</v>
      </c>
      <c r="D94" s="1874" t="n">
        <f aca="false">D93*(1+L94)</f>
        <v>110.313901345291</v>
      </c>
      <c r="E94" s="1875"/>
      <c r="F94" s="1875"/>
      <c r="G94" s="1876" t="n">
        <v>74.5833333333333</v>
      </c>
      <c r="H94" s="1903" t="n">
        <v>3263.41666666667</v>
      </c>
      <c r="I94" s="1903" t="n">
        <v>1009.5</v>
      </c>
      <c r="J94" s="1877" t="n">
        <f aca="false">DataDE1!GB16</f>
        <v>0.013986013986014</v>
      </c>
      <c r="K94" s="1878" t="n">
        <f aca="false">DataDE1!GD16</f>
        <v>0.0196620309492266</v>
      </c>
      <c r="L94" s="1879" t="n">
        <f aca="false">DataDE1!GF16</f>
        <v>0.0123456790123457</v>
      </c>
      <c r="M94" s="1880"/>
      <c r="N94" s="1880"/>
      <c r="O94" s="1880" t="n">
        <f aca="false">G94/G93-1</f>
        <v>0.553819444444444</v>
      </c>
      <c r="P94" s="1880" t="n">
        <f aca="false">H94/H93-1</f>
        <v>0.601152996974405</v>
      </c>
      <c r="Q94" s="1881" t="n">
        <f aca="false">I94/I93-1</f>
        <v>0.578988529718457</v>
      </c>
      <c r="R94" s="25"/>
      <c r="S94" s="25"/>
      <c r="T94" s="25"/>
    </row>
    <row r="95" customFormat="false" ht="13" hidden="false" customHeight="false" outlineLevel="0" collapsed="false">
      <c r="A95" s="1871" t="n">
        <f aca="false">A94+1</f>
        <v>1956</v>
      </c>
      <c r="B95" s="1872" t="n">
        <f aca="false">B94*(1+J95)</f>
        <v>112.878787878788</v>
      </c>
      <c r="C95" s="1873" t="n">
        <f aca="false">C94*(1+K95)</f>
        <v>120.30756701667</v>
      </c>
      <c r="D95" s="1874" t="n">
        <f aca="false">D94*(1+L95)</f>
        <v>112.556053811659</v>
      </c>
      <c r="E95" s="1875"/>
      <c r="F95" s="1875"/>
      <c r="G95" s="1876" t="n">
        <v>70.6666666666667</v>
      </c>
      <c r="H95" s="1903" t="n">
        <v>3195.58333333333</v>
      </c>
      <c r="I95" s="1903" t="n">
        <v>964</v>
      </c>
      <c r="J95" s="1877" t="n">
        <f aca="false">DataDE1!GB17</f>
        <v>0.0275862068965518</v>
      </c>
      <c r="K95" s="1878" t="n">
        <f aca="false">DataDE1!GD17</f>
        <v>0.0273672367159123</v>
      </c>
      <c r="L95" s="1879" t="n">
        <f aca="false">DataDE1!GF17</f>
        <v>0.0203252032520325</v>
      </c>
      <c r="M95" s="1880"/>
      <c r="N95" s="1880"/>
      <c r="O95" s="1880" t="n">
        <f aca="false">G95/G94-1</f>
        <v>-0.0525139664804468</v>
      </c>
      <c r="P95" s="1880" t="n">
        <f aca="false">H95/H94-1</f>
        <v>-0.0207859860575572</v>
      </c>
      <c r="Q95" s="1881" t="n">
        <f aca="false">I95/I94-1</f>
        <v>-0.0450718177315502</v>
      </c>
      <c r="R95" s="25"/>
      <c r="S95" s="25"/>
      <c r="T95" s="25"/>
    </row>
    <row r="96" customFormat="false" ht="13" hidden="false" customHeight="false" outlineLevel="0" collapsed="false">
      <c r="A96" s="1871" t="n">
        <f aca="false">A95+1</f>
        <v>1957</v>
      </c>
      <c r="B96" s="1872" t="n">
        <f aca="false">B95*(1+J96)</f>
        <v>115.151515151515</v>
      </c>
      <c r="C96" s="1873" t="n">
        <f aca="false">C95*(1+K96)</f>
        <v>123.893168362523</v>
      </c>
      <c r="D96" s="1874" t="n">
        <f aca="false">D95*(1+L96)</f>
        <v>115.2466367713</v>
      </c>
      <c r="E96" s="1875"/>
      <c r="F96" s="1875"/>
      <c r="G96" s="1876" t="n">
        <v>70.0833333333333</v>
      </c>
      <c r="H96" s="1903" t="n">
        <v>3306.16666666667</v>
      </c>
      <c r="I96" s="1903" t="n">
        <v>976.833333333333</v>
      </c>
      <c r="J96" s="1877" t="n">
        <f aca="false">DataDE1!GB18</f>
        <v>0.0201342281879193</v>
      </c>
      <c r="K96" s="1878" t="n">
        <f aca="false">DataDE1!GD18</f>
        <v>0.0298036227875496</v>
      </c>
      <c r="L96" s="1879" t="n">
        <f aca="false">DataDE1!GF18</f>
        <v>0.0239043824701195</v>
      </c>
      <c r="M96" s="1880"/>
      <c r="N96" s="1880"/>
      <c r="O96" s="1880" t="n">
        <f aca="false">G96/G95-1</f>
        <v>-0.00825471698113223</v>
      </c>
      <c r="P96" s="1880" t="n">
        <f aca="false">H96/H95-1</f>
        <v>0.0346050538503664</v>
      </c>
      <c r="Q96" s="1881" t="n">
        <f aca="false">I96/I95-1</f>
        <v>0.0133125864453665</v>
      </c>
      <c r="R96" s="25"/>
      <c r="S96" s="25"/>
      <c r="T96" s="25"/>
    </row>
    <row r="97" customFormat="false" ht="13" hidden="false" customHeight="false" outlineLevel="0" collapsed="false">
      <c r="A97" s="1871" t="n">
        <f aca="false">A96+1</f>
        <v>1958</v>
      </c>
      <c r="B97" s="1872" t="n">
        <f aca="false">B96*(1+J97)</f>
        <v>117.80303030303</v>
      </c>
      <c r="C97" s="1873" t="n">
        <f aca="false">C96*(1+K97)</f>
        <v>127.59427063562</v>
      </c>
      <c r="D97" s="1874" t="n">
        <f aca="false">D96*(1+L97)</f>
        <v>118.385650224215</v>
      </c>
      <c r="E97" s="1875"/>
      <c r="F97" s="1875"/>
      <c r="G97" s="1876" t="n">
        <v>87.8333333333333</v>
      </c>
      <c r="H97" s="1903" t="n">
        <v>4341.25</v>
      </c>
      <c r="I97" s="1903" t="n">
        <v>1260.91666666667</v>
      </c>
      <c r="J97" s="1877" t="n">
        <f aca="false">DataDE1!GB19</f>
        <v>0.0230263157894737</v>
      </c>
      <c r="K97" s="1878" t="n">
        <f aca="false">DataDE1!GD19</f>
        <v>0.0298733362138914</v>
      </c>
      <c r="L97" s="1879" t="n">
        <f aca="false">DataDE1!GF19</f>
        <v>0.027237354085603</v>
      </c>
      <c r="M97" s="1880"/>
      <c r="N97" s="1880"/>
      <c r="O97" s="1880" t="n">
        <f aca="false">G97/G96-1</f>
        <v>0.253269916765755</v>
      </c>
      <c r="P97" s="1880" t="n">
        <f aca="false">H97/H96-1</f>
        <v>0.313076574078742</v>
      </c>
      <c r="Q97" s="1881" t="n">
        <f aca="false">I97/I96-1</f>
        <v>0.290820679065006</v>
      </c>
      <c r="R97" s="25"/>
      <c r="S97" s="25"/>
      <c r="T97" s="25"/>
    </row>
    <row r="98" customFormat="false" ht="13" hidden="false" customHeight="false" outlineLevel="0" collapsed="false">
      <c r="A98" s="1882" t="n">
        <f aca="false">A97+1</f>
        <v>1959</v>
      </c>
      <c r="B98" s="1883" t="n">
        <f aca="false">B97*(1+J98)</f>
        <v>118.560606060606</v>
      </c>
      <c r="C98" s="1884" t="n">
        <f aca="false">C97*(1+K98)</f>
        <v>129.602134416105</v>
      </c>
      <c r="D98" s="1885" t="n">
        <f aca="false">D97*(1+L98)</f>
        <v>119.282511210762</v>
      </c>
      <c r="E98" s="1886"/>
      <c r="F98" s="1886"/>
      <c r="G98" s="1887" t="n">
        <v>147.25</v>
      </c>
      <c r="H98" s="1905" t="n">
        <v>7517.5</v>
      </c>
      <c r="I98" s="1905" t="n">
        <v>2168.08333333333</v>
      </c>
      <c r="J98" s="1888" t="n">
        <f aca="false">DataDE1!GB20</f>
        <v>0.00643086816720251</v>
      </c>
      <c r="K98" s="1889" t="n">
        <f aca="false">DataDE1!GD20</f>
        <v>0.0157363161408586</v>
      </c>
      <c r="L98" s="1890" t="n">
        <f aca="false">DataDE1!GF20</f>
        <v>0.00757575757575779</v>
      </c>
      <c r="M98" s="1891"/>
      <c r="N98" s="1891"/>
      <c r="O98" s="1891" t="n">
        <f aca="false">G98/G97-1</f>
        <v>0.676470588235294</v>
      </c>
      <c r="P98" s="1891" t="n">
        <f aca="false">H98/H97-1</f>
        <v>0.731644111718975</v>
      </c>
      <c r="Q98" s="1892" t="n">
        <f aca="false">I98/I97-1</f>
        <v>0.719450135483445</v>
      </c>
      <c r="R98" s="25"/>
      <c r="S98" s="25"/>
      <c r="T98" s="25"/>
    </row>
    <row r="99" customFormat="false" ht="13" hidden="false" customHeight="false" outlineLevel="0" collapsed="false">
      <c r="A99" s="1871" t="n">
        <f aca="false">A98+1</f>
        <v>1960</v>
      </c>
      <c r="B99" s="1872" t="n">
        <f aca="false">B98*(1+J99)</f>
        <v>120.454545454545</v>
      </c>
      <c r="C99" s="1873" t="n">
        <f aca="false">C98*(1+K99)</f>
        <v>133.732777318739</v>
      </c>
      <c r="D99" s="1874" t="n">
        <f aca="false">D98*(1+L99)</f>
        <v>120.85201793722</v>
      </c>
      <c r="E99" s="1875"/>
      <c r="F99" s="1875"/>
      <c r="G99" s="1876" t="n">
        <v>227.75</v>
      </c>
      <c r="H99" s="1903" t="n">
        <v>11885.0833333333</v>
      </c>
      <c r="I99" s="1903" t="n">
        <v>3365.08333333333</v>
      </c>
      <c r="J99" s="1877" t="n">
        <f aca="false">DataDE1!GB21</f>
        <v>0.0159744408945688</v>
      </c>
      <c r="K99" s="1878" t="n">
        <f aca="false">DataDE1!GD21</f>
        <v>0.0318717197154541</v>
      </c>
      <c r="L99" s="1879" t="n">
        <f aca="false">DataDE1!GF21</f>
        <v>0.013157894736842</v>
      </c>
      <c r="M99" s="1880"/>
      <c r="N99" s="1880"/>
      <c r="O99" s="1880" t="n">
        <f aca="false">G99/G98-1</f>
        <v>0.546689303904924</v>
      </c>
      <c r="P99" s="1880" t="n">
        <f aca="false">H99/H98-1</f>
        <v>0.580988803902007</v>
      </c>
      <c r="Q99" s="1881" t="n">
        <f aca="false">I99/I98-1</f>
        <v>0.55210054964062</v>
      </c>
      <c r="R99" s="25"/>
      <c r="S99" s="25"/>
      <c r="T99" s="25"/>
    </row>
    <row r="100" customFormat="false" ht="13" hidden="false" customHeight="false" outlineLevel="0" collapsed="false">
      <c r="A100" s="1871" t="n">
        <f aca="false">A99+1</f>
        <v>1961</v>
      </c>
      <c r="B100" s="1872" t="n">
        <f aca="false">B99*(1+J100)</f>
        <v>123.484848484848</v>
      </c>
      <c r="C100" s="1873" t="n">
        <f aca="false">C99*(1+K100)</f>
        <v>140.053156521293</v>
      </c>
      <c r="D100" s="1874" t="n">
        <f aca="false">D99*(1+L100)</f>
        <v>124.97197309417</v>
      </c>
      <c r="E100" s="1875"/>
      <c r="F100" s="1875"/>
      <c r="G100" s="1876" t="n">
        <v>233.416666666667</v>
      </c>
      <c r="H100" s="1903" t="n">
        <v>12422.4166666667</v>
      </c>
      <c r="I100" s="1903" t="n">
        <v>3440.25</v>
      </c>
      <c r="J100" s="1877" t="n">
        <f aca="false">DataDE1!GB22</f>
        <v>0.0251572327044025</v>
      </c>
      <c r="K100" s="1878" t="n">
        <f aca="false">DataDE1!GD22</f>
        <v>0.0472612573317686</v>
      </c>
      <c r="L100" s="1879" t="n">
        <f aca="false">DataDE1!GF22</f>
        <v>0.034090909090909</v>
      </c>
      <c r="M100" s="1880"/>
      <c r="N100" s="1880"/>
      <c r="O100" s="1880" t="n">
        <f aca="false">G100/G99-1</f>
        <v>0.0248810830589097</v>
      </c>
      <c r="P100" s="1880" t="n">
        <f aca="false">H100/H99-1</f>
        <v>0.0452107333422145</v>
      </c>
      <c r="Q100" s="1881" t="n">
        <f aca="false">I100/I99-1</f>
        <v>0.022337237809861</v>
      </c>
      <c r="R100" s="25"/>
      <c r="S100" s="25"/>
      <c r="T100" s="25"/>
    </row>
    <row r="101" customFormat="false" ht="13" hidden="false" customHeight="false" outlineLevel="0" collapsed="false">
      <c r="A101" s="1871" t="n">
        <f aca="false">A100+1</f>
        <v>1962</v>
      </c>
      <c r="B101" s="1872" t="n">
        <f aca="false">B100*(1+J101)</f>
        <v>126.893939393939</v>
      </c>
      <c r="C101" s="1873" t="n">
        <f aca="false">C100*(1+K101)</f>
        <v>145.602440325933</v>
      </c>
      <c r="D101" s="1874" t="n">
        <f aca="false">D100*(1+L101)</f>
        <v>128.405269058296</v>
      </c>
      <c r="E101" s="1875"/>
      <c r="F101" s="1875"/>
      <c r="G101" s="1876" t="n">
        <v>181.333333333333</v>
      </c>
      <c r="H101" s="1903" t="n">
        <v>9904.75</v>
      </c>
      <c r="I101" s="1903" t="n">
        <v>2666.16666666667</v>
      </c>
      <c r="J101" s="1877" t="n">
        <f aca="false">DataDE1!GB23</f>
        <v>0.0276073619631902</v>
      </c>
      <c r="K101" s="1878" t="n">
        <f aca="false">DataDE1!GD23</f>
        <v>0.0396226971421187</v>
      </c>
      <c r="L101" s="1879" t="n">
        <f aca="false">DataDE1!GF23</f>
        <v>0.0274725274725274</v>
      </c>
      <c r="M101" s="1880"/>
      <c r="N101" s="1880"/>
      <c r="O101" s="1880" t="n">
        <f aca="false">G101/G100-1</f>
        <v>-0.223134594787576</v>
      </c>
      <c r="P101" s="1880" t="n">
        <f aca="false">H101/H100-1</f>
        <v>-0.202671246201424</v>
      </c>
      <c r="Q101" s="1881" t="n">
        <f aca="false">I101/I100-1</f>
        <v>-0.225007872489887</v>
      </c>
      <c r="R101" s="25"/>
      <c r="S101" s="25"/>
      <c r="T101" s="25"/>
    </row>
    <row r="102" customFormat="false" ht="13" hidden="false" customHeight="false" outlineLevel="0" collapsed="false">
      <c r="A102" s="1871" t="n">
        <f aca="false">A101+1</f>
        <v>1963</v>
      </c>
      <c r="B102" s="1872" t="n">
        <f aca="false">B101*(1+J102)</f>
        <v>130.739210284665</v>
      </c>
      <c r="C102" s="1873" t="n">
        <f aca="false">C101*(1+K102)</f>
        <v>150.147802926517</v>
      </c>
      <c r="D102" s="1874" t="n">
        <f aca="false">D101*(1+L102)</f>
        <v>132.525224215247</v>
      </c>
      <c r="E102" s="1875"/>
      <c r="F102" s="1875"/>
      <c r="G102" s="1876" t="n">
        <v>174.833333333333</v>
      </c>
      <c r="H102" s="1903" t="n">
        <v>9907.16666666667</v>
      </c>
      <c r="I102" s="1903" t="n">
        <v>2595.75</v>
      </c>
      <c r="J102" s="1877" t="n">
        <f aca="false">DataDE1!GB24</f>
        <v>0.0303030303030303</v>
      </c>
      <c r="K102" s="1878" t="n">
        <f aca="false">DataDE1!GD24</f>
        <v>0.031217626506866</v>
      </c>
      <c r="L102" s="1879" t="n">
        <f aca="false">DataDE1!GF24</f>
        <v>0.0320855614973263</v>
      </c>
      <c r="M102" s="1880"/>
      <c r="N102" s="1880"/>
      <c r="O102" s="1880" t="n">
        <f aca="false">G102/G101-1</f>
        <v>-0.0358455882352942</v>
      </c>
      <c r="P102" s="1880" t="n">
        <f aca="false">H102/H101-1</f>
        <v>0.000243990677873285</v>
      </c>
      <c r="Q102" s="1881" t="n">
        <f aca="false">I102/I101-1</f>
        <v>-0.0264112021003937</v>
      </c>
      <c r="R102" s="25"/>
      <c r="S102" s="25"/>
      <c r="T102" s="25"/>
    </row>
    <row r="103" customFormat="false" ht="13" hidden="false" customHeight="false" outlineLevel="0" collapsed="false">
      <c r="A103" s="1871" t="n">
        <f aca="false">A102+1</f>
        <v>1964</v>
      </c>
      <c r="B103" s="1872" t="n">
        <f aca="false">B102*(1+J103)</f>
        <v>133.815426997245</v>
      </c>
      <c r="C103" s="1873" t="n">
        <f aca="false">C102*(1+K103)</f>
        <v>154.763081594793</v>
      </c>
      <c r="D103" s="1874" t="n">
        <f aca="false">D102*(1+L103)</f>
        <v>135.271860986547</v>
      </c>
      <c r="E103" s="1875"/>
      <c r="F103" s="1875"/>
      <c r="G103" s="1876" t="n">
        <v>200.166666666667</v>
      </c>
      <c r="H103" s="1903" t="n">
        <v>11700.1666666667</v>
      </c>
      <c r="I103" s="1903" t="n">
        <v>2961.83333333333</v>
      </c>
      <c r="J103" s="1877" t="n">
        <f aca="false">DataDE1!GB25</f>
        <v>0.0235294117647058</v>
      </c>
      <c r="K103" s="1878" t="n">
        <f aca="false">DataDE1!GD25</f>
        <v>0.0307382364464881</v>
      </c>
      <c r="L103" s="1879" t="n">
        <f aca="false">DataDE1!GF25</f>
        <v>0.0207253886010361</v>
      </c>
      <c r="M103" s="1880"/>
      <c r="N103" s="1880"/>
      <c r="O103" s="1880" t="n">
        <f aca="false">G103/G102-1</f>
        <v>0.144899904671115</v>
      </c>
      <c r="P103" s="1880" t="n">
        <f aca="false">H103/H102-1</f>
        <v>0.180980098581835</v>
      </c>
      <c r="Q103" s="1881" t="n">
        <f aca="false">I103/I102-1</f>
        <v>0.141031814825516</v>
      </c>
      <c r="R103" s="25"/>
      <c r="S103" s="25"/>
      <c r="T103" s="25"/>
    </row>
    <row r="104" customFormat="false" ht="13" hidden="false" customHeight="false" outlineLevel="0" collapsed="false">
      <c r="A104" s="1871" t="n">
        <f aca="false">A103+1</f>
        <v>1965</v>
      </c>
      <c r="B104" s="1872" t="n">
        <f aca="false">B103*(1+J104)</f>
        <v>138.045224977043</v>
      </c>
      <c r="C104" s="1873" t="n">
        <f aca="false">C103*(1+K104)</f>
        <v>160.571736763551</v>
      </c>
      <c r="D104" s="1874" t="n">
        <f aca="false">D103*(1+L104)</f>
        <v>139.73514573991</v>
      </c>
      <c r="E104" s="1875"/>
      <c r="F104" s="1875"/>
      <c r="G104" s="1876" t="n">
        <v>178.833333333333</v>
      </c>
      <c r="H104" s="1903" t="n">
        <v>10785.6666666667</v>
      </c>
      <c r="I104" s="1903" t="n">
        <v>2651.08333333333</v>
      </c>
      <c r="J104" s="1877" t="n">
        <f aca="false">DataDE1!GB26</f>
        <v>0.0316091954022988</v>
      </c>
      <c r="K104" s="1878" t="n">
        <f aca="false">DataDE1!GD26</f>
        <v>0.0375325633794654</v>
      </c>
      <c r="L104" s="1879" t="n">
        <f aca="false">DataDE1!GF26</f>
        <v>0.0329949238578682</v>
      </c>
      <c r="M104" s="1880"/>
      <c r="N104" s="1880"/>
      <c r="O104" s="1880" t="n">
        <f aca="false">G104/G103-1</f>
        <v>-0.106577851790175</v>
      </c>
      <c r="P104" s="1880" t="n">
        <f aca="false">H104/H103-1</f>
        <v>-0.0781612797538497</v>
      </c>
      <c r="Q104" s="1881" t="n">
        <f aca="false">I104/I103-1</f>
        <v>-0.10491812503517</v>
      </c>
      <c r="R104" s="25"/>
      <c r="S104" s="25"/>
      <c r="T104" s="25"/>
    </row>
    <row r="105" customFormat="false" ht="13" hidden="false" customHeight="false" outlineLevel="0" collapsed="false">
      <c r="A105" s="1871" t="n">
        <f aca="false">A104+1</f>
        <v>1966</v>
      </c>
      <c r="B105" s="1872" t="n">
        <f aca="false">B104*(1+J105)</f>
        <v>142.659550045914</v>
      </c>
      <c r="C105" s="1873" t="n">
        <f aca="false">C104*(1+K105)</f>
        <v>166.162263559819</v>
      </c>
      <c r="D105" s="1874" t="n">
        <f aca="false">D104*(1+L105)</f>
        <v>144.541760089686</v>
      </c>
      <c r="E105" s="1875"/>
      <c r="F105" s="1875"/>
      <c r="G105" s="1876" t="n">
        <v>151.416666666667</v>
      </c>
      <c r="H105" s="1903" t="n">
        <v>9502.66666666667</v>
      </c>
      <c r="I105" s="1903" t="n">
        <v>2254.5</v>
      </c>
      <c r="J105" s="1877" t="n">
        <f aca="false">DataDE1!GB27</f>
        <v>0.0334261838440113</v>
      </c>
      <c r="K105" s="1878" t="n">
        <f aca="false">DataDE1!GD27</f>
        <v>0.0348163811947835</v>
      </c>
      <c r="L105" s="1879" t="n">
        <f aca="false">DataDE1!GF27</f>
        <v>0.0343980343980344</v>
      </c>
      <c r="M105" s="1880"/>
      <c r="N105" s="1880"/>
      <c r="O105" s="1880" t="n">
        <f aca="false">G105/G104-1</f>
        <v>-0.153308480894688</v>
      </c>
      <c r="P105" s="1880" t="n">
        <f aca="false">H105/H104-1</f>
        <v>-0.118954167568069</v>
      </c>
      <c r="Q105" s="1881" t="n">
        <f aca="false">I105/I104-1</f>
        <v>-0.149592933706347</v>
      </c>
      <c r="R105" s="25"/>
      <c r="S105" s="25"/>
      <c r="T105" s="25"/>
    </row>
    <row r="106" customFormat="false" ht="13" hidden="false" customHeight="false" outlineLevel="0" collapsed="false">
      <c r="A106" s="1871" t="n">
        <f aca="false">A105+1</f>
        <v>1967</v>
      </c>
      <c r="B106" s="1872" t="n">
        <f aca="false">B105*(1+J106)</f>
        <v>145.351239669421</v>
      </c>
      <c r="C106" s="1873" t="n">
        <f aca="false">C105*(1+K106)</f>
        <v>168.721989517986</v>
      </c>
      <c r="D106" s="1874" t="n">
        <f aca="false">D105*(1+L106)</f>
        <v>146.945067264574</v>
      </c>
      <c r="E106" s="1875"/>
      <c r="F106" s="1875"/>
      <c r="G106" s="1876" t="n">
        <v>154.666666666667</v>
      </c>
      <c r="H106" s="1903" t="n">
        <v>10160.75</v>
      </c>
      <c r="I106" s="1903" t="n">
        <v>2366.33333333333</v>
      </c>
      <c r="J106" s="1877" t="n">
        <f aca="false">DataDE1!GB28</f>
        <v>0.0188679245283017</v>
      </c>
      <c r="K106" s="1878" t="n">
        <f aca="false">DataDE1!GD28</f>
        <v>0.0154049776605576</v>
      </c>
      <c r="L106" s="1879" t="n">
        <f aca="false">DataDE1!GF28</f>
        <v>0.0166270783847979</v>
      </c>
      <c r="M106" s="1880"/>
      <c r="N106" s="1880"/>
      <c r="O106" s="1880" t="n">
        <f aca="false">G106/G105-1</f>
        <v>0.0214639515685195</v>
      </c>
      <c r="P106" s="1880" t="n">
        <f aca="false">H106/H105-1</f>
        <v>0.0692524905289744</v>
      </c>
      <c r="Q106" s="1881" t="n">
        <f aca="false">I106/I105-1</f>
        <v>0.0496044947142753</v>
      </c>
      <c r="R106" s="25"/>
      <c r="S106" s="25"/>
      <c r="T106" s="25"/>
    </row>
    <row r="107" customFormat="false" ht="13" hidden="false" customHeight="false" outlineLevel="0" collapsed="false">
      <c r="A107" s="1871" t="n">
        <f aca="false">A106+1</f>
        <v>1968</v>
      </c>
      <c r="B107" s="1872" t="n">
        <f aca="false">B106*(1+J107)</f>
        <v>147.658402203857</v>
      </c>
      <c r="C107" s="1873" t="n">
        <f aca="false">C106*(1+K107)</f>
        <v>172.806770170826</v>
      </c>
      <c r="D107" s="1874" t="n">
        <f aca="false">D106*(1+L107)</f>
        <v>149.348374439462</v>
      </c>
      <c r="E107" s="1875"/>
      <c r="F107" s="1875"/>
      <c r="G107" s="1876" t="n">
        <v>203</v>
      </c>
      <c r="H107" s="1903" t="n">
        <v>13816</v>
      </c>
      <c r="I107" s="1903" t="n">
        <v>3171.5</v>
      </c>
      <c r="J107" s="1877" t="n">
        <f aca="false">DataDE1!GB29</f>
        <v>0.0158730158730158</v>
      </c>
      <c r="K107" s="1878" t="n">
        <f aca="false">DataDE1!GD29</f>
        <v>0.0242101261638155</v>
      </c>
      <c r="L107" s="1879" t="n">
        <f aca="false">DataDE1!GF29</f>
        <v>0.016355140186916</v>
      </c>
      <c r="M107" s="1880"/>
      <c r="N107" s="1880"/>
      <c r="O107" s="1880" t="n">
        <f aca="false">G107/G106-1</f>
        <v>0.3125</v>
      </c>
      <c r="P107" s="1880" t="n">
        <f aca="false">H107/H106-1</f>
        <v>0.359742145018823</v>
      </c>
      <c r="Q107" s="1881" t="n">
        <f aca="false">I107/I106-1</f>
        <v>0.340259191435413</v>
      </c>
      <c r="R107" s="25"/>
      <c r="S107" s="25"/>
      <c r="T107" s="25"/>
    </row>
    <row r="108" customFormat="false" ht="13" hidden="false" customHeight="false" outlineLevel="0" collapsed="false">
      <c r="A108" s="1871" t="n">
        <f aca="false">A107+1</f>
        <v>1969</v>
      </c>
      <c r="B108" s="1872" t="n">
        <f aca="false">B107*(1+J108)</f>
        <v>150.350091827365</v>
      </c>
      <c r="C108" s="1873" t="n">
        <f aca="false">C107*(1+K108)</f>
        <v>179.765102991399</v>
      </c>
      <c r="D108" s="1874" t="n">
        <f aca="false">D107*(1+L108)</f>
        <v>152.095011210762</v>
      </c>
      <c r="E108" s="1875"/>
      <c r="F108" s="1875"/>
      <c r="G108" s="1876" t="n">
        <v>221.083333333333</v>
      </c>
      <c r="H108" s="1903" t="n">
        <v>15507.0833333333</v>
      </c>
      <c r="I108" s="1903" t="n">
        <v>3471.25</v>
      </c>
      <c r="J108" s="1877" t="n">
        <f aca="false">DataDE1!GB30</f>
        <v>0.0182291666666667</v>
      </c>
      <c r="K108" s="1878" t="n">
        <f aca="false">DataDE1!GD30</f>
        <v>0.0402665521362096</v>
      </c>
      <c r="L108" s="1879" t="n">
        <f aca="false">DataDE1!GF30</f>
        <v>0.018390804597701</v>
      </c>
      <c r="M108" s="1880"/>
      <c r="N108" s="1880"/>
      <c r="O108" s="1880" t="n">
        <f aca="false">G108/G107-1</f>
        <v>0.0890804597701149</v>
      </c>
      <c r="P108" s="1880" t="n">
        <f aca="false">H108/H107-1</f>
        <v>0.122400357073924</v>
      </c>
      <c r="Q108" s="1881" t="n">
        <f aca="false">I108/I107-1</f>
        <v>0.094513637080246</v>
      </c>
      <c r="R108" s="25"/>
      <c r="S108" s="25"/>
      <c r="T108" s="25"/>
    </row>
    <row r="109" customFormat="false" ht="12.75" hidden="false" customHeight="true" outlineLevel="0" collapsed="false">
      <c r="A109" s="1893" t="n">
        <f aca="false">A108+1</f>
        <v>1970</v>
      </c>
      <c r="B109" s="1894" t="n">
        <f aca="false">B108*(1+J109)</f>
        <v>155.73347107438</v>
      </c>
      <c r="C109" s="1895" t="n">
        <f aca="false">C108*(1+K109)</f>
        <v>193.563747609663</v>
      </c>
      <c r="D109" s="1896" t="n">
        <f aca="false">D108*(1+L109)</f>
        <v>157.588284753363</v>
      </c>
      <c r="E109" s="1897"/>
      <c r="F109" s="1897"/>
      <c r="G109" s="1898" t="n">
        <v>197.75</v>
      </c>
      <c r="H109" s="1904" t="n">
        <v>14313.1666666667</v>
      </c>
      <c r="I109" s="1904" t="n">
        <v>3088.75</v>
      </c>
      <c r="J109" s="1899" t="n">
        <f aca="false">DataDE1!GB31</f>
        <v>0.0358056265984654</v>
      </c>
      <c r="K109" s="1900" t="n">
        <f aca="false">DataDE1!GD31</f>
        <v>0.0767593063873133</v>
      </c>
      <c r="L109" s="1901" t="n">
        <f aca="false">DataDE1!GF31</f>
        <v>0.0361173814898421</v>
      </c>
      <c r="M109" s="1902"/>
      <c r="N109" s="1902"/>
      <c r="O109" s="1902" t="n">
        <f aca="false">G109/G108-1</f>
        <v>-0.105540897097625</v>
      </c>
      <c r="P109" s="1902" t="n">
        <f aca="false">H109/H108-1</f>
        <v>-0.0769916973426124</v>
      </c>
      <c r="Q109" s="1915" t="n">
        <f aca="false">I109/I108-1</f>
        <v>-0.110190853438963</v>
      </c>
      <c r="R109" s="25"/>
      <c r="S109" s="25"/>
      <c r="T109" s="25"/>
    </row>
    <row r="110" customFormat="false" ht="13" hidden="false" customHeight="false" outlineLevel="0" collapsed="false">
      <c r="A110" s="1871" t="n">
        <f aca="false">A109+1</f>
        <v>1971</v>
      </c>
      <c r="B110" s="1872" t="n">
        <f aca="false">B109*(1+J110)</f>
        <v>163.808539944904</v>
      </c>
      <c r="C110" s="1873" t="n">
        <f aca="false">C109*(1+K110)</f>
        <v>208.311657500165</v>
      </c>
      <c r="D110" s="1874" t="n">
        <f aca="false">D109*(1+L110)</f>
        <v>165.484865470852</v>
      </c>
      <c r="E110" s="1875"/>
      <c r="F110" s="1875"/>
      <c r="G110" s="1876" t="n">
        <v>192.083333333333</v>
      </c>
      <c r="H110" s="1903" t="n">
        <v>14482.8333333333</v>
      </c>
      <c r="I110" s="1903" t="n">
        <v>2978.58333333333</v>
      </c>
      <c r="J110" s="1877" t="n">
        <f aca="false">DataDE1!GB32</f>
        <v>0.0518518518518518</v>
      </c>
      <c r="K110" s="1878" t="n">
        <f aca="false">DataDE1!GD32</f>
        <v>0.0761914876758931</v>
      </c>
      <c r="L110" s="1879" t="n">
        <f aca="false">DataDE1!GF32</f>
        <v>0.0501089324618738</v>
      </c>
      <c r="M110" s="1880"/>
      <c r="N110" s="1880"/>
      <c r="O110" s="1880" t="n">
        <f aca="false">G110/G109-1</f>
        <v>-0.0286557100716393</v>
      </c>
      <c r="P110" s="1880" t="n">
        <f aca="false">H110/H109-1</f>
        <v>0.0118538874462908</v>
      </c>
      <c r="Q110" s="1881" t="n">
        <f aca="false">I110/I109-1</f>
        <v>-0.0356670713611224</v>
      </c>
      <c r="R110" s="25"/>
      <c r="S110" s="25"/>
      <c r="T110" s="25"/>
    </row>
    <row r="111" customFormat="false" ht="13" hidden="false" customHeight="false" outlineLevel="0" collapsed="false">
      <c r="A111" s="1871" t="n">
        <f aca="false">A110+1</f>
        <v>1972</v>
      </c>
      <c r="B111" s="1872" t="n">
        <f aca="false">B110*(1+J111)</f>
        <v>172.652662993572</v>
      </c>
      <c r="C111" s="1873" t="n">
        <f aca="false">C110*(1+K111)</f>
        <v>217.761429623582</v>
      </c>
      <c r="D111" s="1874" t="n">
        <f aca="false">D110*(1+L111)</f>
        <v>174.754764573991</v>
      </c>
      <c r="E111" s="1875"/>
      <c r="F111" s="1875"/>
      <c r="G111" s="1876" t="n">
        <v>210.25</v>
      </c>
      <c r="H111" s="1903" t="n">
        <v>16409.0833333333</v>
      </c>
      <c r="I111" s="1903" t="n">
        <v>3197.08333333333</v>
      </c>
      <c r="J111" s="1877" t="n">
        <f aca="false">DataDE1!GB33</f>
        <v>0.0539906103286385</v>
      </c>
      <c r="K111" s="1878" t="n">
        <f aca="false">DataDE1!GD33</f>
        <v>0.0453636260054731</v>
      </c>
      <c r="L111" s="1879" t="n">
        <f aca="false">DataDE1!GF33</f>
        <v>0.0560165975103732</v>
      </c>
      <c r="M111" s="1880"/>
      <c r="N111" s="1880"/>
      <c r="O111" s="1880" t="n">
        <f aca="false">G111/G110-1</f>
        <v>0.0945770065075922</v>
      </c>
      <c r="P111" s="1880" t="n">
        <f aca="false">H111/H110-1</f>
        <v>0.133002290067551</v>
      </c>
      <c r="Q111" s="1881" t="n">
        <f aca="false">I111/I110-1</f>
        <v>0.073357020955152</v>
      </c>
      <c r="R111" s="25"/>
      <c r="S111" s="25"/>
      <c r="T111" s="25"/>
    </row>
    <row r="112" customFormat="false" ht="13" hidden="false" customHeight="false" outlineLevel="0" collapsed="false">
      <c r="A112" s="1871" t="n">
        <f aca="false">A111+1</f>
        <v>1973</v>
      </c>
      <c r="B112" s="1872" t="n">
        <f aca="false">B111*(1+J112)</f>
        <v>184.957529843893</v>
      </c>
      <c r="C112" s="1873" t="n">
        <f aca="false">C111*(1+K112)</f>
        <v>231.474930555094</v>
      </c>
      <c r="D112" s="1874" t="n">
        <f aca="false">D111*(1+L112)</f>
        <v>186.084641255605</v>
      </c>
      <c r="E112" s="1875"/>
      <c r="F112" s="1875"/>
      <c r="G112" s="1876" t="n">
        <v>197.916666666667</v>
      </c>
      <c r="H112" s="1903" t="n">
        <v>15906.3333333333</v>
      </c>
      <c r="I112" s="1903" t="n">
        <v>2905.33333333333</v>
      </c>
      <c r="J112" s="1877" t="n">
        <f aca="false">DataDE1!GB34</f>
        <v>0.0712694877505569</v>
      </c>
      <c r="K112" s="1878" t="n">
        <f aca="false">DataDE1!GD34</f>
        <v>0.0629748847406846</v>
      </c>
      <c r="L112" s="1879" t="n">
        <f aca="false">DataDE1!GF34</f>
        <v>0.0648330058939097</v>
      </c>
      <c r="M112" s="1880"/>
      <c r="N112" s="1880"/>
      <c r="O112" s="1880" t="n">
        <f aca="false">G112/G111-1</f>
        <v>-0.0586603250099089</v>
      </c>
      <c r="P112" s="1880" t="n">
        <f aca="false">H112/H111-1</f>
        <v>-0.0306385183003315</v>
      </c>
      <c r="Q112" s="1881" t="n">
        <f aca="false">I112/I111-1</f>
        <v>-0.0912550501759416</v>
      </c>
      <c r="R112" s="25"/>
      <c r="S112" s="25"/>
      <c r="T112" s="25"/>
    </row>
    <row r="113" customFormat="false" ht="13" hidden="false" customHeight="false" outlineLevel="0" collapsed="false">
      <c r="A113" s="1871" t="n">
        <f aca="false">A112+1</f>
        <v>1974</v>
      </c>
      <c r="B113" s="1872" t="n">
        <f aca="false">B112*(1+J113)</f>
        <v>197.646923783287</v>
      </c>
      <c r="C113" s="1873" t="n">
        <f aca="false">C112*(1+K113)</f>
        <v>248.315467628124</v>
      </c>
      <c r="D113" s="1874" t="n">
        <f aca="false">D112*(1+L113)</f>
        <v>199.474495515695</v>
      </c>
      <c r="E113" s="1875"/>
      <c r="F113" s="1875"/>
      <c r="G113" s="1876" t="n">
        <v>168.666666666667</v>
      </c>
      <c r="H113" s="1903" t="n">
        <v>14085.9166666667</v>
      </c>
      <c r="I113" s="1903" t="n">
        <v>2401.58333333333</v>
      </c>
      <c r="J113" s="1877" t="n">
        <f aca="false">DataDE1!GB35</f>
        <v>0.0686070686070686</v>
      </c>
      <c r="K113" s="1878" t="n">
        <f aca="false">DataDE1!GD35</f>
        <v>0.072753179070604</v>
      </c>
      <c r="L113" s="1879" t="n">
        <f aca="false">DataDE1!GF35</f>
        <v>0.0719557195571956</v>
      </c>
      <c r="M113" s="1880"/>
      <c r="N113" s="1880"/>
      <c r="O113" s="1880" t="n">
        <f aca="false">G113/G112-1</f>
        <v>-0.147789473684211</v>
      </c>
      <c r="P113" s="1880" t="n">
        <f aca="false">H113/H112-1</f>
        <v>-0.114446027787674</v>
      </c>
      <c r="Q113" s="1881" t="n">
        <f aca="false">I113/I112-1</f>
        <v>-0.173388022028453</v>
      </c>
      <c r="R113" s="25"/>
      <c r="S113" s="25"/>
      <c r="T113" s="25"/>
    </row>
    <row r="114" customFormat="false" ht="13" hidden="false" customHeight="false" outlineLevel="0" collapsed="false">
      <c r="A114" s="1871" t="n">
        <f aca="false">A113+1</f>
        <v>1975</v>
      </c>
      <c r="B114" s="1872" t="n">
        <f aca="false">B113*(1+J114)</f>
        <v>209.567263544536</v>
      </c>
      <c r="C114" s="1873" t="n">
        <f aca="false">C113*(1+K114)</f>
        <v>262.378823438178</v>
      </c>
      <c r="D114" s="1874" t="n">
        <f aca="false">D113*(1+L114)</f>
        <v>211.491031390134</v>
      </c>
      <c r="E114" s="1875"/>
      <c r="F114" s="1875"/>
      <c r="G114" s="1876" t="n">
        <v>194</v>
      </c>
      <c r="H114" s="1903" t="n">
        <v>16887.0833333333</v>
      </c>
      <c r="I114" s="1903" t="n">
        <v>2714.08333333333</v>
      </c>
      <c r="J114" s="1877" t="n">
        <f aca="false">DataDE1!GB36</f>
        <v>0.0603112840466926</v>
      </c>
      <c r="K114" s="1878" t="n">
        <f aca="false">DataDE1!GD36</f>
        <v>0.0566350374561226</v>
      </c>
      <c r="L114" s="1879" t="n">
        <f aca="false">DataDE1!GF36</f>
        <v>0.0602409638554218</v>
      </c>
      <c r="M114" s="1880"/>
      <c r="N114" s="1880"/>
      <c r="O114" s="1880" t="n">
        <f aca="false">G114/G113-1</f>
        <v>0.150197628458498</v>
      </c>
      <c r="P114" s="1880" t="n">
        <f aca="false">H114/H113-1</f>
        <v>0.198862930468376</v>
      </c>
      <c r="Q114" s="1881" t="n">
        <f aca="false">I114/I113-1</f>
        <v>0.130122488635969</v>
      </c>
      <c r="R114" s="25"/>
      <c r="S114" s="25"/>
      <c r="T114" s="25"/>
    </row>
    <row r="115" customFormat="false" ht="13" hidden="false" customHeight="false" outlineLevel="0" collapsed="false">
      <c r="A115" s="1871" t="n">
        <f aca="false">A114+1</f>
        <v>1976</v>
      </c>
      <c r="B115" s="1872" t="n">
        <f aca="false">B114*(1+J115)</f>
        <v>218.411386593205</v>
      </c>
      <c r="C115" s="1873" t="n">
        <f aca="false">C114*(1+K115)</f>
        <v>271.051805844864</v>
      </c>
      <c r="D115" s="1874" t="n">
        <f aca="false">D114*(1+L115)</f>
        <v>220.417600896861</v>
      </c>
      <c r="E115" s="1917"/>
      <c r="F115" s="1873" t="n">
        <v>55.5</v>
      </c>
      <c r="G115" s="1876" t="n">
        <v>210.166666666667</v>
      </c>
      <c r="H115" s="1903" t="n">
        <v>18916.75</v>
      </c>
      <c r="I115" s="1903" t="n">
        <v>2911.25</v>
      </c>
      <c r="J115" s="1877" t="n">
        <f aca="false">DataDE1!GB37</f>
        <v>0.0422018348623854</v>
      </c>
      <c r="K115" s="1878" t="n">
        <f aca="false">DataDE1!GD37</f>
        <v>0.03305519208081</v>
      </c>
      <c r="L115" s="1879" t="n">
        <f aca="false">DataDE1!GF37</f>
        <v>0.0422077922077921</v>
      </c>
      <c r="M115" s="1880"/>
      <c r="N115" s="1880"/>
      <c r="O115" s="1880" t="n">
        <f aca="false">G115/G114-1</f>
        <v>0.0833333333333333</v>
      </c>
      <c r="P115" s="1880" t="n">
        <f aca="false">H115/H114-1</f>
        <v>0.120190480890227</v>
      </c>
      <c r="Q115" s="1881" t="n">
        <f aca="false">I115/I114-1</f>
        <v>0.0726457674475729</v>
      </c>
      <c r="R115" s="25"/>
      <c r="S115" s="25"/>
      <c r="T115" s="25"/>
    </row>
    <row r="116" customFormat="false" ht="13" hidden="false" customHeight="false" outlineLevel="0" collapsed="false">
      <c r="A116" s="1871" t="n">
        <f aca="false">A115+1</f>
        <v>1977</v>
      </c>
      <c r="B116" s="1872" t="n">
        <f aca="false">B115*(1+J116)</f>
        <v>226.486455463728</v>
      </c>
      <c r="C116" s="1873" t="n">
        <f aca="false">C115*(1+K116)</f>
        <v>279.479575786809</v>
      </c>
      <c r="D116" s="1874" t="n">
        <f aca="false">D115*(1+L116)</f>
        <v>227.627522421525</v>
      </c>
      <c r="E116" s="1917"/>
      <c r="F116" s="1873" t="n">
        <v>57.5</v>
      </c>
      <c r="G116" s="1876" t="n">
        <v>209.916666666667</v>
      </c>
      <c r="H116" s="1903" t="n">
        <v>19785.5833333333</v>
      </c>
      <c r="I116" s="1903" t="n">
        <v>2927.66666666667</v>
      </c>
      <c r="J116" s="1877" t="n">
        <f aca="false">DataDE1!GB38</f>
        <v>0.0369718309859155</v>
      </c>
      <c r="K116" s="1878" t="n">
        <f aca="false">DataDE1!GD38</f>
        <v>0.0310928381962865</v>
      </c>
      <c r="L116" s="1879" t="n">
        <f aca="false">DataDE1!GF38</f>
        <v>0.0327102803738317</v>
      </c>
      <c r="M116" s="1880"/>
      <c r="N116" s="1880" t="n">
        <f aca="false">F116/F115-1</f>
        <v>0.0360360360360361</v>
      </c>
      <c r="O116" s="1880" t="n">
        <f aca="false">G116/G115-1</f>
        <v>-0.00118953211736716</v>
      </c>
      <c r="P116" s="1880" t="n">
        <f aca="false">H116/H115-1</f>
        <v>0.0459293130867264</v>
      </c>
      <c r="Q116" s="1881" t="n">
        <f aca="false">I116/I115-1</f>
        <v>0.00563904393874326</v>
      </c>
      <c r="R116" s="25"/>
      <c r="S116" s="25"/>
      <c r="T116" s="25"/>
    </row>
    <row r="117" customFormat="false" ht="13" hidden="false" customHeight="false" outlineLevel="0" collapsed="false">
      <c r="A117" s="1871" t="n">
        <f aca="false">A116+1</f>
        <v>1978</v>
      </c>
      <c r="B117" s="1872" t="n">
        <f aca="false">B116*(1+J117)</f>
        <v>232.638888888889</v>
      </c>
      <c r="C117" s="1873" t="n">
        <f aca="false">C116*(1+K117)</f>
        <v>289.389327375821</v>
      </c>
      <c r="D117" s="1874" t="n">
        <f aca="false">D116*(1+L117)</f>
        <v>233.464125560538</v>
      </c>
      <c r="E117" s="1917"/>
      <c r="F117" s="1873" t="n">
        <v>61</v>
      </c>
      <c r="G117" s="1876" t="n">
        <v>229.25</v>
      </c>
      <c r="H117" s="1903" t="n">
        <v>22787.5833333333</v>
      </c>
      <c r="I117" s="1903" t="n">
        <v>3273</v>
      </c>
      <c r="J117" s="1877" t="n">
        <f aca="false">DataDE1!GB39</f>
        <v>0.0271646859083192</v>
      </c>
      <c r="K117" s="1878" t="n">
        <f aca="false">DataDE1!GD39</f>
        <v>0.0354578740185689</v>
      </c>
      <c r="L117" s="1879" t="n">
        <f aca="false">DataDE1!GF39</f>
        <v>0.0256410256410258</v>
      </c>
      <c r="M117" s="1880"/>
      <c r="N117" s="1880" t="n">
        <f aca="false">F117/F116-1</f>
        <v>0.0608695652173914</v>
      </c>
      <c r="O117" s="1880" t="n">
        <f aca="false">G117/G116-1</f>
        <v>0.092100039698293</v>
      </c>
      <c r="P117" s="1880" t="n">
        <f aca="false">H117/H116-1</f>
        <v>0.151726635976532</v>
      </c>
      <c r="Q117" s="1881" t="n">
        <f aca="false">I117/I116-1</f>
        <v>0.117955140612547</v>
      </c>
      <c r="R117" s="25"/>
      <c r="S117" s="25"/>
      <c r="T117" s="25"/>
    </row>
    <row r="118" customFormat="false" ht="13" hidden="false" customHeight="false" outlineLevel="0" collapsed="false">
      <c r="A118" s="1882" t="n">
        <f aca="false">A117+1</f>
        <v>1979</v>
      </c>
      <c r="B118" s="1883" t="n">
        <f aca="false">B117*(1+J118)</f>
        <v>242.252066115702</v>
      </c>
      <c r="C118" s="1884" t="n">
        <f aca="false">C117*(1+K118)</f>
        <v>301.774661225641</v>
      </c>
      <c r="D118" s="1885" t="n">
        <f aca="false">D117*(1+L118)</f>
        <v>243.420683856502</v>
      </c>
      <c r="E118" s="1918"/>
      <c r="F118" s="1884" t="n">
        <v>66.5</v>
      </c>
      <c r="G118" s="1887" t="n">
        <v>219.583333333333</v>
      </c>
      <c r="H118" s="1905" t="n">
        <v>22889.8333333333</v>
      </c>
      <c r="I118" s="1905" t="n">
        <v>3152.66666666667</v>
      </c>
      <c r="J118" s="1888" t="n">
        <f aca="false">DataDE1!GB40</f>
        <v>0.0413223140495869</v>
      </c>
      <c r="K118" s="1889" t="n">
        <f aca="false">DataDE1!GD40</f>
        <v>0.0427981707623077</v>
      </c>
      <c r="L118" s="1890" t="n">
        <f aca="false">DataDE1!GF40</f>
        <v>0.0426470588235295</v>
      </c>
      <c r="M118" s="1891"/>
      <c r="N118" s="1891" t="n">
        <f aca="false">F118/F117-1</f>
        <v>0.0901639344262295</v>
      </c>
      <c r="O118" s="1891" t="n">
        <f aca="false">G118/G117-1</f>
        <v>-0.0421664849145765</v>
      </c>
      <c r="P118" s="1891" t="n">
        <f aca="false">H118/H117-1</f>
        <v>0.00448709275153503</v>
      </c>
      <c r="Q118" s="1892" t="n">
        <f aca="false">I118/I117-1</f>
        <v>-0.0367654547306243</v>
      </c>
      <c r="R118" s="25"/>
      <c r="S118" s="25"/>
      <c r="T118" s="25"/>
    </row>
    <row r="119" customFormat="false" ht="13" hidden="false" customHeight="false" outlineLevel="0" collapsed="false">
      <c r="A119" s="1871" t="n">
        <f aca="false">A118+1</f>
        <v>1980</v>
      </c>
      <c r="B119" s="1872" t="n">
        <f aca="false">B118*(1+J119)</f>
        <v>255.325987144169</v>
      </c>
      <c r="C119" s="1873" t="n">
        <f aca="false">C118*(1+K119)</f>
        <v>318.195876201289</v>
      </c>
      <c r="D119" s="1874" t="n">
        <f aca="false">D118*(1+L119)</f>
        <v>257.497197309417</v>
      </c>
      <c r="E119" s="1917"/>
      <c r="F119" s="1873" t="n">
        <v>72.5</v>
      </c>
      <c r="G119" s="1876" t="n">
        <v>209.5</v>
      </c>
      <c r="H119" s="1903" t="n">
        <v>23100.8333333333</v>
      </c>
      <c r="I119" s="1903" t="n">
        <v>3015.66666666667</v>
      </c>
      <c r="J119" s="1877" t="n">
        <f aca="false">DataDE1!GB41</f>
        <v>0.053968253968254</v>
      </c>
      <c r="K119" s="1878" t="n">
        <f aca="false">DataDE1!GD41</f>
        <v>0.0544154864061621</v>
      </c>
      <c r="L119" s="1879" t="n">
        <f aca="false">DataDE1!GF41</f>
        <v>0.0578279266572637</v>
      </c>
      <c r="M119" s="1880"/>
      <c r="N119" s="1880" t="n">
        <f aca="false">F119/F118-1</f>
        <v>0.0902255639097744</v>
      </c>
      <c r="O119" s="1880" t="n">
        <f aca="false">G119/G118-1</f>
        <v>-0.0459203036053132</v>
      </c>
      <c r="P119" s="1880" t="n">
        <f aca="false">H119/H118-1</f>
        <v>0.00921806624483934</v>
      </c>
      <c r="Q119" s="1881" t="n">
        <f aca="false">I119/I118-1</f>
        <v>-0.0434552759568619</v>
      </c>
      <c r="R119" s="25"/>
      <c r="S119" s="25"/>
      <c r="T119" s="25"/>
    </row>
    <row r="120" customFormat="false" ht="13" hidden="false" customHeight="false" outlineLevel="0" collapsed="false">
      <c r="A120" s="1871" t="n">
        <f aca="false">A119+1</f>
        <v>1981</v>
      </c>
      <c r="B120" s="1872" t="n">
        <f aca="false">B119*(1+J120)</f>
        <v>271.476124885216</v>
      </c>
      <c r="C120" s="1873" t="n">
        <f aca="false">C119*(1+K120)</f>
        <v>331.516863872863</v>
      </c>
      <c r="D120" s="1874" t="n">
        <f aca="false">D119*(1+L120)</f>
        <v>273.633688340807</v>
      </c>
      <c r="E120" s="1917"/>
      <c r="F120" s="1873" t="n">
        <v>77.5</v>
      </c>
      <c r="G120" s="1876" t="n">
        <v>209.333333333333</v>
      </c>
      <c r="H120" s="1903" t="n">
        <v>24405.75</v>
      </c>
      <c r="I120" s="1903" t="n">
        <v>2997.75</v>
      </c>
      <c r="J120" s="1877" t="n">
        <f aca="false">DataDE1!GB42</f>
        <v>0.0632530120481927</v>
      </c>
      <c r="K120" s="1878" t="n">
        <f aca="false">DataDE1!GD42</f>
        <v>0.041864111598817</v>
      </c>
      <c r="L120" s="1879" t="n">
        <f aca="false">DataDE1!GF42</f>
        <v>0.0626666666666667</v>
      </c>
      <c r="M120" s="1880"/>
      <c r="N120" s="1880" t="n">
        <f aca="false">F120/F119-1</f>
        <v>0.0689655172413792</v>
      </c>
      <c r="O120" s="1880" t="n">
        <f aca="false">G120/G119-1</f>
        <v>-0.000795544948289484</v>
      </c>
      <c r="P120" s="1880" t="n">
        <f aca="false">H120/H119-1</f>
        <v>0.0564878611882689</v>
      </c>
      <c r="Q120" s="1881" t="n">
        <f aca="false">I120/I119-1</f>
        <v>-0.00594119597656673</v>
      </c>
      <c r="R120" s="25"/>
      <c r="S120" s="25"/>
      <c r="T120" s="25"/>
    </row>
    <row r="121" customFormat="false" ht="13" hidden="false" customHeight="false" outlineLevel="0" collapsed="false">
      <c r="A121" s="1871" t="n">
        <f aca="false">A120+1</f>
        <v>1982</v>
      </c>
      <c r="B121" s="1872" t="n">
        <f aca="false">B120*(1+J121)</f>
        <v>285.7036271809</v>
      </c>
      <c r="C121" s="1873" t="n">
        <f aca="false">C120*(1+K121)</f>
        <v>346.689597014856</v>
      </c>
      <c r="D121" s="1874" t="n">
        <f aca="false">D120*(1+L121)</f>
        <v>287.366872197309</v>
      </c>
      <c r="E121" s="1917"/>
      <c r="F121" s="1873" t="n">
        <v>80.5</v>
      </c>
      <c r="G121" s="1876" t="n">
        <v>211</v>
      </c>
      <c r="H121" s="1903" t="n">
        <v>25995.25</v>
      </c>
      <c r="I121" s="1903" t="n">
        <v>3031.58333333333</v>
      </c>
      <c r="J121" s="1877" t="n">
        <f aca="false">DataDE1!GB43</f>
        <v>0.0524079320113315</v>
      </c>
      <c r="K121" s="1878" t="n">
        <f aca="false">DataDE1!GD43</f>
        <v>0.0457676058006276</v>
      </c>
      <c r="L121" s="1879" t="n">
        <f aca="false">DataDE1!GF43</f>
        <v>0.0501882057716436</v>
      </c>
      <c r="M121" s="1880"/>
      <c r="N121" s="1880" t="n">
        <f aca="false">F121/F120-1</f>
        <v>0.0387096774193549</v>
      </c>
      <c r="O121" s="1880" t="n">
        <f aca="false">G121/G120-1</f>
        <v>0.0079617834394905</v>
      </c>
      <c r="P121" s="1880" t="n">
        <f aca="false">H121/H120-1</f>
        <v>0.0651280948137223</v>
      </c>
      <c r="Q121" s="1881" t="n">
        <f aca="false">I121/I120-1</f>
        <v>0.0112862424596225</v>
      </c>
      <c r="R121" s="25"/>
      <c r="S121" s="25"/>
      <c r="T121" s="25"/>
    </row>
    <row r="122" customFormat="false" ht="13" hidden="false" customHeight="false" outlineLevel="0" collapsed="false">
      <c r="A122" s="1871" t="n">
        <f aca="false">A121+1</f>
        <v>1983</v>
      </c>
      <c r="B122" s="1872" t="n">
        <f aca="false">B121*(1+J122)</f>
        <v>294.932277318641</v>
      </c>
      <c r="C122" s="1873" t="n">
        <f aca="false">C121*(1+K122)</f>
        <v>356.435974501924</v>
      </c>
      <c r="D122" s="1874" t="n">
        <f aca="false">D121*(1+L122)</f>
        <v>296.636771300448</v>
      </c>
      <c r="E122" s="1917"/>
      <c r="F122" s="1873" t="n">
        <v>81</v>
      </c>
      <c r="G122" s="1876" t="n">
        <v>278.166666666667</v>
      </c>
      <c r="H122" s="1903" t="n">
        <v>35825.3333333333</v>
      </c>
      <c r="I122" s="1903" t="n">
        <v>4043.83333333333</v>
      </c>
      <c r="J122" s="1877" t="n">
        <f aca="false">DataDE1!GB44</f>
        <v>0.0323014804845223</v>
      </c>
      <c r="K122" s="1878" t="n">
        <f aca="false">DataDE1!GD44</f>
        <v>0.0281126909229119</v>
      </c>
      <c r="L122" s="1879" t="n">
        <f aca="false">DataDE1!GF44</f>
        <v>0.032258064516129</v>
      </c>
      <c r="M122" s="1880"/>
      <c r="N122" s="1880" t="n">
        <f aca="false">F122/F121-1</f>
        <v>0.0062111801242235</v>
      </c>
      <c r="O122" s="1880" t="n">
        <f aca="false">G122/G121-1</f>
        <v>0.318325434439179</v>
      </c>
      <c r="P122" s="1880" t="n">
        <f aca="false">H122/H121-1</f>
        <v>0.378149213157532</v>
      </c>
      <c r="Q122" s="1881" t="n">
        <f aca="false">I122/I121-1</f>
        <v>0.333901426647242</v>
      </c>
      <c r="R122" s="25"/>
      <c r="S122" s="25"/>
      <c r="T122" s="25"/>
    </row>
    <row r="123" customFormat="false" ht="13" hidden="false" customHeight="false" outlineLevel="0" collapsed="false">
      <c r="A123" s="1871" t="n">
        <f aca="false">A122+1</f>
        <v>1984</v>
      </c>
      <c r="B123" s="1872" t="n">
        <f aca="false">B122*(1+J123)</f>
        <v>302.238292011019</v>
      </c>
      <c r="C123" s="1873" t="n">
        <f aca="false">C122*(1+K123)</f>
        <v>363.511229213884</v>
      </c>
      <c r="D123" s="1874" t="n">
        <f aca="false">D122*(1+L123)</f>
        <v>304.190022421525</v>
      </c>
      <c r="E123" s="1917"/>
      <c r="F123" s="1873" t="n">
        <v>80</v>
      </c>
      <c r="G123" s="1876" t="n">
        <v>315.833333333333</v>
      </c>
      <c r="H123" s="1903" t="n">
        <v>42140.8333333333</v>
      </c>
      <c r="I123" s="1903" t="n">
        <v>4647.16666666667</v>
      </c>
      <c r="J123" s="1877" t="n">
        <f aca="false">DataDE1!GB45</f>
        <v>0.0247718383311601</v>
      </c>
      <c r="K123" s="1878" t="n">
        <f aca="false">DataDE1!GD45</f>
        <v>0.0198500017341026</v>
      </c>
      <c r="L123" s="1879" t="n">
        <f aca="false">DataDE1!GF45</f>
        <v>0.0254629629629628</v>
      </c>
      <c r="M123" s="1880"/>
      <c r="N123" s="1880" t="n">
        <f aca="false">F123/F122-1</f>
        <v>-0.0123456790123457</v>
      </c>
      <c r="O123" s="1880" t="n">
        <f aca="false">G123/G122-1</f>
        <v>0.135410425404434</v>
      </c>
      <c r="P123" s="1880" t="n">
        <f aca="false">H123/H122-1</f>
        <v>0.176285868472961</v>
      </c>
      <c r="Q123" s="1881" t="n">
        <f aca="false">I123/I122-1</f>
        <v>0.149198367885257</v>
      </c>
      <c r="R123" s="25"/>
      <c r="S123" s="25"/>
      <c r="T123" s="25"/>
    </row>
    <row r="124" customFormat="false" ht="13" hidden="false" customHeight="false" outlineLevel="0" collapsed="false">
      <c r="A124" s="1871" t="n">
        <f aca="false">A123+1</f>
        <v>1985</v>
      </c>
      <c r="B124" s="1872" t="n">
        <f aca="false">B123*(1+J124)</f>
        <v>308.39072543618</v>
      </c>
      <c r="C124" s="1873" t="n">
        <f aca="false">C123*(1+K124)</f>
        <v>371.23197696391</v>
      </c>
      <c r="D124" s="1874" t="n">
        <f aca="false">D123*(1+L124)</f>
        <v>309.339966367713</v>
      </c>
      <c r="E124" s="1917"/>
      <c r="F124" s="1873" t="n">
        <v>79</v>
      </c>
      <c r="G124" s="1876" t="n">
        <v>429.916666666667</v>
      </c>
      <c r="H124" s="1903" t="n">
        <v>59576.6666666667</v>
      </c>
      <c r="I124" s="1903" t="n">
        <v>6426</v>
      </c>
      <c r="J124" s="1877" t="n">
        <f aca="false">DataDE1!GB46</f>
        <v>0.0203562340966923</v>
      </c>
      <c r="K124" s="1878" t="n">
        <f aca="false">DataDE1!GD46</f>
        <v>0.0212393651957417</v>
      </c>
      <c r="L124" s="1879" t="n">
        <f aca="false">DataDE1!GF46</f>
        <v>0.0169300225733635</v>
      </c>
      <c r="M124" s="1880"/>
      <c r="N124" s="1880" t="n">
        <f aca="false">F124/F123-1</f>
        <v>-0.0125</v>
      </c>
      <c r="O124" s="1880" t="n">
        <f aca="false">G124/G123-1</f>
        <v>0.361213720316623</v>
      </c>
      <c r="P124" s="1880" t="n">
        <f aca="false">H124/H123-1</f>
        <v>0.413751507840772</v>
      </c>
      <c r="Q124" s="1881" t="n">
        <f aca="false">I124/I123-1</f>
        <v>0.382778036796614</v>
      </c>
      <c r="R124" s="25"/>
      <c r="S124" s="25"/>
      <c r="T124" s="25"/>
    </row>
    <row r="125" customFormat="false" ht="13" hidden="false" customHeight="false" outlineLevel="0" collapsed="false">
      <c r="A125" s="1871" t="n">
        <f aca="false">A124+1</f>
        <v>1986</v>
      </c>
      <c r="B125" s="1872" t="n">
        <f aca="false">B124*(1+J125)</f>
        <v>308.006198347107</v>
      </c>
      <c r="C125" s="1873" t="n">
        <f aca="false">C124*(1+K125)</f>
        <v>382.355752046269</v>
      </c>
      <c r="D125" s="1874" t="n">
        <f aca="false">D124*(1+L125)</f>
        <v>307.62331838565</v>
      </c>
      <c r="E125" s="1917"/>
      <c r="F125" s="1873" t="n">
        <v>79</v>
      </c>
      <c r="G125" s="1876" t="n">
        <v>608</v>
      </c>
      <c r="H125" s="1903" t="n">
        <v>86513.4166666667</v>
      </c>
      <c r="I125" s="1903" t="n">
        <v>9346.83333333333</v>
      </c>
      <c r="J125" s="1877" t="n">
        <f aca="false">DataDE1!GB47</f>
        <v>-0.00124688279301755</v>
      </c>
      <c r="K125" s="1878" t="n">
        <f aca="false">DataDE1!GD47</f>
        <v>0.0299644852076948</v>
      </c>
      <c r="L125" s="1879" t="n">
        <f aca="false">DataDE1!GF47</f>
        <v>-0.00554938956714757</v>
      </c>
      <c r="M125" s="1880"/>
      <c r="N125" s="1880" t="n">
        <f aca="false">F125/F124-1</f>
        <v>0</v>
      </c>
      <c r="O125" s="1880" t="n">
        <f aca="false">G125/G124-1</f>
        <v>0.414227563481295</v>
      </c>
      <c r="P125" s="1880" t="n">
        <f aca="false">H125/H124-1</f>
        <v>0.452135903317854</v>
      </c>
      <c r="Q125" s="1881" t="n">
        <f aca="false">I125/I124-1</f>
        <v>0.454533665317979</v>
      </c>
      <c r="R125" s="25"/>
      <c r="S125" s="25"/>
      <c r="T125" s="25"/>
    </row>
    <row r="126" customFormat="false" ht="13" hidden="false" customHeight="false" outlineLevel="0" collapsed="false">
      <c r="A126" s="1871" t="n">
        <f aca="false">A125+1</f>
        <v>1987</v>
      </c>
      <c r="B126" s="1872" t="n">
        <f aca="false">B125*(1+J126)</f>
        <v>308.775252525253</v>
      </c>
      <c r="C126" s="1873" t="n">
        <f aca="false">C125*(1+K126)</f>
        <v>387.28633008537</v>
      </c>
      <c r="D126" s="1874" t="n">
        <f aca="false">D125*(1+L126)</f>
        <v>308.9966367713</v>
      </c>
      <c r="E126" s="1917"/>
      <c r="F126" s="1873" t="n">
        <v>78.5</v>
      </c>
      <c r="G126" s="1876" t="n">
        <v>529.5</v>
      </c>
      <c r="H126" s="1903" t="n">
        <v>77584.1666666667</v>
      </c>
      <c r="I126" s="1903" t="n">
        <v>8362.33333333333</v>
      </c>
      <c r="J126" s="1877" t="n">
        <f aca="false">DataDE1!GB48</f>
        <v>0.00249687890137329</v>
      </c>
      <c r="K126" s="1878" t="n">
        <f aca="false">DataDE1!GD48</f>
        <v>0.0128952631488204</v>
      </c>
      <c r="L126" s="1879" t="n">
        <f aca="false">DataDE1!GF48</f>
        <v>0.00446428571428581</v>
      </c>
      <c r="M126" s="1880"/>
      <c r="N126" s="1880" t="n">
        <f aca="false">F126/F125-1</f>
        <v>-0.00632911392405067</v>
      </c>
      <c r="O126" s="1880" t="n">
        <f aca="false">G126/G125-1</f>
        <v>-0.129111842105263</v>
      </c>
      <c r="P126" s="1880" t="n">
        <f aca="false">H126/H125-1</f>
        <v>-0.103212314852899</v>
      </c>
      <c r="Q126" s="1881" t="n">
        <f aca="false">I126/I125-1</f>
        <v>-0.105329790838252</v>
      </c>
      <c r="R126" s="25"/>
      <c r="S126" s="25"/>
      <c r="T126" s="25"/>
    </row>
    <row r="127" customFormat="false" ht="13" hidden="false" customHeight="false" outlineLevel="0" collapsed="false">
      <c r="A127" s="1871" t="n">
        <f aca="false">A126+1</f>
        <v>1988</v>
      </c>
      <c r="B127" s="1872" t="n">
        <f aca="false">B126*(1+J127)</f>
        <v>312.620523415978</v>
      </c>
      <c r="C127" s="1873" t="n">
        <f aca="false">C126*(1+K127)</f>
        <v>393.826757676226</v>
      </c>
      <c r="D127" s="1874" t="n">
        <f aca="false">D126*(1+L127)</f>
        <v>313.116591928251</v>
      </c>
      <c r="E127" s="1917"/>
      <c r="F127" s="1873" t="n">
        <v>78.5</v>
      </c>
      <c r="G127" s="1876" t="n">
        <v>448.083333333333</v>
      </c>
      <c r="H127" s="1903" t="n">
        <v>68300.9166666667</v>
      </c>
      <c r="I127" s="1903" t="n">
        <v>7266.5</v>
      </c>
      <c r="J127" s="1877" t="n">
        <f aca="false">DataDE1!GB49</f>
        <v>0.0124533001245331</v>
      </c>
      <c r="K127" s="1878" t="n">
        <f aca="false">DataDE1!GD49</f>
        <v>0.0168878348724939</v>
      </c>
      <c r="L127" s="1879" t="n">
        <f aca="false">DataDE1!GF49</f>
        <v>0.0133333333333334</v>
      </c>
      <c r="M127" s="1880"/>
      <c r="N127" s="1880" t="n">
        <f aca="false">F127/F126-1</f>
        <v>0</v>
      </c>
      <c r="O127" s="1880" t="n">
        <f aca="false">G127/G126-1</f>
        <v>-0.153761410135348</v>
      </c>
      <c r="P127" s="1880" t="n">
        <f aca="false">H127/H126-1</f>
        <v>-0.119653924232822</v>
      </c>
      <c r="Q127" s="1881" t="n">
        <f aca="false">I127/I126-1</f>
        <v>-0.131043966994858</v>
      </c>
      <c r="R127" s="25"/>
      <c r="S127" s="25"/>
      <c r="T127" s="25"/>
    </row>
    <row r="128" customFormat="false" ht="13" hidden="false" customHeight="false" outlineLevel="0" collapsed="false">
      <c r="A128" s="1871" t="n">
        <f aca="false">A127+1</f>
        <v>1989</v>
      </c>
      <c r="B128" s="1872" t="n">
        <f aca="false">B127*(1+J128)</f>
        <v>321.464646464647</v>
      </c>
      <c r="C128" s="1873" t="n">
        <f aca="false">C127*(1+K128)</f>
        <v>405.13662362738</v>
      </c>
      <c r="D128" s="1874" t="n">
        <f aca="false">D127*(1+L128)</f>
        <v>322.38649103139</v>
      </c>
      <c r="E128" s="1917"/>
      <c r="F128" s="1884" t="n">
        <v>80.5</v>
      </c>
      <c r="G128" s="1887" t="n">
        <v>572.666666666667</v>
      </c>
      <c r="H128" s="1903" t="n">
        <v>90411.75</v>
      </c>
      <c r="I128" s="1903" t="n">
        <v>9358</v>
      </c>
      <c r="J128" s="1877" t="n">
        <f aca="false">DataDE1!GB50</f>
        <v>0.0282902829028291</v>
      </c>
      <c r="K128" s="1878" t="n">
        <f aca="false">DataDE1!GD50</f>
        <v>0.0287178708168208</v>
      </c>
      <c r="L128" s="1879" t="n">
        <f aca="false">DataDE1!GF50</f>
        <v>0.0296052631578947</v>
      </c>
      <c r="M128" s="1880"/>
      <c r="N128" s="1880" t="n">
        <f aca="false">F128/F127-1</f>
        <v>0.0254777070063694</v>
      </c>
      <c r="O128" s="1880" t="n">
        <f aca="false">G128/G127-1</f>
        <v>0.278036079598289</v>
      </c>
      <c r="P128" s="1880" t="n">
        <f aca="false">H128/H127-1</f>
        <v>0.323726743540533</v>
      </c>
      <c r="Q128" s="1881" t="n">
        <f aca="false">I128/I127-1</f>
        <v>0.28782770247024</v>
      </c>
      <c r="R128" s="25"/>
      <c r="S128" s="25"/>
      <c r="T128" s="25"/>
    </row>
    <row r="129" customFormat="false" ht="13" hidden="false" customHeight="false" outlineLevel="0" collapsed="false">
      <c r="A129" s="1893" t="n">
        <f aca="false">A128+1</f>
        <v>1990</v>
      </c>
      <c r="B129" s="1894" t="n">
        <f aca="false">B128*(1+J129)</f>
        <v>329.924242424242</v>
      </c>
      <c r="C129" s="1895" t="n">
        <f aca="false">C128*(1+K129)</f>
        <v>418.898248897368</v>
      </c>
      <c r="D129" s="1896" t="n">
        <f aca="false">D128*(1+L129)</f>
        <v>330.969730941704</v>
      </c>
      <c r="E129" s="1895"/>
      <c r="F129" s="1873" t="n">
        <v>81.5</v>
      </c>
      <c r="G129" s="1876" t="n">
        <v>670.916666666667</v>
      </c>
      <c r="H129" s="1904" t="n">
        <v>109005.333333333</v>
      </c>
      <c r="I129" s="1904" t="n">
        <v>11000.0833333333</v>
      </c>
      <c r="J129" s="1899" t="n">
        <f aca="false">DataDE1!GB51</f>
        <v>0.0263157894736843</v>
      </c>
      <c r="K129" s="1900" t="n">
        <f aca="false">DataDE1!GD51</f>
        <v>0.033967862857655</v>
      </c>
      <c r="L129" s="1901" t="n">
        <f aca="false">DataDE1!GF51</f>
        <v>0.0266240681576144</v>
      </c>
      <c r="M129" s="1902"/>
      <c r="N129" s="1902" t="n">
        <f aca="false">F129/F128-1</f>
        <v>0.0124223602484472</v>
      </c>
      <c r="O129" s="1902" t="n">
        <f aca="false">G129/G128-1</f>
        <v>0.171565774155995</v>
      </c>
      <c r="P129" s="1902" t="n">
        <f aca="false">H129/H128-1</f>
        <v>0.205654501028167</v>
      </c>
      <c r="Q129" s="1915" t="n">
        <f aca="false">I129/I128-1</f>
        <v>0.175473747951842</v>
      </c>
      <c r="R129" s="25"/>
      <c r="S129" s="25"/>
      <c r="T129" s="25"/>
    </row>
    <row r="130" customFormat="false" ht="13" hidden="false" customHeight="false" outlineLevel="0" collapsed="false">
      <c r="A130" s="1871" t="n">
        <f aca="false">A129+1</f>
        <v>1991</v>
      </c>
      <c r="B130" s="1872" t="n">
        <f aca="false">B129*(1+J130)</f>
        <v>343.13799378436</v>
      </c>
      <c r="C130" s="1873" t="n">
        <f aca="false">C129*(1+K130)</f>
        <v>431.821259875852</v>
      </c>
      <c r="D130" s="1874" t="n">
        <f aca="false">D129*(1+L130)</f>
        <v>344.225355021504</v>
      </c>
      <c r="E130" s="1873" t="n">
        <v>85.5</v>
      </c>
      <c r="F130" s="1873" t="n">
        <v>83</v>
      </c>
      <c r="G130" s="1876" t="n">
        <v>607.833333333333</v>
      </c>
      <c r="H130" s="1903" t="n">
        <v>102268.25</v>
      </c>
      <c r="I130" s="1903" t="n">
        <v>9966.75</v>
      </c>
      <c r="J130" s="1877" t="n">
        <f aca="false">DataDE1!GB52</f>
        <v>0.0400508652017344</v>
      </c>
      <c r="K130" s="1878" t="n">
        <f aca="false">DataDE1!GD52</f>
        <v>0.03085</v>
      </c>
      <c r="L130" s="1879" t="n">
        <f aca="false">DataDE1!GF52</f>
        <v>0.0400508652017344</v>
      </c>
      <c r="M130" s="1880"/>
      <c r="N130" s="1880" t="n">
        <f aca="false">F130/F129-1</f>
        <v>0.01840490797546</v>
      </c>
      <c r="O130" s="1880" t="n">
        <f aca="false">G130/G129-1</f>
        <v>-0.0940255868836168</v>
      </c>
      <c r="P130" s="1880" t="n">
        <f aca="false">H130/H129-1</f>
        <v>-0.0618050798737676</v>
      </c>
      <c r="Q130" s="1881" t="n">
        <f aca="false">I130/I129-1</f>
        <v>-0.0939386822827101</v>
      </c>
      <c r="R130" s="25"/>
      <c r="S130" s="25"/>
      <c r="T130" s="25"/>
    </row>
    <row r="131" customFormat="false" ht="13" hidden="false" customHeight="false" outlineLevel="0" collapsed="false">
      <c r="A131" s="1871" t="n">
        <f aca="false">A130+1</f>
        <v>1992</v>
      </c>
      <c r="B131" s="1872" t="n">
        <f aca="false">B130*(1+J131)</f>
        <v>360.769590302924</v>
      </c>
      <c r="C131" s="1873" t="n">
        <f aca="false">C130*(1+K131)</f>
        <v>455.141660174882</v>
      </c>
      <c r="D131" s="1874" t="n">
        <f aca="false">D130*(1+L131)</f>
        <v>359.048456433914</v>
      </c>
      <c r="E131" s="1873" t="n">
        <v>91.5</v>
      </c>
      <c r="F131" s="1873" t="n">
        <v>86.5</v>
      </c>
      <c r="G131" s="1876" t="n">
        <v>591.5</v>
      </c>
      <c r="H131" s="1903" t="n">
        <v>103206.083333333</v>
      </c>
      <c r="I131" s="1903" t="n">
        <v>9678.58333333333</v>
      </c>
      <c r="J131" s="1877" t="n">
        <f aca="false">DataDE1!GB53</f>
        <v>0.0513833992094861</v>
      </c>
      <c r="K131" s="1878" t="n">
        <f aca="false">DataDE1!GD53</f>
        <v>0.0540047525815084</v>
      </c>
      <c r="L131" s="1879" t="n">
        <f aca="false">DataDE1!GF53</f>
        <v>0.0430622009569379</v>
      </c>
      <c r="M131" s="1880" t="n">
        <f aca="false">E131/E130-1</f>
        <v>0.0701754385964912</v>
      </c>
      <c r="N131" s="1880" t="n">
        <f aca="false">F131/F130-1</f>
        <v>0.0421686746987953</v>
      </c>
      <c r="O131" s="1880" t="n">
        <f aca="false">G131/G130-1</f>
        <v>-0.0268714011516316</v>
      </c>
      <c r="P131" s="1880" t="n">
        <f aca="false">H131/H130-1</f>
        <v>0.00917032738248014</v>
      </c>
      <c r="Q131" s="1881" t="n">
        <f aca="false">I131/I130-1</f>
        <v>-0.0289128017324269</v>
      </c>
      <c r="R131" s="25"/>
      <c r="S131" s="25"/>
      <c r="T131" s="25"/>
    </row>
    <row r="132" customFormat="false" ht="13" hidden="false" customHeight="false" outlineLevel="0" collapsed="false">
      <c r="A132" s="1871" t="n">
        <f aca="false">A131+1</f>
        <v>1993</v>
      </c>
      <c r="B132" s="1872" t="n">
        <f aca="false">B131*(1+J132)</f>
        <v>376.592817947789</v>
      </c>
      <c r="C132" s="1873" t="n">
        <f aca="false">C131*(1+K132)</f>
        <v>473.275736050146</v>
      </c>
      <c r="D132" s="1874" t="n">
        <f aca="false">D131*(1+L132)</f>
        <v>372.137861774696</v>
      </c>
      <c r="E132" s="1873" t="n">
        <v>97.5</v>
      </c>
      <c r="F132" s="1873" t="n">
        <v>89.5</v>
      </c>
      <c r="G132" s="1919" t="n">
        <f aca="false">G131*(1+O132)</f>
        <v>634.653053072201</v>
      </c>
      <c r="H132" s="1920" t="n">
        <f aca="false">H131*(1+P132)</f>
        <v>113718.737151948</v>
      </c>
      <c r="I132" s="1920" t="n">
        <f aca="false">I131*(1+P132)/(1+J132)</f>
        <v>10216.3653384736</v>
      </c>
      <c r="J132" s="1877" t="n">
        <f aca="false">DataDE1!GB54</f>
        <v>0.0438596491228069</v>
      </c>
      <c r="K132" s="1878" t="n">
        <f aca="false">DataDE1!GD54</f>
        <v>0.0398427071437415</v>
      </c>
      <c r="L132" s="1879" t="n">
        <f aca="false">DataDE1!GF54</f>
        <v>0.0364558184451955</v>
      </c>
      <c r="M132" s="1880" t="n">
        <f aca="false">E132/E131-1</f>
        <v>0.0655737704918034</v>
      </c>
      <c r="N132" s="1880" t="n">
        <f aca="false">F132/F131-1</f>
        <v>0.0346820809248556</v>
      </c>
      <c r="O132" s="1880" t="n">
        <v>0.0729552883722762</v>
      </c>
      <c r="P132" s="1880" t="n">
        <v>0.101860796176725</v>
      </c>
      <c r="Q132" s="1881" t="n">
        <f aca="false">I132/I131-1</f>
        <v>0.0555641240684592</v>
      </c>
      <c r="R132" s="25"/>
      <c r="S132" s="25"/>
      <c r="T132" s="25"/>
    </row>
    <row r="133" customFormat="false" ht="13" hidden="false" customHeight="false" outlineLevel="0" collapsed="false">
      <c r="A133" s="1871" t="n">
        <f aca="false">A132+1</f>
        <v>1994</v>
      </c>
      <c r="B133" s="1872" t="n">
        <f aca="false">B132*(1+J133)</f>
        <v>386.990938971558</v>
      </c>
      <c r="C133" s="1873" t="n">
        <f aca="false">C132*(1+K133)</f>
        <v>485.076538919337</v>
      </c>
      <c r="D133" s="1874" t="n">
        <f aca="false">D132*(1+L133)</f>
        <v>381.543162963272</v>
      </c>
      <c r="E133" s="1873" t="n">
        <v>103</v>
      </c>
      <c r="F133" s="1873" t="n">
        <v>92</v>
      </c>
      <c r="G133" s="1876" t="n">
        <f aca="false">G132*(1+O133)</f>
        <v>719.488221493313</v>
      </c>
      <c r="H133" s="1903" t="n">
        <f aca="false">H132*(1+P133)</f>
        <v>131083.636851136</v>
      </c>
      <c r="I133" s="1903" t="n">
        <f aca="false">I132*(1+P133)/(1+J133)</f>
        <v>11459.986490082</v>
      </c>
      <c r="J133" s="1877" t="n">
        <f aca="false">DataDE1!GB55</f>
        <v>0.0276110444177671</v>
      </c>
      <c r="K133" s="1878" t="n">
        <f aca="false">DataDE1!GD55</f>
        <v>0.0249343077836142</v>
      </c>
      <c r="L133" s="1879" t="n">
        <f aca="false">DataDE1!GF55</f>
        <v>0.0252737013743303</v>
      </c>
      <c r="M133" s="1880" t="n">
        <f aca="false">E133/E132-1</f>
        <v>0.0564102564102564</v>
      </c>
      <c r="N133" s="1880" t="n">
        <f aca="false">F133/F132-1</f>
        <v>0.0279329608938548</v>
      </c>
      <c r="O133" s="1880" t="n">
        <v>0.133671725063711</v>
      </c>
      <c r="P133" s="1880" t="n">
        <v>0.152700426808167</v>
      </c>
      <c r="Q133" s="1881" t="n">
        <f aca="false">I133/I132-1</f>
        <v>0.121728335900938</v>
      </c>
      <c r="R133" s="25"/>
      <c r="S133" s="25"/>
      <c r="T133" s="25"/>
    </row>
    <row r="134" customFormat="false" ht="13" hidden="false" customHeight="false" outlineLevel="0" collapsed="false">
      <c r="A134" s="1871" t="n">
        <f aca="false">A133+1</f>
        <v>1995</v>
      </c>
      <c r="B134" s="1872" t="n">
        <f aca="false">B133*(1+J134)</f>
        <v>393.772322247928</v>
      </c>
      <c r="C134" s="1873" t="n">
        <f aca="false">C133*(1+K134)</f>
        <v>494.823758052086</v>
      </c>
      <c r="D134" s="1874" t="n">
        <f aca="false">D133*(1+L134)</f>
        <v>386.917620785315</v>
      </c>
      <c r="E134" s="1873" t="n">
        <v>107</v>
      </c>
      <c r="F134" s="1873" t="n">
        <v>93.5</v>
      </c>
      <c r="G134" s="1876" t="n">
        <f aca="false">G133*(1+O134)</f>
        <v>700.582345461604</v>
      </c>
      <c r="H134" s="1903" t="n">
        <f aca="false">H133*(1+P134)</f>
        <v>130226.253455099</v>
      </c>
      <c r="I134" s="1903" t="n">
        <f aca="false">I133*(1+P134)/(1+J134)</f>
        <v>11188.9614991339</v>
      </c>
      <c r="J134" s="1877" t="n">
        <f aca="false">DataDE1!GB56</f>
        <v>0.0175233644859814</v>
      </c>
      <c r="K134" s="1878" t="n">
        <f aca="false">DataDE1!GD56</f>
        <v>0.020094187928495</v>
      </c>
      <c r="L134" s="1879" t="n">
        <f aca="false">DataDE1!GF56</f>
        <v>0.0140861070089742</v>
      </c>
      <c r="M134" s="1880" t="n">
        <f aca="false">E134/E133-1</f>
        <v>0.0388349514563107</v>
      </c>
      <c r="N134" s="1880" t="n">
        <f aca="false">F134/F133-1</f>
        <v>0.0163043478260869</v>
      </c>
      <c r="O134" s="1880" t="n">
        <v>-0.0262768388236709</v>
      </c>
      <c r="P134" s="1880" t="n">
        <v>-0.00654073549249667</v>
      </c>
      <c r="Q134" s="1881" t="n">
        <f aca="false">I134/I133-1</f>
        <v>-0.0236496780500312</v>
      </c>
      <c r="R134" s="25"/>
      <c r="S134" s="25"/>
      <c r="T134" s="25"/>
    </row>
    <row r="135" customFormat="false" ht="13" hidden="false" customHeight="false" outlineLevel="0" collapsed="false">
      <c r="A135" s="1871" t="n">
        <f aca="false">A134+1</f>
        <v>1996</v>
      </c>
      <c r="B135" s="1872" t="n">
        <f aca="false">B134*(1+J135)</f>
        <v>399.197428869025</v>
      </c>
      <c r="C135" s="1873" t="n">
        <f aca="false">C134*(1+K135)</f>
        <v>497.979594029723</v>
      </c>
      <c r="D135" s="1874" t="n">
        <f aca="false">D134*(1+L135)</f>
        <v>390.558382535731</v>
      </c>
      <c r="E135" s="1873" t="n">
        <v>107.5</v>
      </c>
      <c r="F135" s="1873" t="n">
        <v>93</v>
      </c>
      <c r="G135" s="1876" t="n">
        <f aca="false">G134*(1+O135)</f>
        <v>799.690934460079</v>
      </c>
      <c r="H135" s="1903" t="n">
        <f aca="false">H134*(1+P135)</f>
        <v>151615.712914146</v>
      </c>
      <c r="I135" s="1903" t="n">
        <f aca="false">I134*(1+P135)/(1+J135)</f>
        <v>12849.6972949627</v>
      </c>
      <c r="J135" s="1877" t="n">
        <f aca="false">DataDE1!GB57</f>
        <v>0.0137772675086107</v>
      </c>
      <c r="K135" s="1878" t="n">
        <f aca="false">DataDE1!GD57</f>
        <v>0.00637769696034818</v>
      </c>
      <c r="L135" s="1879" t="n">
        <f aca="false">DataDE1!GF57</f>
        <v>0.00940965609947364</v>
      </c>
      <c r="M135" s="1880" t="n">
        <f aca="false">E135/E134-1</f>
        <v>0.00467289719626174</v>
      </c>
      <c r="N135" s="1880" t="n">
        <f aca="false">F135/F134-1</f>
        <v>-0.00534759358288772</v>
      </c>
      <c r="O135" s="1880" t="n">
        <v>0.141466009870937</v>
      </c>
      <c r="P135" s="1880" t="n">
        <v>0.164248443701271</v>
      </c>
      <c r="Q135" s="1881" t="n">
        <f aca="false">I135/I134-1</f>
        <v>0.148426267795931</v>
      </c>
      <c r="R135" s="25"/>
      <c r="S135" s="25"/>
      <c r="T135" s="25"/>
    </row>
    <row r="136" customFormat="false" ht="13" hidden="false" customHeight="false" outlineLevel="0" collapsed="false">
      <c r="A136" s="1871" t="n">
        <f aca="false">A135+1</f>
        <v>1997</v>
      </c>
      <c r="B136" s="1872" t="n">
        <f aca="false">B135*(1+J136)</f>
        <v>406.882996582245</v>
      </c>
      <c r="C136" s="1873" t="n">
        <f aca="false">C135*(1+K136)</f>
        <v>499.291657519211</v>
      </c>
      <c r="D136" s="1874" t="n">
        <f aca="false">D135*(1+L136)</f>
        <v>395.542758741658</v>
      </c>
      <c r="E136" s="1873" t="n">
        <v>106</v>
      </c>
      <c r="F136" s="1873" t="n">
        <v>91.5</v>
      </c>
      <c r="G136" s="1903" t="n">
        <f aca="false">G135*(1+O136)</f>
        <v>1095.32612144774</v>
      </c>
      <c r="H136" s="1903" t="n">
        <f aca="false">H135*(1+P136)</f>
        <v>211307.22768358</v>
      </c>
      <c r="I136" s="1903" t="n">
        <f aca="false">I135*(1+P136)/(1+J136)</f>
        <v>17570.3831027703</v>
      </c>
      <c r="J136" s="1877" t="n">
        <f aca="false">DataDE1!GB58</f>
        <v>0.0192525481313703</v>
      </c>
      <c r="K136" s="1878" t="n">
        <f aca="false">DataDE1!GD58</f>
        <v>0.00263477360361342</v>
      </c>
      <c r="L136" s="1879" t="n">
        <f aca="false">DataDE1!GF58</f>
        <v>0.0127621795583177</v>
      </c>
      <c r="M136" s="1880" t="n">
        <f aca="false">E136/E135-1</f>
        <v>-0.013953488372093</v>
      </c>
      <c r="N136" s="1880" t="n">
        <f aca="false">F136/F135-1</f>
        <v>-0.0161290322580645</v>
      </c>
      <c r="O136" s="1880" t="n">
        <v>0.369686805549776</v>
      </c>
      <c r="P136" s="1880" t="n">
        <v>0.393702694939245</v>
      </c>
      <c r="Q136" s="1881" t="n">
        <f aca="false">I136/I135-1</f>
        <v>0.367377199590393</v>
      </c>
      <c r="R136" s="25"/>
      <c r="S136" s="25"/>
      <c r="T136" s="25"/>
    </row>
    <row r="137" customFormat="false" ht="13" hidden="false" customHeight="false" outlineLevel="0" collapsed="false">
      <c r="A137" s="1871" t="n">
        <f aca="false">A136+1</f>
        <v>1998</v>
      </c>
      <c r="B137" s="1872" t="n">
        <f aca="false">B136*(1+J137)</f>
        <v>410.951826548068</v>
      </c>
      <c r="C137" s="1873" t="n">
        <f aca="false">C136*(1+K137)</f>
        <v>502.236413651607</v>
      </c>
      <c r="D137" s="1874" t="n">
        <f aca="false">D136*(1+L137)</f>
        <v>397.666536429401</v>
      </c>
      <c r="E137" s="1873" t="n">
        <v>104.5</v>
      </c>
      <c r="F137" s="1873" t="n">
        <v>91</v>
      </c>
      <c r="G137" s="1903" t="n">
        <f aca="false">G136*(1+O137)</f>
        <v>1400.95503237894</v>
      </c>
      <c r="H137" s="1903" t="n">
        <f aca="false">H136*(1+P137)</f>
        <v>274004.306769112</v>
      </c>
      <c r="I137" s="1903" t="n">
        <f aca="false">I136*(1+P137)/(1+J137)</f>
        <v>22558.1195539283</v>
      </c>
      <c r="J137" s="1877" t="n">
        <f aca="false">DataDE1!GB59</f>
        <v>0.01</v>
      </c>
      <c r="K137" s="1878" t="n">
        <f aca="false">DataDE1!GD59</f>
        <v>0.00589786768524747</v>
      </c>
      <c r="L137" s="1879" t="n">
        <f aca="false">DataDE1!GF59</f>
        <v>0.00536927460004377</v>
      </c>
      <c r="M137" s="1880" t="n">
        <f aca="false">E137/E136-1</f>
        <v>-0.0141509433962265</v>
      </c>
      <c r="N137" s="1880" t="n">
        <f aca="false">F137/F136-1</f>
        <v>-0.00546448087431695</v>
      </c>
      <c r="O137" s="1880" t="n">
        <v>0.279030057757806</v>
      </c>
      <c r="P137" s="1880" t="n">
        <v>0.296710527949462</v>
      </c>
      <c r="Q137" s="1881" t="n">
        <f aca="false">I137/I136-1</f>
        <v>0.283871809850953</v>
      </c>
      <c r="R137" s="25"/>
      <c r="S137" s="25"/>
      <c r="T137" s="25"/>
    </row>
    <row r="138" customFormat="false" ht="13" hidden="false" customHeight="false" outlineLevel="0" collapsed="false">
      <c r="A138" s="1882" t="n">
        <f aca="false">A137+1</f>
        <v>1999</v>
      </c>
      <c r="B138" s="1883" t="n">
        <f aca="false">B137*(1+J138)</f>
        <v>413.212287640191</v>
      </c>
      <c r="C138" s="1884" t="n">
        <f aca="false">C137*(1+K138)</f>
        <v>503.200564569712</v>
      </c>
      <c r="D138" s="1885" t="n">
        <f aca="false">D137*(1+L138)</f>
        <v>399.226862893865</v>
      </c>
      <c r="E138" s="1884" t="n">
        <v>104.5</v>
      </c>
      <c r="F138" s="1884" t="n">
        <v>91</v>
      </c>
      <c r="G138" s="1905" t="n">
        <f aca="false">G137*(1+O138)</f>
        <v>1452.63419958478</v>
      </c>
      <c r="H138" s="1905" t="n">
        <f aca="false">H137*(1+P138)</f>
        <v>288246.106117495</v>
      </c>
      <c r="I138" s="1905" t="n">
        <f aca="false">I137*(1+P138)/(1+J138)</f>
        <v>23600.7954915365</v>
      </c>
      <c r="J138" s="1888" t="n">
        <f aca="false">DataDE1!GB60</f>
        <v>0.0055005500550056</v>
      </c>
      <c r="K138" s="1889" t="n">
        <f aca="false">DataDE1!GD60</f>
        <v>0.00191971528128509</v>
      </c>
      <c r="L138" s="1890" t="n">
        <f aca="false">DataDE1!GF60</f>
        <v>0.0039237057220709</v>
      </c>
      <c r="M138" s="1891" t="n">
        <f aca="false">E138/E137-1</f>
        <v>0</v>
      </c>
      <c r="N138" s="1891" t="n">
        <f aca="false">F138/F137-1</f>
        <v>0</v>
      </c>
      <c r="O138" s="1891" t="n">
        <v>0.0368885267631263</v>
      </c>
      <c r="P138" s="1891" t="n">
        <v>0.0519765529101086</v>
      </c>
      <c r="Q138" s="1892" t="n">
        <f aca="false">I138/I137-1</f>
        <v>0.0462217577628978</v>
      </c>
      <c r="R138" s="25"/>
      <c r="S138" s="25"/>
      <c r="T138" s="25"/>
    </row>
    <row r="139" customFormat="false" ht="13" hidden="false" customHeight="false" outlineLevel="0" collapsed="false">
      <c r="A139" s="1871" t="n">
        <f aca="false">A138+1</f>
        <v>2000</v>
      </c>
      <c r="B139" s="1872" t="n">
        <f aca="false">B138*(1+J139)</f>
        <v>419.089486479713</v>
      </c>
      <c r="C139" s="1873" t="n">
        <f aca="false">C138*(1+K139)</f>
        <v>499.817403958282</v>
      </c>
      <c r="D139" s="1874" t="n">
        <f aca="false">D138*(1+L139)</f>
        <v>402.390858224584</v>
      </c>
      <c r="E139" s="1873" t="n">
        <v>105</v>
      </c>
      <c r="F139" s="1873" t="n">
        <v>91.5</v>
      </c>
      <c r="G139" s="1903" t="n">
        <f aca="false">G138*(1+O139)</f>
        <v>1812.5480339149</v>
      </c>
      <c r="H139" s="1903" t="n">
        <f aca="false">H138*(1+P139)</f>
        <v>364577.889943566</v>
      </c>
      <c r="I139" s="1903" t="n">
        <f aca="false">I138*(1+P139)/(1+J139)</f>
        <v>29432.0139775748</v>
      </c>
      <c r="J139" s="1877" t="n">
        <f aca="false">DataDE1!GB61</f>
        <v>0.0142231947483589</v>
      </c>
      <c r="K139" s="1878" t="n">
        <f aca="false">DataDE1!GD61</f>
        <v>-0.00672328460983107</v>
      </c>
      <c r="L139" s="1879" t="n">
        <f aca="false">DataDE1!GF61</f>
        <v>0.00792530669851277</v>
      </c>
      <c r="M139" s="1880" t="n">
        <f aca="false">E139/E138-1</f>
        <v>0.00478468899521523</v>
      </c>
      <c r="N139" s="1880" t="n">
        <f aca="false">F139/F138-1</f>
        <v>0.00549450549450548</v>
      </c>
      <c r="O139" s="1880" t="n">
        <v>0.247766323024055</v>
      </c>
      <c r="P139" s="1880" t="n">
        <v>0.264814622664693</v>
      </c>
      <c r="Q139" s="1881" t="n">
        <f aca="false">I139/I138-1</f>
        <v>0.247077200771877</v>
      </c>
      <c r="R139" s="25"/>
      <c r="S139" s="25"/>
      <c r="T139" s="25"/>
    </row>
    <row r="140" customFormat="false" ht="13" hidden="false" customHeight="false" outlineLevel="0" collapsed="false">
      <c r="A140" s="1871" t="n">
        <f aca="false">A139+1</f>
        <v>2001</v>
      </c>
      <c r="B140" s="1872" t="n">
        <f aca="false">B139*(1+J140)</f>
        <v>427.227146411357</v>
      </c>
      <c r="C140" s="1873" t="n">
        <f aca="false">C139*(1+K140)</f>
        <v>505.442766802883</v>
      </c>
      <c r="D140" s="1874" t="n">
        <f aca="false">D139*(1+L140)</f>
        <v>409.84575133258</v>
      </c>
      <c r="E140" s="1873" t="n">
        <v>104.5</v>
      </c>
      <c r="F140" s="1873" t="n">
        <v>92.5</v>
      </c>
      <c r="G140" s="1903" t="n">
        <f aca="false">G139*(1+O140)</f>
        <v>1382.00589347301</v>
      </c>
      <c r="H140" s="1903" t="n">
        <f aca="false">H139*(1+P140)</f>
        <v>282710.368768536</v>
      </c>
      <c r="I140" s="1903" t="n">
        <f aca="false">I139*(1+P140)/(1+J140)</f>
        <v>22388.2071564579</v>
      </c>
      <c r="J140" s="1877" t="n">
        <f aca="false">DataDE1!GB62</f>
        <v>0.0194174757281553</v>
      </c>
      <c r="K140" s="1878" t="n">
        <f aca="false">DataDE1!GD62</f>
        <v>0.0112548358661611</v>
      </c>
      <c r="L140" s="1879" t="n">
        <f aca="false">DataDE1!GF62</f>
        <v>0.018526497199483</v>
      </c>
      <c r="M140" s="1880" t="n">
        <f aca="false">E140/E139-1</f>
        <v>-0.00476190476190475</v>
      </c>
      <c r="N140" s="1880" t="n">
        <f aca="false">F140/F139-1</f>
        <v>0.0109289617486339</v>
      </c>
      <c r="O140" s="1880" t="n">
        <v>-0.237534196272836</v>
      </c>
      <c r="P140" s="1880" t="n">
        <v>-0.224554267917077</v>
      </c>
      <c r="Q140" s="1881" t="n">
        <f aca="false">I140/I139-1</f>
        <v>-0.239324662813894</v>
      </c>
      <c r="R140" s="25"/>
      <c r="S140" s="25"/>
      <c r="T140" s="25"/>
    </row>
    <row r="141" customFormat="false" ht="13" hidden="false" customHeight="false" outlineLevel="0" collapsed="false">
      <c r="A141" s="1871" t="n">
        <f aca="false">A140+1</f>
        <v>2002</v>
      </c>
      <c r="B141" s="1872" t="n">
        <f aca="false">B140*(1+J141)</f>
        <v>433.556437469303</v>
      </c>
      <c r="C141" s="1873" t="n">
        <f aca="false">C140*(1+K141)</f>
        <v>512.676964273223</v>
      </c>
      <c r="D141" s="1874" t="n">
        <f aca="false">D140*(1+L141)</f>
        <v>414.700100333135</v>
      </c>
      <c r="E141" s="1873" t="n">
        <v>103</v>
      </c>
      <c r="F141" s="1873" t="n">
        <v>93.5</v>
      </c>
      <c r="G141" s="1903" t="n">
        <f aca="false">G140*(1+O141)</f>
        <v>1043.58372388727</v>
      </c>
      <c r="H141" s="1903" t="n">
        <f aca="false">H140*(1+P141)</f>
        <v>217347.740324453</v>
      </c>
      <c r="I141" s="1903" t="n">
        <f aca="false">I140*(1+P141)/(1+J141)</f>
        <v>16960.7834934034</v>
      </c>
      <c r="J141" s="1877" t="n">
        <f aca="false">DataDE1!GB63</f>
        <v>0.0148148148148148</v>
      </c>
      <c r="K141" s="1878" t="n">
        <f aca="false">DataDE1!GD63</f>
        <v>0.014312594709978</v>
      </c>
      <c r="L141" s="1879" t="n">
        <f aca="false">DataDE1!GF63</f>
        <v>0.011844331641286</v>
      </c>
      <c r="M141" s="1880" t="n">
        <f aca="false">E141/E140-1</f>
        <v>-0.0143540669856459</v>
      </c>
      <c r="N141" s="1880" t="n">
        <f aca="false">F141/F140-1</f>
        <v>0.0108108108108107</v>
      </c>
      <c r="O141" s="1880" t="n">
        <v>-0.244877515489661</v>
      </c>
      <c r="P141" s="1880" t="n">
        <v>-0.231199968818963</v>
      </c>
      <c r="Q141" s="1881" t="n">
        <f aca="false">I141/I140-1</f>
        <v>-0.242423326938394</v>
      </c>
      <c r="R141" s="25"/>
      <c r="S141" s="25"/>
      <c r="T141" s="25"/>
    </row>
    <row r="142" customFormat="false" ht="13" hidden="false" customHeight="false" outlineLevel="0" collapsed="false">
      <c r="A142" s="1871" t="n">
        <f aca="false">A141+1</f>
        <v>2003</v>
      </c>
      <c r="B142" s="1872" t="n">
        <f aca="false">B141*(1+J142)</f>
        <v>438.077359653551</v>
      </c>
      <c r="C142" s="1873" t="n">
        <f aca="false">C141*(1+K142)</f>
        <v>518.301706075183</v>
      </c>
      <c r="D142" s="1874" t="n">
        <f aca="false">D141*(1+L142)</f>
        <v>421.461515012479</v>
      </c>
      <c r="E142" s="1873" t="n">
        <v>101</v>
      </c>
      <c r="F142" s="1873" t="n">
        <v>93.5</v>
      </c>
      <c r="G142" s="1903" t="n">
        <f aca="false">G141*(1+O142)</f>
        <v>825.032995009537</v>
      </c>
      <c r="H142" s="1903" t="n">
        <f aca="false">H141*(1+P142)</f>
        <v>176563.785709746</v>
      </c>
      <c r="I142" s="1903" t="n">
        <f aca="false">I141*(1+P142)/(1+J142)</f>
        <v>13636.0078662153</v>
      </c>
      <c r="J142" s="1877" t="n">
        <f aca="false">DataDE1!GB64</f>
        <v>0.0104275286757038</v>
      </c>
      <c r="K142" s="1878" t="n">
        <f aca="false">DataDE1!GD64</f>
        <v>0.0109713176013941</v>
      </c>
      <c r="L142" s="1879" t="n">
        <f aca="false">DataDE1!GF64</f>
        <v>0.0163043478260869</v>
      </c>
      <c r="M142" s="1880" t="n">
        <f aca="false">E142/E141-1</f>
        <v>-0.0194174757281553</v>
      </c>
      <c r="N142" s="1880" t="n">
        <f aca="false">F142/F141-1</f>
        <v>0</v>
      </c>
      <c r="O142" s="1880" t="n">
        <v>-0.209423282363633</v>
      </c>
      <c r="P142" s="1880" t="n">
        <v>-0.187643794013341</v>
      </c>
      <c r="Q142" s="1881" t="n">
        <f aca="false">I142/I141-1</f>
        <v>-0.196027242991531</v>
      </c>
      <c r="R142" s="25"/>
      <c r="S142" s="25"/>
      <c r="T142" s="25"/>
    </row>
    <row r="143" customFormat="false" ht="13" hidden="false" customHeight="false" outlineLevel="0" collapsed="false">
      <c r="A143" s="1871" t="n">
        <f aca="false">A142+1</f>
        <v>2004</v>
      </c>
      <c r="B143" s="1872" t="n">
        <f aca="false">B142*(1+J143)</f>
        <v>445.310835148346</v>
      </c>
      <c r="C143" s="1873" t="n">
        <f aca="false">C142*(1+K143)</f>
        <v>523.852215090343</v>
      </c>
      <c r="D143" s="1874" t="n">
        <f aca="false">D142*(1+L143)</f>
        <v>426.315864013034</v>
      </c>
      <c r="E143" s="1873" t="n">
        <v>99.5</v>
      </c>
      <c r="F143" s="1873" t="n">
        <v>93</v>
      </c>
      <c r="G143" s="1903" t="n">
        <f aca="false">G142*(1+O143)</f>
        <v>1011.13324031304</v>
      </c>
      <c r="H143" s="1903" t="n">
        <f aca="false">H142*(1+P143)</f>
        <v>221007.098833613</v>
      </c>
      <c r="I143" s="1903" t="n">
        <f aca="false">I142*(1+P143)/(1+J143)</f>
        <v>16791.109015901</v>
      </c>
      <c r="J143" s="1877" t="n">
        <f aca="false">DataDE1!GB65</f>
        <v>0.0165118679050567</v>
      </c>
      <c r="K143" s="1878" t="n">
        <f aca="false">DataDE1!GD65</f>
        <v>0.0107090309564881</v>
      </c>
      <c r="L143" s="1879" t="n">
        <f aca="false">DataDE1!GF65</f>
        <v>0.0115178938708351</v>
      </c>
      <c r="M143" s="1880" t="n">
        <f aca="false">E143/E142-1</f>
        <v>-0.0148514851485149</v>
      </c>
      <c r="N143" s="1880" t="n">
        <f aca="false">F143/F142-1</f>
        <v>-0.00534759358288772</v>
      </c>
      <c r="O143" s="1880" t="n">
        <v>0.225567033596463</v>
      </c>
      <c r="P143" s="1880" t="n">
        <v>0.251712506872316</v>
      </c>
      <c r="Q143" s="1881" t="n">
        <f aca="false">I143/I142-1</f>
        <v>0.231380120973883</v>
      </c>
      <c r="R143" s="25"/>
      <c r="S143" s="25"/>
      <c r="T143" s="25"/>
    </row>
    <row r="144" customFormat="false" ht="13" hidden="false" customHeight="false" outlineLevel="0" collapsed="false">
      <c r="A144" s="1871" t="n">
        <f aca="false">A143+1</f>
        <v>2005</v>
      </c>
      <c r="B144" s="1872" t="n">
        <f aca="false">B143*(1+J144)</f>
        <v>452.092218424717</v>
      </c>
      <c r="C144" s="1873" t="n">
        <f aca="false">C143*(1+K144)</f>
        <v>527.090732135391</v>
      </c>
      <c r="D144" s="1874" t="n">
        <f aca="false">D143*(1+L144)</f>
        <v>433.424017906704</v>
      </c>
      <c r="E144" s="1873" t="n">
        <v>98</v>
      </c>
      <c r="F144" s="1873" t="n">
        <v>93</v>
      </c>
      <c r="G144" s="1903" t="n">
        <f aca="false">G143*(1+O144)</f>
        <v>1176.26763118955</v>
      </c>
      <c r="H144" s="1903" t="n">
        <f aca="false">H143*(1+P144)</f>
        <v>263448.101651923</v>
      </c>
      <c r="I144" s="1903" t="n">
        <f aca="false">I143*(1+P144)/(1+J144)</f>
        <v>19715.3486514337</v>
      </c>
      <c r="J144" s="1877" t="n">
        <f aca="false">DataDE1!GB66</f>
        <v>0.015228426395939</v>
      </c>
      <c r="K144" s="1878" t="n">
        <f aca="false">DataDE1!GD66</f>
        <v>0.00618211959739456</v>
      </c>
      <c r="L144" s="1879" t="n">
        <f aca="false">DataDE1!GF66</f>
        <v>0.0166734444896299</v>
      </c>
      <c r="M144" s="1880" t="n">
        <f aca="false">E144/E143-1</f>
        <v>-0.0150753768844221</v>
      </c>
      <c r="N144" s="1880" t="n">
        <f aca="false">F144/F143-1</f>
        <v>0</v>
      </c>
      <c r="O144" s="1880" t="n">
        <v>0.163316152899281</v>
      </c>
      <c r="P144" s="1880" t="n">
        <v>0.192034568311589</v>
      </c>
      <c r="Q144" s="1881" t="n">
        <f aca="false">I144/I143-1</f>
        <v>0.174154049786916</v>
      </c>
      <c r="R144" s="25"/>
      <c r="S144" s="25"/>
      <c r="T144" s="25"/>
    </row>
    <row r="145" customFormat="false" ht="13" hidden="false" customHeight="false" outlineLevel="0" collapsed="false">
      <c r="A145" s="1871" t="n">
        <f aca="false">A144+1</f>
        <v>2006</v>
      </c>
      <c r="B145" s="1872" t="n">
        <f aca="false">B144*(1+J145)</f>
        <v>459.325693919512</v>
      </c>
      <c r="C145" s="1873" t="n">
        <f aca="false">C144*(1+K145)</f>
        <v>528.735320860616</v>
      </c>
      <c r="D145" s="1874" t="n">
        <f aca="false">D144*(1+L145)</f>
        <v>437.714915683981</v>
      </c>
      <c r="E145" s="1873" t="n">
        <v>97</v>
      </c>
      <c r="F145" s="1873" t="n">
        <v>93.5</v>
      </c>
      <c r="G145" s="1903" t="n">
        <f aca="false">G144*(1+O145)</f>
        <v>1475.22407575152</v>
      </c>
      <c r="H145" s="1903" t="n">
        <f aca="false">H144*(1+P145)</f>
        <v>337698.868006338</v>
      </c>
      <c r="I145" s="1903" t="n">
        <f aca="false">I144*(1+P145)/(1+J145)</f>
        <v>24873.9802444382</v>
      </c>
      <c r="J145" s="1877" t="n">
        <f aca="false">DataDE1!GB67</f>
        <v>0.016</v>
      </c>
      <c r="K145" s="1878" t="n">
        <f aca="false">DataDE1!GD67</f>
        <v>0.00312012453446564</v>
      </c>
      <c r="L145" s="1879" t="n">
        <f aca="false">DataDE1!GF67</f>
        <v>0.00990000000000002</v>
      </c>
      <c r="M145" s="1880" t="n">
        <f aca="false">E145/E144-1</f>
        <v>-0.0102040816326531</v>
      </c>
      <c r="N145" s="1880" t="n">
        <f aca="false">F145/F144-1</f>
        <v>0.0053763440860215</v>
      </c>
      <c r="O145" s="1880" t="n">
        <v>0.254156823357995</v>
      </c>
      <c r="P145" s="1880" t="n">
        <v>0.28184210054593</v>
      </c>
      <c r="Q145" s="1881" t="n">
        <f aca="false">I145/I144-1</f>
        <v>0.261655610773553</v>
      </c>
      <c r="R145" s="25"/>
      <c r="S145" s="25"/>
      <c r="T145" s="25"/>
    </row>
    <row r="146" customFormat="false" ht="13" hidden="false" customHeight="false" outlineLevel="0" collapsed="false">
      <c r="A146" s="1871" t="n">
        <f aca="false">A145+1</f>
        <v>2007</v>
      </c>
      <c r="B146" s="1872" t="n">
        <f aca="false">B145*(1+J146)</f>
        <v>469.723814943281</v>
      </c>
      <c r="C146" s="1873" t="n">
        <f aca="false">C145*(1+K146)</f>
        <v>537.355480848919</v>
      </c>
      <c r="D146" s="1874" t="n">
        <f aca="false">D145*(1+L146)</f>
        <v>444.216275952581</v>
      </c>
      <c r="E146" s="1873" t="n">
        <v>97.5</v>
      </c>
      <c r="F146" s="1873" t="n">
        <v>94</v>
      </c>
      <c r="G146" s="1903" t="n">
        <f aca="false">G145*(1+O146)</f>
        <v>1832.6253354638</v>
      </c>
      <c r="H146" s="1903" t="n">
        <f aca="false">H145*(1+P146)</f>
        <v>429934.746528802</v>
      </c>
      <c r="I146" s="1903" t="n">
        <f aca="false">I145*(1+P146)/(1+J146)</f>
        <v>30966.8040502731</v>
      </c>
      <c r="J146" s="1877" t="n">
        <f aca="false">DataDE1!GB68</f>
        <v>0.0226377952755907</v>
      </c>
      <c r="K146" s="1878" t="n">
        <f aca="false">DataDE1!GD68</f>
        <v>0.0163033556643641</v>
      </c>
      <c r="L146" s="1879" t="n">
        <f aca="false">DataDE1!GF68</f>
        <v>0.014852955738192</v>
      </c>
      <c r="M146" s="1880" t="n">
        <f aca="false">E146/E145-1</f>
        <v>0.00515463917525771</v>
      </c>
      <c r="N146" s="1880" t="n">
        <f aca="false">F146/F145-1</f>
        <v>0.00534759358288772</v>
      </c>
      <c r="O146" s="1880" t="n">
        <v>0.242269134287416</v>
      </c>
      <c r="P146" s="1880" t="n">
        <v>0.273130552870945</v>
      </c>
      <c r="Q146" s="1881" t="n">
        <f aca="false">I146/I145-1</f>
        <v>0.244947682114418</v>
      </c>
      <c r="R146" s="25"/>
      <c r="S146" s="25"/>
      <c r="T146" s="25"/>
    </row>
    <row r="147" customFormat="false" ht="13" hidden="false" customHeight="false" outlineLevel="0" collapsed="false">
      <c r="A147" s="1871" t="n">
        <f aca="false">A146+1</f>
        <v>2008</v>
      </c>
      <c r="B147" s="1872" t="n">
        <f aca="false">B146*(1+J147)</f>
        <v>481.930304840748</v>
      </c>
      <c r="C147" s="1873" t="n">
        <f aca="false">C146*(1+K147)</f>
        <v>541.513357482821</v>
      </c>
      <c r="D147" s="1874" t="n">
        <f aca="false">D146*(1+L147)</f>
        <v>451.584484256995</v>
      </c>
      <c r="E147" s="1873" t="n">
        <v>98</v>
      </c>
      <c r="F147" s="1873" t="n">
        <v>94.5</v>
      </c>
      <c r="G147" s="1903" t="n">
        <f aca="false">G146*(1+O147)</f>
        <v>1426.3137324954</v>
      </c>
      <c r="H147" s="1903" t="n">
        <f aca="false">H146*(1+P147)</f>
        <v>344064.70360042</v>
      </c>
      <c r="I147" s="1903" t="n">
        <f aca="false">I146*(1+P147)/(1+J147)</f>
        <v>24154.1804019802</v>
      </c>
      <c r="J147" s="1877" t="n">
        <f aca="false">DataDE1!GB69</f>
        <v>0.0259865255052933</v>
      </c>
      <c r="K147" s="1878" t="n">
        <f aca="false">DataDE1!GD69</f>
        <v>0.00773766488309269</v>
      </c>
      <c r="L147" s="1879" t="n">
        <f aca="false">DataDE1!GF69</f>
        <v>0.0165869840960093</v>
      </c>
      <c r="M147" s="1880" t="n">
        <f aca="false">E147/E146-1</f>
        <v>0.00512820512820511</v>
      </c>
      <c r="N147" s="1880" t="n">
        <f aca="false">F147/F146-1</f>
        <v>0.00531914893617014</v>
      </c>
      <c r="O147" s="1880" t="n">
        <v>-0.221710130873842</v>
      </c>
      <c r="P147" s="1880" t="n">
        <v>-0.199728083439818</v>
      </c>
      <c r="Q147" s="1881" t="n">
        <f aca="false">I147/I146-1</f>
        <v>-0.219997634797346</v>
      </c>
      <c r="R147" s="25"/>
      <c r="S147" s="25"/>
      <c r="T147" s="25"/>
    </row>
    <row r="148" customFormat="false" ht="13" hidden="false" customHeight="false" outlineLevel="0" collapsed="false">
      <c r="A148" s="1871" t="n">
        <f aca="false">A147+1</f>
        <v>2009</v>
      </c>
      <c r="B148" s="1872" t="n">
        <f aca="false">B147*(1+J148)</f>
        <v>483.738673714447</v>
      </c>
      <c r="C148" s="1873" t="n">
        <f aca="false">C147*(1+K148)</f>
        <v>547.865841772015</v>
      </c>
      <c r="D148" s="1874" t="n">
        <f aca="false">D147*(1+L148)</f>
        <v>451.844538667739</v>
      </c>
      <c r="E148" s="1873" t="n">
        <v>98</v>
      </c>
      <c r="F148" s="1873" t="n">
        <v>96</v>
      </c>
      <c r="G148" s="1903" t="n">
        <f aca="false">G147*(1+O148)</f>
        <v>1084.57696116215</v>
      </c>
      <c r="H148" s="1903" t="n">
        <f aca="false">H147*(1+P148)</f>
        <v>272858.330430712</v>
      </c>
      <c r="I148" s="1903" t="n">
        <f aca="false">I147*(1+P148)/(1+J148)</f>
        <v>19083.7108615983</v>
      </c>
      <c r="J148" s="1877" t="n">
        <f aca="false">DataDE1!GB70</f>
        <v>0.00375234521575996</v>
      </c>
      <c r="K148" s="1878" t="n">
        <f aca="false">DataDE1!GD70</f>
        <v>0.0117309835508459</v>
      </c>
      <c r="L148" s="1879" t="n">
        <f aca="false">DataDE1!GF70</f>
        <v>0.000575871004894868</v>
      </c>
      <c r="M148" s="1880" t="n">
        <f aca="false">E148/E147-1</f>
        <v>0</v>
      </c>
      <c r="N148" s="1880" t="n">
        <f aca="false">F148/F147-1</f>
        <v>0.0158730158730158</v>
      </c>
      <c r="O148" s="1880" t="n">
        <v>-0.239594391856105</v>
      </c>
      <c r="P148" s="1880" t="n">
        <v>-0.206956344038138</v>
      </c>
      <c r="Q148" s="1881" t="n">
        <f aca="false">I148/I147-1</f>
        <v>-0.209920993219304</v>
      </c>
      <c r="R148" s="25"/>
      <c r="S148" s="25"/>
      <c r="T148" s="25"/>
    </row>
    <row r="149" customFormat="false" ht="13" hidden="false" customHeight="false" outlineLevel="0" collapsed="false">
      <c r="A149" s="1893" t="n">
        <f aca="false">A148+1</f>
        <v>2010</v>
      </c>
      <c r="B149" s="1894" t="n">
        <f aca="false">B148*(1+J149)</f>
        <v>489.163780335544</v>
      </c>
      <c r="C149" s="1895" t="n">
        <f aca="false">C148*(1+K149)</f>
        <v>551.130702699993</v>
      </c>
      <c r="D149" s="1896" t="n">
        <f aca="false">D148*(1+L149)</f>
        <v>460.643046231245</v>
      </c>
      <c r="E149" s="1895" t="n">
        <v>99</v>
      </c>
      <c r="F149" s="1895" t="n">
        <v>98.5</v>
      </c>
      <c r="G149" s="1904" t="n">
        <f aca="false">G148*(1+O149)</f>
        <v>1307.26761431087</v>
      </c>
      <c r="H149" s="1904" t="n">
        <f aca="false">H148*(1+P149)</f>
        <v>339055.254835443</v>
      </c>
      <c r="I149" s="1904" t="n">
        <f aca="false">I148*(1+P149)/(1+J149)</f>
        <v>23450.5270034435</v>
      </c>
      <c r="J149" s="1899" t="n">
        <f aca="false">DataDE1!GB71</f>
        <v>0.0112149532710282</v>
      </c>
      <c r="K149" s="1900" t="n">
        <f aca="false">DataDE1!GD71</f>
        <v>0.00595923432170653</v>
      </c>
      <c r="L149" s="1901" t="n">
        <f aca="false">DataDE1!GF71</f>
        <v>0.0194724220623501</v>
      </c>
      <c r="M149" s="1902" t="n">
        <f aca="false">E149/E148-1</f>
        <v>0.010204081632653</v>
      </c>
      <c r="N149" s="1902" t="n">
        <f aca="false">F149/F148-1</f>
        <v>0.0260416666666667</v>
      </c>
      <c r="O149" s="1902" t="n">
        <v>0.205324897285388</v>
      </c>
      <c r="P149" s="1902" t="n">
        <v>0.242605473324705</v>
      </c>
      <c r="Q149" s="1915" t="n">
        <f aca="false">I149/I148-1</f>
        <v>0.22882426659652</v>
      </c>
      <c r="R149" s="25"/>
      <c r="S149" s="25"/>
      <c r="T149" s="25"/>
    </row>
    <row r="150" customFormat="false" ht="13" hidden="false" customHeight="true" outlineLevel="0" collapsed="false">
      <c r="A150" s="1921" t="n">
        <v>2011</v>
      </c>
      <c r="B150" s="1922" t="n">
        <f aca="false">B149*(1+J150)</f>
        <v>500.466085796162</v>
      </c>
      <c r="C150" s="1923" t="n">
        <f aca="false">C149*(1+K150)</f>
        <v>555.409550189091</v>
      </c>
      <c r="D150" s="1924" t="n">
        <f aca="false">D149*(1+L150)</f>
        <v>470.265059428774</v>
      </c>
      <c r="E150" s="1923" t="n">
        <v>102.5</v>
      </c>
      <c r="F150" s="1923" t="n">
        <v>102.5</v>
      </c>
      <c r="G150" s="1925" t="n">
        <f aca="false">G149*(1+O150)</f>
        <v>1390.71504284372</v>
      </c>
      <c r="H150" s="1925" t="n">
        <f aca="false">H149*(1+P150)</f>
        <v>371311.02564611</v>
      </c>
      <c r="I150" s="1925" t="n">
        <f aca="false">I149*(1+P150)/(1+J150)</f>
        <v>25101.4964170941</v>
      </c>
      <c r="J150" s="1926" t="n">
        <f aca="false">DataDE1!GB72</f>
        <v>0.0231053604436229</v>
      </c>
      <c r="K150" s="1927" t="n">
        <f aca="false">DataDE1!GD72</f>
        <v>0.00776376178669636</v>
      </c>
      <c r="L150" s="1928" t="n">
        <f aca="false">DataDE1!GF72</f>
        <v>0.0208882197967633</v>
      </c>
      <c r="M150" s="1929" t="n">
        <f aca="false">E150/E149-1</f>
        <v>0.0353535353535353</v>
      </c>
      <c r="N150" s="1929" t="n">
        <f aca="false">F150/F149-1</f>
        <v>0.0406091370558375</v>
      </c>
      <c r="O150" s="1929" t="n">
        <v>0.0638334703769423</v>
      </c>
      <c r="P150" s="1929" t="n">
        <v>0.0951342601261898</v>
      </c>
      <c r="Q150" s="1930" t="n">
        <f aca="false">I150/I149-1</f>
        <v>0.0704022307647132</v>
      </c>
      <c r="R150" s="25"/>
      <c r="S150" s="25"/>
      <c r="T150" s="25"/>
    </row>
    <row r="151" customFormat="false" ht="13" hidden="false" customHeight="false" outlineLevel="0" collapsed="false">
      <c r="B151" s="196"/>
      <c r="C151" s="196"/>
      <c r="E151" s="197"/>
      <c r="F151" s="197"/>
      <c r="G151" s="197"/>
      <c r="H151" s="197"/>
      <c r="I151" s="197"/>
      <c r="J151" s="130"/>
      <c r="K151" s="130"/>
      <c r="L151" s="197"/>
      <c r="M151" s="197"/>
      <c r="N151" s="197"/>
      <c r="O151" s="197"/>
      <c r="P151" s="197"/>
      <c r="Q151" s="197"/>
      <c r="R151" s="197"/>
    </row>
    <row r="152" customFormat="false" ht="12" hidden="false" customHeight="false" outlineLevel="0" collapsed="false">
      <c r="B152" s="197"/>
      <c r="C152" s="197"/>
      <c r="G152" s="387"/>
      <c r="H152" s="197"/>
      <c r="I152" s="197"/>
      <c r="J152" s="130"/>
      <c r="K152" s="130"/>
      <c r="L152" s="197"/>
      <c r="M152" s="197"/>
      <c r="N152" s="387"/>
      <c r="P152" s="197"/>
      <c r="Q152" s="197"/>
      <c r="R152" s="197"/>
    </row>
    <row r="153" customFormat="false" ht="12" hidden="false" customHeight="false" outlineLevel="0" collapsed="false">
      <c r="B153" s="387"/>
      <c r="C153" s="387"/>
      <c r="E153" s="387"/>
      <c r="F153" s="387"/>
      <c r="G153" s="387"/>
      <c r="H153" s="387"/>
      <c r="I153" s="387"/>
      <c r="J153" s="130"/>
      <c r="K153" s="130"/>
      <c r="L153" s="197"/>
      <c r="M153" s="197"/>
      <c r="N153" s="197"/>
      <c r="O153" s="197"/>
      <c r="P153" s="197"/>
      <c r="Q153" s="25"/>
      <c r="R153" s="197"/>
    </row>
    <row r="154" customFormat="false" ht="12" hidden="false" customHeight="false" outlineLevel="0" collapsed="false">
      <c r="B154" s="387"/>
      <c r="C154" s="387"/>
      <c r="E154" s="387"/>
      <c r="F154" s="387"/>
      <c r="G154" s="387"/>
      <c r="H154" s="387"/>
      <c r="I154" s="387"/>
      <c r="J154" s="130"/>
      <c r="K154" s="130"/>
      <c r="L154" s="197"/>
      <c r="M154" s="197"/>
      <c r="N154" s="197"/>
      <c r="Q154" s="25"/>
      <c r="R154" s="197"/>
    </row>
    <row r="155" customFormat="false" ht="12" hidden="false" customHeight="false" outlineLevel="0" collapsed="false">
      <c r="A155" s="197"/>
      <c r="B155" s="387"/>
      <c r="C155" s="387"/>
      <c r="E155" s="387"/>
      <c r="F155" s="115"/>
      <c r="G155" s="387"/>
      <c r="H155" s="387"/>
      <c r="I155" s="387"/>
      <c r="J155" s="130"/>
      <c r="K155" s="130"/>
      <c r="L155" s="197"/>
      <c r="M155" s="197"/>
      <c r="N155" s="197"/>
      <c r="Q155" s="25"/>
      <c r="R155" s="197"/>
    </row>
    <row r="156" customFormat="false" ht="12" hidden="false" customHeight="false" outlineLevel="0" collapsed="false">
      <c r="B156" s="387"/>
      <c r="C156" s="387"/>
      <c r="E156" s="387"/>
      <c r="F156" s="387"/>
      <c r="G156" s="387"/>
      <c r="H156" s="387"/>
      <c r="I156" s="387"/>
      <c r="J156" s="130"/>
      <c r="K156" s="130"/>
      <c r="L156" s="197"/>
      <c r="M156" s="197"/>
      <c r="N156" s="197"/>
      <c r="O156" s="197"/>
      <c r="P156" s="197"/>
      <c r="Q156" s="25"/>
      <c r="R156" s="197"/>
    </row>
    <row r="157" customFormat="false" ht="12" hidden="false" customHeight="false" outlineLevel="0" collapsed="false">
      <c r="B157" s="197"/>
      <c r="C157" s="197"/>
      <c r="E157" s="197"/>
      <c r="F157" s="197"/>
      <c r="G157" s="197"/>
      <c r="H157" s="197"/>
      <c r="I157" s="197"/>
      <c r="J157" s="130"/>
      <c r="K157" s="130"/>
      <c r="L157" s="197"/>
      <c r="M157" s="197"/>
      <c r="N157" s="197"/>
      <c r="O157" s="197"/>
      <c r="P157" s="197"/>
      <c r="Q157" s="25"/>
      <c r="R157" s="197"/>
    </row>
    <row r="158" customFormat="false" ht="12" hidden="false" customHeight="false" outlineLevel="0" collapsed="false">
      <c r="B158" s="197"/>
      <c r="C158" s="197"/>
      <c r="E158" s="197"/>
      <c r="F158" s="197"/>
      <c r="G158" s="197"/>
      <c r="H158" s="197"/>
      <c r="I158" s="197"/>
      <c r="J158" s="130"/>
      <c r="K158" s="130"/>
      <c r="L158" s="197"/>
      <c r="M158" s="197"/>
      <c r="N158" s="197"/>
      <c r="O158" s="197"/>
      <c r="P158" s="25"/>
      <c r="Q158" s="25"/>
      <c r="R158" s="197"/>
      <c r="T158" s="25"/>
    </row>
    <row r="159" customFormat="false" ht="12" hidden="false" customHeight="false" outlineLevel="0" collapsed="false">
      <c r="B159" s="197"/>
      <c r="C159" s="197"/>
      <c r="E159" s="197"/>
      <c r="F159" s="197"/>
      <c r="G159" s="197"/>
      <c r="H159" s="197"/>
      <c r="I159" s="387"/>
      <c r="J159" s="130"/>
      <c r="K159" s="130"/>
      <c r="L159" s="197"/>
      <c r="M159" s="197"/>
      <c r="N159" s="197"/>
      <c r="O159" s="197"/>
      <c r="P159" s="197"/>
      <c r="Q159" s="25"/>
      <c r="R159" s="197"/>
    </row>
    <row r="160" customFormat="false" ht="12" hidden="false" customHeight="false" outlineLevel="0" collapsed="false">
      <c r="B160" s="197"/>
      <c r="C160" s="197"/>
      <c r="E160" s="197"/>
      <c r="F160" s="197"/>
      <c r="G160" s="197"/>
      <c r="I160" s="387"/>
      <c r="J160" s="130"/>
      <c r="K160" s="130"/>
      <c r="L160" s="197"/>
      <c r="M160" s="197"/>
      <c r="N160" s="197"/>
      <c r="O160" s="197"/>
      <c r="P160" s="197"/>
      <c r="Q160" s="197"/>
      <c r="R160" s="197"/>
      <c r="S160" s="1931"/>
    </row>
    <row r="161" customFormat="false" ht="12" hidden="false" customHeight="false" outlineLevel="0" collapsed="false">
      <c r="B161" s="197"/>
      <c r="C161" s="197"/>
      <c r="E161" s="197"/>
      <c r="F161" s="197"/>
      <c r="G161" s="197"/>
      <c r="H161" s="197"/>
      <c r="I161" s="197"/>
      <c r="J161" s="130"/>
      <c r="K161" s="130"/>
      <c r="L161" s="197"/>
      <c r="M161" s="197"/>
      <c r="N161" s="197"/>
      <c r="O161" s="197"/>
      <c r="P161" s="197"/>
      <c r="Q161" s="197"/>
      <c r="R161" s="197"/>
    </row>
    <row r="162" customFormat="false" ht="12" hidden="false" customHeight="false" outlineLevel="0" collapsed="false">
      <c r="B162" s="197"/>
      <c r="C162" s="197"/>
      <c r="E162" s="197"/>
      <c r="F162" s="197"/>
      <c r="G162" s="25"/>
      <c r="H162" s="25"/>
      <c r="I162" s="25"/>
      <c r="J162" s="130"/>
      <c r="K162" s="130"/>
      <c r="L162" s="197"/>
      <c r="M162" s="197"/>
      <c r="N162" s="197"/>
      <c r="O162" s="197"/>
      <c r="P162" s="197"/>
      <c r="Q162" s="197"/>
      <c r="R162" s="197"/>
    </row>
    <row r="163" customFormat="false" ht="12" hidden="false" customHeight="false" outlineLevel="0" collapsed="false">
      <c r="B163" s="197"/>
      <c r="C163" s="197"/>
      <c r="E163" s="197"/>
      <c r="F163" s="197"/>
      <c r="G163" s="25"/>
      <c r="H163" s="25"/>
      <c r="I163" s="25"/>
      <c r="J163" s="130"/>
      <c r="K163" s="130"/>
      <c r="L163" s="197"/>
      <c r="M163" s="197"/>
      <c r="N163" s="197"/>
      <c r="O163" s="197"/>
      <c r="P163" s="197"/>
      <c r="Q163" s="197"/>
      <c r="R163" s="197"/>
    </row>
    <row r="164" customFormat="false" ht="12" hidden="false" customHeight="false" outlineLevel="0" collapsed="false">
      <c r="B164" s="197"/>
      <c r="C164" s="197"/>
      <c r="E164" s="197"/>
      <c r="F164" s="197"/>
      <c r="G164" s="197"/>
      <c r="H164" s="197"/>
      <c r="I164" s="197"/>
      <c r="J164" s="130"/>
      <c r="K164" s="130"/>
      <c r="L164" s="197"/>
      <c r="M164" s="197"/>
      <c r="N164" s="197"/>
      <c r="O164" s="197"/>
      <c r="P164" s="197"/>
      <c r="Q164" s="197"/>
      <c r="R164" s="197"/>
    </row>
    <row r="165" customFormat="false" ht="12" hidden="false" customHeight="false" outlineLevel="0" collapsed="false">
      <c r="B165" s="197"/>
      <c r="C165" s="197"/>
      <c r="E165" s="197"/>
      <c r="F165" s="197"/>
      <c r="G165" s="197"/>
      <c r="H165" s="197"/>
      <c r="I165" s="197"/>
      <c r="J165" s="130"/>
      <c r="K165" s="130"/>
      <c r="L165" s="197"/>
      <c r="M165" s="197"/>
      <c r="N165" s="197"/>
      <c r="O165" s="197"/>
      <c r="P165" s="197"/>
      <c r="Q165" s="197"/>
      <c r="R165" s="197"/>
    </row>
    <row r="166" customFormat="false" ht="12" hidden="false" customHeight="false" outlineLevel="0" collapsed="false">
      <c r="B166" s="197"/>
      <c r="C166" s="197"/>
      <c r="E166" s="197"/>
      <c r="F166" s="197"/>
      <c r="G166" s="197"/>
      <c r="H166" s="197"/>
      <c r="I166" s="197"/>
      <c r="J166" s="130"/>
      <c r="K166" s="130"/>
      <c r="L166" s="197"/>
      <c r="M166" s="197"/>
      <c r="N166" s="197"/>
      <c r="O166" s="197"/>
      <c r="P166" s="197"/>
      <c r="Q166" s="197"/>
      <c r="R166" s="197"/>
    </row>
    <row r="167" customFormat="false" ht="12" hidden="false" customHeight="false" outlineLevel="0" collapsed="false">
      <c r="B167" s="197"/>
      <c r="C167" s="197"/>
      <c r="E167" s="197"/>
      <c r="F167" s="197"/>
      <c r="G167" s="197"/>
      <c r="H167" s="197"/>
      <c r="I167" s="197"/>
      <c r="J167" s="130"/>
      <c r="K167" s="130"/>
      <c r="L167" s="197"/>
      <c r="M167" s="197"/>
      <c r="N167" s="197"/>
      <c r="O167" s="197"/>
      <c r="P167" s="197"/>
      <c r="Q167" s="197"/>
      <c r="R167" s="197"/>
    </row>
    <row r="168" customFormat="false" ht="12" hidden="false" customHeight="false" outlineLevel="0" collapsed="false">
      <c r="B168" s="197"/>
      <c r="C168" s="197"/>
      <c r="E168" s="197"/>
      <c r="F168" s="197"/>
      <c r="G168" s="197"/>
      <c r="H168" s="197"/>
      <c r="I168" s="197"/>
      <c r="J168" s="130"/>
      <c r="K168" s="130"/>
      <c r="L168" s="197"/>
      <c r="M168" s="197"/>
      <c r="N168" s="197"/>
      <c r="O168" s="197"/>
      <c r="P168" s="197"/>
      <c r="Q168" s="197"/>
      <c r="R168" s="197"/>
    </row>
    <row r="169" customFormat="false" ht="12" hidden="false" customHeight="false" outlineLevel="0" collapsed="false">
      <c r="B169" s="197"/>
      <c r="C169" s="197"/>
      <c r="E169" s="197"/>
      <c r="F169" s="197"/>
      <c r="G169" s="197"/>
      <c r="H169" s="197"/>
      <c r="I169" s="197"/>
      <c r="J169" s="130"/>
      <c r="K169" s="130"/>
      <c r="L169" s="197"/>
      <c r="M169" s="197"/>
      <c r="N169" s="197"/>
      <c r="O169" s="197"/>
      <c r="P169" s="197"/>
      <c r="Q169" s="197"/>
      <c r="R169" s="197"/>
    </row>
    <row r="170" customFormat="false" ht="12" hidden="false" customHeight="false" outlineLevel="0" collapsed="false">
      <c r="B170" s="197"/>
      <c r="C170" s="197"/>
      <c r="E170" s="197"/>
      <c r="F170" s="197"/>
      <c r="G170" s="197"/>
      <c r="H170" s="197"/>
      <c r="I170" s="197"/>
      <c r="J170" s="130"/>
      <c r="K170" s="130"/>
      <c r="L170" s="197"/>
      <c r="M170" s="197"/>
      <c r="N170" s="197"/>
      <c r="O170" s="197"/>
      <c r="P170" s="197"/>
      <c r="Q170" s="197"/>
      <c r="R170" s="197"/>
    </row>
    <row r="171" customFormat="false" ht="12" hidden="false" customHeight="false" outlineLevel="0" collapsed="false">
      <c r="B171" s="197"/>
      <c r="C171" s="197"/>
      <c r="E171" s="197"/>
      <c r="F171" s="197"/>
      <c r="G171" s="197"/>
      <c r="H171" s="197"/>
      <c r="I171" s="197"/>
      <c r="J171" s="130"/>
      <c r="K171" s="130"/>
      <c r="L171" s="197"/>
      <c r="M171" s="197"/>
      <c r="N171" s="197"/>
      <c r="O171" s="197"/>
      <c r="P171" s="197"/>
      <c r="Q171" s="197"/>
      <c r="R171" s="197"/>
    </row>
    <row r="172" customFormat="false" ht="12" hidden="false" customHeight="false" outlineLevel="0" collapsed="false">
      <c r="B172" s="197"/>
      <c r="C172" s="197"/>
      <c r="E172" s="197"/>
      <c r="F172" s="197"/>
      <c r="G172" s="197"/>
      <c r="H172" s="197"/>
      <c r="I172" s="197"/>
      <c r="J172" s="130"/>
      <c r="K172" s="130"/>
      <c r="L172" s="197"/>
      <c r="M172" s="197"/>
      <c r="N172" s="197"/>
      <c r="O172" s="197"/>
      <c r="P172" s="197"/>
      <c r="Q172" s="197"/>
      <c r="R172" s="197"/>
    </row>
    <row r="173" customFormat="false" ht="12" hidden="false" customHeight="false" outlineLevel="0" collapsed="false">
      <c r="B173" s="197"/>
      <c r="C173" s="197"/>
      <c r="E173" s="197"/>
      <c r="F173" s="197"/>
      <c r="G173" s="197"/>
      <c r="H173" s="197"/>
      <c r="I173" s="197"/>
      <c r="J173" s="130"/>
      <c r="K173" s="130"/>
      <c r="L173" s="197"/>
      <c r="M173" s="197"/>
      <c r="N173" s="197"/>
      <c r="O173" s="197"/>
      <c r="P173" s="197"/>
      <c r="Q173" s="197"/>
      <c r="R173" s="197"/>
    </row>
    <row r="174" customFormat="false" ht="12" hidden="false" customHeight="false" outlineLevel="0" collapsed="false">
      <c r="B174" s="197"/>
      <c r="C174" s="197"/>
      <c r="E174" s="197"/>
      <c r="F174" s="197"/>
      <c r="G174" s="197"/>
      <c r="H174" s="197"/>
      <c r="I174" s="197"/>
      <c r="J174" s="130"/>
      <c r="K174" s="130"/>
      <c r="L174" s="197"/>
      <c r="M174" s="197"/>
      <c r="N174" s="197"/>
      <c r="O174" s="197"/>
      <c r="P174" s="197"/>
      <c r="Q174" s="197"/>
      <c r="R174" s="197"/>
    </row>
    <row r="175" customFormat="false" ht="12" hidden="false" customHeight="false" outlineLevel="0" collapsed="false">
      <c r="B175" s="197"/>
      <c r="C175" s="197"/>
      <c r="E175" s="197"/>
      <c r="F175" s="197"/>
      <c r="G175" s="197"/>
      <c r="H175" s="197"/>
      <c r="I175" s="197"/>
      <c r="J175" s="130"/>
      <c r="K175" s="130"/>
      <c r="L175" s="197"/>
      <c r="M175" s="197"/>
      <c r="N175" s="197"/>
      <c r="O175" s="197"/>
      <c r="P175" s="197"/>
      <c r="Q175" s="197"/>
      <c r="R175" s="197"/>
    </row>
    <row r="176" customFormat="false" ht="12" hidden="false" customHeight="false" outlineLevel="0" collapsed="false">
      <c r="B176" s="197"/>
      <c r="C176" s="197"/>
      <c r="E176" s="197"/>
      <c r="F176" s="197"/>
      <c r="G176" s="197"/>
      <c r="H176" s="197"/>
      <c r="I176" s="197"/>
      <c r="J176" s="130"/>
      <c r="K176" s="130"/>
      <c r="L176" s="197"/>
      <c r="M176" s="197"/>
      <c r="N176" s="197"/>
      <c r="O176" s="197"/>
      <c r="P176" s="197"/>
      <c r="Q176" s="197"/>
      <c r="R176" s="197"/>
    </row>
    <row r="177" customFormat="false" ht="12" hidden="false" customHeight="false" outlineLevel="0" collapsed="false">
      <c r="B177" s="197"/>
      <c r="C177" s="197"/>
      <c r="E177" s="197"/>
      <c r="F177" s="197"/>
      <c r="G177" s="197"/>
      <c r="H177" s="197"/>
      <c r="I177" s="197"/>
      <c r="J177" s="130"/>
      <c r="K177" s="130"/>
      <c r="L177" s="197"/>
      <c r="M177" s="197"/>
      <c r="N177" s="197"/>
      <c r="O177" s="197"/>
      <c r="P177" s="197"/>
      <c r="Q177" s="197"/>
      <c r="R177" s="197"/>
    </row>
    <row r="178" customFormat="false" ht="12" hidden="false" customHeight="false" outlineLevel="0" collapsed="false">
      <c r="B178" s="197"/>
      <c r="C178" s="197"/>
      <c r="E178" s="197"/>
      <c r="F178" s="197"/>
      <c r="G178" s="197"/>
      <c r="H178" s="197"/>
      <c r="I178" s="197"/>
      <c r="J178" s="130"/>
      <c r="K178" s="130"/>
      <c r="L178" s="197"/>
      <c r="M178" s="197"/>
      <c r="N178" s="197"/>
      <c r="O178" s="197"/>
      <c r="P178" s="197"/>
      <c r="Q178" s="197"/>
      <c r="R178" s="197"/>
    </row>
    <row r="179" customFormat="false" ht="12" hidden="false" customHeight="false" outlineLevel="0" collapsed="false">
      <c r="B179" s="197"/>
      <c r="C179" s="197"/>
      <c r="E179" s="197"/>
      <c r="F179" s="197"/>
      <c r="G179" s="197"/>
      <c r="H179" s="197"/>
      <c r="I179" s="197"/>
      <c r="J179" s="130"/>
      <c r="K179" s="130"/>
      <c r="L179" s="197"/>
      <c r="M179" s="197"/>
      <c r="N179" s="197"/>
      <c r="O179" s="197"/>
      <c r="P179" s="197"/>
      <c r="Q179" s="197"/>
      <c r="R179" s="197"/>
    </row>
    <row r="180" customFormat="false" ht="12" hidden="false" customHeight="false" outlineLevel="0" collapsed="false">
      <c r="B180" s="197"/>
      <c r="C180" s="197"/>
      <c r="E180" s="197"/>
      <c r="F180" s="197"/>
      <c r="G180" s="197"/>
      <c r="H180" s="197"/>
      <c r="I180" s="197"/>
      <c r="J180" s="130"/>
      <c r="K180" s="130"/>
      <c r="L180" s="197"/>
      <c r="M180" s="197"/>
      <c r="N180" s="197"/>
      <c r="O180" s="197"/>
      <c r="P180" s="197"/>
      <c r="Q180" s="197"/>
      <c r="R180" s="197"/>
    </row>
    <row r="181" customFormat="false" ht="12" hidden="false" customHeight="false" outlineLevel="0" collapsed="false">
      <c r="B181" s="197"/>
      <c r="C181" s="197"/>
      <c r="E181" s="197"/>
      <c r="F181" s="197"/>
      <c r="G181" s="197"/>
      <c r="H181" s="197"/>
      <c r="I181" s="197"/>
      <c r="J181" s="130"/>
      <c r="K181" s="130"/>
      <c r="L181" s="197"/>
      <c r="M181" s="197"/>
      <c r="N181" s="197"/>
      <c r="O181" s="197"/>
      <c r="P181" s="197"/>
      <c r="Q181" s="197"/>
      <c r="R181" s="197"/>
    </row>
    <row r="182" customFormat="false" ht="12" hidden="false" customHeight="false" outlineLevel="0" collapsed="false">
      <c r="B182" s="197"/>
      <c r="C182" s="197"/>
      <c r="E182" s="197"/>
      <c r="F182" s="197"/>
      <c r="G182" s="197"/>
      <c r="H182" s="197"/>
      <c r="I182" s="197"/>
      <c r="J182" s="130"/>
      <c r="K182" s="130"/>
      <c r="L182" s="197"/>
      <c r="M182" s="197"/>
      <c r="N182" s="197"/>
      <c r="O182" s="197"/>
      <c r="P182" s="197"/>
      <c r="Q182" s="197"/>
      <c r="R182" s="197"/>
    </row>
    <row r="183" customFormat="false" ht="12" hidden="false" customHeight="false" outlineLevel="0" collapsed="false">
      <c r="B183" s="197"/>
      <c r="C183" s="197"/>
      <c r="E183" s="197"/>
      <c r="F183" s="197"/>
      <c r="G183" s="197"/>
      <c r="H183" s="197"/>
      <c r="I183" s="197"/>
      <c r="J183" s="130"/>
      <c r="K183" s="130"/>
      <c r="L183" s="197"/>
      <c r="M183" s="197"/>
      <c r="N183" s="197"/>
      <c r="O183" s="197"/>
      <c r="P183" s="197"/>
      <c r="Q183" s="197"/>
      <c r="R183" s="197"/>
    </row>
    <row r="184" customFormat="false" ht="12" hidden="false" customHeight="false" outlineLevel="0" collapsed="false">
      <c r="B184" s="197"/>
      <c r="C184" s="197"/>
      <c r="E184" s="197"/>
      <c r="F184" s="197"/>
      <c r="G184" s="197"/>
      <c r="H184" s="197"/>
      <c r="I184" s="197"/>
      <c r="J184" s="130"/>
      <c r="K184" s="130"/>
      <c r="L184" s="197"/>
      <c r="M184" s="197"/>
      <c r="N184" s="197"/>
      <c r="O184" s="197"/>
      <c r="P184" s="197"/>
      <c r="Q184" s="197"/>
      <c r="R184" s="197"/>
    </row>
    <row r="185" customFormat="false" ht="12" hidden="false" customHeight="false" outlineLevel="0" collapsed="false">
      <c r="B185" s="197"/>
      <c r="C185" s="197"/>
      <c r="E185" s="197"/>
      <c r="F185" s="197"/>
      <c r="G185" s="197"/>
      <c r="H185" s="197"/>
      <c r="I185" s="197"/>
      <c r="J185" s="130"/>
      <c r="K185" s="130"/>
      <c r="L185" s="197"/>
      <c r="M185" s="197"/>
      <c r="N185" s="197"/>
      <c r="O185" s="197"/>
      <c r="P185" s="197"/>
      <c r="Q185" s="197"/>
      <c r="R185" s="197"/>
    </row>
    <row r="186" customFormat="false" ht="12" hidden="false" customHeight="false" outlineLevel="0" collapsed="false">
      <c r="B186" s="197"/>
      <c r="C186" s="197"/>
      <c r="E186" s="197"/>
      <c r="F186" s="197"/>
      <c r="G186" s="197"/>
      <c r="H186" s="197"/>
      <c r="I186" s="197"/>
      <c r="J186" s="130"/>
      <c r="K186" s="130"/>
      <c r="L186" s="197"/>
      <c r="M186" s="197"/>
      <c r="N186" s="197"/>
      <c r="O186" s="197"/>
      <c r="P186" s="197"/>
      <c r="Q186" s="197"/>
      <c r="R186" s="197"/>
    </row>
    <row r="187" customFormat="false" ht="12" hidden="false" customHeight="false" outlineLevel="0" collapsed="false">
      <c r="B187" s="197"/>
      <c r="C187" s="197"/>
      <c r="E187" s="197"/>
      <c r="F187" s="197"/>
      <c r="G187" s="197"/>
      <c r="H187" s="197"/>
      <c r="I187" s="197"/>
      <c r="J187" s="130"/>
      <c r="K187" s="130"/>
      <c r="L187" s="197"/>
      <c r="M187" s="197"/>
      <c r="N187" s="197"/>
      <c r="O187" s="197"/>
      <c r="P187" s="197"/>
      <c r="Q187" s="197"/>
      <c r="R187" s="197"/>
    </row>
    <row r="188" customFormat="false" ht="12" hidden="false" customHeight="false" outlineLevel="0" collapsed="false">
      <c r="B188" s="197"/>
      <c r="C188" s="197"/>
      <c r="E188" s="197"/>
      <c r="F188" s="197"/>
      <c r="G188" s="197"/>
      <c r="H188" s="197"/>
      <c r="I188" s="197"/>
      <c r="J188" s="130"/>
      <c r="K188" s="130"/>
      <c r="L188" s="197"/>
      <c r="M188" s="197"/>
      <c r="N188" s="197"/>
      <c r="O188" s="197"/>
      <c r="P188" s="197"/>
      <c r="Q188" s="197"/>
      <c r="R188" s="197"/>
    </row>
    <row r="189" customFormat="false" ht="12" hidden="false" customHeight="false" outlineLevel="0" collapsed="false">
      <c r="B189" s="197"/>
      <c r="C189" s="197"/>
      <c r="E189" s="197"/>
      <c r="F189" s="197"/>
      <c r="G189" s="197"/>
      <c r="H189" s="197"/>
      <c r="I189" s="197"/>
      <c r="J189" s="130"/>
      <c r="K189" s="130"/>
      <c r="L189" s="197"/>
      <c r="M189" s="197"/>
      <c r="N189" s="197"/>
      <c r="O189" s="197"/>
      <c r="P189" s="197"/>
      <c r="Q189" s="197"/>
      <c r="R189" s="197"/>
    </row>
    <row r="190" customFormat="false" ht="12" hidden="false" customHeight="false" outlineLevel="0" collapsed="false">
      <c r="B190" s="197"/>
      <c r="C190" s="197"/>
      <c r="E190" s="197"/>
      <c r="F190" s="197"/>
      <c r="G190" s="197"/>
      <c r="H190" s="197"/>
      <c r="I190" s="197"/>
      <c r="J190" s="130"/>
      <c r="K190" s="130"/>
      <c r="L190" s="197"/>
      <c r="M190" s="197"/>
      <c r="N190" s="197"/>
      <c r="O190" s="197"/>
      <c r="P190" s="197"/>
      <c r="Q190" s="197"/>
      <c r="R190" s="197"/>
    </row>
    <row r="191" customFormat="false" ht="12" hidden="false" customHeight="false" outlineLevel="0" collapsed="false">
      <c r="B191" s="197"/>
      <c r="C191" s="197"/>
      <c r="E191" s="197"/>
      <c r="F191" s="197"/>
      <c r="G191" s="197"/>
      <c r="H191" s="197"/>
      <c r="I191" s="197"/>
      <c r="J191" s="130"/>
      <c r="K191" s="130"/>
      <c r="L191" s="197"/>
      <c r="M191" s="197"/>
      <c r="N191" s="197"/>
      <c r="O191" s="197"/>
      <c r="P191" s="197"/>
      <c r="Q191" s="197"/>
      <c r="R191" s="197"/>
    </row>
    <row r="192" customFormat="false" ht="12" hidden="false" customHeight="false" outlineLevel="0" collapsed="false">
      <c r="B192" s="197"/>
      <c r="C192" s="197"/>
      <c r="E192" s="197"/>
      <c r="F192" s="197"/>
      <c r="G192" s="197"/>
      <c r="H192" s="197"/>
      <c r="I192" s="197"/>
      <c r="J192" s="130"/>
      <c r="K192" s="130"/>
      <c r="L192" s="197"/>
      <c r="M192" s="197"/>
      <c r="N192" s="197"/>
      <c r="O192" s="197"/>
      <c r="P192" s="197"/>
      <c r="Q192" s="197"/>
      <c r="R192" s="197"/>
    </row>
    <row r="193" customFormat="false" ht="12" hidden="false" customHeight="false" outlineLevel="0" collapsed="false">
      <c r="B193" s="197"/>
      <c r="C193" s="197"/>
      <c r="E193" s="197"/>
      <c r="F193" s="197"/>
      <c r="G193" s="197"/>
      <c r="H193" s="197"/>
      <c r="I193" s="197"/>
      <c r="J193" s="130"/>
      <c r="K193" s="130"/>
      <c r="L193" s="197"/>
      <c r="M193" s="197"/>
      <c r="N193" s="197"/>
      <c r="O193" s="197"/>
      <c r="P193" s="197"/>
      <c r="Q193" s="197"/>
      <c r="R193" s="197"/>
    </row>
    <row r="194" customFormat="false" ht="12" hidden="false" customHeight="false" outlineLevel="0" collapsed="false">
      <c r="B194" s="197"/>
      <c r="C194" s="197"/>
      <c r="E194" s="197"/>
      <c r="F194" s="197"/>
      <c r="G194" s="197"/>
      <c r="H194" s="197"/>
      <c r="I194" s="197"/>
      <c r="J194" s="130"/>
      <c r="K194" s="130"/>
      <c r="L194" s="197"/>
      <c r="M194" s="197"/>
      <c r="N194" s="197"/>
      <c r="O194" s="197"/>
      <c r="P194" s="197"/>
      <c r="Q194" s="197"/>
      <c r="R194" s="197"/>
    </row>
    <row r="195" customFormat="false" ht="12" hidden="false" customHeight="false" outlineLevel="0" collapsed="false">
      <c r="B195" s="197"/>
      <c r="C195" s="197"/>
      <c r="E195" s="197"/>
      <c r="F195" s="197"/>
      <c r="G195" s="197"/>
      <c r="H195" s="197"/>
      <c r="I195" s="197"/>
      <c r="J195" s="130"/>
      <c r="K195" s="130"/>
      <c r="L195" s="197"/>
      <c r="M195" s="197"/>
      <c r="N195" s="197"/>
      <c r="O195" s="197"/>
      <c r="P195" s="197"/>
      <c r="Q195" s="197"/>
      <c r="R195" s="197"/>
    </row>
    <row r="196" customFormat="false" ht="12" hidden="false" customHeight="false" outlineLevel="0" collapsed="false">
      <c r="B196" s="197"/>
      <c r="C196" s="197"/>
      <c r="E196" s="197"/>
      <c r="F196" s="197"/>
      <c r="G196" s="197"/>
      <c r="H196" s="197"/>
      <c r="I196" s="197"/>
      <c r="J196" s="130"/>
      <c r="K196" s="130"/>
      <c r="L196" s="197"/>
      <c r="M196" s="197"/>
      <c r="N196" s="197"/>
      <c r="O196" s="197"/>
      <c r="P196" s="197"/>
      <c r="Q196" s="197"/>
      <c r="R196" s="197"/>
    </row>
    <row r="197" customFormat="false" ht="12" hidden="false" customHeight="false" outlineLevel="0" collapsed="false">
      <c r="B197" s="197"/>
      <c r="C197" s="197"/>
      <c r="E197" s="197"/>
      <c r="F197" s="197"/>
      <c r="G197" s="197"/>
      <c r="H197" s="197"/>
      <c r="I197" s="197"/>
      <c r="J197" s="130"/>
      <c r="K197" s="130"/>
      <c r="L197" s="197"/>
      <c r="M197" s="197"/>
      <c r="N197" s="197"/>
      <c r="O197" s="197"/>
      <c r="P197" s="197"/>
      <c r="Q197" s="197"/>
      <c r="R197" s="197"/>
    </row>
    <row r="198" customFormat="false" ht="12" hidden="false" customHeight="false" outlineLevel="0" collapsed="false">
      <c r="B198" s="197"/>
      <c r="C198" s="197"/>
      <c r="E198" s="197"/>
      <c r="F198" s="197"/>
      <c r="G198" s="197"/>
      <c r="H198" s="197"/>
      <c r="I198" s="197"/>
      <c r="J198" s="130"/>
      <c r="K198" s="130"/>
      <c r="L198" s="197"/>
      <c r="M198" s="197"/>
      <c r="N198" s="197"/>
      <c r="O198" s="197"/>
      <c r="P198" s="197"/>
      <c r="Q198" s="197"/>
      <c r="R198" s="197"/>
    </row>
    <row r="199" customFormat="false" ht="12" hidden="false" customHeight="false" outlineLevel="0" collapsed="false">
      <c r="B199" s="197"/>
      <c r="C199" s="197"/>
      <c r="E199" s="197"/>
      <c r="F199" s="197"/>
      <c r="G199" s="197"/>
      <c r="H199" s="197"/>
      <c r="I199" s="197"/>
      <c r="J199" s="130"/>
      <c r="K199" s="130"/>
      <c r="L199" s="197"/>
      <c r="M199" s="197"/>
      <c r="N199" s="197"/>
      <c r="O199" s="197"/>
      <c r="P199" s="197"/>
      <c r="Q199" s="197"/>
      <c r="R199" s="197"/>
    </row>
    <row r="200" customFormat="false" ht="12" hidden="false" customHeight="false" outlineLevel="0" collapsed="false">
      <c r="B200" s="197"/>
      <c r="C200" s="197"/>
      <c r="E200" s="197"/>
      <c r="F200" s="197"/>
      <c r="G200" s="197"/>
      <c r="H200" s="197"/>
      <c r="I200" s="197"/>
      <c r="J200" s="130"/>
      <c r="K200" s="130"/>
      <c r="L200" s="197"/>
      <c r="M200" s="197"/>
      <c r="N200" s="197"/>
      <c r="O200" s="197"/>
      <c r="P200" s="197"/>
      <c r="Q200" s="197"/>
      <c r="R200" s="197"/>
    </row>
    <row r="201" customFormat="false" ht="12" hidden="false" customHeight="false" outlineLevel="0" collapsed="false">
      <c r="B201" s="197"/>
      <c r="C201" s="197"/>
      <c r="E201" s="197"/>
      <c r="F201" s="197"/>
      <c r="G201" s="197"/>
      <c r="H201" s="197"/>
      <c r="I201" s="197"/>
      <c r="J201" s="130"/>
      <c r="K201" s="130"/>
      <c r="L201" s="197"/>
      <c r="M201" s="197"/>
      <c r="N201" s="197"/>
      <c r="O201" s="197"/>
      <c r="P201" s="197"/>
      <c r="Q201" s="197"/>
      <c r="R201" s="197"/>
    </row>
    <row r="202" customFormat="false" ht="12" hidden="false" customHeight="false" outlineLevel="0" collapsed="false">
      <c r="B202" s="197"/>
      <c r="C202" s="197"/>
      <c r="E202" s="197"/>
      <c r="F202" s="197"/>
      <c r="G202" s="197"/>
      <c r="H202" s="197"/>
      <c r="I202" s="197"/>
      <c r="J202" s="130"/>
      <c r="K202" s="130"/>
      <c r="L202" s="197"/>
      <c r="M202" s="197"/>
      <c r="N202" s="197"/>
      <c r="O202" s="197"/>
      <c r="P202" s="197"/>
      <c r="Q202" s="197"/>
      <c r="R202" s="197"/>
    </row>
    <row r="203" customFormat="false" ht="12" hidden="false" customHeight="false" outlineLevel="0" collapsed="false">
      <c r="B203" s="197"/>
      <c r="C203" s="197"/>
      <c r="E203" s="197"/>
      <c r="F203" s="197"/>
      <c r="G203" s="197"/>
      <c r="H203" s="197"/>
      <c r="I203" s="197"/>
      <c r="J203" s="130"/>
      <c r="K203" s="130"/>
      <c r="L203" s="197"/>
      <c r="M203" s="197"/>
      <c r="N203" s="197"/>
      <c r="O203" s="197"/>
      <c r="P203" s="197"/>
      <c r="Q203" s="197"/>
      <c r="R203" s="197"/>
    </row>
    <row r="204" customFormat="false" ht="12" hidden="false" customHeight="false" outlineLevel="0" collapsed="false">
      <c r="B204" s="197"/>
      <c r="C204" s="197"/>
      <c r="E204" s="197"/>
      <c r="F204" s="197"/>
      <c r="G204" s="197"/>
      <c r="H204" s="197"/>
      <c r="I204" s="197"/>
      <c r="J204" s="130"/>
      <c r="K204" s="130"/>
      <c r="L204" s="197"/>
      <c r="M204" s="197"/>
      <c r="N204" s="197"/>
      <c r="O204" s="197"/>
      <c r="P204" s="197"/>
      <c r="Q204" s="197"/>
      <c r="R204" s="197"/>
    </row>
    <row r="205" customFormat="false" ht="12" hidden="false" customHeight="false" outlineLevel="0" collapsed="false">
      <c r="B205" s="197"/>
      <c r="C205" s="197"/>
      <c r="E205" s="197"/>
      <c r="F205" s="197"/>
      <c r="G205" s="197"/>
      <c r="H205" s="197"/>
      <c r="I205" s="197"/>
      <c r="J205" s="130"/>
      <c r="K205" s="130"/>
      <c r="L205" s="197"/>
      <c r="M205" s="197"/>
      <c r="N205" s="197"/>
      <c r="O205" s="197"/>
      <c r="P205" s="197"/>
      <c r="Q205" s="197"/>
      <c r="R205" s="197"/>
    </row>
    <row r="206" customFormat="false" ht="12" hidden="false" customHeight="false" outlineLevel="0" collapsed="false">
      <c r="B206" s="197"/>
      <c r="C206" s="197"/>
      <c r="E206" s="197"/>
      <c r="F206" s="197"/>
      <c r="G206" s="197"/>
      <c r="H206" s="197"/>
      <c r="I206" s="197"/>
      <c r="J206" s="130"/>
      <c r="K206" s="130"/>
      <c r="L206" s="197"/>
      <c r="M206" s="197"/>
      <c r="N206" s="197"/>
      <c r="O206" s="197"/>
      <c r="P206" s="197"/>
      <c r="Q206" s="197"/>
      <c r="R206" s="197"/>
    </row>
    <row r="207" customFormat="false" ht="12" hidden="false" customHeight="false" outlineLevel="0" collapsed="false">
      <c r="B207" s="197"/>
      <c r="C207" s="197"/>
      <c r="E207" s="197"/>
      <c r="F207" s="197"/>
      <c r="G207" s="197"/>
      <c r="H207" s="197"/>
      <c r="I207" s="197"/>
      <c r="J207" s="130"/>
      <c r="K207" s="130"/>
      <c r="L207" s="197"/>
      <c r="M207" s="197"/>
      <c r="N207" s="197"/>
      <c r="O207" s="197"/>
      <c r="P207" s="197"/>
      <c r="Q207" s="197"/>
      <c r="R207" s="197"/>
    </row>
    <row r="208" customFormat="false" ht="12" hidden="false" customHeight="false" outlineLevel="0" collapsed="false">
      <c r="B208" s="197"/>
      <c r="C208" s="197"/>
      <c r="E208" s="197"/>
      <c r="F208" s="197"/>
      <c r="G208" s="197"/>
      <c r="H208" s="197"/>
      <c r="I208" s="197"/>
      <c r="J208" s="130"/>
      <c r="K208" s="130"/>
      <c r="L208" s="197"/>
      <c r="M208" s="197"/>
      <c r="N208" s="197"/>
      <c r="O208" s="197"/>
      <c r="P208" s="197"/>
      <c r="Q208" s="197"/>
      <c r="R208" s="197"/>
    </row>
    <row r="209" customFormat="false" ht="12" hidden="false" customHeight="false" outlineLevel="0" collapsed="false">
      <c r="B209" s="197"/>
      <c r="C209" s="197"/>
      <c r="E209" s="197"/>
      <c r="F209" s="197"/>
      <c r="G209" s="197"/>
      <c r="H209" s="197"/>
      <c r="I209" s="197"/>
      <c r="J209" s="130"/>
      <c r="K209" s="130"/>
      <c r="L209" s="197"/>
      <c r="M209" s="197"/>
      <c r="N209" s="197"/>
      <c r="O209" s="197"/>
      <c r="P209" s="197"/>
      <c r="Q209" s="197"/>
      <c r="R209" s="197"/>
    </row>
    <row r="210" customFormat="false" ht="12" hidden="false" customHeight="false" outlineLevel="0" collapsed="false">
      <c r="B210" s="197"/>
      <c r="C210" s="197"/>
      <c r="E210" s="197"/>
      <c r="F210" s="197"/>
      <c r="G210" s="197"/>
      <c r="H210" s="197"/>
      <c r="I210" s="197"/>
      <c r="J210" s="130"/>
      <c r="K210" s="130"/>
      <c r="L210" s="197"/>
      <c r="M210" s="197"/>
      <c r="N210" s="197"/>
      <c r="O210" s="197"/>
      <c r="P210" s="197"/>
      <c r="Q210" s="197"/>
      <c r="R210" s="197"/>
    </row>
    <row r="211" customFormat="false" ht="12" hidden="false" customHeight="false" outlineLevel="0" collapsed="false">
      <c r="B211" s="197"/>
      <c r="C211" s="197"/>
      <c r="E211" s="197"/>
      <c r="F211" s="197"/>
      <c r="G211" s="197"/>
      <c r="H211" s="197"/>
      <c r="I211" s="197"/>
      <c r="J211" s="130"/>
      <c r="K211" s="130"/>
      <c r="L211" s="197"/>
      <c r="M211" s="197"/>
      <c r="N211" s="197"/>
      <c r="O211" s="197"/>
      <c r="P211" s="197"/>
      <c r="Q211" s="197"/>
      <c r="R211" s="197"/>
    </row>
    <row r="212" customFormat="false" ht="12" hidden="false" customHeight="false" outlineLevel="0" collapsed="false">
      <c r="B212" s="197"/>
      <c r="C212" s="197"/>
      <c r="E212" s="197"/>
      <c r="F212" s="197"/>
      <c r="G212" s="197"/>
      <c r="H212" s="197"/>
      <c r="I212" s="197"/>
      <c r="J212" s="130"/>
      <c r="K212" s="130"/>
      <c r="L212" s="197"/>
      <c r="M212" s="197"/>
      <c r="N212" s="197"/>
      <c r="O212" s="197"/>
      <c r="P212" s="197"/>
      <c r="Q212" s="197"/>
      <c r="R212" s="197"/>
    </row>
    <row r="213" customFormat="false" ht="12" hidden="false" customHeight="false" outlineLevel="0" collapsed="false">
      <c r="B213" s="197"/>
      <c r="C213" s="197"/>
      <c r="E213" s="197"/>
      <c r="F213" s="197"/>
      <c r="G213" s="197"/>
      <c r="H213" s="197"/>
      <c r="I213" s="197"/>
      <c r="J213" s="130"/>
      <c r="K213" s="130"/>
      <c r="L213" s="197"/>
      <c r="M213" s="197"/>
      <c r="N213" s="197"/>
      <c r="O213" s="197"/>
      <c r="P213" s="197"/>
      <c r="Q213" s="197"/>
      <c r="R213" s="197"/>
    </row>
    <row r="214" customFormat="false" ht="12" hidden="false" customHeight="false" outlineLevel="0" collapsed="false">
      <c r="B214" s="197"/>
      <c r="C214" s="197"/>
      <c r="E214" s="197"/>
      <c r="F214" s="197"/>
      <c r="G214" s="197"/>
      <c r="H214" s="197"/>
      <c r="I214" s="197"/>
      <c r="J214" s="130"/>
      <c r="K214" s="130"/>
      <c r="L214" s="197"/>
      <c r="M214" s="197"/>
      <c r="N214" s="197"/>
      <c r="O214" s="197"/>
      <c r="P214" s="197"/>
      <c r="Q214" s="197"/>
      <c r="R214" s="197"/>
    </row>
    <row r="215" customFormat="false" ht="12" hidden="false" customHeight="false" outlineLevel="0" collapsed="false">
      <c r="B215" s="197"/>
      <c r="C215" s="197"/>
      <c r="E215" s="197"/>
      <c r="F215" s="197"/>
      <c r="G215" s="197"/>
      <c r="H215" s="197"/>
      <c r="I215" s="197"/>
      <c r="J215" s="130"/>
      <c r="K215" s="130"/>
      <c r="L215" s="197"/>
      <c r="M215" s="197"/>
      <c r="N215" s="197"/>
      <c r="O215" s="197"/>
      <c r="P215" s="197"/>
      <c r="Q215" s="197"/>
      <c r="R215" s="197"/>
    </row>
    <row r="216" customFormat="false" ht="12" hidden="false" customHeight="false" outlineLevel="0" collapsed="false">
      <c r="B216" s="197"/>
      <c r="C216" s="197"/>
      <c r="E216" s="197"/>
      <c r="F216" s="197"/>
      <c r="G216" s="197"/>
      <c r="H216" s="197"/>
      <c r="I216" s="197"/>
      <c r="J216" s="130"/>
      <c r="K216" s="130"/>
      <c r="L216" s="197"/>
      <c r="M216" s="197"/>
      <c r="N216" s="197"/>
      <c r="O216" s="197"/>
      <c r="P216" s="197"/>
      <c r="Q216" s="197"/>
      <c r="R216" s="197"/>
    </row>
    <row r="217" customFormat="false" ht="12" hidden="false" customHeight="false" outlineLevel="0" collapsed="false">
      <c r="B217" s="197"/>
      <c r="C217" s="197"/>
      <c r="E217" s="197"/>
      <c r="F217" s="197"/>
      <c r="G217" s="197"/>
      <c r="H217" s="197"/>
      <c r="I217" s="197"/>
      <c r="J217" s="130"/>
      <c r="K217" s="130"/>
      <c r="L217" s="197"/>
      <c r="M217" s="197"/>
      <c r="N217" s="197"/>
      <c r="O217" s="197"/>
      <c r="P217" s="197"/>
      <c r="Q217" s="197"/>
      <c r="R217" s="197"/>
    </row>
    <row r="218" customFormat="false" ht="12" hidden="false" customHeight="false" outlineLevel="0" collapsed="false">
      <c r="B218" s="197"/>
      <c r="C218" s="197"/>
      <c r="E218" s="197"/>
      <c r="F218" s="197"/>
      <c r="G218" s="197"/>
      <c r="H218" s="197"/>
      <c r="I218" s="197"/>
      <c r="J218" s="130"/>
      <c r="K218" s="130"/>
      <c r="L218" s="197"/>
      <c r="M218" s="197"/>
      <c r="N218" s="197"/>
      <c r="O218" s="197"/>
      <c r="P218" s="197"/>
      <c r="Q218" s="197"/>
      <c r="R218" s="197"/>
    </row>
    <row r="219" customFormat="false" ht="12" hidden="false" customHeight="false" outlineLevel="0" collapsed="false">
      <c r="B219" s="197"/>
      <c r="C219" s="197"/>
      <c r="E219" s="197"/>
      <c r="F219" s="197"/>
      <c r="G219" s="197"/>
      <c r="H219" s="197"/>
      <c r="I219" s="197"/>
      <c r="J219" s="130"/>
      <c r="K219" s="130"/>
      <c r="L219" s="197"/>
      <c r="M219" s="197"/>
      <c r="N219" s="197"/>
      <c r="O219" s="197"/>
      <c r="P219" s="197"/>
      <c r="Q219" s="197"/>
      <c r="R219" s="197"/>
    </row>
    <row r="220" customFormat="false" ht="12" hidden="false" customHeight="false" outlineLevel="0" collapsed="false">
      <c r="B220" s="197"/>
      <c r="C220" s="197"/>
      <c r="E220" s="197"/>
      <c r="F220" s="197"/>
      <c r="G220" s="197"/>
      <c r="H220" s="197"/>
      <c r="I220" s="197"/>
      <c r="J220" s="130"/>
      <c r="K220" s="130"/>
      <c r="L220" s="197"/>
      <c r="M220" s="197"/>
      <c r="N220" s="197"/>
      <c r="O220" s="197"/>
      <c r="P220" s="197"/>
      <c r="Q220" s="197"/>
      <c r="R220" s="197"/>
    </row>
    <row r="221" customFormat="false" ht="12" hidden="false" customHeight="false" outlineLevel="0" collapsed="false">
      <c r="B221" s="197"/>
      <c r="C221" s="197"/>
      <c r="E221" s="197"/>
      <c r="F221" s="197"/>
      <c r="G221" s="197"/>
      <c r="H221" s="197"/>
      <c r="I221" s="197"/>
      <c r="J221" s="130"/>
      <c r="K221" s="130"/>
      <c r="L221" s="197"/>
      <c r="M221" s="197"/>
      <c r="N221" s="197"/>
      <c r="O221" s="197"/>
      <c r="P221" s="197"/>
      <c r="Q221" s="197"/>
      <c r="R221" s="197"/>
    </row>
    <row r="222" customFormat="false" ht="12" hidden="false" customHeight="false" outlineLevel="0" collapsed="false">
      <c r="B222" s="197"/>
      <c r="C222" s="197"/>
      <c r="E222" s="197"/>
      <c r="F222" s="197"/>
      <c r="G222" s="197"/>
      <c r="H222" s="197"/>
      <c r="I222" s="197"/>
      <c r="J222" s="130"/>
      <c r="K222" s="130"/>
      <c r="L222" s="197"/>
      <c r="M222" s="197"/>
      <c r="N222" s="197"/>
      <c r="O222" s="197"/>
      <c r="P222" s="197"/>
      <c r="Q222" s="197"/>
      <c r="R222" s="197"/>
    </row>
    <row r="223" customFormat="false" ht="12" hidden="false" customHeight="false" outlineLevel="0" collapsed="false">
      <c r="B223" s="197"/>
      <c r="C223" s="197"/>
      <c r="E223" s="197"/>
      <c r="F223" s="197"/>
      <c r="G223" s="197"/>
      <c r="H223" s="197"/>
      <c r="I223" s="197"/>
      <c r="J223" s="130"/>
      <c r="K223" s="130"/>
      <c r="L223" s="197"/>
      <c r="M223" s="197"/>
      <c r="N223" s="197"/>
      <c r="O223" s="197"/>
      <c r="P223" s="197"/>
      <c r="Q223" s="197"/>
      <c r="R223" s="197"/>
    </row>
    <row r="224" customFormat="false" ht="12" hidden="false" customHeight="false" outlineLevel="0" collapsed="false">
      <c r="B224" s="197"/>
      <c r="C224" s="197"/>
      <c r="E224" s="197"/>
      <c r="F224" s="197"/>
      <c r="G224" s="197"/>
      <c r="H224" s="197"/>
      <c r="I224" s="197"/>
      <c r="J224" s="130"/>
      <c r="K224" s="130"/>
      <c r="L224" s="197"/>
      <c r="M224" s="197"/>
      <c r="N224" s="197"/>
      <c r="O224" s="197"/>
      <c r="P224" s="197"/>
      <c r="Q224" s="197"/>
      <c r="R224" s="197"/>
    </row>
    <row r="225" customFormat="false" ht="12" hidden="false" customHeight="false" outlineLevel="0" collapsed="false">
      <c r="B225" s="197"/>
      <c r="C225" s="197"/>
      <c r="E225" s="197"/>
      <c r="F225" s="197"/>
      <c r="G225" s="197"/>
      <c r="H225" s="197"/>
      <c r="I225" s="197"/>
      <c r="J225" s="130"/>
      <c r="K225" s="130"/>
      <c r="L225" s="197"/>
      <c r="M225" s="197"/>
      <c r="N225" s="197"/>
      <c r="O225" s="197"/>
      <c r="P225" s="197"/>
      <c r="Q225" s="197"/>
      <c r="R225" s="197"/>
    </row>
    <row r="226" customFormat="false" ht="12" hidden="false" customHeight="false" outlineLevel="0" collapsed="false">
      <c r="B226" s="197"/>
      <c r="C226" s="197"/>
      <c r="E226" s="197"/>
      <c r="F226" s="197"/>
      <c r="G226" s="197"/>
      <c r="H226" s="197"/>
      <c r="I226" s="197"/>
      <c r="J226" s="130"/>
      <c r="K226" s="130"/>
      <c r="L226" s="197"/>
      <c r="M226" s="197"/>
      <c r="N226" s="197"/>
      <c r="O226" s="197"/>
      <c r="P226" s="197"/>
      <c r="Q226" s="197"/>
      <c r="R226" s="197"/>
    </row>
    <row r="227" customFormat="false" ht="12" hidden="false" customHeight="false" outlineLevel="0" collapsed="false">
      <c r="B227" s="197"/>
      <c r="C227" s="197"/>
      <c r="E227" s="197"/>
      <c r="F227" s="197"/>
      <c r="G227" s="197"/>
      <c r="H227" s="197"/>
      <c r="I227" s="197"/>
      <c r="J227" s="130"/>
      <c r="K227" s="130"/>
      <c r="L227" s="197"/>
      <c r="M227" s="197"/>
      <c r="N227" s="197"/>
      <c r="O227" s="197"/>
      <c r="P227" s="197"/>
      <c r="Q227" s="197"/>
      <c r="R227" s="197"/>
    </row>
    <row r="228" customFormat="false" ht="12" hidden="false" customHeight="false" outlineLevel="0" collapsed="false">
      <c r="B228" s="197"/>
      <c r="C228" s="197"/>
      <c r="E228" s="197"/>
      <c r="F228" s="197"/>
      <c r="G228" s="197"/>
      <c r="H228" s="197"/>
      <c r="I228" s="197"/>
      <c r="J228" s="130"/>
      <c r="K228" s="130"/>
      <c r="L228" s="197"/>
      <c r="M228" s="197"/>
      <c r="N228" s="197"/>
      <c r="O228" s="197"/>
      <c r="P228" s="197"/>
      <c r="Q228" s="197"/>
      <c r="R228" s="197"/>
    </row>
    <row r="229" customFormat="false" ht="12" hidden="false" customHeight="false" outlineLevel="0" collapsed="false">
      <c r="B229" s="197"/>
      <c r="C229" s="197"/>
      <c r="E229" s="197"/>
      <c r="F229" s="197"/>
      <c r="G229" s="197"/>
      <c r="H229" s="197"/>
      <c r="I229" s="197"/>
      <c r="J229" s="130"/>
      <c r="K229" s="130"/>
      <c r="L229" s="197"/>
      <c r="M229" s="197"/>
      <c r="N229" s="197"/>
      <c r="O229" s="197"/>
      <c r="P229" s="197"/>
      <c r="Q229" s="197"/>
      <c r="R229" s="197"/>
    </row>
    <row r="230" customFormat="false" ht="12" hidden="false" customHeight="false" outlineLevel="0" collapsed="false">
      <c r="B230" s="197"/>
      <c r="C230" s="197"/>
      <c r="E230" s="197"/>
      <c r="F230" s="197"/>
      <c r="G230" s="197"/>
      <c r="H230" s="197"/>
      <c r="I230" s="197"/>
      <c r="J230" s="130"/>
      <c r="K230" s="130"/>
      <c r="L230" s="197"/>
      <c r="M230" s="197"/>
      <c r="N230" s="197"/>
      <c r="O230" s="197"/>
      <c r="P230" s="197"/>
      <c r="Q230" s="197"/>
      <c r="R230" s="197"/>
    </row>
    <row r="231" customFormat="false" ht="12" hidden="false" customHeight="false" outlineLevel="0" collapsed="false">
      <c r="B231" s="197"/>
      <c r="C231" s="197"/>
      <c r="E231" s="197"/>
      <c r="F231" s="197"/>
      <c r="G231" s="197"/>
      <c r="H231" s="197"/>
      <c r="I231" s="197"/>
      <c r="J231" s="130"/>
      <c r="K231" s="130"/>
      <c r="L231" s="197"/>
      <c r="M231" s="197"/>
      <c r="N231" s="197"/>
      <c r="O231" s="197"/>
      <c r="P231" s="197"/>
      <c r="Q231" s="197"/>
      <c r="R231" s="197"/>
    </row>
    <row r="232" customFormat="false" ht="12" hidden="false" customHeight="false" outlineLevel="0" collapsed="false">
      <c r="B232" s="197"/>
      <c r="C232" s="197"/>
      <c r="E232" s="197"/>
      <c r="F232" s="197"/>
      <c r="G232" s="197"/>
      <c r="H232" s="197"/>
      <c r="I232" s="197"/>
      <c r="J232" s="130"/>
      <c r="K232" s="130"/>
      <c r="L232" s="197"/>
      <c r="M232" s="197"/>
      <c r="N232" s="197"/>
      <c r="O232" s="197"/>
      <c r="P232" s="197"/>
      <c r="Q232" s="197"/>
      <c r="R232" s="197"/>
    </row>
    <row r="233" customFormat="false" ht="12" hidden="false" customHeight="false" outlineLevel="0" collapsed="false">
      <c r="B233" s="197"/>
      <c r="C233" s="197"/>
      <c r="E233" s="197"/>
      <c r="F233" s="197"/>
      <c r="G233" s="197"/>
      <c r="H233" s="197"/>
      <c r="I233" s="197"/>
      <c r="J233" s="130"/>
      <c r="K233" s="130"/>
      <c r="L233" s="197"/>
      <c r="M233" s="197"/>
      <c r="N233" s="197"/>
      <c r="O233" s="197"/>
      <c r="P233" s="197"/>
      <c r="Q233" s="197"/>
      <c r="R233" s="197"/>
    </row>
    <row r="234" customFormat="false" ht="12" hidden="false" customHeight="false" outlineLevel="0" collapsed="false">
      <c r="B234" s="197"/>
      <c r="C234" s="197"/>
      <c r="E234" s="197"/>
      <c r="F234" s="197"/>
      <c r="G234" s="197"/>
      <c r="H234" s="197"/>
      <c r="I234" s="197"/>
      <c r="J234" s="130"/>
      <c r="K234" s="130"/>
      <c r="L234" s="197"/>
      <c r="M234" s="197"/>
      <c r="N234" s="197"/>
      <c r="O234" s="197"/>
      <c r="P234" s="197"/>
      <c r="Q234" s="197"/>
      <c r="R234" s="197"/>
    </row>
    <row r="235" customFormat="false" ht="12" hidden="false" customHeight="false" outlineLevel="0" collapsed="false">
      <c r="B235" s="197"/>
      <c r="C235" s="197"/>
      <c r="E235" s="197"/>
      <c r="F235" s="197"/>
      <c r="G235" s="197"/>
      <c r="H235" s="197"/>
      <c r="I235" s="197"/>
      <c r="J235" s="130"/>
      <c r="K235" s="130"/>
      <c r="L235" s="197"/>
      <c r="M235" s="197"/>
      <c r="N235" s="197"/>
      <c r="O235" s="197"/>
      <c r="P235" s="197"/>
      <c r="Q235" s="197"/>
      <c r="R235" s="197"/>
    </row>
    <row r="236" customFormat="false" ht="12" hidden="false" customHeight="false" outlineLevel="0" collapsed="false">
      <c r="B236" s="197"/>
      <c r="C236" s="197"/>
      <c r="E236" s="197"/>
      <c r="F236" s="197"/>
      <c r="G236" s="197"/>
      <c r="H236" s="197"/>
      <c r="I236" s="197"/>
      <c r="J236" s="130"/>
      <c r="K236" s="130"/>
      <c r="L236" s="197"/>
      <c r="M236" s="197"/>
      <c r="N236" s="197"/>
      <c r="O236" s="197"/>
      <c r="P236" s="197"/>
      <c r="Q236" s="197"/>
      <c r="R236" s="197"/>
    </row>
    <row r="237" customFormat="false" ht="12" hidden="false" customHeight="false" outlineLevel="0" collapsed="false">
      <c r="B237" s="197"/>
      <c r="C237" s="197"/>
      <c r="E237" s="197"/>
      <c r="F237" s="197"/>
      <c r="G237" s="197"/>
      <c r="H237" s="197"/>
      <c r="I237" s="197"/>
      <c r="J237" s="130"/>
      <c r="K237" s="130"/>
      <c r="L237" s="197"/>
      <c r="M237" s="197"/>
      <c r="N237" s="197"/>
      <c r="O237" s="197"/>
      <c r="P237" s="197"/>
      <c r="Q237" s="197"/>
      <c r="R237" s="197"/>
    </row>
    <row r="238" customFormat="false" ht="12" hidden="false" customHeight="false" outlineLevel="0" collapsed="false">
      <c r="B238" s="197"/>
      <c r="C238" s="197"/>
      <c r="E238" s="197"/>
      <c r="F238" s="197"/>
      <c r="G238" s="197"/>
      <c r="H238" s="197"/>
      <c r="I238" s="197"/>
      <c r="J238" s="130"/>
      <c r="K238" s="130"/>
      <c r="L238" s="197"/>
      <c r="M238" s="197"/>
      <c r="N238" s="197"/>
      <c r="O238" s="197"/>
      <c r="P238" s="197"/>
      <c r="Q238" s="197"/>
      <c r="R238" s="197"/>
    </row>
    <row r="239" customFormat="false" ht="12" hidden="false" customHeight="false" outlineLevel="0" collapsed="false">
      <c r="B239" s="197"/>
      <c r="C239" s="197"/>
      <c r="E239" s="197"/>
      <c r="F239" s="197"/>
      <c r="G239" s="197"/>
      <c r="H239" s="197"/>
      <c r="I239" s="197"/>
      <c r="J239" s="130"/>
      <c r="K239" s="130"/>
      <c r="L239" s="197"/>
      <c r="M239" s="197"/>
      <c r="N239" s="197"/>
      <c r="O239" s="197"/>
      <c r="P239" s="197"/>
      <c r="Q239" s="197"/>
      <c r="R239" s="197"/>
    </row>
    <row r="240" customFormat="false" ht="12" hidden="false" customHeight="false" outlineLevel="0" collapsed="false">
      <c r="B240" s="197"/>
      <c r="C240" s="197"/>
      <c r="E240" s="197"/>
      <c r="F240" s="197"/>
      <c r="G240" s="197"/>
      <c r="H240" s="197"/>
      <c r="I240" s="197"/>
      <c r="J240" s="130"/>
      <c r="K240" s="130"/>
      <c r="L240" s="197"/>
      <c r="M240" s="197"/>
      <c r="N240" s="197"/>
      <c r="O240" s="197"/>
      <c r="P240" s="197"/>
      <c r="Q240" s="197"/>
      <c r="R240" s="197"/>
    </row>
    <row r="241" customFormat="false" ht="12" hidden="false" customHeight="false" outlineLevel="0" collapsed="false">
      <c r="B241" s="197"/>
      <c r="C241" s="197"/>
      <c r="E241" s="197"/>
      <c r="F241" s="197"/>
      <c r="G241" s="197"/>
      <c r="H241" s="197"/>
      <c r="I241" s="197"/>
      <c r="J241" s="130"/>
      <c r="K241" s="130"/>
      <c r="L241" s="197"/>
      <c r="M241" s="197"/>
      <c r="N241" s="197"/>
      <c r="O241" s="197"/>
      <c r="P241" s="197"/>
      <c r="Q241" s="197"/>
      <c r="R241" s="197"/>
    </row>
    <row r="242" customFormat="false" ht="12" hidden="false" customHeight="false" outlineLevel="0" collapsed="false">
      <c r="B242" s="197"/>
      <c r="C242" s="197"/>
      <c r="E242" s="197"/>
      <c r="F242" s="197"/>
      <c r="G242" s="197"/>
      <c r="H242" s="197"/>
      <c r="I242" s="197"/>
      <c r="J242" s="130"/>
      <c r="K242" s="130"/>
      <c r="L242" s="197"/>
      <c r="M242" s="197"/>
      <c r="N242" s="197"/>
      <c r="O242" s="197"/>
      <c r="P242" s="197"/>
      <c r="Q242" s="197"/>
      <c r="R242" s="197"/>
    </row>
    <row r="243" customFormat="false" ht="12" hidden="false" customHeight="false" outlineLevel="0" collapsed="false">
      <c r="B243" s="197"/>
      <c r="C243" s="197"/>
      <c r="E243" s="197"/>
      <c r="F243" s="197"/>
      <c r="G243" s="197"/>
      <c r="H243" s="197"/>
      <c r="I243" s="197"/>
      <c r="J243" s="130"/>
      <c r="K243" s="130"/>
      <c r="L243" s="197"/>
      <c r="M243" s="197"/>
      <c r="N243" s="197"/>
      <c r="O243" s="197"/>
      <c r="P243" s="197"/>
      <c r="Q243" s="197"/>
      <c r="R243" s="197"/>
    </row>
    <row r="244" customFormat="false" ht="12" hidden="false" customHeight="false" outlineLevel="0" collapsed="false">
      <c r="B244" s="197"/>
      <c r="C244" s="197"/>
      <c r="E244" s="197"/>
      <c r="F244" s="197"/>
      <c r="G244" s="197"/>
      <c r="H244" s="197"/>
      <c r="I244" s="197"/>
      <c r="J244" s="130"/>
      <c r="K244" s="130"/>
      <c r="L244" s="197"/>
      <c r="M244" s="197"/>
      <c r="N244" s="197"/>
      <c r="O244" s="197"/>
      <c r="P244" s="197"/>
      <c r="Q244" s="197"/>
      <c r="R244" s="197"/>
    </row>
    <row r="245" customFormat="false" ht="12" hidden="false" customHeight="false" outlineLevel="0" collapsed="false">
      <c r="B245" s="197"/>
      <c r="C245" s="197"/>
      <c r="E245" s="197"/>
      <c r="F245" s="197"/>
      <c r="G245" s="197"/>
      <c r="H245" s="197"/>
      <c r="I245" s="197"/>
      <c r="J245" s="130"/>
      <c r="K245" s="130"/>
      <c r="L245" s="197"/>
      <c r="M245" s="197"/>
      <c r="N245" s="197"/>
      <c r="O245" s="197"/>
      <c r="P245" s="197"/>
      <c r="Q245" s="197"/>
      <c r="R245" s="197"/>
    </row>
    <row r="246" customFormat="false" ht="12" hidden="false" customHeight="false" outlineLevel="0" collapsed="false">
      <c r="B246" s="197"/>
      <c r="C246" s="197"/>
      <c r="E246" s="197"/>
      <c r="F246" s="197"/>
      <c r="G246" s="197"/>
      <c r="H246" s="197"/>
      <c r="I246" s="197"/>
      <c r="J246" s="130"/>
      <c r="K246" s="130"/>
      <c r="L246" s="197"/>
      <c r="M246" s="197"/>
      <c r="N246" s="197"/>
      <c r="O246" s="197"/>
      <c r="P246" s="197"/>
      <c r="Q246" s="197"/>
      <c r="R246" s="197"/>
    </row>
    <row r="247" customFormat="false" ht="12" hidden="false" customHeight="false" outlineLevel="0" collapsed="false">
      <c r="B247" s="197"/>
      <c r="C247" s="197"/>
      <c r="E247" s="197"/>
      <c r="F247" s="197"/>
      <c r="G247" s="197"/>
      <c r="H247" s="197"/>
      <c r="I247" s="197"/>
      <c r="J247" s="130"/>
      <c r="K247" s="130"/>
      <c r="L247" s="197"/>
      <c r="M247" s="197"/>
      <c r="N247" s="197"/>
      <c r="O247" s="197"/>
      <c r="P247" s="197"/>
      <c r="Q247" s="197"/>
      <c r="R247" s="197"/>
    </row>
    <row r="248" customFormat="false" ht="12" hidden="false" customHeight="false" outlineLevel="0" collapsed="false">
      <c r="B248" s="197"/>
      <c r="C248" s="197"/>
      <c r="E248" s="197"/>
      <c r="F248" s="197"/>
      <c r="G248" s="197"/>
      <c r="H248" s="197"/>
      <c r="I248" s="197"/>
      <c r="J248" s="130"/>
      <c r="K248" s="130"/>
      <c r="L248" s="197"/>
      <c r="M248" s="197"/>
      <c r="N248" s="197"/>
      <c r="O248" s="197"/>
      <c r="P248" s="197"/>
      <c r="Q248" s="197"/>
      <c r="R248" s="197"/>
    </row>
    <row r="249" customFormat="false" ht="12" hidden="false" customHeight="false" outlineLevel="0" collapsed="false">
      <c r="B249" s="197"/>
      <c r="C249" s="197"/>
      <c r="E249" s="197"/>
      <c r="F249" s="197"/>
      <c r="G249" s="197"/>
      <c r="H249" s="197"/>
      <c r="I249" s="197"/>
      <c r="J249" s="130"/>
      <c r="K249" s="130"/>
      <c r="L249" s="197"/>
      <c r="M249" s="197"/>
      <c r="N249" s="197"/>
      <c r="O249" s="197"/>
      <c r="P249" s="197"/>
      <c r="Q249" s="197"/>
      <c r="R249" s="197"/>
    </row>
    <row r="250" customFormat="false" ht="12" hidden="false" customHeight="false" outlineLevel="0" collapsed="false">
      <c r="B250" s="197"/>
      <c r="C250" s="197"/>
      <c r="E250" s="197"/>
      <c r="F250" s="197"/>
      <c r="G250" s="197"/>
      <c r="H250" s="197"/>
      <c r="I250" s="197"/>
      <c r="J250" s="130"/>
      <c r="K250" s="130"/>
      <c r="L250" s="197"/>
      <c r="M250" s="197"/>
      <c r="N250" s="197"/>
      <c r="O250" s="197"/>
      <c r="P250" s="197"/>
      <c r="Q250" s="197"/>
      <c r="R250" s="197"/>
    </row>
    <row r="251" customFormat="false" ht="12" hidden="false" customHeight="false" outlineLevel="0" collapsed="false">
      <c r="B251" s="197"/>
      <c r="C251" s="197"/>
      <c r="E251" s="197"/>
      <c r="F251" s="197"/>
      <c r="G251" s="197"/>
      <c r="H251" s="197"/>
      <c r="I251" s="197"/>
      <c r="J251" s="130"/>
      <c r="K251" s="130"/>
      <c r="L251" s="197"/>
      <c r="M251" s="197"/>
      <c r="N251" s="197"/>
      <c r="O251" s="197"/>
      <c r="P251" s="197"/>
      <c r="Q251" s="197"/>
      <c r="R251" s="197"/>
    </row>
    <row r="252" customFormat="false" ht="12" hidden="false" customHeight="false" outlineLevel="0" collapsed="false">
      <c r="B252" s="197"/>
      <c r="C252" s="197"/>
      <c r="E252" s="197"/>
      <c r="F252" s="197"/>
      <c r="G252" s="197"/>
      <c r="H252" s="197"/>
      <c r="I252" s="197"/>
      <c r="J252" s="130"/>
      <c r="K252" s="130"/>
      <c r="L252" s="197"/>
      <c r="M252" s="197"/>
      <c r="N252" s="197"/>
      <c r="O252" s="197"/>
      <c r="P252" s="197"/>
      <c r="Q252" s="197"/>
      <c r="R252" s="197"/>
    </row>
    <row r="253" customFormat="false" ht="12" hidden="false" customHeight="false" outlineLevel="0" collapsed="false">
      <c r="B253" s="197"/>
      <c r="C253" s="197"/>
      <c r="E253" s="197"/>
      <c r="F253" s="197"/>
      <c r="G253" s="197"/>
      <c r="H253" s="197"/>
      <c r="I253" s="197"/>
      <c r="J253" s="130"/>
      <c r="K253" s="130"/>
      <c r="L253" s="197"/>
      <c r="M253" s="197"/>
      <c r="N253" s="197"/>
      <c r="O253" s="197"/>
      <c r="P253" s="197"/>
      <c r="Q253" s="197"/>
      <c r="R253" s="197"/>
    </row>
    <row r="254" customFormat="false" ht="12" hidden="false" customHeight="false" outlineLevel="0" collapsed="false">
      <c r="B254" s="197"/>
      <c r="C254" s="197"/>
      <c r="E254" s="197"/>
      <c r="F254" s="197"/>
      <c r="G254" s="197"/>
      <c r="H254" s="197"/>
      <c r="I254" s="197"/>
      <c r="J254" s="130"/>
      <c r="K254" s="130"/>
      <c r="L254" s="197"/>
      <c r="M254" s="197"/>
      <c r="N254" s="197"/>
      <c r="O254" s="197"/>
      <c r="P254" s="197"/>
      <c r="Q254" s="197"/>
      <c r="R254" s="197"/>
    </row>
    <row r="255" customFormat="false" ht="12" hidden="false" customHeight="false" outlineLevel="0" collapsed="false">
      <c r="B255" s="197"/>
      <c r="C255" s="197"/>
      <c r="E255" s="197"/>
      <c r="F255" s="197"/>
      <c r="G255" s="197"/>
      <c r="H255" s="197"/>
      <c r="I255" s="197"/>
      <c r="J255" s="130"/>
      <c r="K255" s="130"/>
      <c r="L255" s="197"/>
      <c r="M255" s="197"/>
      <c r="N255" s="197"/>
      <c r="O255" s="197"/>
      <c r="P255" s="197"/>
      <c r="Q255" s="197"/>
      <c r="R255" s="197"/>
    </row>
    <row r="256" customFormat="false" ht="12" hidden="false" customHeight="false" outlineLevel="0" collapsed="false">
      <c r="B256" s="197"/>
      <c r="C256" s="197"/>
      <c r="E256" s="197"/>
      <c r="F256" s="197"/>
      <c r="G256" s="197"/>
      <c r="H256" s="197"/>
      <c r="I256" s="197"/>
      <c r="J256" s="130"/>
      <c r="K256" s="130"/>
      <c r="L256" s="197"/>
      <c r="M256" s="197"/>
      <c r="N256" s="197"/>
      <c r="O256" s="197"/>
      <c r="P256" s="197"/>
      <c r="Q256" s="197"/>
      <c r="R256" s="197"/>
    </row>
    <row r="257" customFormat="false" ht="12" hidden="false" customHeight="false" outlineLevel="0" collapsed="false">
      <c r="B257" s="197"/>
      <c r="C257" s="197"/>
      <c r="E257" s="197"/>
      <c r="F257" s="197"/>
      <c r="G257" s="197"/>
      <c r="H257" s="197"/>
      <c r="I257" s="197"/>
      <c r="J257" s="130"/>
      <c r="K257" s="130"/>
      <c r="L257" s="197"/>
      <c r="M257" s="197"/>
      <c r="N257" s="197"/>
      <c r="O257" s="197"/>
      <c r="P257" s="197"/>
      <c r="Q257" s="197"/>
      <c r="R257" s="197"/>
    </row>
    <row r="258" customFormat="false" ht="12" hidden="false" customHeight="false" outlineLevel="0" collapsed="false">
      <c r="B258" s="197"/>
      <c r="C258" s="197"/>
      <c r="E258" s="197"/>
      <c r="F258" s="197"/>
      <c r="G258" s="197"/>
      <c r="H258" s="197"/>
      <c r="I258" s="197"/>
      <c r="J258" s="130"/>
      <c r="K258" s="130"/>
      <c r="L258" s="197"/>
      <c r="M258" s="197"/>
      <c r="N258" s="197"/>
      <c r="O258" s="197"/>
      <c r="P258" s="197"/>
      <c r="Q258" s="197"/>
      <c r="R258" s="197"/>
    </row>
    <row r="259" customFormat="false" ht="12" hidden="false" customHeight="false" outlineLevel="0" collapsed="false">
      <c r="B259" s="197"/>
      <c r="C259" s="197"/>
      <c r="E259" s="197"/>
      <c r="F259" s="197"/>
      <c r="G259" s="197"/>
      <c r="H259" s="197"/>
      <c r="I259" s="197"/>
      <c r="J259" s="130"/>
      <c r="K259" s="130"/>
      <c r="L259" s="197"/>
      <c r="M259" s="197"/>
      <c r="N259" s="197"/>
      <c r="O259" s="197"/>
      <c r="P259" s="197"/>
      <c r="Q259" s="197"/>
      <c r="R259" s="197"/>
    </row>
    <row r="260" customFormat="false" ht="12" hidden="false" customHeight="false" outlineLevel="0" collapsed="false">
      <c r="B260" s="197"/>
      <c r="C260" s="197"/>
      <c r="E260" s="197"/>
      <c r="F260" s="197"/>
      <c r="G260" s="197"/>
      <c r="H260" s="197"/>
      <c r="I260" s="197"/>
      <c r="J260" s="130"/>
      <c r="K260" s="130"/>
      <c r="L260" s="197"/>
      <c r="M260" s="197"/>
      <c r="N260" s="197"/>
      <c r="O260" s="197"/>
      <c r="P260" s="197"/>
      <c r="Q260" s="197"/>
      <c r="R260" s="197"/>
    </row>
    <row r="261" customFormat="false" ht="12" hidden="false" customHeight="false" outlineLevel="0" collapsed="false">
      <c r="B261" s="197"/>
      <c r="C261" s="197"/>
      <c r="E261" s="197"/>
      <c r="F261" s="197"/>
      <c r="G261" s="197"/>
      <c r="H261" s="197"/>
      <c r="I261" s="197"/>
      <c r="J261" s="130"/>
      <c r="K261" s="130"/>
      <c r="L261" s="197"/>
      <c r="M261" s="197"/>
      <c r="N261" s="197"/>
      <c r="O261" s="197"/>
      <c r="P261" s="197"/>
      <c r="Q261" s="197"/>
      <c r="R261" s="197"/>
    </row>
    <row r="262" customFormat="false" ht="12" hidden="false" customHeight="false" outlineLevel="0" collapsed="false">
      <c r="B262" s="197"/>
      <c r="C262" s="197"/>
      <c r="E262" s="197"/>
      <c r="F262" s="197"/>
      <c r="G262" s="197"/>
      <c r="H262" s="197"/>
      <c r="I262" s="197"/>
      <c r="J262" s="130"/>
      <c r="K262" s="130"/>
      <c r="L262" s="197"/>
      <c r="M262" s="197"/>
      <c r="N262" s="197"/>
      <c r="O262" s="197"/>
      <c r="P262" s="197"/>
      <c r="Q262" s="197"/>
      <c r="R262" s="197"/>
    </row>
    <row r="263" customFormat="false" ht="12" hidden="false" customHeight="false" outlineLevel="0" collapsed="false">
      <c r="B263" s="197"/>
      <c r="C263" s="197"/>
      <c r="E263" s="197"/>
      <c r="F263" s="197"/>
      <c r="G263" s="197"/>
      <c r="H263" s="197"/>
      <c r="I263" s="197"/>
      <c r="J263" s="130"/>
      <c r="K263" s="130"/>
      <c r="L263" s="197"/>
      <c r="M263" s="197"/>
      <c r="N263" s="197"/>
      <c r="O263" s="197"/>
      <c r="P263" s="197"/>
      <c r="Q263" s="197"/>
      <c r="R263" s="197"/>
    </row>
    <row r="264" customFormat="false" ht="12" hidden="false" customHeight="false" outlineLevel="0" collapsed="false">
      <c r="B264" s="197"/>
      <c r="C264" s="197"/>
      <c r="E264" s="197"/>
      <c r="F264" s="197"/>
      <c r="G264" s="197"/>
      <c r="H264" s="197"/>
      <c r="I264" s="197"/>
      <c r="J264" s="130"/>
      <c r="K264" s="130"/>
      <c r="L264" s="197"/>
      <c r="M264" s="197"/>
      <c r="N264" s="197"/>
      <c r="O264" s="197"/>
      <c r="P264" s="197"/>
      <c r="Q264" s="197"/>
      <c r="R264" s="197"/>
    </row>
    <row r="265" customFormat="false" ht="12" hidden="false" customHeight="false" outlineLevel="0" collapsed="false">
      <c r="B265" s="197"/>
      <c r="C265" s="197"/>
      <c r="E265" s="197"/>
      <c r="F265" s="197"/>
      <c r="G265" s="197"/>
      <c r="H265" s="197"/>
      <c r="I265" s="197"/>
      <c r="J265" s="130"/>
      <c r="K265" s="130"/>
      <c r="L265" s="197"/>
      <c r="M265" s="197"/>
      <c r="N265" s="197"/>
      <c r="O265" s="197"/>
      <c r="P265" s="197"/>
      <c r="Q265" s="197"/>
      <c r="R265" s="197"/>
    </row>
    <row r="266" customFormat="false" ht="12" hidden="false" customHeight="false" outlineLevel="0" collapsed="false">
      <c r="B266" s="197"/>
      <c r="C266" s="197"/>
      <c r="E266" s="197"/>
      <c r="F266" s="197"/>
      <c r="G266" s="197"/>
      <c r="H266" s="197"/>
      <c r="I266" s="197"/>
      <c r="J266" s="130"/>
      <c r="K266" s="130"/>
      <c r="L266" s="197"/>
      <c r="M266" s="197"/>
      <c r="N266" s="197"/>
      <c r="O266" s="197"/>
      <c r="P266" s="197"/>
      <c r="Q266" s="197"/>
      <c r="R266" s="197"/>
    </row>
    <row r="267" customFormat="false" ht="12" hidden="false" customHeight="false" outlineLevel="0" collapsed="false">
      <c r="B267" s="197"/>
      <c r="C267" s="197"/>
      <c r="E267" s="197"/>
      <c r="F267" s="197"/>
      <c r="G267" s="197"/>
      <c r="H267" s="197"/>
      <c r="I267" s="197"/>
      <c r="J267" s="130"/>
      <c r="K267" s="130"/>
      <c r="L267" s="197"/>
      <c r="M267" s="197"/>
      <c r="N267" s="197"/>
      <c r="O267" s="197"/>
      <c r="P267" s="197"/>
      <c r="Q267" s="197"/>
      <c r="R267" s="197"/>
    </row>
    <row r="268" customFormat="false" ht="12" hidden="false" customHeight="false" outlineLevel="0" collapsed="false">
      <c r="B268" s="197"/>
      <c r="C268" s="197"/>
      <c r="E268" s="197"/>
      <c r="F268" s="197"/>
      <c r="G268" s="197"/>
      <c r="H268" s="197"/>
      <c r="I268" s="197"/>
      <c r="J268" s="130"/>
      <c r="K268" s="130"/>
      <c r="L268" s="197"/>
      <c r="M268" s="197"/>
      <c r="N268" s="197"/>
      <c r="O268" s="197"/>
      <c r="P268" s="197"/>
      <c r="Q268" s="197"/>
      <c r="R268" s="197"/>
    </row>
    <row r="269" customFormat="false" ht="12" hidden="false" customHeight="false" outlineLevel="0" collapsed="false">
      <c r="B269" s="197"/>
      <c r="C269" s="197"/>
      <c r="E269" s="197"/>
      <c r="F269" s="197"/>
      <c r="G269" s="197"/>
      <c r="H269" s="197"/>
      <c r="I269" s="197"/>
      <c r="J269" s="130"/>
      <c r="K269" s="130"/>
      <c r="L269" s="197"/>
      <c r="M269" s="197"/>
      <c r="N269" s="197"/>
      <c r="O269" s="197"/>
      <c r="P269" s="197"/>
      <c r="Q269" s="197"/>
      <c r="R269" s="197"/>
    </row>
    <row r="270" customFormat="false" ht="12" hidden="false" customHeight="false" outlineLevel="0" collapsed="false">
      <c r="B270" s="197"/>
      <c r="C270" s="197"/>
      <c r="E270" s="197"/>
      <c r="F270" s="197"/>
      <c r="G270" s="197"/>
      <c r="H270" s="197"/>
      <c r="I270" s="197"/>
      <c r="J270" s="130"/>
      <c r="K270" s="130"/>
      <c r="L270" s="197"/>
      <c r="M270" s="197"/>
      <c r="N270" s="197"/>
      <c r="O270" s="197"/>
      <c r="P270" s="197"/>
      <c r="Q270" s="197"/>
      <c r="R270" s="197"/>
    </row>
    <row r="271" customFormat="false" ht="12" hidden="false" customHeight="false" outlineLevel="0" collapsed="false">
      <c r="B271" s="197"/>
      <c r="C271" s="197"/>
      <c r="E271" s="197"/>
      <c r="F271" s="197"/>
      <c r="G271" s="197"/>
      <c r="H271" s="197"/>
      <c r="I271" s="197"/>
      <c r="J271" s="130"/>
      <c r="K271" s="130"/>
      <c r="L271" s="197"/>
      <c r="M271" s="197"/>
      <c r="N271" s="197"/>
      <c r="O271" s="197"/>
      <c r="P271" s="197"/>
      <c r="Q271" s="197"/>
      <c r="R271" s="197"/>
    </row>
    <row r="272" customFormat="false" ht="12" hidden="false" customHeight="false" outlineLevel="0" collapsed="false">
      <c r="B272" s="197"/>
      <c r="C272" s="197"/>
      <c r="E272" s="197"/>
      <c r="F272" s="197"/>
      <c r="G272" s="197"/>
      <c r="H272" s="197"/>
      <c r="I272" s="197"/>
      <c r="J272" s="130"/>
      <c r="K272" s="130"/>
      <c r="L272" s="197"/>
      <c r="M272" s="197"/>
      <c r="N272" s="197"/>
      <c r="O272" s="197"/>
      <c r="P272" s="197"/>
      <c r="Q272" s="197"/>
      <c r="R272" s="197"/>
    </row>
    <row r="273" customFormat="false" ht="12" hidden="false" customHeight="false" outlineLevel="0" collapsed="false">
      <c r="B273" s="197"/>
      <c r="C273" s="197"/>
      <c r="E273" s="197"/>
      <c r="F273" s="197"/>
      <c r="G273" s="197"/>
      <c r="H273" s="197"/>
      <c r="I273" s="197"/>
      <c r="J273" s="130"/>
      <c r="K273" s="130"/>
      <c r="L273" s="197"/>
      <c r="M273" s="197"/>
      <c r="N273" s="197"/>
      <c r="O273" s="197"/>
      <c r="P273" s="197"/>
      <c r="Q273" s="197"/>
      <c r="R273" s="197"/>
    </row>
    <row r="274" customFormat="false" ht="12" hidden="false" customHeight="false" outlineLevel="0" collapsed="false">
      <c r="B274" s="197"/>
      <c r="C274" s="197"/>
      <c r="E274" s="197"/>
      <c r="F274" s="197"/>
      <c r="G274" s="197"/>
      <c r="H274" s="197"/>
      <c r="I274" s="197"/>
      <c r="J274" s="130"/>
      <c r="K274" s="130"/>
      <c r="L274" s="197"/>
      <c r="M274" s="197"/>
      <c r="N274" s="197"/>
      <c r="O274" s="197"/>
      <c r="P274" s="197"/>
      <c r="Q274" s="197"/>
      <c r="R274" s="197"/>
    </row>
    <row r="275" customFormat="false" ht="12" hidden="false" customHeight="false" outlineLevel="0" collapsed="false">
      <c r="B275" s="197"/>
      <c r="C275" s="197"/>
      <c r="E275" s="197"/>
      <c r="F275" s="197"/>
      <c r="G275" s="197"/>
      <c r="H275" s="197"/>
      <c r="I275" s="197"/>
      <c r="J275" s="130"/>
      <c r="K275" s="130"/>
      <c r="L275" s="197"/>
      <c r="M275" s="197"/>
      <c r="N275" s="197"/>
      <c r="O275" s="197"/>
      <c r="P275" s="197"/>
      <c r="Q275" s="197"/>
      <c r="R275" s="197"/>
    </row>
    <row r="276" customFormat="false" ht="12" hidden="false" customHeight="false" outlineLevel="0" collapsed="false">
      <c r="B276" s="197"/>
      <c r="C276" s="197"/>
      <c r="E276" s="197"/>
      <c r="F276" s="197"/>
      <c r="G276" s="197"/>
      <c r="H276" s="197"/>
      <c r="I276" s="197"/>
      <c r="J276" s="130"/>
      <c r="K276" s="130"/>
      <c r="L276" s="197"/>
      <c r="M276" s="197"/>
      <c r="N276" s="197"/>
      <c r="O276" s="197"/>
      <c r="P276" s="197"/>
      <c r="Q276" s="197"/>
      <c r="R276" s="197"/>
    </row>
    <row r="277" customFormat="false" ht="12" hidden="false" customHeight="false" outlineLevel="0" collapsed="false">
      <c r="B277" s="197"/>
      <c r="C277" s="197"/>
      <c r="E277" s="197"/>
      <c r="F277" s="197"/>
      <c r="G277" s="197"/>
      <c r="H277" s="197"/>
      <c r="I277" s="197"/>
      <c r="J277" s="130"/>
      <c r="K277" s="130"/>
      <c r="L277" s="197"/>
      <c r="M277" s="197"/>
      <c r="N277" s="197"/>
      <c r="O277" s="197"/>
      <c r="P277" s="197"/>
      <c r="Q277" s="197"/>
      <c r="R277" s="197"/>
    </row>
    <row r="278" customFormat="false" ht="12" hidden="false" customHeight="false" outlineLevel="0" collapsed="false">
      <c r="B278" s="197"/>
      <c r="C278" s="197"/>
      <c r="E278" s="197"/>
      <c r="F278" s="197"/>
      <c r="G278" s="197"/>
      <c r="H278" s="197"/>
      <c r="I278" s="197"/>
      <c r="J278" s="130"/>
      <c r="K278" s="130"/>
      <c r="L278" s="197"/>
      <c r="M278" s="197"/>
      <c r="N278" s="197"/>
      <c r="O278" s="197"/>
      <c r="P278" s="197"/>
      <c r="Q278" s="197"/>
      <c r="R278" s="197"/>
    </row>
    <row r="279" customFormat="false" ht="12" hidden="false" customHeight="false" outlineLevel="0" collapsed="false">
      <c r="B279" s="197"/>
      <c r="C279" s="197"/>
      <c r="E279" s="197"/>
      <c r="F279" s="197"/>
      <c r="G279" s="197"/>
      <c r="H279" s="197"/>
      <c r="I279" s="197"/>
      <c r="J279" s="130"/>
      <c r="K279" s="130"/>
      <c r="L279" s="197"/>
      <c r="M279" s="197"/>
      <c r="N279" s="197"/>
      <c r="O279" s="197"/>
      <c r="P279" s="197"/>
      <c r="Q279" s="197"/>
      <c r="R279" s="197"/>
    </row>
    <row r="280" customFormat="false" ht="12" hidden="false" customHeight="false" outlineLevel="0" collapsed="false">
      <c r="B280" s="197"/>
      <c r="C280" s="197"/>
      <c r="E280" s="197"/>
      <c r="F280" s="197"/>
      <c r="G280" s="197"/>
      <c r="H280" s="197"/>
      <c r="I280" s="197"/>
      <c r="J280" s="130"/>
      <c r="K280" s="130"/>
      <c r="L280" s="197"/>
      <c r="M280" s="197"/>
      <c r="N280" s="197"/>
      <c r="O280" s="197"/>
      <c r="P280" s="197"/>
      <c r="Q280" s="197"/>
      <c r="R280" s="197"/>
    </row>
    <row r="281" customFormat="false" ht="12" hidden="false" customHeight="false" outlineLevel="0" collapsed="false">
      <c r="B281" s="197"/>
      <c r="C281" s="197"/>
      <c r="E281" s="197"/>
      <c r="F281" s="197"/>
      <c r="G281" s="197"/>
      <c r="H281" s="197"/>
      <c r="I281" s="197"/>
      <c r="J281" s="130"/>
      <c r="K281" s="130"/>
      <c r="L281" s="197"/>
      <c r="M281" s="197"/>
      <c r="N281" s="197"/>
      <c r="O281" s="197"/>
      <c r="P281" s="197"/>
      <c r="Q281" s="197"/>
      <c r="R281" s="197"/>
    </row>
    <row r="282" customFormat="false" ht="12" hidden="false" customHeight="false" outlineLevel="0" collapsed="false">
      <c r="B282" s="197"/>
      <c r="C282" s="197"/>
      <c r="E282" s="197"/>
      <c r="F282" s="197"/>
      <c r="G282" s="197"/>
      <c r="H282" s="197"/>
      <c r="I282" s="197"/>
      <c r="J282" s="130"/>
      <c r="K282" s="130"/>
      <c r="L282" s="197"/>
      <c r="M282" s="197"/>
      <c r="N282" s="197"/>
      <c r="O282" s="197"/>
      <c r="P282" s="197"/>
      <c r="Q282" s="197"/>
      <c r="R282" s="197"/>
    </row>
    <row r="283" customFormat="false" ht="12" hidden="false" customHeight="false" outlineLevel="0" collapsed="false">
      <c r="B283" s="197"/>
      <c r="C283" s="197"/>
      <c r="E283" s="197"/>
      <c r="F283" s="197"/>
      <c r="G283" s="197"/>
      <c r="H283" s="197"/>
      <c r="I283" s="197"/>
      <c r="J283" s="130"/>
      <c r="K283" s="130"/>
      <c r="L283" s="197"/>
      <c r="M283" s="197"/>
      <c r="N283" s="197"/>
      <c r="O283" s="197"/>
      <c r="P283" s="197"/>
      <c r="Q283" s="197"/>
      <c r="R283" s="197"/>
    </row>
    <row r="284" customFormat="false" ht="12" hidden="false" customHeight="false" outlineLevel="0" collapsed="false">
      <c r="B284" s="197"/>
      <c r="C284" s="197"/>
      <c r="E284" s="197"/>
      <c r="F284" s="197"/>
      <c r="G284" s="197"/>
      <c r="H284" s="197"/>
      <c r="I284" s="197"/>
      <c r="J284" s="130"/>
      <c r="K284" s="130"/>
      <c r="L284" s="197"/>
      <c r="M284" s="197"/>
      <c r="N284" s="197"/>
      <c r="O284" s="197"/>
      <c r="P284" s="197"/>
      <c r="Q284" s="197"/>
      <c r="R284" s="197"/>
    </row>
    <row r="285" customFormat="false" ht="12" hidden="false" customHeight="false" outlineLevel="0" collapsed="false">
      <c r="B285" s="197"/>
      <c r="C285" s="197"/>
      <c r="E285" s="197"/>
      <c r="F285" s="197"/>
      <c r="G285" s="197"/>
      <c r="H285" s="197"/>
      <c r="I285" s="197"/>
      <c r="J285" s="130"/>
      <c r="K285" s="130"/>
      <c r="L285" s="197"/>
      <c r="M285" s="197"/>
      <c r="N285" s="197"/>
      <c r="O285" s="197"/>
      <c r="P285" s="197"/>
      <c r="Q285" s="197"/>
      <c r="R285" s="197"/>
    </row>
    <row r="286" customFormat="false" ht="12" hidden="false" customHeight="false" outlineLevel="0" collapsed="false">
      <c r="B286" s="197"/>
      <c r="C286" s="197"/>
      <c r="E286" s="197"/>
      <c r="F286" s="197"/>
      <c r="G286" s="197"/>
      <c r="H286" s="197"/>
      <c r="I286" s="197"/>
      <c r="J286" s="130"/>
      <c r="K286" s="130"/>
      <c r="L286" s="197"/>
      <c r="M286" s="197"/>
      <c r="N286" s="197"/>
      <c r="O286" s="197"/>
      <c r="P286" s="197"/>
      <c r="Q286" s="197"/>
      <c r="R286" s="197"/>
    </row>
    <row r="287" customFormat="false" ht="12" hidden="false" customHeight="false" outlineLevel="0" collapsed="false">
      <c r="B287" s="197"/>
      <c r="C287" s="197"/>
      <c r="E287" s="197"/>
      <c r="F287" s="197"/>
      <c r="G287" s="197"/>
      <c r="H287" s="197"/>
      <c r="I287" s="197"/>
      <c r="J287" s="130"/>
      <c r="K287" s="130"/>
      <c r="L287" s="197"/>
      <c r="M287" s="197"/>
      <c r="N287" s="197"/>
      <c r="O287" s="197"/>
      <c r="P287" s="197"/>
      <c r="Q287" s="197"/>
      <c r="R287" s="197"/>
    </row>
    <row r="288" customFormat="false" ht="12" hidden="false" customHeight="false" outlineLevel="0" collapsed="false">
      <c r="B288" s="197"/>
      <c r="C288" s="197"/>
      <c r="E288" s="197"/>
      <c r="F288" s="197"/>
      <c r="G288" s="197"/>
      <c r="H288" s="197"/>
      <c r="I288" s="197"/>
      <c r="J288" s="130"/>
      <c r="K288" s="130"/>
      <c r="L288" s="197"/>
      <c r="M288" s="197"/>
      <c r="N288" s="197"/>
      <c r="O288" s="197"/>
      <c r="P288" s="197"/>
      <c r="Q288" s="197"/>
      <c r="R288" s="197"/>
    </row>
    <row r="289" customFormat="false" ht="12" hidden="false" customHeight="false" outlineLevel="0" collapsed="false">
      <c r="B289" s="197"/>
      <c r="C289" s="197"/>
      <c r="E289" s="197"/>
      <c r="F289" s="197"/>
      <c r="G289" s="197"/>
      <c r="H289" s="197"/>
      <c r="I289" s="197"/>
      <c r="J289" s="130"/>
      <c r="K289" s="130"/>
      <c r="L289" s="197"/>
      <c r="M289" s="197"/>
      <c r="N289" s="197"/>
      <c r="O289" s="197"/>
      <c r="P289" s="197"/>
      <c r="Q289" s="197"/>
      <c r="R289" s="197"/>
    </row>
    <row r="290" customFormat="false" ht="12" hidden="false" customHeight="false" outlineLevel="0" collapsed="false">
      <c r="B290" s="197"/>
      <c r="C290" s="197"/>
      <c r="E290" s="197"/>
      <c r="F290" s="197"/>
      <c r="G290" s="197"/>
      <c r="H290" s="197"/>
      <c r="I290" s="197"/>
      <c r="J290" s="130"/>
      <c r="K290" s="130"/>
      <c r="L290" s="197"/>
      <c r="M290" s="197"/>
      <c r="N290" s="197"/>
      <c r="O290" s="197"/>
      <c r="P290" s="197"/>
      <c r="Q290" s="197"/>
      <c r="R290" s="197"/>
    </row>
    <row r="291" customFormat="false" ht="12" hidden="false" customHeight="false" outlineLevel="0" collapsed="false">
      <c r="B291" s="197"/>
      <c r="C291" s="197"/>
      <c r="E291" s="197"/>
      <c r="F291" s="197"/>
      <c r="G291" s="197"/>
      <c r="H291" s="197"/>
      <c r="I291" s="197"/>
      <c r="J291" s="130"/>
      <c r="K291" s="130"/>
      <c r="L291" s="197"/>
      <c r="M291" s="197"/>
      <c r="N291" s="197"/>
      <c r="O291" s="197"/>
      <c r="P291" s="197"/>
      <c r="Q291" s="197"/>
      <c r="R291" s="197"/>
    </row>
    <row r="292" customFormat="false" ht="12" hidden="false" customHeight="false" outlineLevel="0" collapsed="false">
      <c r="B292" s="197"/>
      <c r="C292" s="197"/>
      <c r="E292" s="197"/>
      <c r="F292" s="197"/>
      <c r="G292" s="197"/>
      <c r="H292" s="197"/>
      <c r="I292" s="197"/>
      <c r="J292" s="130"/>
      <c r="K292" s="130"/>
      <c r="L292" s="197"/>
      <c r="M292" s="197"/>
      <c r="N292" s="197"/>
      <c r="O292" s="197"/>
      <c r="P292" s="197"/>
      <c r="Q292" s="197"/>
      <c r="R292" s="197"/>
    </row>
    <row r="293" customFormat="false" ht="12" hidden="false" customHeight="false" outlineLevel="0" collapsed="false">
      <c r="B293" s="197"/>
      <c r="C293" s="197"/>
      <c r="E293" s="197"/>
      <c r="F293" s="197"/>
      <c r="G293" s="197"/>
      <c r="H293" s="197"/>
      <c r="I293" s="197"/>
      <c r="J293" s="130"/>
      <c r="K293" s="130"/>
      <c r="L293" s="197"/>
      <c r="M293" s="197"/>
      <c r="N293" s="197"/>
      <c r="O293" s="197"/>
      <c r="P293" s="197"/>
      <c r="Q293" s="197"/>
      <c r="R293" s="197"/>
    </row>
    <row r="294" customFormat="false" ht="12" hidden="false" customHeight="false" outlineLevel="0" collapsed="false">
      <c r="B294" s="197"/>
      <c r="C294" s="197"/>
      <c r="E294" s="197"/>
      <c r="F294" s="197"/>
      <c r="G294" s="197"/>
      <c r="H294" s="197"/>
      <c r="I294" s="197"/>
      <c r="J294" s="130"/>
      <c r="K294" s="130"/>
      <c r="L294" s="197"/>
      <c r="M294" s="197"/>
      <c r="N294" s="197"/>
      <c r="O294" s="197"/>
      <c r="P294" s="197"/>
      <c r="Q294" s="197"/>
      <c r="R294" s="197"/>
    </row>
    <row r="295" customFormat="false" ht="12" hidden="false" customHeight="false" outlineLevel="0" collapsed="false">
      <c r="B295" s="197"/>
      <c r="C295" s="197"/>
      <c r="E295" s="197"/>
      <c r="F295" s="197"/>
      <c r="G295" s="197"/>
      <c r="H295" s="197"/>
      <c r="I295" s="197"/>
      <c r="J295" s="130"/>
      <c r="K295" s="130"/>
      <c r="L295" s="197"/>
      <c r="M295" s="197"/>
      <c r="N295" s="197"/>
      <c r="O295" s="197"/>
      <c r="P295" s="197"/>
      <c r="Q295" s="197"/>
      <c r="R295" s="197"/>
    </row>
    <row r="296" customFormat="false" ht="12" hidden="false" customHeight="false" outlineLevel="0" collapsed="false">
      <c r="B296" s="197"/>
      <c r="C296" s="197"/>
      <c r="E296" s="197"/>
      <c r="F296" s="197"/>
      <c r="G296" s="197"/>
      <c r="H296" s="197"/>
      <c r="I296" s="197"/>
      <c r="J296" s="130"/>
      <c r="K296" s="130"/>
      <c r="L296" s="197"/>
      <c r="M296" s="197"/>
      <c r="N296" s="197"/>
      <c r="O296" s="197"/>
      <c r="P296" s="197"/>
      <c r="Q296" s="197"/>
      <c r="R296" s="197"/>
    </row>
    <row r="297" customFormat="false" ht="12" hidden="false" customHeight="false" outlineLevel="0" collapsed="false">
      <c r="B297" s="197"/>
      <c r="C297" s="197"/>
      <c r="E297" s="197"/>
      <c r="F297" s="197"/>
      <c r="G297" s="197"/>
      <c r="H297" s="197"/>
      <c r="I297" s="197"/>
      <c r="J297" s="130"/>
      <c r="K297" s="130"/>
      <c r="L297" s="197"/>
      <c r="M297" s="197"/>
      <c r="N297" s="197"/>
      <c r="O297" s="197"/>
      <c r="P297" s="197"/>
      <c r="Q297" s="197"/>
      <c r="R297" s="197"/>
    </row>
    <row r="298" customFormat="false" ht="12" hidden="false" customHeight="false" outlineLevel="0" collapsed="false">
      <c r="B298" s="197"/>
      <c r="C298" s="197"/>
      <c r="E298" s="197"/>
      <c r="F298" s="197"/>
      <c r="G298" s="197"/>
      <c r="H298" s="197"/>
      <c r="I298" s="197"/>
      <c r="J298" s="130"/>
      <c r="K298" s="130"/>
      <c r="L298" s="197"/>
      <c r="M298" s="197"/>
      <c r="N298" s="197"/>
      <c r="O298" s="197"/>
      <c r="P298" s="197"/>
      <c r="Q298" s="197"/>
      <c r="R298" s="197"/>
    </row>
    <row r="299" customFormat="false" ht="12" hidden="false" customHeight="false" outlineLevel="0" collapsed="false">
      <c r="B299" s="197"/>
      <c r="C299" s="197"/>
      <c r="E299" s="197"/>
      <c r="F299" s="197"/>
      <c r="G299" s="197"/>
      <c r="H299" s="197"/>
      <c r="I299" s="197"/>
      <c r="J299" s="130"/>
      <c r="K299" s="130"/>
      <c r="L299" s="197"/>
      <c r="M299" s="197"/>
      <c r="N299" s="197"/>
      <c r="O299" s="197"/>
      <c r="P299" s="197"/>
      <c r="Q299" s="197"/>
      <c r="R299" s="197"/>
    </row>
    <row r="300" customFormat="false" ht="12" hidden="false" customHeight="false" outlineLevel="0" collapsed="false">
      <c r="B300" s="197"/>
      <c r="C300" s="197"/>
      <c r="E300" s="197"/>
      <c r="F300" s="197"/>
      <c r="G300" s="197"/>
      <c r="H300" s="197"/>
      <c r="I300" s="197"/>
      <c r="J300" s="130"/>
      <c r="K300" s="130"/>
      <c r="L300" s="197"/>
      <c r="M300" s="197"/>
      <c r="N300" s="197"/>
      <c r="O300" s="197"/>
      <c r="P300" s="197"/>
      <c r="Q300" s="197"/>
      <c r="R300" s="197"/>
    </row>
    <row r="301" customFormat="false" ht="12" hidden="false" customHeight="false" outlineLevel="0" collapsed="false">
      <c r="B301" s="197"/>
      <c r="C301" s="197"/>
      <c r="E301" s="197"/>
      <c r="F301" s="197"/>
      <c r="G301" s="197"/>
      <c r="H301" s="197"/>
      <c r="I301" s="197"/>
      <c r="J301" s="130"/>
      <c r="K301" s="130"/>
      <c r="L301" s="197"/>
      <c r="M301" s="197"/>
      <c r="N301" s="197"/>
      <c r="O301" s="197"/>
      <c r="P301" s="197"/>
      <c r="Q301" s="197"/>
      <c r="R301" s="197"/>
    </row>
    <row r="302" customFormat="false" ht="12" hidden="false" customHeight="false" outlineLevel="0" collapsed="false">
      <c r="B302" s="197"/>
      <c r="C302" s="197"/>
      <c r="E302" s="197"/>
      <c r="F302" s="197"/>
      <c r="G302" s="197"/>
      <c r="H302" s="197"/>
      <c r="I302" s="197"/>
      <c r="J302" s="130"/>
      <c r="K302" s="130"/>
      <c r="L302" s="197"/>
      <c r="M302" s="197"/>
      <c r="N302" s="197"/>
      <c r="O302" s="197"/>
      <c r="P302" s="197"/>
      <c r="Q302" s="197"/>
      <c r="R302" s="197"/>
    </row>
    <row r="303" customFormat="false" ht="12" hidden="false" customHeight="false" outlineLevel="0" collapsed="false">
      <c r="B303" s="197"/>
      <c r="C303" s="197"/>
      <c r="E303" s="197"/>
      <c r="F303" s="197"/>
      <c r="G303" s="197"/>
      <c r="H303" s="197"/>
      <c r="I303" s="197"/>
      <c r="J303" s="130"/>
      <c r="K303" s="130"/>
      <c r="L303" s="197"/>
      <c r="M303" s="197"/>
      <c r="N303" s="197"/>
      <c r="O303" s="197"/>
      <c r="P303" s="197"/>
      <c r="Q303" s="197"/>
      <c r="R303" s="197"/>
    </row>
    <row r="304" customFormat="false" ht="12" hidden="false" customHeight="false" outlineLevel="0" collapsed="false">
      <c r="B304" s="197"/>
      <c r="C304" s="197"/>
      <c r="E304" s="197"/>
      <c r="F304" s="197"/>
      <c r="G304" s="197"/>
      <c r="H304" s="197"/>
      <c r="I304" s="197"/>
      <c r="J304" s="130"/>
      <c r="K304" s="130"/>
      <c r="L304" s="197"/>
      <c r="M304" s="197"/>
      <c r="N304" s="197"/>
      <c r="O304" s="197"/>
      <c r="P304" s="197"/>
      <c r="Q304" s="197"/>
      <c r="R304" s="197"/>
    </row>
    <row r="305" customFormat="false" ht="12" hidden="false" customHeight="false" outlineLevel="0" collapsed="false">
      <c r="B305" s="197"/>
      <c r="C305" s="197"/>
      <c r="E305" s="197"/>
      <c r="F305" s="197"/>
      <c r="G305" s="197"/>
      <c r="H305" s="197"/>
      <c r="I305" s="197"/>
      <c r="J305" s="130"/>
      <c r="K305" s="130"/>
      <c r="L305" s="197"/>
      <c r="M305" s="197"/>
      <c r="N305" s="197"/>
      <c r="O305" s="197"/>
      <c r="P305" s="197"/>
      <c r="Q305" s="197"/>
      <c r="R305" s="197"/>
    </row>
    <row r="306" customFormat="false" ht="12" hidden="false" customHeight="false" outlineLevel="0" collapsed="false">
      <c r="B306" s="197"/>
      <c r="C306" s="197"/>
      <c r="E306" s="197"/>
      <c r="F306" s="197"/>
      <c r="G306" s="197"/>
      <c r="H306" s="197"/>
      <c r="I306" s="197"/>
      <c r="J306" s="130"/>
      <c r="K306" s="130"/>
      <c r="L306" s="197"/>
      <c r="M306" s="197"/>
      <c r="N306" s="197"/>
      <c r="O306" s="197"/>
      <c r="P306" s="197"/>
      <c r="Q306" s="197"/>
      <c r="R306" s="197"/>
    </row>
    <row r="307" customFormat="false" ht="12" hidden="false" customHeight="false" outlineLevel="0" collapsed="false">
      <c r="B307" s="197"/>
      <c r="C307" s="197"/>
      <c r="E307" s="197"/>
      <c r="F307" s="197"/>
      <c r="G307" s="197"/>
      <c r="H307" s="197"/>
      <c r="I307" s="197"/>
      <c r="J307" s="130"/>
      <c r="K307" s="130"/>
      <c r="L307" s="197"/>
      <c r="M307" s="197"/>
      <c r="N307" s="197"/>
      <c r="O307" s="197"/>
      <c r="P307" s="197"/>
      <c r="Q307" s="197"/>
      <c r="R307" s="197"/>
    </row>
    <row r="308" customFormat="false" ht="12" hidden="false" customHeight="false" outlineLevel="0" collapsed="false">
      <c r="B308" s="197"/>
      <c r="C308" s="197"/>
      <c r="E308" s="197"/>
      <c r="F308" s="197"/>
      <c r="G308" s="197"/>
      <c r="H308" s="197"/>
      <c r="I308" s="197"/>
      <c r="J308" s="130"/>
      <c r="K308" s="130"/>
      <c r="L308" s="197"/>
      <c r="M308" s="197"/>
      <c r="N308" s="197"/>
      <c r="O308" s="197"/>
      <c r="P308" s="197"/>
      <c r="Q308" s="197"/>
      <c r="R308" s="197"/>
    </row>
    <row r="309" customFormat="false" ht="12" hidden="false" customHeight="false" outlineLevel="0" collapsed="false">
      <c r="B309" s="197"/>
      <c r="C309" s="197"/>
      <c r="E309" s="197"/>
      <c r="F309" s="197"/>
      <c r="G309" s="197"/>
      <c r="H309" s="197"/>
      <c r="I309" s="197"/>
      <c r="J309" s="130"/>
      <c r="K309" s="130"/>
      <c r="L309" s="197"/>
      <c r="M309" s="197"/>
      <c r="N309" s="197"/>
      <c r="O309" s="197"/>
      <c r="P309" s="197"/>
      <c r="Q309" s="197"/>
      <c r="R309" s="197"/>
    </row>
    <row r="310" customFormat="false" ht="12" hidden="false" customHeight="false" outlineLevel="0" collapsed="false">
      <c r="B310" s="197"/>
      <c r="C310" s="197"/>
      <c r="E310" s="197"/>
      <c r="F310" s="197"/>
      <c r="G310" s="197"/>
      <c r="H310" s="197"/>
      <c r="I310" s="197"/>
      <c r="J310" s="130"/>
      <c r="K310" s="130"/>
      <c r="L310" s="197"/>
      <c r="M310" s="197"/>
      <c r="N310" s="197"/>
      <c r="O310" s="197"/>
      <c r="P310" s="197"/>
      <c r="Q310" s="197"/>
      <c r="R310" s="197"/>
    </row>
    <row r="311" customFormat="false" ht="12" hidden="false" customHeight="false" outlineLevel="0" collapsed="false">
      <c r="B311" s="197"/>
      <c r="C311" s="197"/>
      <c r="E311" s="197"/>
      <c r="F311" s="197"/>
      <c r="G311" s="197"/>
      <c r="H311" s="197"/>
      <c r="I311" s="197"/>
      <c r="J311" s="130"/>
      <c r="K311" s="130"/>
      <c r="L311" s="197"/>
      <c r="M311" s="197"/>
      <c r="N311" s="197"/>
      <c r="O311" s="197"/>
      <c r="P311" s="197"/>
      <c r="Q311" s="197"/>
      <c r="R311" s="197"/>
    </row>
    <row r="312" customFormat="false" ht="12" hidden="false" customHeight="false" outlineLevel="0" collapsed="false">
      <c r="B312" s="197"/>
      <c r="C312" s="197"/>
      <c r="E312" s="197"/>
      <c r="F312" s="197"/>
      <c r="G312" s="197"/>
      <c r="H312" s="197"/>
      <c r="I312" s="197"/>
      <c r="J312" s="130"/>
      <c r="K312" s="130"/>
      <c r="L312" s="197"/>
      <c r="M312" s="197"/>
      <c r="N312" s="197"/>
      <c r="O312" s="197"/>
      <c r="P312" s="197"/>
      <c r="Q312" s="197"/>
      <c r="R312" s="197"/>
    </row>
    <row r="313" customFormat="false" ht="12" hidden="false" customHeight="false" outlineLevel="0" collapsed="false">
      <c r="B313" s="197"/>
      <c r="C313" s="197"/>
      <c r="E313" s="197"/>
      <c r="F313" s="197"/>
      <c r="G313" s="197"/>
      <c r="H313" s="197"/>
      <c r="I313" s="197"/>
      <c r="J313" s="130"/>
      <c r="K313" s="130"/>
      <c r="L313" s="197"/>
      <c r="M313" s="197"/>
      <c r="N313" s="197"/>
      <c r="O313" s="197"/>
      <c r="P313" s="197"/>
      <c r="Q313" s="197"/>
      <c r="R313" s="197"/>
    </row>
    <row r="314" customFormat="false" ht="12" hidden="false" customHeight="false" outlineLevel="0" collapsed="false">
      <c r="B314" s="197"/>
      <c r="C314" s="197"/>
      <c r="E314" s="197"/>
      <c r="F314" s="197"/>
      <c r="G314" s="197"/>
      <c r="H314" s="197"/>
      <c r="I314" s="197"/>
      <c r="J314" s="130"/>
      <c r="K314" s="130"/>
      <c r="L314" s="197"/>
      <c r="M314" s="197"/>
      <c r="N314" s="197"/>
      <c r="O314" s="197"/>
      <c r="P314" s="197"/>
      <c r="Q314" s="197"/>
      <c r="R314" s="197"/>
    </row>
    <row r="315" customFormat="false" ht="12" hidden="false" customHeight="false" outlineLevel="0" collapsed="false">
      <c r="B315" s="197"/>
      <c r="C315" s="197"/>
      <c r="E315" s="197"/>
      <c r="F315" s="197"/>
      <c r="G315" s="197"/>
      <c r="H315" s="197"/>
      <c r="I315" s="197"/>
      <c r="J315" s="130"/>
      <c r="K315" s="130"/>
      <c r="L315" s="197"/>
      <c r="M315" s="197"/>
      <c r="N315" s="197"/>
      <c r="O315" s="197"/>
      <c r="P315" s="197"/>
      <c r="Q315" s="197"/>
      <c r="R315" s="197"/>
    </row>
    <row r="316" customFormat="false" ht="12" hidden="false" customHeight="false" outlineLevel="0" collapsed="false">
      <c r="B316" s="197"/>
      <c r="C316" s="197"/>
      <c r="E316" s="197"/>
      <c r="F316" s="197"/>
      <c r="G316" s="197"/>
      <c r="H316" s="197"/>
      <c r="I316" s="197"/>
      <c r="J316" s="130"/>
      <c r="K316" s="130"/>
      <c r="L316" s="197"/>
      <c r="M316" s="197"/>
      <c r="N316" s="197"/>
      <c r="O316" s="197"/>
      <c r="P316" s="197"/>
      <c r="Q316" s="197"/>
      <c r="R316" s="197"/>
    </row>
    <row r="317" customFormat="false" ht="12" hidden="false" customHeight="false" outlineLevel="0" collapsed="false">
      <c r="B317" s="197"/>
      <c r="C317" s="197"/>
      <c r="E317" s="197"/>
      <c r="F317" s="197"/>
      <c r="G317" s="197"/>
      <c r="H317" s="197"/>
      <c r="I317" s="197"/>
      <c r="J317" s="130"/>
      <c r="K317" s="130"/>
      <c r="L317" s="197"/>
      <c r="M317" s="197"/>
      <c r="N317" s="197"/>
      <c r="O317" s="197"/>
      <c r="P317" s="197"/>
      <c r="Q317" s="197"/>
      <c r="R317" s="197"/>
    </row>
    <row r="318" customFormat="false" ht="12" hidden="false" customHeight="false" outlineLevel="0" collapsed="false">
      <c r="B318" s="197"/>
      <c r="C318" s="197"/>
      <c r="E318" s="197"/>
      <c r="F318" s="197"/>
      <c r="G318" s="197"/>
      <c r="H318" s="197"/>
      <c r="I318" s="197"/>
      <c r="J318" s="130"/>
      <c r="K318" s="130"/>
      <c r="L318" s="197"/>
      <c r="M318" s="197"/>
      <c r="N318" s="197"/>
      <c r="O318" s="197"/>
      <c r="P318" s="197"/>
      <c r="Q318" s="197"/>
      <c r="R318" s="197"/>
    </row>
    <row r="319" customFormat="false" ht="12" hidden="false" customHeight="false" outlineLevel="0" collapsed="false">
      <c r="B319" s="197"/>
      <c r="C319" s="197"/>
      <c r="E319" s="197"/>
      <c r="F319" s="197"/>
      <c r="G319" s="197"/>
      <c r="H319" s="197"/>
      <c r="I319" s="197"/>
      <c r="J319" s="130"/>
      <c r="K319" s="130"/>
      <c r="L319" s="197"/>
      <c r="M319" s="197"/>
      <c r="N319" s="197"/>
      <c r="O319" s="197"/>
      <c r="P319" s="197"/>
      <c r="Q319" s="197"/>
      <c r="R319" s="197"/>
    </row>
    <row r="320" customFormat="false" ht="12" hidden="false" customHeight="false" outlineLevel="0" collapsed="false">
      <c r="B320" s="197"/>
      <c r="C320" s="197"/>
      <c r="E320" s="197"/>
      <c r="F320" s="197"/>
      <c r="G320" s="197"/>
      <c r="H320" s="197"/>
      <c r="I320" s="197"/>
      <c r="J320" s="130"/>
      <c r="K320" s="130"/>
      <c r="L320" s="197"/>
      <c r="M320" s="197"/>
      <c r="N320" s="197"/>
      <c r="O320" s="197"/>
      <c r="P320" s="197"/>
      <c r="Q320" s="197"/>
      <c r="R320" s="197"/>
    </row>
    <row r="321" customFormat="false" ht="12" hidden="false" customHeight="false" outlineLevel="0" collapsed="false">
      <c r="B321" s="197"/>
      <c r="C321" s="197"/>
      <c r="E321" s="197"/>
      <c r="F321" s="197"/>
      <c r="G321" s="197"/>
      <c r="H321" s="197"/>
      <c r="I321" s="197"/>
      <c r="J321" s="130"/>
      <c r="K321" s="130"/>
      <c r="L321" s="197"/>
      <c r="M321" s="197"/>
      <c r="N321" s="197"/>
      <c r="O321" s="197"/>
      <c r="P321" s="197"/>
      <c r="Q321" s="197"/>
      <c r="R321" s="197"/>
    </row>
    <row r="322" customFormat="false" ht="12" hidden="false" customHeight="false" outlineLevel="0" collapsed="false">
      <c r="B322" s="197"/>
      <c r="C322" s="197"/>
      <c r="E322" s="197"/>
      <c r="F322" s="197"/>
      <c r="G322" s="197"/>
      <c r="H322" s="197"/>
      <c r="I322" s="197"/>
      <c r="J322" s="130"/>
      <c r="K322" s="130"/>
      <c r="L322" s="197"/>
      <c r="M322" s="197"/>
      <c r="N322" s="197"/>
      <c r="O322" s="197"/>
      <c r="P322" s="197"/>
      <c r="Q322" s="197"/>
      <c r="R322" s="197"/>
    </row>
    <row r="323" customFormat="false" ht="12" hidden="false" customHeight="false" outlineLevel="0" collapsed="false">
      <c r="B323" s="197"/>
      <c r="C323" s="197"/>
      <c r="E323" s="197"/>
      <c r="F323" s="197"/>
      <c r="G323" s="197"/>
      <c r="H323" s="197"/>
      <c r="I323" s="197"/>
      <c r="J323" s="130"/>
      <c r="K323" s="130"/>
      <c r="L323" s="197"/>
      <c r="M323" s="197"/>
      <c r="N323" s="197"/>
      <c r="O323" s="197"/>
      <c r="P323" s="197"/>
      <c r="Q323" s="197"/>
      <c r="R323" s="197"/>
    </row>
    <row r="324" customFormat="false" ht="12" hidden="false" customHeight="false" outlineLevel="0" collapsed="false">
      <c r="B324" s="197"/>
      <c r="C324" s="197"/>
      <c r="E324" s="197"/>
      <c r="F324" s="197"/>
      <c r="G324" s="197"/>
      <c r="H324" s="197"/>
      <c r="I324" s="197"/>
      <c r="J324" s="130"/>
      <c r="K324" s="130"/>
      <c r="L324" s="197"/>
      <c r="M324" s="197"/>
      <c r="N324" s="197"/>
      <c r="O324" s="197"/>
      <c r="P324" s="197"/>
      <c r="Q324" s="197"/>
      <c r="R324" s="197"/>
    </row>
    <row r="325" customFormat="false" ht="12" hidden="false" customHeight="false" outlineLevel="0" collapsed="false">
      <c r="B325" s="197"/>
      <c r="C325" s="197"/>
      <c r="E325" s="197"/>
      <c r="F325" s="197"/>
      <c r="G325" s="197"/>
      <c r="H325" s="197"/>
      <c r="I325" s="197"/>
      <c r="J325" s="130"/>
      <c r="K325" s="130"/>
      <c r="L325" s="197"/>
      <c r="M325" s="197"/>
      <c r="N325" s="197"/>
      <c r="O325" s="197"/>
      <c r="P325" s="197"/>
      <c r="Q325" s="197"/>
      <c r="R325" s="197"/>
    </row>
    <row r="326" customFormat="false" ht="12" hidden="false" customHeight="false" outlineLevel="0" collapsed="false">
      <c r="B326" s="197"/>
      <c r="C326" s="197"/>
      <c r="E326" s="197"/>
      <c r="F326" s="197"/>
      <c r="G326" s="197"/>
      <c r="H326" s="197"/>
      <c r="I326" s="197"/>
      <c r="J326" s="130"/>
      <c r="K326" s="130"/>
      <c r="L326" s="197"/>
      <c r="M326" s="197"/>
      <c r="N326" s="197"/>
      <c r="O326" s="197"/>
      <c r="P326" s="197"/>
      <c r="Q326" s="197"/>
      <c r="R326" s="197"/>
    </row>
    <row r="327" customFormat="false" ht="12" hidden="false" customHeight="false" outlineLevel="0" collapsed="false">
      <c r="B327" s="197"/>
      <c r="C327" s="197"/>
      <c r="E327" s="197"/>
      <c r="F327" s="197"/>
      <c r="G327" s="197"/>
      <c r="H327" s="197"/>
      <c r="I327" s="197"/>
      <c r="J327" s="130"/>
      <c r="K327" s="130"/>
      <c r="L327" s="197"/>
      <c r="M327" s="197"/>
      <c r="N327" s="197"/>
      <c r="O327" s="197"/>
      <c r="P327" s="197"/>
      <c r="Q327" s="197"/>
      <c r="R327" s="197"/>
    </row>
    <row r="328" customFormat="false" ht="12" hidden="false" customHeight="false" outlineLevel="0" collapsed="false">
      <c r="B328" s="197"/>
      <c r="C328" s="197"/>
      <c r="E328" s="197"/>
      <c r="F328" s="197"/>
      <c r="G328" s="197"/>
      <c r="H328" s="197"/>
      <c r="I328" s="197"/>
      <c r="J328" s="130"/>
      <c r="K328" s="130"/>
      <c r="L328" s="197"/>
      <c r="M328" s="197"/>
      <c r="N328" s="197"/>
      <c r="O328" s="197"/>
      <c r="P328" s="197"/>
      <c r="Q328" s="197"/>
      <c r="R328" s="197"/>
    </row>
    <row r="329" customFormat="false" ht="12" hidden="false" customHeight="false" outlineLevel="0" collapsed="false">
      <c r="B329" s="197"/>
      <c r="C329" s="197"/>
      <c r="E329" s="197"/>
      <c r="F329" s="197"/>
      <c r="G329" s="197"/>
      <c r="H329" s="197"/>
      <c r="I329" s="197"/>
      <c r="J329" s="130"/>
      <c r="K329" s="130"/>
      <c r="L329" s="197"/>
      <c r="M329" s="197"/>
      <c r="N329" s="197"/>
      <c r="O329" s="197"/>
      <c r="P329" s="197"/>
      <c r="Q329" s="197"/>
      <c r="R329" s="197"/>
    </row>
    <row r="330" customFormat="false" ht="12" hidden="false" customHeight="false" outlineLevel="0" collapsed="false">
      <c r="B330" s="197"/>
      <c r="C330" s="197"/>
      <c r="E330" s="197"/>
      <c r="F330" s="197"/>
      <c r="G330" s="197"/>
      <c r="H330" s="197"/>
      <c r="I330" s="197"/>
      <c r="J330" s="130"/>
      <c r="K330" s="130"/>
      <c r="L330" s="197"/>
      <c r="M330" s="197"/>
      <c r="N330" s="197"/>
      <c r="O330" s="197"/>
      <c r="P330" s="197"/>
      <c r="Q330" s="197"/>
      <c r="R330" s="197"/>
    </row>
    <row r="331" customFormat="false" ht="12" hidden="false" customHeight="false" outlineLevel="0" collapsed="false">
      <c r="B331" s="197"/>
      <c r="C331" s="197"/>
      <c r="E331" s="197"/>
      <c r="F331" s="197"/>
      <c r="G331" s="197"/>
      <c r="H331" s="197"/>
      <c r="I331" s="197"/>
      <c r="J331" s="130"/>
      <c r="K331" s="130"/>
      <c r="L331" s="197"/>
      <c r="M331" s="197"/>
      <c r="N331" s="197"/>
      <c r="O331" s="197"/>
      <c r="P331" s="197"/>
      <c r="Q331" s="197"/>
      <c r="R331" s="197"/>
    </row>
    <row r="332" customFormat="false" ht="12" hidden="false" customHeight="false" outlineLevel="0" collapsed="false">
      <c r="B332" s="197"/>
      <c r="C332" s="197"/>
      <c r="E332" s="197"/>
      <c r="F332" s="197"/>
      <c r="G332" s="197"/>
      <c r="H332" s="197"/>
      <c r="I332" s="197"/>
      <c r="J332" s="130"/>
      <c r="K332" s="130"/>
      <c r="L332" s="197"/>
      <c r="M332" s="197"/>
      <c r="N332" s="197"/>
      <c r="O332" s="197"/>
      <c r="P332" s="197"/>
      <c r="Q332" s="197"/>
      <c r="R332" s="197"/>
    </row>
    <row r="333" customFormat="false" ht="12" hidden="false" customHeight="false" outlineLevel="0" collapsed="false">
      <c r="B333" s="197"/>
      <c r="C333" s="197"/>
      <c r="E333" s="197"/>
      <c r="F333" s="197"/>
      <c r="G333" s="197"/>
      <c r="H333" s="197"/>
      <c r="I333" s="197"/>
      <c r="J333" s="130"/>
      <c r="K333" s="130"/>
      <c r="L333" s="197"/>
      <c r="M333" s="197"/>
      <c r="N333" s="197"/>
      <c r="O333" s="197"/>
      <c r="P333" s="197"/>
      <c r="Q333" s="197"/>
      <c r="R333" s="197"/>
    </row>
    <row r="334" customFormat="false" ht="12" hidden="false" customHeight="false" outlineLevel="0" collapsed="false">
      <c r="B334" s="197"/>
      <c r="C334" s="197"/>
      <c r="E334" s="197"/>
      <c r="F334" s="197"/>
      <c r="G334" s="197"/>
      <c r="H334" s="197"/>
      <c r="I334" s="197"/>
      <c r="J334" s="130"/>
      <c r="K334" s="130"/>
      <c r="L334" s="197"/>
      <c r="M334" s="197"/>
      <c r="N334" s="197"/>
      <c r="O334" s="197"/>
      <c r="P334" s="197"/>
      <c r="Q334" s="197"/>
      <c r="R334" s="197"/>
    </row>
    <row r="335" customFormat="false" ht="12" hidden="false" customHeight="false" outlineLevel="0" collapsed="false">
      <c r="B335" s="197"/>
      <c r="C335" s="197"/>
      <c r="E335" s="197"/>
      <c r="F335" s="197"/>
      <c r="G335" s="197"/>
      <c r="H335" s="197"/>
      <c r="I335" s="197"/>
      <c r="J335" s="130"/>
      <c r="K335" s="130"/>
      <c r="L335" s="197"/>
      <c r="M335" s="197"/>
      <c r="N335" s="197"/>
      <c r="O335" s="197"/>
      <c r="P335" s="197"/>
      <c r="Q335" s="197"/>
      <c r="R335" s="197"/>
    </row>
    <row r="336" customFormat="false" ht="12" hidden="false" customHeight="false" outlineLevel="0" collapsed="false">
      <c r="B336" s="197"/>
      <c r="C336" s="197"/>
      <c r="E336" s="197"/>
      <c r="F336" s="197"/>
      <c r="G336" s="197"/>
      <c r="H336" s="197"/>
      <c r="I336" s="197"/>
      <c r="J336" s="130"/>
      <c r="K336" s="130"/>
      <c r="L336" s="197"/>
      <c r="M336" s="197"/>
      <c r="N336" s="197"/>
      <c r="O336" s="197"/>
      <c r="P336" s="197"/>
      <c r="Q336" s="197"/>
      <c r="R336" s="197"/>
    </row>
    <row r="337" customFormat="false" ht="12" hidden="false" customHeight="false" outlineLevel="0" collapsed="false">
      <c r="L337" s="197"/>
      <c r="R337" s="197"/>
    </row>
    <row r="338" customFormat="false" ht="12" hidden="false" customHeight="false" outlineLevel="0" collapsed="false">
      <c r="L338" s="197"/>
      <c r="R338" s="197"/>
    </row>
    <row r="339" customFormat="false" ht="12" hidden="false" customHeight="false" outlineLevel="0" collapsed="false">
      <c r="L339" s="197"/>
      <c r="R339" s="197"/>
    </row>
    <row r="340" customFormat="false" ht="12" hidden="false" customHeight="false" outlineLevel="0" collapsed="false">
      <c r="L340" s="197"/>
      <c r="R340" s="197"/>
    </row>
    <row r="341" customFormat="false" ht="12" hidden="false" customHeight="false" outlineLevel="0" collapsed="false">
      <c r="L341" s="197"/>
      <c r="R341" s="197"/>
    </row>
    <row r="342" customFormat="false" ht="12" hidden="false" customHeight="false" outlineLevel="0" collapsed="false">
      <c r="L342" s="197"/>
      <c r="R342" s="197"/>
    </row>
    <row r="343" customFormat="false" ht="12" hidden="false" customHeight="false" outlineLevel="0" collapsed="false">
      <c r="L343" s="197"/>
      <c r="R343" s="197"/>
    </row>
    <row r="344" customFormat="false" ht="12" hidden="false" customHeight="false" outlineLevel="0" collapsed="false">
      <c r="L344" s="197"/>
      <c r="R344" s="197"/>
    </row>
    <row r="345" customFormat="false" ht="12" hidden="false" customHeight="false" outlineLevel="0" collapsed="false">
      <c r="L345" s="197"/>
      <c r="R345" s="197"/>
    </row>
    <row r="346" customFormat="false" ht="12" hidden="false" customHeight="false" outlineLevel="0" collapsed="false">
      <c r="L346" s="197"/>
      <c r="R346" s="197"/>
    </row>
    <row r="347" customFormat="false" ht="12" hidden="false" customHeight="false" outlineLevel="0" collapsed="false">
      <c r="L347" s="197"/>
      <c r="R347" s="197"/>
    </row>
    <row r="348" customFormat="false" ht="12" hidden="false" customHeight="false" outlineLevel="0" collapsed="false">
      <c r="L348" s="197"/>
      <c r="R348" s="197"/>
    </row>
  </sheetData>
  <mergeCells count="3">
    <mergeCell ref="A3:Q3"/>
    <mergeCell ref="B6:I6"/>
    <mergeCell ref="J6:Q6"/>
  </mergeCells>
  <hyperlinks>
    <hyperlink ref="B1" location="Index!A1" display="Back to index"/>
  </hyperlinks>
  <printOptions headings="false" gridLines="false" gridLinesSet="true" horizontalCentered="true" verticalCentered="true"/>
  <pageMargins left="0.790277777777778" right="0.790277777777778" top="0.979861111111111" bottom="0.979861111111111" header="0.511811023622047" footer="0.511811023622047"/>
  <pageSetup paperSize="9" scale="100" fitToWidth="1" fitToHeight="3"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M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9" topLeftCell="CH10" activePane="bottomRight" state="frozen"/>
      <selection pane="topLeft" activeCell="A1" activeCellId="0" sqref="A1"/>
      <selection pane="topRight" activeCell="CH1" activeCellId="0" sqref="CH1"/>
      <selection pane="bottomLeft" activeCell="A10" activeCellId="0" sqref="A10"/>
      <selection pane="bottomRight" activeCell="CH15" activeCellId="0" sqref="CH15"/>
    </sheetView>
  </sheetViews>
  <sheetFormatPr defaultColWidth="11.0546875" defaultRowHeight="12" zeroHeight="false" outlineLevelRow="0" outlineLevelCol="0"/>
  <cols>
    <col collapsed="false" customWidth="true" hidden="false" outlineLevel="0" max="41" min="41" style="0" width="12.66"/>
    <col collapsed="false" customWidth="true" hidden="false" outlineLevel="0" max="70" min="70" style="0" width="12.66"/>
    <col collapsed="false" customWidth="true" hidden="false" outlineLevel="0" max="84" min="83" style="20" width="10.82"/>
    <col collapsed="false" customWidth="true" hidden="false" outlineLevel="0" max="124" min="117" style="20" width="10.82"/>
    <col collapsed="false" customWidth="true" hidden="false" outlineLevel="0" max="160" min="160" style="0" width="11.82"/>
    <col collapsed="false" customWidth="true" hidden="false" outlineLevel="0" max="182" min="180" style="20" width="10.82"/>
    <col collapsed="false" customWidth="true" hidden="false" outlineLevel="0" max="218" min="214" style="0" width="11.5"/>
  </cols>
  <sheetData>
    <row r="1" customFormat="false" ht="12" hidden="false" customHeight="false" outlineLevel="0" collapsed="false">
      <c r="A1" s="198" t="s">
        <v>660</v>
      </c>
      <c r="B1" s="198"/>
      <c r="D1" s="198"/>
      <c r="E1" s="198"/>
      <c r="F1" s="198"/>
      <c r="G1" s="198"/>
      <c r="CE1" s="0"/>
      <c r="CF1" s="0"/>
      <c r="EV1" s="198"/>
    </row>
    <row r="2" customFormat="false" ht="12" hidden="false" customHeight="false" outlineLevel="0" collapsed="false">
      <c r="A2" s="0" t="s">
        <v>661</v>
      </c>
      <c r="AS2" s="1932"/>
      <c r="CE2" s="0"/>
      <c r="CF2" s="0"/>
      <c r="CO2" s="617"/>
      <c r="CP2" s="617"/>
      <c r="CQ2" s="617"/>
      <c r="DB2" s="198"/>
      <c r="EI2" s="20"/>
      <c r="EJ2" s="20"/>
      <c r="EK2" s="20"/>
    </row>
    <row r="3" customFormat="false" ht="12" hidden="false" customHeight="false" outlineLevel="0" collapsed="false">
      <c r="A3" s="0" t="s">
        <v>662</v>
      </c>
      <c r="CE3" s="0"/>
      <c r="CF3" s="0"/>
      <c r="DB3" s="198"/>
      <c r="EI3" s="20"/>
      <c r="EJ3" s="20"/>
      <c r="EK3" s="20"/>
      <c r="FX3" s="1933"/>
      <c r="FY3" s="1933"/>
      <c r="FZ3" s="1933"/>
    </row>
    <row r="4" customFormat="false" ht="12" hidden="false" customHeight="false" outlineLevel="0" collapsed="false">
      <c r="A4" s="0" t="s">
        <v>663</v>
      </c>
      <c r="CE4" s="0"/>
      <c r="CF4" s="0"/>
      <c r="EI4" s="20"/>
      <c r="EJ4" s="20"/>
      <c r="EK4" s="20"/>
    </row>
    <row r="5" customFormat="false" ht="12" hidden="false" customHeight="false" outlineLevel="0" collapsed="false">
      <c r="A5" s="1934" t="s">
        <v>664</v>
      </c>
      <c r="B5" s="1935" t="n">
        <v>1.95583</v>
      </c>
      <c r="C5" s="1936" t="s">
        <v>451</v>
      </c>
      <c r="CE5" s="0"/>
      <c r="CF5" s="0"/>
      <c r="FK5" s="830"/>
      <c r="GA5" s="1937"/>
      <c r="GY5" s="198"/>
    </row>
    <row r="6" customFormat="false" ht="12" hidden="false" customHeight="false" outlineLevel="0" collapsed="false">
      <c r="A6" s="29"/>
      <c r="B6" s="29"/>
      <c r="D6" s="29"/>
      <c r="E6" s="29"/>
      <c r="F6" s="29"/>
      <c r="G6" s="29"/>
      <c r="H6" s="29"/>
      <c r="I6" s="1938" t="s">
        <v>665</v>
      </c>
      <c r="J6" s="1938"/>
      <c r="K6" s="1938"/>
      <c r="L6" s="1938"/>
      <c r="M6" s="1938"/>
      <c r="N6" s="1938"/>
      <c r="O6" s="1938"/>
      <c r="P6" s="1938"/>
      <c r="Q6" s="1938"/>
      <c r="R6" s="1938" t="s">
        <v>666</v>
      </c>
      <c r="S6" s="1938"/>
      <c r="T6" s="1938"/>
      <c r="U6" s="1938"/>
      <c r="V6" s="1938"/>
      <c r="W6" s="1938" t="s">
        <v>667</v>
      </c>
      <c r="X6" s="1938"/>
      <c r="Y6" s="1938"/>
      <c r="Z6" s="1938"/>
      <c r="AA6" s="1938"/>
      <c r="AB6" s="1938"/>
      <c r="AC6" s="1939" t="s">
        <v>668</v>
      </c>
      <c r="AD6" s="1939"/>
      <c r="AE6" s="1939"/>
      <c r="AF6" s="1939"/>
      <c r="AG6" s="1940"/>
      <c r="AH6" s="1940"/>
      <c r="AI6" s="1939" t="s">
        <v>669</v>
      </c>
      <c r="AJ6" s="1939"/>
      <c r="AK6" s="1939"/>
      <c r="AL6" s="1939"/>
      <c r="AM6" s="913"/>
      <c r="AN6" s="913"/>
      <c r="AO6" s="1941" t="s">
        <v>670</v>
      </c>
      <c r="AP6" s="1941"/>
      <c r="AQ6" s="1941"/>
      <c r="AR6" s="1941"/>
      <c r="AS6" s="1941"/>
      <c r="AT6" s="1941"/>
      <c r="AU6" s="1098"/>
      <c r="AV6" s="1939" t="s">
        <v>671</v>
      </c>
      <c r="AW6" s="1939"/>
      <c r="AX6" s="1939"/>
      <c r="AY6" s="1939"/>
      <c r="AZ6" s="1939"/>
      <c r="BA6" s="1939"/>
      <c r="BB6" s="913"/>
      <c r="BC6" s="1942" t="s">
        <v>672</v>
      </c>
      <c r="BD6" s="1942"/>
      <c r="BE6" s="1942"/>
      <c r="BF6" s="1942"/>
      <c r="BG6" s="1942"/>
      <c r="BH6" s="1943" t="s">
        <v>673</v>
      </c>
      <c r="BI6" s="1943"/>
      <c r="BJ6" s="1943"/>
      <c r="BK6" s="1943"/>
      <c r="BL6" s="1943"/>
      <c r="BM6" s="1944" t="s">
        <v>674</v>
      </c>
      <c r="BN6" s="29"/>
      <c r="BO6" s="29"/>
      <c r="BP6" s="29"/>
      <c r="BQ6" s="29"/>
      <c r="BR6" s="198" t="s">
        <v>675</v>
      </c>
      <c r="BX6" s="0" t="s">
        <v>672</v>
      </c>
      <c r="CC6" s="0" t="s">
        <v>673</v>
      </c>
      <c r="CH6" s="1939" t="s">
        <v>676</v>
      </c>
      <c r="CI6" s="913"/>
      <c r="CJ6" s="913"/>
      <c r="CK6" s="913"/>
      <c r="CL6" s="913"/>
      <c r="CM6" s="913"/>
      <c r="CN6" s="913"/>
      <c r="CO6" s="913"/>
      <c r="CP6" s="913"/>
      <c r="CQ6" s="913"/>
      <c r="CR6" s="913"/>
      <c r="CS6" s="913"/>
      <c r="CT6" s="913"/>
      <c r="CU6" s="913"/>
      <c r="CV6" s="913"/>
      <c r="CW6" s="913"/>
      <c r="CX6" s="1939" t="s">
        <v>677</v>
      </c>
      <c r="CY6" s="1937"/>
      <c r="CZ6" s="913"/>
      <c r="DA6" s="913"/>
      <c r="DB6" s="913"/>
      <c r="DC6" s="913"/>
      <c r="DD6" s="913"/>
      <c r="DE6" s="913"/>
      <c r="DF6" s="913"/>
      <c r="DG6" s="913"/>
      <c r="DH6" s="913"/>
      <c r="DI6" s="913"/>
      <c r="DJ6" s="913"/>
      <c r="DK6" s="913"/>
      <c r="DL6" s="913"/>
      <c r="DM6" s="948"/>
      <c r="DN6" s="948"/>
      <c r="DO6" s="948"/>
      <c r="DP6" s="948"/>
      <c r="DQ6" s="948"/>
      <c r="DR6" s="948"/>
      <c r="DS6" s="948"/>
      <c r="DT6" s="948"/>
      <c r="DU6" s="1098"/>
      <c r="DV6" s="1939" t="s">
        <v>678</v>
      </c>
      <c r="DW6" s="913"/>
      <c r="DX6" s="913"/>
      <c r="DY6" s="913"/>
      <c r="DZ6" s="913"/>
      <c r="EA6" s="913"/>
      <c r="EB6" s="913"/>
      <c r="EC6" s="913"/>
      <c r="ED6" s="913"/>
      <c r="EE6" s="913"/>
      <c r="EF6" s="913"/>
      <c r="EI6" s="29"/>
      <c r="EJ6" s="29"/>
      <c r="EK6" s="830"/>
      <c r="EL6" s="1939" t="s">
        <v>679</v>
      </c>
      <c r="EM6" s="1937"/>
      <c r="EN6" s="1937"/>
      <c r="EO6" s="1937"/>
      <c r="EP6" s="1937"/>
      <c r="EQ6" s="1937"/>
      <c r="ER6" s="1937"/>
      <c r="ES6" s="1937"/>
      <c r="ET6" s="1937"/>
      <c r="EU6" s="1937"/>
      <c r="EV6" s="1945"/>
      <c r="EW6" s="1937"/>
      <c r="EX6" s="1937"/>
      <c r="EY6" s="1937"/>
      <c r="EZ6" s="1937"/>
      <c r="FA6" s="1937"/>
      <c r="FB6" s="913"/>
      <c r="FC6" s="913"/>
      <c r="FD6" s="913"/>
      <c r="FE6" s="913"/>
      <c r="FF6" s="913"/>
      <c r="FG6" s="913"/>
      <c r="FH6" s="913"/>
      <c r="FI6" s="913"/>
      <c r="FJ6" s="913"/>
      <c r="FK6" s="1098"/>
      <c r="FL6" s="1937" t="s">
        <v>680</v>
      </c>
      <c r="FM6" s="1937"/>
      <c r="FN6" s="1937"/>
      <c r="FO6" s="1937"/>
      <c r="FP6" s="1937"/>
      <c r="FQ6" s="1937"/>
      <c r="FR6" s="1937"/>
      <c r="FS6" s="1937"/>
      <c r="FT6" s="1937"/>
      <c r="FU6" s="1937"/>
      <c r="FV6" s="1937"/>
      <c r="FW6" s="1945"/>
      <c r="FX6" s="1946" t="s">
        <v>681</v>
      </c>
      <c r="FY6" s="114"/>
      <c r="FZ6" s="895"/>
      <c r="GA6" s="1947"/>
      <c r="GB6" s="1948" t="s">
        <v>682</v>
      </c>
      <c r="GC6" s="1948"/>
      <c r="GD6" s="1948"/>
      <c r="GE6" s="1948"/>
      <c r="GF6" s="1948"/>
      <c r="GG6" s="1948"/>
      <c r="GH6" s="1948"/>
      <c r="GI6" s="1948"/>
      <c r="GJ6" s="1948"/>
      <c r="GK6" s="1948"/>
      <c r="GL6" s="1948"/>
      <c r="GM6" s="1949"/>
      <c r="GN6" s="1950"/>
      <c r="GO6" s="1946" t="s">
        <v>683</v>
      </c>
      <c r="GP6" s="356"/>
      <c r="GQ6" s="356"/>
      <c r="GR6" s="356"/>
      <c r="GS6" s="356"/>
      <c r="GT6" s="1951"/>
      <c r="GU6" s="983"/>
      <c r="GV6" s="778"/>
      <c r="GW6" s="778"/>
      <c r="GX6" s="778"/>
      <c r="GY6" s="778"/>
      <c r="GZ6" s="778"/>
      <c r="HA6" s="983"/>
      <c r="HB6" s="983"/>
      <c r="HC6" s="983"/>
      <c r="HD6" s="983"/>
      <c r="HE6" s="913"/>
      <c r="HF6" s="913"/>
      <c r="HG6" s="913"/>
      <c r="HH6" s="913"/>
      <c r="HI6" s="913"/>
      <c r="HJ6" s="913"/>
      <c r="HK6" s="913"/>
    </row>
    <row r="7" customFormat="false" ht="19.75" hidden="false" customHeight="true" outlineLevel="0" collapsed="false">
      <c r="A7" s="29" t="s">
        <v>684</v>
      </c>
      <c r="B7" s="1354" t="s">
        <v>411</v>
      </c>
      <c r="C7" s="1354" t="s">
        <v>685</v>
      </c>
      <c r="D7" s="1354" t="s">
        <v>686</v>
      </c>
      <c r="E7" s="802" t="s">
        <v>470</v>
      </c>
      <c r="F7" s="1354" t="s">
        <v>687</v>
      </c>
      <c r="G7" s="802" t="s">
        <v>471</v>
      </c>
      <c r="H7" s="802" t="s">
        <v>472</v>
      </c>
      <c r="I7" s="1353" t="s">
        <v>688</v>
      </c>
      <c r="J7" s="1354"/>
      <c r="K7" s="1940"/>
      <c r="L7" s="1940"/>
      <c r="M7" s="1940"/>
      <c r="N7" s="1940"/>
      <c r="O7" s="1940"/>
      <c r="P7" s="1940"/>
      <c r="Q7" s="1952"/>
      <c r="R7" s="803" t="s">
        <v>573</v>
      </c>
      <c r="S7" s="803"/>
      <c r="T7" s="801" t="s">
        <v>575</v>
      </c>
      <c r="U7" s="801" t="s">
        <v>578</v>
      </c>
      <c r="V7" s="800" t="s">
        <v>579</v>
      </c>
      <c r="W7" s="801"/>
      <c r="X7" s="801"/>
      <c r="Y7" s="801"/>
      <c r="Z7" s="801"/>
      <c r="AA7" s="801"/>
      <c r="AB7" s="800"/>
      <c r="AC7" s="1940"/>
      <c r="AD7" s="1940"/>
      <c r="AE7" s="1940"/>
      <c r="AF7" s="1940"/>
      <c r="AG7" s="1940"/>
      <c r="AH7" s="1940"/>
      <c r="AI7" s="1353" t="s">
        <v>689</v>
      </c>
      <c r="AJ7" s="1354"/>
      <c r="AK7" s="913"/>
      <c r="AL7" s="913"/>
      <c r="AM7" s="913"/>
      <c r="AN7" s="913"/>
      <c r="AO7" s="1953" t="s">
        <v>690</v>
      </c>
      <c r="AP7" s="1954"/>
      <c r="AQ7" s="1954"/>
      <c r="AR7" s="1954"/>
      <c r="AS7" s="1954"/>
      <c r="AT7" s="1954"/>
      <c r="AU7" s="1098"/>
      <c r="AV7" s="1353" t="s">
        <v>691</v>
      </c>
      <c r="AW7" s="913"/>
      <c r="AX7" s="913"/>
      <c r="AY7" s="913"/>
      <c r="AZ7" s="913"/>
      <c r="BA7" s="913"/>
      <c r="BB7" s="913"/>
      <c r="BC7" s="913"/>
      <c r="BD7" s="913"/>
      <c r="BE7" s="913"/>
      <c r="BF7" s="913"/>
      <c r="BG7" s="913"/>
      <c r="BH7" s="913"/>
      <c r="BI7" s="913"/>
      <c r="BJ7" s="913"/>
      <c r="BK7" s="913"/>
      <c r="BL7" s="1098"/>
      <c r="BM7" s="1353" t="s">
        <v>692</v>
      </c>
      <c r="BN7" s="29"/>
      <c r="BO7" s="29"/>
      <c r="BP7" s="29"/>
      <c r="BQ7" s="29"/>
      <c r="BR7" s="1353" t="s">
        <v>506</v>
      </c>
      <c r="CH7" s="1955" t="s">
        <v>693</v>
      </c>
      <c r="CI7" s="963" t="s">
        <v>694</v>
      </c>
      <c r="CJ7" s="913"/>
      <c r="CK7" s="913"/>
      <c r="CL7" s="963" t="s">
        <v>695</v>
      </c>
      <c r="CM7" s="913"/>
      <c r="CN7" s="913"/>
      <c r="CO7" s="913"/>
      <c r="CP7" s="913"/>
      <c r="CQ7" s="913"/>
      <c r="CR7" s="963" t="s">
        <v>696</v>
      </c>
      <c r="CS7" s="913"/>
      <c r="CT7" s="913"/>
      <c r="CU7" s="913"/>
      <c r="CV7" s="913"/>
      <c r="CW7" s="913"/>
      <c r="CX7" s="1353" t="s">
        <v>523</v>
      </c>
      <c r="CY7" s="1354"/>
      <c r="CZ7" s="802" t="s">
        <v>524</v>
      </c>
      <c r="DA7" s="802" t="s">
        <v>486</v>
      </c>
      <c r="DB7" s="802" t="s">
        <v>525</v>
      </c>
      <c r="DC7" s="368" t="s">
        <v>697</v>
      </c>
      <c r="DD7" s="802" t="s">
        <v>527</v>
      </c>
      <c r="DE7" s="1250" t="s">
        <v>698</v>
      </c>
      <c r="DF7" s="1354" t="s">
        <v>528</v>
      </c>
      <c r="DJ7" s="802" t="s">
        <v>529</v>
      </c>
      <c r="DK7" s="802" t="s">
        <v>699</v>
      </c>
      <c r="DL7" s="802" t="s">
        <v>490</v>
      </c>
      <c r="DM7" s="802" t="s">
        <v>700</v>
      </c>
      <c r="DN7" s="802"/>
      <c r="DO7" s="1956" t="s">
        <v>701</v>
      </c>
      <c r="DP7" s="1956"/>
      <c r="DQ7" s="1956"/>
      <c r="DR7" s="1956"/>
      <c r="DS7" s="1957"/>
      <c r="DT7" s="801"/>
      <c r="DU7" s="368" t="s">
        <v>702</v>
      </c>
      <c r="DV7" s="1353" t="s">
        <v>629</v>
      </c>
      <c r="DW7" s="802" t="s">
        <v>491</v>
      </c>
      <c r="DX7" s="802" t="s">
        <v>630</v>
      </c>
      <c r="DY7" s="802" t="s">
        <v>631</v>
      </c>
      <c r="DZ7" s="1250"/>
      <c r="EA7" s="1250"/>
      <c r="EB7" s="802" t="s">
        <v>632</v>
      </c>
      <c r="EC7" s="1250" t="s">
        <v>703</v>
      </c>
      <c r="ED7" s="1250" t="s">
        <v>704</v>
      </c>
      <c r="EE7" s="802"/>
      <c r="EF7" s="913"/>
      <c r="EG7" s="1354" t="s">
        <v>705</v>
      </c>
      <c r="EI7" s="29"/>
      <c r="EJ7" s="29"/>
      <c r="EK7" s="830"/>
      <c r="EV7" s="1353"/>
      <c r="EW7" s="1354"/>
      <c r="EX7" s="1354"/>
      <c r="EY7" s="1354"/>
      <c r="EZ7" s="1354"/>
      <c r="FA7" s="1354"/>
      <c r="FB7" s="802"/>
      <c r="FC7" s="802"/>
      <c r="FD7" s="1354"/>
      <c r="FE7" s="802"/>
      <c r="FF7" s="1354"/>
      <c r="FG7" s="1354"/>
      <c r="FH7" s="1354"/>
      <c r="FI7" s="1354" t="s">
        <v>706</v>
      </c>
      <c r="FJ7" s="1354"/>
      <c r="FK7" s="1563" t="s">
        <v>707</v>
      </c>
      <c r="FL7" s="1354"/>
      <c r="FM7" s="1354"/>
      <c r="FN7" s="1354"/>
      <c r="FO7" s="1354"/>
      <c r="FP7" s="1354"/>
      <c r="FQ7" s="1354"/>
      <c r="FR7" s="1354"/>
      <c r="FT7" s="368"/>
      <c r="FU7" s="368"/>
      <c r="FV7" s="368"/>
      <c r="FW7" s="1563"/>
      <c r="FX7" s="801"/>
      <c r="FY7" s="801"/>
      <c r="FZ7" s="800"/>
      <c r="GA7" s="53" t="s">
        <v>708</v>
      </c>
      <c r="GB7" s="1958" t="s">
        <v>709</v>
      </c>
      <c r="GC7" s="191"/>
      <c r="GD7" s="191"/>
      <c r="GE7" s="191"/>
      <c r="GF7" s="191"/>
      <c r="GG7" s="191"/>
      <c r="GH7" s="29"/>
      <c r="GI7" s="29"/>
      <c r="GJ7" s="29"/>
      <c r="GK7" s="29"/>
      <c r="GL7" s="29"/>
      <c r="GM7" s="29"/>
      <c r="GN7" s="830"/>
      <c r="GO7" s="985"/>
      <c r="GP7" s="778"/>
      <c r="GQ7" s="778"/>
      <c r="GR7" s="778"/>
      <c r="GS7" s="778"/>
      <c r="GT7" s="1408"/>
      <c r="GU7" s="983"/>
      <c r="GV7" s="778"/>
      <c r="GW7" s="778"/>
      <c r="GX7" s="778"/>
      <c r="GY7" s="778"/>
      <c r="GZ7" s="778"/>
      <c r="HA7" s="983"/>
      <c r="HB7" s="983"/>
      <c r="HC7" s="983"/>
      <c r="HD7" s="983"/>
      <c r="HE7" s="1250"/>
      <c r="HF7" s="1250"/>
      <c r="HG7" s="1250"/>
      <c r="HH7" s="1250"/>
      <c r="HI7" s="1250"/>
      <c r="HJ7" s="1250" t="s">
        <v>710</v>
      </c>
    </row>
    <row r="8" s="778" customFormat="true" ht="144" hidden="false" customHeight="false" outlineLevel="0" collapsed="false">
      <c r="A8" s="801"/>
      <c r="B8" s="1959" t="s">
        <v>404</v>
      </c>
      <c r="C8" s="1959" t="s">
        <v>711</v>
      </c>
      <c r="D8" s="801" t="s">
        <v>712</v>
      </c>
      <c r="E8" s="801" t="s">
        <v>455</v>
      </c>
      <c r="F8" s="1959" t="s">
        <v>454</v>
      </c>
      <c r="G8" s="801" t="s">
        <v>464</v>
      </c>
      <c r="H8" s="801" t="s">
        <v>713</v>
      </c>
      <c r="I8" s="1960" t="s">
        <v>714</v>
      </c>
      <c r="J8" s="1959" t="s">
        <v>715</v>
      </c>
      <c r="K8" s="801" t="s">
        <v>716</v>
      </c>
      <c r="L8" s="801" t="s">
        <v>717</v>
      </c>
      <c r="M8" s="1961" t="s">
        <v>718</v>
      </c>
      <c r="N8" s="1961" t="s">
        <v>719</v>
      </c>
      <c r="O8" s="1961" t="s">
        <v>720</v>
      </c>
      <c r="P8" s="1961" t="s">
        <v>721</v>
      </c>
      <c r="Q8" s="1962" t="s">
        <v>722</v>
      </c>
      <c r="R8" s="801" t="s">
        <v>723</v>
      </c>
      <c r="S8" s="801" t="s">
        <v>724</v>
      </c>
      <c r="T8" s="801" t="s">
        <v>725</v>
      </c>
      <c r="U8" s="801" t="s">
        <v>726</v>
      </c>
      <c r="V8" s="801" t="s">
        <v>569</v>
      </c>
      <c r="W8" s="1960" t="s">
        <v>727</v>
      </c>
      <c r="X8" s="801" t="s">
        <v>728</v>
      </c>
      <c r="Y8" s="1963" t="s">
        <v>729</v>
      </c>
      <c r="Z8" s="1963" t="s">
        <v>730</v>
      </c>
      <c r="AA8" s="801" t="s">
        <v>731</v>
      </c>
      <c r="AB8" s="1964" t="s">
        <v>732</v>
      </c>
      <c r="AC8" s="1965" t="s">
        <v>733</v>
      </c>
      <c r="AD8" s="1963" t="s">
        <v>734</v>
      </c>
      <c r="AE8" s="1963" t="s">
        <v>735</v>
      </c>
      <c r="AF8" s="1963" t="s">
        <v>736</v>
      </c>
      <c r="AG8" s="1963" t="s">
        <v>737</v>
      </c>
      <c r="AH8" s="1963" t="s">
        <v>732</v>
      </c>
      <c r="AI8" s="1960" t="s">
        <v>738</v>
      </c>
      <c r="AJ8" s="801" t="s">
        <v>739</v>
      </c>
      <c r="AK8" s="801" t="s">
        <v>740</v>
      </c>
      <c r="AL8" s="801" t="s">
        <v>741</v>
      </c>
      <c r="AM8" s="801" t="s">
        <v>732</v>
      </c>
      <c r="AN8" s="800" t="s">
        <v>742</v>
      </c>
      <c r="AO8" s="1966" t="s">
        <v>743</v>
      </c>
      <c r="AP8" s="1963" t="s">
        <v>744</v>
      </c>
      <c r="AQ8" s="1963" t="s">
        <v>745</v>
      </c>
      <c r="AR8" s="1963" t="s">
        <v>746</v>
      </c>
      <c r="AS8" s="1963" t="s">
        <v>735</v>
      </c>
      <c r="AT8" s="1963" t="s">
        <v>747</v>
      </c>
      <c r="AU8" s="800" t="s">
        <v>732</v>
      </c>
      <c r="AV8" s="1960" t="s">
        <v>748</v>
      </c>
      <c r="AW8" s="801" t="s">
        <v>749</v>
      </c>
      <c r="AX8" s="801" t="s">
        <v>503</v>
      </c>
      <c r="AY8" s="801" t="s">
        <v>750</v>
      </c>
      <c r="AZ8" s="801" t="s">
        <v>751</v>
      </c>
      <c r="BA8" s="801" t="s">
        <v>752</v>
      </c>
      <c r="BB8" s="801" t="s">
        <v>732</v>
      </c>
      <c r="BC8" s="801" t="s">
        <v>753</v>
      </c>
      <c r="BD8" s="801" t="s">
        <v>754</v>
      </c>
      <c r="BE8" s="801" t="s">
        <v>755</v>
      </c>
      <c r="BF8" s="801" t="s">
        <v>756</v>
      </c>
      <c r="BG8" s="801" t="s">
        <v>713</v>
      </c>
      <c r="BH8" s="801" t="s">
        <v>753</v>
      </c>
      <c r="BI8" s="801" t="s">
        <v>754</v>
      </c>
      <c r="BJ8" s="801" t="s">
        <v>755</v>
      </c>
      <c r="BK8" s="801" t="s">
        <v>756</v>
      </c>
      <c r="BL8" s="801" t="s">
        <v>713</v>
      </c>
      <c r="BM8" s="1960" t="s">
        <v>757</v>
      </c>
      <c r="BN8" s="801" t="s">
        <v>758</v>
      </c>
      <c r="BO8" s="801" t="s">
        <v>759</v>
      </c>
      <c r="BP8" s="801" t="s">
        <v>760</v>
      </c>
      <c r="BQ8" s="800" t="s">
        <v>732</v>
      </c>
      <c r="BR8" s="1960" t="s">
        <v>761</v>
      </c>
      <c r="BS8" s="801" t="s">
        <v>762</v>
      </c>
      <c r="BT8" s="801" t="s">
        <v>763</v>
      </c>
      <c r="BU8" s="801" t="s">
        <v>764</v>
      </c>
      <c r="BV8" s="801" t="s">
        <v>765</v>
      </c>
      <c r="BW8" s="801" t="s">
        <v>766</v>
      </c>
      <c r="BX8" s="801" t="s">
        <v>762</v>
      </c>
      <c r="BY8" s="801" t="s">
        <v>767</v>
      </c>
      <c r="BZ8" s="801" t="s">
        <v>768</v>
      </c>
      <c r="CA8" s="801" t="s">
        <v>765</v>
      </c>
      <c r="CB8" s="801" t="s">
        <v>766</v>
      </c>
      <c r="CC8" s="801" t="s">
        <v>762</v>
      </c>
      <c r="CD8" s="801" t="s">
        <v>767</v>
      </c>
      <c r="CE8" s="801" t="s">
        <v>768</v>
      </c>
      <c r="CF8" s="801" t="s">
        <v>765</v>
      </c>
      <c r="CG8" s="801" t="s">
        <v>766</v>
      </c>
      <c r="CH8" s="803" t="s">
        <v>455</v>
      </c>
      <c r="CI8" s="801" t="s">
        <v>769</v>
      </c>
      <c r="CJ8" s="801" t="s">
        <v>770</v>
      </c>
      <c r="CK8" s="801" t="s">
        <v>771</v>
      </c>
      <c r="CL8" s="801" t="s">
        <v>772</v>
      </c>
      <c r="CM8" s="801" t="s">
        <v>773</v>
      </c>
      <c r="CN8" s="801" t="s">
        <v>774</v>
      </c>
      <c r="CO8" s="801" t="s">
        <v>775</v>
      </c>
      <c r="CP8" s="801" t="s">
        <v>776</v>
      </c>
      <c r="CQ8" s="801" t="s">
        <v>777</v>
      </c>
      <c r="CR8" s="1959" t="s">
        <v>778</v>
      </c>
      <c r="CS8" s="801" t="s">
        <v>779</v>
      </c>
      <c r="CT8" s="801" t="s">
        <v>780</v>
      </c>
      <c r="CU8" s="1959" t="s">
        <v>781</v>
      </c>
      <c r="CV8" s="801" t="s">
        <v>782</v>
      </c>
      <c r="CW8" s="801" t="s">
        <v>783</v>
      </c>
      <c r="CX8" s="1960" t="s">
        <v>509</v>
      </c>
      <c r="CY8" s="801" t="s">
        <v>784</v>
      </c>
      <c r="CZ8" s="1961" t="s">
        <v>785</v>
      </c>
      <c r="DA8" s="1961" t="s">
        <v>786</v>
      </c>
      <c r="DB8" s="1961" t="s">
        <v>787</v>
      </c>
      <c r="DC8" s="801" t="s">
        <v>788</v>
      </c>
      <c r="DD8" s="801" t="s">
        <v>789</v>
      </c>
      <c r="DE8" s="1961" t="s">
        <v>790</v>
      </c>
      <c r="DF8" s="1959" t="s">
        <v>516</v>
      </c>
      <c r="DG8" s="801" t="s">
        <v>791</v>
      </c>
      <c r="DH8" s="801" t="s">
        <v>792</v>
      </c>
      <c r="DI8" s="801" t="s">
        <v>793</v>
      </c>
      <c r="DJ8" s="1961" t="s">
        <v>751</v>
      </c>
      <c r="DK8" s="1961" t="s">
        <v>794</v>
      </c>
      <c r="DL8" s="801" t="s">
        <v>759</v>
      </c>
      <c r="DM8" s="801" t="s">
        <v>795</v>
      </c>
      <c r="DN8" s="801" t="s">
        <v>796</v>
      </c>
      <c r="DO8" s="801" t="s">
        <v>797</v>
      </c>
      <c r="DP8" s="801" t="s">
        <v>798</v>
      </c>
      <c r="DQ8" s="801" t="s">
        <v>799</v>
      </c>
      <c r="DR8" s="801" t="s">
        <v>800</v>
      </c>
      <c r="DS8" s="1961" t="s">
        <v>801</v>
      </c>
      <c r="DT8" s="1961" t="s">
        <v>802</v>
      </c>
      <c r="DU8" s="801" t="s">
        <v>772</v>
      </c>
      <c r="DV8" s="1960" t="s">
        <v>615</v>
      </c>
      <c r="DW8" s="801" t="s">
        <v>665</v>
      </c>
      <c r="DX8" s="801" t="s">
        <v>762</v>
      </c>
      <c r="DY8" s="801" t="s">
        <v>803</v>
      </c>
      <c r="DZ8" s="1961" t="s">
        <v>804</v>
      </c>
      <c r="EA8" s="1961" t="s">
        <v>805</v>
      </c>
      <c r="EB8" s="801" t="s">
        <v>806</v>
      </c>
      <c r="EC8" s="1961" t="s">
        <v>807</v>
      </c>
      <c r="ED8" s="1961" t="s">
        <v>808</v>
      </c>
      <c r="EE8" s="801" t="s">
        <v>809</v>
      </c>
      <c r="EF8" s="801" t="s">
        <v>810</v>
      </c>
      <c r="EG8" s="1959" t="s">
        <v>811</v>
      </c>
      <c r="EH8" s="801" t="s">
        <v>812</v>
      </c>
      <c r="EI8" s="801" t="s">
        <v>813</v>
      </c>
      <c r="EJ8" s="1959" t="s">
        <v>814</v>
      </c>
      <c r="EK8" s="1967" t="s">
        <v>815</v>
      </c>
      <c r="EL8" s="801" t="s">
        <v>816</v>
      </c>
      <c r="EM8" s="801" t="s">
        <v>817</v>
      </c>
      <c r="EN8" s="801" t="s">
        <v>818</v>
      </c>
      <c r="EO8" s="801" t="s">
        <v>819</v>
      </c>
      <c r="EP8" s="1959" t="s">
        <v>820</v>
      </c>
      <c r="EQ8" s="801" t="s">
        <v>821</v>
      </c>
      <c r="ER8" s="1959" t="s">
        <v>822</v>
      </c>
      <c r="ES8" s="801" t="s">
        <v>725</v>
      </c>
      <c r="ET8" s="801" t="s">
        <v>823</v>
      </c>
      <c r="EU8" s="1959" t="s">
        <v>824</v>
      </c>
      <c r="EV8" s="803" t="s">
        <v>825</v>
      </c>
      <c r="EW8" s="1968" t="s">
        <v>826</v>
      </c>
      <c r="EX8" s="1968" t="s">
        <v>827</v>
      </c>
      <c r="EY8" s="1968" t="s">
        <v>828</v>
      </c>
      <c r="EZ8" s="801" t="s">
        <v>829</v>
      </c>
      <c r="FA8" s="1968" t="s">
        <v>830</v>
      </c>
      <c r="FB8" s="1959" t="s">
        <v>831</v>
      </c>
      <c r="FC8" s="801" t="s">
        <v>832</v>
      </c>
      <c r="FD8" s="1969" t="s">
        <v>833</v>
      </c>
      <c r="FE8" s="1969" t="s">
        <v>834</v>
      </c>
      <c r="FF8" s="1969" t="s">
        <v>835</v>
      </c>
      <c r="FG8" s="1969" t="s">
        <v>836</v>
      </c>
      <c r="FH8" s="1969"/>
      <c r="FI8" s="1959" t="s">
        <v>837</v>
      </c>
      <c r="FJ8" s="1959" t="s">
        <v>838</v>
      </c>
      <c r="FK8" s="1967" t="s">
        <v>839</v>
      </c>
      <c r="FL8" s="1970" t="s">
        <v>840</v>
      </c>
      <c r="FM8" s="1971" t="s">
        <v>725</v>
      </c>
      <c r="FN8" s="1971" t="s">
        <v>841</v>
      </c>
      <c r="FO8" s="1971" t="s">
        <v>842</v>
      </c>
      <c r="FP8" s="1971" t="s">
        <v>843</v>
      </c>
      <c r="FQ8" s="1971" t="s">
        <v>844</v>
      </c>
      <c r="FR8" s="1971" t="s">
        <v>845</v>
      </c>
      <c r="FS8" s="1970" t="s">
        <v>846</v>
      </c>
      <c r="FT8" s="1972" t="s">
        <v>847</v>
      </c>
      <c r="FU8" s="1973" t="s">
        <v>848</v>
      </c>
      <c r="FV8" s="1973" t="s">
        <v>849</v>
      </c>
      <c r="FW8" s="1974" t="s">
        <v>850</v>
      </c>
      <c r="FX8" s="1971" t="s">
        <v>725</v>
      </c>
      <c r="FY8" s="1975" t="s">
        <v>439</v>
      </c>
      <c r="FZ8" s="1976" t="s">
        <v>673</v>
      </c>
      <c r="GA8" s="800" t="s">
        <v>851</v>
      </c>
      <c r="GB8" s="1977" t="s">
        <v>852</v>
      </c>
      <c r="GC8" s="1975" t="s">
        <v>853</v>
      </c>
      <c r="GD8" s="1978" t="s">
        <v>854</v>
      </c>
      <c r="GE8" s="1978" t="s">
        <v>855</v>
      </c>
      <c r="GF8" s="1978" t="s">
        <v>856</v>
      </c>
      <c r="GG8" s="1978" t="s">
        <v>857</v>
      </c>
      <c r="GH8" s="1978" t="s">
        <v>858</v>
      </c>
      <c r="GI8" s="1978" t="s">
        <v>41</v>
      </c>
      <c r="GJ8" s="1975" t="s">
        <v>859</v>
      </c>
      <c r="GK8" s="1975" t="s">
        <v>860</v>
      </c>
      <c r="GL8" s="1978" t="s">
        <v>861</v>
      </c>
      <c r="GM8" s="1978" t="s">
        <v>862</v>
      </c>
      <c r="GN8" s="1979" t="s">
        <v>863</v>
      </c>
      <c r="GO8" s="1970" t="s">
        <v>509</v>
      </c>
      <c r="GP8" s="1973" t="s">
        <v>864</v>
      </c>
      <c r="GQ8" s="1973" t="s">
        <v>865</v>
      </c>
      <c r="GR8" s="1973" t="s">
        <v>866</v>
      </c>
      <c r="GS8" s="1972" t="s">
        <v>867</v>
      </c>
      <c r="GT8" s="1980" t="s">
        <v>868</v>
      </c>
      <c r="GU8" s="1981" t="s">
        <v>869</v>
      </c>
      <c r="GV8" s="1981" t="s">
        <v>870</v>
      </c>
      <c r="GW8" s="1981" t="s">
        <v>871</v>
      </c>
      <c r="GX8" s="1981" t="s">
        <v>872</v>
      </c>
      <c r="GY8" s="1973" t="s">
        <v>873</v>
      </c>
      <c r="GZ8" s="1973" t="s">
        <v>874</v>
      </c>
      <c r="HA8" s="1981" t="s">
        <v>875</v>
      </c>
      <c r="HB8" s="1972" t="s">
        <v>876</v>
      </c>
      <c r="HC8" s="1972" t="s">
        <v>877</v>
      </c>
      <c r="HD8" s="1981" t="s">
        <v>878</v>
      </c>
      <c r="HE8" s="1961" t="s">
        <v>879</v>
      </c>
      <c r="HF8" s="1961" t="s">
        <v>880</v>
      </c>
      <c r="HG8" s="1961" t="s">
        <v>881</v>
      </c>
      <c r="HH8" s="1961" t="s">
        <v>882</v>
      </c>
      <c r="HI8" s="1961" t="s">
        <v>883</v>
      </c>
      <c r="HJ8" s="1961" t="s">
        <v>884</v>
      </c>
      <c r="HK8" s="1961" t="s">
        <v>885</v>
      </c>
    </row>
    <row r="9" s="20" customFormat="true" ht="24" hidden="false" customHeight="false" outlineLevel="0" collapsed="false">
      <c r="A9" s="802" t="s">
        <v>886</v>
      </c>
      <c r="B9" s="1514" t="s">
        <v>887</v>
      </c>
      <c r="C9" s="1514" t="s">
        <v>888</v>
      </c>
      <c r="D9" s="802"/>
      <c r="E9" s="801"/>
      <c r="F9" s="1514" t="s">
        <v>889</v>
      </c>
      <c r="G9" s="1514" t="s">
        <v>890</v>
      </c>
      <c r="H9" s="1516" t="s">
        <v>891</v>
      </c>
      <c r="I9" s="1514"/>
      <c r="J9" s="1514" t="s">
        <v>892</v>
      </c>
      <c r="K9" s="1514" t="s">
        <v>893</v>
      </c>
      <c r="L9" s="1594" t="s">
        <v>894</v>
      </c>
      <c r="M9" s="1594" t="s">
        <v>894</v>
      </c>
      <c r="N9" s="1514" t="s">
        <v>894</v>
      </c>
      <c r="O9" s="1514" t="s">
        <v>894</v>
      </c>
      <c r="P9" s="1514" t="s">
        <v>894</v>
      </c>
      <c r="Q9" s="1516" t="s">
        <v>895</v>
      </c>
      <c r="R9" s="1514" t="s">
        <v>896</v>
      </c>
      <c r="S9" s="1514" t="s">
        <v>896</v>
      </c>
      <c r="T9" s="1514" t="s">
        <v>897</v>
      </c>
      <c r="U9" s="1514" t="s">
        <v>898</v>
      </c>
      <c r="V9" s="1514" t="s">
        <v>898</v>
      </c>
      <c r="W9" s="799" t="s">
        <v>899</v>
      </c>
      <c r="X9" s="1514" t="s">
        <v>900</v>
      </c>
      <c r="Y9" s="1514" t="s">
        <v>901</v>
      </c>
      <c r="Z9" s="1514" t="s">
        <v>902</v>
      </c>
      <c r="AA9" s="1514" t="s">
        <v>891</v>
      </c>
      <c r="AB9" s="1516"/>
      <c r="AC9" s="1514" t="s">
        <v>903</v>
      </c>
      <c r="AD9" s="1514"/>
      <c r="AE9" s="1514" t="s">
        <v>901</v>
      </c>
      <c r="AF9" s="1514" t="s">
        <v>902</v>
      </c>
      <c r="AG9" s="1514" t="s">
        <v>891</v>
      </c>
      <c r="AH9" s="1514"/>
      <c r="AI9" s="799" t="s">
        <v>899</v>
      </c>
      <c r="AJ9" s="1594"/>
      <c r="AK9" s="1514" t="s">
        <v>904</v>
      </c>
      <c r="AL9" s="1594" t="s">
        <v>905</v>
      </c>
      <c r="AM9" s="1594"/>
      <c r="AN9" s="1982"/>
      <c r="AO9" s="1983" t="s">
        <v>906</v>
      </c>
      <c r="AP9" s="1594" t="s">
        <v>907</v>
      </c>
      <c r="AQ9" s="1594" t="s">
        <v>908</v>
      </c>
      <c r="AR9" s="1594" t="s">
        <v>909</v>
      </c>
      <c r="AS9" s="1594" t="s">
        <v>901</v>
      </c>
      <c r="AT9" s="1594" t="s">
        <v>891</v>
      </c>
      <c r="AU9" s="1982"/>
      <c r="AV9" s="1983" t="s">
        <v>910</v>
      </c>
      <c r="AW9" s="1514" t="s">
        <v>911</v>
      </c>
      <c r="AX9" s="1514" t="s">
        <v>895</v>
      </c>
      <c r="AY9" s="1514" t="s">
        <v>900</v>
      </c>
      <c r="AZ9" s="1514" t="s">
        <v>901</v>
      </c>
      <c r="BA9" s="1514" t="s">
        <v>891</v>
      </c>
      <c r="BB9" s="1514"/>
      <c r="BC9" s="1514" t="s">
        <v>911</v>
      </c>
      <c r="BD9" s="1514" t="s">
        <v>895</v>
      </c>
      <c r="BE9" s="1594" t="s">
        <v>900</v>
      </c>
      <c r="BF9" s="1514" t="s">
        <v>901</v>
      </c>
      <c r="BG9" s="1594" t="s">
        <v>891</v>
      </c>
      <c r="BH9" s="1594" t="s">
        <v>911</v>
      </c>
      <c r="BI9" s="1594" t="s">
        <v>895</v>
      </c>
      <c r="BJ9" s="1594" t="s">
        <v>895</v>
      </c>
      <c r="BK9" s="1594" t="s">
        <v>901</v>
      </c>
      <c r="BL9" s="1982" t="s">
        <v>891</v>
      </c>
      <c r="BM9" s="799" t="s">
        <v>901</v>
      </c>
      <c r="BN9" s="1514" t="s">
        <v>912</v>
      </c>
      <c r="BO9" s="1594" t="s">
        <v>901</v>
      </c>
      <c r="BP9" s="1594" t="s">
        <v>891</v>
      </c>
      <c r="BQ9" s="1982"/>
      <c r="BR9" s="801"/>
      <c r="BS9" s="1984" t="s">
        <v>913</v>
      </c>
      <c r="BT9" s="1984" t="s">
        <v>914</v>
      </c>
      <c r="BU9" s="1594" t="s">
        <v>915</v>
      </c>
      <c r="BV9" s="1984" t="s">
        <v>916</v>
      </c>
      <c r="BW9" s="1594" t="s">
        <v>917</v>
      </c>
      <c r="BX9" s="1984" t="s">
        <v>913</v>
      </c>
      <c r="BY9" s="1984" t="s">
        <v>918</v>
      </c>
      <c r="BZ9" s="1984" t="s">
        <v>918</v>
      </c>
      <c r="CA9" s="1984" t="s">
        <v>916</v>
      </c>
      <c r="CB9" s="1594" t="s">
        <v>917</v>
      </c>
      <c r="CC9" s="1984" t="s">
        <v>913</v>
      </c>
      <c r="CD9" s="1984" t="s">
        <v>918</v>
      </c>
      <c r="CE9" s="1984" t="s">
        <v>918</v>
      </c>
      <c r="CF9" s="1984" t="s">
        <v>916</v>
      </c>
      <c r="CG9" s="1594" t="s">
        <v>917</v>
      </c>
      <c r="CH9" s="1983" t="s">
        <v>919</v>
      </c>
      <c r="CI9" s="1514" t="s">
        <v>914</v>
      </c>
      <c r="CJ9" s="1594" t="s">
        <v>920</v>
      </c>
      <c r="CK9" s="1594" t="s">
        <v>920</v>
      </c>
      <c r="CL9" s="1594" t="s">
        <v>921</v>
      </c>
      <c r="CM9" s="1594" t="s">
        <v>901</v>
      </c>
      <c r="CN9" s="1594" t="s">
        <v>901</v>
      </c>
      <c r="CO9" s="1594" t="s">
        <v>922</v>
      </c>
      <c r="CP9" s="1594" t="s">
        <v>923</v>
      </c>
      <c r="CQ9" s="1594" t="s">
        <v>924</v>
      </c>
      <c r="CR9" s="1985" t="s">
        <v>925</v>
      </c>
      <c r="CS9" s="1985" t="s">
        <v>926</v>
      </c>
      <c r="CT9" s="1985" t="s">
        <v>926</v>
      </c>
      <c r="CU9" s="1985"/>
      <c r="CV9" s="1985" t="s">
        <v>927</v>
      </c>
      <c r="CW9" s="1985" t="s">
        <v>928</v>
      </c>
      <c r="CX9" s="799"/>
      <c r="CY9" s="1594"/>
      <c r="CZ9" s="1594"/>
      <c r="DA9" s="1594"/>
      <c r="DB9" s="1594"/>
      <c r="DC9" s="1594"/>
      <c r="DD9" s="1594" t="s">
        <v>914</v>
      </c>
      <c r="DE9" s="1986" t="s">
        <v>929</v>
      </c>
      <c r="DF9" s="1594"/>
      <c r="DG9" s="1986" t="s">
        <v>901</v>
      </c>
      <c r="DH9" s="1986" t="s">
        <v>901</v>
      </c>
      <c r="DI9" s="1986" t="s">
        <v>901</v>
      </c>
      <c r="DJ9" s="1986" t="s">
        <v>901</v>
      </c>
      <c r="DK9" s="1986" t="s">
        <v>901</v>
      </c>
      <c r="DL9" s="1987" t="s">
        <v>901</v>
      </c>
      <c r="DM9" s="1987"/>
      <c r="DN9" s="1987"/>
      <c r="DO9" s="1987"/>
      <c r="DP9" s="1987"/>
      <c r="DQ9" s="1987"/>
      <c r="DR9" s="1987"/>
      <c r="DS9" s="1987" t="s">
        <v>930</v>
      </c>
      <c r="DT9" s="1987" t="s">
        <v>930</v>
      </c>
      <c r="DU9" s="1988"/>
      <c r="DW9" s="1594" t="s">
        <v>892</v>
      </c>
      <c r="DX9" s="1989" t="s">
        <v>931</v>
      </c>
      <c r="DY9" s="1989" t="s">
        <v>932</v>
      </c>
      <c r="EB9" s="1984" t="s">
        <v>933</v>
      </c>
      <c r="EE9" s="1989" t="s">
        <v>934</v>
      </c>
      <c r="EF9" s="1990" t="s">
        <v>935</v>
      </c>
      <c r="EG9" s="1989" t="s">
        <v>936</v>
      </c>
      <c r="EH9" s="1989" t="s">
        <v>937</v>
      </c>
      <c r="EI9" s="1987" t="s">
        <v>938</v>
      </c>
      <c r="EJ9" s="1987" t="s">
        <v>939</v>
      </c>
      <c r="EK9" s="1988" t="s">
        <v>940</v>
      </c>
      <c r="EL9" s="1989" t="s">
        <v>941</v>
      </c>
      <c r="EM9" s="1989"/>
      <c r="EN9" s="1989" t="s">
        <v>940</v>
      </c>
      <c r="EO9" s="1989" t="s">
        <v>942</v>
      </c>
      <c r="EP9" s="1989" t="s">
        <v>943</v>
      </c>
      <c r="EQ9" s="1989" t="s">
        <v>944</v>
      </c>
      <c r="ER9" s="1989" t="s">
        <v>945</v>
      </c>
      <c r="ES9" s="1989" t="s">
        <v>897</v>
      </c>
      <c r="ET9" s="1989" t="s">
        <v>946</v>
      </c>
      <c r="EU9" s="1989" t="s">
        <v>947</v>
      </c>
      <c r="EV9" s="1421"/>
      <c r="EW9" s="1991"/>
      <c r="EX9" s="1991"/>
      <c r="EY9" s="1991"/>
      <c r="EZ9" s="29"/>
      <c r="FA9" s="1991" t="s">
        <v>942</v>
      </c>
      <c r="FB9" s="1987" t="s">
        <v>943</v>
      </c>
      <c r="FC9" s="1987" t="s">
        <v>948</v>
      </c>
      <c r="FD9" s="1987"/>
      <c r="FE9" s="1933" t="s">
        <v>949</v>
      </c>
      <c r="FF9" s="1987"/>
      <c r="FG9" s="1987"/>
      <c r="FH9" s="1987"/>
      <c r="FI9" s="1987" t="s">
        <v>950</v>
      </c>
      <c r="FJ9" s="1987"/>
      <c r="FK9" s="1988"/>
      <c r="FL9" s="1987"/>
      <c r="FM9" s="1985" t="s">
        <v>897</v>
      </c>
      <c r="FN9" s="1985" t="s">
        <v>951</v>
      </c>
      <c r="FO9" s="1987" t="s">
        <v>952</v>
      </c>
      <c r="FP9" s="1987" t="s">
        <v>953</v>
      </c>
      <c r="FQ9" s="1987" t="s">
        <v>954</v>
      </c>
      <c r="FR9" s="1987"/>
      <c r="FS9" s="1987" t="s">
        <v>955</v>
      </c>
      <c r="FT9" s="1987" t="s">
        <v>956</v>
      </c>
      <c r="FU9" s="1987"/>
      <c r="FV9" s="1987"/>
      <c r="FW9" s="1988" t="s">
        <v>956</v>
      </c>
      <c r="FX9" s="1987" t="s">
        <v>897</v>
      </c>
      <c r="FY9" s="1987" t="s">
        <v>897</v>
      </c>
      <c r="FZ9" s="1988" t="s">
        <v>897</v>
      </c>
      <c r="GA9" s="895"/>
      <c r="GB9" s="1987" t="s">
        <v>418</v>
      </c>
      <c r="GC9" s="114"/>
      <c r="GD9" s="114"/>
      <c r="GE9" s="114"/>
      <c r="GF9" s="114"/>
      <c r="GG9" s="114"/>
      <c r="GI9" s="1987" t="s">
        <v>957</v>
      </c>
      <c r="GJ9" s="1987" t="s">
        <v>958</v>
      </c>
      <c r="GK9" s="1987" t="s">
        <v>959</v>
      </c>
      <c r="GM9" s="114"/>
      <c r="GN9" s="895"/>
      <c r="GU9" s="1987" t="s">
        <v>960</v>
      </c>
      <c r="GV9" s="1987" t="s">
        <v>895</v>
      </c>
      <c r="GW9" s="1987" t="s">
        <v>961</v>
      </c>
      <c r="GX9" s="1985" t="s">
        <v>962</v>
      </c>
      <c r="GY9" s="1985" t="s">
        <v>963</v>
      </c>
      <c r="GZ9" s="1990" t="s">
        <v>931</v>
      </c>
      <c r="HA9" s="1985" t="s">
        <v>964</v>
      </c>
      <c r="HC9" s="1987"/>
      <c r="HD9" s="1985" t="s">
        <v>929</v>
      </c>
      <c r="HE9" s="1986" t="s">
        <v>964</v>
      </c>
      <c r="HF9" s="1986" t="s">
        <v>965</v>
      </c>
      <c r="HG9" s="1986"/>
      <c r="HH9" s="1986"/>
      <c r="HI9" s="1986"/>
      <c r="HJ9" s="1986"/>
      <c r="HK9" s="1986"/>
    </row>
    <row r="10" s="20" customFormat="true" ht="12" hidden="false" customHeight="false" outlineLevel="0" collapsed="false">
      <c r="A10" s="802" t="n">
        <v>1949</v>
      </c>
      <c r="B10" s="1514"/>
      <c r="C10" s="1514"/>
      <c r="D10" s="802"/>
      <c r="E10" s="801"/>
      <c r="F10" s="1514"/>
      <c r="G10" s="1514"/>
      <c r="H10" s="1514"/>
      <c r="I10" s="1983"/>
      <c r="J10" s="1514"/>
      <c r="K10" s="1514"/>
      <c r="L10" s="1594"/>
      <c r="M10" s="1594"/>
      <c r="N10" s="1514"/>
      <c r="O10" s="1514"/>
      <c r="P10" s="1514"/>
      <c r="Q10" s="1516"/>
      <c r="R10" s="1514"/>
      <c r="S10" s="1514"/>
      <c r="T10" s="1514"/>
      <c r="U10" s="1514"/>
      <c r="V10" s="1514"/>
      <c r="W10" s="799"/>
      <c r="X10" s="1514"/>
      <c r="Y10" s="1514"/>
      <c r="Z10" s="1514"/>
      <c r="AA10" s="1514"/>
      <c r="AB10" s="1516"/>
      <c r="AC10" s="1514"/>
      <c r="AD10" s="1514"/>
      <c r="AE10" s="1514"/>
      <c r="AF10" s="1514"/>
      <c r="AG10" s="1514"/>
      <c r="AH10" s="1514"/>
      <c r="AI10" s="799"/>
      <c r="AJ10" s="1594"/>
      <c r="AK10" s="1514"/>
      <c r="AL10" s="1594"/>
      <c r="AM10" s="1594"/>
      <c r="AN10" s="1982"/>
      <c r="AO10" s="1983"/>
      <c r="AP10" s="1594"/>
      <c r="AQ10" s="1594"/>
      <c r="AR10" s="1594"/>
      <c r="AS10" s="1594"/>
      <c r="AT10" s="1594"/>
      <c r="AU10" s="1982"/>
      <c r="AV10" s="1983"/>
      <c r="AW10" s="1514"/>
      <c r="AX10" s="1514"/>
      <c r="AY10" s="1514"/>
      <c r="AZ10" s="1514"/>
      <c r="BA10" s="1514"/>
      <c r="BB10" s="1514"/>
      <c r="BC10" s="1514"/>
      <c r="BD10" s="1514"/>
      <c r="BE10" s="1594"/>
      <c r="BF10" s="1514"/>
      <c r="BG10" s="1594"/>
      <c r="BH10" s="1594"/>
      <c r="BI10" s="1594"/>
      <c r="BJ10" s="1594"/>
      <c r="BK10" s="1594"/>
      <c r="BL10" s="1982"/>
      <c r="BM10" s="799"/>
      <c r="BN10" s="1514"/>
      <c r="BO10" s="1594"/>
      <c r="BP10" s="1594"/>
      <c r="BQ10" s="1982"/>
      <c r="BR10" s="801"/>
      <c r="BS10" s="1984"/>
      <c r="BT10" s="1984"/>
      <c r="BU10" s="1594"/>
      <c r="BV10" s="1984"/>
      <c r="BW10" s="1594"/>
      <c r="BX10" s="1984"/>
      <c r="BY10" s="1984"/>
      <c r="BZ10" s="1984"/>
      <c r="CA10" s="1984"/>
      <c r="CB10" s="1594"/>
      <c r="CC10" s="1984"/>
      <c r="CD10" s="1984"/>
      <c r="CE10" s="1984"/>
      <c r="CF10" s="1984"/>
      <c r="CG10" s="1594"/>
      <c r="CH10" s="1983"/>
      <c r="CI10" s="1514"/>
      <c r="CJ10" s="1594"/>
      <c r="CK10" s="1594"/>
      <c r="CL10" s="1594"/>
      <c r="CM10" s="1594"/>
      <c r="CN10" s="1594"/>
      <c r="CO10" s="1594"/>
      <c r="CP10" s="1594"/>
      <c r="CQ10" s="1594"/>
      <c r="CR10" s="1985"/>
      <c r="CS10" s="1985"/>
      <c r="CT10" s="1985"/>
      <c r="CU10" s="1985"/>
      <c r="CV10" s="1985"/>
      <c r="CW10" s="1985"/>
      <c r="CX10" s="799"/>
      <c r="CY10" s="1594"/>
      <c r="CZ10" s="1594"/>
      <c r="DA10" s="1594"/>
      <c r="DB10" s="1594"/>
      <c r="DC10" s="1594"/>
      <c r="DD10" s="1594"/>
      <c r="DE10" s="1986"/>
      <c r="DF10" s="1594"/>
      <c r="DG10" s="1986"/>
      <c r="DH10" s="1986"/>
      <c r="DI10" s="1986"/>
      <c r="DJ10" s="1986"/>
      <c r="DK10" s="1986"/>
      <c r="DL10" s="1987"/>
      <c r="DM10" s="1987"/>
      <c r="DN10" s="1987"/>
      <c r="DO10" s="1987"/>
      <c r="DP10" s="1987"/>
      <c r="DQ10" s="1987"/>
      <c r="DR10" s="1987"/>
      <c r="DS10" s="1987"/>
      <c r="DT10" s="1987"/>
      <c r="DU10" s="1988"/>
      <c r="DW10" s="1594"/>
      <c r="DX10" s="1989"/>
      <c r="DY10" s="1989"/>
      <c r="EB10" s="1984"/>
      <c r="EE10" s="1989"/>
      <c r="EF10" s="1990"/>
      <c r="EG10" s="1989"/>
      <c r="EH10" s="1989"/>
      <c r="EI10" s="1987"/>
      <c r="EJ10" s="1987"/>
      <c r="EK10" s="1988"/>
      <c r="EL10" s="1989"/>
      <c r="EM10" s="1989"/>
      <c r="EN10" s="1989"/>
      <c r="EO10" s="1989"/>
      <c r="EP10" s="1989"/>
      <c r="EQ10" s="1989"/>
      <c r="ER10" s="1989"/>
      <c r="ES10" s="1989"/>
      <c r="ET10" s="1989"/>
      <c r="EU10" s="1989"/>
      <c r="EV10" s="1421"/>
      <c r="EW10" s="1991"/>
      <c r="EX10" s="1991"/>
      <c r="EY10" s="1991"/>
      <c r="EZ10" s="1478"/>
      <c r="FA10" s="1991"/>
      <c r="FB10" s="1987"/>
      <c r="FC10" s="1987"/>
      <c r="FD10" s="1987"/>
      <c r="FE10" s="1933"/>
      <c r="FF10" s="1987"/>
      <c r="FG10" s="1987"/>
      <c r="FH10" s="1987"/>
      <c r="FI10" s="1987"/>
      <c r="FJ10" s="1987"/>
      <c r="FK10" s="1988"/>
      <c r="FL10" s="1987"/>
      <c r="FM10" s="1985"/>
      <c r="FN10" s="1985"/>
      <c r="FO10" s="1987"/>
      <c r="FP10" s="1987"/>
      <c r="FQ10" s="1987"/>
      <c r="FR10" s="1987"/>
      <c r="FS10" s="1987"/>
      <c r="FT10" s="1987"/>
      <c r="FU10" s="1987"/>
      <c r="FV10" s="1987"/>
      <c r="FW10" s="1988"/>
      <c r="FX10" s="1987"/>
      <c r="FY10" s="1987"/>
      <c r="FZ10" s="1988"/>
      <c r="GA10" s="895"/>
      <c r="GB10" s="1987"/>
      <c r="GC10" s="114"/>
      <c r="GD10" s="114"/>
      <c r="GE10" s="114"/>
      <c r="GF10" s="114"/>
      <c r="GG10" s="114"/>
      <c r="GH10" s="1992" t="n">
        <f aca="false">GH11*GH11/GH12</f>
        <v>50302.626663</v>
      </c>
      <c r="GI10" s="1987"/>
      <c r="GJ10" s="1987"/>
      <c r="GK10" s="1987"/>
      <c r="GL10" s="23" t="n">
        <f aca="false">GL11*GL11/GL12</f>
        <v>0.307114559260482</v>
      </c>
      <c r="GM10" s="114"/>
      <c r="GN10" s="1993" t="n">
        <f aca="false">GN11*GN11/GN12</f>
        <v>50302.626663</v>
      </c>
      <c r="GO10" s="1422"/>
      <c r="GU10" s="1987"/>
      <c r="GV10" s="1987"/>
      <c r="GW10" s="1987"/>
      <c r="GX10" s="1985"/>
      <c r="GY10" s="1985"/>
      <c r="GZ10" s="1990"/>
      <c r="HA10" s="1985"/>
      <c r="HC10" s="1987"/>
      <c r="HD10" s="1985"/>
      <c r="HE10" s="1986"/>
      <c r="HF10" s="1986"/>
      <c r="HG10" s="1986"/>
      <c r="HH10" s="1986"/>
      <c r="HI10" s="1986"/>
      <c r="HJ10" s="1986"/>
      <c r="HK10" s="1986"/>
    </row>
    <row r="11" customFormat="false" ht="12" hidden="false" customHeight="false" outlineLevel="0" collapsed="false">
      <c r="A11" s="31" t="n">
        <v>1950</v>
      </c>
      <c r="B11" s="1994" t="n">
        <f aca="false">E11+F11</f>
        <v>50.7503830983098</v>
      </c>
      <c r="C11" s="432" t="n">
        <f aca="false">B11+CR11</f>
        <v>48.8764458306324</v>
      </c>
      <c r="D11" s="1995" t="n">
        <f aca="false">B11-I11</f>
        <v>44.4332420152328</v>
      </c>
      <c r="E11" s="1996" t="n">
        <f aca="false">CH11</f>
        <v>0.771683591463391</v>
      </c>
      <c r="F11" s="395" t="n">
        <f aca="false">W11+BM11+J11</f>
        <v>49.9786995068464</v>
      </c>
      <c r="G11" s="1478" t="n">
        <f aca="false">J11+X11+BN11</f>
        <v>55.051501395389</v>
      </c>
      <c r="H11" s="1997" t="n">
        <f aca="false">AA11+BP11</f>
        <v>5.07280188854255</v>
      </c>
      <c r="I11" s="1998" t="n">
        <f aca="false">I12*DateDE1b!K12/DateDE1b!K13</f>
        <v>6.31714108307703</v>
      </c>
      <c r="J11" s="395" t="n">
        <f aca="false">I11-CO11</f>
        <v>6.31714108307703</v>
      </c>
      <c r="K11" s="1478"/>
      <c r="L11" s="1478"/>
      <c r="M11" s="1478"/>
      <c r="N11" s="1478"/>
      <c r="O11" s="1478"/>
      <c r="P11" s="1478"/>
      <c r="Q11" s="1999"/>
      <c r="R11" s="1997" t="n">
        <f aca="false">R12*DateDE1b!L12/DateDE1b!L13</f>
        <v>35.7396889702177</v>
      </c>
      <c r="S11" s="1997" t="n">
        <f aca="false">S12*DateDE1b!M12/DateDE1b!M13</f>
        <v>5.64560373041907</v>
      </c>
      <c r="T11" s="1997" t="n">
        <f aca="false">T12*DateDE1b!N12/DateDE1b!N13</f>
        <v>13.2717174776721</v>
      </c>
      <c r="U11" s="1997" t="n">
        <f aca="false">U12*DateDE1b!Q12/DateDE1b!Q13</f>
        <v>6.4270044139277</v>
      </c>
      <c r="V11" s="1997" t="n">
        <f aca="false">V12*DateDE1b!R12/DateDE1b!R13</f>
        <v>5.94817822327981</v>
      </c>
      <c r="W11" s="2000" t="n">
        <f aca="false">W12*DateDE1b!U12/DateDE1b!U13</f>
        <v>40.5180619901339</v>
      </c>
      <c r="X11" s="1997" t="n">
        <f aca="false">W11+AA11</f>
        <v>44.8101737242363</v>
      </c>
      <c r="Y11" s="1997" t="n">
        <f aca="false">Y12*DateDE1b!W12/DateDE1b!W13</f>
        <v>21.0365233757148</v>
      </c>
      <c r="Z11" s="1997" t="n">
        <f aca="false">W11-Y11</f>
        <v>19.481538614419</v>
      </c>
      <c r="AA11" s="1997" t="n">
        <f aca="false">AA12*DateDE1b!Y12/DateDE1b!Y13</f>
        <v>4.2921117341024</v>
      </c>
      <c r="AB11" s="1319" t="n">
        <f aca="false">AA11/X11</f>
        <v>0.0957843136363684</v>
      </c>
      <c r="AC11" s="1997"/>
      <c r="AD11" s="1997"/>
      <c r="AE11" s="1997"/>
      <c r="AF11" s="1997"/>
      <c r="AG11" s="1997"/>
      <c r="AH11" s="1997"/>
      <c r="AI11" s="2001"/>
      <c r="AJ11" s="2002"/>
      <c r="AK11" s="1478"/>
      <c r="AL11" s="1478"/>
      <c r="AM11" s="821"/>
      <c r="AN11" s="2003"/>
      <c r="AO11" s="2001"/>
      <c r="AP11" s="2004"/>
      <c r="AQ11" s="2004"/>
      <c r="AR11" s="1478"/>
      <c r="AS11" s="1478"/>
      <c r="AT11" s="1478"/>
      <c r="AU11" s="2005"/>
      <c r="AV11" s="2001"/>
      <c r="AW11" s="2004"/>
      <c r="AX11" s="2004"/>
      <c r="AY11" s="1932"/>
      <c r="AZ11" s="1478"/>
      <c r="BA11" s="1478"/>
      <c r="BB11" s="821"/>
      <c r="BC11" s="1478"/>
      <c r="BD11" s="1478"/>
      <c r="BE11" s="1509"/>
      <c r="BF11" s="1478"/>
      <c r="BG11" s="1478"/>
      <c r="BH11" s="1478"/>
      <c r="BI11" s="1478"/>
      <c r="BJ11" s="1509"/>
      <c r="BK11" s="1478"/>
      <c r="BL11" s="2003"/>
      <c r="BM11" s="2006" t="n">
        <f aca="false">BM12*DateDE1b!AM12/DateDE1b!AM13</f>
        <v>3.14349643363555</v>
      </c>
      <c r="BN11" s="2004" t="n">
        <f aca="false">BO11+BP11</f>
        <v>3.9241865880757</v>
      </c>
      <c r="BO11" s="1997" t="n">
        <f aca="false">BO12*DateDE1b!AO12/DateDE1b!AO13</f>
        <v>3.14349643363555</v>
      </c>
      <c r="BP11" s="1997" t="n">
        <f aca="false">BP12*DateDE1b!AP12/DateDE1b!AP13</f>
        <v>0.780690154440154</v>
      </c>
      <c r="BQ11" s="2005" t="n">
        <f aca="false">BP11/BN11</f>
        <v>0.198943178902963</v>
      </c>
      <c r="BR11" s="1509"/>
      <c r="BS11" s="1509"/>
      <c r="BT11" s="1509"/>
      <c r="BU11" s="1509"/>
      <c r="BV11" s="1509"/>
      <c r="BW11" s="1509"/>
      <c r="BX11" s="1478"/>
      <c r="BY11" s="1478"/>
      <c r="BZ11" s="1478"/>
      <c r="CA11" s="1509"/>
      <c r="CB11" s="1509"/>
      <c r="CC11" s="1478"/>
      <c r="CD11" s="1478"/>
      <c r="CE11" s="1478"/>
      <c r="CF11" s="1478"/>
      <c r="CG11" s="1509"/>
      <c r="CH11" s="1482" t="n">
        <f aca="false">CI11+CL11+CO11</f>
        <v>0.771683591463391</v>
      </c>
      <c r="CI11" s="1479" t="n">
        <f aca="false">CJ11-CK11</f>
        <v>-0.0128012693372591</v>
      </c>
      <c r="CJ11" s="1478" t="n">
        <f aca="false">CJ12*DateDE1b!BC12/DateDE1b!BC13</f>
        <v>0.0208891577422294</v>
      </c>
      <c r="CK11" s="1478" t="n">
        <f aca="false">CK12*DateDE1b!BD12/DateDE1b!BD13</f>
        <v>0.0336904270794885</v>
      </c>
      <c r="CL11" s="1479" t="n">
        <f aca="false">CM11-CN11</f>
        <v>0.784484860800651</v>
      </c>
      <c r="CM11" s="1478" t="n">
        <f aca="false">CM12*DateDE1b!BF12/DateDE1b!BF13</f>
        <v>0.792567567567568</v>
      </c>
      <c r="CN11" s="1478" t="n">
        <f aca="false">CN12*DateDE1b!BG12/DateDE1b!BG13</f>
        <v>0.0080827067669173</v>
      </c>
      <c r="CO11" s="384" t="n">
        <v>0</v>
      </c>
      <c r="CP11" s="1997"/>
      <c r="CQ11" s="1997"/>
      <c r="CR11" s="1478" t="n">
        <f aca="false">CR12*DateDE1b!BK12/DateDE1b!BK13</f>
        <v>-1.8739372676774</v>
      </c>
      <c r="CS11" s="1478"/>
      <c r="CT11" s="1478"/>
      <c r="CU11" s="1478" t="n">
        <f aca="false">DateDE1b!BN12/DateDE1b!$B$5</f>
        <v>-0.102258376239244</v>
      </c>
      <c r="CV11" s="1478"/>
      <c r="CW11" s="1478"/>
      <c r="CX11" s="1998" t="n">
        <f aca="false">D11+DD11-DF11</f>
        <v>9.35700461720468</v>
      </c>
      <c r="CY11" s="2007" t="n">
        <f aca="false">CX11-DC11-DD11</f>
        <v>9.69191977169556</v>
      </c>
      <c r="CZ11" s="1509"/>
      <c r="DA11" s="2008"/>
      <c r="DB11" s="2009"/>
      <c r="DC11" s="2009" t="n">
        <f aca="false">CI11</f>
        <v>-0.0128012693372591</v>
      </c>
      <c r="DD11" s="1478" t="n">
        <f aca="false">DateDE1b!BV13/DateDE1b!$B$5</f>
        <v>-0.322113885153618</v>
      </c>
      <c r="DE11" s="1478"/>
      <c r="DF11" s="2007" t="n">
        <f aca="false">DI11+DL11+DM11+DU11</f>
        <v>34.7541235128745</v>
      </c>
      <c r="DG11" s="2010" t="n">
        <f aca="false">DG12*DateDE1b!BZ12/DateDE1b!BZ13</f>
        <v>24.9546614451154</v>
      </c>
      <c r="DH11" s="2010" t="n">
        <f aca="false">DG11-DU11</f>
        <v>24.1701765843148</v>
      </c>
      <c r="DI11" s="2011" t="n">
        <f aca="false">Y11</f>
        <v>21.0365233757148</v>
      </c>
      <c r="DJ11" s="2012"/>
      <c r="DK11" s="2012"/>
      <c r="DL11" s="1509" t="n">
        <f aca="false">BM11</f>
        <v>3.14349643363555</v>
      </c>
      <c r="DM11" s="2009" t="n">
        <f aca="false">GK11*DN11*DH11/GJ11</f>
        <v>9.78961884272349</v>
      </c>
      <c r="DN11" s="2013" t="n">
        <f aca="false">DN12</f>
        <v>0.895905244977209</v>
      </c>
      <c r="DO11" s="2009"/>
      <c r="DP11" s="2009" t="n">
        <f aca="false">GK11*DH11/GJ11</f>
        <v>10.9270694614278</v>
      </c>
      <c r="DQ11" s="2009" t="n">
        <f aca="false">2/3*DP11</f>
        <v>7.28471297428522</v>
      </c>
      <c r="DR11" s="2009"/>
      <c r="DS11" s="2009"/>
      <c r="DT11" s="2014"/>
      <c r="DU11" s="2015" t="n">
        <f aca="false">CL11</f>
        <v>0.784484860800651</v>
      </c>
      <c r="DV11" s="2016" t="n">
        <f aca="false">DV12*DateDE1b!CE12/DateDE1b!CE13</f>
        <v>14.9178044374825</v>
      </c>
      <c r="DW11" s="1509" t="n">
        <f aca="false">I11</f>
        <v>6.31714108307703</v>
      </c>
      <c r="DX11" s="2017"/>
      <c r="DY11" s="2017"/>
      <c r="DZ11" s="2018"/>
      <c r="EA11" s="2018"/>
      <c r="EB11" s="1478" t="n">
        <f aca="false">EB12*DateDE1b!CL12/DateDE1b!CL13</f>
        <v>4.50755093696177</v>
      </c>
      <c r="EC11" s="2018"/>
      <c r="ED11" s="2018"/>
      <c r="EE11" s="1997"/>
      <c r="EF11" s="2017"/>
      <c r="EG11" s="2019" t="n">
        <f aca="false">EG12*DateDE1b!CQ12/DateDE1b!CQ13</f>
        <v>6.95103515656534</v>
      </c>
      <c r="EH11" s="2020" t="n">
        <f aca="false">EG11-EI11</f>
        <v>5.69707709685346</v>
      </c>
      <c r="EI11" s="2020" t="n">
        <f aca="false">EG11*EI$41/EG$41</f>
        <v>1.25395805971188</v>
      </c>
      <c r="EJ11" s="2021"/>
      <c r="EK11" s="2022"/>
      <c r="EL11" s="2017"/>
      <c r="EM11" s="2017"/>
      <c r="EN11" s="2017"/>
      <c r="EO11" s="2017" t="n">
        <f aca="false">EO12*DateDE1b!CT12/DateDE1b!CT13</f>
        <v>6.98408652991919</v>
      </c>
      <c r="EP11" s="2017" t="n">
        <f aca="false">EO11-S11</f>
        <v>1.33848279950012</v>
      </c>
      <c r="EQ11" s="2017" t="n">
        <f aca="false">DateDE1b!CV12/DateDE1b!$B$5</f>
        <v>-0.414146423768937</v>
      </c>
      <c r="ER11" s="2023" t="n">
        <f aca="false">EP11+EQ11</f>
        <v>0.924336375731178</v>
      </c>
      <c r="ES11" s="2017" t="n">
        <f aca="false">ES12*DateDE1b!CX12/DateDE1b!CX13</f>
        <v>1.16866083101941</v>
      </c>
      <c r="ET11" s="2017" t="n">
        <v>0</v>
      </c>
      <c r="EU11" s="2017" t="n">
        <f aca="false">ER11-ES11-ET11+BP11</f>
        <v>0.536365699151919</v>
      </c>
      <c r="EV11" s="2024" t="n">
        <f aca="false">B11-DV11+EH11+DD11-CO11</f>
        <v>41.2075418725272</v>
      </c>
      <c r="EW11" s="1478"/>
      <c r="EX11" s="1478"/>
      <c r="EY11" s="1478"/>
      <c r="EZ11" s="1478" t="n">
        <f aca="false">EV11+EI11</f>
        <v>42.4614999322391</v>
      </c>
      <c r="FA11" s="1478"/>
      <c r="FB11" s="1478" t="n">
        <f aca="false">FB12*DateDE1b!DE12/DateDE1b!DE13</f>
        <v>1.46549736495389</v>
      </c>
      <c r="FC11" s="1478"/>
      <c r="FD11" s="1997" t="n">
        <f aca="false">T11+E11+U11-V11+CR11-H11-EP11</f>
        <v>6.23700530406328</v>
      </c>
      <c r="FE11" s="1478"/>
      <c r="FF11" s="1997"/>
      <c r="FG11" s="1997" t="n">
        <f aca="false">CU11-EQ11</f>
        <v>0.311888047529693</v>
      </c>
      <c r="FH11" s="514" t="n">
        <f aca="false">FG11/FD11</f>
        <v>0.0500060577672597</v>
      </c>
      <c r="FI11" s="1994" t="n">
        <f aca="false">FI12*DateDE1b!DE12/DateDE1b!DE13</f>
        <v>1.53400856389987</v>
      </c>
      <c r="FJ11" s="1994" t="n">
        <f aca="false">FK11-FI11</f>
        <v>5.0148847876931</v>
      </c>
      <c r="FK11" s="2025" t="n">
        <f aca="false">FD11+FG11</f>
        <v>6.54889335159297</v>
      </c>
      <c r="FL11" s="1994"/>
      <c r="FM11" s="1994"/>
      <c r="FN11" s="1478"/>
      <c r="FO11" s="1995"/>
      <c r="FP11" s="1478"/>
      <c r="FQ11" s="1478"/>
      <c r="FR11" s="1997" t="n">
        <v>0</v>
      </c>
      <c r="FS11" s="1478"/>
      <c r="FT11" s="1478"/>
      <c r="FU11" s="1478"/>
      <c r="FV11" s="1478"/>
      <c r="FW11" s="2025"/>
      <c r="FX11" s="2026"/>
      <c r="FY11" s="2026"/>
      <c r="FZ11" s="2027"/>
      <c r="GA11" s="2015" t="n">
        <v>0</v>
      </c>
      <c r="GB11" s="402" t="n">
        <v>-0.0638297872340425</v>
      </c>
      <c r="GC11" s="387"/>
      <c r="GD11" s="387"/>
      <c r="GE11" s="387"/>
      <c r="GF11" s="387"/>
      <c r="GG11" s="387"/>
      <c r="GH11" s="1992" t="n">
        <f aca="false">GH12*GH12/GH13</f>
        <v>50747.5704918072</v>
      </c>
      <c r="GI11" s="465" t="n">
        <f aca="false">GI12*DateDE1b!DM12/DateDE1b!DM13</f>
        <v>20726.7589206878</v>
      </c>
      <c r="GJ11" s="465" t="n">
        <f aca="false">GJ12*DateDE1b!DN12/DateDE1b!DN13</f>
        <v>14206.7131064859</v>
      </c>
      <c r="GK11" s="465" t="n">
        <f aca="false">GK12*DateDE1b!DO12/DateDE1b!DO13</f>
        <v>6422.69783969598</v>
      </c>
      <c r="GL11" s="25" t="n">
        <v>0.305</v>
      </c>
      <c r="GM11" s="25" t="n">
        <f aca="false">GK11/GI11</f>
        <v>0.309874682494876</v>
      </c>
      <c r="GN11" s="1993" t="n">
        <f aca="false">GN12*GN12/GN13</f>
        <v>50747.5704918072</v>
      </c>
      <c r="GO11" s="2028" t="n">
        <f aca="false">CX11</f>
        <v>9.35700461720468</v>
      </c>
      <c r="GP11" s="1932"/>
      <c r="GQ11" s="1932"/>
      <c r="GR11" s="1932"/>
      <c r="GS11" s="1509"/>
      <c r="GT11" s="1932"/>
      <c r="GU11" s="1478"/>
      <c r="GV11" s="1509"/>
      <c r="GW11" s="1478"/>
      <c r="GX11" s="1932"/>
      <c r="GY11" s="1478"/>
      <c r="GZ11" s="24"/>
      <c r="HA11" s="1478"/>
      <c r="HB11" s="1478"/>
      <c r="HD11" s="1478"/>
      <c r="HE11" s="1478"/>
      <c r="HF11" s="1478"/>
      <c r="HG11" s="1478"/>
      <c r="HH11" s="1478"/>
      <c r="HI11" s="1478"/>
      <c r="HJ11" s="1478"/>
      <c r="HK11" s="387"/>
    </row>
    <row r="12" customFormat="false" ht="12" hidden="false" customHeight="false" outlineLevel="0" collapsed="false">
      <c r="A12" s="31" t="n">
        <f aca="false">A11+1</f>
        <v>1951</v>
      </c>
      <c r="B12" s="1994" t="n">
        <f aca="false">E12+F12</f>
        <v>62.1959264596005</v>
      </c>
      <c r="C12" s="432" t="n">
        <f aca="false">B12+CR12</f>
        <v>59.8705406683463</v>
      </c>
      <c r="D12" s="1995" t="n">
        <f aca="false">B12-I12</f>
        <v>53.9593264561127</v>
      </c>
      <c r="E12" s="1996" t="n">
        <f aca="false">CH12</f>
        <v>0.774015328060209</v>
      </c>
      <c r="F12" s="395" t="n">
        <f aca="false">W12+BM12+J12</f>
        <v>61.4219111315403</v>
      </c>
      <c r="G12" s="1478" t="n">
        <f aca="false">J12+X12+BN12</f>
        <v>67.5097318294583</v>
      </c>
      <c r="H12" s="1997" t="n">
        <f aca="false">AA12+BP12</f>
        <v>6.08782069791794</v>
      </c>
      <c r="I12" s="1998" t="n">
        <f aca="false">I13*DateDE1b!K13/DateDE1b!K14</f>
        <v>8.23660000348782</v>
      </c>
      <c r="J12" s="395" t="n">
        <f aca="false">I12-CO12</f>
        <v>8.23660000348782</v>
      </c>
      <c r="K12" s="1478"/>
      <c r="L12" s="1478"/>
      <c r="M12" s="1478"/>
      <c r="N12" s="1478"/>
      <c r="O12" s="1478"/>
      <c r="P12" s="1478"/>
      <c r="Q12" s="1999"/>
      <c r="R12" s="1997" t="n">
        <f aca="false">R13*DateDE1b!L13/DateDE1b!L14</f>
        <v>41.4220790058242</v>
      </c>
      <c r="S12" s="1997" t="n">
        <f aca="false">S13*DateDE1b!M13/DateDE1b!M14</f>
        <v>6.9958810005882</v>
      </c>
      <c r="T12" s="1997" t="n">
        <f aca="false">T13*DateDE1b!N13/DateDE1b!N14</f>
        <v>16.3763824757283</v>
      </c>
      <c r="U12" s="1997" t="n">
        <f aca="false">U13*DateDE1b!Q13/DateDE1b!Q14</f>
        <v>10.3323859407705</v>
      </c>
      <c r="V12" s="1997" t="n">
        <f aca="false">V13*DateDE1b!R13/DateDE1b!R14</f>
        <v>7.7772790328598</v>
      </c>
      <c r="W12" s="2000" t="n">
        <f aca="false">W13*DateDE1b!U13/DateDE1b!U14</f>
        <v>49.4874061523296</v>
      </c>
      <c r="X12" s="1997" t="n">
        <f aca="false">W12+AA12</f>
        <v>54.6587644950351</v>
      </c>
      <c r="Y12" s="1997" t="n">
        <f aca="false">Y13*DateDE1b!W13/DateDE1b!W14</f>
        <v>25.6646675441475</v>
      </c>
      <c r="Z12" s="1997" t="n">
        <f aca="false">W12-Y12</f>
        <v>23.822738608182</v>
      </c>
      <c r="AA12" s="1997" t="n">
        <f aca="false">AA13*DateDE1b!Y13/DateDE1b!Y14</f>
        <v>5.17135834270559</v>
      </c>
      <c r="AB12" s="1319" t="n">
        <f aca="false">AA12/X12</f>
        <v>0.094611694766268</v>
      </c>
      <c r="AC12" s="1997"/>
      <c r="AD12" s="1997"/>
      <c r="AE12" s="1997"/>
      <c r="AF12" s="1997"/>
      <c r="AG12" s="1997"/>
      <c r="AH12" s="1997"/>
      <c r="AI12" s="2001"/>
      <c r="AJ12" s="2002"/>
      <c r="AK12" s="1478"/>
      <c r="AL12" s="1478"/>
      <c r="AM12" s="821"/>
      <c r="AN12" s="2003"/>
      <c r="AO12" s="2001"/>
      <c r="AP12" s="2004"/>
      <c r="AQ12" s="2004"/>
      <c r="AR12" s="1478"/>
      <c r="AS12" s="1478"/>
      <c r="AT12" s="1478"/>
      <c r="AU12" s="2005"/>
      <c r="AV12" s="2001"/>
      <c r="AW12" s="2004"/>
      <c r="AX12" s="2004"/>
      <c r="AY12" s="1932"/>
      <c r="AZ12" s="1478"/>
      <c r="BA12" s="1478"/>
      <c r="BB12" s="821"/>
      <c r="BC12" s="1478"/>
      <c r="BD12" s="1478"/>
      <c r="BE12" s="1509"/>
      <c r="BF12" s="1478"/>
      <c r="BG12" s="1478"/>
      <c r="BH12" s="1478"/>
      <c r="BI12" s="1478"/>
      <c r="BJ12" s="1509"/>
      <c r="BK12" s="1478"/>
      <c r="BL12" s="2003"/>
      <c r="BM12" s="2006" t="n">
        <f aca="false">BM13*DateDE1b!AM13/DateDE1b!AM14</f>
        <v>3.69790497572294</v>
      </c>
      <c r="BN12" s="2004" t="n">
        <f aca="false">BO12+BP12</f>
        <v>4.6143673309353</v>
      </c>
      <c r="BO12" s="1997" t="n">
        <f aca="false">BO13*DateDE1b!AO13/DateDE1b!AO14</f>
        <v>3.69790497572294</v>
      </c>
      <c r="BP12" s="1997" t="n">
        <f aca="false">BP13*DateDE1b!AP13/DateDE1b!AP14</f>
        <v>0.916462355212354</v>
      </c>
      <c r="BQ12" s="2005" t="n">
        <f aca="false">BP12/BN12</f>
        <v>0.198610619719907</v>
      </c>
      <c r="BR12" s="1509"/>
      <c r="BS12" s="1509"/>
      <c r="BT12" s="1509"/>
      <c r="BU12" s="1509"/>
      <c r="BV12" s="1509"/>
      <c r="BW12" s="1509"/>
      <c r="BX12" s="1478"/>
      <c r="BY12" s="1478"/>
      <c r="BZ12" s="1478"/>
      <c r="CA12" s="1509"/>
      <c r="CB12" s="1509"/>
      <c r="CC12" s="1478"/>
      <c r="CD12" s="1478"/>
      <c r="CE12" s="1478"/>
      <c r="CF12" s="1478"/>
      <c r="CG12" s="1509"/>
      <c r="CH12" s="1482" t="n">
        <f aca="false">CI12+CL12+CO12</f>
        <v>0.774015328060209</v>
      </c>
      <c r="CI12" s="1479" t="n">
        <f aca="false">CJ12-CK12</f>
        <v>-0.0593264375904968</v>
      </c>
      <c r="CJ12" s="1478" t="n">
        <f aca="false">CJ13*DateDE1b!BC13/DateDE1b!BC14</f>
        <v>0.0459561470329047</v>
      </c>
      <c r="CK12" s="1478" t="n">
        <f aca="false">CK13*DateDE1b!BD13/DateDE1b!BD14</f>
        <v>0.105282584623401</v>
      </c>
      <c r="CL12" s="1479" t="n">
        <f aca="false">CM12-CN12</f>
        <v>0.833341765650706</v>
      </c>
      <c r="CM12" s="1478" t="n">
        <f aca="false">CM13*DateDE1b!BF13/DateDE1b!BF14</f>
        <v>0.841424472417623</v>
      </c>
      <c r="CN12" s="1478" t="n">
        <f aca="false">CN13*DateDE1b!BG13/DateDE1b!BG14</f>
        <v>0.0080827067669173</v>
      </c>
      <c r="CO12" s="384" t="n">
        <v>0</v>
      </c>
      <c r="CP12" s="1997"/>
      <c r="CQ12" s="1997"/>
      <c r="CR12" s="1478" t="n">
        <f aca="false">CR13*DateDE1b!BK13/DateDE1b!BK14</f>
        <v>-2.32538579125423</v>
      </c>
      <c r="CS12" s="1478"/>
      <c r="CT12" s="1478"/>
      <c r="CU12" s="1478" t="n">
        <f aca="false">DateDE1b!BN13/DateDE1b!$B$5</f>
        <v>0.0511291881196219</v>
      </c>
      <c r="CV12" s="1478"/>
      <c r="CW12" s="1478"/>
      <c r="CX12" s="1998" t="n">
        <f aca="false">D12+DD12-DF12</f>
        <v>11.9910218996123</v>
      </c>
      <c r="CY12" s="2007" t="n">
        <f aca="false">CX12-DC12-DD12</f>
        <v>12.6178823253307</v>
      </c>
      <c r="CZ12" s="1509"/>
      <c r="DA12" s="2008"/>
      <c r="DB12" s="2009"/>
      <c r="DC12" s="2017" t="n">
        <f aca="false">CI12</f>
        <v>-0.0593264375904968</v>
      </c>
      <c r="DD12" s="1478" t="n">
        <f aca="false">DateDE1b!BV14/DateDE1b!$B$5</f>
        <v>-0.567533988127803</v>
      </c>
      <c r="DE12" s="1478"/>
      <c r="DF12" s="2007" t="n">
        <f aca="false">DI12+DL12+DM12+DU12</f>
        <v>41.4007705683726</v>
      </c>
      <c r="DG12" s="2010" t="n">
        <f aca="false">DG13*DateDE1b!BZ13/DateDE1b!BZ14</f>
        <v>30.1847130015408</v>
      </c>
      <c r="DH12" s="2010" t="n">
        <f aca="false">DG12-DU12</f>
        <v>29.3513712358901</v>
      </c>
      <c r="DI12" s="2011" t="n">
        <f aca="false">Y12</f>
        <v>25.6646675441475</v>
      </c>
      <c r="DJ12" s="2012"/>
      <c r="DK12" s="2012"/>
      <c r="DL12" s="1509" t="n">
        <f aca="false">BM12</f>
        <v>3.69790497572294</v>
      </c>
      <c r="DM12" s="2009" t="n">
        <f aca="false">GK12*DN12*DH12/GJ12</f>
        <v>11.2048562828514</v>
      </c>
      <c r="DN12" s="2013" t="n">
        <f aca="false">DN13</f>
        <v>0.895905244977209</v>
      </c>
      <c r="DO12" s="2009"/>
      <c r="DP12" s="2009" t="n">
        <f aca="false">GK12*DH12/GJ12</f>
        <v>12.5067425887616</v>
      </c>
      <c r="DQ12" s="2009" t="n">
        <f aca="false">2/3*DP12</f>
        <v>8.33782839250774</v>
      </c>
      <c r="DR12" s="2009"/>
      <c r="DS12" s="2009"/>
      <c r="DT12" s="2014"/>
      <c r="DU12" s="2015" t="n">
        <f aca="false">CL12</f>
        <v>0.833341765650706</v>
      </c>
      <c r="DV12" s="2016" t="n">
        <f aca="false">DV13*DateDE1b!CE13/DateDE1b!CE14</f>
        <v>18.9970116969246</v>
      </c>
      <c r="DW12" s="1509" t="n">
        <f aca="false">I12</f>
        <v>8.23660000348782</v>
      </c>
      <c r="DX12" s="2017"/>
      <c r="DY12" s="2017"/>
      <c r="DZ12" s="2018"/>
      <c r="EA12" s="2018"/>
      <c r="EB12" s="1478" t="n">
        <f aca="false">EB13*DateDE1b!CL13/DateDE1b!CL14</f>
        <v>5.42406842830596</v>
      </c>
      <c r="EC12" s="2018"/>
      <c r="ED12" s="2018"/>
      <c r="EE12" s="1997"/>
      <c r="EF12" s="2017"/>
      <c r="EG12" s="2019" t="n">
        <f aca="false">EG13*DateDE1b!CQ13/DateDE1b!CQ14</f>
        <v>7.73964530398767</v>
      </c>
      <c r="EH12" s="2020" t="n">
        <f aca="false">EG12-EI12</f>
        <v>6.34342295873311</v>
      </c>
      <c r="EI12" s="2020" t="n">
        <f aca="false">EG12*EI$41/EG$41</f>
        <v>1.39622234525456</v>
      </c>
      <c r="EJ12" s="2021"/>
      <c r="EK12" s="2022"/>
      <c r="EL12" s="2017"/>
      <c r="EM12" s="2017"/>
      <c r="EN12" s="2017"/>
      <c r="EO12" s="2017" t="n">
        <f aca="false">EO13*DateDE1b!CT13/DateDE1b!CT14</f>
        <v>9.91443543056055</v>
      </c>
      <c r="EP12" s="2017" t="n">
        <f aca="false">EO12-S12</f>
        <v>2.91855442997234</v>
      </c>
      <c r="EQ12" s="2017" t="n">
        <f aca="false">DateDE1b!CV13/DateDE1b!$B$5</f>
        <v>-0.311888047529693</v>
      </c>
      <c r="ER12" s="2023" t="n">
        <f aca="false">EP12+EQ12</f>
        <v>2.60666638244265</v>
      </c>
      <c r="ES12" s="2017" t="n">
        <f aca="false">ES13*DateDE1b!CX13/DateDE1b!CX14</f>
        <v>1.35198017706167</v>
      </c>
      <c r="ET12" s="2017" t="n">
        <v>0</v>
      </c>
      <c r="EU12" s="2017" t="n">
        <f aca="false">ER12-ES12-ET12+BP12</f>
        <v>2.17114856059333</v>
      </c>
      <c r="EV12" s="2024" t="n">
        <f aca="false">B12-DV12+EH12+DD12-CO12</f>
        <v>48.9748037332812</v>
      </c>
      <c r="EW12" s="1478"/>
      <c r="EX12" s="1478"/>
      <c r="EY12" s="1478"/>
      <c r="EZ12" s="1478" t="n">
        <f aca="false">EV12+EI12</f>
        <v>50.3710260785358</v>
      </c>
      <c r="FA12" s="1478"/>
      <c r="FB12" s="1478" t="n">
        <f aca="false">FB13*DateDE1b!DE13/DateDE1b!DE14</f>
        <v>1.60384851479219</v>
      </c>
      <c r="FC12" s="1478"/>
      <c r="FD12" s="1997" t="n">
        <f aca="false">T12+E12+U12-V12+CR12-H12-EP12</f>
        <v>8.37374379255467</v>
      </c>
      <c r="FE12" s="1478"/>
      <c r="FF12" s="1478"/>
      <c r="FG12" s="1997" t="n">
        <f aca="false">CU12-EQ12</f>
        <v>0.363017235649315</v>
      </c>
      <c r="FH12" s="514" t="n">
        <f aca="false">FG12/FD12</f>
        <v>0.043351844126409</v>
      </c>
      <c r="FI12" s="1994" t="n">
        <f aca="false">FI13*DateDE1b!DE13/DateDE1b!DE14</f>
        <v>1.67882755419811</v>
      </c>
      <c r="FJ12" s="1994" t="n">
        <f aca="false">FK12-FI12</f>
        <v>7.05793347400587</v>
      </c>
      <c r="FK12" s="2025" t="n">
        <f aca="false">FD12+FG12</f>
        <v>8.73676102820398</v>
      </c>
      <c r="FL12" s="1994"/>
      <c r="FM12" s="1994"/>
      <c r="FN12" s="1478"/>
      <c r="FO12" s="1995"/>
      <c r="FP12" s="1478"/>
      <c r="FQ12" s="1478"/>
      <c r="FR12" s="1997" t="n">
        <v>0</v>
      </c>
      <c r="FS12" s="1478"/>
      <c r="FT12" s="1478"/>
      <c r="FU12" s="1478"/>
      <c r="FV12" s="1478"/>
      <c r="FW12" s="2025"/>
      <c r="FX12" s="2026"/>
      <c r="FY12" s="2026"/>
      <c r="FZ12" s="2027"/>
      <c r="GA12" s="2015" t="n">
        <v>0</v>
      </c>
      <c r="GB12" s="402" t="n">
        <v>0.0757575757575757</v>
      </c>
      <c r="GC12" s="387"/>
      <c r="GD12" s="387" t="n">
        <f aca="false">(G12/G11)/(1+GE12)-1</f>
        <v>0.11654226886227</v>
      </c>
      <c r="GE12" s="387" t="n">
        <v>0.0983026874115982</v>
      </c>
      <c r="GF12" s="387" t="n">
        <v>0.0807174887892377</v>
      </c>
      <c r="GG12" s="387"/>
      <c r="GH12" s="465" t="n">
        <v>51196.45</v>
      </c>
      <c r="GI12" s="465" t="n">
        <f aca="false">GI13*DateDE1b!DM13/DateDE1b!DM14</f>
        <v>21278.5545976259</v>
      </c>
      <c r="GJ12" s="465" t="n">
        <f aca="false">GJ13*DateDE1b!DN13/DateDE1b!DN14</f>
        <v>14860.906130941</v>
      </c>
      <c r="GK12" s="465" t="n">
        <f aca="false">GK13*DateDE1b!DO13/DateDE1b!DO14</f>
        <v>6332.29453307998</v>
      </c>
      <c r="GL12" s="25" t="n">
        <f aca="false">GL11+(GL$21-GL$11)/10</f>
        <v>0.3029</v>
      </c>
      <c r="GM12" s="25" t="n">
        <f aca="false">GK12/GI12</f>
        <v>0.297590445066531</v>
      </c>
      <c r="GN12" s="401" t="n">
        <v>51196.45</v>
      </c>
      <c r="GO12" s="2028" t="n">
        <f aca="false">CX12</f>
        <v>11.9910218996123</v>
      </c>
      <c r="GP12" s="1932"/>
      <c r="GQ12" s="1932"/>
      <c r="GR12" s="1932"/>
      <c r="GS12" s="1509"/>
      <c r="GT12" s="1932"/>
      <c r="GU12" s="1478"/>
      <c r="GV12" s="1509"/>
      <c r="GW12" s="1478"/>
      <c r="GX12" s="1932"/>
      <c r="GY12" s="1478"/>
      <c r="GZ12" s="24"/>
      <c r="HA12" s="1478"/>
      <c r="HB12" s="1478"/>
      <c r="HD12" s="1478"/>
      <c r="HE12" s="1478"/>
      <c r="HF12" s="1478"/>
      <c r="HG12" s="1478"/>
      <c r="HH12" s="1478"/>
      <c r="HI12" s="1478"/>
      <c r="HJ12" s="1478"/>
      <c r="HK12" s="387"/>
    </row>
    <row r="13" customFormat="false" ht="12" hidden="false" customHeight="false" outlineLevel="0" collapsed="false">
      <c r="A13" s="31" t="n">
        <f aca="false">A12+1</f>
        <v>1952</v>
      </c>
      <c r="B13" s="1994" t="n">
        <f aca="false">E13+F13</f>
        <v>71.0613197081928</v>
      </c>
      <c r="C13" s="432" t="n">
        <f aca="false">B13+CR13</f>
        <v>68.2546727550123</v>
      </c>
      <c r="D13" s="1995" t="n">
        <f aca="false">B13-I13</f>
        <v>61.2932915633529</v>
      </c>
      <c r="E13" s="1996" t="n">
        <f aca="false">CH13</f>
        <v>0.821925616551317</v>
      </c>
      <c r="F13" s="395" t="n">
        <f aca="false">W13+BM13+J13</f>
        <v>70.2393940916415</v>
      </c>
      <c r="G13" s="1478" t="n">
        <f aca="false">J13+X13+BN13</f>
        <v>77.1517265589824</v>
      </c>
      <c r="H13" s="1997" t="n">
        <f aca="false">AA13+BP13</f>
        <v>6.91233246734091</v>
      </c>
      <c r="I13" s="1998" t="n">
        <f aca="false">I14*DateDE1b!K14/DateDE1b!K15</f>
        <v>9.76802814483983</v>
      </c>
      <c r="J13" s="395" t="n">
        <f aca="false">I13-CO13</f>
        <v>9.76802814483983</v>
      </c>
      <c r="K13" s="1478"/>
      <c r="L13" s="1478"/>
      <c r="M13" s="1478"/>
      <c r="N13" s="1478"/>
      <c r="O13" s="1478"/>
      <c r="P13" s="1478"/>
      <c r="Q13" s="1999"/>
      <c r="R13" s="1997" t="n">
        <f aca="false">R14*DateDE1b!L14/DateDE1b!L15</f>
        <v>45.6965933012655</v>
      </c>
      <c r="S13" s="1997" t="n">
        <f aca="false">S14*DateDE1b!M14/DateDE1b!M15</f>
        <v>8.22391094588605</v>
      </c>
      <c r="T13" s="1997" t="n">
        <f aca="false">T14*DateDE1b!N14/DateDE1b!N15</f>
        <v>19.568094155973</v>
      </c>
      <c r="U13" s="1997" t="n">
        <f aca="false">U14*DateDE1b!Q14/DateDE1b!Q15</f>
        <v>12.3140054562426</v>
      </c>
      <c r="V13" s="1997" t="n">
        <f aca="false">V14*DateDE1b!R14/DateDE1b!R15</f>
        <v>8.862257465839</v>
      </c>
      <c r="W13" s="2000" t="n">
        <f aca="false">W14*DateDE1b!U14/DateDE1b!U15</f>
        <v>56.1137148059947</v>
      </c>
      <c r="X13" s="1997" t="n">
        <f aca="false">W13+AA13</f>
        <v>61.9907842424476</v>
      </c>
      <c r="Y13" s="1997" t="n">
        <f aca="false">Y14*DateDE1b!W14/DateDE1b!W15</f>
        <v>28.5047889949761</v>
      </c>
      <c r="Z13" s="1997" t="n">
        <f aca="false">W13-Y13</f>
        <v>27.6089258110186</v>
      </c>
      <c r="AA13" s="1997" t="n">
        <f aca="false">AA14*DateDE1b!Y14/DateDE1b!Y15</f>
        <v>5.87706943645288</v>
      </c>
      <c r="AB13" s="1319" t="n">
        <f aca="false">AA13/X13</f>
        <v>0.0948055345366742</v>
      </c>
      <c r="AC13" s="514"/>
      <c r="AD13" s="1997"/>
      <c r="AE13" s="1997"/>
      <c r="AF13" s="1997"/>
      <c r="AG13" s="1997"/>
      <c r="AH13" s="1997"/>
      <c r="AI13" s="2001"/>
      <c r="AJ13" s="2002"/>
      <c r="AK13" s="1478"/>
      <c r="AL13" s="1478"/>
      <c r="AM13" s="821"/>
      <c r="AN13" s="2003"/>
      <c r="AO13" s="2001"/>
      <c r="AP13" s="2004"/>
      <c r="AQ13" s="2004"/>
      <c r="AR13" s="1478"/>
      <c r="AS13" s="1478"/>
      <c r="AT13" s="1478"/>
      <c r="AU13" s="2005"/>
      <c r="AV13" s="2001"/>
      <c r="AW13" s="2004"/>
      <c r="AX13" s="2004"/>
      <c r="AY13" s="1932"/>
      <c r="AZ13" s="1478"/>
      <c r="BA13" s="1478"/>
      <c r="BB13" s="821"/>
      <c r="BC13" s="1478"/>
      <c r="BD13" s="1478"/>
      <c r="BE13" s="1509"/>
      <c r="BF13" s="1478"/>
      <c r="BG13" s="1478"/>
      <c r="BH13" s="1478"/>
      <c r="BI13" s="1478"/>
      <c r="BJ13" s="1509"/>
      <c r="BK13" s="1478"/>
      <c r="BL13" s="2003"/>
      <c r="BM13" s="2006" t="n">
        <f aca="false">BM14*DateDE1b!AM14/DateDE1b!AM15</f>
        <v>4.35765114080695</v>
      </c>
      <c r="BN13" s="2004" t="n">
        <f aca="false">BO13+BP13</f>
        <v>5.39291417169498</v>
      </c>
      <c r="BO13" s="1997" t="n">
        <f aca="false">BO14*DateDE1b!AO14/DateDE1b!AO15</f>
        <v>4.35765114080695</v>
      </c>
      <c r="BP13" s="1997" t="n">
        <f aca="false">BP14*DateDE1b!AP14/DateDE1b!AP15</f>
        <v>1.03526303088803</v>
      </c>
      <c r="BQ13" s="2005" t="n">
        <f aca="false">BP13/BN13</f>
        <v>0.191967273709207</v>
      </c>
      <c r="BR13" s="1509"/>
      <c r="BS13" s="1509"/>
      <c r="BT13" s="1509"/>
      <c r="BU13" s="1509"/>
      <c r="BV13" s="1509"/>
      <c r="BW13" s="1509"/>
      <c r="BX13" s="1478"/>
      <c r="BY13" s="1478"/>
      <c r="BZ13" s="1478"/>
      <c r="CA13" s="1509"/>
      <c r="CB13" s="1509"/>
      <c r="CC13" s="1478"/>
      <c r="CD13" s="1478"/>
      <c r="CE13" s="1478"/>
      <c r="CF13" s="1478"/>
      <c r="CG13" s="1509"/>
      <c r="CH13" s="1482" t="n">
        <f aca="false">CI13+CL13+CO13</f>
        <v>0.821925616551317</v>
      </c>
      <c r="CI13" s="1479" t="n">
        <f aca="false">CJ13-CK13</f>
        <v>-0.0847616170825641</v>
      </c>
      <c r="CJ13" s="1478" t="n">
        <f aca="false">CJ14*DateDE1b!BC14/DateDE1b!BC15</f>
        <v>0.066845304775134</v>
      </c>
      <c r="CK13" s="1478" t="n">
        <f aca="false">CK14*DateDE1b!BD14/DateDE1b!BD15</f>
        <v>0.151606921857698</v>
      </c>
      <c r="CL13" s="1479" t="n">
        <f aca="false">CM13-CN13</f>
        <v>0.906687233633881</v>
      </c>
      <c r="CM13" s="1478" t="n">
        <f aca="false">CM14*DateDE1b!BF14/DateDE1b!BF15</f>
        <v>0.922852647167716</v>
      </c>
      <c r="CN13" s="1478" t="n">
        <f aca="false">CN14*DateDE1b!BG14/DateDE1b!BG15</f>
        <v>0.0161654135338346</v>
      </c>
      <c r="CO13" s="384" t="n">
        <v>0</v>
      </c>
      <c r="CP13" s="1997"/>
      <c r="CQ13" s="1997"/>
      <c r="CR13" s="1478" t="n">
        <f aca="false">CR14*DateDE1b!BK14/DateDE1b!BK15</f>
        <v>-2.80664695318047</v>
      </c>
      <c r="CS13" s="1478"/>
      <c r="CT13" s="1478"/>
      <c r="CU13" s="1478" t="n">
        <f aca="false">DateDE1b!BN14/DateDE1b!$B$5</f>
        <v>0.199403833666525</v>
      </c>
      <c r="CV13" s="1478"/>
      <c r="CW13" s="1478"/>
      <c r="CX13" s="1998" t="n">
        <f aca="false">D13+DD13-DF13</f>
        <v>14.9919592040117</v>
      </c>
      <c r="CY13" s="2007" t="n">
        <f aca="false">CX13-DC13-DD13</f>
        <v>15.6647064844699</v>
      </c>
      <c r="CZ13" s="1509"/>
      <c r="DA13" s="2008"/>
      <c r="DB13" s="2009"/>
      <c r="DC13" s="2017" t="n">
        <f aca="false">CI13</f>
        <v>-0.0847616170825641</v>
      </c>
      <c r="DD13" s="1478" t="n">
        <f aca="false">DateDE1b!BV15/DateDE1b!$B$5</f>
        <v>-0.587985663375651</v>
      </c>
      <c r="DE13" s="1478"/>
      <c r="DF13" s="2007" t="n">
        <f aca="false">DI13+DL13+DM13+DU13</f>
        <v>45.7133466959656</v>
      </c>
      <c r="DG13" s="2010" t="n">
        <f aca="false">DG14*DateDE1b!BZ14/DateDE1b!BZ15</f>
        <v>33.755123980562</v>
      </c>
      <c r="DH13" s="2010" t="n">
        <f aca="false">DG13-DU13</f>
        <v>32.8484367469281</v>
      </c>
      <c r="DI13" s="2011" t="n">
        <f aca="false">Y13</f>
        <v>28.5047889949761</v>
      </c>
      <c r="DJ13" s="2012"/>
      <c r="DK13" s="2012"/>
      <c r="DL13" s="1509" t="n">
        <f aca="false">BM13</f>
        <v>4.35765114080695</v>
      </c>
      <c r="DM13" s="2009" t="n">
        <f aca="false">GK13*DN13*DH13/GJ13</f>
        <v>11.9442193265486</v>
      </c>
      <c r="DN13" s="2013" t="n">
        <f aca="false">DN14</f>
        <v>0.895905244977209</v>
      </c>
      <c r="DO13" s="2009"/>
      <c r="DP13" s="2009" t="n">
        <f aca="false">GK13*DH13/GJ13</f>
        <v>13.3320118321804</v>
      </c>
      <c r="DQ13" s="2009" t="n">
        <f aca="false">2/3*DP13</f>
        <v>8.88800788812027</v>
      </c>
      <c r="DR13" s="2009"/>
      <c r="DS13" s="2009"/>
      <c r="DT13" s="2014"/>
      <c r="DU13" s="2015" t="n">
        <f aca="false">CL13</f>
        <v>0.906687233633881</v>
      </c>
      <c r="DV13" s="2016" t="n">
        <f aca="false">DV14*DateDE1b!CE14/DateDE1b!CE15</f>
        <v>22.620126687409</v>
      </c>
      <c r="DW13" s="1509" t="n">
        <f aca="false">I13</f>
        <v>9.76802814483983</v>
      </c>
      <c r="DX13" s="2017"/>
      <c r="DY13" s="2017"/>
      <c r="DZ13" s="2018"/>
      <c r="EA13" s="2018"/>
      <c r="EB13" s="1478" t="n">
        <f aca="false">EB14*DateDE1b!CL14/DateDE1b!CL15</f>
        <v>6.10475685754989</v>
      </c>
      <c r="EC13" s="2018"/>
      <c r="ED13" s="2018"/>
      <c r="EE13" s="1478"/>
      <c r="EF13" s="2017"/>
      <c r="EG13" s="2019" t="n">
        <f aca="false">EG14*DateDE1b!CQ14/DateDE1b!CQ15</f>
        <v>9.09718134347895</v>
      </c>
      <c r="EH13" s="2020" t="n">
        <f aca="false">EG13-EI13</f>
        <v>7.45606119239735</v>
      </c>
      <c r="EI13" s="2020" t="n">
        <f aca="false">EG13*EI$41/EG$41</f>
        <v>1.6411201510816</v>
      </c>
      <c r="EJ13" s="2021"/>
      <c r="EK13" s="2022"/>
      <c r="EL13" s="2017"/>
      <c r="EM13" s="2017"/>
      <c r="EN13" s="2017"/>
      <c r="EO13" s="2017" t="n">
        <f aca="false">EO14*DateDE1b!CT14/DateDE1b!CT15</f>
        <v>12.0976248465899</v>
      </c>
      <c r="EP13" s="2017" t="n">
        <f aca="false">EO13-S13</f>
        <v>3.87371390070386</v>
      </c>
      <c r="EQ13" s="2017" t="n">
        <f aca="false">DateDE1b!CV14/DateDE1b!$B$5</f>
        <v>-0.276097615845958</v>
      </c>
      <c r="ER13" s="2023" t="n">
        <f aca="false">EP13+EQ13</f>
        <v>3.5976162848579</v>
      </c>
      <c r="ES13" s="2017" t="n">
        <f aca="false">ES14*DateDE1b!CX14/DateDE1b!CX15</f>
        <v>1.45509730921045</v>
      </c>
      <c r="ET13" s="2017" t="n">
        <v>0</v>
      </c>
      <c r="EU13" s="2017" t="n">
        <f aca="false">ER13-ES13-ET13+BP13</f>
        <v>3.17778200653549</v>
      </c>
      <c r="EV13" s="2024" t="n">
        <f aca="false">B13-DV13+EH13+DD13-CO13</f>
        <v>55.3092685498055</v>
      </c>
      <c r="EW13" s="1478"/>
      <c r="EX13" s="1478"/>
      <c r="EY13" s="1478"/>
      <c r="EZ13" s="1478" t="n">
        <f aca="false">EV13+EI13</f>
        <v>56.9503887008871</v>
      </c>
      <c r="FA13" s="1478"/>
      <c r="FB13" s="1478" t="n">
        <f aca="false">FB14*DateDE1b!DE14/DateDE1b!DE15</f>
        <v>3.00785647981794</v>
      </c>
      <c r="FC13" s="1478"/>
      <c r="FD13" s="1997" t="n">
        <f aca="false">T13+E13+U13-V13+CR13-H13-EP13</f>
        <v>10.2490744417026</v>
      </c>
      <c r="FE13" s="1478"/>
      <c r="FF13" s="1478"/>
      <c r="FG13" s="1997" t="n">
        <f aca="false">CU13-EQ13</f>
        <v>0.475501449512483</v>
      </c>
      <c r="FH13" s="514" t="n">
        <f aca="false">FG13/FD13</f>
        <v>0.0463945746727829</v>
      </c>
      <c r="FI13" s="1994" t="n">
        <f aca="false">FI14*DateDE1b!DE14/DateDE1b!DE15</f>
        <v>3.14847212240987</v>
      </c>
      <c r="FJ13" s="1994" t="n">
        <f aca="false">FK13-FI13</f>
        <v>7.57610376880524</v>
      </c>
      <c r="FK13" s="2025" t="n">
        <f aca="false">FD13+FG13</f>
        <v>10.7245758912151</v>
      </c>
      <c r="FL13" s="1994"/>
      <c r="FM13" s="1994"/>
      <c r="FN13" s="1478"/>
      <c r="FO13" s="1995"/>
      <c r="FP13" s="1478"/>
      <c r="FQ13" s="1478"/>
      <c r="FR13" s="1997" t="n">
        <v>0</v>
      </c>
      <c r="FS13" s="1478"/>
      <c r="FT13" s="1478"/>
      <c r="FU13" s="1478"/>
      <c r="FV13" s="1478"/>
      <c r="FW13" s="2025"/>
      <c r="FX13" s="2026"/>
      <c r="FY13" s="2026"/>
      <c r="FZ13" s="2027"/>
      <c r="GA13" s="2015" t="n">
        <v>0</v>
      </c>
      <c r="GB13" s="402" t="n">
        <v>0.0211267605633803</v>
      </c>
      <c r="GC13" s="387"/>
      <c r="GD13" s="387" t="n">
        <f aca="false">(G13/G12)/(1+GE13)-1</f>
        <v>0.0464654021958693</v>
      </c>
      <c r="GE13" s="387" t="n">
        <v>0.0920798454603993</v>
      </c>
      <c r="GF13" s="387" t="n">
        <v>0.0145228215767634</v>
      </c>
      <c r="GG13" s="387"/>
      <c r="GH13" s="465" t="n">
        <v>51649.3</v>
      </c>
      <c r="GI13" s="465" t="n">
        <f aca="false">GI14*DateDE1b!DM14/DateDE1b!DM15</f>
        <v>21735.0304839221</v>
      </c>
      <c r="GJ13" s="465" t="n">
        <f aca="false">GJ14*DateDE1b!DN14/DateDE1b!DN15</f>
        <v>15406.7819497076</v>
      </c>
      <c r="GK13" s="465" t="n">
        <f aca="false">GK14*DateDE1b!DO14/DateDE1b!DO15</f>
        <v>6253.06466885473</v>
      </c>
      <c r="GL13" s="25" t="n">
        <f aca="false">GL12+(GL$21-GL$11)/10</f>
        <v>0.3008</v>
      </c>
      <c r="GM13" s="25" t="n">
        <f aca="false">GK13/GI13</f>
        <v>0.287695233438033</v>
      </c>
      <c r="GN13" s="401" t="n">
        <v>51649.3</v>
      </c>
      <c r="GO13" s="2028" t="n">
        <f aca="false">CX13</f>
        <v>14.9919592040117</v>
      </c>
      <c r="GP13" s="1932"/>
      <c r="GQ13" s="1932"/>
      <c r="GR13" s="1932"/>
      <c r="GS13" s="1509"/>
      <c r="GT13" s="1932"/>
      <c r="GU13" s="1478"/>
      <c r="GV13" s="1509"/>
      <c r="GW13" s="1478"/>
      <c r="GX13" s="1932"/>
      <c r="GY13" s="1478"/>
      <c r="GZ13" s="24"/>
      <c r="HA13" s="1478"/>
      <c r="HB13" s="1478"/>
      <c r="HD13" s="1478"/>
      <c r="HE13" s="1478"/>
      <c r="HF13" s="1478"/>
      <c r="HG13" s="1478"/>
      <c r="HH13" s="1478"/>
      <c r="HI13" s="1478"/>
      <c r="HJ13" s="1478"/>
      <c r="HK13" s="387"/>
    </row>
    <row r="14" customFormat="false" ht="12" hidden="false" customHeight="false" outlineLevel="0" collapsed="false">
      <c r="A14" s="31" t="n">
        <f aca="false">A13+1</f>
        <v>1953</v>
      </c>
      <c r="B14" s="1994" t="n">
        <f aca="false">E14+F14</f>
        <v>76.4154369443251</v>
      </c>
      <c r="C14" s="432" t="n">
        <f aca="false">B14+CR14</f>
        <v>73.7706300278985</v>
      </c>
      <c r="D14" s="1995" t="n">
        <f aca="false">B14-I14</f>
        <v>65.5971388241661</v>
      </c>
      <c r="E14" s="1996" t="n">
        <f aca="false">CH14</f>
        <v>0.753036118084616</v>
      </c>
      <c r="F14" s="395" t="n">
        <f aca="false">W14+BM14+J14</f>
        <v>75.6624008262404</v>
      </c>
      <c r="G14" s="1478" t="n">
        <f aca="false">J14+X14+BN14</f>
        <v>82.7883784021812</v>
      </c>
      <c r="H14" s="1997" t="n">
        <f aca="false">AA14+BP14</f>
        <v>7.12597757594078</v>
      </c>
      <c r="I14" s="1998" t="n">
        <f aca="false">I15*DateDE1b!K15/DateDE1b!K16</f>
        <v>10.8182981201589</v>
      </c>
      <c r="J14" s="395" t="n">
        <f aca="false">I14-CO14</f>
        <v>10.8182981201589</v>
      </c>
      <c r="K14" s="1478"/>
      <c r="L14" s="1478"/>
      <c r="M14" s="1478"/>
      <c r="N14" s="1478"/>
      <c r="O14" s="1478"/>
      <c r="P14" s="1478"/>
      <c r="Q14" s="1999"/>
      <c r="R14" s="1997" t="n">
        <f aca="false">R15*DateDE1b!L15/DateDE1b!L16</f>
        <v>49.9428369995148</v>
      </c>
      <c r="S14" s="1997" t="n">
        <f aca="false">S15*DateDE1b!M15/DateDE1b!M16</f>
        <v>9.02407525413442</v>
      </c>
      <c r="T14" s="1997" t="n">
        <f aca="false">T15*DateDE1b!N15/DateDE1b!N16</f>
        <v>19.3823945673042</v>
      </c>
      <c r="U14" s="1997" t="n">
        <f aca="false">U15*DateDE1b!Q15/DateDE1b!Q16</f>
        <v>13.3940121994682</v>
      </c>
      <c r="V14" s="1997" t="n">
        <f aca="false">V15*DateDE1b!R15/DateDE1b!R16</f>
        <v>9.22711746984971</v>
      </c>
      <c r="W14" s="2000" t="n">
        <f aca="false">W15*DateDE1b!U15/DateDE1b!U16</f>
        <v>59.9431311940289</v>
      </c>
      <c r="X14" s="1997" t="n">
        <f aca="false">W14+AA14</f>
        <v>66.0168742139851</v>
      </c>
      <c r="Y14" s="1997" t="n">
        <f aca="false">Y15*DateDE1b!W15/DateDE1b!W16</f>
        <v>31.4702900875879</v>
      </c>
      <c r="Z14" s="1997" t="n">
        <f aca="false">W14-Y14</f>
        <v>28.472841106441</v>
      </c>
      <c r="AA14" s="1997" t="n">
        <f aca="false">AA15*DateDE1b!Y15/DateDE1b!Y16</f>
        <v>6.07374301995623</v>
      </c>
      <c r="AB14" s="1319" t="n">
        <f aca="false">AA14/X14</f>
        <v>0.0920028870235355</v>
      </c>
      <c r="AC14" s="514"/>
      <c r="AD14" s="1997"/>
      <c r="AE14" s="1997"/>
      <c r="AF14" s="1997"/>
      <c r="AG14" s="1997"/>
      <c r="AH14" s="1997"/>
      <c r="AI14" s="2001"/>
      <c r="AJ14" s="2002"/>
      <c r="AK14" s="1478"/>
      <c r="AL14" s="1478"/>
      <c r="AM14" s="821"/>
      <c r="AN14" s="2003"/>
      <c r="AO14" s="2001"/>
      <c r="AP14" s="2004"/>
      <c r="AQ14" s="2004"/>
      <c r="AR14" s="1478"/>
      <c r="AS14" s="1478"/>
      <c r="AT14" s="1478"/>
      <c r="AU14" s="2005"/>
      <c r="AV14" s="2001"/>
      <c r="AW14" s="2004"/>
      <c r="AX14" s="2004"/>
      <c r="AY14" s="1932"/>
      <c r="AZ14" s="1478"/>
      <c r="BA14" s="1478"/>
      <c r="BB14" s="821"/>
      <c r="BC14" s="1478"/>
      <c r="BD14" s="1478"/>
      <c r="BE14" s="1509"/>
      <c r="BF14" s="1478"/>
      <c r="BG14" s="1478"/>
      <c r="BH14" s="1478"/>
      <c r="BI14" s="1478"/>
      <c r="BJ14" s="1509"/>
      <c r="BK14" s="1478"/>
      <c r="BL14" s="2003"/>
      <c r="BM14" s="2006" t="n">
        <f aca="false">BM15*DateDE1b!AM15/DateDE1b!AM16</f>
        <v>4.9009715120526</v>
      </c>
      <c r="BN14" s="2004" t="n">
        <f aca="false">BO14+BP14</f>
        <v>5.95320606803715</v>
      </c>
      <c r="BO14" s="1997" t="n">
        <f aca="false">BO15*DateDE1b!AO15/DateDE1b!AO16</f>
        <v>4.9009715120526</v>
      </c>
      <c r="BP14" s="1997" t="n">
        <f aca="false">BP15*DateDE1b!AP15/DateDE1b!AP16</f>
        <v>1.05223455598456</v>
      </c>
      <c r="BQ14" s="2005" t="n">
        <f aca="false">BP14/BN14</f>
        <v>0.176750904295757</v>
      </c>
      <c r="BR14" s="1509"/>
      <c r="BS14" s="1509"/>
      <c r="BT14" s="1509"/>
      <c r="BU14" s="1509"/>
      <c r="BV14" s="1509"/>
      <c r="BW14" s="1509"/>
      <c r="BX14" s="1478"/>
      <c r="BY14" s="1478"/>
      <c r="BZ14" s="1478"/>
      <c r="CA14" s="1509"/>
      <c r="CB14" s="1509"/>
      <c r="CC14" s="1478"/>
      <c r="CD14" s="1478"/>
      <c r="CE14" s="1478"/>
      <c r="CF14" s="1478"/>
      <c r="CG14" s="1509"/>
      <c r="CH14" s="1482" t="n">
        <f aca="false">CI14+CL14+CO14</f>
        <v>0.753036118084616</v>
      </c>
      <c r="CI14" s="1479" t="n">
        <f aca="false">CJ14-CK14</f>
        <v>-0.0641402340322562</v>
      </c>
      <c r="CJ14" s="1478" t="n">
        <f aca="false">CJ15*DateDE1b!BC15/DateDE1b!BC16</f>
        <v>0.12115711490493</v>
      </c>
      <c r="CK14" s="1478" t="n">
        <f aca="false">CK15*DateDE1b!BD15/DateDE1b!BD16</f>
        <v>0.185297348937187</v>
      </c>
      <c r="CL14" s="1479" t="n">
        <f aca="false">CM14-CN14</f>
        <v>0.817176352116872</v>
      </c>
      <c r="CM14" s="1478" t="n">
        <f aca="false">CM15*DateDE1b!BF15/DateDE1b!BF16</f>
        <v>0.841424472417623</v>
      </c>
      <c r="CN14" s="1478" t="n">
        <f aca="false">CN15*DateDE1b!BG15/DateDE1b!BG16</f>
        <v>0.0242481203007519</v>
      </c>
      <c r="CO14" s="384" t="n">
        <v>0</v>
      </c>
      <c r="CP14" s="1997"/>
      <c r="CQ14" s="1997"/>
      <c r="CR14" s="1478" t="n">
        <f aca="false">CR15*DateDE1b!BK15/DateDE1b!BK16</f>
        <v>-2.64480691642651</v>
      </c>
      <c r="CS14" s="1478"/>
      <c r="CT14" s="1478"/>
      <c r="CU14" s="1478" t="n">
        <f aca="false">DateDE1b!BN15/DateDE1b!$B$5</f>
        <v>4.75501449512483</v>
      </c>
      <c r="CV14" s="1478"/>
      <c r="CW14" s="1478"/>
      <c r="CX14" s="1998" t="n">
        <f aca="false">D14+DD14-DF14</f>
        <v>15.3544397280847</v>
      </c>
      <c r="CY14" s="2007" t="n">
        <f aca="false">CX14-DC14-DD14</f>
        <v>15.9605493561849</v>
      </c>
      <c r="CZ14" s="1509"/>
      <c r="DA14" s="2008"/>
      <c r="DB14" s="2009"/>
      <c r="DC14" s="2017" t="n">
        <f aca="false">CI14</f>
        <v>-0.0641402340322562</v>
      </c>
      <c r="DD14" s="1478" t="n">
        <f aca="false">DateDE1b!BV16/DateDE1b!$B$5</f>
        <v>-0.541969394067992</v>
      </c>
      <c r="DE14" s="1478"/>
      <c r="DF14" s="2007" t="n">
        <f aca="false">DI14+DL14+DM14+DU14</f>
        <v>49.7007297020135</v>
      </c>
      <c r="DG14" s="2010" t="n">
        <f aca="false">DG15*DateDE1b!BZ15/DateDE1b!BZ16</f>
        <v>37.1726733274537</v>
      </c>
      <c r="DH14" s="2010" t="n">
        <f aca="false">DG14-DU14</f>
        <v>36.3554969753369</v>
      </c>
      <c r="DI14" s="2011" t="n">
        <f aca="false">Y14</f>
        <v>31.4702900875879</v>
      </c>
      <c r="DJ14" s="2012"/>
      <c r="DK14" s="2012"/>
      <c r="DL14" s="1509" t="n">
        <f aca="false">BM14</f>
        <v>4.9009715120526</v>
      </c>
      <c r="DM14" s="2009" t="n">
        <f aca="false">GK14*DN14*DH14/GJ14</f>
        <v>12.5122917502561</v>
      </c>
      <c r="DN14" s="2013" t="n">
        <f aca="false">DN15</f>
        <v>0.895905244977209</v>
      </c>
      <c r="DO14" s="2009"/>
      <c r="DP14" s="2009" t="n">
        <f aca="false">GK14*DH14/GJ14</f>
        <v>13.9660882893641</v>
      </c>
      <c r="DQ14" s="2009" t="n">
        <f aca="false">2/3*DP14</f>
        <v>9.31072552624274</v>
      </c>
      <c r="DR14" s="2009"/>
      <c r="DS14" s="2009"/>
      <c r="DT14" s="2014"/>
      <c r="DU14" s="2015" t="n">
        <f aca="false">CL14</f>
        <v>0.817176352116872</v>
      </c>
      <c r="DV14" s="2016" t="n">
        <f aca="false">DV15*DateDE1b!CE15/DateDE1b!CE16</f>
        <v>24.9005880321976</v>
      </c>
      <c r="DW14" s="1509" t="n">
        <f aca="false">I14</f>
        <v>10.8182981201589</v>
      </c>
      <c r="DX14" s="2017"/>
      <c r="DY14" s="2017"/>
      <c r="DZ14" s="2018"/>
      <c r="EA14" s="2018"/>
      <c r="EB14" s="1478" t="n">
        <f aca="false">EB15*DateDE1b!CL15/DateDE1b!CL16</f>
        <v>6.8068842924393</v>
      </c>
      <c r="EC14" s="2018"/>
      <c r="ED14" s="2018"/>
      <c r="EE14" s="1478"/>
      <c r="EF14" s="2017"/>
      <c r="EG14" s="2019" t="n">
        <f aca="false">EG15*DateDE1b!CQ15/DateDE1b!CQ16</f>
        <v>10.0322476611368</v>
      </c>
      <c r="EH14" s="2020" t="n">
        <f aca="false">EG14-EI14</f>
        <v>8.22244271434036</v>
      </c>
      <c r="EI14" s="2020" t="n">
        <f aca="false">EG14*EI$41/EG$41</f>
        <v>1.80980494679649</v>
      </c>
      <c r="EJ14" s="2021"/>
      <c r="EK14" s="2022"/>
      <c r="EL14" s="2017"/>
      <c r="EM14" s="2017"/>
      <c r="EN14" s="2017"/>
      <c r="EO14" s="2017" t="n">
        <f aca="false">EO15*DateDE1b!CT15/DateDE1b!CT16</f>
        <v>14.1059471491995</v>
      </c>
      <c r="EP14" s="2017" t="n">
        <f aca="false">EO14-S14</f>
        <v>5.08187189506503</v>
      </c>
      <c r="EQ14" s="2017" t="n">
        <f aca="false">DateDE1b!CV15/DateDE1b!$B$5</f>
        <v>4.16191591293722</v>
      </c>
      <c r="ER14" s="2023" t="n">
        <f aca="false">EP14+EQ14</f>
        <v>9.24378780800225</v>
      </c>
      <c r="ES14" s="2017" t="n">
        <f aca="false">ES15*DateDE1b!CX15/DateDE1b!CX16</f>
        <v>1.75299124652912</v>
      </c>
      <c r="ET14" s="2017" t="n">
        <v>0</v>
      </c>
      <c r="EU14" s="2017" t="n">
        <f aca="false">ER14-ES14-ET14+BP14</f>
        <v>8.54303111745768</v>
      </c>
      <c r="EV14" s="2024" t="n">
        <f aca="false">B14-DV14+EH14+DD14-CO14</f>
        <v>59.1953222323998</v>
      </c>
      <c r="EW14" s="1478"/>
      <c r="EX14" s="1478"/>
      <c r="EY14" s="1478"/>
      <c r="EZ14" s="1478" t="n">
        <f aca="false">EV14+EI14</f>
        <v>61.0051271791963</v>
      </c>
      <c r="FA14" s="1478"/>
      <c r="FB14" s="1478" t="n">
        <f aca="false">FB15*DateDE1b!DE15/DateDE1b!DE16</f>
        <v>3.82771514552641</v>
      </c>
      <c r="FC14" s="1478"/>
      <c r="FD14" s="1997" t="n">
        <f aca="false">T14+E14+U14-V14+CR14-H14-EP14</f>
        <v>9.44966902757502</v>
      </c>
      <c r="FE14" s="1478"/>
      <c r="FF14" s="1478"/>
      <c r="FG14" s="1997" t="n">
        <f aca="false">CU14-EQ14</f>
        <v>0.593098582187614</v>
      </c>
      <c r="FH14" s="514" t="n">
        <f aca="false">FG14/FD14</f>
        <v>0.0627639529444785</v>
      </c>
      <c r="FI14" s="1994" t="n">
        <f aca="false">FI15*DateDE1b!DE15/DateDE1b!DE16</f>
        <v>4.00665873158462</v>
      </c>
      <c r="FJ14" s="1994" t="n">
        <f aca="false">FK14-FI14</f>
        <v>6.03610887817801</v>
      </c>
      <c r="FK14" s="2025" t="n">
        <f aca="false">FD14+FG14</f>
        <v>10.0427676097626</v>
      </c>
      <c r="FL14" s="1994"/>
      <c r="FM14" s="1994"/>
      <c r="FN14" s="1478"/>
      <c r="FO14" s="1995"/>
      <c r="FP14" s="1478"/>
      <c r="FQ14" s="1478"/>
      <c r="FR14" s="1997" t="n">
        <v>0</v>
      </c>
      <c r="FS14" s="1478"/>
      <c r="FT14" s="1478"/>
      <c r="FU14" s="1478"/>
      <c r="FV14" s="1478"/>
      <c r="FW14" s="2025"/>
      <c r="FX14" s="2026"/>
      <c r="FY14" s="2026"/>
      <c r="FZ14" s="2027"/>
      <c r="GA14" s="2015" t="n">
        <v>0</v>
      </c>
      <c r="GB14" s="402" t="n">
        <v>-0.0172413793103449</v>
      </c>
      <c r="GC14" s="387"/>
      <c r="GD14" s="387" t="n">
        <f aca="false">(G14/G13)/(1+GE14)-1</f>
        <v>-0.0141340258169455</v>
      </c>
      <c r="GE14" s="387" t="n">
        <v>0.0884433962264151</v>
      </c>
      <c r="GF14" s="387" t="n">
        <v>-0.0102249488752556</v>
      </c>
      <c r="GG14" s="387"/>
      <c r="GH14" s="465" t="n">
        <v>52158.8</v>
      </c>
      <c r="GI14" s="465" t="n">
        <f aca="false">GI15*DateDE1b!DM15/DateDE1b!DM16</f>
        <v>22319.6585331924</v>
      </c>
      <c r="GJ14" s="465" t="n">
        <f aca="false">GJ15*DateDE1b!DN15/DateDE1b!DN16</f>
        <v>16079.2065830409</v>
      </c>
      <c r="GK14" s="465" t="n">
        <f aca="false">GK15*DateDE1b!DO15/DateDE1b!DO16</f>
        <v>6176.88210709967</v>
      </c>
      <c r="GL14" s="25" t="n">
        <f aca="false">GL13+(GL$21-GL$11)/10</f>
        <v>0.2987</v>
      </c>
      <c r="GM14" s="25" t="n">
        <f aca="false">GK14/GI14</f>
        <v>0.276746263743856</v>
      </c>
      <c r="GN14" s="401" t="n">
        <v>52158.8</v>
      </c>
      <c r="GO14" s="2028" t="n">
        <f aca="false">CX14</f>
        <v>15.3544397280847</v>
      </c>
      <c r="GP14" s="1932"/>
      <c r="GQ14" s="1932"/>
      <c r="GR14" s="1932"/>
      <c r="GS14" s="1509"/>
      <c r="GT14" s="1932"/>
      <c r="GU14" s="1478"/>
      <c r="GV14" s="1509"/>
      <c r="GW14" s="1478"/>
      <c r="GX14" s="1932"/>
      <c r="GY14" s="1478"/>
      <c r="GZ14" s="24"/>
      <c r="HA14" s="1478"/>
      <c r="HB14" s="1478"/>
      <c r="HD14" s="1478"/>
      <c r="HE14" s="1478"/>
      <c r="HF14" s="1478"/>
      <c r="HG14" s="1478"/>
      <c r="HH14" s="1478"/>
      <c r="HI14" s="1478"/>
      <c r="HJ14" s="1478"/>
      <c r="HK14" s="387"/>
    </row>
    <row r="15" customFormat="false" ht="12" hidden="false" customHeight="false" outlineLevel="0" collapsed="false">
      <c r="A15" s="31" t="n">
        <f aca="false">A14+1</f>
        <v>1954</v>
      </c>
      <c r="B15" s="1994" t="n">
        <f aca="false">E15+F15</f>
        <v>81.8499263433462</v>
      </c>
      <c r="C15" s="432" t="n">
        <f aca="false">B15+CR15</f>
        <v>79.2860394452966</v>
      </c>
      <c r="D15" s="1995" t="n">
        <f aca="false">B15-I15</f>
        <v>70.2193504590242</v>
      </c>
      <c r="E15" s="1996" t="n">
        <f aca="false">CH15</f>
        <v>0.517834832428955</v>
      </c>
      <c r="F15" s="395" t="n">
        <f aca="false">W15+BM15+J15</f>
        <v>81.3320915109172</v>
      </c>
      <c r="G15" s="1478" t="n">
        <f aca="false">J15+X15+BN15</f>
        <v>88.8441036311466</v>
      </c>
      <c r="H15" s="1997" t="n">
        <f aca="false">AA15+BP15</f>
        <v>7.51201212022935</v>
      </c>
      <c r="I15" s="1998" t="n">
        <f aca="false">I16*DateDE1b!K16/DateDE1b!K17</f>
        <v>11.630575884322</v>
      </c>
      <c r="J15" s="395" t="n">
        <f aca="false">I15-CO15</f>
        <v>11.630575884322</v>
      </c>
      <c r="K15" s="1478"/>
      <c r="L15" s="1478"/>
      <c r="M15" s="1478"/>
      <c r="N15" s="1478"/>
      <c r="O15" s="1478"/>
      <c r="P15" s="1478"/>
      <c r="Q15" s="1999"/>
      <c r="R15" s="1997" t="n">
        <f aca="false">R16*DateDE1b!L16/DateDE1b!L17</f>
        <v>53.2618051098641</v>
      </c>
      <c r="S15" s="1997" t="n">
        <f aca="false">S16*DateDE1b!M16/DateDE1b!M17</f>
        <v>9.651981968246</v>
      </c>
      <c r="T15" s="1997" t="n">
        <f aca="false">T16*DateDE1b!N16/DateDE1b!N17</f>
        <v>21.5469553977247</v>
      </c>
      <c r="U15" s="1997" t="n">
        <f aca="false">U16*DateDE1b!Q16/DateDE1b!Q17</f>
        <v>15.6697406941223</v>
      </c>
      <c r="V15" s="1997" t="n">
        <f aca="false">V16*DateDE1b!R16/DateDE1b!R17</f>
        <v>11.4882893368108</v>
      </c>
      <c r="W15" s="2000" t="n">
        <f aca="false">W16*DateDE1b!U16/DateDE1b!U17</f>
        <v>64.3625613662936</v>
      </c>
      <c r="X15" s="1997" t="n">
        <f aca="false">W15+AA15</f>
        <v>70.7544528301523</v>
      </c>
      <c r="Y15" s="1997" t="n">
        <f aca="false">Y16*DateDE1b!W16/DateDE1b!W17</f>
        <v>34.5230118005706</v>
      </c>
      <c r="Z15" s="1997" t="n">
        <f aca="false">W15-Y15</f>
        <v>29.839549565723</v>
      </c>
      <c r="AA15" s="1997" t="n">
        <f aca="false">AA16*DateDE1b!Y16/DateDE1b!Y17</f>
        <v>6.3918914638587</v>
      </c>
      <c r="AB15" s="1319" t="n">
        <f aca="false">AA15/X15</f>
        <v>0.0903390699551106</v>
      </c>
      <c r="AC15" s="514"/>
      <c r="AD15" s="1997"/>
      <c r="AE15" s="1997"/>
      <c r="AF15" s="1997"/>
      <c r="AG15" s="1997"/>
      <c r="AH15" s="1997"/>
      <c r="AI15" s="2001"/>
      <c r="AJ15" s="2002"/>
      <c r="AK15" s="1478"/>
      <c r="AL15" s="1478"/>
      <c r="AM15" s="821"/>
      <c r="AN15" s="2003"/>
      <c r="AO15" s="2001"/>
      <c r="AP15" s="2004"/>
      <c r="AQ15" s="2004"/>
      <c r="AR15" s="1478"/>
      <c r="AS15" s="1478"/>
      <c r="AT15" s="1478"/>
      <c r="AU15" s="2005"/>
      <c r="AV15" s="2001"/>
      <c r="AW15" s="2004"/>
      <c r="AX15" s="2004"/>
      <c r="AY15" s="1932"/>
      <c r="AZ15" s="1478"/>
      <c r="BA15" s="1478"/>
      <c r="BB15" s="821"/>
      <c r="BC15" s="1478"/>
      <c r="BD15" s="1478"/>
      <c r="BE15" s="1509"/>
      <c r="BF15" s="1478"/>
      <c r="BG15" s="1478"/>
      <c r="BH15" s="1478"/>
      <c r="BI15" s="1478"/>
      <c r="BJ15" s="1509"/>
      <c r="BK15" s="1478"/>
      <c r="BL15" s="2003"/>
      <c r="BM15" s="2006" t="n">
        <f aca="false">BM16*DateDE1b!AM16/DateDE1b!AM17</f>
        <v>5.33895426030164</v>
      </c>
      <c r="BN15" s="2004" t="n">
        <f aca="false">BO15+BP15</f>
        <v>6.45907491667229</v>
      </c>
      <c r="BO15" s="1997" t="n">
        <f aca="false">BO16*DateDE1b!AO16/DateDE1b!AO17</f>
        <v>5.33895426030164</v>
      </c>
      <c r="BP15" s="1997" t="n">
        <f aca="false">BP16*DateDE1b!AP16/DateDE1b!AP17</f>
        <v>1.12012065637065</v>
      </c>
      <c r="BQ15" s="2005" t="n">
        <f aca="false">BP15/BN15</f>
        <v>0.173418124239336</v>
      </c>
      <c r="BR15" s="1509"/>
      <c r="BS15" s="1509"/>
      <c r="BT15" s="1509"/>
      <c r="BU15" s="1509"/>
      <c r="BV15" s="1509"/>
      <c r="BW15" s="1509"/>
      <c r="BX15" s="1478"/>
      <c r="BY15" s="1478"/>
      <c r="BZ15" s="1478"/>
      <c r="CA15" s="1509"/>
      <c r="CB15" s="1509"/>
      <c r="CC15" s="1478"/>
      <c r="CD15" s="1478"/>
      <c r="CE15" s="1478"/>
      <c r="CF15" s="1478"/>
      <c r="CG15" s="1509"/>
      <c r="CH15" s="1482" t="n">
        <f aca="false">CI15+CL15+CO15</f>
        <v>0.517834832428955</v>
      </c>
      <c r="CI15" s="1479" t="n">
        <f aca="false">CJ15-CK15</f>
        <v>-0.274973177970981</v>
      </c>
      <c r="CJ15" s="1478" t="n">
        <f aca="false">CJ16*DateDE1b!BC16/DateDE1b!BC17</f>
        <v>0.154579767292497</v>
      </c>
      <c r="CK15" s="1478" t="n">
        <f aca="false">CK16*DateDE1b!BD16/DateDE1b!BD17</f>
        <v>0.429552945263478</v>
      </c>
      <c r="CL15" s="1479" t="n">
        <f aca="false">CM15-CN15</f>
        <v>0.792808010399936</v>
      </c>
      <c r="CM15" s="1478" t="n">
        <f aca="false">CM16*DateDE1b!BF16/DateDE1b!BF17</f>
        <v>0.825138837467605</v>
      </c>
      <c r="CN15" s="1478" t="n">
        <f aca="false">CN16*DateDE1b!BG16/DateDE1b!BG17</f>
        <v>0.0323308270676692</v>
      </c>
      <c r="CO15" s="384" t="n">
        <v>0</v>
      </c>
      <c r="CP15" s="1997"/>
      <c r="CQ15" s="1997"/>
      <c r="CR15" s="1478" t="n">
        <f aca="false">CR16*DateDE1b!BK16/DateDE1b!BK17</f>
        <v>-2.56388689804954</v>
      </c>
      <c r="CS15" s="1478"/>
      <c r="CT15" s="1478"/>
      <c r="CU15" s="1478" t="n">
        <f aca="false">DateDE1b!BN16/DateDE1b!$B$5</f>
        <v>0.107371295051206</v>
      </c>
      <c r="CV15" s="1478"/>
      <c r="CW15" s="1478"/>
      <c r="CX15" s="1998" t="n">
        <f aca="false">D15+DD15-DF15</f>
        <v>15.7149964548838</v>
      </c>
      <c r="CY15" s="2007" t="n">
        <f aca="false">CX15-DC15-DD15</f>
        <v>16.8131495615807</v>
      </c>
      <c r="CZ15" s="1509"/>
      <c r="DA15" s="2008"/>
      <c r="DB15" s="2009"/>
      <c r="DC15" s="2017" t="n">
        <f aca="false">CI15</f>
        <v>-0.274973177970981</v>
      </c>
      <c r="DD15" s="1478" t="n">
        <f aca="false">DateDE1b!BV17/DateDE1b!$B$5</f>
        <v>-0.823179928725912</v>
      </c>
      <c r="DE15" s="1478"/>
      <c r="DF15" s="2007" t="n">
        <f aca="false">DI15+DL15+DM15+DU15</f>
        <v>53.6811740754145</v>
      </c>
      <c r="DG15" s="2010" t="n">
        <f aca="false">DG16*DateDE1b!BZ16/DateDE1b!BZ17</f>
        <v>40.6393567703871</v>
      </c>
      <c r="DH15" s="2010" t="n">
        <f aca="false">DG15-DU15</f>
        <v>39.8465487599871</v>
      </c>
      <c r="DI15" s="2011" t="n">
        <f aca="false">Y15</f>
        <v>34.5230118005706</v>
      </c>
      <c r="DJ15" s="2012"/>
      <c r="DK15" s="2012"/>
      <c r="DL15" s="1509" t="n">
        <f aca="false">BM15</f>
        <v>5.33895426030164</v>
      </c>
      <c r="DM15" s="2009" t="n">
        <f aca="false">GK15*DN15*DH15/GJ15</f>
        <v>13.0264000041423</v>
      </c>
      <c r="DN15" s="2013" t="n">
        <f aca="false">DN16</f>
        <v>0.895905244977209</v>
      </c>
      <c r="DO15" s="2009"/>
      <c r="DP15" s="2009" t="n">
        <f aca="false">GK15*DH15/GJ15</f>
        <v>14.5399305084698</v>
      </c>
      <c r="DQ15" s="2009" t="n">
        <f aca="false">2/3*DP15</f>
        <v>9.69328700564656</v>
      </c>
      <c r="DR15" s="2009"/>
      <c r="DS15" s="2009"/>
      <c r="DT15" s="2014"/>
      <c r="DU15" s="2015" t="n">
        <f aca="false">CL15</f>
        <v>0.792808010399936</v>
      </c>
      <c r="DV15" s="2016" t="n">
        <f aca="false">DV16*DateDE1b!CE16/DateDE1b!CE17</f>
        <v>26.3867313804868</v>
      </c>
      <c r="DW15" s="1509" t="n">
        <f aca="false">I15</f>
        <v>11.630575884322</v>
      </c>
      <c r="DX15" s="2017"/>
      <c r="DY15" s="2017"/>
      <c r="DZ15" s="2018"/>
      <c r="EA15" s="2018"/>
      <c r="EB15" s="1478" t="n">
        <f aca="false">EB16*DateDE1b!CL16/DateDE1b!CL17</f>
        <v>7.34821918498762</v>
      </c>
      <c r="EC15" s="2018"/>
      <c r="ED15" s="2018"/>
      <c r="EE15" s="1478"/>
      <c r="EF15" s="2017"/>
      <c r="EG15" s="2019" t="n">
        <f aca="false">EG16*DateDE1b!CQ16/DateDE1b!CQ17</f>
        <v>10.6011735532058</v>
      </c>
      <c r="EH15" s="2020" t="n">
        <f aca="false">EG15-EI15</f>
        <v>8.68873508612496</v>
      </c>
      <c r="EI15" s="2020" t="n">
        <f aca="false">EG15*EI$41/EG$41</f>
        <v>1.91243846708085</v>
      </c>
      <c r="EJ15" s="2021"/>
      <c r="EK15" s="2022"/>
      <c r="EL15" s="2017"/>
      <c r="EM15" s="2017"/>
      <c r="EN15" s="2017"/>
      <c r="EO15" s="2017" t="n">
        <f aca="false">EO16*DateDE1b!CT16/DateDE1b!CT17</f>
        <v>15.3141199328274</v>
      </c>
      <c r="EP15" s="2017" t="n">
        <f aca="false">EO15-S15</f>
        <v>5.66213796458136</v>
      </c>
      <c r="EQ15" s="2017" t="n">
        <f aca="false">DateDE1b!CV16/DateDE1b!$B$5</f>
        <v>-0.802728253478063</v>
      </c>
      <c r="ER15" s="2023" t="n">
        <f aca="false">EP15+EQ15</f>
        <v>4.85940971110329</v>
      </c>
      <c r="ES15" s="2017" t="n">
        <f aca="false">ES16*DateDE1b!CX16/DateDE1b!CX17</f>
        <v>2.0795288316669</v>
      </c>
      <c r="ET15" s="2017" t="n">
        <v>0</v>
      </c>
      <c r="EU15" s="2017" t="n">
        <f aca="false">ER15-ES15-ET15+BP15</f>
        <v>3.90000153580705</v>
      </c>
      <c r="EV15" s="2024" t="n">
        <f aca="false">B15-DV15+EH15+DD15-CO15</f>
        <v>63.3287501202584</v>
      </c>
      <c r="EW15" s="1478"/>
      <c r="EX15" s="1478"/>
      <c r="EY15" s="1478"/>
      <c r="EZ15" s="1478" t="n">
        <f aca="false">EV15+EI15</f>
        <v>65.2411885873392</v>
      </c>
      <c r="FA15" s="1478"/>
      <c r="FB15" s="1478" t="n">
        <f aca="false">FB16*DateDE1b!DE16/DateDE1b!DE17</f>
        <v>4.4118644448437</v>
      </c>
      <c r="FC15" s="1478"/>
      <c r="FD15" s="1997" t="n">
        <f aca="false">T15+E15+U15-V15+CR15-H15-EP15</f>
        <v>10.5082046046049</v>
      </c>
      <c r="FE15" s="1478"/>
      <c r="FF15" s="1478"/>
      <c r="FG15" s="1997" t="n">
        <f aca="false">CU15-EQ15</f>
        <v>0.910099548529269</v>
      </c>
      <c r="FH15" s="514" t="n">
        <f aca="false">FG15/FD15</f>
        <v>0.0866084724054996</v>
      </c>
      <c r="FI15" s="1994" t="n">
        <f aca="false">FI16*DateDE1b!DE16/DateDE1b!DE17</f>
        <v>4.61811669062163</v>
      </c>
      <c r="FJ15" s="1994" t="n">
        <f aca="false">FK15-FI15</f>
        <v>6.80018746251256</v>
      </c>
      <c r="FK15" s="2025" t="n">
        <f aca="false">FD15+FG15</f>
        <v>11.4183041531342</v>
      </c>
      <c r="FL15" s="1994"/>
      <c r="FM15" s="1994"/>
      <c r="FN15" s="1478"/>
      <c r="FO15" s="1995"/>
      <c r="FP15" s="1478"/>
      <c r="FQ15" s="1478"/>
      <c r="FR15" s="1997" t="n">
        <v>0</v>
      </c>
      <c r="FS15" s="1478"/>
      <c r="FT15" s="1478"/>
      <c r="FU15" s="1478"/>
      <c r="FV15" s="1478"/>
      <c r="FW15" s="2025"/>
      <c r="FX15" s="2026"/>
      <c r="FY15" s="2026"/>
      <c r="FZ15" s="2027"/>
      <c r="GA15" s="2015" t="n">
        <v>0</v>
      </c>
      <c r="GB15" s="402" t="n">
        <v>0.00350877192982457</v>
      </c>
      <c r="GC15" s="387"/>
      <c r="GD15" s="387" t="n">
        <f aca="false">(G15/G14)/(1+GE15)-1</f>
        <v>-0.00300480885069754</v>
      </c>
      <c r="GE15" s="387" t="n">
        <v>0.0763813651137595</v>
      </c>
      <c r="GF15" s="387" t="n">
        <v>0.00413223140495878</v>
      </c>
      <c r="GG15" s="387"/>
      <c r="GH15" s="465" t="n">
        <v>52698.55</v>
      </c>
      <c r="GI15" s="465" t="n">
        <f aca="false">GI16*DateDE1b!DM16/DateDE1b!DM17</f>
        <v>22951.9464777836</v>
      </c>
      <c r="GJ15" s="465" t="n">
        <f aca="false">GJ16*DateDE1b!DN16/DateDE1b!DN17</f>
        <v>16777.36995832</v>
      </c>
      <c r="GK15" s="465" t="n">
        <f aca="false">GK16*DateDE1b!DO16/DateDE1b!DO17</f>
        <v>6122.03066263603</v>
      </c>
      <c r="GL15" s="25" t="n">
        <f aca="false">GL14+(GL$21-GL$11)/10</f>
        <v>0.2966</v>
      </c>
      <c r="GM15" s="25" t="n">
        <f aca="false">GK15/GI15</f>
        <v>0.266732526087139</v>
      </c>
      <c r="GN15" s="385" t="n">
        <v>52698.55</v>
      </c>
      <c r="GO15" s="1932" t="n">
        <f aca="false">CX15</f>
        <v>15.7149964548838</v>
      </c>
      <c r="GP15" s="1932"/>
      <c r="GQ15" s="1932"/>
      <c r="GR15" s="1932"/>
      <c r="GS15" s="1509"/>
      <c r="GT15" s="1932"/>
      <c r="GU15" s="1478"/>
      <c r="GV15" s="1509"/>
      <c r="GW15" s="1478"/>
      <c r="GX15" s="1932"/>
      <c r="GY15" s="1478"/>
      <c r="GZ15" s="24"/>
      <c r="HA15" s="1478"/>
      <c r="HB15" s="1478"/>
      <c r="HD15" s="1478"/>
      <c r="HE15" s="1478"/>
      <c r="HF15" s="1478"/>
      <c r="HG15" s="1478"/>
      <c r="HH15" s="1478"/>
      <c r="HI15" s="1478"/>
      <c r="HJ15" s="1478"/>
      <c r="HK15" s="387"/>
    </row>
    <row r="16" customFormat="false" ht="12" hidden="false" customHeight="false" outlineLevel="0" collapsed="false">
      <c r="A16" s="31" t="n">
        <f aca="false">A15+1</f>
        <v>1955</v>
      </c>
      <c r="B16" s="1994" t="n">
        <f aca="false">E16+F16</f>
        <v>93.7018568297592</v>
      </c>
      <c r="C16" s="432" t="n">
        <f aca="false">B16+CR16</f>
        <v>90.9420583082707</v>
      </c>
      <c r="D16" s="1995" t="n">
        <f aca="false">B16-I16</f>
        <v>80.5708952664099</v>
      </c>
      <c r="E16" s="1996" t="n">
        <f aca="false">CH16</f>
        <v>0.500060477346458</v>
      </c>
      <c r="F16" s="395" t="n">
        <f aca="false">W16+BM16+J16</f>
        <v>93.2017963524128</v>
      </c>
      <c r="G16" s="1478" t="n">
        <f aca="false">J16+X16+BN16</f>
        <v>101.487405666776</v>
      </c>
      <c r="H16" s="1997" t="n">
        <f aca="false">AA16+BP16</f>
        <v>8.28560931436275</v>
      </c>
      <c r="I16" s="1998" t="n">
        <f aca="false">I17*DateDE1b!K17/DateDE1b!K18</f>
        <v>13.1309615633493</v>
      </c>
      <c r="J16" s="395" t="n">
        <f aca="false">I16-CO16</f>
        <v>13.1309615633493</v>
      </c>
      <c r="K16" s="1478"/>
      <c r="L16" s="1478"/>
      <c r="M16" s="1478"/>
      <c r="N16" s="1478"/>
      <c r="O16" s="1478"/>
      <c r="P16" s="1478"/>
      <c r="Q16" s="1999"/>
      <c r="R16" s="1997" t="n">
        <f aca="false">R17*DateDE1b!L17/DateDE1b!L18</f>
        <v>59.5265694476273</v>
      </c>
      <c r="S16" s="1997" t="n">
        <f aca="false">S17*DateDE1b!M17/DateDE1b!M18</f>
        <v>10.5743936013656</v>
      </c>
      <c r="T16" s="1997" t="n">
        <f aca="false">T17*DateDE1b!N17/DateDE1b!N18</f>
        <v>27.6402231509191</v>
      </c>
      <c r="U16" s="1997" t="n">
        <f aca="false">U17*DateDE1b!Q17/DateDE1b!Q18</f>
        <v>18.2877927547095</v>
      </c>
      <c r="V16" s="1997" t="n">
        <f aca="false">V17*DateDE1b!R17/DateDE1b!R18</f>
        <v>14.4695796327404</v>
      </c>
      <c r="W16" s="2000" t="n">
        <f aca="false">W17*DateDE1b!U17/DateDE1b!U18</f>
        <v>74.1885601575162</v>
      </c>
      <c r="X16" s="1997" t="n">
        <f aca="false">W16+AA16</f>
        <v>81.2861627151222</v>
      </c>
      <c r="Y16" s="1997" t="n">
        <f aca="false">Y17*DateDE1b!W17/DateDE1b!W18</f>
        <v>39.6090642259507</v>
      </c>
      <c r="Z16" s="1997" t="n">
        <f aca="false">W16-Y16</f>
        <v>34.5794959315655</v>
      </c>
      <c r="AA16" s="1997" t="n">
        <f aca="false">AA17*DateDE1b!Y17/DateDE1b!Y18</f>
        <v>7.09760255760599</v>
      </c>
      <c r="AB16" s="1319" t="n">
        <f aca="false">AA16/X16</f>
        <v>0.0873162457241394</v>
      </c>
      <c r="AC16" s="514"/>
      <c r="AD16" s="1997"/>
      <c r="AE16" s="1997"/>
      <c r="AF16" s="1997"/>
      <c r="AG16" s="1997"/>
      <c r="AH16" s="1997"/>
      <c r="AI16" s="2001"/>
      <c r="AJ16" s="2002"/>
      <c r="AK16" s="1478"/>
      <c r="AL16" s="1478"/>
      <c r="AM16" s="821"/>
      <c r="AN16" s="2003"/>
      <c r="AO16" s="2001"/>
      <c r="AP16" s="2004"/>
      <c r="AQ16" s="2004"/>
      <c r="AR16" s="1478"/>
      <c r="AS16" s="1478"/>
      <c r="AT16" s="1478"/>
      <c r="AU16" s="2005"/>
      <c r="AV16" s="2001"/>
      <c r="AW16" s="2004"/>
      <c r="AX16" s="2004"/>
      <c r="AY16" s="1932"/>
      <c r="AZ16" s="1478"/>
      <c r="BA16" s="1478"/>
      <c r="BB16" s="821"/>
      <c r="BC16" s="1478"/>
      <c r="BD16" s="1478"/>
      <c r="BE16" s="1509"/>
      <c r="BF16" s="1478"/>
      <c r="BG16" s="1478"/>
      <c r="BH16" s="1478"/>
      <c r="BI16" s="1478"/>
      <c r="BJ16" s="1509"/>
      <c r="BK16" s="1478"/>
      <c r="BL16" s="2003"/>
      <c r="BM16" s="2006" t="n">
        <f aca="false">BM17*DateDE1b!AM17/DateDE1b!AM18</f>
        <v>5.88227463154729</v>
      </c>
      <c r="BN16" s="2004" t="n">
        <f aca="false">BO16+BP16</f>
        <v>7.07028138830405</v>
      </c>
      <c r="BO16" s="1997" t="n">
        <f aca="false">BO17*DateDE1b!AO17/DateDE1b!AO18</f>
        <v>5.88227463154729</v>
      </c>
      <c r="BP16" s="1997" t="n">
        <f aca="false">BP17*DateDE1b!AP17/DateDE1b!AP18</f>
        <v>1.18800675675676</v>
      </c>
      <c r="BQ16" s="2005" t="n">
        <f aca="false">BP16/BN16</f>
        <v>0.168028214368102</v>
      </c>
      <c r="BR16" s="1509"/>
      <c r="BS16" s="1509"/>
      <c r="BT16" s="1509"/>
      <c r="BU16" s="1509"/>
      <c r="BV16" s="1509"/>
      <c r="BW16" s="1509"/>
      <c r="BX16" s="1478"/>
      <c r="BY16" s="1478"/>
      <c r="BZ16" s="1478"/>
      <c r="CA16" s="1509"/>
      <c r="CB16" s="1509"/>
      <c r="CC16" s="1478"/>
      <c r="CD16" s="1478"/>
      <c r="CE16" s="1478"/>
      <c r="CF16" s="1478"/>
      <c r="CG16" s="1509"/>
      <c r="CH16" s="1482" t="n">
        <f aca="false">CI16+CL16+CO16</f>
        <v>0.500060477346458</v>
      </c>
      <c r="CI16" s="1479" t="n">
        <f aca="false">CJ16-CK16</f>
        <v>-0.355356132486158</v>
      </c>
      <c r="CJ16" s="1478" t="n">
        <f aca="false">CJ17*DateDE1b!BC17/DateDE1b!BC18</f>
        <v>0.200535914325402</v>
      </c>
      <c r="CK16" s="1478" t="n">
        <f aca="false">CK17*DateDE1b!BD17/DateDE1b!BD18</f>
        <v>0.55589204681156</v>
      </c>
      <c r="CL16" s="1479" t="n">
        <f aca="false">CM16-CN16</f>
        <v>0.855416609832616</v>
      </c>
      <c r="CM16" s="1478" t="n">
        <f aca="false">CM17*DateDE1b!BF17/DateDE1b!BF18</f>
        <v>0.911995557201037</v>
      </c>
      <c r="CN16" s="1478" t="n">
        <f aca="false">CN17*DateDE1b!BG17/DateDE1b!BG18</f>
        <v>0.0565789473684211</v>
      </c>
      <c r="CO16" s="384" t="n">
        <v>0</v>
      </c>
      <c r="CP16" s="1997"/>
      <c r="CQ16" s="1997"/>
      <c r="CR16" s="1478" t="n">
        <f aca="false">CR17*DateDE1b!BK17/DateDE1b!BK18</f>
        <v>-2.75979852148854</v>
      </c>
      <c r="CS16" s="1478"/>
      <c r="CT16" s="1478"/>
      <c r="CU16" s="1478" t="n">
        <f aca="false">DateDE1b!BN17/DateDE1b!$B$5</f>
        <v>-0.0102258376239244</v>
      </c>
      <c r="CV16" s="1478"/>
      <c r="CW16" s="1478"/>
      <c r="CX16" s="1998" t="n">
        <f aca="false">D16+DD16-DF16</f>
        <v>19.4186434920653</v>
      </c>
      <c r="CY16" s="2007" t="n">
        <f aca="false">CX16-DC16-DD16</f>
        <v>20.5767278780295</v>
      </c>
      <c r="CZ16" s="1509"/>
      <c r="DA16" s="2008"/>
      <c r="DB16" s="2009"/>
      <c r="DC16" s="2017" t="n">
        <f aca="false">CI16</f>
        <v>-0.355356132486158</v>
      </c>
      <c r="DD16" s="1478" t="n">
        <f aca="false">DateDE1b!BV18/DateDE1b!$B$5</f>
        <v>-0.802728253478063</v>
      </c>
      <c r="DE16" s="1478"/>
      <c r="DF16" s="2007" t="n">
        <f aca="false">DI16+DL16+DM16+DU16</f>
        <v>60.3495235208666</v>
      </c>
      <c r="DG16" s="2010" t="n">
        <f aca="false">DG17*DateDE1b!BZ17/DateDE1b!BZ18</f>
        <v>46.3389119112098</v>
      </c>
      <c r="DH16" s="2010" t="n">
        <f aca="false">DG16-DU16</f>
        <v>45.4834953013772</v>
      </c>
      <c r="DI16" s="2011" t="n">
        <f aca="false">Y16</f>
        <v>39.6090642259507</v>
      </c>
      <c r="DJ16" s="2012"/>
      <c r="DK16" s="2012"/>
      <c r="DL16" s="1509" t="n">
        <f aca="false">BM16</f>
        <v>5.88227463154729</v>
      </c>
      <c r="DM16" s="2009" t="n">
        <f aca="false">GK16*DN16*DH16/GJ16</f>
        <v>14.002768053536</v>
      </c>
      <c r="DN16" s="2013" t="n">
        <f aca="false">DN17</f>
        <v>0.895905244977209</v>
      </c>
      <c r="DO16" s="2009"/>
      <c r="DP16" s="2009" t="n">
        <f aca="false">GK16*DH16/GJ16</f>
        <v>15.6297422434358</v>
      </c>
      <c r="DQ16" s="2009" t="n">
        <f aca="false">2/3*DP16</f>
        <v>10.4198281622905</v>
      </c>
      <c r="DR16" s="2009"/>
      <c r="DS16" s="2009"/>
      <c r="DT16" s="2014"/>
      <c r="DU16" s="2015" t="n">
        <f aca="false">CL16</f>
        <v>0.855416609832616</v>
      </c>
      <c r="DV16" s="2016" t="n">
        <f aca="false">DV17*DateDE1b!CE17/DateDE1b!CE18</f>
        <v>29.2514008001202</v>
      </c>
      <c r="DW16" s="1509" t="n">
        <f aca="false">I16</f>
        <v>13.1309615633493</v>
      </c>
      <c r="DX16" s="2017"/>
      <c r="DY16" s="2017"/>
      <c r="DZ16" s="2018"/>
      <c r="EA16" s="2018"/>
      <c r="EB16" s="1478" t="n">
        <f aca="false">EB17*DateDE1b!CL17/DateDE1b!CL18</f>
        <v>8.36657195314783</v>
      </c>
      <c r="EC16" s="2018"/>
      <c r="ED16" s="2018"/>
      <c r="EE16" s="1478"/>
      <c r="EF16" s="2017"/>
      <c r="EG16" s="2019" t="n">
        <f aca="false">EG17*DateDE1b!CQ17/DateDE1b!CQ18</f>
        <v>11.9249120149504</v>
      </c>
      <c r="EH16" s="2020" t="n">
        <f aca="false">EG16-EI16</f>
        <v>9.77367278285152</v>
      </c>
      <c r="EI16" s="2020" t="n">
        <f aca="false">EG16*EI$41/EG$41</f>
        <v>2.15123923209891</v>
      </c>
      <c r="EJ16" s="2021"/>
      <c r="EK16" s="2022"/>
      <c r="EL16" s="2017"/>
      <c r="EM16" s="2017"/>
      <c r="EN16" s="2017"/>
      <c r="EO16" s="2017" t="n">
        <f aca="false">EO17*DateDE1b!CT17/DateDE1b!CT18</f>
        <v>17.1369771151431</v>
      </c>
      <c r="EP16" s="2017" t="n">
        <f aca="false">EO16-S16</f>
        <v>6.56258351377749</v>
      </c>
      <c r="EQ16" s="2017" t="n">
        <f aca="false">DateDE1b!CV17/DateDE1b!$B$5</f>
        <v>-0.337452641589504</v>
      </c>
      <c r="ER16" s="2023" t="n">
        <f aca="false">EP16+EQ16</f>
        <v>6.22513087218798</v>
      </c>
      <c r="ES16" s="2017" t="n">
        <f aca="false">ES17*DateDE1b!CX17/DateDE1b!CX18</f>
        <v>2.78989129758066</v>
      </c>
      <c r="ET16" s="2017" t="n">
        <v>0</v>
      </c>
      <c r="EU16" s="2017" t="n">
        <f aca="false">ER16-ES16-ET16+BP16</f>
        <v>4.62324633136408</v>
      </c>
      <c r="EV16" s="2024" t="n">
        <f aca="false">B16-DV16+EH16+DD16-CO16</f>
        <v>73.4214005590125</v>
      </c>
      <c r="EW16" s="1478"/>
      <c r="EX16" s="1478"/>
      <c r="EY16" s="1478"/>
      <c r="EZ16" s="1478" t="n">
        <f aca="false">EV16+EI16</f>
        <v>75.5726397911114</v>
      </c>
      <c r="FA16" s="1478"/>
      <c r="FB16" s="1478" t="n">
        <f aca="false">FB17*DateDE1b!DE17/DateDE1b!DE18</f>
        <v>4.44260914480776</v>
      </c>
      <c r="FC16" s="1478"/>
      <c r="FD16" s="1997" t="n">
        <f aca="false">T16+E16+U16-V16+CR16-H16-EP16</f>
        <v>14.350505400606</v>
      </c>
      <c r="FE16" s="1478"/>
      <c r="FF16" s="1478"/>
      <c r="FG16" s="1997" t="n">
        <f aca="false">CU16-EQ16</f>
        <v>0.32722680396558</v>
      </c>
      <c r="FH16" s="514" t="n">
        <f aca="false">FG16/FD16</f>
        <v>0.0228024585079605</v>
      </c>
      <c r="FI16" s="1994" t="n">
        <f aca="false">FI17*DateDE1b!DE17/DateDE1b!DE18</f>
        <v>4.65029868846568</v>
      </c>
      <c r="FJ16" s="1994" t="n">
        <f aca="false">FK16-FI16</f>
        <v>10.0274335161059</v>
      </c>
      <c r="FK16" s="2025" t="n">
        <f aca="false">FD16+FG16</f>
        <v>14.6777322045715</v>
      </c>
      <c r="FL16" s="1994"/>
      <c r="FM16" s="1994"/>
      <c r="FN16" s="1478"/>
      <c r="FO16" s="1995"/>
      <c r="FP16" s="1478"/>
      <c r="FQ16" s="1478"/>
      <c r="FR16" s="1997" t="n">
        <v>0</v>
      </c>
      <c r="FS16" s="1478"/>
      <c r="FT16" s="1478"/>
      <c r="FU16" s="1478"/>
      <c r="FV16" s="1478"/>
      <c r="FW16" s="2025"/>
      <c r="FX16" s="2026"/>
      <c r="FY16" s="2026"/>
      <c r="FZ16" s="2027"/>
      <c r="GA16" s="2015" t="n">
        <v>0</v>
      </c>
      <c r="GB16" s="402" t="n">
        <v>0.013986013986014</v>
      </c>
      <c r="GC16" s="387"/>
      <c r="GD16" s="387" t="n">
        <f aca="false">(G16/G15)/(1+GE16)-1</f>
        <v>0.0196620309492266</v>
      </c>
      <c r="GE16" s="387" t="n">
        <v>0.120281831907398</v>
      </c>
      <c r="GF16" s="387" t="n">
        <v>0.0123456790123457</v>
      </c>
      <c r="GG16" s="387"/>
      <c r="GH16" s="465" t="n">
        <v>53230.5</v>
      </c>
      <c r="GI16" s="465" t="n">
        <f aca="false">GI17*DateDE1b!DM17/DateDE1b!DM18</f>
        <v>23829.947660474</v>
      </c>
      <c r="GJ16" s="465" t="n">
        <f aca="false">GJ17*DateDE1b!DN17/DateDE1b!DN18</f>
        <v>17706.10956353</v>
      </c>
      <c r="GK16" s="465" t="n">
        <f aca="false">GK17*DateDE1b!DO17/DateDE1b!DO18</f>
        <v>6084.44726550354</v>
      </c>
      <c r="GL16" s="25" t="n">
        <f aca="false">GL15+(GL$21-GL$11)/10</f>
        <v>0.2945</v>
      </c>
      <c r="GM16" s="25" t="n">
        <f aca="false">GK16/GI16</f>
        <v>0.255327764550471</v>
      </c>
      <c r="GN16" s="385" t="n">
        <v>53230.5</v>
      </c>
      <c r="GO16" s="1932" t="n">
        <f aca="false">CX16</f>
        <v>19.4186434920653</v>
      </c>
      <c r="GP16" s="1932"/>
      <c r="GQ16" s="1932"/>
      <c r="GR16" s="1932"/>
      <c r="GS16" s="1509"/>
      <c r="GT16" s="1932"/>
      <c r="GU16" s="1478"/>
      <c r="GV16" s="1509"/>
      <c r="GW16" s="1478"/>
      <c r="GX16" s="1932"/>
      <c r="GY16" s="1478"/>
      <c r="GZ16" s="24"/>
      <c r="HA16" s="1478"/>
      <c r="HB16" s="1478"/>
      <c r="HD16" s="1478"/>
      <c r="HE16" s="1478"/>
      <c r="HF16" s="1478"/>
      <c r="HG16" s="1478"/>
      <c r="HH16" s="1478"/>
      <c r="HI16" s="1478"/>
      <c r="HJ16" s="1478"/>
      <c r="HK16" s="387"/>
    </row>
    <row r="17" customFormat="false" ht="12" hidden="false" customHeight="false" outlineLevel="0" collapsed="false">
      <c r="A17" s="31" t="n">
        <f aca="false">A16+1</f>
        <v>1956</v>
      </c>
      <c r="B17" s="1994" t="n">
        <f aca="false">E17+F17</f>
        <v>103.437600145709</v>
      </c>
      <c r="C17" s="432" t="n">
        <f aca="false">B17+CR17</f>
        <v>101.205911217839</v>
      </c>
      <c r="D17" s="1995" t="n">
        <f aca="false">B17-I17</f>
        <v>89.4167546623852</v>
      </c>
      <c r="E17" s="1996" t="n">
        <f aca="false">CH17</f>
        <v>0.499482452377386</v>
      </c>
      <c r="F17" s="395" t="n">
        <f aca="false">W17+BM17+J17</f>
        <v>102.938117693332</v>
      </c>
      <c r="G17" s="1478" t="n">
        <f aca="false">J17+X17+BN17</f>
        <v>112.227558809135</v>
      </c>
      <c r="H17" s="1997" t="n">
        <f aca="false">AA17+BP17</f>
        <v>9.28944111580347</v>
      </c>
      <c r="I17" s="1998" t="n">
        <f aca="false">I18*DateDE1b!K18/DateDE1b!K19</f>
        <v>14.0208454833241</v>
      </c>
      <c r="J17" s="395" t="n">
        <f aca="false">I17-CO17</f>
        <v>14.0208454833241</v>
      </c>
      <c r="K17" s="1478"/>
      <c r="L17" s="1478"/>
      <c r="M17" s="1478"/>
      <c r="N17" s="1478"/>
      <c r="O17" s="1478"/>
      <c r="P17" s="1478"/>
      <c r="Q17" s="1999"/>
      <c r="R17" s="1997" t="n">
        <f aca="false">R18*DateDE1b!L18/DateDE1b!L19</f>
        <v>65.9383408907893</v>
      </c>
      <c r="S17" s="1997" t="n">
        <f aca="false">S18*DateDE1b!M18/DateDE1b!M19</f>
        <v>12.2580726666383</v>
      </c>
      <c r="T17" s="1997" t="n">
        <f aca="false">T18*DateDE1b!N18/DateDE1b!N19</f>
        <v>29.6829186262757</v>
      </c>
      <c r="U17" s="1997" t="n">
        <f aca="false">U18*DateDE1b!Q18/DateDE1b!Q19</f>
        <v>21.0649529515755</v>
      </c>
      <c r="V17" s="1997" t="n">
        <f aca="false">V18*DateDE1b!R18/DateDE1b!R19</f>
        <v>16.725950710175</v>
      </c>
      <c r="W17" s="2000" t="n">
        <f aca="false">W18*DateDE1b!U18/DateDE1b!U19</f>
        <v>82.1423998256998</v>
      </c>
      <c r="X17" s="1997" t="n">
        <f aca="false">W17+AA17</f>
        <v>90.1250335090709</v>
      </c>
      <c r="Y17" s="1997" t="n">
        <f aca="false">Y18*DateDE1b!W18/DateDE1b!W19</f>
        <v>44.4280035014449</v>
      </c>
      <c r="Z17" s="1997" t="n">
        <f aca="false">W17-Y17</f>
        <v>37.714396324255</v>
      </c>
      <c r="AA17" s="1997" t="n">
        <f aca="false">AA18*DateDE1b!Y18/DateDE1b!Y19</f>
        <v>7.98263368337104</v>
      </c>
      <c r="AB17" s="1319" t="n">
        <f aca="false">AA17/X17</f>
        <v>0.0885728789500822</v>
      </c>
      <c r="AC17" s="514"/>
      <c r="AD17" s="1997"/>
      <c r="AE17" s="1997"/>
      <c r="AF17" s="1997"/>
      <c r="AG17" s="1997"/>
      <c r="AH17" s="1999"/>
      <c r="AI17" s="1997"/>
      <c r="AJ17" s="1997"/>
      <c r="AK17" s="2002"/>
      <c r="AL17" s="2002"/>
      <c r="AM17" s="1478"/>
      <c r="AN17" s="2003"/>
      <c r="AO17" s="821"/>
      <c r="AP17" s="1478"/>
      <c r="AQ17" s="2002"/>
      <c r="AR17" s="2004"/>
      <c r="AS17" s="2004"/>
      <c r="AT17" s="1478"/>
      <c r="AU17" s="2003"/>
      <c r="AV17" s="1478"/>
      <c r="AW17" s="821"/>
      <c r="AX17" s="2002"/>
      <c r="AY17" s="2004"/>
      <c r="AZ17" s="2004"/>
      <c r="BA17" s="1932"/>
      <c r="BB17" s="1478"/>
      <c r="BC17" s="1478"/>
      <c r="BD17" s="821"/>
      <c r="BE17" s="1478"/>
      <c r="BF17" s="1478"/>
      <c r="BG17" s="1509"/>
      <c r="BH17" s="1478"/>
      <c r="BI17" s="1478"/>
      <c r="BJ17" s="1478"/>
      <c r="BK17" s="1478"/>
      <c r="BL17" s="2003"/>
      <c r="BM17" s="2006" t="n">
        <f aca="false">BM18*DateDE1b!AM18/DateDE1b!AM19</f>
        <v>6.774872384308</v>
      </c>
      <c r="BN17" s="2004" t="n">
        <f aca="false">BO17+BP17</f>
        <v>8.08167981674043</v>
      </c>
      <c r="BO17" s="1997" t="n">
        <f aca="false">BO18*DateDE1b!AO18/DateDE1b!AO19</f>
        <v>6.774872384308</v>
      </c>
      <c r="BP17" s="1997" t="n">
        <f aca="false">BP18*DateDE1b!AP18/DateDE1b!AP19</f>
        <v>1.30680743243243</v>
      </c>
      <c r="BQ17" s="2005" t="n">
        <f aca="false">BP17/BN17</f>
        <v>0.161699976003195</v>
      </c>
      <c r="BR17" s="1997"/>
      <c r="BS17" s="821"/>
      <c r="BT17" s="1478"/>
      <c r="BU17" s="1509"/>
      <c r="BV17" s="1509"/>
      <c r="BW17" s="1509"/>
      <c r="BX17" s="1509"/>
      <c r="BY17" s="1509"/>
      <c r="BZ17" s="1478"/>
      <c r="CA17" s="1478"/>
      <c r="CB17" s="1478"/>
      <c r="CC17" s="1509"/>
      <c r="CD17" s="1509"/>
      <c r="CE17" s="1478"/>
      <c r="CF17" s="1478"/>
      <c r="CG17" s="1478"/>
      <c r="CH17" s="1482" t="n">
        <f aca="false">CI17+CL17+CO17</f>
        <v>0.499482452377386</v>
      </c>
      <c r="CI17" s="1479" t="n">
        <f aca="false">CJ17-CK17</f>
        <v>-0.280054749104661</v>
      </c>
      <c r="CJ17" s="1478" t="n">
        <f aca="false">CJ18*DateDE1b!BC18/DateDE1b!BC19</f>
        <v>0.26320338755209</v>
      </c>
      <c r="CK17" s="1478" t="n">
        <f aca="false">CK18*DateDE1b!BD18/DateDE1b!BD19</f>
        <v>0.543258136656752</v>
      </c>
      <c r="CL17" s="1479" t="n">
        <f aca="false">CM17-CN17</f>
        <v>0.779537201482047</v>
      </c>
      <c r="CM17" s="1478" t="n">
        <f aca="false">CM18*DateDE1b!BF18/DateDE1b!BF19</f>
        <v>0.852281562384302</v>
      </c>
      <c r="CN17" s="1478" t="n">
        <f aca="false">CN18*DateDE1b!BG18/DateDE1b!BG19</f>
        <v>0.0727443609022557</v>
      </c>
      <c r="CO17" s="384" t="n">
        <v>0</v>
      </c>
      <c r="CP17" s="1997"/>
      <c r="CQ17" s="1997"/>
      <c r="CR17" s="1478" t="n">
        <f aca="false">CR18*DateDE1b!BK18/DateDE1b!BK19</f>
        <v>-2.23168892787036</v>
      </c>
      <c r="CS17" s="1478"/>
      <c r="CT17" s="1478"/>
      <c r="CU17" s="1478" t="n">
        <f aca="false">DateDE1b!BN18/DateDE1b!$B$5</f>
        <v>-0.138048807922979</v>
      </c>
      <c r="CV17" s="1478"/>
      <c r="CW17" s="1478"/>
      <c r="CX17" s="1998" t="n">
        <f aca="false">D17+DD17-DF17</f>
        <v>21.3708592807903</v>
      </c>
      <c r="CY17" s="2007" t="n">
        <f aca="false">CX17-DC17-DD17</f>
        <v>22.6837236299114</v>
      </c>
      <c r="CZ17" s="1509"/>
      <c r="DA17" s="2008"/>
      <c r="DB17" s="2009"/>
      <c r="DC17" s="2017" t="n">
        <f aca="false">CI17</f>
        <v>-0.280054749104661</v>
      </c>
      <c r="DD17" s="1478" t="n">
        <f aca="false">DateDE1b!BV19/DateDE1b!$B$5</f>
        <v>-1.03280960001636</v>
      </c>
      <c r="DE17" s="1478"/>
      <c r="DF17" s="2007" t="n">
        <f aca="false">DI17+DL17+DM17+DU17</f>
        <v>67.0130857815785</v>
      </c>
      <c r="DG17" s="2010" t="n">
        <f aca="false">DG18*DateDE1b!BZ18/DateDE1b!BZ19</f>
        <v>51.972954923977</v>
      </c>
      <c r="DH17" s="2010" t="n">
        <f aca="false">DG17-DU17</f>
        <v>51.193417722495</v>
      </c>
      <c r="DI17" s="2011" t="n">
        <f aca="false">Y17</f>
        <v>44.4280035014449</v>
      </c>
      <c r="DJ17" s="2012"/>
      <c r="DK17" s="2012"/>
      <c r="DL17" s="1509" t="n">
        <f aca="false">BM17</f>
        <v>6.774872384308</v>
      </c>
      <c r="DM17" s="2009" t="n">
        <f aca="false">GK17*DN17*DH17/GJ17</f>
        <v>15.0306726943436</v>
      </c>
      <c r="DN17" s="2013" t="n">
        <f aca="false">DN18</f>
        <v>0.895905244977209</v>
      </c>
      <c r="DO17" s="2009"/>
      <c r="DP17" s="2009" t="n">
        <f aca="false">GK17*DH17/GJ17</f>
        <v>16.7770785790254</v>
      </c>
      <c r="DQ17" s="2009" t="n">
        <f aca="false">2/3*DP17</f>
        <v>11.1847190526836</v>
      </c>
      <c r="DR17" s="2009"/>
      <c r="DS17" s="2009"/>
      <c r="DT17" s="2014"/>
      <c r="DU17" s="2015" t="n">
        <f aca="false">CL17</f>
        <v>0.779537201482047</v>
      </c>
      <c r="DV17" s="2007" t="n">
        <f aca="false">DV18*DateDE1b!CE18/DateDE1b!CE19</f>
        <v>32.4337974183533</v>
      </c>
      <c r="DW17" s="1509" t="n">
        <f aca="false">I17</f>
        <v>14.0208454833241</v>
      </c>
      <c r="DX17" s="2017"/>
      <c r="DY17" s="2017"/>
      <c r="DZ17" s="2018"/>
      <c r="EA17" s="2018"/>
      <c r="EB17" s="1478" t="n">
        <f aca="false">EB18*DateDE1b!CL18/DateDE1b!CL19</f>
        <v>9.33132720719435</v>
      </c>
      <c r="EC17" s="2018"/>
      <c r="ED17" s="2018"/>
      <c r="EE17" s="1478"/>
      <c r="EF17" s="2017"/>
      <c r="EG17" s="2019" t="n">
        <f aca="false">EG18*DateDE1b!CQ18/DateDE1b!CQ19</f>
        <v>13.2880809840662</v>
      </c>
      <c r="EH17" s="2020" t="n">
        <f aca="false">EG17-EI17</f>
        <v>10.890927772672</v>
      </c>
      <c r="EI17" s="2020" t="n">
        <f aca="false">EG17*EI$41/EG$41</f>
        <v>2.39715321139411</v>
      </c>
      <c r="EJ17" s="2021"/>
      <c r="EK17" s="2022"/>
      <c r="EL17" s="2017"/>
      <c r="EM17" s="2017"/>
      <c r="EN17" s="2017"/>
      <c r="EO17" s="2017" t="n">
        <f aca="false">EO18*DateDE1b!CT18/DateDE1b!CT19</f>
        <v>19.5586216858359</v>
      </c>
      <c r="EP17" s="2017" t="n">
        <f aca="false">EO17-S17</f>
        <v>7.30054901919764</v>
      </c>
      <c r="EQ17" s="2017" t="n">
        <f aca="false">DateDE1b!CV18/DateDE1b!$B$5</f>
        <v>-0.311888047529693</v>
      </c>
      <c r="ER17" s="2023" t="n">
        <f aca="false">EP17+EQ17</f>
        <v>6.98866097166794</v>
      </c>
      <c r="ES17" s="2017" t="n">
        <f aca="false">ES18*DateDE1b!CX18/DateDE1b!CX19</f>
        <v>3.23100347399485</v>
      </c>
      <c r="ET17" s="2017" t="n">
        <v>0</v>
      </c>
      <c r="EU17" s="2017" t="n">
        <f aca="false">ER17-ES17-ET17+BP17</f>
        <v>5.06446493010553</v>
      </c>
      <c r="EV17" s="2024" t="n">
        <f aca="false">B17-DV17+EH17+DD17-CO17</f>
        <v>80.8619209000117</v>
      </c>
      <c r="EW17" s="1478"/>
      <c r="EX17" s="1478"/>
      <c r="EY17" s="1478"/>
      <c r="EZ17" s="1478" t="n">
        <f aca="false">EV17+EI17</f>
        <v>83.2590741114058</v>
      </c>
      <c r="FA17" s="1478"/>
      <c r="FB17" s="1478" t="n">
        <f aca="false">FB18*DateDE1b!DE18/DateDE1b!DE19</f>
        <v>4.36062327823692</v>
      </c>
      <c r="FC17" s="1478"/>
      <c r="FD17" s="1997" t="n">
        <f aca="false">T17+E17+U17-V17+CR17-H17-EP17</f>
        <v>15.6997242571821</v>
      </c>
      <c r="FE17" s="1478"/>
      <c r="FF17" s="1478"/>
      <c r="FG17" s="1997" t="n">
        <f aca="false">CU17-EQ17</f>
        <v>0.173839239606714</v>
      </c>
      <c r="FH17" s="514" t="n">
        <f aca="false">FG17/FD17</f>
        <v>0.011072757505737</v>
      </c>
      <c r="FI17" s="1994" t="n">
        <f aca="false">FI18*DateDE1b!DE18/DateDE1b!DE19</f>
        <v>4.56448002754821</v>
      </c>
      <c r="FJ17" s="1994" t="n">
        <f aca="false">FK17-FI17</f>
        <v>11.3090834692406</v>
      </c>
      <c r="FK17" s="2025" t="n">
        <f aca="false">FD17+FG17</f>
        <v>15.8735634967889</v>
      </c>
      <c r="FL17" s="1994"/>
      <c r="FM17" s="1994"/>
      <c r="FN17" s="1478"/>
      <c r="FO17" s="1995"/>
      <c r="FP17" s="1478"/>
      <c r="FQ17" s="1478"/>
      <c r="FR17" s="1997" t="n">
        <v>0</v>
      </c>
      <c r="FS17" s="1478"/>
      <c r="FT17" s="1478"/>
      <c r="FU17" s="1478"/>
      <c r="FV17" s="1478"/>
      <c r="FW17" s="2025"/>
      <c r="FX17" s="2026"/>
      <c r="FY17" s="2026"/>
      <c r="FZ17" s="2027"/>
      <c r="GA17" s="2015" t="n">
        <v>0</v>
      </c>
      <c r="GB17" s="402" t="n">
        <v>0.0275862068965518</v>
      </c>
      <c r="GC17" s="387" t="n">
        <v>0.0261792721487104</v>
      </c>
      <c r="GD17" s="387" t="n">
        <f aca="false">(G17/G16)/(1+GE17)-1</f>
        <v>0.0273672367159123</v>
      </c>
      <c r="GE17" s="387" t="n">
        <v>0.0763701707097932</v>
      </c>
      <c r="GF17" s="387" t="n">
        <v>0.0203252032520325</v>
      </c>
      <c r="GG17" s="387"/>
      <c r="GH17" s="465" t="n">
        <v>53428.65</v>
      </c>
      <c r="GI17" s="465" t="n">
        <f aca="false">GI18*DateDE1b!DM18/DateDE1b!DM19</f>
        <v>24522.6048058051</v>
      </c>
      <c r="GJ17" s="465" t="n">
        <f aca="false">GJ18*DateDE1b!DN18/DateDE1b!DN19</f>
        <v>18448.2432896332</v>
      </c>
      <c r="GK17" s="465" t="n">
        <f aca="false">GK18*DateDE1b!DO18/DateDE1b!DO19</f>
        <v>6045.84810088098</v>
      </c>
      <c r="GL17" s="25" t="n">
        <f aca="false">GL16+(GL$21-GL$11)/10</f>
        <v>0.2924</v>
      </c>
      <c r="GM17" s="25" t="n">
        <f aca="false">GK17/GI17</f>
        <v>0.246541839611173</v>
      </c>
      <c r="GN17" s="385" t="n">
        <v>53428.65</v>
      </c>
      <c r="GO17" s="1932" t="n">
        <f aca="false">CX17</f>
        <v>21.3708592807903</v>
      </c>
      <c r="GP17" s="1932"/>
      <c r="GQ17" s="1932"/>
      <c r="GR17" s="1932"/>
      <c r="GS17" s="1509"/>
      <c r="GT17" s="1932"/>
      <c r="GU17" s="1478"/>
      <c r="GV17" s="1509"/>
      <c r="GW17" s="1478"/>
      <c r="GX17" s="1932"/>
      <c r="GY17" s="1478"/>
      <c r="GZ17" s="24"/>
      <c r="HC17" s="1478"/>
      <c r="HD17" s="1478"/>
      <c r="HE17" s="1478"/>
      <c r="HF17" s="1478"/>
      <c r="HG17" s="1478"/>
      <c r="HH17" s="1478"/>
      <c r="HI17" s="1478"/>
      <c r="HJ17" s="1478"/>
      <c r="HK17" s="387"/>
      <c r="HM17" s="1478"/>
    </row>
    <row r="18" customFormat="false" ht="12" hidden="false" customHeight="false" outlineLevel="0" collapsed="false">
      <c r="A18" s="31" t="n">
        <f aca="false">A17+1</f>
        <v>1957</v>
      </c>
      <c r="B18" s="1994" t="n">
        <f aca="false">E18+F18</f>
        <v>112.53719409896</v>
      </c>
      <c r="C18" s="432" t="n">
        <f aca="false">B18+CR18</f>
        <v>110.629185244597</v>
      </c>
      <c r="D18" s="1995" t="n">
        <f aca="false">B18-I18</f>
        <v>97.9886267561158</v>
      </c>
      <c r="E18" s="1996" t="n">
        <f aca="false">CH18</f>
        <v>0.509352342608538</v>
      </c>
      <c r="F18" s="395" t="n">
        <f aca="false">W18+BM18+J18</f>
        <v>112.027841756351</v>
      </c>
      <c r="G18" s="1478" t="n">
        <f aca="false">J18+X18+BN18</f>
        <v>122.373557354441</v>
      </c>
      <c r="H18" s="1997" t="n">
        <f aca="false">AA18+BP18</f>
        <v>10.34571559809</v>
      </c>
      <c r="I18" s="1998" t="n">
        <f aca="false">I19*DateDE1b!K19/DateDE1b!K20</f>
        <v>14.5485673428441</v>
      </c>
      <c r="J18" s="395" t="n">
        <f aca="false">I18-CO18</f>
        <v>14.5485673428441</v>
      </c>
      <c r="K18" s="1478"/>
      <c r="L18" s="1478"/>
      <c r="M18" s="1478"/>
      <c r="N18" s="1478"/>
      <c r="O18" s="1478"/>
      <c r="P18" s="1478"/>
      <c r="Q18" s="1999"/>
      <c r="R18" s="1997" t="n">
        <f aca="false">R19*DateDE1b!L19/DateDE1b!L20</f>
        <v>71.6490015235878</v>
      </c>
      <c r="S18" s="1997" t="n">
        <f aca="false">S19*DateDE1b!M19/DateDE1b!M20</f>
        <v>14.1806896850684</v>
      </c>
      <c r="T18" s="1997" t="n">
        <f aca="false">T19*DateDE1b!N19/DateDE1b!N20</f>
        <v>31.5979456344226</v>
      </c>
      <c r="U18" s="1997" t="n">
        <f aca="false">U19*DateDE1b!Q19/DateDE1b!Q20</f>
        <v>24.1024719168977</v>
      </c>
      <c r="V18" s="1997" t="n">
        <f aca="false">V19*DateDE1b!R19/DateDE1b!R20</f>
        <v>19.270369159197</v>
      </c>
      <c r="W18" s="2000" t="n">
        <f aca="false">W19*DateDE1b!U19/DateDE1b!U20</f>
        <v>89.7785397639133</v>
      </c>
      <c r="X18" s="1997" t="n">
        <f aca="false">W18+AA18</f>
        <v>98.7156187789917</v>
      </c>
      <c r="Y18" s="1997" t="n">
        <f aca="false">Y19*DateDE1b!W19/DateDE1b!W20</f>
        <v>48.5600803915179</v>
      </c>
      <c r="Z18" s="1997" t="n">
        <f aca="false">W18-Y18</f>
        <v>41.2184593723954</v>
      </c>
      <c r="AA18" s="1997" t="n">
        <f aca="false">AA19*DateDE1b!Y19/DateDE1b!Y20</f>
        <v>8.93707901507845</v>
      </c>
      <c r="AB18" s="1319" t="n">
        <f aca="false">AA18/X18</f>
        <v>0.0905335865349446</v>
      </c>
      <c r="AC18" s="514"/>
      <c r="AD18" s="1997"/>
      <c r="AE18" s="1997"/>
      <c r="AF18" s="1997"/>
      <c r="AG18" s="1997"/>
      <c r="AH18" s="1997"/>
      <c r="AI18" s="2001"/>
      <c r="AJ18" s="2002"/>
      <c r="AK18" s="1478"/>
      <c r="AL18" s="1478"/>
      <c r="AM18" s="821"/>
      <c r="AN18" s="2003"/>
      <c r="AO18" s="2001"/>
      <c r="AP18" s="2004"/>
      <c r="AQ18" s="2004"/>
      <c r="AR18" s="1478"/>
      <c r="AS18" s="1478"/>
      <c r="AT18" s="1478"/>
      <c r="AU18" s="2005"/>
      <c r="AV18" s="2001"/>
      <c r="AW18" s="2004"/>
      <c r="AX18" s="2004"/>
      <c r="AY18" s="1932"/>
      <c r="AZ18" s="1478"/>
      <c r="BA18" s="1478"/>
      <c r="BB18" s="821"/>
      <c r="BC18" s="1478"/>
      <c r="BD18" s="1478"/>
      <c r="BE18" s="1509"/>
      <c r="BF18" s="1478"/>
      <c r="BG18" s="1478"/>
      <c r="BH18" s="1478"/>
      <c r="BI18" s="1478"/>
      <c r="BJ18" s="1509"/>
      <c r="BK18" s="1478"/>
      <c r="BL18" s="2003"/>
      <c r="BM18" s="2006" t="n">
        <f aca="false">BM19*DateDE1b!AM19/DateDE1b!AM20</f>
        <v>7.70073464959395</v>
      </c>
      <c r="BN18" s="2004" t="n">
        <f aca="false">BO18+BP18</f>
        <v>9.10937123260554</v>
      </c>
      <c r="BO18" s="1997" t="n">
        <f aca="false">BO19*DateDE1b!AO19/DateDE1b!AO20</f>
        <v>7.70073464959395</v>
      </c>
      <c r="BP18" s="1997" t="n">
        <f aca="false">BP19*DateDE1b!AP19/DateDE1b!AP20</f>
        <v>1.40863658301158</v>
      </c>
      <c r="BQ18" s="2005" t="n">
        <f aca="false">BP18/BN18</f>
        <v>0.154635983872256</v>
      </c>
      <c r="BR18" s="1509"/>
      <c r="BS18" s="1509"/>
      <c r="BT18" s="1509"/>
      <c r="BU18" s="1509"/>
      <c r="BV18" s="1509"/>
      <c r="BW18" s="1509"/>
      <c r="BX18" s="1478"/>
      <c r="BY18" s="1478"/>
      <c r="BZ18" s="1478"/>
      <c r="CA18" s="1509"/>
      <c r="CB18" s="1509"/>
      <c r="CC18" s="1478"/>
      <c r="CD18" s="1478"/>
      <c r="CE18" s="1478"/>
      <c r="CF18" s="1478"/>
      <c r="CG18" s="1509"/>
      <c r="CH18" s="1482" t="n">
        <f aca="false">CI18+CL18+CO18</f>
        <v>0.509352342608538</v>
      </c>
      <c r="CI18" s="1479" t="n">
        <f aca="false">CJ18-CK18</f>
        <v>-0.251245062139912</v>
      </c>
      <c r="CJ18" s="1478" t="n">
        <f aca="false">CJ19*DateDE1b!BC19/DateDE1b!BC20</f>
        <v>0.346760018521008</v>
      </c>
      <c r="CK18" s="1478" t="n">
        <f aca="false">CK19*DateDE1b!BD19/DateDE1b!BD20</f>
        <v>0.59800508066092</v>
      </c>
      <c r="CL18" s="1479" t="n">
        <f aca="false">CM18-CN18</f>
        <v>0.76059740474845</v>
      </c>
      <c r="CM18" s="1478" t="n">
        <f aca="false">CM19*DateDE1b!BF19/DateDE1b!BF20</f>
        <v>0.841424472417623</v>
      </c>
      <c r="CN18" s="1478" t="n">
        <f aca="false">CN19*DateDE1b!BG19/DateDE1b!BG20</f>
        <v>0.080827067669173</v>
      </c>
      <c r="CO18" s="384" t="n">
        <v>0</v>
      </c>
      <c r="CP18" s="1997"/>
      <c r="CQ18" s="1997"/>
      <c r="CR18" s="1478" t="n">
        <f aca="false">CR19*DateDE1b!BK19/DateDE1b!BK20</f>
        <v>-1.90800885436245</v>
      </c>
      <c r="CS18" s="1478"/>
      <c r="CT18" s="1478"/>
      <c r="CU18" s="1478" t="n">
        <f aca="false">DateDE1b!BN19/DateDE1b!$B$5</f>
        <v>-0.28121053465792</v>
      </c>
      <c r="CV18" s="1478"/>
      <c r="CW18" s="1478"/>
      <c r="CX18" s="1998" t="n">
        <f aca="false">D18+DD18-DF18</f>
        <v>23.983617487659</v>
      </c>
      <c r="CY18" s="2007" t="n">
        <f aca="false">CX18-DC18-DD18</f>
        <v>25.2114300428837</v>
      </c>
      <c r="CZ18" s="1509"/>
      <c r="DA18" s="2008"/>
      <c r="DB18" s="2009"/>
      <c r="DC18" s="2017" t="n">
        <f aca="false">CI18</f>
        <v>-0.251245062139912</v>
      </c>
      <c r="DD18" s="1478" t="n">
        <f aca="false">DateDE1b!BV20/DateDE1b!$B$5</f>
        <v>-0.976567493084777</v>
      </c>
      <c r="DE18" s="1478"/>
      <c r="DF18" s="2007" t="n">
        <f aca="false">DI18+DL18+DM18+DU18</f>
        <v>73.028441775372</v>
      </c>
      <c r="DG18" s="2010" t="n">
        <f aca="false">DG19*DateDE1b!BZ19/DateDE1b!BZ20</f>
        <v>57.0064700962361</v>
      </c>
      <c r="DH18" s="2010" t="n">
        <f aca="false">DG18-DU18</f>
        <v>56.2458726914877</v>
      </c>
      <c r="DI18" s="2011" t="n">
        <f aca="false">Y18</f>
        <v>48.5600803915179</v>
      </c>
      <c r="DJ18" s="2012"/>
      <c r="DK18" s="2012"/>
      <c r="DL18" s="1509" t="n">
        <f aca="false">BM18</f>
        <v>7.70073464959395</v>
      </c>
      <c r="DM18" s="2009" t="n">
        <f aca="false">GK18*DN18*DH18/GJ18</f>
        <v>16.0070293295117</v>
      </c>
      <c r="DN18" s="2013" t="n">
        <f aca="false">DN19</f>
        <v>0.895905244977209</v>
      </c>
      <c r="DO18" s="2009"/>
      <c r="DP18" s="2009" t="n">
        <f aca="false">GK18*DH18/GJ18</f>
        <v>17.8668775735529</v>
      </c>
      <c r="DQ18" s="2009" t="n">
        <f aca="false">2/3*DP18</f>
        <v>11.9112517157019</v>
      </c>
      <c r="DR18" s="2009"/>
      <c r="DS18" s="2009"/>
      <c r="DT18" s="2014"/>
      <c r="DU18" s="2015" t="n">
        <f aca="false">CL18</f>
        <v>0.76059740474845</v>
      </c>
      <c r="DV18" s="2007" t="n">
        <f aca="false">DV19*DateDE1b!CE19/DateDE1b!CE20</f>
        <v>36.0569124088377</v>
      </c>
      <c r="DW18" s="1509" t="n">
        <f aca="false">I18</f>
        <v>14.5485673428441</v>
      </c>
      <c r="DX18" s="2017"/>
      <c r="DY18" s="2017"/>
      <c r="DZ18" s="2018"/>
      <c r="EA18" s="2018"/>
      <c r="EB18" s="1478" t="n">
        <f aca="false">EB19*DateDE1b!CL19/DateDE1b!CL20</f>
        <v>11.3948315005716</v>
      </c>
      <c r="EC18" s="2018"/>
      <c r="ED18" s="2018"/>
      <c r="EE18" s="1478"/>
      <c r="EF18" s="2017"/>
      <c r="EG18" s="2019" t="n">
        <f aca="false">EG19*DateDE1b!CQ19/DateDE1b!CQ20</f>
        <v>16.082014077791</v>
      </c>
      <c r="EH18" s="2020" t="n">
        <f aca="false">EG18-EI18</f>
        <v>13.1808388261885</v>
      </c>
      <c r="EI18" s="2020" t="n">
        <f aca="false">EG18*EI$41/EG$41</f>
        <v>2.90117525160245</v>
      </c>
      <c r="EJ18" s="2021"/>
      <c r="EK18" s="2022"/>
      <c r="EL18" s="2017"/>
      <c r="EM18" s="2017"/>
      <c r="EN18" s="2017"/>
      <c r="EO18" s="2017" t="n">
        <f aca="false">EO19*DateDE1b!CT19/DateDE1b!CT20</f>
        <v>20.6237213766658</v>
      </c>
      <c r="EP18" s="2017" t="n">
        <f aca="false">EO18-S18</f>
        <v>6.44303169159738</v>
      </c>
      <c r="EQ18" s="2017" t="n">
        <f aca="false">DateDE1b!CV19/DateDE1b!$B$5</f>
        <v>-0.593098582187614</v>
      </c>
      <c r="ER18" s="2023" t="n">
        <f aca="false">EP18+EQ18</f>
        <v>5.84993310940977</v>
      </c>
      <c r="ES18" s="2017" t="n">
        <f aca="false">ES19*DateDE1b!CX19/DateDE1b!CX20</f>
        <v>3.39713663134565</v>
      </c>
      <c r="ET18" s="2017" t="n">
        <v>0</v>
      </c>
      <c r="EU18" s="2017" t="n">
        <f aca="false">ER18-ES18-ET18+BP18</f>
        <v>3.86143306107571</v>
      </c>
      <c r="EV18" s="2024" t="n">
        <f aca="false">B18-DV18+EH18+DD18-CO18</f>
        <v>88.6845530232258</v>
      </c>
      <c r="EW18" s="1478"/>
      <c r="EX18" s="1478"/>
      <c r="EY18" s="1478"/>
      <c r="EZ18" s="1478" t="n">
        <f aca="false">EV18+EI18</f>
        <v>91.5857282748283</v>
      </c>
      <c r="FA18" s="1478"/>
      <c r="FB18" s="1478" t="n">
        <f aca="false">FB19*DateDE1b!DE19/DateDE1b!DE20</f>
        <v>6.45638699245419</v>
      </c>
      <c r="FC18" s="1478"/>
      <c r="FD18" s="1997" t="n">
        <f aca="false">T18+E18+U18-V18+CR18-H18-EP18</f>
        <v>18.2426445906819</v>
      </c>
      <c r="FE18" s="1478"/>
      <c r="FF18" s="1478"/>
      <c r="FG18" s="1997" t="n">
        <f aca="false">CU18-EQ18</f>
        <v>0.311888047529693</v>
      </c>
      <c r="FH18" s="514" t="n">
        <f aca="false">FG18/FD18</f>
        <v>0.0170966465952531</v>
      </c>
      <c r="FI18" s="1994" t="n">
        <f aca="false">FI19*DateDE1b!DE19/DateDE1b!DE20</f>
        <v>6.75821954725116</v>
      </c>
      <c r="FJ18" s="1994" t="n">
        <f aca="false">FK18-FI18</f>
        <v>11.7963130909604</v>
      </c>
      <c r="FK18" s="2025" t="n">
        <f aca="false">FD18+FG18</f>
        <v>18.5545326382116</v>
      </c>
      <c r="FL18" s="1994"/>
      <c r="FM18" s="1994"/>
      <c r="FN18" s="1478"/>
      <c r="FO18" s="1995"/>
      <c r="FP18" s="1478"/>
      <c r="FQ18" s="1478"/>
      <c r="FR18" s="1997" t="n">
        <v>0</v>
      </c>
      <c r="FS18" s="1478"/>
      <c r="FT18" s="1478"/>
      <c r="FU18" s="1478"/>
      <c r="FV18" s="1478"/>
      <c r="FW18" s="2025"/>
      <c r="FX18" s="2026"/>
      <c r="FY18" s="2026"/>
      <c r="FZ18" s="2027"/>
      <c r="GA18" s="2015" t="n">
        <v>0</v>
      </c>
      <c r="GB18" s="402" t="n">
        <v>0.0201342281879193</v>
      </c>
      <c r="GC18" s="387" t="n">
        <v>0.0209650259638359</v>
      </c>
      <c r="GD18" s="387" t="n">
        <f aca="false">(G18/G17)/(1+GE18)-1</f>
        <v>0.0298036227875496</v>
      </c>
      <c r="GE18" s="387" t="n">
        <v>0.058848080133556</v>
      </c>
      <c r="GF18" s="387" t="n">
        <v>0.0239043824701195</v>
      </c>
      <c r="GG18" s="387"/>
      <c r="GH18" s="465" t="n">
        <v>53702</v>
      </c>
      <c r="GI18" s="465" t="n">
        <f aca="false">GI19*DateDE1b!DM19/DateDE1b!DM20</f>
        <v>25082.8733530225</v>
      </c>
      <c r="GJ18" s="465" t="n">
        <f aca="false">GJ19*DateDE1b!DN19/DateDE1b!DN20</f>
        <v>19019.8578503456</v>
      </c>
      <c r="GK18" s="465" t="n">
        <f aca="false">GK19*DateDE1b!DO19/DateDE1b!DO20</f>
        <v>6041.78503092071</v>
      </c>
      <c r="GL18" s="25" t="n">
        <f aca="false">GL17+(GL$21-GL$11)/10</f>
        <v>0.2903</v>
      </c>
      <c r="GM18" s="25" t="n">
        <f aca="false">GK18/GI18</f>
        <v>0.240872923364367</v>
      </c>
      <c r="GN18" s="385" t="n">
        <v>53702</v>
      </c>
      <c r="GO18" s="1932" t="n">
        <f aca="false">CX18</f>
        <v>23.983617487659</v>
      </c>
      <c r="GP18" s="1932"/>
      <c r="GQ18" s="1932"/>
      <c r="GR18" s="1932"/>
      <c r="GS18" s="1509"/>
      <c r="GT18" s="1932"/>
      <c r="GU18" s="1478"/>
      <c r="GV18" s="1509"/>
      <c r="GW18" s="1478"/>
      <c r="GX18" s="1932"/>
      <c r="GY18" s="1478"/>
      <c r="GZ18" s="24"/>
      <c r="HA18" s="1478"/>
      <c r="HB18" s="1478"/>
      <c r="HD18" s="1478"/>
      <c r="HE18" s="1478"/>
      <c r="HF18" s="1478"/>
      <c r="HG18" s="1478"/>
      <c r="HH18" s="1478"/>
      <c r="HI18" s="1478"/>
      <c r="HJ18" s="1478"/>
      <c r="HK18" s="387"/>
    </row>
    <row r="19" customFormat="false" ht="12" hidden="false" customHeight="false" outlineLevel="0" collapsed="false">
      <c r="A19" s="31" t="n">
        <f aca="false">A18+1</f>
        <v>1958</v>
      </c>
      <c r="B19" s="1994" t="n">
        <f aca="false">E19+F19</f>
        <v>120.433115708075</v>
      </c>
      <c r="C19" s="432" t="n">
        <f aca="false">B19+CR19</f>
        <v>118.946742738939</v>
      </c>
      <c r="D19" s="1995" t="n">
        <f aca="false">B19-I19</f>
        <v>104.948100751769</v>
      </c>
      <c r="E19" s="1996" t="n">
        <f aca="false">CH19</f>
        <v>0.358399261648831</v>
      </c>
      <c r="F19" s="395" t="n">
        <f aca="false">W19+BM19+J19</f>
        <v>120.074716446426</v>
      </c>
      <c r="G19" s="1478" t="n">
        <f aca="false">J19+X19+BN19</f>
        <v>131.493678051899</v>
      </c>
      <c r="H19" s="1997" t="n">
        <f aca="false">AA19+BP19</f>
        <v>11.4189616054731</v>
      </c>
      <c r="I19" s="1998" t="n">
        <f aca="false">I20*DateDE1b!K20/DateDE1b!K21</f>
        <v>15.4850149563059</v>
      </c>
      <c r="J19" s="395" t="n">
        <f aca="false">I19-CO19</f>
        <v>15.4850149563059</v>
      </c>
      <c r="K19" s="1478"/>
      <c r="L19" s="1478"/>
      <c r="M19" s="1478"/>
      <c r="N19" s="1478"/>
      <c r="O19" s="1478"/>
      <c r="P19" s="1478"/>
      <c r="Q19" s="1999"/>
      <c r="R19" s="1997" t="n">
        <f aca="false">R20*DateDE1b!L20/DateDE1b!L21</f>
        <v>77.3426997980712</v>
      </c>
      <c r="S19" s="1997" t="n">
        <f aca="false">S20*DateDE1b!M20/DateDE1b!M21</f>
        <v>16.8534607424814</v>
      </c>
      <c r="T19" s="1997" t="n">
        <f aca="false">T20*DateDE1b!N20/DateDE1b!N21</f>
        <v>32.7585680636025</v>
      </c>
      <c r="U19" s="1997" t="n">
        <f aca="false">U20*DateDE1b!Q20/DateDE1b!Q21</f>
        <v>24.454438400181</v>
      </c>
      <c r="V19" s="1997" t="n">
        <f aca="false">V20*DateDE1b!R20/DateDE1b!R21</f>
        <v>19.9904875881655</v>
      </c>
      <c r="W19" s="2000" t="n">
        <f aca="false">W20*DateDE1b!U20/DateDE1b!U21</f>
        <v>95.7524293292466</v>
      </c>
      <c r="X19" s="1997" t="n">
        <f aca="false">W19+AA19</f>
        <v>105.643953676033</v>
      </c>
      <c r="Y19" s="1997" t="n">
        <f aca="false">Y20*DateDE1b!W20/DateDE1b!W21</f>
        <v>52.0761616502212</v>
      </c>
      <c r="Z19" s="1997" t="n">
        <f aca="false">W19-Y19</f>
        <v>43.6762676790254</v>
      </c>
      <c r="AA19" s="1997" t="n">
        <f aca="false">AA20*DateDE1b!Y20/DateDE1b!Y21</f>
        <v>9.89152434678586</v>
      </c>
      <c r="AB19" s="1319" t="n">
        <f aca="false">AA19/X19</f>
        <v>0.0936307663864908</v>
      </c>
      <c r="AC19" s="514"/>
      <c r="AD19" s="1997"/>
      <c r="AE19" s="1997"/>
      <c r="AF19" s="1997"/>
      <c r="AG19" s="1997"/>
      <c r="AH19" s="1997"/>
      <c r="AI19" s="2001"/>
      <c r="AJ19" s="2002"/>
      <c r="AK19" s="1478"/>
      <c r="AL19" s="1478"/>
      <c r="AM19" s="821"/>
      <c r="AN19" s="2003"/>
      <c r="AO19" s="2001"/>
      <c r="AP19" s="2004"/>
      <c r="AQ19" s="2004"/>
      <c r="AR19" s="1478"/>
      <c r="AS19" s="1478"/>
      <c r="AT19" s="1478"/>
      <c r="AU19" s="2005"/>
      <c r="AV19" s="2001"/>
      <c r="AW19" s="2004"/>
      <c r="AX19" s="2004"/>
      <c r="AY19" s="1932"/>
      <c r="AZ19" s="1478"/>
      <c r="BA19" s="1478"/>
      <c r="BB19" s="821"/>
      <c r="BC19" s="1478"/>
      <c r="BD19" s="1478"/>
      <c r="BE19" s="1509"/>
      <c r="BF19" s="1478"/>
      <c r="BG19" s="1478"/>
      <c r="BH19" s="1478"/>
      <c r="BI19" s="1478"/>
      <c r="BJ19" s="1509"/>
      <c r="BK19" s="1478"/>
      <c r="BL19" s="2003"/>
      <c r="BM19" s="2006" t="n">
        <f aca="false">BM20*DateDE1b!AM20/DateDE1b!AM21</f>
        <v>8.83727216087312</v>
      </c>
      <c r="BN19" s="2004" t="n">
        <f aca="false">BO19+BP19</f>
        <v>10.3647094195604</v>
      </c>
      <c r="BO19" s="1997" t="n">
        <f aca="false">BO20*DateDE1b!AO20/DateDE1b!AO21</f>
        <v>8.83727216087312</v>
      </c>
      <c r="BP19" s="1997" t="n">
        <f aca="false">BP20*DateDE1b!AP20/DateDE1b!AP21</f>
        <v>1.52743725868726</v>
      </c>
      <c r="BQ19" s="2005" t="n">
        <f aca="false">BP19/BN19</f>
        <v>0.147369038229346</v>
      </c>
      <c r="BR19" s="1509"/>
      <c r="BS19" s="1509"/>
      <c r="BT19" s="1509"/>
      <c r="BU19" s="1509"/>
      <c r="BV19" s="1509"/>
      <c r="BW19" s="1509"/>
      <c r="BX19" s="1478"/>
      <c r="BY19" s="1478"/>
      <c r="BZ19" s="1478"/>
      <c r="CA19" s="1509"/>
      <c r="CB19" s="1509"/>
      <c r="CC19" s="1478"/>
      <c r="CD19" s="1478"/>
      <c r="CE19" s="1478"/>
      <c r="CF19" s="1478"/>
      <c r="CG19" s="1509"/>
      <c r="CH19" s="1482" t="n">
        <f aca="false">CI19+CL19+CO19</f>
        <v>0.358399261648831</v>
      </c>
      <c r="CI19" s="1479" t="n">
        <f aca="false">CJ19-CK19</f>
        <v>-0.339950207915491</v>
      </c>
      <c r="CJ19" s="1478" t="n">
        <f aca="false">CJ20*DateDE1b!BC20/DateDE1b!BC21</f>
        <v>0.380182670908575</v>
      </c>
      <c r="CK19" s="1478" t="n">
        <f aca="false">CK20*DateDE1b!BD20/DateDE1b!BD21</f>
        <v>0.720132878824066</v>
      </c>
      <c r="CL19" s="1479" t="n">
        <f aca="false">CM19-CN19</f>
        <v>0.698349469564322</v>
      </c>
      <c r="CM19" s="1478" t="n">
        <f aca="false">CM20*DateDE1b!BF20/DateDE1b!BF21</f>
        <v>0.803424657534247</v>
      </c>
      <c r="CN19" s="1478" t="n">
        <f aca="false">CN20*DateDE1b!BG20/DateDE1b!BG21</f>
        <v>0.105075187969925</v>
      </c>
      <c r="CO19" s="384" t="n">
        <v>0</v>
      </c>
      <c r="CP19" s="1997"/>
      <c r="CQ19" s="1997"/>
      <c r="CR19" s="1478" t="n">
        <f aca="false">CR20*DateDE1b!BK20/DateDE1b!BK21</f>
        <v>-1.48637296913503</v>
      </c>
      <c r="CS19" s="1478"/>
      <c r="CT19" s="1478"/>
      <c r="CU19" s="1478" t="n">
        <f aca="false">DateDE1b!BN20/DateDE1b!$B$5</f>
        <v>-0.265871778222034</v>
      </c>
      <c r="CV19" s="1478"/>
      <c r="CW19" s="1478"/>
      <c r="CX19" s="1998" t="n">
        <f aca="false">D19+DD19-DF19</f>
        <v>25.4646615490745</v>
      </c>
      <c r="CY19" s="2007" t="n">
        <f aca="false">CX19-DC19-DD19</f>
        <v>26.5971141728441</v>
      </c>
      <c r="CZ19" s="1509"/>
      <c r="DA19" s="2008"/>
      <c r="DB19" s="2009"/>
      <c r="DC19" s="2017" t="n">
        <f aca="false">CI19</f>
        <v>-0.339950207915491</v>
      </c>
      <c r="DD19" s="1478" t="n">
        <f aca="false">DateDE1b!BV21/DateDE1b!$B$5</f>
        <v>-0.792502415854139</v>
      </c>
      <c r="DE19" s="1478"/>
      <c r="DF19" s="2007" t="n">
        <f aca="false">DI19+DL19+DM19+DU19</f>
        <v>78.69093678684</v>
      </c>
      <c r="DG19" s="2010" t="n">
        <f aca="false">DG20*DateDE1b!BZ20/DateDE1b!BZ21</f>
        <v>61.5923190601164</v>
      </c>
      <c r="DH19" s="2010" t="n">
        <f aca="false">DG19-DU19</f>
        <v>60.8939695905521</v>
      </c>
      <c r="DI19" s="2011" t="n">
        <f aca="false">Y19</f>
        <v>52.0761616502212</v>
      </c>
      <c r="DJ19" s="2012"/>
      <c r="DK19" s="2012"/>
      <c r="DL19" s="1509" t="n">
        <f aca="false">BM19</f>
        <v>8.83727216087312</v>
      </c>
      <c r="DM19" s="2009" t="n">
        <f aca="false">GK19*DN19*DH19/GJ19</f>
        <v>17.0791535061813</v>
      </c>
      <c r="DN19" s="2013" t="n">
        <f aca="false">DN20</f>
        <v>0.895905244977209</v>
      </c>
      <c r="DO19" s="2009"/>
      <c r="DP19" s="2009" t="n">
        <f aca="false">GK19*DH19/GJ19</f>
        <v>19.0635712894122</v>
      </c>
      <c r="DQ19" s="2009" t="n">
        <f aca="false">2/3*DP19</f>
        <v>12.7090475262748</v>
      </c>
      <c r="DR19" s="2009"/>
      <c r="DS19" s="2009"/>
      <c r="DT19" s="2014"/>
      <c r="DU19" s="2015" t="n">
        <f aca="false">CL19</f>
        <v>0.698349469564322</v>
      </c>
      <c r="DV19" s="2007" t="n">
        <f aca="false">DV20*DateDE1b!CE20/DateDE1b!CE21</f>
        <v>38.8703355061163</v>
      </c>
      <c r="DW19" s="1509" t="n">
        <f aca="false">I19</f>
        <v>15.4850149563059</v>
      </c>
      <c r="DX19" s="2017"/>
      <c r="DY19" s="2017"/>
      <c r="DZ19" s="2018"/>
      <c r="EA19" s="2018"/>
      <c r="EB19" s="1478" t="n">
        <f aca="false">EB20*DateDE1b!CL20/DateDE1b!CL21</f>
        <v>13.1796287205577</v>
      </c>
      <c r="EC19" s="2018"/>
      <c r="ED19" s="2018"/>
      <c r="EE19" s="1478"/>
      <c r="EF19" s="2017"/>
      <c r="EG19" s="2019" t="n">
        <f aca="false">EG20*DateDE1b!CQ20/DateDE1b!CQ21</f>
        <v>18.1098687425912</v>
      </c>
      <c r="EH19" s="2020" t="n">
        <f aca="false">EG19-EI19</f>
        <v>14.8428710424505</v>
      </c>
      <c r="EI19" s="2020" t="n">
        <f aca="false">EG19*EI$41/EG$41</f>
        <v>3.26699770014077</v>
      </c>
      <c r="EJ19" s="2021"/>
      <c r="EK19" s="2022"/>
      <c r="EL19" s="2017"/>
      <c r="EM19" s="2017"/>
      <c r="EN19" s="2017"/>
      <c r="EO19" s="2017" t="n">
        <f aca="false">EO20*DateDE1b!CT20/DateDE1b!CT21</f>
        <v>22.2081234043181</v>
      </c>
      <c r="EP19" s="2017" t="n">
        <f aca="false">EO19-S19</f>
        <v>5.35466266183679</v>
      </c>
      <c r="EQ19" s="2017" t="n">
        <f aca="false">DateDE1b!CV20/DateDE1b!$B$5</f>
        <v>-1.4469560237853</v>
      </c>
      <c r="ER19" s="2023" t="n">
        <f aca="false">EP19+EQ19</f>
        <v>3.90770663805149</v>
      </c>
      <c r="ES19" s="2017" t="n">
        <f aca="false">ES20*DateDE1b!CX20/DateDE1b!CX21</f>
        <v>3.56899851826026</v>
      </c>
      <c r="ET19" s="2017" t="n">
        <v>0</v>
      </c>
      <c r="EU19" s="2017" t="n">
        <f aca="false">ER19-ES19-ET19+BP19</f>
        <v>1.86614537847849</v>
      </c>
      <c r="EV19" s="2024" t="n">
        <f aca="false">B19-DV19+EH19+DD19-CO19</f>
        <v>95.6131488285545</v>
      </c>
      <c r="EW19" s="1478"/>
      <c r="EX19" s="1478"/>
      <c r="EY19" s="1478"/>
      <c r="EZ19" s="1478" t="n">
        <f aca="false">EV19+EI19</f>
        <v>98.8801465286953</v>
      </c>
      <c r="FA19" s="1478"/>
      <c r="FB19" s="1478" t="n">
        <f aca="false">FB20*DateDE1b!DE20/DateDE1b!DE21</f>
        <v>7.26087330818062</v>
      </c>
      <c r="FC19" s="1478"/>
      <c r="FD19" s="1997" t="n">
        <f aca="false">T19+E19+U19-V19+CR19-H19-EP19</f>
        <v>19.3209209008218</v>
      </c>
      <c r="FE19" s="1478"/>
      <c r="FF19" s="1478"/>
      <c r="FG19" s="1997" t="n">
        <f aca="false">CU19-EQ19</f>
        <v>1.18108424556326</v>
      </c>
      <c r="FH19" s="514" t="n">
        <f aca="false">FG19/FD19</f>
        <v>0.0611298111319852</v>
      </c>
      <c r="FI19" s="1994" t="n">
        <f aca="false">FI20*DateDE1b!DE20/DateDE1b!DE21</f>
        <v>7.60031515750389</v>
      </c>
      <c r="FJ19" s="1994" t="n">
        <f aca="false">FK19-FI19</f>
        <v>12.9016899888812</v>
      </c>
      <c r="FK19" s="2025" t="n">
        <f aca="false">FD19+FG19</f>
        <v>20.5020051463851</v>
      </c>
      <c r="FL19" s="1994"/>
      <c r="FM19" s="1994"/>
      <c r="FN19" s="1478"/>
      <c r="FO19" s="1995"/>
      <c r="FP19" s="1478"/>
      <c r="FQ19" s="1478"/>
      <c r="FR19" s="1997" t="n">
        <v>0</v>
      </c>
      <c r="FS19" s="1478"/>
      <c r="FT19" s="1478"/>
      <c r="FU19" s="1478"/>
      <c r="FV19" s="1478"/>
      <c r="FW19" s="2025"/>
      <c r="FX19" s="2026"/>
      <c r="FY19" s="2026"/>
      <c r="FZ19" s="2027"/>
      <c r="GA19" s="2015" t="n">
        <v>0</v>
      </c>
      <c r="GB19" s="402" t="n">
        <v>0.0230263157894737</v>
      </c>
      <c r="GC19" s="387" t="n">
        <v>0.0212767544186741</v>
      </c>
      <c r="GD19" s="387" t="n">
        <f aca="false">(G19/G18)/(1+GE19)-1</f>
        <v>0.0298733362138914</v>
      </c>
      <c r="GE19" s="387" t="n">
        <v>0.0433582972014188</v>
      </c>
      <c r="GF19" s="387" t="n">
        <v>0.027237354085603</v>
      </c>
      <c r="GG19" s="387"/>
      <c r="GH19" s="465" t="n">
        <v>54391.8</v>
      </c>
      <c r="GI19" s="465" t="n">
        <f aca="false">GI20*DateDE1b!DM20/DateDE1b!DM21</f>
        <v>25307.4044154234</v>
      </c>
      <c r="GJ19" s="465" t="n">
        <f aca="false">GJ20*DateDE1b!DN20/DateDE1b!DN21</f>
        <v>19260.0861085061</v>
      </c>
      <c r="GK19" s="465" t="n">
        <f aca="false">GK20*DateDE1b!DO20/DateDE1b!DO21</f>
        <v>6029.5958210399</v>
      </c>
      <c r="GL19" s="25" t="n">
        <f aca="false">GL18+(GL$21-GL$11)/10</f>
        <v>0.2882</v>
      </c>
      <c r="GM19" s="25" t="n">
        <f aca="false">GK19/GI19</f>
        <v>0.238254216910732</v>
      </c>
      <c r="GN19" s="385" t="n">
        <v>54391.8</v>
      </c>
      <c r="GO19" s="1932" t="n">
        <f aca="false">CX19</f>
        <v>25.4646615490745</v>
      </c>
      <c r="GP19" s="1932"/>
      <c r="GQ19" s="1932"/>
      <c r="GR19" s="1932"/>
      <c r="GS19" s="1509"/>
      <c r="GT19" s="1932"/>
      <c r="GU19" s="1478"/>
      <c r="GV19" s="1509"/>
      <c r="GW19" s="1478"/>
      <c r="GX19" s="1932"/>
      <c r="GY19" s="1478"/>
      <c r="GZ19" s="24"/>
      <c r="HA19" s="1478"/>
      <c r="HB19" s="1478"/>
      <c r="HD19" s="1478"/>
      <c r="HE19" s="1478"/>
      <c r="HF19" s="1478"/>
      <c r="HG19" s="1478"/>
      <c r="HH19" s="1478"/>
      <c r="HI19" s="1478"/>
      <c r="HJ19" s="1478"/>
      <c r="HK19" s="387"/>
    </row>
    <row r="20" customFormat="false" ht="12" hidden="false" customHeight="false" outlineLevel="0" collapsed="false">
      <c r="A20" s="31" t="n">
        <f aca="false">A19+1</f>
        <v>1959</v>
      </c>
      <c r="B20" s="1994" t="n">
        <f aca="false">E20+F20</f>
        <v>131.635584833392</v>
      </c>
      <c r="C20" s="432" t="n">
        <f aca="false">B20+CR20</f>
        <v>129.991630775839</v>
      </c>
      <c r="D20" s="1995" t="n">
        <f aca="false">B20-I20</f>
        <v>114.241458444117</v>
      </c>
      <c r="E20" s="1996" t="n">
        <f aca="false">CH20</f>
        <v>0.131224102363214</v>
      </c>
      <c r="F20" s="395" t="n">
        <f aca="false">W20+BM20+J20</f>
        <v>131.504360731029</v>
      </c>
      <c r="G20" s="1478" t="n">
        <f aca="false">J20+X20+BN20</f>
        <v>144.00775535182</v>
      </c>
      <c r="H20" s="1997" t="n">
        <f aca="false">AA20+BP20</f>
        <v>12.5033946207909</v>
      </c>
      <c r="I20" s="1998" t="n">
        <f aca="false">I21*DateDE1b!K21/DateDE1b!K22</f>
        <v>17.3941263892752</v>
      </c>
      <c r="J20" s="395" t="n">
        <f aca="false">I20-CO20</f>
        <v>17.3941263892752</v>
      </c>
      <c r="K20" s="1478"/>
      <c r="L20" s="1478"/>
      <c r="M20" s="1478"/>
      <c r="N20" s="1478"/>
      <c r="O20" s="1478"/>
      <c r="P20" s="1478"/>
      <c r="Q20" s="1999"/>
      <c r="R20" s="1997" t="n">
        <f aca="false">R21*DateDE1b!L21/DateDE1b!L22</f>
        <v>82.7084591451265</v>
      </c>
      <c r="S20" s="1997" t="n">
        <f aca="false">S21*DateDE1b!M21/DateDE1b!M22</f>
        <v>18.6482737394551</v>
      </c>
      <c r="T20" s="1997" t="n">
        <f aca="false">T21*DateDE1b!N21/DateDE1b!N22</f>
        <v>37.9407472098907</v>
      </c>
      <c r="U20" s="1997" t="n">
        <f aca="false">U21*DateDE1b!Q21/DateDE1b!Q22</f>
        <v>26.9712398285908</v>
      </c>
      <c r="V20" s="1997" t="n">
        <f aca="false">V21*DateDE1b!R21/DateDE1b!R22</f>
        <v>22.2276555074944</v>
      </c>
      <c r="W20" s="2000" t="n">
        <f aca="false">W21*DateDE1b!U21/DateDE1b!U22</f>
        <v>104.82389126179</v>
      </c>
      <c r="X20" s="1997" t="n">
        <f aca="false">W20+AA20</f>
        <v>115.664076423121</v>
      </c>
      <c r="Y20" s="1997" t="n">
        <f aca="false">Y21*DateDE1b!W21/DateDE1b!W22</f>
        <v>56.2682027167993</v>
      </c>
      <c r="Z20" s="1997" t="n">
        <f aca="false">W20-Y20</f>
        <v>48.5556885449907</v>
      </c>
      <c r="AA20" s="1997" t="n">
        <f aca="false">AA21*DateDE1b!Y21/DateDE1b!Y22</f>
        <v>10.8401851613314</v>
      </c>
      <c r="AB20" s="1319" t="n">
        <f aca="false">AA20/X20</f>
        <v>0.0937212788668793</v>
      </c>
      <c r="AC20" s="514"/>
      <c r="AD20" s="1997"/>
      <c r="AE20" s="1997"/>
      <c r="AF20" s="1997"/>
      <c r="AG20" s="1997"/>
      <c r="AH20" s="1997"/>
      <c r="AI20" s="2001"/>
      <c r="AJ20" s="2002"/>
      <c r="AK20" s="1478"/>
      <c r="AL20" s="1478"/>
      <c r="AM20" s="821"/>
      <c r="AN20" s="2003"/>
      <c r="AO20" s="2001"/>
      <c r="AP20" s="2004"/>
      <c r="AQ20" s="2004"/>
      <c r="AR20" s="1478"/>
      <c r="AS20" s="1478"/>
      <c r="AT20" s="1478"/>
      <c r="AU20" s="2005"/>
      <c r="AV20" s="2001"/>
      <c r="AW20" s="2004"/>
      <c r="AX20" s="2004"/>
      <c r="AY20" s="1932"/>
      <c r="AZ20" s="1478"/>
      <c r="BA20" s="1478"/>
      <c r="BB20" s="821"/>
      <c r="BC20" s="1478"/>
      <c r="BD20" s="1478"/>
      <c r="BE20" s="1509"/>
      <c r="BF20" s="1478"/>
      <c r="BG20" s="1478"/>
      <c r="BH20" s="1478"/>
      <c r="BI20" s="1478"/>
      <c r="BJ20" s="1509"/>
      <c r="BK20" s="1478"/>
      <c r="BL20" s="2003"/>
      <c r="BM20" s="2006" t="n">
        <f aca="false">BM21*DateDE1b!AM21/DateDE1b!AM22</f>
        <v>9.28634307996391</v>
      </c>
      <c r="BN20" s="2004" t="n">
        <f aca="false">BO20+BP20</f>
        <v>10.9495525394234</v>
      </c>
      <c r="BO20" s="1997" t="n">
        <f aca="false">BO21*DateDE1b!AO21/DateDE1b!AO22</f>
        <v>9.28634307996391</v>
      </c>
      <c r="BP20" s="1997" t="n">
        <f aca="false">BP21*DateDE1b!AP21/DateDE1b!AP22</f>
        <v>1.66320945945946</v>
      </c>
      <c r="BQ20" s="2005" t="n">
        <f aca="false">BP20/BN20</f>
        <v>0.151897481972085</v>
      </c>
      <c r="BR20" s="1509"/>
      <c r="BS20" s="1509"/>
      <c r="BT20" s="1509"/>
      <c r="BU20" s="1509"/>
      <c r="BV20" s="1509"/>
      <c r="BW20" s="1509"/>
      <c r="BX20" s="1478"/>
      <c r="BY20" s="1478"/>
      <c r="BZ20" s="1478"/>
      <c r="CA20" s="1509"/>
      <c r="CB20" s="1509"/>
      <c r="CC20" s="1478"/>
      <c r="CD20" s="1478"/>
      <c r="CE20" s="1478"/>
      <c r="CF20" s="1478"/>
      <c r="CG20" s="1509"/>
      <c r="CH20" s="1482" t="n">
        <f aca="false">CI20+CL20+CO20</f>
        <v>0.131224102363214</v>
      </c>
      <c r="CI20" s="1479" t="n">
        <f aca="false">CJ20-CK20</f>
        <v>-0.534674318717255</v>
      </c>
      <c r="CJ20" s="1478" t="n">
        <f aca="false">CJ21*DateDE1b!BC21/DateDE1b!BC22</f>
        <v>0.505517617361951</v>
      </c>
      <c r="CK20" s="1478" t="n">
        <f aca="false">CK21*DateDE1b!BD21/DateDE1b!BD22</f>
        <v>1.04019193607921</v>
      </c>
      <c r="CL20" s="1479" t="n">
        <f aca="false">CM20-CN20</f>
        <v>0.665898421080469</v>
      </c>
      <c r="CM20" s="1478" t="n">
        <f aca="false">CM21*DateDE1b!BF21/DateDE1b!BF22</f>
        <v>0.787139022584228</v>
      </c>
      <c r="CN20" s="1478" t="n">
        <f aca="false">CN21*DateDE1b!BG21/DateDE1b!BG22</f>
        <v>0.121240601503759</v>
      </c>
      <c r="CO20" s="384" t="n">
        <v>0</v>
      </c>
      <c r="CP20" s="1997"/>
      <c r="CQ20" s="1997"/>
      <c r="CR20" s="1478" t="n">
        <f aca="false">CR21*DateDE1b!BK21/DateDE1b!BK22</f>
        <v>-1.64395405755336</v>
      </c>
      <c r="CS20" s="1478"/>
      <c r="CT20" s="1478"/>
      <c r="CU20" s="1478" t="n">
        <f aca="false">DateDE1b!BN21/DateDE1b!$B$5</f>
        <v>-0.582872744563689</v>
      </c>
      <c r="CV20" s="1478"/>
      <c r="CW20" s="1478"/>
      <c r="CX20" s="1998" t="n">
        <f aca="false">D20+DD20-DF20</f>
        <v>29.1596705094353</v>
      </c>
      <c r="CY20" s="2007" t="n">
        <f aca="false">CX20-DC20-DD20</f>
        <v>30.7015898341091</v>
      </c>
      <c r="CZ20" s="1509"/>
      <c r="DA20" s="2008"/>
      <c r="DB20" s="2009"/>
      <c r="DC20" s="2017" t="n">
        <f aca="false">CI20</f>
        <v>-0.534674318717255</v>
      </c>
      <c r="DD20" s="1478" t="n">
        <f aca="false">DateDE1b!BV22/DateDE1b!$B$5</f>
        <v>-1.00724500595655</v>
      </c>
      <c r="DE20" s="1478"/>
      <c r="DF20" s="2007" t="n">
        <f aca="false">DI20+DL20+DM20+DU20</f>
        <v>84.0745429287252</v>
      </c>
      <c r="DG20" s="2010" t="n">
        <f aca="false">DG21*DateDE1b!BZ21/DateDE1b!BZ22</f>
        <v>66.2054647440199</v>
      </c>
      <c r="DH20" s="2010" t="n">
        <f aca="false">DG20-DU20</f>
        <v>65.5395663229394</v>
      </c>
      <c r="DI20" s="2011" t="n">
        <f aca="false">Y20</f>
        <v>56.2682027167993</v>
      </c>
      <c r="DJ20" s="2012"/>
      <c r="DK20" s="2012"/>
      <c r="DL20" s="1509" t="n">
        <f aca="false">BM20</f>
        <v>9.28634307996391</v>
      </c>
      <c r="DM20" s="2009" t="n">
        <f aca="false">GK20*DN20*DH20/GJ20</f>
        <v>17.8540987108816</v>
      </c>
      <c r="DN20" s="2013" t="n">
        <f aca="false">DN21</f>
        <v>0.895905244977209</v>
      </c>
      <c r="DO20" s="2009"/>
      <c r="DP20" s="2009" t="n">
        <f aca="false">GK20*DH20/GJ20</f>
        <v>19.92855696624</v>
      </c>
      <c r="DQ20" s="2009" t="n">
        <f aca="false">2/3*DP20</f>
        <v>13.28570464416</v>
      </c>
      <c r="DR20" s="2009"/>
      <c r="DS20" s="2009"/>
      <c r="DT20" s="2014"/>
      <c r="DU20" s="2015" t="n">
        <f aca="false">CL20</f>
        <v>0.665898421080469</v>
      </c>
      <c r="DV20" s="2007" t="n">
        <f aca="false">DV21*DateDE1b!CE21/DateDE1b!CE22</f>
        <v>42.9444181333229</v>
      </c>
      <c r="DW20" s="1509" t="n">
        <f aca="false">I20</f>
        <v>17.3941263892752</v>
      </c>
      <c r="DX20" s="2017"/>
      <c r="DY20" s="2017"/>
      <c r="DZ20" s="2018"/>
      <c r="EA20" s="2018"/>
      <c r="EB20" s="1478" t="n">
        <f aca="false">EB21*DateDE1b!CL21/DateDE1b!CL22</f>
        <v>14.0907864604905</v>
      </c>
      <c r="EC20" s="2018"/>
      <c r="ED20" s="2018"/>
      <c r="EE20" s="1478"/>
      <c r="EF20" s="2017"/>
      <c r="EG20" s="2019" t="n">
        <f aca="false">EG21*DateDE1b!CQ21/DateDE1b!CQ22</f>
        <v>18.7689215086513</v>
      </c>
      <c r="EH20" s="2020" t="n">
        <f aca="false">EG20-EI20</f>
        <v>15.3830315127356</v>
      </c>
      <c r="EI20" s="2020" t="n">
        <f aca="false">EG20*EI$41/EG$41</f>
        <v>3.38588999591572</v>
      </c>
      <c r="EJ20" s="2021"/>
      <c r="EK20" s="2022"/>
      <c r="EL20" s="2017"/>
      <c r="EM20" s="2017"/>
      <c r="EN20" s="2017"/>
      <c r="EO20" s="2017" t="n">
        <f aca="false">EO21*DateDE1b!CT21/DateDE1b!CT22</f>
        <v>25.5252995558579</v>
      </c>
      <c r="EP20" s="2017" t="n">
        <f aca="false">EO20-S20</f>
        <v>6.87702581640278</v>
      </c>
      <c r="EQ20" s="2017" t="n">
        <f aca="false">DateDE1b!CV21/DateDE1b!$B$5</f>
        <v>-1.44184310497334</v>
      </c>
      <c r="ER20" s="2023" t="n">
        <f aca="false">EP20+EQ20</f>
        <v>5.43518271142944</v>
      </c>
      <c r="ES20" s="2017" t="n">
        <f aca="false">ES21*DateDE1b!CX21/DateDE1b!CX22</f>
        <v>4.61162729887562</v>
      </c>
      <c r="ET20" s="2017" t="n">
        <v>0</v>
      </c>
      <c r="EU20" s="2017" t="n">
        <f aca="false">ER20-ES20-ET20+BP20</f>
        <v>2.48676487201328</v>
      </c>
      <c r="EV20" s="2024" t="n">
        <f aca="false">B20-DV20+EH20+DD20-CO20</f>
        <v>103.066953206848</v>
      </c>
      <c r="EW20" s="1478"/>
      <c r="EX20" s="1478"/>
      <c r="EY20" s="1478"/>
      <c r="EZ20" s="1478" t="n">
        <f aca="false">EV20+EI20</f>
        <v>106.452843202764</v>
      </c>
      <c r="FA20" s="1478"/>
      <c r="FB20" s="1478" t="n">
        <f aca="false">FB21*DateDE1b!DE21/DateDE1b!DE22</f>
        <v>8.00387022397892</v>
      </c>
      <c r="FC20" s="1478"/>
      <c r="FD20" s="1997" t="n">
        <f aca="false">T20+E20+U20-V20+CR20-H20-EP20</f>
        <v>21.7911811386034</v>
      </c>
      <c r="FE20" s="1478"/>
      <c r="FF20" s="1997"/>
      <c r="FG20" s="1997" t="n">
        <f aca="false">CU20-EQ20</f>
        <v>0.858970360409647</v>
      </c>
      <c r="FH20" s="514" t="n">
        <f aca="false">FG20/FD20</f>
        <v>0.0394182561718956</v>
      </c>
      <c r="FI20" s="1994" t="n">
        <f aca="false">FI21*DateDE1b!DE21/DateDE1b!DE22</f>
        <v>8.37804677206851</v>
      </c>
      <c r="FJ20" s="1994" t="n">
        <f aca="false">FK20-FI20</f>
        <v>14.2721047269445</v>
      </c>
      <c r="FK20" s="2025" t="n">
        <f aca="false">FD20+FG20</f>
        <v>22.650151499013</v>
      </c>
      <c r="FL20" s="1994"/>
      <c r="FM20" s="1994"/>
      <c r="FN20" s="1478"/>
      <c r="FO20" s="1995"/>
      <c r="FP20" s="1478"/>
      <c r="FQ20" s="1478"/>
      <c r="FR20" s="1997" t="n">
        <v>0</v>
      </c>
      <c r="FS20" s="1478"/>
      <c r="FT20" s="1478"/>
      <c r="FU20" s="1478"/>
      <c r="FV20" s="1478"/>
      <c r="FW20" s="2025"/>
      <c r="FX20" s="2026"/>
      <c r="FY20" s="2026"/>
      <c r="FZ20" s="2027"/>
      <c r="GA20" s="2015" t="n">
        <v>0</v>
      </c>
      <c r="GB20" s="402" t="n">
        <v>0.00643086816720251</v>
      </c>
      <c r="GC20" s="387" t="n">
        <v>0.00896300689068874</v>
      </c>
      <c r="GD20" s="387" t="n">
        <f aca="false">(G20/G19)/(1+GE20)-1</f>
        <v>0.0157363161408586</v>
      </c>
      <c r="GE20" s="387" t="n">
        <v>0.0782017378163959</v>
      </c>
      <c r="GF20" s="387" t="n">
        <v>0.00757575757575779</v>
      </c>
      <c r="GG20" s="387"/>
      <c r="GH20" s="465" t="n">
        <v>54988.15</v>
      </c>
      <c r="GI20" s="465" t="n">
        <f aca="false">GI21*DateDE1b!DM21/DateDE1b!DM22</f>
        <v>25599.7184400585</v>
      </c>
      <c r="GJ20" s="465" t="n">
        <f aca="false">GJ21*DateDE1b!DN21/DateDE1b!DN22</f>
        <v>19622.5733909091</v>
      </c>
      <c r="GK20" s="465" t="n">
        <f aca="false">GK21*DateDE1b!DO21/DateDE1b!DO22</f>
        <v>5966.61823665573</v>
      </c>
      <c r="GL20" s="25" t="n">
        <f aca="false">GL19+(GL$21-GL$11)/10</f>
        <v>0.2861</v>
      </c>
      <c r="GM20" s="25" t="n">
        <f aca="false">GK20/GI20</f>
        <v>0.233073588314125</v>
      </c>
      <c r="GN20" s="385" t="n">
        <v>54988.15</v>
      </c>
      <c r="GO20" s="1932" t="n">
        <f aca="false">CX20</f>
        <v>29.1596705094353</v>
      </c>
      <c r="GP20" s="1932"/>
      <c r="GQ20" s="1932"/>
      <c r="GR20" s="1932"/>
      <c r="GS20" s="1509"/>
      <c r="GT20" s="1932"/>
      <c r="GU20" s="1478"/>
      <c r="GV20" s="1509"/>
      <c r="GW20" s="1478"/>
      <c r="GX20" s="1932"/>
      <c r="GY20" s="1478"/>
      <c r="GZ20" s="24"/>
      <c r="HA20" s="1478"/>
      <c r="HB20" s="1478"/>
      <c r="HC20" s="1478"/>
      <c r="HD20" s="1478"/>
      <c r="HE20" s="1478"/>
      <c r="HF20" s="1478"/>
      <c r="HG20" s="1478"/>
      <c r="HH20" s="1478"/>
      <c r="HI20" s="1478"/>
      <c r="HJ20" s="1478"/>
      <c r="HK20" s="387"/>
    </row>
    <row r="21" customFormat="false" ht="12" hidden="false" customHeight="false" outlineLevel="0" collapsed="false">
      <c r="A21" s="31" t="n">
        <f aca="false">A20+1</f>
        <v>1960</v>
      </c>
      <c r="B21" s="1994" t="n">
        <f aca="false">E21+F21</f>
        <v>147.636954320336</v>
      </c>
      <c r="C21" s="432" t="n">
        <f aca="false">B21+CR21</f>
        <v>146.159099247872</v>
      </c>
      <c r="D21" s="1995" t="n">
        <f aca="false">B21-I21</f>
        <v>128.670009839943</v>
      </c>
      <c r="E21" s="1996" t="n">
        <f aca="false">CH21</f>
        <v>0.2566226898359</v>
      </c>
      <c r="F21" s="395" t="n">
        <f aca="false">W21+BM21+J21</f>
        <v>147.3803316305</v>
      </c>
      <c r="G21" s="1478" t="n">
        <f aca="false">J21+X21+BN21</f>
        <v>161.457933093422</v>
      </c>
      <c r="H21" s="1997" t="n">
        <f aca="false">AA21+BP21</f>
        <v>14.0776014629216</v>
      </c>
      <c r="I21" s="1998" t="n">
        <f aca="false">I22*DateDE1b!K23/DateDE1b!K24</f>
        <v>18.9669444803934</v>
      </c>
      <c r="J21" s="395" t="n">
        <f aca="false">I21-CO21</f>
        <v>18.9669444803934</v>
      </c>
      <c r="K21" s="1478"/>
      <c r="L21" s="1478"/>
      <c r="M21" s="1478"/>
      <c r="N21" s="1478"/>
      <c r="O21" s="1478"/>
      <c r="P21" s="1478"/>
      <c r="Q21" s="1999"/>
      <c r="R21" s="1997" t="n">
        <f aca="false">R22*DateDE1b!L23/DateDE1b!L24</f>
        <v>90.9352029280195</v>
      </c>
      <c r="S21" s="1997" t="n">
        <f aca="false">S22*DateDE1b!M23/DateDE1b!M24</f>
        <v>20.9487461256692</v>
      </c>
      <c r="T21" s="1997" t="n">
        <f aca="false">T22*DateDE1b!N23/DateDE1b!N24</f>
        <v>45.5834459060403</v>
      </c>
      <c r="U21" s="1997" t="n">
        <f aca="false">U22*DateDE1b!Q23/DateDE1b!Q24</f>
        <v>30.9923363636364</v>
      </c>
      <c r="V21" s="1997" t="n">
        <f aca="false">V22*DateDE1b!R23/DateDE1b!R24</f>
        <v>26.754800030943</v>
      </c>
      <c r="W21" s="2000" t="n">
        <f aca="false">W22*DateDE1b!U23/DateDE1b!U24</f>
        <v>117.951697960918</v>
      </c>
      <c r="X21" s="1997" t="n">
        <f aca="false">W21+AA21</f>
        <v>130.145460138125</v>
      </c>
      <c r="Y21" s="1997" t="n">
        <f aca="false">Y22*DateDE1b!W23/DateDE1b!W24</f>
        <v>62.9896417741344</v>
      </c>
      <c r="Z21" s="1997" t="n">
        <f aca="false">W21-Y21</f>
        <v>54.9620561867832</v>
      </c>
      <c r="AA21" s="1997" t="n">
        <f aca="false">AA22*DateDE1b!Y23/DateDE1b!Y24</f>
        <v>12.1937621772074</v>
      </c>
      <c r="AB21" s="1319" t="n">
        <f aca="false">AA21/X21</f>
        <v>0.0936933348598251</v>
      </c>
      <c r="AC21" s="514"/>
      <c r="AD21" s="1997"/>
      <c r="AE21" s="1997"/>
      <c r="AF21" s="1997"/>
      <c r="AG21" s="1997"/>
      <c r="AH21" s="1997"/>
      <c r="AI21" s="2001"/>
      <c r="AJ21" s="2002"/>
      <c r="AK21" s="1478"/>
      <c r="AL21" s="1478"/>
      <c r="AM21" s="821"/>
      <c r="AN21" s="2003"/>
      <c r="AO21" s="2001"/>
      <c r="AP21" s="2004"/>
      <c r="AQ21" s="2004"/>
      <c r="AR21" s="1478"/>
      <c r="AS21" s="1478"/>
      <c r="AT21" s="1478"/>
      <c r="AU21" s="2005"/>
      <c r="AV21" s="2001"/>
      <c r="AW21" s="2004"/>
      <c r="AX21" s="2004"/>
      <c r="AY21" s="1932"/>
      <c r="AZ21" s="1478"/>
      <c r="BA21" s="1478"/>
      <c r="BB21" s="821"/>
      <c r="BC21" s="1478"/>
      <c r="BD21" s="1478"/>
      <c r="BE21" s="1509"/>
      <c r="BF21" s="1478"/>
      <c r="BG21" s="1478"/>
      <c r="BH21" s="1478"/>
      <c r="BI21" s="1478"/>
      <c r="BJ21" s="1509"/>
      <c r="BK21" s="1478"/>
      <c r="BL21" s="2003"/>
      <c r="BM21" s="2001" t="n">
        <f aca="false">BM22*DateDE1b!AM23/DateDE1b!AM24</f>
        <v>10.4616891891892</v>
      </c>
      <c r="BN21" s="2004" t="n">
        <f aca="false">BO21+BP21</f>
        <v>12.3455284749035</v>
      </c>
      <c r="BO21" s="1478" t="n">
        <f aca="false">BO22*DateDE1b!AO23/DateDE1b!AO24</f>
        <v>10.4616891891892</v>
      </c>
      <c r="BP21" s="1997" t="n">
        <f aca="false">BP22*DateDE1b!AP23/DateDE1b!AP24</f>
        <v>1.88383928571428</v>
      </c>
      <c r="BQ21" s="2005" t="n">
        <f aca="false">BP21/BN21</f>
        <v>0.152592842788693</v>
      </c>
      <c r="BR21" s="1509"/>
      <c r="BS21" s="1509"/>
      <c r="BT21" s="1509"/>
      <c r="BU21" s="1509"/>
      <c r="BV21" s="1509"/>
      <c r="BW21" s="1509"/>
      <c r="BX21" s="1478"/>
      <c r="BY21" s="1478"/>
      <c r="BZ21" s="1478"/>
      <c r="CA21" s="1509"/>
      <c r="CB21" s="1509"/>
      <c r="CC21" s="1478"/>
      <c r="CD21" s="1478"/>
      <c r="CE21" s="1478"/>
      <c r="CF21" s="1478"/>
      <c r="CG21" s="1509"/>
      <c r="CH21" s="1482" t="n">
        <f aca="false">CI21+CL21+CO21</f>
        <v>0.2566226898359</v>
      </c>
      <c r="CI21" s="1479" t="n">
        <f aca="false">CJ21-CK21</f>
        <v>-0.393230539126918</v>
      </c>
      <c r="CJ21" s="1478" t="n">
        <f aca="false">CJ22*DateDE1b!BC23/DateDE1b!BC24</f>
        <v>0.722764857881137</v>
      </c>
      <c r="CK21" s="1478" t="n">
        <f aca="false">CK22*DateDE1b!BD23/DateDE1b!BD24</f>
        <v>1.11599539700806</v>
      </c>
      <c r="CL21" s="1479" t="n">
        <f aca="false">CM21-CN21</f>
        <v>0.649853228962818</v>
      </c>
      <c r="CM21" s="1478" t="n">
        <f aca="false">CM22*DateDE1b!BF23/DateDE1b!BF24</f>
        <v>0.803424657534247</v>
      </c>
      <c r="CN21" s="1478" t="n">
        <f aca="false">CN22*DateDE1b!BG23/DateDE1b!BG24</f>
        <v>0.153571428571429</v>
      </c>
      <c r="CO21" s="384" t="n">
        <v>0</v>
      </c>
      <c r="CP21" s="1997"/>
      <c r="CQ21" s="1997"/>
      <c r="CR21" s="1478" t="n">
        <f aca="false">CR22*DateDE1b!BK23/DateDE1b!BK24</f>
        <v>-1.47785507246377</v>
      </c>
      <c r="CS21" s="1478"/>
      <c r="CT21" s="1478"/>
      <c r="CU21" s="1478" t="n">
        <f aca="false">DateDE1b!BN23/DateDE1b!$B$5</f>
        <v>-0.39880766733305</v>
      </c>
      <c r="CV21" s="1478"/>
      <c r="CW21" s="1478"/>
      <c r="CX21" s="1998" t="n">
        <f aca="false">D21+DD21-DF21</f>
        <v>34.3316591272955</v>
      </c>
      <c r="CY21" s="2007" t="n">
        <f aca="false">CX21-DC21-DD21</f>
        <v>35.7832638604986</v>
      </c>
      <c r="CZ21" s="1509"/>
      <c r="DA21" s="2008"/>
      <c r="DB21" s="2009"/>
      <c r="DC21" s="2017" t="n">
        <f aca="false">CI21</f>
        <v>-0.393230539126918</v>
      </c>
      <c r="DD21" s="1478" t="n">
        <f aca="false">DateDE1b!BV23/DateDE1b!$B$5</f>
        <v>-1.05837419407617</v>
      </c>
      <c r="DE21" s="1478"/>
      <c r="DF21" s="2007" t="n">
        <f aca="false">DI21+DL21+DM21+DU21</f>
        <v>93.279976518571</v>
      </c>
      <c r="DG21" s="2010" t="n">
        <f aca="false">DG22*DateDE1b!BZ23/DateDE1b!BZ24</f>
        <v>74.0887574866903</v>
      </c>
      <c r="DH21" s="2010" t="n">
        <f aca="false">DG21-DU21</f>
        <v>73.4389042577275</v>
      </c>
      <c r="DI21" s="2011" t="n">
        <f aca="false">Y21</f>
        <v>62.9896417741344</v>
      </c>
      <c r="DJ21" s="2012"/>
      <c r="DK21" s="2012"/>
      <c r="DL21" s="1509" t="n">
        <f aca="false">BM21</f>
        <v>10.4616891891892</v>
      </c>
      <c r="DM21" s="2009" t="n">
        <f aca="false">GK21*DN21*DH21/GJ21</f>
        <v>19.1787923262846</v>
      </c>
      <c r="DN21" s="2013" t="n">
        <f aca="false">DN22</f>
        <v>0.895905244977209</v>
      </c>
      <c r="DO21" s="2009"/>
      <c r="DP21" s="2009" t="n">
        <f aca="false">GK21*DH21/GJ21</f>
        <v>21.4071660298991</v>
      </c>
      <c r="DQ21" s="2009" t="n">
        <f aca="false">2/3*DP21</f>
        <v>14.2714440199328</v>
      </c>
      <c r="DR21" s="2009"/>
      <c r="DS21" s="2009"/>
      <c r="DT21" s="2014"/>
      <c r="DU21" s="2015" t="n">
        <f aca="false">CL21</f>
        <v>0.649853228962818</v>
      </c>
      <c r="DV21" s="2007" t="n">
        <f aca="false">DV22*DateDE1b!CE23/DateDE1b!CE24</f>
        <v>48.581513592351</v>
      </c>
      <c r="DW21" s="1509" t="n">
        <f aca="false">I21</f>
        <v>18.9669444803934</v>
      </c>
      <c r="DX21" s="2017"/>
      <c r="DY21" s="2017"/>
      <c r="DZ21" s="2018"/>
      <c r="EA21" s="2018"/>
      <c r="EB21" s="1478" t="n">
        <f aca="false">EB22*DateDE1b!CL23/DateDE1b!CL24</f>
        <v>15.6343948669649</v>
      </c>
      <c r="EC21" s="2018"/>
      <c r="ED21" s="2018"/>
      <c r="EE21" s="1478"/>
      <c r="EF21" s="2017"/>
      <c r="EG21" s="2019" t="n">
        <f aca="false">EG22*DateDE1b!CQ23/DateDE1b!CQ24</f>
        <v>19.5631645856981</v>
      </c>
      <c r="EH21" s="2020" t="n">
        <f aca="false">EG21-EI21</f>
        <v>16.0339941307715</v>
      </c>
      <c r="EI21" s="2020" t="n">
        <f aca="false">EG21*EI$41/EG$41</f>
        <v>3.52917045492656</v>
      </c>
      <c r="EJ21" s="2021"/>
      <c r="EK21" s="2022"/>
      <c r="EL21" s="2017"/>
      <c r="EM21" s="2017"/>
      <c r="EN21" s="2017"/>
      <c r="EO21" s="2017" t="n">
        <f aca="false">EO22*DateDE1b!CT23/DateDE1b!CT24</f>
        <v>31.0044691096792</v>
      </c>
      <c r="EP21" s="2017" t="n">
        <f aca="false">EO21-S21</f>
        <v>10.05572298401</v>
      </c>
      <c r="EQ21" s="2017" t="n">
        <f aca="false">DateDE1b!CV23/DateDE1b!$B$5</f>
        <v>-1.69237612675948</v>
      </c>
      <c r="ER21" s="2023" t="n">
        <f aca="false">EP21+EQ21</f>
        <v>8.36334685725049</v>
      </c>
      <c r="ES21" s="2017" t="n">
        <f aca="false">ES22*DateDE1b!CX23/DateDE1b!CX24</f>
        <v>5.29334611697028</v>
      </c>
      <c r="ET21" s="2017" t="n">
        <v>0</v>
      </c>
      <c r="EU21" s="2017" t="n">
        <f aca="false">ER21-ES21-ET21+BP21</f>
        <v>4.9538400259945</v>
      </c>
      <c r="EV21" s="2024" t="n">
        <f aca="false">B21-DV21+EH21+DD21-CO21</f>
        <v>114.03106066468</v>
      </c>
      <c r="EW21" s="1478"/>
      <c r="EX21" s="1478"/>
      <c r="EY21" s="1478"/>
      <c r="EZ21" s="1478" t="n">
        <f aca="false">EV21+EI21</f>
        <v>117.560231119607</v>
      </c>
      <c r="FA21" s="1478"/>
      <c r="FB21" s="1478" t="n">
        <f aca="false">FB22*DateDE1b!DE23/DateDE1b!DE24</f>
        <v>8.68025362318841</v>
      </c>
      <c r="FC21" s="1478"/>
      <c r="FD21" s="1997" t="n">
        <f aca="false">T21+E21+U21-V21+CR21-H21-EP21</f>
        <v>24.4664254091742</v>
      </c>
      <c r="FE21" s="1478"/>
      <c r="FF21" s="1997"/>
      <c r="FG21" s="1997" t="n">
        <f aca="false">CU21-EQ21</f>
        <v>1.29356845942643</v>
      </c>
      <c r="FH21" s="514" t="n">
        <f aca="false">FG21/FD21</f>
        <v>0.0528711668252684</v>
      </c>
      <c r="FI21" s="1994" t="n">
        <f aca="false">FI22*DateDE1b!DE23/DateDE1b!DE24</f>
        <v>9.08605072463768</v>
      </c>
      <c r="FJ21" s="1994" t="n">
        <f aca="false">FK21-FI21</f>
        <v>16.6739431439629</v>
      </c>
      <c r="FK21" s="2025" t="n">
        <f aca="false">FD21+FG21</f>
        <v>25.7599938686006</v>
      </c>
      <c r="FL21" s="1994"/>
      <c r="FM21" s="1994"/>
      <c r="FN21" s="1478"/>
      <c r="FO21" s="1995"/>
      <c r="FP21" s="1478"/>
      <c r="FQ21" s="1478"/>
      <c r="FR21" s="1997" t="n">
        <v>0</v>
      </c>
      <c r="FS21" s="1478"/>
      <c r="FT21" s="1478"/>
      <c r="FU21" s="1478"/>
      <c r="FV21" s="1478"/>
      <c r="FW21" s="2025"/>
      <c r="FX21" s="2026"/>
      <c r="FY21" s="2026"/>
      <c r="FZ21" s="2027"/>
      <c r="GA21" s="2015" t="n">
        <v>0</v>
      </c>
      <c r="GB21" s="402" t="n">
        <v>0.0159744408945688</v>
      </c>
      <c r="GC21" s="387" t="n">
        <v>0.0153662258431426</v>
      </c>
      <c r="GD21" s="387" t="n">
        <f aca="false">(G21/G20)/(1+GE21)-1</f>
        <v>0.0318717197154541</v>
      </c>
      <c r="GE21" s="387" t="n">
        <v>0.0865451997196918</v>
      </c>
      <c r="GF21" s="387" t="n">
        <v>0.013157894736842</v>
      </c>
      <c r="GG21" s="387"/>
      <c r="GH21" s="465" t="n">
        <v>55607.7</v>
      </c>
      <c r="GI21" s="465" t="n">
        <f aca="false">GJ21+GK21</f>
        <v>26053.017</v>
      </c>
      <c r="GJ21" s="465" t="n">
        <v>20172.739</v>
      </c>
      <c r="GK21" s="465" t="n">
        <v>5880.278</v>
      </c>
      <c r="GL21" s="25" t="n">
        <v>0.284</v>
      </c>
      <c r="GM21" s="25" t="n">
        <f aca="false">GK21/GI21</f>
        <v>0.225704301348285</v>
      </c>
      <c r="GN21" s="385" t="n">
        <v>55607.7</v>
      </c>
      <c r="GO21" s="1932" t="n">
        <f aca="false">CX21</f>
        <v>34.3316591272955</v>
      </c>
      <c r="GP21" s="1932"/>
      <c r="GQ21" s="1932"/>
      <c r="GR21" s="1932"/>
      <c r="GS21" s="1509"/>
      <c r="GT21" s="1932"/>
      <c r="GU21" s="1478"/>
      <c r="GV21" s="1509"/>
      <c r="GW21" s="1478"/>
      <c r="GX21" s="1932"/>
      <c r="GY21" s="1478"/>
      <c r="GZ21" s="24"/>
      <c r="HA21" s="1478"/>
      <c r="HB21" s="1478"/>
      <c r="HC21" s="1478"/>
      <c r="HD21" s="1478"/>
      <c r="HE21" s="1478"/>
      <c r="HF21" s="1478"/>
      <c r="HG21" s="1478"/>
      <c r="HH21" s="1478"/>
      <c r="HI21" s="1478"/>
      <c r="HJ21" s="1478"/>
      <c r="HK21" s="387"/>
    </row>
    <row r="22" customFormat="false" ht="12" hidden="false" customHeight="false" outlineLevel="0" collapsed="false">
      <c r="A22" s="31" t="n">
        <f aca="false">A21+1</f>
        <v>1961</v>
      </c>
      <c r="B22" s="1994" t="n">
        <f aca="false">E22+F22</f>
        <v>160.780980025015</v>
      </c>
      <c r="C22" s="432" t="n">
        <f aca="false">B22+CR22</f>
        <v>158.982458285885</v>
      </c>
      <c r="D22" s="1995" t="n">
        <f aca="false">B22-I22</f>
        <v>139.751150854574</v>
      </c>
      <c r="E22" s="1996" t="n">
        <f aca="false">CH22</f>
        <v>-0.00461496094406477</v>
      </c>
      <c r="F22" s="395" t="n">
        <f aca="false">W22+BM22+J22</f>
        <v>160.78559498596</v>
      </c>
      <c r="G22" s="1478" t="n">
        <f aca="false">J22+X22+BN22</f>
        <v>176.886017971336</v>
      </c>
      <c r="H22" s="1997" t="n">
        <f aca="false">AA22+BP22</f>
        <v>16.1004229853763</v>
      </c>
      <c r="I22" s="1998" t="n">
        <f aca="false">I23*DateDE1b!K24/DateDE1b!K25</f>
        <v>21.0298291704413</v>
      </c>
      <c r="J22" s="395" t="n">
        <f aca="false">I22-CO22</f>
        <v>21.0298291704413</v>
      </c>
      <c r="K22" s="1478"/>
      <c r="L22" s="1478"/>
      <c r="M22" s="1478"/>
      <c r="N22" s="1478"/>
      <c r="O22" s="1478"/>
      <c r="P22" s="1478"/>
      <c r="Q22" s="1999"/>
      <c r="R22" s="1997" t="n">
        <f aca="false">R23*DateDE1b!L24/DateDE1b!L25</f>
        <v>99.6614686186797</v>
      </c>
      <c r="S22" s="1997" t="n">
        <f aca="false">S23*DateDE1b!M24/DateDE1b!M25</f>
        <v>23.7091124260355</v>
      </c>
      <c r="T22" s="1997" t="n">
        <f aca="false">T23*DateDE1b!N24/DateDE1b!N25</f>
        <v>49.6472998657718</v>
      </c>
      <c r="U22" s="1997" t="n">
        <f aca="false">U23*DateDE1b!Q24/DateDE1b!Q25</f>
        <v>32.2592</v>
      </c>
      <c r="V22" s="1997" t="n">
        <f aca="false">V23*DateDE1b!R24/DateDE1b!R25</f>
        <v>28.1234006343312</v>
      </c>
      <c r="W22" s="2000" t="n">
        <f aca="false">W23*DateDE1b!U24/DateDE1b!U25</f>
        <v>127.758603653356</v>
      </c>
      <c r="X22" s="1997" t="n">
        <f aca="false">W22+AA22</f>
        <v>141.781973067304</v>
      </c>
      <c r="Y22" s="1997" t="n">
        <f aca="false">Y23*DateDE1b!W24/DateDE1b!W25</f>
        <v>70.9352061048352</v>
      </c>
      <c r="Z22" s="1997" t="n">
        <f aca="false">W22-Y22</f>
        <v>56.8233975485208</v>
      </c>
      <c r="AA22" s="1997" t="n">
        <f aca="false">AA23*DateDE1b!Y24/DateDE1b!Y25</f>
        <v>14.0233694139477</v>
      </c>
      <c r="AB22" s="1319" t="n">
        <f aca="false">AA22/X22</f>
        <v>0.0989079860476399</v>
      </c>
      <c r="AC22" s="514"/>
      <c r="AD22" s="1997"/>
      <c r="AE22" s="1997"/>
      <c r="AF22" s="1997"/>
      <c r="AG22" s="1997"/>
      <c r="AH22" s="1997"/>
      <c r="AI22" s="2001"/>
      <c r="AJ22" s="2002"/>
      <c r="AK22" s="1478"/>
      <c r="AL22" s="1478"/>
      <c r="AM22" s="821"/>
      <c r="AN22" s="2003"/>
      <c r="AO22" s="2001"/>
      <c r="AP22" s="2004"/>
      <c r="AQ22" s="2004"/>
      <c r="AR22" s="1478"/>
      <c r="AS22" s="1478"/>
      <c r="AT22" s="1478"/>
      <c r="AU22" s="2005"/>
      <c r="AV22" s="2001"/>
      <c r="AW22" s="2004"/>
      <c r="AX22" s="2004"/>
      <c r="AY22" s="1932"/>
      <c r="AZ22" s="1478"/>
      <c r="BA22" s="1478"/>
      <c r="BB22" s="821"/>
      <c r="BC22" s="1478"/>
      <c r="BD22" s="1478"/>
      <c r="BE22" s="1509"/>
      <c r="BF22" s="1478"/>
      <c r="BG22" s="1478"/>
      <c r="BH22" s="1478"/>
      <c r="BI22" s="1478"/>
      <c r="BJ22" s="1509"/>
      <c r="BK22" s="1478"/>
      <c r="BL22" s="2003"/>
      <c r="BM22" s="2001" t="n">
        <f aca="false">BM23*DateDE1b!AM24/DateDE1b!AM25</f>
        <v>11.9971621621622</v>
      </c>
      <c r="BN22" s="2004" t="n">
        <f aca="false">BO22+BP22</f>
        <v>14.0742157335907</v>
      </c>
      <c r="BO22" s="1478" t="n">
        <f aca="false">BO23*DateDE1b!AO24/DateDE1b!AO25</f>
        <v>11.9971621621622</v>
      </c>
      <c r="BP22" s="1997" t="n">
        <f aca="false">BP23*DateDE1b!AP24/DateDE1b!AP25</f>
        <v>2.07705357142857</v>
      </c>
      <c r="BQ22" s="2005" t="n">
        <f aca="false">BP22/BN22</f>
        <v>0.147578636759937</v>
      </c>
      <c r="BR22" s="1509"/>
      <c r="BS22" s="1509"/>
      <c r="BT22" s="1509"/>
      <c r="BU22" s="1509"/>
      <c r="BV22" s="1509"/>
      <c r="BW22" s="1509"/>
      <c r="BX22" s="1478"/>
      <c r="BY22" s="1478"/>
      <c r="BZ22" s="1478"/>
      <c r="CA22" s="1509"/>
      <c r="CB22" s="1509"/>
      <c r="CC22" s="1478"/>
      <c r="CD22" s="1478"/>
      <c r="CE22" s="1478"/>
      <c r="CF22" s="1478"/>
      <c r="CG22" s="1509"/>
      <c r="CH22" s="1482" t="n">
        <f aca="false">CI22+CL22+CO22</f>
        <v>-0.00461496094406477</v>
      </c>
      <c r="CI22" s="1479" t="n">
        <f aca="false">CJ22-CK22</f>
        <v>-0.624150185992988</v>
      </c>
      <c r="CJ22" s="1478" t="n">
        <f aca="false">CJ23*DateDE1b!BC24/DateDE1b!BC25</f>
        <v>0.783720930232558</v>
      </c>
      <c r="CK22" s="1478" t="n">
        <f aca="false">CK23*DateDE1b!BD24/DateDE1b!BD25</f>
        <v>1.40787111622555</v>
      </c>
      <c r="CL22" s="1479" t="n">
        <f aca="false">CM22-CN22</f>
        <v>0.619535225048924</v>
      </c>
      <c r="CM22" s="1478" t="n">
        <f aca="false">CM23*DateDE1b!BF24/DateDE1b!BF25</f>
        <v>0.819178082191781</v>
      </c>
      <c r="CN22" s="1478" t="n">
        <f aca="false">CN23*DateDE1b!BG24/DateDE1b!BG25</f>
        <v>0.199642857142857</v>
      </c>
      <c r="CO22" s="384" t="n">
        <v>0</v>
      </c>
      <c r="CP22" s="1997"/>
      <c r="CQ22" s="1997"/>
      <c r="CR22" s="1478" t="n">
        <f aca="false">CR23*DateDE1b!BK24/DateDE1b!BK25</f>
        <v>-1.79852173913044</v>
      </c>
      <c r="CS22" s="1478"/>
      <c r="CT22" s="1478"/>
      <c r="CU22" s="1478" t="n">
        <f aca="false">DateDE1b!BN24/DateDE1b!$B$5</f>
        <v>-0.475501449512483</v>
      </c>
      <c r="CV22" s="1478"/>
      <c r="CW22" s="1478"/>
      <c r="CX22" s="1998" t="n">
        <f aca="false">D22+DD22-DF22</f>
        <v>34.2392776094025</v>
      </c>
      <c r="CY22" s="2007" t="n">
        <f aca="false">CX22-DC22-DD22</f>
        <v>36.141657498386</v>
      </c>
      <c r="CZ22" s="1509"/>
      <c r="DA22" s="2008"/>
      <c r="DB22" s="2009"/>
      <c r="DC22" s="2017" t="n">
        <f aca="false">CI22</f>
        <v>-0.624150185992988</v>
      </c>
      <c r="DD22" s="1478" t="n">
        <f aca="false">DateDE1b!BV24/DateDE1b!$B$5</f>
        <v>-1.27822970299055</v>
      </c>
      <c r="DE22" s="1478"/>
      <c r="DF22" s="2007" t="n">
        <f aca="false">DI22+DL22+DM22+DU22</f>
        <v>104.233643542181</v>
      </c>
      <c r="DG22" s="2010" t="n">
        <f aca="false">DG23*DateDE1b!BZ24/DateDE1b!BZ25</f>
        <v>83.5403463287489</v>
      </c>
      <c r="DH22" s="2010" t="n">
        <f aca="false">DG22-DU22</f>
        <v>82.9208111037</v>
      </c>
      <c r="DI22" s="2011" t="n">
        <f aca="false">Y22</f>
        <v>70.9352061048352</v>
      </c>
      <c r="DJ22" s="2012"/>
      <c r="DK22" s="2012"/>
      <c r="DL22" s="1509" t="n">
        <f aca="false">BM22</f>
        <v>11.9971621621622</v>
      </c>
      <c r="DM22" s="2009" t="n">
        <f aca="false">GK22*DN22*DH22/GJ22</f>
        <v>20.6817400501347</v>
      </c>
      <c r="DN22" s="2013" t="n">
        <f aca="false">DN23</f>
        <v>0.895905244977209</v>
      </c>
      <c r="DO22" s="2009"/>
      <c r="DP22" s="2009" t="n">
        <f aca="false">GK22*DH22/GJ22</f>
        <v>23.0847404522795</v>
      </c>
      <c r="DQ22" s="2009" t="n">
        <f aca="false">2/3*DP22</f>
        <v>15.3898269681863</v>
      </c>
      <c r="DR22" s="2009"/>
      <c r="DS22" s="2009"/>
      <c r="DT22" s="2014"/>
      <c r="DU22" s="2015" t="n">
        <f aca="false">CL22</f>
        <v>0.619535225048924</v>
      </c>
      <c r="DV22" s="2007" t="n">
        <f aca="false">DV23*DateDE1b!CE24/DateDE1b!CE25</f>
        <v>55.0330693189645</v>
      </c>
      <c r="DW22" s="1509" t="n">
        <f aca="false">I22</f>
        <v>21.0298291704413</v>
      </c>
      <c r="DX22" s="2017"/>
      <c r="DY22" s="2017"/>
      <c r="DZ22" s="2018"/>
      <c r="EA22" s="2018"/>
      <c r="EB22" s="1478" t="n">
        <f aca="false">EB23*DateDE1b!CL24/DateDE1b!CL25</f>
        <v>17.2424181775371</v>
      </c>
      <c r="EC22" s="2018"/>
      <c r="ED22" s="2018"/>
      <c r="EE22" s="1478"/>
      <c r="EF22" s="2017"/>
      <c r="EG22" s="2019" t="n">
        <f aca="false">EG23*DateDE1b!CQ24/DateDE1b!CQ25</f>
        <v>21.2359273552781</v>
      </c>
      <c r="EH22" s="2020" t="n">
        <f aca="false">EG22-EI22</f>
        <v>17.404992586166</v>
      </c>
      <c r="EI22" s="2020" t="n">
        <f aca="false">EG22*EI$41/EG$41</f>
        <v>3.83093476911214</v>
      </c>
      <c r="EJ22" s="2021"/>
      <c r="EK22" s="2022"/>
      <c r="EL22" s="2017"/>
      <c r="EM22" s="2017"/>
      <c r="EN22" s="2017"/>
      <c r="EO22" s="2017" t="n">
        <f aca="false">EO23*DateDE1b!CT24/DateDE1b!CT25</f>
        <v>35.868902625994</v>
      </c>
      <c r="EP22" s="2017" t="n">
        <f aca="false">EO22-S22</f>
        <v>12.1597901999585</v>
      </c>
      <c r="EQ22" s="2017" t="n">
        <f aca="false">DateDE1b!CV24/DateDE1b!$B$5</f>
        <v>-3.06775128717731</v>
      </c>
      <c r="ER22" s="2023" t="n">
        <f aca="false">EP22+EQ22</f>
        <v>9.09203891278114</v>
      </c>
      <c r="ES22" s="2017" t="n">
        <f aca="false">ES23*DateDE1b!CX24/DateDE1b!CX25</f>
        <v>6.23002876318313</v>
      </c>
      <c r="ET22" s="2017" t="n">
        <v>0</v>
      </c>
      <c r="EU22" s="2017" t="n">
        <f aca="false">ER22-ES22-ET22+BP22</f>
        <v>4.93906372102659</v>
      </c>
      <c r="EV22" s="2024" t="n">
        <f aca="false">B22-DV22+EH22+DD22-CO22</f>
        <v>121.874673589226</v>
      </c>
      <c r="EW22" s="1478"/>
      <c r="EX22" s="1478"/>
      <c r="EY22" s="1478"/>
      <c r="EZ22" s="1478" t="n">
        <f aca="false">EV22+EI22</f>
        <v>125.705608358339</v>
      </c>
      <c r="FA22" s="1478"/>
      <c r="FB22" s="1478" t="n">
        <f aca="false">FB23*DateDE1b!DE24/DateDE1b!DE25</f>
        <v>10.2675</v>
      </c>
      <c r="FC22" s="1478"/>
      <c r="FD22" s="1997" t="n">
        <f aca="false">T22+E22+U22-V22+CR22-H22-EP22</f>
        <v>23.7197493460313</v>
      </c>
      <c r="FE22" s="1478"/>
      <c r="FF22" s="1997"/>
      <c r="FG22" s="1997" t="n">
        <f aca="false">CU22-EQ22</f>
        <v>2.59224983766483</v>
      </c>
      <c r="FH22" s="514" t="n">
        <f aca="false">FG22/FD22</f>
        <v>0.109286561162526</v>
      </c>
      <c r="FI22" s="1994" t="n">
        <f aca="false">FI23*DateDE1b!DE24/DateDE1b!DE25</f>
        <v>10.7475</v>
      </c>
      <c r="FJ22" s="1994" t="n">
        <f aca="false">FK22-FI22</f>
        <v>15.5644991836961</v>
      </c>
      <c r="FK22" s="2025" t="n">
        <f aca="false">FD22+FG22</f>
        <v>26.3119991836961</v>
      </c>
      <c r="FL22" s="1994"/>
      <c r="FM22" s="1994"/>
      <c r="FN22" s="1478"/>
      <c r="FO22" s="1995"/>
      <c r="FP22" s="1478"/>
      <c r="FQ22" s="1478"/>
      <c r="FR22" s="1997" t="n">
        <v>0</v>
      </c>
      <c r="FS22" s="1478"/>
      <c r="FT22" s="1478"/>
      <c r="FU22" s="1478"/>
      <c r="FV22" s="1478"/>
      <c r="FW22" s="2025"/>
      <c r="FX22" s="2026"/>
      <c r="FY22" s="2026"/>
      <c r="FZ22" s="2027"/>
      <c r="GA22" s="2015" t="n">
        <v>0</v>
      </c>
      <c r="GB22" s="402" t="n">
        <v>0.0251572327044025</v>
      </c>
      <c r="GC22" s="387" t="n">
        <v>0.0229368639747176</v>
      </c>
      <c r="GD22" s="387" t="n">
        <f aca="false">(G22/G21)/(1+GE22)-1</f>
        <v>0.0472612573317686</v>
      </c>
      <c r="GE22" s="387" t="n">
        <v>0.0461141567236374</v>
      </c>
      <c r="GF22" s="387" t="n">
        <v>0.034090909090909</v>
      </c>
      <c r="GG22" s="387"/>
      <c r="GH22" s="465" t="n">
        <v>56273.724</v>
      </c>
      <c r="GI22" s="465" t="n">
        <f aca="false">GJ22+GK22</f>
        <v>26420.825</v>
      </c>
      <c r="GJ22" s="465" t="n">
        <v>20667.184</v>
      </c>
      <c r="GK22" s="465" t="n">
        <v>5753.641</v>
      </c>
      <c r="GL22" s="25" t="n">
        <f aca="false">GL21+(GL$31-GL$21)/10</f>
        <v>0.2853</v>
      </c>
      <c r="GM22" s="25" t="n">
        <f aca="false">GK22/GI22</f>
        <v>0.217769165043105</v>
      </c>
      <c r="GN22" s="385" t="n">
        <v>56273.724</v>
      </c>
      <c r="GO22" s="1932" t="n">
        <f aca="false">CX22</f>
        <v>34.2392776094025</v>
      </c>
      <c r="GP22" s="1932"/>
      <c r="GQ22" s="1932"/>
      <c r="GR22" s="1932"/>
      <c r="GS22" s="1509"/>
      <c r="GT22" s="1932"/>
      <c r="GU22" s="1478"/>
      <c r="GV22" s="1509"/>
      <c r="GW22" s="1478"/>
      <c r="GX22" s="1932"/>
      <c r="GY22" s="1478"/>
      <c r="GZ22" s="24"/>
      <c r="HA22" s="1478"/>
      <c r="HB22" s="1478"/>
      <c r="HC22" s="1478"/>
      <c r="HD22" s="1478"/>
      <c r="HE22" s="1478"/>
      <c r="HF22" s="1478"/>
      <c r="HG22" s="1478"/>
      <c r="HH22" s="1478"/>
      <c r="HI22" s="1478"/>
      <c r="HJ22" s="1478"/>
      <c r="HK22" s="387"/>
    </row>
    <row r="23" customFormat="false" ht="12" hidden="false" customHeight="false" outlineLevel="0" collapsed="false">
      <c r="A23" s="31" t="n">
        <f aca="false">A22+1</f>
        <v>1962</v>
      </c>
      <c r="B23" s="1994" t="n">
        <f aca="false">E23+F23</f>
        <v>173.972243457862</v>
      </c>
      <c r="C23" s="432" t="n">
        <f aca="false">B23+CR23</f>
        <v>171.866997081051</v>
      </c>
      <c r="D23" s="1995" t="n">
        <f aca="false">B23-I23</f>
        <v>151.188720745296</v>
      </c>
      <c r="E23" s="1996" t="n">
        <f aca="false">CH23</f>
        <v>0.0202271949272425</v>
      </c>
      <c r="F23" s="395" t="n">
        <f aca="false">W23+BM23+J23</f>
        <v>173.952016262935</v>
      </c>
      <c r="G23" s="1478" t="n">
        <f aca="false">J23+X23+BN23</f>
        <v>192.454553425047</v>
      </c>
      <c r="H23" s="1997" t="n">
        <f aca="false">AA23+BP23</f>
        <v>18.5025371621124</v>
      </c>
      <c r="I23" s="1998" t="n">
        <f aca="false">I24*DateDE1b!K25/DateDE1b!K26</f>
        <v>22.7835227125663</v>
      </c>
      <c r="J23" s="395" t="n">
        <f aca="false">I23-CO23</f>
        <v>22.7835227125663</v>
      </c>
      <c r="K23" s="1478"/>
      <c r="L23" s="1478"/>
      <c r="M23" s="1478"/>
      <c r="N23" s="1478"/>
      <c r="O23" s="1478"/>
      <c r="P23" s="1478"/>
      <c r="Q23" s="1999"/>
      <c r="R23" s="1997" t="n">
        <f aca="false">R24*DateDE1b!L25/DateDE1b!L26</f>
        <v>108.371858750169</v>
      </c>
      <c r="S23" s="1997" t="n">
        <f aca="false">S24*DateDE1b!M25/DateDE1b!M26</f>
        <v>27.3602535925613</v>
      </c>
      <c r="T23" s="1997" t="n">
        <f aca="false">T24*DateDE1b!N25/DateDE1b!N26</f>
        <v>54.283837852349</v>
      </c>
      <c r="U23" s="1997" t="n">
        <f aca="false">U24*DateDE1b!Q25/DateDE1b!Q26</f>
        <v>33.7794363636364</v>
      </c>
      <c r="V23" s="1997" t="n">
        <f aca="false">V24*DateDE1b!R25/DateDE1b!R26</f>
        <v>31.1718913901137</v>
      </c>
      <c r="W23" s="2000" t="n">
        <f aca="false">W24*DateDE1b!U25/DateDE1b!U26</f>
        <v>138.070909090909</v>
      </c>
      <c r="X23" s="1997" t="n">
        <f aca="false">W23+AA23</f>
        <v>154.238773633974</v>
      </c>
      <c r="Y23" s="1997" t="n">
        <f aca="false">Y24*DateDE1b!W25/DateDE1b!W26</f>
        <v>78.6600603152388</v>
      </c>
      <c r="Z23" s="1997" t="n">
        <f aca="false">W23-Y23</f>
        <v>59.4108487756703</v>
      </c>
      <c r="AA23" s="1997" t="n">
        <f aca="false">AA24*DateDE1b!Y25/DateDE1b!Y26</f>
        <v>16.1678645430648</v>
      </c>
      <c r="AB23" s="1319" t="n">
        <f aca="false">AA23/X23</f>
        <v>0.104823606685521</v>
      </c>
      <c r="AC23" s="514"/>
      <c r="AD23" s="1997"/>
      <c r="AE23" s="1997"/>
      <c r="AF23" s="1997"/>
      <c r="AG23" s="1997"/>
      <c r="AH23" s="1997"/>
      <c r="AI23" s="2001"/>
      <c r="AJ23" s="2002"/>
      <c r="AK23" s="1478"/>
      <c r="AL23" s="1478"/>
      <c r="AM23" s="821"/>
      <c r="AN23" s="2003"/>
      <c r="AO23" s="2001"/>
      <c r="AP23" s="2004"/>
      <c r="AQ23" s="2004"/>
      <c r="AR23" s="1478"/>
      <c r="AS23" s="1478"/>
      <c r="AT23" s="1478"/>
      <c r="AU23" s="2005"/>
      <c r="AV23" s="2001"/>
      <c r="AW23" s="2004"/>
      <c r="AX23" s="2004"/>
      <c r="AY23" s="1932"/>
      <c r="AZ23" s="1478"/>
      <c r="BA23" s="1478"/>
      <c r="BB23" s="821"/>
      <c r="BC23" s="1478"/>
      <c r="BD23" s="1478"/>
      <c r="BE23" s="1509"/>
      <c r="BF23" s="1478"/>
      <c r="BG23" s="1478"/>
      <c r="BH23" s="1478"/>
      <c r="BI23" s="1478"/>
      <c r="BJ23" s="1509"/>
      <c r="BK23" s="1478"/>
      <c r="BL23" s="2003"/>
      <c r="BM23" s="2001" t="n">
        <f aca="false">BM24*DateDE1b!AM25/DateDE1b!AM26</f>
        <v>13.0975844594595</v>
      </c>
      <c r="BN23" s="2004" t="n">
        <f aca="false">BO23+BP23</f>
        <v>15.4322570785071</v>
      </c>
      <c r="BO23" s="1478" t="n">
        <f aca="false">BO24*DateDE1b!AO25/DateDE1b!AO26</f>
        <v>13.0975844594595</v>
      </c>
      <c r="BP23" s="1997" t="n">
        <f aca="false">BP24*DateDE1b!AP25/DateDE1b!AP26</f>
        <v>2.33467261904762</v>
      </c>
      <c r="BQ23" s="2005" t="n">
        <f aca="false">BP23/BN23</f>
        <v>0.151285233726386</v>
      </c>
      <c r="BR23" s="1509"/>
      <c r="BS23" s="1509"/>
      <c r="BT23" s="1509"/>
      <c r="BU23" s="1509"/>
      <c r="BV23" s="1509"/>
      <c r="BW23" s="1509"/>
      <c r="BX23" s="1478"/>
      <c r="BY23" s="1478"/>
      <c r="BZ23" s="1478"/>
      <c r="CA23" s="1509"/>
      <c r="CB23" s="1509"/>
      <c r="CC23" s="1478"/>
      <c r="CD23" s="1478"/>
      <c r="CE23" s="1478"/>
      <c r="CF23" s="1478"/>
      <c r="CG23" s="1509"/>
      <c r="CH23" s="1482" t="n">
        <f aca="false">CI23+CL23+CO23</f>
        <v>0.0202271949272425</v>
      </c>
      <c r="CI23" s="1479" t="n">
        <f aca="false">CJ23-CK23</f>
        <v>-0.661793353017963</v>
      </c>
      <c r="CJ23" s="1478" t="n">
        <f aca="false">CJ24*DateDE1b!BC25/DateDE1b!BC26</f>
        <v>0.853385012919896</v>
      </c>
      <c r="CK23" s="1478" t="n">
        <f aca="false">CK24*DateDE1b!BD25/DateDE1b!BD26</f>
        <v>1.51517836593786</v>
      </c>
      <c r="CL23" s="1479" t="n">
        <f aca="false">CM23-CN23</f>
        <v>0.682020547945206</v>
      </c>
      <c r="CM23" s="1478" t="n">
        <f aca="false">CM24*DateDE1b!BF25/DateDE1b!BF26</f>
        <v>0.861187214611872</v>
      </c>
      <c r="CN23" s="1478" t="n">
        <f aca="false">CN24*DateDE1b!BG25/DateDE1b!BG26</f>
        <v>0.179166666666667</v>
      </c>
      <c r="CO23" s="384" t="n">
        <v>0</v>
      </c>
      <c r="CP23" s="1997"/>
      <c r="CQ23" s="1997"/>
      <c r="CR23" s="1478" t="n">
        <f aca="false">CR24*DateDE1b!BK25/DateDE1b!BK26</f>
        <v>-2.10524637681159</v>
      </c>
      <c r="CS23" s="1478"/>
      <c r="CT23" s="1478"/>
      <c r="CU23" s="1478" t="n">
        <f aca="false">DateDE1b!BN25/DateDE1b!$B$5</f>
        <v>-0.547082312879954</v>
      </c>
      <c r="CV23" s="1478"/>
      <c r="CW23" s="1478"/>
      <c r="CX23" s="1998" t="n">
        <f aca="false">D23+DD23-DF23</f>
        <v>35.7339335294749</v>
      </c>
      <c r="CY23" s="2007" t="n">
        <f aca="false">CX23-DC23-DD23</f>
        <v>37.6330532349877</v>
      </c>
      <c r="CZ23" s="1509"/>
      <c r="DA23" s="2008"/>
      <c r="DB23" s="2009"/>
      <c r="DC23" s="2017" t="n">
        <f aca="false">CI23</f>
        <v>-0.661793353017963</v>
      </c>
      <c r="DD23" s="1478" t="n">
        <f aca="false">DateDE1b!BV25/DateDE1b!$B$5</f>
        <v>-1.23732635249485</v>
      </c>
      <c r="DE23" s="1478"/>
      <c r="DF23" s="2007" t="n">
        <f aca="false">DI23+DL23+DM23+DU23</f>
        <v>114.217460863326</v>
      </c>
      <c r="DG23" s="2010" t="n">
        <f aca="false">DG24*DateDE1b!BZ25/DateDE1b!BZ26</f>
        <v>92.42750804126</v>
      </c>
      <c r="DH23" s="2010" t="n">
        <f aca="false">DG23-DU23</f>
        <v>91.7454874933148</v>
      </c>
      <c r="DI23" s="2011" t="n">
        <f aca="false">Y23</f>
        <v>78.6600603152388</v>
      </c>
      <c r="DJ23" s="2012"/>
      <c r="DK23" s="2012"/>
      <c r="DL23" s="1509" t="n">
        <f aca="false">BM23</f>
        <v>13.0975844594595</v>
      </c>
      <c r="DM23" s="2009" t="n">
        <f aca="false">GK23*DN23*DH23/GJ23</f>
        <v>21.7777955406826</v>
      </c>
      <c r="DN23" s="2013" t="n">
        <f aca="false">DN24</f>
        <v>0.895905244977209</v>
      </c>
      <c r="DO23" s="2009"/>
      <c r="DP23" s="2009" t="n">
        <f aca="false">GK23*DH23/GJ23</f>
        <v>24.308146048678</v>
      </c>
      <c r="DQ23" s="2009" t="n">
        <f aca="false">2/3*DP23</f>
        <v>16.2054306991186</v>
      </c>
      <c r="DR23" s="2009"/>
      <c r="DS23" s="2009"/>
      <c r="DT23" s="2014"/>
      <c r="DU23" s="2015" t="n">
        <f aca="false">CL23</f>
        <v>0.682020547945206</v>
      </c>
      <c r="DV23" s="2007" t="n">
        <f aca="false">DV24*DateDE1b!CE25/DateDE1b!CE26</f>
        <v>60.6234554146579</v>
      </c>
      <c r="DW23" s="1509" t="n">
        <f aca="false">I23</f>
        <v>22.7835227125663</v>
      </c>
      <c r="DX23" s="2017"/>
      <c r="DY23" s="2017"/>
      <c r="DZ23" s="2018"/>
      <c r="EA23" s="2018"/>
      <c r="EB23" s="1478" t="n">
        <f aca="false">EB24*DateDE1b!CL25/DateDE1b!CL26</f>
        <v>19.0959029903461</v>
      </c>
      <c r="EC23" s="2018"/>
      <c r="ED23" s="2018"/>
      <c r="EE23" s="1478"/>
      <c r="EF23" s="2017"/>
      <c r="EG23" s="2019" t="n">
        <f aca="false">EG24*DateDE1b!CQ25/DateDE1b!CQ26</f>
        <v>23.1177854710556</v>
      </c>
      <c r="EH23" s="2020" t="n">
        <f aca="false">EG23-EI23</f>
        <v>18.9473658484847</v>
      </c>
      <c r="EI23" s="2020" t="n">
        <f aca="false">EG23*EI$41/EG$41</f>
        <v>4.17041962257093</v>
      </c>
      <c r="EJ23" s="2021"/>
      <c r="EK23" s="2022"/>
      <c r="EL23" s="2017"/>
      <c r="EM23" s="2017"/>
      <c r="EN23" s="2017"/>
      <c r="EO23" s="2017" t="n">
        <f aca="false">EO24*DateDE1b!CT25/DateDE1b!CT26</f>
        <v>39.5902446224294</v>
      </c>
      <c r="EP23" s="2017" t="n">
        <f aca="false">EO23-S23</f>
        <v>12.2299910298681</v>
      </c>
      <c r="EQ23" s="2017" t="n">
        <f aca="false">DateDE1b!CV25/DateDE1b!$B$5</f>
        <v>-3.95228624164677</v>
      </c>
      <c r="ER23" s="2023" t="n">
        <f aca="false">EP23+EQ23</f>
        <v>8.27770478822133</v>
      </c>
      <c r="ES23" s="2017" t="n">
        <f aca="false">ES24*DateDE1b!CX25/DateDE1b!CX26</f>
        <v>7.77664429530201</v>
      </c>
      <c r="ET23" s="2017" t="n">
        <v>0</v>
      </c>
      <c r="EU23" s="2017" t="n">
        <f aca="false">ER23-ES23-ET23+BP23</f>
        <v>2.83573311196693</v>
      </c>
      <c r="EV23" s="2024" t="n">
        <f aca="false">B23-DV23+EH23+DD23-CO23</f>
        <v>131.058827539194</v>
      </c>
      <c r="EW23" s="1478"/>
      <c r="EX23" s="1478"/>
      <c r="EY23" s="1478"/>
      <c r="EZ23" s="1478" t="n">
        <f aca="false">EV23+EI23</f>
        <v>135.229247161765</v>
      </c>
      <c r="FA23" s="1478"/>
      <c r="FB23" s="1478" t="n">
        <f aca="false">FB24*DateDE1b!DE25/DateDE1b!DE26</f>
        <v>10.6147101449275</v>
      </c>
      <c r="FC23" s="1478"/>
      <c r="FD23" s="1997" t="n">
        <f aca="false">T23+E23+U23-V23+CR23-H23-EP23</f>
        <v>24.0738354520068</v>
      </c>
      <c r="FE23" s="1478"/>
      <c r="FF23" s="1997"/>
      <c r="FG23" s="1997" t="n">
        <f aca="false">CU23-EQ23</f>
        <v>3.40520392876682</v>
      </c>
      <c r="FH23" s="514" t="n">
        <f aca="false">FG23/FD23</f>
        <v>0.141448334460679</v>
      </c>
      <c r="FI23" s="1994" t="n">
        <f aca="false">FI24*DateDE1b!DE25/DateDE1b!DE26</f>
        <v>11.1109420289855</v>
      </c>
      <c r="FJ23" s="1994" t="n">
        <f aca="false">FK23-FI23</f>
        <v>16.3680973517881</v>
      </c>
      <c r="FK23" s="2025" t="n">
        <f aca="false">FD23+FG23</f>
        <v>27.4790393807736</v>
      </c>
      <c r="FL23" s="1994"/>
      <c r="FM23" s="1994"/>
      <c r="FN23" s="1478"/>
      <c r="FO23" s="1995"/>
      <c r="FP23" s="1478"/>
      <c r="FQ23" s="1478"/>
      <c r="FR23" s="1997" t="n">
        <v>0</v>
      </c>
      <c r="FS23" s="1478"/>
      <c r="FT23" s="1478"/>
      <c r="FU23" s="1478"/>
      <c r="FV23" s="1478"/>
      <c r="FW23" s="2025"/>
      <c r="FX23" s="2026"/>
      <c r="FY23" s="2026"/>
      <c r="FZ23" s="2027"/>
      <c r="GA23" s="2015" t="n">
        <v>0</v>
      </c>
      <c r="GB23" s="402" t="n">
        <v>0.0276073619631902</v>
      </c>
      <c r="GC23" s="387" t="n">
        <v>0.028432716547879</v>
      </c>
      <c r="GD23" s="387" t="n">
        <f aca="false">(G23/G22)/(1+GE23)-1</f>
        <v>0.0396226971421187</v>
      </c>
      <c r="GE23" s="387" t="n">
        <v>0.0465474722564736</v>
      </c>
      <c r="GF23" s="387" t="n">
        <v>0.0274725274725274</v>
      </c>
      <c r="GG23" s="387"/>
      <c r="GH23" s="465" t="n">
        <v>56918.197</v>
      </c>
      <c r="GI23" s="465" t="n">
        <f aca="false">GJ23+GK23</f>
        <v>26518.01</v>
      </c>
      <c r="GJ23" s="465" t="n">
        <v>20963.65</v>
      </c>
      <c r="GK23" s="465" t="n">
        <v>5554.36</v>
      </c>
      <c r="GL23" s="25" t="n">
        <f aca="false">GL22+(GL$31-GL$21)/10</f>
        <v>0.2866</v>
      </c>
      <c r="GM23" s="25" t="n">
        <f aca="false">GK23/GI23</f>
        <v>0.209456139431277</v>
      </c>
      <c r="GN23" s="385" t="n">
        <v>56918.197</v>
      </c>
      <c r="GO23" s="1932" t="n">
        <f aca="false">CX23</f>
        <v>35.7339335294749</v>
      </c>
      <c r="GP23" s="1932"/>
      <c r="GQ23" s="1932"/>
      <c r="GR23" s="1932"/>
      <c r="GS23" s="1509"/>
      <c r="GT23" s="1932"/>
      <c r="GU23" s="1478"/>
      <c r="GV23" s="1509"/>
      <c r="GW23" s="1478"/>
      <c r="GX23" s="1932"/>
      <c r="GY23" s="1478"/>
      <c r="GZ23" s="24"/>
      <c r="HA23" s="1478"/>
      <c r="HB23" s="1478"/>
      <c r="HC23" s="1478"/>
      <c r="HD23" s="1478"/>
      <c r="HE23" s="1478"/>
      <c r="HF23" s="1478"/>
      <c r="HG23" s="1478"/>
      <c r="HH23" s="1478"/>
      <c r="HI23" s="1478"/>
      <c r="HJ23" s="1478"/>
      <c r="HK23" s="387"/>
    </row>
    <row r="24" customFormat="false" ht="12" hidden="false" customHeight="false" outlineLevel="0" collapsed="false">
      <c r="A24" s="31" t="n">
        <f aca="false">A23+1</f>
        <v>1963</v>
      </c>
      <c r="B24" s="1994" t="n">
        <f aca="false">E24+F24</f>
        <v>183.375176190734</v>
      </c>
      <c r="C24" s="432" t="n">
        <f aca="false">B24+CR24</f>
        <v>181.135156867063</v>
      </c>
      <c r="D24" s="1995" t="n">
        <f aca="false">B24-I24</f>
        <v>159.552964465615</v>
      </c>
      <c r="E24" s="1996" t="n">
        <f aca="false">CH24</f>
        <v>0.0260526306701112</v>
      </c>
      <c r="F24" s="395" t="n">
        <f aca="false">W24+BM24+J24</f>
        <v>183.349123560064</v>
      </c>
      <c r="G24" s="1478" t="n">
        <f aca="false">J24+X24+BN24</f>
        <v>204.074428432052</v>
      </c>
      <c r="H24" s="1997" t="n">
        <f aca="false">AA24+BP24</f>
        <v>20.7253048719875</v>
      </c>
      <c r="I24" s="1998" t="n">
        <f aca="false">I25*DateDE1b!K26/DateDE1b!K27</f>
        <v>23.8222117251197</v>
      </c>
      <c r="J24" s="395" t="n">
        <f aca="false">I24-CO24</f>
        <v>23.8222117251197</v>
      </c>
      <c r="K24" s="1478"/>
      <c r="L24" s="1478"/>
      <c r="M24" s="1478"/>
      <c r="N24" s="1478"/>
      <c r="O24" s="1478"/>
      <c r="P24" s="1478"/>
      <c r="Q24" s="1999"/>
      <c r="R24" s="1997" t="n">
        <f aca="false">R25*DateDE1b!L26/DateDE1b!L27</f>
        <v>114.722082418327</v>
      </c>
      <c r="S24" s="1997" t="n">
        <f aca="false">S25*DateDE1b!M26/DateDE1b!M27</f>
        <v>30.7576275007044</v>
      </c>
      <c r="T24" s="1997" t="n">
        <f aca="false">T25*DateDE1b!N26/DateDE1b!N27</f>
        <v>55.236475704698</v>
      </c>
      <c r="U24" s="1997" t="n">
        <f aca="false">U25*DateDE1b!Q26/DateDE1b!Q27</f>
        <v>36.7929545454545</v>
      </c>
      <c r="V24" s="1997" t="n">
        <f aca="false">V25*DateDE1b!R26/DateDE1b!R27</f>
        <v>33.4743606405199</v>
      </c>
      <c r="W24" s="2000" t="n">
        <f aca="false">W25*DateDE1b!U26/DateDE1b!U27</f>
        <v>145.00133751062</v>
      </c>
      <c r="X24" s="1997" t="n">
        <f aca="false">W24+AA24</f>
        <v>163.118249525465</v>
      </c>
      <c r="Y24" s="1997" t="n">
        <f aca="false">Y25*DateDE1b!W26/DateDE1b!W27</f>
        <v>83.1409890366224</v>
      </c>
      <c r="Z24" s="1997" t="n">
        <f aca="false">W24-Y24</f>
        <v>61.8603484739979</v>
      </c>
      <c r="AA24" s="1997" t="n">
        <f aca="false">AA25*DateDE1b!Y26/DateDE1b!Y27</f>
        <v>18.1169120148446</v>
      </c>
      <c r="AB24" s="1319" t="n">
        <f aca="false">AA24/X24</f>
        <v>0.111066125755698</v>
      </c>
      <c r="AC24" s="514"/>
      <c r="AD24" s="1997"/>
      <c r="AE24" s="1997"/>
      <c r="AF24" s="1997"/>
      <c r="AG24" s="1997"/>
      <c r="AH24" s="1997"/>
      <c r="AI24" s="2001"/>
      <c r="AJ24" s="2002"/>
      <c r="AK24" s="1478"/>
      <c r="AL24" s="1478"/>
      <c r="AM24" s="821"/>
      <c r="AN24" s="2003"/>
      <c r="AO24" s="2001"/>
      <c r="AP24" s="2004"/>
      <c r="AQ24" s="2004"/>
      <c r="AR24" s="1478"/>
      <c r="AS24" s="1478"/>
      <c r="AT24" s="1478"/>
      <c r="AU24" s="2005"/>
      <c r="AV24" s="2001"/>
      <c r="AW24" s="2004"/>
      <c r="AX24" s="2004"/>
      <c r="AY24" s="1932"/>
      <c r="AZ24" s="1478"/>
      <c r="BA24" s="1478"/>
      <c r="BB24" s="821"/>
      <c r="BC24" s="1478"/>
      <c r="BD24" s="1478"/>
      <c r="BE24" s="1509"/>
      <c r="BF24" s="1478"/>
      <c r="BG24" s="1478"/>
      <c r="BH24" s="1478"/>
      <c r="BI24" s="1478"/>
      <c r="BJ24" s="1509"/>
      <c r="BK24" s="1478"/>
      <c r="BL24" s="2003"/>
      <c r="BM24" s="2001" t="n">
        <f aca="false">BM25*DateDE1b!AM26/DateDE1b!AM27</f>
        <v>14.5255743243243</v>
      </c>
      <c r="BN24" s="2004" t="n">
        <f aca="false">BO24+BP24</f>
        <v>17.1339671814672</v>
      </c>
      <c r="BO24" s="1478" t="n">
        <f aca="false">BO25*DateDE1b!AO26/DateDE1b!AO27</f>
        <v>14.5255743243243</v>
      </c>
      <c r="BP24" s="1997" t="n">
        <f aca="false">BP25*DateDE1b!AP26/DateDE1b!AP27</f>
        <v>2.60839285714286</v>
      </c>
      <c r="BQ24" s="2005" t="n">
        <f aca="false">BP24/BN24</f>
        <v>0.152235196292672</v>
      </c>
      <c r="BR24" s="1509"/>
      <c r="BS24" s="1509"/>
      <c r="BT24" s="1509"/>
      <c r="BU24" s="1509"/>
      <c r="BV24" s="1509"/>
      <c r="BW24" s="1509"/>
      <c r="BX24" s="1478"/>
      <c r="BY24" s="1478"/>
      <c r="BZ24" s="1478"/>
      <c r="CA24" s="1509"/>
      <c r="CB24" s="1509"/>
      <c r="CC24" s="1478"/>
      <c r="CD24" s="1478"/>
      <c r="CE24" s="1478"/>
      <c r="CF24" s="1478"/>
      <c r="CG24" s="1509"/>
      <c r="CH24" s="1482" t="n">
        <f aca="false">CI24+CL24+CO24</f>
        <v>0.0260526306701112</v>
      </c>
      <c r="CI24" s="1479" t="n">
        <f aca="false">CJ24-CK24</f>
        <v>-0.656760480875877</v>
      </c>
      <c r="CJ24" s="1478" t="n">
        <f aca="false">CJ25*DateDE1b!BC26/DateDE1b!BC27</f>
        <v>0.9056330749354</v>
      </c>
      <c r="CK24" s="1478" t="n">
        <f aca="false">CK25*DateDE1b!BD26/DateDE1b!BD27</f>
        <v>1.56239355581128</v>
      </c>
      <c r="CL24" s="1479" t="n">
        <f aca="false">CM24-CN24</f>
        <v>0.682813111545988</v>
      </c>
      <c r="CM24" s="1478" t="n">
        <f aca="false">CM25*DateDE1b!BF26/DateDE1b!BF27</f>
        <v>0.892694063926941</v>
      </c>
      <c r="CN24" s="1478" t="n">
        <f aca="false">CN25*DateDE1b!BG26/DateDE1b!BG27</f>
        <v>0.209880952380952</v>
      </c>
      <c r="CO24" s="384" t="n">
        <v>0</v>
      </c>
      <c r="CP24" s="1997"/>
      <c r="CQ24" s="1997"/>
      <c r="CR24" s="1478" t="n">
        <f aca="false">CR25*DateDE1b!BK26/DateDE1b!BK27</f>
        <v>-2.2400193236715</v>
      </c>
      <c r="CS24" s="1478"/>
      <c r="CT24" s="1478"/>
      <c r="CU24" s="1478" t="n">
        <f aca="false">DateDE1b!BN26/DateDE1b!$B$5</f>
        <v>-0.317000966341656</v>
      </c>
      <c r="CV24" s="1478"/>
      <c r="CW24" s="1478"/>
      <c r="CX24" s="1998" t="n">
        <f aca="false">D24+DD24-DF24</f>
        <v>37.6587626611575</v>
      </c>
      <c r="CY24" s="2007" t="n">
        <f aca="false">CX24-DC24-DD24</f>
        <v>39.6499949519555</v>
      </c>
      <c r="CZ24" s="1509"/>
      <c r="DA24" s="2008"/>
      <c r="DB24" s="2009"/>
      <c r="DC24" s="2017" t="n">
        <f aca="false">CI24</f>
        <v>-0.656760480875877</v>
      </c>
      <c r="DD24" s="1478" t="n">
        <f aca="false">DateDE1b!BV26/DateDE1b!$B$5</f>
        <v>-1.33447180992213</v>
      </c>
      <c r="DE24" s="1478"/>
      <c r="DF24" s="2007" t="n">
        <f aca="false">DI24+DL24+DM24+DU24</f>
        <v>120.559729994535</v>
      </c>
      <c r="DG24" s="2010" t="n">
        <f aca="false">DG25*DateDE1b!BZ26/DateDE1b!BZ27</f>
        <v>98.338599434339</v>
      </c>
      <c r="DH24" s="2010" t="n">
        <f aca="false">DG24-DU24</f>
        <v>97.655786322793</v>
      </c>
      <c r="DI24" s="2011" t="n">
        <f aca="false">Y24</f>
        <v>83.1409890366224</v>
      </c>
      <c r="DJ24" s="2012"/>
      <c r="DK24" s="2012"/>
      <c r="DL24" s="1509" t="n">
        <f aca="false">BM24</f>
        <v>14.5255743243243</v>
      </c>
      <c r="DM24" s="2009" t="n">
        <f aca="false">GK24*DN24*DH24/GJ24</f>
        <v>22.2103535220424</v>
      </c>
      <c r="DN24" s="2013" t="n">
        <f aca="false">DN25</f>
        <v>0.895905244977209</v>
      </c>
      <c r="DO24" s="2009"/>
      <c r="DP24" s="2009" t="n">
        <f aca="false">GK24*DH24/GJ24</f>
        <v>24.7909627123652</v>
      </c>
      <c r="DQ24" s="2009" t="n">
        <f aca="false">2/3*DP24</f>
        <v>16.5273084749102</v>
      </c>
      <c r="DR24" s="2009"/>
      <c r="DS24" s="2009"/>
      <c r="DT24" s="2014"/>
      <c r="DU24" s="2015" t="n">
        <f aca="false">CL24</f>
        <v>0.682813111545988</v>
      </c>
      <c r="DV24" s="2007" t="n">
        <f aca="false">DV25*DateDE1b!CE26/DateDE1b!CE27</f>
        <v>64.6743203824495</v>
      </c>
      <c r="DW24" s="1509" t="n">
        <f aca="false">I24</f>
        <v>23.8222117251197</v>
      </c>
      <c r="DX24" s="2017"/>
      <c r="DY24" s="2017"/>
      <c r="DZ24" s="2018"/>
      <c r="EA24" s="2018"/>
      <c r="EB24" s="1478" t="n">
        <f aca="false">EB25*DateDE1b!CL26/DateDE1b!CL27</f>
        <v>20.6187661878973</v>
      </c>
      <c r="EC24" s="2018"/>
      <c r="ED24" s="2018"/>
      <c r="EE24" s="1478"/>
      <c r="EF24" s="2017"/>
      <c r="EG24" s="2019" t="n">
        <f aca="false">EG25*DateDE1b!CQ26/DateDE1b!CQ27</f>
        <v>24.7395493757094</v>
      </c>
      <c r="EH24" s="2020" t="n">
        <f aca="false">EG24-EI24</f>
        <v>20.276565570483</v>
      </c>
      <c r="EI24" s="2020" t="n">
        <f aca="false">EG24*EI$41/EG$41</f>
        <v>4.46298380522647</v>
      </c>
      <c r="EJ24" s="2021"/>
      <c r="EK24" s="2022"/>
      <c r="EL24" s="2017"/>
      <c r="EM24" s="2017"/>
      <c r="EN24" s="2017"/>
      <c r="EO24" s="2017" t="n">
        <f aca="false">EO25*DateDE1b!CT26/DateDE1b!CT27</f>
        <v>42.0526752533589</v>
      </c>
      <c r="EP24" s="2017" t="n">
        <f aca="false">EO24-S24</f>
        <v>11.2950477526545</v>
      </c>
      <c r="EQ24" s="2017" t="n">
        <f aca="false">DateDE1b!CV26/DateDE1b!$B$5</f>
        <v>-2.64337902578445</v>
      </c>
      <c r="ER24" s="2023" t="n">
        <f aca="false">EP24+EQ24</f>
        <v>8.65166872687004</v>
      </c>
      <c r="ES24" s="2017" t="n">
        <f aca="false">ES25*DateDE1b!CX26/DateDE1b!CX27</f>
        <v>9.31781399808246</v>
      </c>
      <c r="ET24" s="2017" t="n">
        <v>0</v>
      </c>
      <c r="EU24" s="2017" t="n">
        <f aca="false">ER24-ES24-ET24+BP24</f>
        <v>1.94224758593044</v>
      </c>
      <c r="EV24" s="2024" t="n">
        <f aca="false">B24-DV24+EH24+DD24-CO24</f>
        <v>137.642949568846</v>
      </c>
      <c r="EW24" s="1478"/>
      <c r="EX24" s="1478"/>
      <c r="EY24" s="1478"/>
      <c r="EZ24" s="1478" t="n">
        <f aca="false">EV24+EI24</f>
        <v>142.105933374072</v>
      </c>
      <c r="FA24" s="1478"/>
      <c r="FB24" s="1478" t="n">
        <f aca="false">FB25*DateDE1b!DE26/DateDE1b!DE27</f>
        <v>12.8467753623188</v>
      </c>
      <c r="FC24" s="1478"/>
      <c r="FD24" s="1997" t="n">
        <f aca="false">T24+E24+U24-V24+CR24-H24-EP24</f>
        <v>24.3207502919894</v>
      </c>
      <c r="FE24" s="1478"/>
      <c r="FF24" s="1997"/>
      <c r="FG24" s="1997" t="n">
        <f aca="false">CU24-EQ24</f>
        <v>2.32637805944279</v>
      </c>
      <c r="FH24" s="514" t="n">
        <f aca="false">FG24/FD24</f>
        <v>0.0956540415699694</v>
      </c>
      <c r="FI24" s="1994" t="n">
        <f aca="false">FI25*DateDE1b!DE26/DateDE1b!DE27</f>
        <v>13.4473550724638</v>
      </c>
      <c r="FJ24" s="1994" t="n">
        <f aca="false">FK24-FI24</f>
        <v>13.1997732789684</v>
      </c>
      <c r="FK24" s="2025" t="n">
        <f aca="false">FD24+FG24</f>
        <v>26.6471283514321</v>
      </c>
      <c r="FL24" s="1994"/>
      <c r="FM24" s="1994"/>
      <c r="FN24" s="1478"/>
      <c r="FO24" s="1995"/>
      <c r="FP24" s="1478"/>
      <c r="FQ24" s="1478"/>
      <c r="FR24" s="1997" t="n">
        <v>0</v>
      </c>
      <c r="FS24" s="1478"/>
      <c r="FT24" s="1478"/>
      <c r="FU24" s="1478"/>
      <c r="FV24" s="1478"/>
      <c r="FW24" s="2025"/>
      <c r="FX24" s="2026"/>
      <c r="FY24" s="2026"/>
      <c r="FZ24" s="2027"/>
      <c r="GA24" s="2015" t="n">
        <v>0</v>
      </c>
      <c r="GB24" s="402" t="n">
        <v>0.0303030303030303</v>
      </c>
      <c r="GC24" s="387" t="n">
        <v>0.0296692943486414</v>
      </c>
      <c r="GD24" s="387" t="n">
        <f aca="false">(G24/G23)/(1+GE24)-1</f>
        <v>0.031217626506866</v>
      </c>
      <c r="GE24" s="387" t="n">
        <v>0.0282768777614137</v>
      </c>
      <c r="GF24" s="387" t="n">
        <v>0.0320855614973263</v>
      </c>
      <c r="GG24" s="387"/>
      <c r="GH24" s="465" t="n">
        <v>57555.8775</v>
      </c>
      <c r="GI24" s="465" t="n">
        <f aca="false">GJ24+GK24</f>
        <v>26585.397</v>
      </c>
      <c r="GJ24" s="465" t="n">
        <v>21202.832</v>
      </c>
      <c r="GK24" s="465" t="n">
        <v>5382.565</v>
      </c>
      <c r="GL24" s="25" t="n">
        <f aca="false">GL23+(GL$31-GL$21)/10</f>
        <v>0.2879</v>
      </c>
      <c r="GM24" s="25" t="n">
        <f aca="false">GK24/GI24</f>
        <v>0.202463216930708</v>
      </c>
      <c r="GN24" s="385" t="n">
        <v>57555.8775</v>
      </c>
      <c r="GO24" s="1932" t="n">
        <f aca="false">CX24</f>
        <v>37.6587626611575</v>
      </c>
      <c r="GP24" s="1932"/>
      <c r="GQ24" s="1932"/>
      <c r="GR24" s="1932"/>
      <c r="GS24" s="1509"/>
      <c r="GT24" s="1932"/>
      <c r="GU24" s="1478"/>
      <c r="GV24" s="1509"/>
      <c r="GW24" s="1478"/>
      <c r="GX24" s="1932"/>
      <c r="GY24" s="1478"/>
      <c r="GZ24" s="24"/>
      <c r="HA24" s="1478"/>
      <c r="HB24" s="1478"/>
      <c r="HC24" s="1478"/>
      <c r="HD24" s="1478"/>
      <c r="HE24" s="1478"/>
      <c r="HF24" s="1478"/>
      <c r="HG24" s="1478"/>
      <c r="HH24" s="1478"/>
      <c r="HI24" s="1478"/>
      <c r="HJ24" s="1478"/>
      <c r="HK24" s="387"/>
    </row>
    <row r="25" customFormat="false" ht="12" hidden="false" customHeight="false" outlineLevel="0" collapsed="false">
      <c r="A25" s="31" t="n">
        <f aca="false">A24+1</f>
        <v>1964</v>
      </c>
      <c r="B25" s="1994" t="n">
        <f aca="false">E25+F25</f>
        <v>201.143744286343</v>
      </c>
      <c r="C25" s="432" t="n">
        <f aca="false">B25+CR25</f>
        <v>198.727125928855</v>
      </c>
      <c r="D25" s="1995" t="n">
        <f aca="false">B25-I25</f>
        <v>175.350438993215</v>
      </c>
      <c r="E25" s="1996" t="n">
        <f aca="false">CH25</f>
        <v>-0.109784413177677</v>
      </c>
      <c r="F25" s="395" t="n">
        <f aca="false">W25+BM25+J25</f>
        <v>201.253528699521</v>
      </c>
      <c r="G25" s="1478" t="n">
        <f aca="false">J25+X25+BN25</f>
        <v>224.326284503714</v>
      </c>
      <c r="H25" s="1997" t="n">
        <f aca="false">AA25+BP25</f>
        <v>23.0727558041927</v>
      </c>
      <c r="I25" s="1998" t="n">
        <f aca="false">I26*DateDE1b!K27/DateDE1b!K28</f>
        <v>25.793305293128</v>
      </c>
      <c r="J25" s="395" t="n">
        <f aca="false">I25-CO25</f>
        <v>25.793305293128</v>
      </c>
      <c r="K25" s="1478"/>
      <c r="L25" s="1478"/>
      <c r="M25" s="1478"/>
      <c r="N25" s="1478"/>
      <c r="O25" s="1478"/>
      <c r="P25" s="1478"/>
      <c r="Q25" s="1999"/>
      <c r="R25" s="1997" t="n">
        <f aca="false">R26*DateDE1b!L27/DateDE1b!L28</f>
        <v>123.564768876237</v>
      </c>
      <c r="S25" s="1997" t="n">
        <f aca="false">S26*DateDE1b!M27/DateDE1b!M28</f>
        <v>32.1611158072697</v>
      </c>
      <c r="T25" s="1997" t="n">
        <f aca="false">T26*DateDE1b!N27/DateDE1b!N28</f>
        <v>65.0326765100671</v>
      </c>
      <c r="U25" s="1997" t="n">
        <f aca="false">U26*DateDE1b!Q27/DateDE1b!Q28</f>
        <v>40.8954363636364</v>
      </c>
      <c r="V25" s="1997" t="n">
        <f aca="false">V26*DateDE1b!R27/DateDE1b!R28</f>
        <v>37.2366705345401</v>
      </c>
      <c r="W25" s="2000" t="n">
        <f aca="false">W26*DateDE1b!U27/DateDE1b!U28</f>
        <v>159.598787595582</v>
      </c>
      <c r="X25" s="1997" t="n">
        <f aca="false">W25+AA25</f>
        <v>179.77332911406</v>
      </c>
      <c r="Y25" s="1997" t="n">
        <f aca="false">Y26*DateDE1b!W27/DateDE1b!W28</f>
        <v>91.8462068046253</v>
      </c>
      <c r="Z25" s="1997" t="n">
        <f aca="false">W25-Y25</f>
        <v>67.7525807909567</v>
      </c>
      <c r="AA25" s="1997" t="n">
        <f aca="false">AA26*DateDE1b!Y27/DateDE1b!Y28</f>
        <v>20.1745415184784</v>
      </c>
      <c r="AB25" s="1319" t="n">
        <f aca="false">AA25/X25</f>
        <v>0.112222105569833</v>
      </c>
      <c r="AC25" s="514"/>
      <c r="AD25" s="1997"/>
      <c r="AE25" s="1997"/>
      <c r="AF25" s="1997"/>
      <c r="AG25" s="1997"/>
      <c r="AH25" s="1997"/>
      <c r="AI25" s="2001"/>
      <c r="AJ25" s="2002"/>
      <c r="AK25" s="1478"/>
      <c r="AL25" s="1478"/>
      <c r="AM25" s="821"/>
      <c r="AN25" s="2003"/>
      <c r="AO25" s="2001"/>
      <c r="AP25" s="2004"/>
      <c r="AQ25" s="2004"/>
      <c r="AR25" s="1478"/>
      <c r="AS25" s="1478"/>
      <c r="AT25" s="1478"/>
      <c r="AU25" s="2005"/>
      <c r="AV25" s="2001"/>
      <c r="AW25" s="2004"/>
      <c r="AX25" s="2004"/>
      <c r="AY25" s="1932"/>
      <c r="AZ25" s="1478"/>
      <c r="BA25" s="1478"/>
      <c r="BB25" s="821"/>
      <c r="BC25" s="1478"/>
      <c r="BD25" s="1478"/>
      <c r="BE25" s="1509"/>
      <c r="BF25" s="1478"/>
      <c r="BG25" s="1478"/>
      <c r="BH25" s="1478"/>
      <c r="BI25" s="1478"/>
      <c r="BJ25" s="1509"/>
      <c r="BK25" s="1478"/>
      <c r="BL25" s="2003"/>
      <c r="BM25" s="2001" t="n">
        <f aca="false">BM26*DateDE1b!AM27/DateDE1b!AM28</f>
        <v>15.8614358108108</v>
      </c>
      <c r="BN25" s="2004" t="n">
        <f aca="false">BO25+BP25</f>
        <v>18.7596500965251</v>
      </c>
      <c r="BO25" s="1478" t="n">
        <f aca="false">BO26*DateDE1b!AO27/DateDE1b!AO28</f>
        <v>15.8614358108108</v>
      </c>
      <c r="BP25" s="1997" t="n">
        <f aca="false">BP26*DateDE1b!AP27/DateDE1b!AP28</f>
        <v>2.89821428571429</v>
      </c>
      <c r="BQ25" s="2005" t="n">
        <f aca="false">BP25/BN25</f>
        <v>0.154491915936701</v>
      </c>
      <c r="BR25" s="1509"/>
      <c r="BS25" s="1509"/>
      <c r="BT25" s="1509"/>
      <c r="BU25" s="1509"/>
      <c r="BV25" s="1509"/>
      <c r="BW25" s="1509"/>
      <c r="BX25" s="1478"/>
      <c r="BY25" s="1478"/>
      <c r="BZ25" s="1478"/>
      <c r="CA25" s="1509"/>
      <c r="CB25" s="1509"/>
      <c r="CC25" s="1478"/>
      <c r="CD25" s="1478"/>
      <c r="CE25" s="1478"/>
      <c r="CF25" s="1478"/>
      <c r="CG25" s="1509"/>
      <c r="CH25" s="1482" t="n">
        <f aca="false">CI25+CL25+CO25</f>
        <v>-0.109784413177677</v>
      </c>
      <c r="CI25" s="1479" t="n">
        <f aca="false">CJ25-CK25</f>
        <v>-0.767002286628428</v>
      </c>
      <c r="CJ25" s="1478" t="n">
        <f aca="false">CJ26*DateDE1b!BC27/DateDE1b!BC28</f>
        <v>1.00142118863049</v>
      </c>
      <c r="CK25" s="1478" t="n">
        <f aca="false">CK26*DateDE1b!BD27/DateDE1b!BD28</f>
        <v>1.76842347525892</v>
      </c>
      <c r="CL25" s="1479" t="n">
        <f aca="false">CM25-CN25</f>
        <v>0.65721787345075</v>
      </c>
      <c r="CM25" s="1478" t="n">
        <f aca="false">CM26*DateDE1b!BF27/DateDE1b!BF28</f>
        <v>0.892694063926941</v>
      </c>
      <c r="CN25" s="1478" t="n">
        <f aca="false">CN26*DateDE1b!BG27/DateDE1b!BG28</f>
        <v>0.235476190476191</v>
      </c>
      <c r="CO25" s="384" t="n">
        <v>0</v>
      </c>
      <c r="CP25" s="1997"/>
      <c r="CQ25" s="1997"/>
      <c r="CR25" s="1478" t="n">
        <f aca="false">CR26*DateDE1b!BK27/DateDE1b!BK28</f>
        <v>-2.41661835748792</v>
      </c>
      <c r="CS25" s="1478"/>
      <c r="CT25" s="1478"/>
      <c r="CU25" s="1478" t="n">
        <f aca="false">DateDE1b!BN27/DateDE1b!$B$5</f>
        <v>-0.28121053465792</v>
      </c>
      <c r="CV25" s="1478"/>
      <c r="CW25" s="1478"/>
      <c r="CX25" s="1998" t="n">
        <f aca="false">D25+DD25-DF25</f>
        <v>42.3590744090043</v>
      </c>
      <c r="CY25" s="2007" t="n">
        <f aca="false">CX25-DC25-DD25</f>
        <v>44.4758872619908</v>
      </c>
      <c r="CZ25" s="1509"/>
      <c r="DA25" s="2008"/>
      <c r="DB25" s="2009"/>
      <c r="DC25" s="2017" t="n">
        <f aca="false">CI25</f>
        <v>-0.767002286628428</v>
      </c>
      <c r="DD25" s="1478" t="n">
        <f aca="false">DateDE1b!BV27/DateDE1b!$B$5</f>
        <v>-1.34981056635802</v>
      </c>
      <c r="DE25" s="1478"/>
      <c r="DF25" s="2007" t="n">
        <f aca="false">DI25+DL25+DM25+DU25</f>
        <v>131.641554017853</v>
      </c>
      <c r="DG25" s="2010" t="n">
        <f aca="false">DG26*DateDE1b!BZ27/DateDE1b!BZ28</f>
        <v>108.354615405945</v>
      </c>
      <c r="DH25" s="2010" t="n">
        <f aca="false">DG25-DU25</f>
        <v>107.697397532494</v>
      </c>
      <c r="DI25" s="2011" t="n">
        <f aca="false">Y25</f>
        <v>91.8462068046253</v>
      </c>
      <c r="DJ25" s="2012"/>
      <c r="DK25" s="2012"/>
      <c r="DL25" s="1509" t="n">
        <f aca="false">BM25</f>
        <v>15.8614358108108</v>
      </c>
      <c r="DM25" s="2009" t="n">
        <f aca="false">GK25*DN25*DH25/GJ25</f>
        <v>23.2766935289659</v>
      </c>
      <c r="DN25" s="2013" t="n">
        <f aca="false">DN26</f>
        <v>0.895905244977209</v>
      </c>
      <c r="DO25" s="2009"/>
      <c r="DP25" s="2009" t="n">
        <f aca="false">GK25*DH25/GJ25</f>
        <v>25.9812001988649</v>
      </c>
      <c r="DQ25" s="2009" t="n">
        <f aca="false">2/3*DP25</f>
        <v>17.3208001325766</v>
      </c>
      <c r="DR25" s="2009"/>
      <c r="DS25" s="2009"/>
      <c r="DT25" s="2014"/>
      <c r="DU25" s="2015" t="n">
        <f aca="false">CL25</f>
        <v>0.65721787345075</v>
      </c>
      <c r="DV25" s="2007" t="n">
        <f aca="false">DV26*DateDE1b!CE27/DateDE1b!CE28</f>
        <v>70.1348093829761</v>
      </c>
      <c r="DW25" s="1509" t="n">
        <f aca="false">I25</f>
        <v>25.793305293128</v>
      </c>
      <c r="DX25" s="2017"/>
      <c r="DY25" s="2017"/>
      <c r="DZ25" s="2018"/>
      <c r="EA25" s="2018"/>
      <c r="EB25" s="1478" t="n">
        <f aca="false">EB26*DateDE1b!CL27/DateDE1b!CL28</f>
        <v>21.9562809041677</v>
      </c>
      <c r="EC25" s="2018"/>
      <c r="ED25" s="2018"/>
      <c r="EE25" s="1478"/>
      <c r="EF25" s="2017"/>
      <c r="EG25" s="2019" t="n">
        <f aca="false">EG26*DateDE1b!CQ27/DateDE1b!CQ28</f>
        <v>27.1211963677639</v>
      </c>
      <c r="EH25" s="2020" t="n">
        <f aca="false">EG25-EI25</f>
        <v>22.2285664200842</v>
      </c>
      <c r="EI25" s="2020" t="n">
        <f aca="false">EG25*EI$41/EG$41</f>
        <v>4.89262994767972</v>
      </c>
      <c r="EJ25" s="2021"/>
      <c r="EK25" s="2022"/>
      <c r="EL25" s="2017"/>
      <c r="EM25" s="2017"/>
      <c r="EN25" s="2017"/>
      <c r="EO25" s="2017" t="n">
        <f aca="false">EO26*DateDE1b!CT27/DateDE1b!CT28</f>
        <v>45.3560586764464</v>
      </c>
      <c r="EP25" s="2017" t="n">
        <f aca="false">EO25-S25</f>
        <v>13.1949428691767</v>
      </c>
      <c r="EQ25" s="2017" t="n">
        <f aca="false">DateDE1b!CV27/DateDE1b!$B$5</f>
        <v>-2.97571874856199</v>
      </c>
      <c r="ER25" s="2023" t="n">
        <f aca="false">EP25+EQ25</f>
        <v>10.2192241206147</v>
      </c>
      <c r="ES25" s="2017" t="n">
        <f aca="false">ES26*DateDE1b!CX27/DateDE1b!CX28</f>
        <v>11.3708916586769</v>
      </c>
      <c r="ET25" s="2017" t="n">
        <v>0</v>
      </c>
      <c r="EU25" s="2017" t="n">
        <f aca="false">ER25-ES25-ET25+BP25</f>
        <v>1.74654674765213</v>
      </c>
      <c r="EV25" s="2024" t="n">
        <f aca="false">B25-DV25+EH25+DD25-CO25</f>
        <v>151.887690757093</v>
      </c>
      <c r="EW25" s="1478"/>
      <c r="EX25" s="1478"/>
      <c r="EY25" s="1478"/>
      <c r="EZ25" s="1478" t="n">
        <f aca="false">EV25+EI25</f>
        <v>156.780320704773</v>
      </c>
      <c r="FA25" s="1478"/>
      <c r="FB25" s="1478" t="n">
        <f aca="false">FB26*DateDE1b!DE27/DateDE1b!DE28</f>
        <v>15.5252536231884</v>
      </c>
      <c r="FC25" s="1478"/>
      <c r="FD25" s="1997" t="n">
        <f aca="false">T25+E25+U25-V25+CR25-H25-EP25</f>
        <v>29.8973408951283</v>
      </c>
      <c r="FE25" s="1997"/>
      <c r="FF25" s="1997"/>
      <c r="FG25" s="1997" t="n">
        <f aca="false">CU25-EQ25</f>
        <v>2.69450821390407</v>
      </c>
      <c r="FH25" s="514" t="n">
        <f aca="false">FG25/FD25</f>
        <v>0.0901253467107883</v>
      </c>
      <c r="FI25" s="1994" t="n">
        <f aca="false">FI26*DateDE1b!DE27/DateDE1b!DE28</f>
        <v>16.2510507246377</v>
      </c>
      <c r="FJ25" s="1994" t="n">
        <f aca="false">FK25-FI25</f>
        <v>16.3407983843947</v>
      </c>
      <c r="FK25" s="2025" t="n">
        <f aca="false">FD25+FG25</f>
        <v>32.5918491090324</v>
      </c>
      <c r="FL25" s="1994"/>
      <c r="FM25" s="1994"/>
      <c r="FN25" s="1478"/>
      <c r="FO25" s="1995"/>
      <c r="FP25" s="1478"/>
      <c r="FQ25" s="1478"/>
      <c r="FR25" s="1997" t="n">
        <v>0</v>
      </c>
      <c r="FS25" s="1478"/>
      <c r="FT25" s="1478"/>
      <c r="FU25" s="1478"/>
      <c r="FV25" s="1478"/>
      <c r="FW25" s="2025"/>
      <c r="FX25" s="2026"/>
      <c r="FY25" s="2026"/>
      <c r="FZ25" s="2027"/>
      <c r="GA25" s="2015" t="n">
        <v>0</v>
      </c>
      <c r="GB25" s="402" t="n">
        <v>0.0235294117647058</v>
      </c>
      <c r="GC25" s="387" t="n">
        <v>0.0233573199291</v>
      </c>
      <c r="GD25" s="387" t="n">
        <f aca="false">(G25/G24)/(1+GE25)-1</f>
        <v>0.0307382364464881</v>
      </c>
      <c r="GE25" s="387" t="n">
        <v>0.0664566026926383</v>
      </c>
      <c r="GF25" s="387" t="n">
        <v>0.0207253886010361</v>
      </c>
      <c r="GG25" s="387"/>
      <c r="GH25" s="465" t="n">
        <v>58225.98</v>
      </c>
      <c r="GI25" s="465" t="n">
        <f aca="false">GJ25+GK25</f>
        <v>26613.495</v>
      </c>
      <c r="GJ25" s="465" t="n">
        <v>21441.01</v>
      </c>
      <c r="GK25" s="465" t="n">
        <v>5172.485</v>
      </c>
      <c r="GL25" s="25" t="n">
        <f aca="false">GL24+(GL$31-GL$21)/10</f>
        <v>0.2892</v>
      </c>
      <c r="GM25" s="25" t="n">
        <f aca="false">GK25/GI25</f>
        <v>0.194355720659763</v>
      </c>
      <c r="GN25" s="385" t="n">
        <v>58225.98</v>
      </c>
      <c r="GO25" s="1932" t="n">
        <f aca="false">CX25</f>
        <v>42.3590744090043</v>
      </c>
      <c r="GP25" s="1932"/>
      <c r="GQ25" s="1932"/>
      <c r="GR25" s="1932"/>
      <c r="GS25" s="1509"/>
      <c r="GT25" s="1932"/>
      <c r="GU25" s="1478"/>
      <c r="GV25" s="1509"/>
      <c r="GW25" s="1478"/>
      <c r="GX25" s="1932"/>
      <c r="GY25" s="1478"/>
      <c r="GZ25" s="24"/>
      <c r="HA25" s="1478"/>
      <c r="HB25" s="1478"/>
      <c r="HC25" s="1478"/>
      <c r="HD25" s="1478"/>
      <c r="HE25" s="1478"/>
      <c r="HF25" s="1478"/>
      <c r="HG25" s="1478"/>
      <c r="HH25" s="1478"/>
      <c r="HI25" s="1478"/>
      <c r="HJ25" s="1478"/>
      <c r="HK25" s="387"/>
    </row>
    <row r="26" customFormat="false" ht="12" hidden="false" customHeight="false" outlineLevel="0" collapsed="false">
      <c r="A26" s="31" t="n">
        <f aca="false">A25+1</f>
        <v>1965</v>
      </c>
      <c r="B26" s="1994" t="n">
        <f aca="false">E26+F26</f>
        <v>219.320184347369</v>
      </c>
      <c r="C26" s="432" t="n">
        <f aca="false">B26+CR26</f>
        <v>216.448126376355</v>
      </c>
      <c r="D26" s="1995" t="n">
        <f aca="false">B26-I26</f>
        <v>192.053389989922</v>
      </c>
      <c r="E26" s="1996" t="n">
        <f aca="false">CH26</f>
        <v>-0.280917098071326</v>
      </c>
      <c r="F26" s="395" t="n">
        <f aca="false">W26+BM26+J26</f>
        <v>219.601101445441</v>
      </c>
      <c r="G26" s="1478" t="n">
        <f aca="false">J26+X26+BN26</f>
        <v>245.248958220128</v>
      </c>
      <c r="H26" s="1997" t="n">
        <f aca="false">AA26+BP26</f>
        <v>25.6478567746876</v>
      </c>
      <c r="I26" s="1998" t="n">
        <f aca="false">I27*DateDE1b!K28/DateDE1b!K29</f>
        <v>27.2667943574479</v>
      </c>
      <c r="J26" s="395" t="n">
        <f aca="false">I26-CO26</f>
        <v>27.2667943574479</v>
      </c>
      <c r="K26" s="1478"/>
      <c r="L26" s="1478"/>
      <c r="M26" s="1478"/>
      <c r="N26" s="1478"/>
      <c r="O26" s="1478"/>
      <c r="P26" s="1478"/>
      <c r="Q26" s="1999"/>
      <c r="R26" s="1997" t="n">
        <f aca="false">R27*DateDE1b!L28/DateDE1b!L29</f>
        <v>136.328718449234</v>
      </c>
      <c r="S26" s="1997" t="n">
        <f aca="false">S27*DateDE1b!M28/DateDE1b!M29</f>
        <v>36.0712031558186</v>
      </c>
      <c r="T26" s="1997" t="n">
        <f aca="false">T27*DateDE1b!N28/DateDE1b!N29</f>
        <v>71.9158979865772</v>
      </c>
      <c r="U26" s="1997" t="n">
        <f aca="false">U27*DateDE1b!Q28/DateDE1b!Q29</f>
        <v>44.6798545454545</v>
      </c>
      <c r="V26" s="1997" t="n">
        <f aca="false">V27*DateDE1b!R28/DateDE1b!R29</f>
        <v>43.7844851860447</v>
      </c>
      <c r="W26" s="2000" t="n">
        <f aca="false">W27*DateDE1b!U28/DateDE1b!U29</f>
        <v>174.282263169074</v>
      </c>
      <c r="X26" s="1997" t="n">
        <f aca="false">W26+AA26</f>
        <v>196.709881848523</v>
      </c>
      <c r="Y26" s="1997" t="n">
        <f aca="false">Y27*DateDE1b!W28/DateDE1b!W29</f>
        <v>101.470194608284</v>
      </c>
      <c r="Z26" s="1997" t="n">
        <f aca="false">W26-Y26</f>
        <v>72.8120685607897</v>
      </c>
      <c r="AA26" s="1997" t="n">
        <f aca="false">AA27*DateDE1b!Y28/DateDE1b!Y29</f>
        <v>22.4276186794495</v>
      </c>
      <c r="AB26" s="1319" t="n">
        <f aca="false">AA26/X26</f>
        <v>0.114013685884474</v>
      </c>
      <c r="AC26" s="514"/>
      <c r="AD26" s="1997"/>
      <c r="AE26" s="1997"/>
      <c r="AF26" s="1997"/>
      <c r="AG26" s="1997"/>
      <c r="AH26" s="1997"/>
      <c r="AI26" s="2001"/>
      <c r="AJ26" s="2002"/>
      <c r="AK26" s="1478"/>
      <c r="AL26" s="1478"/>
      <c r="AM26" s="821"/>
      <c r="AN26" s="2003"/>
      <c r="AO26" s="2001"/>
      <c r="AP26" s="2004"/>
      <c r="AQ26" s="2004"/>
      <c r="AR26" s="1478"/>
      <c r="AS26" s="1478"/>
      <c r="AT26" s="1478"/>
      <c r="AU26" s="2005"/>
      <c r="AV26" s="2001"/>
      <c r="AW26" s="2004"/>
      <c r="AX26" s="2004"/>
      <c r="AY26" s="1932"/>
      <c r="AZ26" s="1478"/>
      <c r="BA26" s="1478"/>
      <c r="BB26" s="821"/>
      <c r="BC26" s="1478"/>
      <c r="BD26" s="1478"/>
      <c r="BE26" s="1509"/>
      <c r="BF26" s="1478"/>
      <c r="BG26" s="1478"/>
      <c r="BH26" s="1478"/>
      <c r="BI26" s="1478"/>
      <c r="BJ26" s="1509"/>
      <c r="BK26" s="1478"/>
      <c r="BL26" s="2003"/>
      <c r="BM26" s="2001" t="n">
        <f aca="false">BM27*DateDE1b!AM28/DateDE1b!AM29</f>
        <v>18.0520439189189</v>
      </c>
      <c r="BN26" s="2004" t="n">
        <f aca="false">BO26+BP26</f>
        <v>21.272282014157</v>
      </c>
      <c r="BO26" s="1478" t="n">
        <f aca="false">BO27*DateDE1b!AO28/DateDE1b!AO29</f>
        <v>18.0520439189189</v>
      </c>
      <c r="BP26" s="1997" t="n">
        <f aca="false">BP27*DateDE1b!AP28/DateDE1b!AP29</f>
        <v>3.2202380952381</v>
      </c>
      <c r="BQ26" s="2005" t="n">
        <f aca="false">BP26/BN26</f>
        <v>0.151381882446603</v>
      </c>
      <c r="BR26" s="1509"/>
      <c r="BS26" s="1509"/>
      <c r="BT26" s="1509"/>
      <c r="BU26" s="1509"/>
      <c r="BV26" s="1509"/>
      <c r="BW26" s="1509"/>
      <c r="BX26" s="1478"/>
      <c r="BY26" s="1478"/>
      <c r="BZ26" s="1478"/>
      <c r="CA26" s="1509"/>
      <c r="CB26" s="1509"/>
      <c r="CC26" s="1478"/>
      <c r="CD26" s="1478"/>
      <c r="CE26" s="1478"/>
      <c r="CF26" s="1478"/>
      <c r="CG26" s="1509"/>
      <c r="CH26" s="1482" t="n">
        <f aca="false">CI26+CL26+CO26</f>
        <v>-0.280917098071326</v>
      </c>
      <c r="CI26" s="1479" t="n">
        <f aca="false">CJ26-CK26</f>
        <v>-0.90256582605567</v>
      </c>
      <c r="CJ26" s="1478" t="n">
        <f aca="false">CJ27*DateDE1b!BC28/DateDE1b!BC29</f>
        <v>1.12768733850129</v>
      </c>
      <c r="CK26" s="1478" t="n">
        <f aca="false">CK27*DateDE1b!BD28/DateDE1b!BD29</f>
        <v>2.03025316455696</v>
      </c>
      <c r="CL26" s="1479" t="n">
        <f aca="false">CM26-CN26</f>
        <v>0.621648727984345</v>
      </c>
      <c r="CM26" s="1478" t="n">
        <f aca="false">CM27*DateDE1b!BF28/DateDE1b!BF29</f>
        <v>0.903196347031964</v>
      </c>
      <c r="CN26" s="1478" t="n">
        <f aca="false">CN27*DateDE1b!BG28/DateDE1b!BG29</f>
        <v>0.281547619047619</v>
      </c>
      <c r="CO26" s="384" t="n">
        <v>0</v>
      </c>
      <c r="CP26" s="1997"/>
      <c r="CQ26" s="1997"/>
      <c r="CR26" s="1478" t="n">
        <f aca="false">CR27*DateDE1b!BK28/DateDE1b!BK29</f>
        <v>-2.87205797101449</v>
      </c>
      <c r="CS26" s="1478"/>
      <c r="CT26" s="1478"/>
      <c r="CU26" s="1478" t="n">
        <f aca="false">DateDE1b!BN28/DateDE1b!$B$5</f>
        <v>-0.373243073273239</v>
      </c>
      <c r="CV26" s="1478"/>
      <c r="CW26" s="1478"/>
      <c r="CX26" s="1998" t="n">
        <f aca="false">D26+DD26-DF26</f>
        <v>45.7733059807819</v>
      </c>
      <c r="CY26" s="2007" t="n">
        <f aca="false">CX26-DC26-DD26</f>
        <v>48.0001177791358</v>
      </c>
      <c r="CZ26" s="1509"/>
      <c r="DA26" s="2008"/>
      <c r="DB26" s="2009"/>
      <c r="DC26" s="2017" t="n">
        <f aca="false">CI26</f>
        <v>-0.90256582605567</v>
      </c>
      <c r="DD26" s="1478" t="n">
        <f aca="false">DateDE1b!BV28/DateDE1b!$B$5</f>
        <v>-1.32424597229821</v>
      </c>
      <c r="DE26" s="1478"/>
      <c r="DF26" s="2007" t="n">
        <f aca="false">DI26+DL26+DM26+DU26</f>
        <v>144.955838036841</v>
      </c>
      <c r="DG26" s="2010" t="n">
        <f aca="false">DG27*DateDE1b!BZ28/DateDE1b!BZ29</f>
        <v>120.135748946318</v>
      </c>
      <c r="DH26" s="2010" t="n">
        <f aca="false">DG26-DU26</f>
        <v>119.514100218333</v>
      </c>
      <c r="DI26" s="2011" t="n">
        <f aca="false">Y26</f>
        <v>101.470194608284</v>
      </c>
      <c r="DJ26" s="2012"/>
      <c r="DK26" s="2012"/>
      <c r="DL26" s="1509" t="n">
        <f aca="false">BM26</f>
        <v>18.0520439189189</v>
      </c>
      <c r="DM26" s="2009" t="n">
        <f aca="false">GK26*DN26*DH26/GJ26</f>
        <v>24.8119507816539</v>
      </c>
      <c r="DN26" s="2013" t="n">
        <f aca="false">DN27</f>
        <v>0.895905244977209</v>
      </c>
      <c r="DO26" s="2009"/>
      <c r="DP26" s="2009" t="n">
        <f aca="false">GK26*DH26/GJ26</f>
        <v>27.6948381770944</v>
      </c>
      <c r="DQ26" s="2009" t="n">
        <f aca="false">2/3*DP26</f>
        <v>18.4632254513963</v>
      </c>
      <c r="DR26" s="2009"/>
      <c r="DS26" s="2009"/>
      <c r="DT26" s="2014"/>
      <c r="DU26" s="2015" t="n">
        <f aca="false">CL26</f>
        <v>0.621648727984345</v>
      </c>
      <c r="DV26" s="2007" t="n">
        <f aca="false">DV27*DateDE1b!CE28/DateDE1b!CE29</f>
        <v>74.2626504071628</v>
      </c>
      <c r="DW26" s="1509" t="n">
        <f aca="false">I26</f>
        <v>27.2667943574479</v>
      </c>
      <c r="DX26" s="2017"/>
      <c r="DY26" s="2017"/>
      <c r="DZ26" s="2018"/>
      <c r="EA26" s="2018"/>
      <c r="EB26" s="1478" t="n">
        <f aca="false">EB27*DateDE1b!CL28/DateDE1b!CL29</f>
        <v>23.303814457264</v>
      </c>
      <c r="EC26" s="2018"/>
      <c r="ED26" s="2018"/>
      <c r="EE26" s="1478"/>
      <c r="EF26" s="2017"/>
      <c r="EG26" s="2019" t="n">
        <f aca="false">EG27*DateDE1b!CQ28/DateDE1b!CQ29</f>
        <v>30.4667219069239</v>
      </c>
      <c r="EH26" s="2020" t="n">
        <f aca="false">EG26-EI26</f>
        <v>24.9705633308731</v>
      </c>
      <c r="EI26" s="2020" t="n">
        <f aca="false">EG26*EI$41/EG$41</f>
        <v>5.4961585760509</v>
      </c>
      <c r="EJ26" s="2021"/>
      <c r="EK26" s="2022"/>
      <c r="EL26" s="2017"/>
      <c r="EM26" s="2017"/>
      <c r="EN26" s="2017"/>
      <c r="EO26" s="2017" t="n">
        <f aca="false">EO27*DateDE1b!CT28/DateDE1b!CT29</f>
        <v>46.343045187003</v>
      </c>
      <c r="EP26" s="2017" t="n">
        <f aca="false">EO26-S26</f>
        <v>10.2718420311845</v>
      </c>
      <c r="EQ26" s="2017" t="n">
        <f aca="false">DateDE1b!CV28/DateDE1b!$B$5</f>
        <v>-3.18023550104048</v>
      </c>
      <c r="ER26" s="2023" t="n">
        <f aca="false">EP26+EQ26</f>
        <v>7.09160653014398</v>
      </c>
      <c r="ES26" s="2017" t="n">
        <f aca="false">ES27*DateDE1b!CX28/DateDE1b!CX29</f>
        <v>11.36</v>
      </c>
      <c r="ET26" s="2017" t="n">
        <v>0</v>
      </c>
      <c r="EU26" s="2017" t="n">
        <f aca="false">ER26-ES26-ET26+BP26</f>
        <v>-1.04815537461792</v>
      </c>
      <c r="EV26" s="2024" t="n">
        <f aca="false">B26-DV26+EH26+DD26-CO26</f>
        <v>168.703851298781</v>
      </c>
      <c r="EW26" s="1478"/>
      <c r="EX26" s="1478"/>
      <c r="EY26" s="1478"/>
      <c r="EZ26" s="1478" t="n">
        <f aca="false">EV26+EI26</f>
        <v>174.200009874832</v>
      </c>
      <c r="FA26" s="1478"/>
      <c r="FB26" s="1478" t="n">
        <f aca="false">FB27*DateDE1b!DE28/DateDE1b!DE29</f>
        <v>18.898152173913</v>
      </c>
      <c r="FC26" s="1478"/>
      <c r="FD26" s="1997" t="n">
        <f aca="false">T26+E26+U26-V26+CR26-H26-EP26</f>
        <v>33.7385934710291</v>
      </c>
      <c r="FE26" s="1997"/>
      <c r="FF26" s="1997"/>
      <c r="FG26" s="1997" t="n">
        <f aca="false">CU26-EQ26</f>
        <v>2.80699242776724</v>
      </c>
      <c r="FH26" s="514" t="n">
        <f aca="false">FG26/FD26</f>
        <v>0.0831982646276457</v>
      </c>
      <c r="FI26" s="1994" t="n">
        <f aca="false">FI27*DateDE1b!DE28/DateDE1b!DE29</f>
        <v>19.7816304347826</v>
      </c>
      <c r="FJ26" s="1994" t="n">
        <f aca="false">FK26-FI26</f>
        <v>16.7639554640138</v>
      </c>
      <c r="FK26" s="2025" t="n">
        <f aca="false">FD26+FG26</f>
        <v>36.5455858987964</v>
      </c>
      <c r="FL26" s="1994"/>
      <c r="FM26" s="1994"/>
      <c r="FN26" s="1478"/>
      <c r="FO26" s="1995"/>
      <c r="FP26" s="1478"/>
      <c r="FQ26" s="1478"/>
      <c r="FR26" s="1997" t="n">
        <v>0</v>
      </c>
      <c r="FS26" s="1478"/>
      <c r="FT26" s="1478"/>
      <c r="FU26" s="1478"/>
      <c r="FV26" s="1478"/>
      <c r="FW26" s="2025"/>
      <c r="FX26" s="2026"/>
      <c r="FY26" s="2026"/>
      <c r="FZ26" s="2027"/>
      <c r="GA26" s="2015" t="n">
        <v>0</v>
      </c>
      <c r="GB26" s="402" t="n">
        <v>0.0316091954022988</v>
      </c>
      <c r="GC26" s="387" t="n">
        <v>0.0324235529659489</v>
      </c>
      <c r="GD26" s="387" t="n">
        <f aca="false">(G26/G25)/(1+GE26)-1</f>
        <v>0.0375325633794654</v>
      </c>
      <c r="GE26" s="387" t="n">
        <v>0.0537201181842599</v>
      </c>
      <c r="GF26" s="387" t="n">
        <v>0.0329949238578682</v>
      </c>
      <c r="GG26" s="387"/>
      <c r="GH26" s="465" t="n">
        <v>58942.021</v>
      </c>
      <c r="GI26" s="465" t="n">
        <f aca="false">GJ26+GK26</f>
        <v>26768.482</v>
      </c>
      <c r="GJ26" s="465" t="n">
        <v>21732.451</v>
      </c>
      <c r="GK26" s="465" t="n">
        <v>5036.031</v>
      </c>
      <c r="GL26" s="25" t="n">
        <f aca="false">GL25+(GL$31-GL$21)/10</f>
        <v>0.2905</v>
      </c>
      <c r="GM26" s="25" t="n">
        <f aca="false">GK26/GI26</f>
        <v>0.18813285714147</v>
      </c>
      <c r="GN26" s="385" t="n">
        <v>58942.021</v>
      </c>
      <c r="GO26" s="1932" t="n">
        <f aca="false">CX26</f>
        <v>45.7733059807819</v>
      </c>
      <c r="GP26" s="1932"/>
      <c r="GQ26" s="1932"/>
      <c r="GR26" s="1932"/>
      <c r="GS26" s="1509"/>
      <c r="GT26" s="1932"/>
      <c r="GU26" s="1478"/>
      <c r="GV26" s="1509"/>
      <c r="GW26" s="1478"/>
      <c r="GX26" s="1932"/>
      <c r="GY26" s="1478"/>
      <c r="GZ26" s="24"/>
      <c r="HA26" s="1478"/>
      <c r="HB26" s="1478"/>
      <c r="HC26" s="1478"/>
      <c r="HD26" s="1478"/>
      <c r="HE26" s="1478"/>
      <c r="HF26" s="1478"/>
      <c r="HG26" s="1478"/>
      <c r="HH26" s="1478"/>
      <c r="HI26" s="1478"/>
      <c r="HJ26" s="1478"/>
      <c r="HK26" s="387"/>
    </row>
    <row r="27" customFormat="false" ht="12" hidden="false" customHeight="false" outlineLevel="0" collapsed="false">
      <c r="A27" s="31" t="n">
        <f aca="false">A26+1</f>
        <v>1966</v>
      </c>
      <c r="B27" s="1994" t="n">
        <f aca="false">E27+F27</f>
        <v>232.323428114566</v>
      </c>
      <c r="C27" s="432" t="n">
        <f aca="false">B27+CR27</f>
        <v>229.442075457561</v>
      </c>
      <c r="D27" s="1995" t="n">
        <f aca="false">B27-I27</f>
        <v>203.409224672091</v>
      </c>
      <c r="E27" s="1996" t="n">
        <f aca="false">CH27</f>
        <v>-0.211642939679553</v>
      </c>
      <c r="F27" s="395" t="n">
        <f aca="false">W27+BM27+J27</f>
        <v>232.535071054245</v>
      </c>
      <c r="G27" s="1478" t="n">
        <f aca="false">J27+X27+BN27</f>
        <v>260.839093094714</v>
      </c>
      <c r="H27" s="1997" t="n">
        <f aca="false">AA27+BP27</f>
        <v>28.3040220404692</v>
      </c>
      <c r="I27" s="1998" t="n">
        <f aca="false">I28*DateDE1b!K29/DateDE1b!K30</f>
        <v>28.9142034424744</v>
      </c>
      <c r="J27" s="395" t="n">
        <f aca="false">I27-CO27</f>
        <v>28.9142034424744</v>
      </c>
      <c r="K27" s="1478"/>
      <c r="L27" s="1478"/>
      <c r="M27" s="1478"/>
      <c r="N27" s="1478"/>
      <c r="O27" s="1478"/>
      <c r="P27" s="1478"/>
      <c r="Q27" s="1999"/>
      <c r="R27" s="1997" t="n">
        <f aca="false">R28*DateDE1b!L29/DateDE1b!L30</f>
        <v>145.55771018029</v>
      </c>
      <c r="S27" s="1997" t="n">
        <f aca="false">S28*DateDE1b!M29/DateDE1b!M30</f>
        <v>39.0749788672866</v>
      </c>
      <c r="T27" s="1997" t="n">
        <f aca="false">T28*DateDE1b!N29/DateDE1b!N30</f>
        <v>71.2936547651007</v>
      </c>
      <c r="U27" s="1997" t="n">
        <f aca="false">U28*DateDE1b!Q29/DateDE1b!Q30</f>
        <v>50.4265636363636</v>
      </c>
      <c r="V27" s="1997" t="n">
        <f aca="false">V28*DateDE1b!R29/DateDE1b!R30</f>
        <v>45.7756648874449</v>
      </c>
      <c r="W27" s="2000" t="n">
        <f aca="false">W28*DateDE1b!U29/DateDE1b!U30</f>
        <v>183.460107476636</v>
      </c>
      <c r="X27" s="1997" t="n">
        <f aca="false">W27+AA27</f>
        <v>208.18966523139</v>
      </c>
      <c r="Y27" s="1997" t="n">
        <f aca="false">Y28*DateDE1b!W29/DateDE1b!W30</f>
        <v>108.527785664301</v>
      </c>
      <c r="Z27" s="1997" t="n">
        <f aca="false">W27-Y27</f>
        <v>74.9323218123348</v>
      </c>
      <c r="AA27" s="1997" t="n">
        <f aca="false">AA28*DateDE1b!Y29/DateDE1b!Y30</f>
        <v>24.7295577547549</v>
      </c>
      <c r="AB27" s="2029" t="n">
        <f aca="false">AA27/X27</f>
        <v>0.118783791343674</v>
      </c>
      <c r="AC27" s="514"/>
      <c r="AD27" s="1997"/>
      <c r="AE27" s="1997"/>
      <c r="AF27" s="1997"/>
      <c r="AG27" s="1997"/>
      <c r="AH27" s="1997"/>
      <c r="AI27" s="2001"/>
      <c r="AJ27" s="2002"/>
      <c r="AK27" s="1478"/>
      <c r="AL27" s="1478"/>
      <c r="AM27" s="821"/>
      <c r="AN27" s="2003"/>
      <c r="AO27" s="2001"/>
      <c r="AP27" s="2004"/>
      <c r="AQ27" s="2004"/>
      <c r="AR27" s="1478"/>
      <c r="AS27" s="1478"/>
      <c r="AT27" s="1478"/>
      <c r="AU27" s="2005"/>
      <c r="AV27" s="2001"/>
      <c r="AW27" s="2004"/>
      <c r="AX27" s="2004"/>
      <c r="AY27" s="1932"/>
      <c r="AZ27" s="1478"/>
      <c r="BA27" s="1478"/>
      <c r="BB27" s="821"/>
      <c r="BC27" s="1478"/>
      <c r="BD27" s="1478"/>
      <c r="BE27" s="1509"/>
      <c r="BF27" s="1478"/>
      <c r="BG27" s="1478"/>
      <c r="BH27" s="1478"/>
      <c r="BI27" s="1478"/>
      <c r="BJ27" s="1509"/>
      <c r="BK27" s="1478"/>
      <c r="BL27" s="2003"/>
      <c r="BM27" s="2001" t="n">
        <f aca="false">BM28*DateDE1b!AM29/DateDE1b!AM30</f>
        <v>20.1607601351351</v>
      </c>
      <c r="BN27" s="2004" t="n">
        <f aca="false">BO27+BP27</f>
        <v>23.7352244208494</v>
      </c>
      <c r="BO27" s="1478" t="n">
        <f aca="false">BO28*DateDE1b!AO29/DateDE1b!AO30</f>
        <v>20.1607601351351</v>
      </c>
      <c r="BP27" s="1997" t="n">
        <f aca="false">BP28*DateDE1b!AP29/DateDE1b!AP30</f>
        <v>3.57446428571428</v>
      </c>
      <c r="BQ27" s="2005" t="n">
        <f aca="false">BP27/BN27</f>
        <v>0.150597450537456</v>
      </c>
      <c r="BR27" s="1509"/>
      <c r="BS27" s="1509"/>
      <c r="BT27" s="1509"/>
      <c r="BU27" s="1509"/>
      <c r="BV27" s="1509"/>
      <c r="BW27" s="1509"/>
      <c r="BX27" s="1478"/>
      <c r="BY27" s="1478"/>
      <c r="BZ27" s="1478"/>
      <c r="CA27" s="1509"/>
      <c r="CB27" s="1509"/>
      <c r="CC27" s="1478"/>
      <c r="CD27" s="1478"/>
      <c r="CE27" s="1478"/>
      <c r="CF27" s="1478"/>
      <c r="CG27" s="1509"/>
      <c r="CH27" s="1482" t="n">
        <f aca="false">CI27+CL27+CO27</f>
        <v>-0.211642939679553</v>
      </c>
      <c r="CI27" s="1479" t="n">
        <f aca="false">CJ27-CK27</f>
        <v>-0.865326892712822</v>
      </c>
      <c r="CJ27" s="1478" t="n">
        <f aca="false">CJ28*DateDE1b!BC29/DateDE1b!BC30</f>
        <v>1.33232558139535</v>
      </c>
      <c r="CK27" s="1478" t="n">
        <f aca="false">CK28*DateDE1b!BD29/DateDE1b!BD30</f>
        <v>2.19765247410817</v>
      </c>
      <c r="CL27" s="1479" t="n">
        <f aca="false">CM27-CN27</f>
        <v>0.653683953033268</v>
      </c>
      <c r="CM27" s="1478" t="n">
        <f aca="false">CM28*DateDE1b!BF29/DateDE1b!BF30</f>
        <v>0.955707762557078</v>
      </c>
      <c r="CN27" s="1478" t="n">
        <f aca="false">CN28*DateDE1b!BG29/DateDE1b!BG30</f>
        <v>0.30202380952381</v>
      </c>
      <c r="CO27" s="384" t="n">
        <v>0</v>
      </c>
      <c r="CP27" s="1997"/>
      <c r="CQ27" s="1997"/>
      <c r="CR27" s="1478" t="n">
        <f aca="false">CR28*DateDE1b!BK29/DateDE1b!BK30</f>
        <v>-2.88135265700483</v>
      </c>
      <c r="CS27" s="1478"/>
      <c r="CT27" s="1478"/>
      <c r="CU27" s="1478" t="n">
        <f aca="false">DateDE1b!BN29/DateDE1b!$B$5</f>
        <v>-0.342565560401466</v>
      </c>
      <c r="CV27" s="1478"/>
      <c r="CW27" s="1478"/>
      <c r="CX27" s="1998" t="n">
        <f aca="false">D27+DD27-DF27</f>
        <v>46.6797715245366</v>
      </c>
      <c r="CY27" s="2007" t="n">
        <f aca="false">CX27-DC27-DD27</f>
        <v>48.7210697440007</v>
      </c>
      <c r="CZ27" s="1509"/>
      <c r="DA27" s="2008"/>
      <c r="DB27" s="2009"/>
      <c r="DC27" s="2017" t="n">
        <f aca="false">CI27</f>
        <v>-0.865326892712822</v>
      </c>
      <c r="DD27" s="1478" t="n">
        <f aca="false">DateDE1b!BV29/DateDE1b!$B$5</f>
        <v>-1.1759713267513</v>
      </c>
      <c r="DE27" s="1478"/>
      <c r="DF27" s="2007" t="n">
        <f aca="false">DI27+DL27+DM27+DU27</f>
        <v>155.553481820803</v>
      </c>
      <c r="DG27" s="2010" t="n">
        <f aca="false">DG28*DateDE1b!BZ29/DateDE1b!BZ30</f>
        <v>129.335911157941</v>
      </c>
      <c r="DH27" s="2010" t="n">
        <f aca="false">DG27-DU27</f>
        <v>128.682227204908</v>
      </c>
      <c r="DI27" s="2011" t="n">
        <f aca="false">Y27</f>
        <v>108.527785664301</v>
      </c>
      <c r="DJ27" s="2012"/>
      <c r="DK27" s="2012"/>
      <c r="DL27" s="1509" t="n">
        <f aca="false">BM27</f>
        <v>20.1607601351351</v>
      </c>
      <c r="DM27" s="2009" t="n">
        <f aca="false">GK27*DN27*DH27/GJ27</f>
        <v>26.2112520683342</v>
      </c>
      <c r="DN27" s="2013" t="n">
        <f aca="false">DN28</f>
        <v>0.895905244977209</v>
      </c>
      <c r="DO27" s="2009"/>
      <c r="DP27" s="2009" t="n">
        <f aca="false">GK27*DH27/GJ27</f>
        <v>29.2567235377676</v>
      </c>
      <c r="DQ27" s="2009" t="n">
        <f aca="false">2/3*DP27</f>
        <v>19.5044823585117</v>
      </c>
      <c r="DR27" s="2009"/>
      <c r="DS27" s="2009"/>
      <c r="DT27" s="2014"/>
      <c r="DU27" s="2015" t="n">
        <f aca="false">CL27</f>
        <v>0.653683953033268</v>
      </c>
      <c r="DV27" s="2007" t="n">
        <f aca="false">DV28*DateDE1b!CE29/DateDE1b!CE30</f>
        <v>81.1664404650974</v>
      </c>
      <c r="DW27" s="1509" t="n">
        <f aca="false">I27</f>
        <v>28.9142034424744</v>
      </c>
      <c r="DX27" s="2017"/>
      <c r="DY27" s="2017"/>
      <c r="DZ27" s="2018"/>
      <c r="EA27" s="2018"/>
      <c r="EB27" s="1478" t="n">
        <f aca="false">EB28*DateDE1b!CL29/DateDE1b!CL30</f>
        <v>26.9606898987521</v>
      </c>
      <c r="EC27" s="2018"/>
      <c r="ED27" s="2018"/>
      <c r="EE27" s="1478"/>
      <c r="EF27" s="2017"/>
      <c r="EG27" s="2019" t="n">
        <f aca="false">EG28*DateDE1b!CQ29/DateDE1b!CQ30</f>
        <v>33.3685573212259</v>
      </c>
      <c r="EH27" s="2020" t="n">
        <f aca="false">EG27-EI27</f>
        <v>27.3489112611152</v>
      </c>
      <c r="EI27" s="2020" t="n">
        <f aca="false">EG27*EI$41/EG$41</f>
        <v>6.01964606011065</v>
      </c>
      <c r="EJ27" s="2021"/>
      <c r="EK27" s="2022"/>
      <c r="EL27" s="2017"/>
      <c r="EM27" s="2017"/>
      <c r="EN27" s="2017"/>
      <c r="EO27" s="2017" t="n">
        <f aca="false">EO28*DateDE1b!CT29/DateDE1b!CT30</f>
        <v>50.0543158925144</v>
      </c>
      <c r="EP27" s="2017" t="n">
        <f aca="false">EO27-S27</f>
        <v>10.9793370252278</v>
      </c>
      <c r="EQ27" s="2017" t="n">
        <f aca="false">DateDE1b!CV29/DateDE1b!$B$5</f>
        <v>-2.95015415450218</v>
      </c>
      <c r="ER27" s="2023" t="n">
        <f aca="false">EP27+EQ27</f>
        <v>8.02918287072565</v>
      </c>
      <c r="ES27" s="2017" t="n">
        <f aca="false">ES28*DateDE1b!CX29/DateDE1b!CX30</f>
        <v>11.5451581975072</v>
      </c>
      <c r="ET27" s="2017" t="n">
        <v>0</v>
      </c>
      <c r="EU27" s="2017" t="n">
        <f aca="false">ER27-ES27-ET27+BP27</f>
        <v>0.0584889589327413</v>
      </c>
      <c r="EV27" s="2024" t="n">
        <f aca="false">B27-DV27+EH27+DD27-CO27</f>
        <v>177.329927583832</v>
      </c>
      <c r="EW27" s="1478"/>
      <c r="EX27" s="1478"/>
      <c r="EY27" s="1478"/>
      <c r="EZ27" s="1478" t="n">
        <f aca="false">EV27+EI27</f>
        <v>183.349573643943</v>
      </c>
      <c r="FA27" s="1478"/>
      <c r="FB27" s="1478" t="n">
        <f aca="false">FB28*DateDE1b!DE29/DateDE1b!DE30</f>
        <v>19.1957608695652</v>
      </c>
      <c r="FC27" s="1478"/>
      <c r="FD27" s="1997" t="n">
        <f aca="false">T27+E27+U27-V27+CR27-H27-EP27</f>
        <v>33.568198851638</v>
      </c>
      <c r="FE27" s="1997"/>
      <c r="FF27" s="1997"/>
      <c r="FG27" s="1997" t="n">
        <f aca="false">CU27-EQ27</f>
        <v>2.60758859410071</v>
      </c>
      <c r="FH27" s="514" t="n">
        <f aca="false">FG27/FD27</f>
        <v>0.0776803249297205</v>
      </c>
      <c r="FI27" s="1994" t="n">
        <f aca="false">FI28*DateDE1b!DE29/DateDE1b!DE30</f>
        <v>20.093152173913</v>
      </c>
      <c r="FJ27" s="1994" t="n">
        <f aca="false">FK27-FI27</f>
        <v>16.0826352718257</v>
      </c>
      <c r="FK27" s="2025" t="n">
        <f aca="false">FD27+FG27</f>
        <v>36.1757874457388</v>
      </c>
      <c r="FL27" s="1994"/>
      <c r="FM27" s="1994"/>
      <c r="FN27" s="1478"/>
      <c r="FO27" s="1995"/>
      <c r="FP27" s="1478"/>
      <c r="FQ27" s="1478"/>
      <c r="FR27" s="1997" t="n">
        <v>0</v>
      </c>
      <c r="FS27" s="1478"/>
      <c r="FT27" s="1478"/>
      <c r="FU27" s="1478"/>
      <c r="FV27" s="1478"/>
      <c r="FW27" s="2025"/>
      <c r="FX27" s="2026"/>
      <c r="FY27" s="2026"/>
      <c r="FZ27" s="2027"/>
      <c r="GA27" s="2015" t="n">
        <v>0</v>
      </c>
      <c r="GB27" s="402" t="n">
        <v>0.0334261838440113</v>
      </c>
      <c r="GC27" s="387" t="n">
        <v>0.0353302868164227</v>
      </c>
      <c r="GD27" s="387" t="n">
        <f aca="false">(G27/G26)/(1+GE27)-1</f>
        <v>0.0348163811947835</v>
      </c>
      <c r="GE27" s="387" t="n">
        <v>0.0277848585266378</v>
      </c>
      <c r="GF27" s="387" t="n">
        <v>0.0343980343980344</v>
      </c>
      <c r="GG27" s="387"/>
      <c r="GH27" s="465" t="n">
        <v>59544.7625</v>
      </c>
      <c r="GI27" s="465" t="n">
        <f aca="false">GJ27+GK27</f>
        <v>26688.264</v>
      </c>
      <c r="GJ27" s="465" t="n">
        <v>21744.511</v>
      </c>
      <c r="GK27" s="465" t="n">
        <v>4943.753</v>
      </c>
      <c r="GL27" s="25" t="n">
        <f aca="false">GL26+(GL$31-GL$21)/10</f>
        <v>0.2918</v>
      </c>
      <c r="GM27" s="25" t="n">
        <f aca="false">GK27/GI27</f>
        <v>0.185240711048122</v>
      </c>
      <c r="GN27" s="385" t="n">
        <v>59544.7625</v>
      </c>
      <c r="GO27" s="1932" t="n">
        <f aca="false">CX27</f>
        <v>46.6797715245366</v>
      </c>
      <c r="GP27" s="1932"/>
      <c r="GQ27" s="1932"/>
      <c r="GR27" s="1932"/>
      <c r="GS27" s="1509"/>
      <c r="GT27" s="1932"/>
      <c r="GU27" s="1478"/>
      <c r="GV27" s="1509"/>
      <c r="GW27" s="1478"/>
      <c r="GX27" s="1932"/>
      <c r="GY27" s="1478"/>
      <c r="GZ27" s="24"/>
      <c r="HA27" s="1478"/>
      <c r="HB27" s="1478"/>
      <c r="HC27" s="1478"/>
      <c r="HD27" s="1478"/>
      <c r="HE27" s="1478"/>
      <c r="HF27" s="1478"/>
      <c r="HG27" s="1478"/>
      <c r="HH27" s="1478"/>
      <c r="HI27" s="1478"/>
      <c r="HJ27" s="1478"/>
      <c r="HK27" s="387"/>
    </row>
    <row r="28" customFormat="false" ht="12" hidden="false" customHeight="false" outlineLevel="0" collapsed="false">
      <c r="A28" s="31" t="n">
        <f aca="false">A27+1</f>
        <v>1967</v>
      </c>
      <c r="B28" s="395" t="n">
        <f aca="false">E28+F28</f>
        <v>234.034914214422</v>
      </c>
      <c r="C28" s="432" t="n">
        <f aca="false">B28+CR28</f>
        <v>231.046672668528</v>
      </c>
      <c r="D28" s="1995" t="n">
        <f aca="false">B28-I28</f>
        <v>203.869452845197</v>
      </c>
      <c r="E28" s="1996" t="n">
        <f aca="false">CH28</f>
        <v>-0.109043423374037</v>
      </c>
      <c r="F28" s="395" t="n">
        <f aca="false">W28+BM28+J28</f>
        <v>234.143957637796</v>
      </c>
      <c r="G28" s="1478" t="n">
        <f aca="false">J28+X28+BN28</f>
        <v>264.06904768286</v>
      </c>
      <c r="H28" s="1997" t="n">
        <f aca="false">AA28+BP28</f>
        <v>29.9250900450639</v>
      </c>
      <c r="I28" s="1998" t="n">
        <f aca="false">I29*DateDE1b!K30/DateDE1b!K31</f>
        <v>30.1654613692248</v>
      </c>
      <c r="J28" s="395" t="n">
        <f aca="false">I28-CO28</f>
        <v>30.1654613692248</v>
      </c>
      <c r="K28" s="1478"/>
      <c r="L28" s="1478"/>
      <c r="M28" s="1478"/>
      <c r="N28" s="1478"/>
      <c r="O28" s="1478"/>
      <c r="P28" s="1478"/>
      <c r="Q28" s="1999"/>
      <c r="R28" s="1997" t="n">
        <f aca="false">R29*DateDE1b!L30/DateDE1b!L31</f>
        <v>149.563642944286</v>
      </c>
      <c r="S28" s="1997" t="n">
        <f aca="false">S29*DateDE1b!M30/DateDE1b!M31</f>
        <v>41.4572837418991</v>
      </c>
      <c r="T28" s="1997" t="n">
        <f aca="false">T29*DateDE1b!N30/DateDE1b!N31</f>
        <v>62.5987693959732</v>
      </c>
      <c r="U28" s="1997" t="n">
        <f aca="false">U29*DateDE1b!Q30/DateDE1b!Q31</f>
        <v>54.4535727272727</v>
      </c>
      <c r="V28" s="1997" t="n">
        <f aca="false">V29*DateDE1b!R30/DateDE1b!R31</f>
        <v>44.5573419973698</v>
      </c>
      <c r="W28" s="2000" t="n">
        <f aca="false">W29*DateDE1b!U30/DateDE1b!U31</f>
        <v>182.594475998301</v>
      </c>
      <c r="X28" s="1997" t="n">
        <f aca="false">W28+AA28</f>
        <v>208.751887471936</v>
      </c>
      <c r="Y28" s="1997" t="n">
        <f aca="false">Y29*DateDE1b!W30/DateDE1b!W31</f>
        <v>107.054673931154</v>
      </c>
      <c r="Z28" s="1997" t="n">
        <f aca="false">W28-Y28</f>
        <v>75.5398020671468</v>
      </c>
      <c r="AA28" s="1997" t="n">
        <f aca="false">AA29*DateDE1b!Y30/DateDE1b!Y31</f>
        <v>26.1574114736354</v>
      </c>
      <c r="AB28" s="2029" t="n">
        <f aca="false">AA28/X28</f>
        <v>0.125303832173263</v>
      </c>
      <c r="AC28" s="514"/>
      <c r="AD28" s="1997"/>
      <c r="AE28" s="1997"/>
      <c r="AF28" s="1997"/>
      <c r="AG28" s="1997"/>
      <c r="AH28" s="1997"/>
      <c r="AI28" s="2001"/>
      <c r="AJ28" s="2002"/>
      <c r="AK28" s="1478"/>
      <c r="AL28" s="1478"/>
      <c r="AM28" s="821"/>
      <c r="AN28" s="2003"/>
      <c r="AO28" s="2001"/>
      <c r="AP28" s="2004"/>
      <c r="AQ28" s="2004"/>
      <c r="AR28" s="1478"/>
      <c r="AS28" s="1478"/>
      <c r="AT28" s="1478"/>
      <c r="AU28" s="2005"/>
      <c r="AV28" s="2001"/>
      <c r="AW28" s="2004"/>
      <c r="AX28" s="2004"/>
      <c r="AY28" s="1932"/>
      <c r="AZ28" s="1478"/>
      <c r="BA28" s="1478"/>
      <c r="BB28" s="821"/>
      <c r="BC28" s="1478"/>
      <c r="BD28" s="1478"/>
      <c r="BE28" s="1509"/>
      <c r="BF28" s="1478"/>
      <c r="BG28" s="1478"/>
      <c r="BH28" s="1478"/>
      <c r="BI28" s="1478"/>
      <c r="BJ28" s="1509"/>
      <c r="BK28" s="1478"/>
      <c r="BL28" s="2003"/>
      <c r="BM28" s="2001" t="n">
        <f aca="false">BM29*DateDE1b!AM30/DateDE1b!AM31</f>
        <v>21.3840202702703</v>
      </c>
      <c r="BN28" s="2004" t="n">
        <f aca="false">BO28+BP28</f>
        <v>25.1516988416988</v>
      </c>
      <c r="BO28" s="1478" t="n">
        <f aca="false">BO29*DateDE1b!AO30/DateDE1b!AO31</f>
        <v>21.3840202702703</v>
      </c>
      <c r="BP28" s="1997" t="n">
        <f aca="false">BP29*DateDE1b!AP30/DateDE1b!AP31</f>
        <v>3.76767857142857</v>
      </c>
      <c r="BQ28" s="2005" t="n">
        <f aca="false">BP28/BN28</f>
        <v>0.149798174474885</v>
      </c>
      <c r="BR28" s="1509"/>
      <c r="BS28" s="1509"/>
      <c r="BT28" s="1509"/>
      <c r="BU28" s="1509"/>
      <c r="BV28" s="1509"/>
      <c r="BW28" s="1509"/>
      <c r="BX28" s="1478"/>
      <c r="BY28" s="1478"/>
      <c r="BZ28" s="1478"/>
      <c r="CA28" s="1509"/>
      <c r="CB28" s="1509"/>
      <c r="CC28" s="1478"/>
      <c r="CD28" s="1478"/>
      <c r="CE28" s="1478"/>
      <c r="CF28" s="1478"/>
      <c r="CG28" s="1509"/>
      <c r="CH28" s="1482" t="n">
        <f aca="false">CI28+CL28+CO28</f>
        <v>-0.109043423374037</v>
      </c>
      <c r="CI28" s="1479" t="n">
        <f aca="false">CJ28-CK28</f>
        <v>-0.897011459903718</v>
      </c>
      <c r="CJ28" s="1478" t="n">
        <f aca="false">CJ29*DateDE1b!BC30/DateDE1b!BC31</f>
        <v>1.51954780361757</v>
      </c>
      <c r="CK28" s="1478" t="n">
        <f aca="false">CK29*DateDE1b!BD30/DateDE1b!BD31</f>
        <v>2.41655926352129</v>
      </c>
      <c r="CL28" s="1479" t="n">
        <f aca="false">CM28-CN28</f>
        <v>0.78796803652968</v>
      </c>
      <c r="CM28" s="1478" t="n">
        <f aca="false">CM29*DateDE1b!BF30/DateDE1b!BF31</f>
        <v>1.00296803652968</v>
      </c>
      <c r="CN28" s="1478" t="n">
        <f aca="false">CN29*DateDE1b!BG30/DateDE1b!BG31</f>
        <v>0.215</v>
      </c>
      <c r="CO28" s="384" t="n">
        <v>0</v>
      </c>
      <c r="CP28" s="1997"/>
      <c r="CQ28" s="1997"/>
      <c r="CR28" s="1478" t="n">
        <f aca="false">CR29*DateDE1b!BK30/DateDE1b!BK31</f>
        <v>-2.98824154589372</v>
      </c>
      <c r="CS28" s="1478"/>
      <c r="CT28" s="1478"/>
      <c r="CU28" s="1478" t="n">
        <f aca="false">DateDE1b!BN30/DateDE1b!$B$5</f>
        <v>-0.301662209905769</v>
      </c>
      <c r="CV28" s="1478"/>
      <c r="CW28" s="1478"/>
      <c r="CX28" s="1998" t="n">
        <f aca="false">D28+DD28-DF28</f>
        <v>47.5093999375168</v>
      </c>
      <c r="CY28" s="2007" t="n">
        <f aca="false">CX28-DC28-DD28</f>
        <v>49.2193654885225</v>
      </c>
      <c r="CZ28" s="1509"/>
      <c r="DA28" s="2008"/>
      <c r="DB28" s="2009"/>
      <c r="DC28" s="2017" t="n">
        <f aca="false">CI28</f>
        <v>-0.897011459903718</v>
      </c>
      <c r="DD28" s="1478" t="n">
        <f aca="false">DateDE1b!BV30/DateDE1b!$B$5</f>
        <v>-0.812954091101988</v>
      </c>
      <c r="DE28" s="1478"/>
      <c r="DF28" s="2007" t="n">
        <f aca="false">DI28+DL28+DM28+DU28</f>
        <v>155.547098816578</v>
      </c>
      <c r="DG28" s="2010" t="n">
        <f aca="false">DG29*DateDE1b!BZ30/DateDE1b!BZ31</f>
        <v>129.223025732032</v>
      </c>
      <c r="DH28" s="2010" t="n">
        <f aca="false">DG28-DU28</f>
        <v>128.435057695502</v>
      </c>
      <c r="DI28" s="2011" t="n">
        <f aca="false">Y28</f>
        <v>107.054673931154</v>
      </c>
      <c r="DJ28" s="2012"/>
      <c r="DK28" s="2012"/>
      <c r="DL28" s="1509" t="n">
        <f aca="false">BM28</f>
        <v>21.3840202702703</v>
      </c>
      <c r="DM28" s="2009" t="n">
        <f aca="false">GK28*DN28*DH28/GJ28</f>
        <v>26.3204365786243</v>
      </c>
      <c r="DN28" s="2013" t="n">
        <f aca="false">DN29</f>
        <v>0.895905244977209</v>
      </c>
      <c r="DO28" s="2009"/>
      <c r="DP28" s="2009" t="n">
        <f aca="false">GK28*DH28/GJ28</f>
        <v>29.3785941383721</v>
      </c>
      <c r="DQ28" s="2009" t="n">
        <f aca="false">2/3*DP28</f>
        <v>19.5857294255814</v>
      </c>
      <c r="DR28" s="2009"/>
      <c r="DS28" s="2009"/>
      <c r="DT28" s="2014"/>
      <c r="DU28" s="2015" t="n">
        <f aca="false">CL28</f>
        <v>0.78796803652968</v>
      </c>
      <c r="DV28" s="2007" t="n">
        <f aca="false">DV29*DateDE1b!CE30/DateDE1b!CE31</f>
        <v>83.6152412591662</v>
      </c>
      <c r="DW28" s="1509" t="n">
        <f aca="false">I28</f>
        <v>30.1654613692248</v>
      </c>
      <c r="DX28" s="2017"/>
      <c r="DY28" s="2017"/>
      <c r="DZ28" s="2018"/>
      <c r="EA28" s="2018"/>
      <c r="EB28" s="1478" t="n">
        <f aca="false">EB29*DateDE1b!CL30/DateDE1b!CL31</f>
        <v>28.2631386861314</v>
      </c>
      <c r="EC28" s="2018"/>
      <c r="ED28" s="2018"/>
      <c r="EE28" s="1478"/>
      <c r="EF28" s="2017"/>
      <c r="EG28" s="2019" t="n">
        <f aca="false">EG29*DateDE1b!CQ30/DateDE1b!CQ31</f>
        <v>36.632484676504</v>
      </c>
      <c r="EH28" s="2020" t="n">
        <f aca="false">EG28-EI28</f>
        <v>30.0240301984702</v>
      </c>
      <c r="EI28" s="2020" t="n">
        <f aca="false">EG28*EI$41/EG$41</f>
        <v>6.60845447803375</v>
      </c>
      <c r="EJ28" s="2021"/>
      <c r="EK28" s="2022"/>
      <c r="EL28" s="2017"/>
      <c r="EM28" s="2017"/>
      <c r="EN28" s="2017"/>
      <c r="EO28" s="2017" t="n">
        <f aca="false">EO29*DateDE1b!CT30/DateDE1b!CT31</f>
        <v>48.256590462572</v>
      </c>
      <c r="EP28" s="2017" t="n">
        <f aca="false">EO28-S28</f>
        <v>6.79930672067285</v>
      </c>
      <c r="EQ28" s="2017" t="n">
        <f aca="false">DateDE1b!CV30/DateDE1b!$B$5</f>
        <v>-3.15978382579263</v>
      </c>
      <c r="ER28" s="2023" t="n">
        <f aca="false">EP28+EQ28</f>
        <v>3.63952289488022</v>
      </c>
      <c r="ES28" s="2017" t="n">
        <f aca="false">ES29*DateDE1b!CX30/DateDE1b!CX31</f>
        <v>10.2762799616491</v>
      </c>
      <c r="ET28" s="2017" t="n">
        <v>0</v>
      </c>
      <c r="EU28" s="2017" t="n">
        <f aca="false">ER28-ES28-ET28+BP28</f>
        <v>-2.86907849534031</v>
      </c>
      <c r="EV28" s="2024" t="n">
        <f aca="false">B28-DV28+EH28+DD28-CO28</f>
        <v>179.630749062624</v>
      </c>
      <c r="EW28" s="1478"/>
      <c r="EX28" s="1478"/>
      <c r="EY28" s="1478"/>
      <c r="EZ28" s="1478" t="n">
        <f aca="false">EV28+EI28</f>
        <v>186.239203540658</v>
      </c>
      <c r="FA28" s="1478"/>
      <c r="FB28" s="1478" t="n">
        <f aca="false">FB29*DateDE1b!DE30/DateDE1b!DE31</f>
        <v>18.6997463768116</v>
      </c>
      <c r="FC28" s="1478"/>
      <c r="FD28" s="1997" t="n">
        <f aca="false">T28+E28+U28-V28+CR28-H28-EP28</f>
        <v>32.6733183908715</v>
      </c>
      <c r="FE28" s="1997"/>
      <c r="FF28" s="1997"/>
      <c r="FG28" s="1997" t="n">
        <f aca="false">CU28-EQ28</f>
        <v>2.85812161588686</v>
      </c>
      <c r="FH28" s="514" t="n">
        <f aca="false">FG28/FD28</f>
        <v>0.0874757066819813</v>
      </c>
      <c r="FI28" s="1994" t="n">
        <f aca="false">FI29*DateDE1b!DE30/DateDE1b!DE31</f>
        <v>19.5739492753623</v>
      </c>
      <c r="FJ28" s="1994" t="n">
        <f aca="false">FK28-FI28</f>
        <v>15.9574907313961</v>
      </c>
      <c r="FK28" s="2025" t="n">
        <f aca="false">FD28+FG28</f>
        <v>35.5314400067584</v>
      </c>
      <c r="FL28" s="1994"/>
      <c r="FM28" s="1994"/>
      <c r="FN28" s="1478"/>
      <c r="FO28" s="1995"/>
      <c r="FP28" s="1478"/>
      <c r="FQ28" s="1478"/>
      <c r="FR28" s="1997" t="n">
        <v>0</v>
      </c>
      <c r="FS28" s="1478"/>
      <c r="FT28" s="1478"/>
      <c r="FU28" s="1478"/>
      <c r="FV28" s="1478"/>
      <c r="FW28" s="2025"/>
      <c r="FX28" s="2026"/>
      <c r="FY28" s="2026"/>
      <c r="FZ28" s="2027"/>
      <c r="GA28" s="2015" t="n">
        <v>0</v>
      </c>
      <c r="GB28" s="402" t="n">
        <v>0.0188679245283017</v>
      </c>
      <c r="GC28" s="387" t="n">
        <v>0.0179605436667458</v>
      </c>
      <c r="GD28" s="387" t="n">
        <f aca="false">(G28/G27)/(1+GE28)-1</f>
        <v>0.0154049776605576</v>
      </c>
      <c r="GE28" s="387" t="n">
        <v>-0.00297619047619047</v>
      </c>
      <c r="GF28" s="387" t="n">
        <v>0.0166270783847979</v>
      </c>
      <c r="GG28" s="387"/>
      <c r="GH28" s="465" t="n">
        <v>59870.704</v>
      </c>
      <c r="GI28" s="465" t="n">
        <f aca="false">GJ28+GK28</f>
        <v>25818.206</v>
      </c>
      <c r="GJ28" s="465" t="n">
        <v>21011.888</v>
      </c>
      <c r="GK28" s="465" t="n">
        <v>4806.318</v>
      </c>
      <c r="GL28" s="25" t="n">
        <f aca="false">GL27+(GL$31-GL$21)/10</f>
        <v>0.2931</v>
      </c>
      <c r="GM28" s="25" t="n">
        <f aca="false">GK28/GI28</f>
        <v>0.186160029864197</v>
      </c>
      <c r="GN28" s="385" t="n">
        <v>59870.704</v>
      </c>
      <c r="GO28" s="1932" t="n">
        <f aca="false">CX28</f>
        <v>47.5093999375168</v>
      </c>
      <c r="GP28" s="1932"/>
      <c r="GQ28" s="1932"/>
      <c r="GR28" s="1932"/>
      <c r="GS28" s="1509"/>
      <c r="GT28" s="1932"/>
      <c r="GU28" s="1478"/>
      <c r="GV28" s="1509"/>
      <c r="GW28" s="1478"/>
      <c r="GX28" s="1932"/>
      <c r="GY28" s="1478"/>
      <c r="GZ28" s="24"/>
      <c r="HA28" s="1478"/>
      <c r="HB28" s="1478"/>
      <c r="HC28" s="1478"/>
      <c r="HD28" s="1478"/>
      <c r="HE28" s="1478"/>
      <c r="HF28" s="1478"/>
      <c r="HG28" s="1478"/>
      <c r="HH28" s="1478"/>
      <c r="HI28" s="1478"/>
      <c r="HJ28" s="1478"/>
      <c r="HK28" s="387"/>
    </row>
    <row r="29" customFormat="false" ht="12" hidden="false" customHeight="false" outlineLevel="0" collapsed="false">
      <c r="A29" s="31" t="n">
        <f aca="false">A28+1</f>
        <v>1968</v>
      </c>
      <c r="B29" s="395" t="n">
        <f aca="false">E29+F29</f>
        <v>253.708420528518</v>
      </c>
      <c r="C29" s="432" t="n">
        <f aca="false">B29+CR29</f>
        <v>250.246149997117</v>
      </c>
      <c r="D29" s="1995" t="n">
        <f aca="false">B29-I29</f>
        <v>223.774852520235</v>
      </c>
      <c r="E29" s="1996" t="n">
        <f aca="false">CH29</f>
        <v>0.360606220090304</v>
      </c>
      <c r="F29" s="395" t="n">
        <f aca="false">W29+BM29+J29</f>
        <v>253.347814308427</v>
      </c>
      <c r="G29" s="1478" t="n">
        <f aca="false">J29+X29+BN29</f>
        <v>285.19632701856</v>
      </c>
      <c r="H29" s="1997" t="n">
        <f aca="false">AA29+BP29</f>
        <v>31.8485127101328</v>
      </c>
      <c r="I29" s="1998" t="n">
        <f aca="false">I30*DateDE1b!K31/DateDE1b!K32</f>
        <v>29.9335680082827</v>
      </c>
      <c r="J29" s="395" t="n">
        <f aca="false">I29-CO29</f>
        <v>29.9335680082827</v>
      </c>
      <c r="K29" s="1478"/>
      <c r="L29" s="1478"/>
      <c r="M29" s="1478"/>
      <c r="N29" s="1478"/>
      <c r="O29" s="1478"/>
      <c r="P29" s="1478"/>
      <c r="Q29" s="1999"/>
      <c r="R29" s="1997" t="n">
        <f aca="false">R30*DateDE1b!L31/DateDE1b!L32</f>
        <v>159.147188830148</v>
      </c>
      <c r="S29" s="1997" t="n">
        <f aca="false">S30*DateDE1b!M31/DateDE1b!M32</f>
        <v>42.845235277543</v>
      </c>
      <c r="T29" s="1997" t="n">
        <f aca="false">T30*DateDE1b!N31/DateDE1b!N32</f>
        <v>71.8553256375839</v>
      </c>
      <c r="U29" s="1997" t="n">
        <f aca="false">U30*DateDE1b!Q31/DateDE1b!Q32</f>
        <v>61.3970636363637</v>
      </c>
      <c r="V29" s="1997" t="n">
        <f aca="false">V30*DateDE1b!R31/DateDE1b!R32</f>
        <v>50.7562976715402</v>
      </c>
      <c r="W29" s="2000" t="n">
        <f aca="false">W30*DateDE1b!U31/DateDE1b!U32</f>
        <v>200.632945624469</v>
      </c>
      <c r="X29" s="1997" t="n">
        <f aca="false">W29+AA29</f>
        <v>228.375654763173</v>
      </c>
      <c r="Y29" s="1997" t="n">
        <f aca="false">Y30*DateDE1b!W31/DateDE1b!W32</f>
        <v>115.143956479723</v>
      </c>
      <c r="Z29" s="1997" t="n">
        <f aca="false">W29-Y29</f>
        <v>85.4889891447463</v>
      </c>
      <c r="AA29" s="1997" t="n">
        <f aca="false">AA30*DateDE1b!Y31/DateDE1b!Y32</f>
        <v>27.7427091387042</v>
      </c>
      <c r="AB29" s="1319" t="n">
        <f aca="false">AA29/X29</f>
        <v>0.121478399996153</v>
      </c>
      <c r="AC29" s="514"/>
      <c r="AD29" s="1997"/>
      <c r="AE29" s="1997"/>
      <c r="AF29" s="1997"/>
      <c r="AG29" s="1997"/>
      <c r="AH29" s="1997"/>
      <c r="AI29" s="2001"/>
      <c r="AJ29" s="2002"/>
      <c r="AK29" s="1478"/>
      <c r="AL29" s="1478"/>
      <c r="AM29" s="821"/>
      <c r="AN29" s="2003"/>
      <c r="AO29" s="2001"/>
      <c r="AP29" s="2004"/>
      <c r="AQ29" s="2004"/>
      <c r="AR29" s="1478"/>
      <c r="AS29" s="1478"/>
      <c r="AT29" s="1478"/>
      <c r="AU29" s="2005"/>
      <c r="AV29" s="2001"/>
      <c r="AW29" s="2004"/>
      <c r="AX29" s="2004"/>
      <c r="AY29" s="1932"/>
      <c r="AZ29" s="1478"/>
      <c r="BA29" s="1478"/>
      <c r="BB29" s="821"/>
      <c r="BC29" s="1478"/>
      <c r="BD29" s="1478"/>
      <c r="BE29" s="1509"/>
      <c r="BF29" s="1478"/>
      <c r="BG29" s="1478"/>
      <c r="BH29" s="1478"/>
      <c r="BI29" s="1478"/>
      <c r="BJ29" s="1509"/>
      <c r="BK29" s="1478"/>
      <c r="BL29" s="2003"/>
      <c r="BM29" s="2001" t="n">
        <f aca="false">BM30*DateDE1b!AM31/DateDE1b!AM32</f>
        <v>22.7813006756757</v>
      </c>
      <c r="BN29" s="2004" t="n">
        <f aca="false">BO29+BP29</f>
        <v>26.8871042471043</v>
      </c>
      <c r="BO29" s="1478" t="n">
        <f aca="false">BO30*DateDE1b!AO31/DateDE1b!AO32</f>
        <v>22.7813006756757</v>
      </c>
      <c r="BP29" s="1997" t="n">
        <f aca="false">BP30*DateDE1b!AP31/DateDE1b!AP32</f>
        <v>4.10580357142858</v>
      </c>
      <c r="BQ29" s="2005" t="n">
        <f aca="false">BP29/BN29</f>
        <v>0.152705309344377</v>
      </c>
      <c r="BR29" s="1509"/>
      <c r="BS29" s="1509"/>
      <c r="BT29" s="1509"/>
      <c r="BU29" s="1509"/>
      <c r="BV29" s="1509"/>
      <c r="BW29" s="1509"/>
      <c r="BX29" s="1478"/>
      <c r="BY29" s="1478"/>
      <c r="BZ29" s="1478"/>
      <c r="CA29" s="1509"/>
      <c r="CB29" s="1509"/>
      <c r="CC29" s="1478"/>
      <c r="CD29" s="1478"/>
      <c r="CE29" s="1478"/>
      <c r="CF29" s="1478"/>
      <c r="CG29" s="1509"/>
      <c r="CH29" s="1482" t="n">
        <f aca="false">CI29+CL29+CO29</f>
        <v>0.360606220090304</v>
      </c>
      <c r="CI29" s="1479" t="n">
        <f aca="false">CJ29-CK29</f>
        <v>-0.454013806002325</v>
      </c>
      <c r="CJ29" s="1478" t="n">
        <f aca="false">CJ30*DateDE1b!BC31/DateDE1b!BC32</f>
        <v>1.8852842377261</v>
      </c>
      <c r="CK29" s="1478" t="n">
        <f aca="false">CK30*DateDE1b!BD31/DateDE1b!BD32</f>
        <v>2.33929804372842</v>
      </c>
      <c r="CL29" s="1479" t="n">
        <f aca="false">CM29-CN29</f>
        <v>0.814620026092629</v>
      </c>
      <c r="CM29" s="1478" t="n">
        <f aca="false">CM30*DateDE1b!BF31/DateDE1b!BF32</f>
        <v>1.04497716894977</v>
      </c>
      <c r="CN29" s="1478" t="n">
        <f aca="false">CN30*DateDE1b!BG31/DateDE1b!BG32</f>
        <v>0.230357142857143</v>
      </c>
      <c r="CO29" s="384" t="n">
        <v>0</v>
      </c>
      <c r="CP29" s="1997"/>
      <c r="CQ29" s="1997"/>
      <c r="CR29" s="1478" t="n">
        <f aca="false">CR30*DateDE1b!BK31/DateDE1b!BK32</f>
        <v>-3.46227053140097</v>
      </c>
      <c r="CS29" s="1478"/>
      <c r="CT29" s="1478"/>
      <c r="CU29" s="1478" t="n">
        <f aca="false">DateDE1b!BN31/DateDE1b!$B$5</f>
        <v>-0.311888047529693</v>
      </c>
      <c r="CV29" s="1478"/>
      <c r="CW29" s="1478"/>
      <c r="CX29" s="1998" t="n">
        <f aca="false">D29+DD29-DF29</f>
        <v>56.5274881912635</v>
      </c>
      <c r="CY29" s="2007" t="n">
        <f aca="false">CX29-DC29-DD29</f>
        <v>58.039876191342</v>
      </c>
      <c r="CZ29" s="1509"/>
      <c r="DA29" s="2008"/>
      <c r="DB29" s="2009"/>
      <c r="DC29" s="2017" t="n">
        <f aca="false">CI29</f>
        <v>-0.454013806002325</v>
      </c>
      <c r="DD29" s="1478" t="n">
        <f aca="false">DateDE1b!BV31/DateDE1b!$B$5</f>
        <v>-1.05837419407617</v>
      </c>
      <c r="DE29" s="1478"/>
      <c r="DF29" s="2007" t="n">
        <f aca="false">DI29+DL29+DM29+DU29</f>
        <v>166.188990134895</v>
      </c>
      <c r="DG29" s="2010" t="n">
        <f aca="false">DG30*DateDE1b!BZ31/DateDE1b!BZ32</f>
        <v>138.736188442768</v>
      </c>
      <c r="DH29" s="2010" t="n">
        <f aca="false">DG29-DU29</f>
        <v>137.921568416676</v>
      </c>
      <c r="DI29" s="2011" t="n">
        <f aca="false">Y29</f>
        <v>115.143956479723</v>
      </c>
      <c r="DJ29" s="2012"/>
      <c r="DK29" s="2012"/>
      <c r="DL29" s="1509" t="n">
        <f aca="false">BM29</f>
        <v>22.7813006756757</v>
      </c>
      <c r="DM29" s="2009" t="n">
        <f aca="false">GK29*DN29*DH29/GJ29</f>
        <v>27.4491129534043</v>
      </c>
      <c r="DN29" s="2013" t="n">
        <f aca="false">DN30</f>
        <v>0.895905244977209</v>
      </c>
      <c r="DO29" s="2009"/>
      <c r="DP29" s="2009" t="n">
        <f aca="false">GK29*DH29/GJ29</f>
        <v>30.6384108222322</v>
      </c>
      <c r="DQ29" s="2009" t="n">
        <f aca="false">2/3*DP29</f>
        <v>20.4256072148214</v>
      </c>
      <c r="DR29" s="2009"/>
      <c r="DS29" s="2009"/>
      <c r="DT29" s="2014"/>
      <c r="DU29" s="2015" t="n">
        <f aca="false">CL29</f>
        <v>0.814620026092629</v>
      </c>
      <c r="DV29" s="2007" t="n">
        <f aca="false">DV30*DateDE1b!CE31/DateDE1b!CE32</f>
        <v>92.3712676741077</v>
      </c>
      <c r="DW29" s="1509" t="n">
        <f aca="false">I29</f>
        <v>29.9335680082827</v>
      </c>
      <c r="DX29" s="2017"/>
      <c r="DY29" s="2017"/>
      <c r="DZ29" s="2018"/>
      <c r="EA29" s="2018"/>
      <c r="EB29" s="1478" t="n">
        <f aca="false">EB30*DateDE1b!CL31/DateDE1b!CL32</f>
        <v>31.1585825288439</v>
      </c>
      <c r="EC29" s="2018"/>
      <c r="ED29" s="2018"/>
      <c r="EE29" s="1478"/>
      <c r="EF29" s="2017"/>
      <c r="EG29" s="2019" t="n">
        <f aca="false">EG30*DateDE1b!CQ31/DateDE1b!CQ32</f>
        <v>38.3256469920545</v>
      </c>
      <c r="EH29" s="2020" t="n">
        <f aca="false">EG29-EI29</f>
        <v>31.4117481472231</v>
      </c>
      <c r="EI29" s="2020" t="n">
        <f aca="false">EG29*EI$41/EG$41</f>
        <v>6.91389884483135</v>
      </c>
      <c r="EJ29" s="2021"/>
      <c r="EK29" s="2022"/>
      <c r="EL29" s="2017"/>
      <c r="EM29" s="2017"/>
      <c r="EN29" s="2017"/>
      <c r="EO29" s="2017" t="n">
        <f aca="false">EO30*DateDE1b!CT31/DateDE1b!CT32</f>
        <v>51.7714709950644</v>
      </c>
      <c r="EP29" s="2017" t="n">
        <f aca="false">EO29-S29</f>
        <v>8.92623571752147</v>
      </c>
      <c r="EQ29" s="2017" t="n">
        <f aca="false">DateDE1b!CV31/DateDE1b!$B$5</f>
        <v>-3.16489674460459</v>
      </c>
      <c r="ER29" s="2023" t="n">
        <f aca="false">EP29+EQ29</f>
        <v>5.76133897291687</v>
      </c>
      <c r="ES29" s="2017" t="n">
        <f aca="false">ES30*DateDE1b!CX31/DateDE1b!CX32</f>
        <v>11.261975071908</v>
      </c>
      <c r="ET29" s="2017" t="n">
        <v>0</v>
      </c>
      <c r="EU29" s="2017" t="n">
        <f aca="false">ER29-ES29-ET29+BP29</f>
        <v>-1.39483252756251</v>
      </c>
      <c r="EV29" s="2024" t="n">
        <f aca="false">B29-DV29+EH29+DD29-CO29</f>
        <v>191.690526807557</v>
      </c>
      <c r="EW29" s="1478"/>
      <c r="EX29" s="1478"/>
      <c r="EY29" s="1478"/>
      <c r="EZ29" s="1478" t="n">
        <f aca="false">EV29+EI29</f>
        <v>198.604425652388</v>
      </c>
      <c r="FA29" s="1478"/>
      <c r="FB29" s="1478" t="n">
        <f aca="false">FB30*DateDE1b!DE31/DateDE1b!DE32</f>
        <v>22.5686594202899</v>
      </c>
      <c r="FC29" s="1478"/>
      <c r="FD29" s="1997" t="n">
        <f aca="false">T29+E29+U29-V29+CR29-H29-EP29</f>
        <v>38.6196788634425</v>
      </c>
      <c r="FE29" s="1997"/>
      <c r="FF29" s="1997"/>
      <c r="FG29" s="1997" t="n">
        <f aca="false">CU29-EQ29</f>
        <v>2.8530086970749</v>
      </c>
      <c r="FH29" s="514" t="n">
        <f aca="false">FG29/FD29</f>
        <v>0.0738744800847002</v>
      </c>
      <c r="FI29" s="1994" t="n">
        <f aca="false">FI30*DateDE1b!DE31/DateDE1b!DE32</f>
        <v>23.623731884058</v>
      </c>
      <c r="FJ29" s="1994" t="n">
        <f aca="false">FK29-FI29</f>
        <v>17.8489556764594</v>
      </c>
      <c r="FK29" s="2025" t="n">
        <f aca="false">FD29+FG29</f>
        <v>41.4726875605174</v>
      </c>
      <c r="FL29" s="1994"/>
      <c r="FM29" s="1994"/>
      <c r="FN29" s="1478"/>
      <c r="FO29" s="1995"/>
      <c r="FP29" s="1478"/>
      <c r="FQ29" s="1478"/>
      <c r="FR29" s="1997" t="n">
        <v>0</v>
      </c>
      <c r="FS29" s="1478"/>
      <c r="FT29" s="1478"/>
      <c r="FU29" s="1478"/>
      <c r="FV29" s="1478"/>
      <c r="FW29" s="2025"/>
      <c r="FX29" s="2026"/>
      <c r="FY29" s="2026"/>
      <c r="FZ29" s="2027"/>
      <c r="GA29" s="2015" t="n">
        <v>0</v>
      </c>
      <c r="GB29" s="402" t="n">
        <v>0.0158730158730158</v>
      </c>
      <c r="GC29" s="387" t="n">
        <v>0.0147032523877932</v>
      </c>
      <c r="GD29" s="387" t="n">
        <f aca="false">(G29/G28)/(1+GE29)-1</f>
        <v>0.0242101261638155</v>
      </c>
      <c r="GE29" s="387" t="n">
        <v>0.0544776119402985</v>
      </c>
      <c r="GF29" s="387" t="n">
        <v>0.016355140186916</v>
      </c>
      <c r="GG29" s="387"/>
      <c r="GH29" s="465" t="n">
        <v>60205.7535</v>
      </c>
      <c r="GI29" s="465" t="n">
        <f aca="false">GJ29+GK29</f>
        <v>25842.9</v>
      </c>
      <c r="GJ29" s="465" t="n">
        <v>21145.549</v>
      </c>
      <c r="GK29" s="465" t="n">
        <v>4697.351</v>
      </c>
      <c r="GL29" s="25" t="n">
        <f aca="false">GL28+(GL$31-GL$21)/10</f>
        <v>0.2944</v>
      </c>
      <c r="GM29" s="25" t="n">
        <f aca="false">GK29/GI29</f>
        <v>0.181765630018303</v>
      </c>
      <c r="GN29" s="385" t="n">
        <v>60205.7535</v>
      </c>
      <c r="GO29" s="1932" t="n">
        <f aca="false">CX29</f>
        <v>56.5274881912635</v>
      </c>
      <c r="GP29" s="1932"/>
      <c r="GQ29" s="1932"/>
      <c r="GR29" s="1932"/>
      <c r="GS29" s="1509"/>
      <c r="GT29" s="1932"/>
      <c r="GU29" s="1478"/>
      <c r="GV29" s="1509"/>
      <c r="GW29" s="1478"/>
      <c r="GX29" s="1932"/>
      <c r="GY29" s="1478"/>
      <c r="GZ29" s="24"/>
      <c r="HA29" s="1478"/>
      <c r="HB29" s="1478"/>
      <c r="HC29" s="1478"/>
      <c r="HD29" s="1478"/>
      <c r="HE29" s="1478"/>
      <c r="HF29" s="1478"/>
      <c r="HG29" s="1478"/>
      <c r="HH29" s="1478"/>
      <c r="HI29" s="1478"/>
      <c r="HJ29" s="1478"/>
      <c r="HK29" s="387"/>
    </row>
    <row r="30" customFormat="false" ht="12" hidden="false" customHeight="false" outlineLevel="0" collapsed="false">
      <c r="A30" s="31" t="n">
        <f aca="false">A29+1</f>
        <v>1969</v>
      </c>
      <c r="B30" s="395" t="n">
        <f aca="false">E30+F30</f>
        <v>284.726698676712</v>
      </c>
      <c r="C30" s="432" t="n">
        <f aca="false">B30+CR30</f>
        <v>280.511558580094</v>
      </c>
      <c r="D30" s="1995" t="n">
        <f aca="false">B30-I30</f>
        <v>247.691396489576</v>
      </c>
      <c r="E30" s="1996" t="n">
        <f aca="false">CH30</f>
        <v>0.547783711441189</v>
      </c>
      <c r="F30" s="395" t="n">
        <f aca="false">W30+BM30+J30</f>
        <v>284.178914965271</v>
      </c>
      <c r="G30" s="1478" t="n">
        <f aca="false">J30+X30+BN30</f>
        <v>318.796487388821</v>
      </c>
      <c r="H30" s="1997" t="n">
        <f aca="false">AA30+BP30</f>
        <v>34.6175724235496</v>
      </c>
      <c r="I30" s="1998" t="n">
        <f aca="false">I31*DateDE1b!K32/DateDE1b!K33</f>
        <v>37.035302187136</v>
      </c>
      <c r="J30" s="395" t="n">
        <f aca="false">I30-CO30</f>
        <v>37.035302187136</v>
      </c>
      <c r="K30" s="1478"/>
      <c r="L30" s="1478"/>
      <c r="M30" s="1478"/>
      <c r="N30" s="1478"/>
      <c r="O30" s="1478"/>
      <c r="P30" s="1478"/>
      <c r="Q30" s="1999"/>
      <c r="R30" s="1997" t="n">
        <f aca="false">R31*DateDE1b!L32/DateDE1b!L33</f>
        <v>175.107417649451</v>
      </c>
      <c r="S30" s="1997" t="n">
        <f aca="false">S31*DateDE1b!M32/DateDE1b!M33</f>
        <v>48.2261369399831</v>
      </c>
      <c r="T30" s="1997" t="n">
        <f aca="false">T31*DateDE1b!N32/DateDE1b!N33</f>
        <v>86.0127355704698</v>
      </c>
      <c r="U30" s="1997" t="n">
        <f aca="false">U31*DateDE1b!Q32/DateDE1b!Q33</f>
        <v>69.7907090909091</v>
      </c>
      <c r="V30" s="1997" t="n">
        <f aca="false">V31*DateDE1b!R32/DateDE1b!R33</f>
        <v>60.5028807921405</v>
      </c>
      <c r="W30" s="2000" t="n">
        <f aca="false">W31*DateDE1b!U32/DateDE1b!U33</f>
        <v>221.322075615973</v>
      </c>
      <c r="X30" s="1997" t="n">
        <f aca="false">W30+AA30</f>
        <v>251.383011134761</v>
      </c>
      <c r="Y30" s="1997" t="n">
        <f aca="false">Y31*DateDE1b!W32/DateDE1b!W33</f>
        <v>129.433653570595</v>
      </c>
      <c r="Z30" s="1997" t="n">
        <f aca="false">W30-Y30</f>
        <v>91.8884220453774</v>
      </c>
      <c r="AA30" s="1997" t="n">
        <f aca="false">AA31*DateDE1b!Y32/DateDE1b!Y33</f>
        <v>30.0609355187877</v>
      </c>
      <c r="AB30" s="1319" t="n">
        <f aca="false">AA30/X30</f>
        <v>0.119582207974559</v>
      </c>
      <c r="AC30" s="514"/>
      <c r="AD30" s="1997"/>
      <c r="AE30" s="2017"/>
      <c r="AF30" s="1997"/>
      <c r="AG30" s="1997"/>
      <c r="AH30" s="1997"/>
      <c r="AI30" s="2001"/>
      <c r="AJ30" s="2002"/>
      <c r="AK30" s="1478"/>
      <c r="AL30" s="1478"/>
      <c r="AM30" s="821"/>
      <c r="AN30" s="2030"/>
      <c r="AO30" s="2001"/>
      <c r="AP30" s="2004"/>
      <c r="AQ30" s="2004"/>
      <c r="AR30" s="1478"/>
      <c r="AS30" s="1478"/>
      <c r="AT30" s="1478"/>
      <c r="AU30" s="2005"/>
      <c r="AV30" s="2001"/>
      <c r="AW30" s="2004"/>
      <c r="AX30" s="2004"/>
      <c r="AY30" s="1932"/>
      <c r="AZ30" s="1478"/>
      <c r="BA30" s="1478"/>
      <c r="BB30" s="821"/>
      <c r="BC30" s="1478"/>
      <c r="BD30" s="1478"/>
      <c r="BE30" s="1509"/>
      <c r="BF30" s="1478"/>
      <c r="BG30" s="1478"/>
      <c r="BH30" s="1478"/>
      <c r="BI30" s="1478"/>
      <c r="BJ30" s="1509"/>
      <c r="BK30" s="1478"/>
      <c r="BL30" s="2003"/>
      <c r="BM30" s="2001" t="n">
        <f aca="false">BM31*DateDE1b!AM32/DateDE1b!AM33</f>
        <v>25.8215371621622</v>
      </c>
      <c r="BN30" s="2004" t="n">
        <f aca="false">BO30+BP30</f>
        <v>30.3781740669241</v>
      </c>
      <c r="BO30" s="1478" t="n">
        <f aca="false">BO31*DateDE1b!AO32/DateDE1b!AO33</f>
        <v>25.8215371621622</v>
      </c>
      <c r="BP30" s="1997" t="n">
        <f aca="false">BP31*DateDE1b!AP32/DateDE1b!AP33</f>
        <v>4.5566369047619</v>
      </c>
      <c r="BQ30" s="2005" t="n">
        <f aca="false">BP30/BN30</f>
        <v>0.149997063507619</v>
      </c>
      <c r="BR30" s="1509"/>
      <c r="BS30" s="1509"/>
      <c r="BT30" s="1509"/>
      <c r="BU30" s="1509"/>
      <c r="BV30" s="1509"/>
      <c r="BW30" s="1509"/>
      <c r="BX30" s="1478"/>
      <c r="BY30" s="1478"/>
      <c r="BZ30" s="1478"/>
      <c r="CA30" s="1509"/>
      <c r="CB30" s="1509"/>
      <c r="CC30" s="1478"/>
      <c r="CD30" s="1478"/>
      <c r="CE30" s="1478"/>
      <c r="CF30" s="1478"/>
      <c r="CG30" s="1509"/>
      <c r="CH30" s="1482" t="n">
        <f aca="false">CI30+CL30+CO30</f>
        <v>0.547783711441189</v>
      </c>
      <c r="CI30" s="1479" t="n">
        <f aca="false">CJ30-CK30</f>
        <v>-0.221557449680794</v>
      </c>
      <c r="CJ30" s="1478" t="n">
        <f aca="false">CJ31*DateDE1b!BC32/DateDE1b!BC33</f>
        <v>2.5383850129199</v>
      </c>
      <c r="CK30" s="1478" t="n">
        <f aca="false">CK31*DateDE1b!BD32/DateDE1b!BD33</f>
        <v>2.75994246260069</v>
      </c>
      <c r="CL30" s="1479" t="n">
        <f aca="false">CM30-CN30</f>
        <v>0.769341161121983</v>
      </c>
      <c r="CM30" s="1478" t="n">
        <f aca="false">CM31*DateDE1b!BF32/DateDE1b!BF33</f>
        <v>1.07648401826484</v>
      </c>
      <c r="CN30" s="1478" t="n">
        <f aca="false">CN31*DateDE1b!BG32/DateDE1b!BG33</f>
        <v>0.307142857142857</v>
      </c>
      <c r="CO30" s="2031" t="n">
        <v>0</v>
      </c>
      <c r="CP30" s="2023"/>
      <c r="CQ30" s="2023"/>
      <c r="CR30" s="1478" t="n">
        <f aca="false">CR31*DateDE1b!BK32/DateDE1b!BK33</f>
        <v>-4.21514009661836</v>
      </c>
      <c r="CS30" s="1478"/>
      <c r="CT30" s="1478"/>
      <c r="CU30" s="1478" t="n">
        <f aca="false">DateDE1b!BN32/DateDE1b!$B$5</f>
        <v>-0.301662209905769</v>
      </c>
      <c r="CV30" s="1478"/>
      <c r="CW30" s="1478"/>
      <c r="CX30" s="1998" t="n">
        <f aca="false">D30+DD30-DF30</f>
        <v>61.6649267154627</v>
      </c>
      <c r="CY30" s="2007" t="n">
        <f aca="false">CX30-DC30-DD30</f>
        <v>62.9601971156555</v>
      </c>
      <c r="CZ30" s="1509"/>
      <c r="DA30" s="2008"/>
      <c r="DB30" s="2009"/>
      <c r="DC30" s="2017" t="n">
        <f aca="false">CI30</f>
        <v>-0.221557449680794</v>
      </c>
      <c r="DD30" s="1478" t="n">
        <f aca="false">DateDE1b!BV32/DateDE1b!$B$5</f>
        <v>-1.07371295051206</v>
      </c>
      <c r="DE30" s="1478"/>
      <c r="DF30" s="2007" t="n">
        <f aca="false">DI30+DL30+DM30+DU30</f>
        <v>184.952756823601</v>
      </c>
      <c r="DG30" s="2010" t="n">
        <f aca="false">DG31*DateDE1b!BZ32/DateDE1b!BZ33</f>
        <v>156.023052074091</v>
      </c>
      <c r="DH30" s="2010" t="n">
        <f aca="false">DG30-DU30</f>
        <v>155.253710912969</v>
      </c>
      <c r="DI30" s="2011" t="n">
        <f aca="false">Y30</f>
        <v>129.433653570595</v>
      </c>
      <c r="DJ30" s="2012"/>
      <c r="DK30" s="2012"/>
      <c r="DL30" s="1509" t="n">
        <f aca="false">BM30</f>
        <v>25.8215371621622</v>
      </c>
      <c r="DM30" s="2009" t="n">
        <f aca="false">GK30*DN30*DH30/GJ30</f>
        <v>28.9282249297218</v>
      </c>
      <c r="DN30" s="2013" t="n">
        <f aca="false">DN31</f>
        <v>0.895905244977209</v>
      </c>
      <c r="DO30" s="2009"/>
      <c r="DP30" s="2009" t="n">
        <f aca="false">GK30*DH30/GJ30</f>
        <v>32.289380034222</v>
      </c>
      <c r="DQ30" s="2009" t="n">
        <f aca="false">2/3*DP30</f>
        <v>21.526253356148</v>
      </c>
      <c r="DR30" s="2009"/>
      <c r="DS30" s="2009"/>
      <c r="DT30" s="2014"/>
      <c r="DU30" s="2015" t="n">
        <f aca="false">CL30</f>
        <v>0.769341161121983</v>
      </c>
      <c r="DV30" s="2007" t="n">
        <f aca="false">DV31*DateDE1b!CE32/DateDE1b!CE33</f>
        <v>107.569227808613</v>
      </c>
      <c r="DW30" s="1509" t="n">
        <f aca="false">I30</f>
        <v>37.035302187136</v>
      </c>
      <c r="DX30" s="2017"/>
      <c r="DY30" s="2017"/>
      <c r="DZ30" s="2018"/>
      <c r="EA30" s="2018"/>
      <c r="EB30" s="1478" t="n">
        <f aca="false">EB31*DateDE1b!CL32/DateDE1b!CL33</f>
        <v>35.7822757240405</v>
      </c>
      <c r="EC30" s="2018"/>
      <c r="ED30" s="2018"/>
      <c r="EE30" s="1478"/>
      <c r="EF30" s="2017"/>
      <c r="EG30" s="2019" t="n">
        <f aca="false">EG31*DateDE1b!CQ32/DateDE1b!CQ33</f>
        <v>41.5181759364359</v>
      </c>
      <c r="EH30" s="2020" t="n">
        <f aca="false">EG30-EI30</f>
        <v>34.0283488578235</v>
      </c>
      <c r="EI30" s="2020" t="n">
        <f aca="false">EG30*EI$41/EG$41</f>
        <v>7.48982707861238</v>
      </c>
      <c r="EJ30" s="2021"/>
      <c r="EK30" s="2022"/>
      <c r="EL30" s="2017"/>
      <c r="EM30" s="2017"/>
      <c r="EN30" s="2017"/>
      <c r="EO30" s="2017" t="n">
        <f aca="false">EO31*DateDE1b!CT32/DateDE1b!CT33</f>
        <v>65.136074051275</v>
      </c>
      <c r="EP30" s="2017" t="n">
        <f aca="false">EO30-S30</f>
        <v>16.9099371112919</v>
      </c>
      <c r="EQ30" s="2017" t="n">
        <f aca="false">DateDE1b!CV32/DateDE1b!$B$5</f>
        <v>-4.45846520403103</v>
      </c>
      <c r="ER30" s="2023" t="n">
        <f aca="false">EP30+EQ30</f>
        <v>12.4514719072609</v>
      </c>
      <c r="ES30" s="2017" t="n">
        <f aca="false">ES31*DateDE1b!CX32/DateDE1b!CX33</f>
        <v>12.9229530201342</v>
      </c>
      <c r="ET30" s="2017" t="n">
        <v>0</v>
      </c>
      <c r="EU30" s="2017" t="n">
        <f aca="false">ER30-ES30-ET30+BP30</f>
        <v>4.08515579188857</v>
      </c>
      <c r="EV30" s="2024" t="n">
        <f aca="false">B30-DV30+EH30+DD30-CO30</f>
        <v>210.11210677541</v>
      </c>
      <c r="EW30" s="1478"/>
      <c r="EX30" s="1478"/>
      <c r="EY30" s="1478"/>
      <c r="EZ30" s="1478" t="n">
        <f aca="false">EV30+EI30</f>
        <v>217.601933854023</v>
      </c>
      <c r="FA30" s="1478"/>
      <c r="FB30" s="1478" t="n">
        <f aca="false">FB31*DateDE1b!DE32/DateDE1b!DE33</f>
        <v>26.2391666666667</v>
      </c>
      <c r="FC30" s="1478"/>
      <c r="FD30" s="1997" t="n">
        <f aca="false">T30+E30+U30-V30+CR30-H30-EP30</f>
        <v>40.1056979492197</v>
      </c>
      <c r="FE30" s="1997"/>
      <c r="FF30" s="1997"/>
      <c r="FG30" s="1997" t="n">
        <f aca="false">CU30-EQ30</f>
        <v>4.15680299412526</v>
      </c>
      <c r="FH30" s="514" t="n">
        <f aca="false">FG30/FD30</f>
        <v>0.103646195096478</v>
      </c>
      <c r="FI30" s="1994" t="n">
        <f aca="false">FI31*DateDE1b!DE32/DateDE1b!DE33</f>
        <v>27.4658333333333</v>
      </c>
      <c r="FJ30" s="1994" t="n">
        <f aca="false">FK30-FI30</f>
        <v>16.7966676100116</v>
      </c>
      <c r="FK30" s="2025" t="n">
        <f aca="false">FD30+FG30</f>
        <v>44.262500943345</v>
      </c>
      <c r="FL30" s="1994"/>
      <c r="FM30" s="1994"/>
      <c r="FN30" s="1478"/>
      <c r="FO30" s="1995"/>
      <c r="FP30" s="1478"/>
      <c r="FQ30" s="1478"/>
      <c r="FR30" s="1997" t="n">
        <v>0</v>
      </c>
      <c r="FS30" s="1478"/>
      <c r="FT30" s="1478"/>
      <c r="FU30" s="1478"/>
      <c r="FV30" s="1478"/>
      <c r="FW30" s="2025"/>
      <c r="FX30" s="2026"/>
      <c r="FY30" s="2026"/>
      <c r="FZ30" s="2027"/>
      <c r="GA30" s="2015" t="n">
        <v>0</v>
      </c>
      <c r="GB30" s="402" t="n">
        <v>0.0182291666666667</v>
      </c>
      <c r="GC30" s="387" t="n">
        <v>0.0191265481699359</v>
      </c>
      <c r="GD30" s="387" t="n">
        <f aca="false">(G30/G29)/(1+GE30)-1</f>
        <v>0.0402665521362096</v>
      </c>
      <c r="GE30" s="387" t="n">
        <v>0.0745458834630808</v>
      </c>
      <c r="GF30" s="387" t="n">
        <v>0.018390804597701</v>
      </c>
      <c r="GG30" s="387"/>
      <c r="GH30" s="465" t="n">
        <v>60828.812</v>
      </c>
      <c r="GI30" s="465" t="n">
        <f aca="false">GJ30+GK30</f>
        <v>26251.112</v>
      </c>
      <c r="GJ30" s="465" t="n">
        <v>21731.446</v>
      </c>
      <c r="GK30" s="465" t="n">
        <v>4519.666</v>
      </c>
      <c r="GL30" s="25" t="n">
        <f aca="false">GL29+(GL$31-GL$21)/10</f>
        <v>0.2957</v>
      </c>
      <c r="GM30" s="25" t="n">
        <f aca="false">GK30/GI30</f>
        <v>0.172170458912369</v>
      </c>
      <c r="GN30" s="385" t="n">
        <v>60828.812</v>
      </c>
      <c r="GO30" s="1932" t="n">
        <f aca="false">CX30</f>
        <v>61.6649267154627</v>
      </c>
      <c r="GP30" s="1932"/>
      <c r="GQ30" s="1932"/>
      <c r="GR30" s="1932"/>
      <c r="GS30" s="1509"/>
      <c r="GT30" s="1932"/>
      <c r="GU30" s="1478"/>
      <c r="GV30" s="1509"/>
      <c r="GW30" s="1478"/>
      <c r="GX30" s="1932"/>
      <c r="GY30" s="1478"/>
      <c r="GZ30" s="24"/>
      <c r="HA30" s="1478"/>
      <c r="HB30" s="1478"/>
      <c r="HC30" s="1478"/>
      <c r="HD30" s="1478"/>
      <c r="HE30" s="1478"/>
      <c r="HF30" s="1478"/>
      <c r="HG30" s="1478"/>
      <c r="HH30" s="1478"/>
      <c r="HI30" s="1478"/>
      <c r="HJ30" s="1478"/>
      <c r="HK30" s="387"/>
    </row>
    <row r="31" customFormat="false" ht="12" hidden="false" customHeight="false" outlineLevel="0" collapsed="false">
      <c r="A31" s="31" t="n">
        <f aca="false">A30+1</f>
        <v>1970</v>
      </c>
      <c r="B31" s="395" t="n">
        <v>321.12</v>
      </c>
      <c r="C31" s="432" t="n">
        <f aca="false">B31+CR31</f>
        <v>316.31</v>
      </c>
      <c r="D31" s="384" t="n">
        <f aca="false">B31-I31</f>
        <v>283.79</v>
      </c>
      <c r="E31" s="1996" t="n">
        <f aca="false">CH31</f>
        <v>1.04</v>
      </c>
      <c r="F31" s="395" t="n">
        <f aca="false">G31-H31</f>
        <v>320.08</v>
      </c>
      <c r="G31" s="1997" t="n">
        <v>360.6</v>
      </c>
      <c r="H31" s="1997" t="n">
        <v>40.52</v>
      </c>
      <c r="I31" s="853" t="n">
        <v>37.33</v>
      </c>
      <c r="J31" s="395" t="n">
        <f aca="false">I31-CO31</f>
        <v>36.65</v>
      </c>
      <c r="K31" s="1478"/>
      <c r="L31" s="1478"/>
      <c r="M31" s="1478"/>
      <c r="N31" s="1478"/>
      <c r="O31" s="1478"/>
      <c r="P31" s="1478" t="n">
        <v>0.02</v>
      </c>
      <c r="Q31" s="1999" t="n">
        <v>-1.67</v>
      </c>
      <c r="R31" s="1997" t="n">
        <v>195.19</v>
      </c>
      <c r="S31" s="1997" t="n">
        <v>55.14</v>
      </c>
      <c r="T31" s="1997" t="n">
        <v>102.56</v>
      </c>
      <c r="U31" s="1997" t="n">
        <v>77.09</v>
      </c>
      <c r="V31" s="1997" t="n">
        <v>69.38</v>
      </c>
      <c r="W31" s="2000" t="n">
        <f aca="false">F31-J31-BM31</f>
        <v>253.13</v>
      </c>
      <c r="X31" s="1997" t="n">
        <f aca="false">W31+AA31</f>
        <v>288.24</v>
      </c>
      <c r="Y31" s="1997" t="n">
        <f aca="false">DH31-BO31</f>
        <v>154.03</v>
      </c>
      <c r="Z31" s="1997" t="n">
        <f aca="false">W31-Y31</f>
        <v>99.1000000000001</v>
      </c>
      <c r="AA31" s="1997" t="n">
        <f aca="false">H31-BP31</f>
        <v>35.11</v>
      </c>
      <c r="AB31" s="1319" t="n">
        <f aca="false">AA31/X31</f>
        <v>0.121808215376075</v>
      </c>
      <c r="AC31" s="514"/>
      <c r="AD31" s="1997"/>
      <c r="AE31" s="2017"/>
      <c r="AF31" s="1997"/>
      <c r="AG31" s="1997"/>
      <c r="AH31" s="1997"/>
      <c r="AI31" s="2001"/>
      <c r="AJ31" s="2002"/>
      <c r="AK31" s="1478"/>
      <c r="AL31" s="1478"/>
      <c r="AM31" s="821"/>
      <c r="AN31" s="2030"/>
      <c r="AO31" s="2001"/>
      <c r="AP31" s="2004"/>
      <c r="AQ31" s="2004"/>
      <c r="AR31" s="1478"/>
      <c r="AS31" s="1478"/>
      <c r="AT31" s="1478"/>
      <c r="AU31" s="2005"/>
      <c r="AV31" s="2001"/>
      <c r="AW31" s="2004"/>
      <c r="AX31" s="2004"/>
      <c r="AY31" s="1932"/>
      <c r="AZ31" s="1478"/>
      <c r="BA31" s="1478"/>
      <c r="BB31" s="821"/>
      <c r="BC31" s="1478"/>
      <c r="BD31" s="1478"/>
      <c r="BE31" s="1509"/>
      <c r="BF31" s="1478"/>
      <c r="BG31" s="1478"/>
      <c r="BH31" s="1478"/>
      <c r="BI31" s="1478"/>
      <c r="BJ31" s="1509"/>
      <c r="BK31" s="1478"/>
      <c r="BL31" s="2003"/>
      <c r="BM31" s="2001" t="n">
        <f aca="false">BN31-BP31</f>
        <v>30.3</v>
      </c>
      <c r="BN31" s="2004" t="n">
        <f aca="false">BO31+BP31</f>
        <v>35.71</v>
      </c>
      <c r="BO31" s="1478" t="n">
        <v>30.3</v>
      </c>
      <c r="BP31" s="1478" t="n">
        <v>5.41</v>
      </c>
      <c r="BQ31" s="2005" t="n">
        <f aca="false">BP31/BN31</f>
        <v>0.151498179781574</v>
      </c>
      <c r="BR31" s="1509"/>
      <c r="BS31" s="1509" t="n">
        <f aca="false">DX31</f>
        <v>6.37</v>
      </c>
      <c r="BT31" s="1509"/>
      <c r="BU31" s="1509"/>
      <c r="BV31" s="1509"/>
      <c r="BW31" s="1509"/>
      <c r="BX31" s="1478"/>
      <c r="BY31" s="1478"/>
      <c r="BZ31" s="1478"/>
      <c r="CA31" s="1509"/>
      <c r="CB31" s="1509"/>
      <c r="CC31" s="1478"/>
      <c r="CD31" s="1478"/>
      <c r="CE31" s="1478"/>
      <c r="CF31" s="1478"/>
      <c r="CG31" s="1509"/>
      <c r="CH31" s="1482" t="n">
        <f aca="false">CI31+CL31+CO31</f>
        <v>1.04</v>
      </c>
      <c r="CI31" s="1479" t="n">
        <f aca="false">CJ31-CK31</f>
        <v>-0.36</v>
      </c>
      <c r="CJ31" s="2023" t="n">
        <v>3.37</v>
      </c>
      <c r="CK31" s="2023" t="n">
        <v>3.73</v>
      </c>
      <c r="CL31" s="1479" t="n">
        <f aca="false">CM31-CN31</f>
        <v>0.72</v>
      </c>
      <c r="CM31" s="2023" t="n">
        <v>1.15</v>
      </c>
      <c r="CN31" s="2023" t="n">
        <v>0.43</v>
      </c>
      <c r="CO31" s="2023" t="n">
        <f aca="false">CP31-CQ31</f>
        <v>0.68</v>
      </c>
      <c r="CP31" s="2023" t="n">
        <v>1.32</v>
      </c>
      <c r="CQ31" s="2023" t="n">
        <v>0.64</v>
      </c>
      <c r="CR31" s="1478" t="n">
        <f aca="false">CS31-CT31</f>
        <v>-4.81</v>
      </c>
      <c r="CS31" s="1478" t="n">
        <v>0.58</v>
      </c>
      <c r="CT31" s="1478" t="n">
        <v>5.39</v>
      </c>
      <c r="CU31" s="1478" t="n">
        <f aca="false">CV31-CW31</f>
        <v>-0.12</v>
      </c>
      <c r="CV31" s="485" t="n">
        <v>0.02</v>
      </c>
      <c r="CW31" s="1478" t="n">
        <v>0.14</v>
      </c>
      <c r="CX31" s="1998" t="n">
        <f aca="false">D31+DD31-DF31</f>
        <v>65.0876761442528</v>
      </c>
      <c r="CY31" s="2007" t="n">
        <f aca="false">CX31-DC31-DD31</f>
        <v>66.8776721442528</v>
      </c>
      <c r="CZ31" s="1509"/>
      <c r="DA31" s="2008"/>
      <c r="DB31" s="2009"/>
      <c r="DC31" s="2017" t="n">
        <f aca="false">CI31</f>
        <v>-0.36</v>
      </c>
      <c r="DD31" s="1478" t="n">
        <v>-1.429996</v>
      </c>
      <c r="DE31" s="1478"/>
      <c r="DF31" s="2007" t="n">
        <f aca="false">DI31+DL31+DM31+DU31</f>
        <v>217.272327855747</v>
      </c>
      <c r="DG31" s="2010" t="n">
        <v>185.05</v>
      </c>
      <c r="DH31" s="2010" t="n">
        <f aca="false">DG31-DU31</f>
        <v>184.33</v>
      </c>
      <c r="DI31" s="2011" t="n">
        <f aca="false">Y31</f>
        <v>154.03</v>
      </c>
      <c r="DJ31" s="2012"/>
      <c r="DK31" s="2012"/>
      <c r="DL31" s="1509" t="n">
        <f aca="false">BM31</f>
        <v>30.3</v>
      </c>
      <c r="DM31" s="2009" t="n">
        <f aca="false">GK31*DN31*DH31/GJ31</f>
        <v>32.2223278557472</v>
      </c>
      <c r="DN31" s="2013" t="n">
        <f aca="false">DN32</f>
        <v>0.895905244977209</v>
      </c>
      <c r="DO31" s="2009"/>
      <c r="DP31" s="2009" t="n">
        <f aca="false">GK31*DH31/GJ31</f>
        <v>35.9662230312837</v>
      </c>
      <c r="DQ31" s="2009" t="n">
        <f aca="false">2/3*DP31</f>
        <v>23.9774820208558</v>
      </c>
      <c r="DR31" s="2009" t="n">
        <f aca="false">DS31*(DH31/GJ31)*GK31</f>
        <v>38.0037891383631</v>
      </c>
      <c r="DS31" s="514" t="n">
        <f aca="false">(DT31/GK31)/(DH31/GJ31)</f>
        <v>1.05665221241906</v>
      </c>
      <c r="DT31" s="2012" t="n">
        <v>38.0037891383631</v>
      </c>
      <c r="DU31" s="2015" t="n">
        <f aca="false">CL31</f>
        <v>0.72</v>
      </c>
      <c r="DV31" s="2007" t="n">
        <f aca="false">DW31+DX31+DY31+EB31</f>
        <v>118.75</v>
      </c>
      <c r="DW31" s="1509" t="n">
        <f aca="false">I31</f>
        <v>37.33</v>
      </c>
      <c r="DX31" s="2017" t="n">
        <v>6.37</v>
      </c>
      <c r="DY31" s="2017" t="n">
        <f aca="false">EE31+EF31</f>
        <v>32.5</v>
      </c>
      <c r="DZ31" s="2018" t="n">
        <f aca="false">EF31+EE31-EA31</f>
        <v>4.56712093202266</v>
      </c>
      <c r="EA31" s="2018" t="n">
        <f aca="false">EE31*(DF31-EB31+EH31)/(0.5*CX31+DF31-EB31+EH31)</f>
        <v>27.9328790679773</v>
      </c>
      <c r="EB31" s="1478" t="n">
        <v>42.55</v>
      </c>
      <c r="EC31" s="2018" t="n">
        <f aca="false">DX31+DZ31</f>
        <v>10.9371209320227</v>
      </c>
      <c r="ED31" s="2018" t="n">
        <f aca="false">EA31+EB31</f>
        <v>70.4828790679773</v>
      </c>
      <c r="EE31" s="1478" t="n">
        <v>32.23</v>
      </c>
      <c r="EF31" s="2017" t="n">
        <v>0.27</v>
      </c>
      <c r="EG31" s="1478" t="n">
        <v>44.93</v>
      </c>
      <c r="EH31" s="2017" t="n">
        <f aca="false">EG31-EI31</f>
        <v>36.8246841220274</v>
      </c>
      <c r="EI31" s="2023" t="n">
        <f aca="false">EG31*EI$41/EG$41</f>
        <v>8.10531587797262</v>
      </c>
      <c r="EJ31" s="2023" t="n">
        <v>13.28</v>
      </c>
      <c r="EK31" s="2032" t="n">
        <v>1.63</v>
      </c>
      <c r="EL31" s="2017" t="n">
        <f aca="false">EM31-(DV31-EF31)</f>
        <v>0.109999999999999</v>
      </c>
      <c r="EM31" s="2017" t="n">
        <f aca="false">EP31+S31+EG31+EN31+DD31</f>
        <v>118.59</v>
      </c>
      <c r="EN31" s="2017" t="n">
        <v>1.63</v>
      </c>
      <c r="EO31" s="2019" t="n">
        <f aca="false">EM31-EG31-EN31-DD31</f>
        <v>73.459996</v>
      </c>
      <c r="EP31" s="2019" t="n">
        <f aca="false">ER31-EQ31</f>
        <v>18.319996</v>
      </c>
      <c r="EQ31" s="2017" t="n">
        <v>-4.91</v>
      </c>
      <c r="ER31" s="2023" t="n">
        <f aca="false">EU31+ES31-BP31+ET31</f>
        <v>13.409996</v>
      </c>
      <c r="ES31" s="2023" t="n">
        <v>17.04</v>
      </c>
      <c r="ET31" s="2023" t="n">
        <v>-0.08</v>
      </c>
      <c r="EU31" s="2023" t="n">
        <v>1.85999600000001</v>
      </c>
      <c r="EV31" s="2024" t="n">
        <f aca="false">B31-DV31+EH31+DD31-CO31</f>
        <v>237.084688122027</v>
      </c>
      <c r="EW31" s="1478" t="n">
        <f aca="false">CX31-EC31</f>
        <v>54.1505552122301</v>
      </c>
      <c r="EX31" s="1478" t="n">
        <f aca="false">($DF31-$EB31)-$EA31*($DF31-$EB31)/($DF31-$EB31+$EH31)</f>
        <v>151.65181691427</v>
      </c>
      <c r="EY31" s="1478" t="n">
        <f aca="false">$EH31-$EA31*$EH31/($DF31-$EB31+$EH31)</f>
        <v>31.9623159955273</v>
      </c>
      <c r="EZ31" s="1478" t="n">
        <f aca="false">EV31+EI31</f>
        <v>245.190004</v>
      </c>
      <c r="FA31" s="1478"/>
      <c r="FB31" s="1478" t="n">
        <f aca="false">FB32*DateDE1b!DE33/DateDE1b!DE34</f>
        <v>31.4473188405797</v>
      </c>
      <c r="FC31" s="1478"/>
      <c r="FD31" s="1997" t="n">
        <f aca="false">T31+E31+U31-V31+CR31-H31-EP31</f>
        <v>47.660004</v>
      </c>
      <c r="FE31" s="1997"/>
      <c r="FF31" s="1997"/>
      <c r="FG31" s="1997" t="n">
        <f aca="false">CU31-EQ31</f>
        <v>4.79</v>
      </c>
      <c r="FH31" s="514" t="n">
        <f aca="false">FG31/FD31</f>
        <v>0.100503558497393</v>
      </c>
      <c r="FI31" s="1994" t="n">
        <f aca="false">FI32*DateDE1b!DE33/DateDE1b!DE34</f>
        <v>32.9174637681159</v>
      </c>
      <c r="FJ31" s="1994" t="n">
        <f aca="false">FK31-FI31</f>
        <v>19.5325402318841</v>
      </c>
      <c r="FK31" s="2025" t="n">
        <f aca="false">FD31+FG31</f>
        <v>52.450004</v>
      </c>
      <c r="FL31" s="1994"/>
      <c r="FM31" s="1994"/>
      <c r="FN31" s="1478"/>
      <c r="FO31" s="1995"/>
      <c r="FP31" s="1478"/>
      <c r="FQ31" s="1478"/>
      <c r="FR31" s="1997" t="n">
        <v>0</v>
      </c>
      <c r="FS31" s="1478"/>
      <c r="FT31" s="1478"/>
      <c r="FU31" s="1478"/>
      <c r="FV31" s="1478"/>
      <c r="FW31" s="2025"/>
      <c r="FX31" s="2026"/>
      <c r="FY31" s="2026"/>
      <c r="FZ31" s="2027"/>
      <c r="GA31" s="2015" t="n">
        <v>0</v>
      </c>
      <c r="GB31" s="402" t="n">
        <v>0.0358056265984654</v>
      </c>
      <c r="GC31" s="387" t="n">
        <v>0.0345022874502876</v>
      </c>
      <c r="GD31" s="387" t="n">
        <f aca="false">(G31/G30)/(1+GE31)-1</f>
        <v>0.0767593063873133</v>
      </c>
      <c r="GE31" s="387" t="n">
        <v>0.0504939626783756</v>
      </c>
      <c r="GF31" s="387" t="n">
        <v>0.0361173814898421</v>
      </c>
      <c r="GG31" s="2033" t="n">
        <v>63.47439</v>
      </c>
      <c r="GH31" s="465" t="n">
        <v>61097.8775</v>
      </c>
      <c r="GI31" s="465" t="n">
        <f aca="false">GJ31+GK31</f>
        <v>26589</v>
      </c>
      <c r="GJ31" s="465" t="n">
        <v>22248</v>
      </c>
      <c r="GK31" s="465" t="n">
        <v>4341</v>
      </c>
      <c r="GL31" s="25" t="n">
        <v>0.297</v>
      </c>
      <c r="GM31" s="25" t="n">
        <f aca="false">GK31/GI31</f>
        <v>0.163263003497687</v>
      </c>
      <c r="GN31" s="385" t="n">
        <v>61097.8775</v>
      </c>
      <c r="GO31" s="1932" t="n">
        <f aca="false">CX31</f>
        <v>65.0876761442528</v>
      </c>
      <c r="GP31" s="1932"/>
      <c r="GQ31" s="1932"/>
      <c r="GR31" s="1932"/>
      <c r="GS31" s="1509"/>
      <c r="GT31" s="1932"/>
      <c r="GU31" s="1478"/>
      <c r="GV31" s="1509"/>
      <c r="GW31" s="1478"/>
      <c r="GX31" s="1509"/>
      <c r="GY31" s="1478"/>
      <c r="GZ31" s="24" t="n">
        <f aca="false">DX31</f>
        <v>6.37</v>
      </c>
      <c r="HA31" s="1478"/>
      <c r="HB31" s="1478"/>
      <c r="HC31" s="1478"/>
      <c r="HD31" s="1478"/>
      <c r="HE31" s="1478"/>
      <c r="HF31" s="1478"/>
      <c r="HG31" s="1478"/>
      <c r="HH31" s="1478"/>
      <c r="HI31" s="1478"/>
      <c r="HJ31" s="1478"/>
      <c r="HK31" s="387"/>
    </row>
    <row r="32" customFormat="false" ht="12" hidden="false" customHeight="false" outlineLevel="0" collapsed="false">
      <c r="A32" s="31" t="n">
        <f aca="false">A31+1</f>
        <v>1971</v>
      </c>
      <c r="B32" s="395" t="n">
        <v>354.54</v>
      </c>
      <c r="C32" s="432" t="n">
        <f aca="false">B32+CR32</f>
        <v>349.55</v>
      </c>
      <c r="D32" s="384" t="n">
        <f aca="false">B32-I32</f>
        <v>313.26</v>
      </c>
      <c r="E32" s="1996" t="n">
        <f aca="false">CH32</f>
        <v>0.6</v>
      </c>
      <c r="F32" s="395" t="n">
        <f aca="false">G32-H32</f>
        <v>353.94</v>
      </c>
      <c r="G32" s="1997" t="n">
        <v>400.24</v>
      </c>
      <c r="H32" s="1997" t="n">
        <v>46.3</v>
      </c>
      <c r="I32" s="853" t="n">
        <v>41.28</v>
      </c>
      <c r="J32" s="395" t="n">
        <f aca="false">I32-CO32</f>
        <v>41.75</v>
      </c>
      <c r="K32" s="1478"/>
      <c r="L32" s="1478"/>
      <c r="M32" s="1478"/>
      <c r="N32" s="1478"/>
      <c r="O32" s="1478"/>
      <c r="P32" s="1478" t="n">
        <v>0.01</v>
      </c>
      <c r="Q32" s="1999" t="n">
        <v>-1.85</v>
      </c>
      <c r="R32" s="1997" t="n">
        <v>217.45</v>
      </c>
      <c r="S32" s="1997" t="n">
        <v>65.34</v>
      </c>
      <c r="T32" s="1997" t="n">
        <v>110.72</v>
      </c>
      <c r="U32" s="1997" t="n">
        <v>82.35</v>
      </c>
      <c r="V32" s="1997" t="n">
        <v>75.62</v>
      </c>
      <c r="W32" s="2000" t="n">
        <f aca="false">F32-J32-BM32</f>
        <v>276</v>
      </c>
      <c r="X32" s="1997" t="n">
        <f aca="false">W32+AA32</f>
        <v>316.22</v>
      </c>
      <c r="Y32" s="1997" t="n">
        <f aca="false">DH32-BO32</f>
        <v>172.74</v>
      </c>
      <c r="Z32" s="1997" t="n">
        <f aca="false">W32-Y32</f>
        <v>103.26</v>
      </c>
      <c r="AA32" s="1997" t="n">
        <f aca="false">H32-BP32</f>
        <v>40.22</v>
      </c>
      <c r="AB32" s="1319" t="n">
        <f aca="false">AA32/X32</f>
        <v>0.127189931060654</v>
      </c>
      <c r="AC32" s="514"/>
      <c r="AD32" s="1997"/>
      <c r="AE32" s="2017"/>
      <c r="AF32" s="1997"/>
      <c r="AG32" s="1997"/>
      <c r="AH32" s="1997"/>
      <c r="AI32" s="2001"/>
      <c r="AJ32" s="2002"/>
      <c r="AK32" s="1478"/>
      <c r="AL32" s="1478"/>
      <c r="AM32" s="821"/>
      <c r="AN32" s="2030"/>
      <c r="AO32" s="2001"/>
      <c r="AP32" s="2004"/>
      <c r="AQ32" s="2004"/>
      <c r="AR32" s="1478"/>
      <c r="AS32" s="1478"/>
      <c r="AT32" s="1478"/>
      <c r="AU32" s="2005"/>
      <c r="AV32" s="2001"/>
      <c r="AW32" s="2004"/>
      <c r="AX32" s="2004"/>
      <c r="AY32" s="1932"/>
      <c r="AZ32" s="1478"/>
      <c r="BA32" s="1478"/>
      <c r="BB32" s="821"/>
      <c r="BC32" s="1478"/>
      <c r="BD32" s="1478"/>
      <c r="BE32" s="1509"/>
      <c r="BF32" s="1478"/>
      <c r="BG32" s="1478"/>
      <c r="BH32" s="1478"/>
      <c r="BI32" s="1478"/>
      <c r="BJ32" s="1509"/>
      <c r="BK32" s="1478"/>
      <c r="BL32" s="2003"/>
      <c r="BM32" s="2001" t="n">
        <f aca="false">BN32-BP32</f>
        <v>36.19</v>
      </c>
      <c r="BN32" s="2004" t="n">
        <f aca="false">BO32+BP32</f>
        <v>42.27</v>
      </c>
      <c r="BO32" s="1478" t="n">
        <v>36.19</v>
      </c>
      <c r="BP32" s="1478" t="n">
        <v>6.08</v>
      </c>
      <c r="BQ32" s="2005" t="n">
        <f aca="false">BP32/BN32</f>
        <v>0.143837236810977</v>
      </c>
      <c r="BR32" s="1509"/>
      <c r="BS32" s="1509" t="n">
        <f aca="false">DX32</f>
        <v>5.72</v>
      </c>
      <c r="BT32" s="1509"/>
      <c r="BU32" s="1509"/>
      <c r="BV32" s="1509"/>
      <c r="BW32" s="1509"/>
      <c r="BX32" s="1478"/>
      <c r="BY32" s="1478"/>
      <c r="BZ32" s="1478"/>
      <c r="CA32" s="1509"/>
      <c r="CB32" s="1509"/>
      <c r="CC32" s="1478"/>
      <c r="CD32" s="1478"/>
      <c r="CE32" s="1478"/>
      <c r="CF32" s="1478"/>
      <c r="CG32" s="1509"/>
      <c r="CH32" s="1482" t="n">
        <f aca="false">CI32+CL32+CO32</f>
        <v>0.6</v>
      </c>
      <c r="CI32" s="1479" t="n">
        <f aca="false">CJ32-CK32</f>
        <v>0.0800000000000001</v>
      </c>
      <c r="CJ32" s="2023" t="n">
        <v>4.61</v>
      </c>
      <c r="CK32" s="2023" t="n">
        <v>4.53</v>
      </c>
      <c r="CL32" s="1479" t="n">
        <f aca="false">CM32-CN32</f>
        <v>0.99</v>
      </c>
      <c r="CM32" s="2023" t="n">
        <v>1.49</v>
      </c>
      <c r="CN32" s="2023" t="n">
        <v>0.5</v>
      </c>
      <c r="CO32" s="2023" t="n">
        <f aca="false">CP32-CQ32</f>
        <v>-0.47</v>
      </c>
      <c r="CP32" s="2023" t="n">
        <v>0.92</v>
      </c>
      <c r="CQ32" s="2023" t="n">
        <v>1.39</v>
      </c>
      <c r="CR32" s="1478" t="n">
        <f aca="false">CS32-CT32</f>
        <v>-4.99</v>
      </c>
      <c r="CS32" s="1478" t="n">
        <v>1.34</v>
      </c>
      <c r="CT32" s="1478" t="n">
        <v>6.33</v>
      </c>
      <c r="CU32" s="1478" t="n">
        <f aca="false">CV32-CW32</f>
        <v>-0.18</v>
      </c>
      <c r="CV32" s="485" t="n">
        <v>0.12</v>
      </c>
      <c r="CW32" s="1478" t="n">
        <v>0.3</v>
      </c>
      <c r="CX32" s="1998" t="n">
        <f aca="false">D32+DD32-DF32</f>
        <v>68.055758554723</v>
      </c>
      <c r="CY32" s="2007" t="n">
        <f aca="false">CX32-DC32-DD32</f>
        <v>69.385754554723</v>
      </c>
      <c r="CZ32" s="1509"/>
      <c r="DA32" s="2008"/>
      <c r="DB32" s="2009"/>
      <c r="DC32" s="2017" t="n">
        <f aca="false">CI32</f>
        <v>0.0800000000000001</v>
      </c>
      <c r="DD32" s="1478" t="n">
        <v>-1.409996</v>
      </c>
      <c r="DE32" s="1478"/>
      <c r="DF32" s="2007" t="n">
        <f aca="false">DI32+DL32+DM32+DU32</f>
        <v>243.794245445277</v>
      </c>
      <c r="DG32" s="2010" t="n">
        <v>209.92</v>
      </c>
      <c r="DH32" s="2010" t="n">
        <f aca="false">DG32-DU32</f>
        <v>208.93</v>
      </c>
      <c r="DI32" s="2011" t="n">
        <f aca="false">Y32</f>
        <v>172.74</v>
      </c>
      <c r="DJ32" s="2012"/>
      <c r="DK32" s="2012"/>
      <c r="DL32" s="1509" t="n">
        <f aca="false">BM32</f>
        <v>36.19</v>
      </c>
      <c r="DM32" s="2009" t="n">
        <f aca="false">GK32*DN32*DH32/GJ32</f>
        <v>33.874245445277</v>
      </c>
      <c r="DN32" s="2013" t="n">
        <f aca="false">DN33</f>
        <v>0.895905244977209</v>
      </c>
      <c r="DO32" s="2009"/>
      <c r="DP32" s="2009" t="n">
        <f aca="false">GK32*DH32/GJ32</f>
        <v>37.8100760489897</v>
      </c>
      <c r="DQ32" s="2009" t="n">
        <f aca="false">2/3*DP32</f>
        <v>25.2067173659931</v>
      </c>
      <c r="DR32" s="2009" t="n">
        <f aca="false">DS32*(DH32/GJ32)*GK32</f>
        <v>39.6240742656303</v>
      </c>
      <c r="DS32" s="514" t="n">
        <f aca="false">(DT32/GK32)/(DH32/GJ32)</f>
        <v>1.04797658207009</v>
      </c>
      <c r="DT32" s="2012" t="n">
        <v>39.6240742656303</v>
      </c>
      <c r="DU32" s="2015" t="n">
        <f aca="false">CL32</f>
        <v>0.99</v>
      </c>
      <c r="DV32" s="2007" t="n">
        <f aca="false">DW32+DX32+DY32+EB32</f>
        <v>134.65</v>
      </c>
      <c r="DW32" s="1509" t="n">
        <f aca="false">I32</f>
        <v>41.28</v>
      </c>
      <c r="DX32" s="2017" t="n">
        <v>5.72</v>
      </c>
      <c r="DY32" s="2017" t="n">
        <f aca="false">EE32+EF32</f>
        <v>38.25</v>
      </c>
      <c r="DZ32" s="2018" t="n">
        <f aca="false">EF32+EE32-EA32</f>
        <v>5.05074836213196</v>
      </c>
      <c r="EA32" s="2018" t="n">
        <f aca="false">EE32*(DF32-EB32+EH32)/(0.5*CX32+DF32-EB32+EH32)</f>
        <v>33.199251637868</v>
      </c>
      <c r="EB32" s="1478" t="n">
        <v>49.4</v>
      </c>
      <c r="EC32" s="2018" t="n">
        <f aca="false">DX32+DZ32</f>
        <v>10.770748362132</v>
      </c>
      <c r="ED32" s="2018" t="n">
        <f aca="false">EA32+EB32</f>
        <v>82.599251637868</v>
      </c>
      <c r="EE32" s="1478" t="n">
        <v>37.99</v>
      </c>
      <c r="EF32" s="2017" t="n">
        <v>0.26</v>
      </c>
      <c r="EG32" s="1478" t="n">
        <v>50.53</v>
      </c>
      <c r="EH32" s="2017" t="n">
        <f aca="false">EG32-EI32</f>
        <v>41.4144511169829</v>
      </c>
      <c r="EI32" s="2023" t="n">
        <f aca="false">EG32*EI$41/EG$41</f>
        <v>9.11554888301706</v>
      </c>
      <c r="EJ32" s="2023" t="n">
        <v>16.21</v>
      </c>
      <c r="EK32" s="2032" t="n">
        <v>1.64</v>
      </c>
      <c r="EL32" s="2017" t="n">
        <f aca="false">EM32-(DV32-EF32)</f>
        <v>0.549999999999955</v>
      </c>
      <c r="EM32" s="2017" t="n">
        <f aca="false">EP32+S32+EG32+EN32+DD32</f>
        <v>134.94</v>
      </c>
      <c r="EN32" s="2017" t="n">
        <v>1.64</v>
      </c>
      <c r="EO32" s="2019" t="n">
        <f aca="false">EM32-EG32-EN32-DD32</f>
        <v>84.179996</v>
      </c>
      <c r="EP32" s="2019" t="n">
        <f aca="false">ER32-EQ32</f>
        <v>18.839996</v>
      </c>
      <c r="EQ32" s="2017" t="n">
        <v>-6.17</v>
      </c>
      <c r="ER32" s="2023" t="n">
        <f aca="false">EU32+ES32-BP32+ET32</f>
        <v>12.669996</v>
      </c>
      <c r="ES32" s="2023" t="n">
        <v>18.32</v>
      </c>
      <c r="ET32" s="2023" t="n">
        <v>-0.2</v>
      </c>
      <c r="EU32" s="2023" t="n">
        <v>0.629995999999998</v>
      </c>
      <c r="EV32" s="2024" t="n">
        <f aca="false">B32-DV32+EH32+DD32-CO32</f>
        <v>260.364455116983</v>
      </c>
      <c r="EW32" s="1478" t="n">
        <f aca="false">CX32-EC32</f>
        <v>57.2850101925911</v>
      </c>
      <c r="EX32" s="1478" t="n">
        <f aca="false">($DF32-$EB32)-$EA32*($DF32-$EB32)/($DF32-$EB32+$EH32)</f>
        <v>167.025689638908</v>
      </c>
      <c r="EY32" s="1478" t="n">
        <f aca="false">$EH32-$EA32*$EH32/($DF32-$EB32+$EH32)</f>
        <v>35.5837552854834</v>
      </c>
      <c r="EZ32" s="1478" t="n">
        <f aca="false">EV32+EI32</f>
        <v>269.480004</v>
      </c>
      <c r="FA32" s="1478"/>
      <c r="FB32" s="1478" t="n">
        <f aca="false">FB33*DateDE1b!DE34/DateDE1b!DE35</f>
        <v>34.0761956521739</v>
      </c>
      <c r="FC32" s="1478"/>
      <c r="FD32" s="1997" t="n">
        <f aca="false">T32+E32+U32-V32+CR32-H32-EP32</f>
        <v>47.920004</v>
      </c>
      <c r="FE32" s="1997"/>
      <c r="FF32" s="1997"/>
      <c r="FG32" s="1997" t="n">
        <f aca="false">CU32-EQ32</f>
        <v>5.99</v>
      </c>
      <c r="FH32" s="514" t="n">
        <f aca="false">FG32/FD32</f>
        <v>0.124999989565944</v>
      </c>
      <c r="FI32" s="1994" t="n">
        <f aca="false">FI33*DateDE1b!DE34/DateDE1b!DE35</f>
        <v>35.6692391304348</v>
      </c>
      <c r="FJ32" s="1994" t="n">
        <f aca="false">FK32-FI32</f>
        <v>18.2407648695652</v>
      </c>
      <c r="FK32" s="2025" t="n">
        <f aca="false">FD32+FG32</f>
        <v>53.910004</v>
      </c>
      <c r="FL32" s="1994"/>
      <c r="FM32" s="1994"/>
      <c r="FN32" s="1478"/>
      <c r="FO32" s="1995"/>
      <c r="FP32" s="1478"/>
      <c r="FQ32" s="1478"/>
      <c r="FR32" s="1997" t="n">
        <v>0</v>
      </c>
      <c r="FS32" s="1478"/>
      <c r="FT32" s="1478"/>
      <c r="FU32" s="1478"/>
      <c r="FV32" s="1478"/>
      <c r="FW32" s="2025"/>
      <c r="FX32" s="2026"/>
      <c r="FY32" s="2026"/>
      <c r="FZ32" s="2027"/>
      <c r="GA32" s="2015" t="n">
        <v>0</v>
      </c>
      <c r="GB32" s="402" t="n">
        <v>0.0518518518518518</v>
      </c>
      <c r="GC32" s="387" t="n">
        <v>0.0524099189527145</v>
      </c>
      <c r="GD32" s="387" t="n">
        <f aca="false">(G32/G31)/(1+GE32)-1</f>
        <v>0.0761914876758931</v>
      </c>
      <c r="GE32" s="387" t="n">
        <v>0.0313479623824451</v>
      </c>
      <c r="GF32" s="387" t="n">
        <v>0.0501089324618738</v>
      </c>
      <c r="GG32" s="2033" t="n">
        <v>67.266885</v>
      </c>
      <c r="GH32" s="465" t="n">
        <v>61251.8335</v>
      </c>
      <c r="GI32" s="465" t="n">
        <f aca="false">GJ32+GK32</f>
        <v>26710</v>
      </c>
      <c r="GJ32" s="465" t="n">
        <v>22617</v>
      </c>
      <c r="GK32" s="465" t="n">
        <v>4093</v>
      </c>
      <c r="GL32" s="25" t="n">
        <f aca="false">GL31+(GL$41-GL$31)/10</f>
        <v>0.2937</v>
      </c>
      <c r="GM32" s="25" t="n">
        <f aca="false">GK32/GI32</f>
        <v>0.153238487457881</v>
      </c>
      <c r="GN32" s="385" t="n">
        <v>61251.8335</v>
      </c>
      <c r="GO32" s="1932" t="n">
        <f aca="false">CX32</f>
        <v>68.055758554723</v>
      </c>
      <c r="GP32" s="1932"/>
      <c r="GQ32" s="1932"/>
      <c r="GR32" s="1932"/>
      <c r="GS32" s="1509"/>
      <c r="GT32" s="1932"/>
      <c r="GU32" s="1478"/>
      <c r="GV32" s="1509"/>
      <c r="GW32" s="1478"/>
      <c r="GX32" s="1509"/>
      <c r="GY32" s="1478"/>
      <c r="GZ32" s="24" t="n">
        <f aca="false">DX32</f>
        <v>5.72</v>
      </c>
      <c r="HA32" s="1478"/>
      <c r="HB32" s="1478"/>
      <c r="HC32" s="1478"/>
      <c r="HD32" s="1478"/>
      <c r="HE32" s="1478"/>
      <c r="HF32" s="1478"/>
      <c r="HG32" s="1478"/>
      <c r="HH32" s="1478"/>
      <c r="HI32" s="1478"/>
      <c r="HJ32" s="1478"/>
      <c r="HK32" s="387"/>
    </row>
    <row r="33" customFormat="false" ht="12" hidden="false" customHeight="false" outlineLevel="0" collapsed="false">
      <c r="A33" s="31" t="n">
        <f aca="false">A32+1</f>
        <v>1972</v>
      </c>
      <c r="B33" s="395" t="n">
        <v>385.44</v>
      </c>
      <c r="C33" s="432" t="n">
        <f aca="false">B33+CR33</f>
        <v>379.76</v>
      </c>
      <c r="D33" s="384" t="n">
        <f aca="false">B33-I33</f>
        <v>341.32</v>
      </c>
      <c r="E33" s="1996" t="n">
        <f aca="false">CH33</f>
        <v>0.25</v>
      </c>
      <c r="F33" s="395" t="n">
        <f aca="false">G33-H33</f>
        <v>385.19</v>
      </c>
      <c r="G33" s="1997" t="n">
        <v>436.37</v>
      </c>
      <c r="H33" s="1997" t="n">
        <v>51.18</v>
      </c>
      <c r="I33" s="853" t="n">
        <v>44.12</v>
      </c>
      <c r="J33" s="395" t="n">
        <f aca="false">I33-CO33</f>
        <v>44.9</v>
      </c>
      <c r="K33" s="1478"/>
      <c r="L33" s="1478"/>
      <c r="M33" s="1478"/>
      <c r="N33" s="1478"/>
      <c r="O33" s="1478"/>
      <c r="P33" s="1478" t="n">
        <v>0</v>
      </c>
      <c r="Q33" s="1999" t="n">
        <v>-1.69999999999999</v>
      </c>
      <c r="R33" s="1997" t="n">
        <v>239.76</v>
      </c>
      <c r="S33" s="1997" t="n">
        <v>72.7</v>
      </c>
      <c r="T33" s="1997" t="n">
        <v>116.09</v>
      </c>
      <c r="U33" s="1997" t="n">
        <v>89.74</v>
      </c>
      <c r="V33" s="1997" t="n">
        <v>81.92</v>
      </c>
      <c r="W33" s="2000" t="n">
        <f aca="false">F33-J33-BM33</f>
        <v>299.67</v>
      </c>
      <c r="X33" s="1997" t="n">
        <f aca="false">W33+AA33</f>
        <v>344.12</v>
      </c>
      <c r="Y33" s="1997" t="n">
        <f aca="false">DH33-BO33</f>
        <v>191.02</v>
      </c>
      <c r="Z33" s="1997" t="n">
        <f aca="false">W33-Y33</f>
        <v>108.65</v>
      </c>
      <c r="AA33" s="1997" t="n">
        <f aca="false">H33-BP33</f>
        <v>44.45</v>
      </c>
      <c r="AB33" s="1319" t="n">
        <f aca="false">AA33/X33</f>
        <v>0.129170056956876</v>
      </c>
      <c r="AC33" s="514"/>
      <c r="AD33" s="1997"/>
      <c r="AE33" s="2017"/>
      <c r="AF33" s="1997"/>
      <c r="AG33" s="1997"/>
      <c r="AH33" s="1997"/>
      <c r="AI33" s="2001"/>
      <c r="AJ33" s="2002"/>
      <c r="AK33" s="1478"/>
      <c r="AL33" s="1478"/>
      <c r="AM33" s="821"/>
      <c r="AN33" s="2030"/>
      <c r="AO33" s="2001"/>
      <c r="AP33" s="2004"/>
      <c r="AQ33" s="2004"/>
      <c r="AR33" s="1478"/>
      <c r="AS33" s="1478"/>
      <c r="AT33" s="1478"/>
      <c r="AU33" s="2005"/>
      <c r="AV33" s="2001"/>
      <c r="AW33" s="2004"/>
      <c r="AX33" s="2004"/>
      <c r="AY33" s="1932"/>
      <c r="AZ33" s="1478"/>
      <c r="BA33" s="1478"/>
      <c r="BB33" s="821"/>
      <c r="BC33" s="1478"/>
      <c r="BD33" s="1478"/>
      <c r="BE33" s="1509"/>
      <c r="BF33" s="1478"/>
      <c r="BG33" s="1478"/>
      <c r="BH33" s="1478"/>
      <c r="BI33" s="1478"/>
      <c r="BJ33" s="1509"/>
      <c r="BK33" s="1478"/>
      <c r="BL33" s="2003"/>
      <c r="BM33" s="2001" t="n">
        <f aca="false">BN33-BP33</f>
        <v>40.62</v>
      </c>
      <c r="BN33" s="2004" t="n">
        <f aca="false">BO33+BP33</f>
        <v>47.35</v>
      </c>
      <c r="BO33" s="1478" t="n">
        <v>40.62</v>
      </c>
      <c r="BP33" s="1478" t="n">
        <v>6.73</v>
      </c>
      <c r="BQ33" s="2005" t="n">
        <f aca="false">BP33/BN33</f>
        <v>0.142133051742344</v>
      </c>
      <c r="BR33" s="1509"/>
      <c r="BS33" s="1509" t="n">
        <f aca="false">DX33</f>
        <v>5.92</v>
      </c>
      <c r="BT33" s="1509"/>
      <c r="BU33" s="1509"/>
      <c r="BV33" s="1509"/>
      <c r="BW33" s="1509"/>
      <c r="BX33" s="1478"/>
      <c r="BY33" s="1478"/>
      <c r="BZ33" s="1478"/>
      <c r="CA33" s="1509"/>
      <c r="CB33" s="1509"/>
      <c r="CC33" s="1478"/>
      <c r="CD33" s="1478"/>
      <c r="CE33" s="1478"/>
      <c r="CF33" s="1478"/>
      <c r="CG33" s="1509"/>
      <c r="CH33" s="1482" t="n">
        <f aca="false">CI33+CL33+CO33</f>
        <v>0.25</v>
      </c>
      <c r="CI33" s="1479" t="n">
        <f aca="false">CJ33-CK33</f>
        <v>0.04</v>
      </c>
      <c r="CJ33" s="2023" t="n">
        <v>4.84</v>
      </c>
      <c r="CK33" s="2023" t="n">
        <v>4.8</v>
      </c>
      <c r="CL33" s="1479" t="n">
        <f aca="false">CM33-CN33</f>
        <v>0.99</v>
      </c>
      <c r="CM33" s="2023" t="n">
        <v>1.55</v>
      </c>
      <c r="CN33" s="2023" t="n">
        <v>0.56</v>
      </c>
      <c r="CO33" s="2023" t="n">
        <f aca="false">CP33-CQ33</f>
        <v>-0.78</v>
      </c>
      <c r="CP33" s="2023" t="n">
        <v>0.87</v>
      </c>
      <c r="CQ33" s="2023" t="n">
        <v>1.65</v>
      </c>
      <c r="CR33" s="1478" t="n">
        <f aca="false">CS33-CT33</f>
        <v>-5.68</v>
      </c>
      <c r="CS33" s="1478" t="n">
        <v>1.33</v>
      </c>
      <c r="CT33" s="1478" t="n">
        <v>7.01</v>
      </c>
      <c r="CU33" s="1478" t="n">
        <f aca="false">CV33-CW33</f>
        <v>-0.2</v>
      </c>
      <c r="CV33" s="485" t="n">
        <v>0.09</v>
      </c>
      <c r="CW33" s="1478" t="n">
        <v>0.29</v>
      </c>
      <c r="CX33" s="1998" t="n">
        <f aca="false">D33+DD33-DF33</f>
        <v>72.2533739997468</v>
      </c>
      <c r="CY33" s="2007" t="n">
        <f aca="false">CX33-DC33-DD33</f>
        <v>72.6733699997468</v>
      </c>
      <c r="CZ33" s="1509"/>
      <c r="DA33" s="2008"/>
      <c r="DB33" s="2009"/>
      <c r="DC33" s="2017" t="n">
        <f aca="false">CI33</f>
        <v>0.04</v>
      </c>
      <c r="DD33" s="1478" t="n">
        <v>-0.459996000000001</v>
      </c>
      <c r="DE33" s="1478"/>
      <c r="DF33" s="2007" t="n">
        <f aca="false">DI33+DL33+DM33+DU33</f>
        <v>268.606630000253</v>
      </c>
      <c r="DG33" s="2010" t="n">
        <v>232.63</v>
      </c>
      <c r="DH33" s="2010" t="n">
        <f aca="false">DG33-DU33</f>
        <v>231.64</v>
      </c>
      <c r="DI33" s="2011" t="n">
        <f aca="false">Y33</f>
        <v>191.02</v>
      </c>
      <c r="DJ33" s="2012"/>
      <c r="DK33" s="2012"/>
      <c r="DL33" s="1509" t="n">
        <f aca="false">BM33</f>
        <v>40.62</v>
      </c>
      <c r="DM33" s="2009" t="n">
        <f aca="false">GK33*DN33*DH33/GJ33</f>
        <v>35.9766300002532</v>
      </c>
      <c r="DN33" s="2013" t="n">
        <f aca="false">DN34</f>
        <v>0.895905244977209</v>
      </c>
      <c r="DO33" s="2009"/>
      <c r="DP33" s="2009" t="n">
        <f aca="false">GK33*DH33/GJ33</f>
        <v>40.1567355498274</v>
      </c>
      <c r="DQ33" s="2009" t="n">
        <f aca="false">2/3*DP33</f>
        <v>26.7711570332183</v>
      </c>
      <c r="DR33" s="2009" t="n">
        <f aca="false">DS33*(DH33/GJ33)*GK33</f>
        <v>42.1811666294721</v>
      </c>
      <c r="DS33" s="514" t="n">
        <f aca="false">(DT33/GK33)/(DH33/GJ33)</f>
        <v>1.05041323832543</v>
      </c>
      <c r="DT33" s="2012" t="n">
        <v>42.1811666294721</v>
      </c>
      <c r="DU33" s="2015" t="n">
        <f aca="false">CL33</f>
        <v>0.99</v>
      </c>
      <c r="DV33" s="2007" t="n">
        <f aca="false">DW33+DX33+DY33+EB33</f>
        <v>147.72</v>
      </c>
      <c r="DW33" s="1509" t="n">
        <f aca="false">I33</f>
        <v>44.12</v>
      </c>
      <c r="DX33" s="2017" t="n">
        <v>5.92</v>
      </c>
      <c r="DY33" s="2017" t="n">
        <f aca="false">EE33+EF33</f>
        <v>41.19</v>
      </c>
      <c r="DZ33" s="2018" t="n">
        <f aca="false">EF33+EE33-EA33</f>
        <v>5.28258255818443</v>
      </c>
      <c r="EA33" s="2018" t="n">
        <f aca="false">EE33*(DF33-EB33+EH33)/(0.5*CX33+DF33-EB33+EH33)</f>
        <v>35.9074174418156</v>
      </c>
      <c r="EB33" s="1478" t="n">
        <v>56.49</v>
      </c>
      <c r="EC33" s="2018" t="n">
        <f aca="false">DX33+DZ33</f>
        <v>11.2025825581844</v>
      </c>
      <c r="ED33" s="2018" t="n">
        <f aca="false">EA33+EB33</f>
        <v>92.3974174418156</v>
      </c>
      <c r="EE33" s="1478" t="n">
        <v>40.91</v>
      </c>
      <c r="EF33" s="2017" t="n">
        <v>0.28</v>
      </c>
      <c r="EG33" s="1478" t="n">
        <v>57.58</v>
      </c>
      <c r="EH33" s="2017" t="n">
        <f aca="false">EG33-EI33</f>
        <v>47.1926399231324</v>
      </c>
      <c r="EI33" s="2023" t="n">
        <f aca="false">EG33*EI$41/EG$41</f>
        <v>10.3873600768676</v>
      </c>
      <c r="EJ33" s="2023" t="n">
        <v>19</v>
      </c>
      <c r="EK33" s="2032" t="n">
        <v>1.88</v>
      </c>
      <c r="EL33" s="2017" t="n">
        <f aca="false">EM33-(DV33-EF33)</f>
        <v>0.569999999999965</v>
      </c>
      <c r="EM33" s="2017" t="n">
        <f aca="false">EP33+S33+EG33+EN33+DD33</f>
        <v>148.01</v>
      </c>
      <c r="EN33" s="2017" t="n">
        <v>1.88</v>
      </c>
      <c r="EO33" s="2019" t="n">
        <f aca="false">EM33-EG33-EN33-DD33</f>
        <v>89.009996</v>
      </c>
      <c r="EP33" s="2019" t="n">
        <f aca="false">ER33-EQ33</f>
        <v>16.309996</v>
      </c>
      <c r="EQ33" s="2017" t="n">
        <v>-6.84</v>
      </c>
      <c r="ER33" s="2023" t="n">
        <f aca="false">EU33+ES33-BP33+ET33</f>
        <v>9.469996</v>
      </c>
      <c r="ES33" s="2023" t="n">
        <v>18.02</v>
      </c>
      <c r="ET33" s="2023" t="n">
        <v>-0.24</v>
      </c>
      <c r="EU33" s="2023" t="n">
        <v>-1.580004</v>
      </c>
      <c r="EV33" s="2024" t="n">
        <f aca="false">B33-DV33+EH33+DD33-CO33</f>
        <v>285.232643923132</v>
      </c>
      <c r="EW33" s="1478" t="n">
        <f aca="false">CX33-EC33</f>
        <v>61.0507914415624</v>
      </c>
      <c r="EX33" s="1478" t="n">
        <f aca="false">($DF33-$EB33)-$EA33*($DF33-$EB33)/($DF33-$EB33+$EH33)</f>
        <v>182.744134439178</v>
      </c>
      <c r="EY33" s="1478" t="n">
        <f aca="false">$EH33-$EA33*$EH33/($DF33-$EB33+$EH33)</f>
        <v>40.6577180423918</v>
      </c>
      <c r="EZ33" s="1478" t="n">
        <f aca="false">EV33+EI33</f>
        <v>295.620004</v>
      </c>
      <c r="FA33" s="1478"/>
      <c r="FB33" s="1478" t="n">
        <f aca="false">FB34*DateDE1b!DE35/DateDE1b!DE36</f>
        <v>40.3755797101449</v>
      </c>
      <c r="FC33" s="1478"/>
      <c r="FD33" s="1997" t="n">
        <f aca="false">T33+E33+U33-V33+CR33-H33-EP33</f>
        <v>50.990004</v>
      </c>
      <c r="FE33" s="1997"/>
      <c r="FF33" s="1997"/>
      <c r="FG33" s="1997" t="n">
        <f aca="false">CU33-EQ33</f>
        <v>6.64</v>
      </c>
      <c r="FH33" s="514" t="n">
        <f aca="false">FG33/FD33</f>
        <v>0.130221601865338</v>
      </c>
      <c r="FI33" s="1994" t="n">
        <f aca="false">FI34*DateDE1b!DE35/DateDE1b!DE36</f>
        <v>42.263115942029</v>
      </c>
      <c r="FJ33" s="1994" t="n">
        <f aca="false">FK33-FI33</f>
        <v>15.366888057971</v>
      </c>
      <c r="FK33" s="2025" t="n">
        <f aca="false">FD33+FG33</f>
        <v>57.630004</v>
      </c>
      <c r="FL33" s="1994"/>
      <c r="FM33" s="1994"/>
      <c r="FN33" s="1478"/>
      <c r="FO33" s="1995"/>
      <c r="FP33" s="1478"/>
      <c r="FQ33" s="1478"/>
      <c r="FR33" s="1997" t="n">
        <v>0</v>
      </c>
      <c r="FS33" s="1478"/>
      <c r="FT33" s="1478"/>
      <c r="FU33" s="1478"/>
      <c r="FV33" s="1478"/>
      <c r="FW33" s="2025"/>
      <c r="FX33" s="2026"/>
      <c r="FY33" s="2026"/>
      <c r="FZ33" s="2027"/>
      <c r="GA33" s="2015" t="n">
        <v>0</v>
      </c>
      <c r="GB33" s="402" t="n">
        <v>0.0539906103286385</v>
      </c>
      <c r="GC33" s="387" t="n">
        <v>0.0548492679010773</v>
      </c>
      <c r="GD33" s="387" t="n">
        <f aca="false">(G33/G32)/(1+GE33)-1</f>
        <v>0.0453636260054731</v>
      </c>
      <c r="GE33" s="387" t="n">
        <v>0.0429584599797366</v>
      </c>
      <c r="GF33" s="387" t="n">
        <v>0.0560165975103732</v>
      </c>
      <c r="GG33" s="2033" t="n">
        <v>69.072835</v>
      </c>
      <c r="GH33" s="465" t="n">
        <v>61655.9405</v>
      </c>
      <c r="GI33" s="465" t="n">
        <f aca="false">GJ33+GK33</f>
        <v>26857</v>
      </c>
      <c r="GJ33" s="465" t="n">
        <v>22889</v>
      </c>
      <c r="GK33" s="465" t="n">
        <v>3968</v>
      </c>
      <c r="GL33" s="25" t="n">
        <f aca="false">GL32+(GL$41-GL$31)/10</f>
        <v>0.2904</v>
      </c>
      <c r="GM33" s="25" t="n">
        <f aca="false">GK33/GI33</f>
        <v>0.147745466731206</v>
      </c>
      <c r="GN33" s="385" t="n">
        <v>61655.9405</v>
      </c>
      <c r="GO33" s="1932" t="n">
        <f aca="false">CX33</f>
        <v>72.2533739997468</v>
      </c>
      <c r="GP33" s="1932"/>
      <c r="GQ33" s="1932"/>
      <c r="GR33" s="1932"/>
      <c r="GS33" s="1509"/>
      <c r="GT33" s="1932"/>
      <c r="GU33" s="1478"/>
      <c r="GV33" s="1509"/>
      <c r="GW33" s="1478"/>
      <c r="GX33" s="1509"/>
      <c r="GY33" s="1478"/>
      <c r="GZ33" s="24" t="n">
        <f aca="false">DX33</f>
        <v>5.92</v>
      </c>
      <c r="HA33" s="1478"/>
      <c r="HB33" s="1478"/>
      <c r="HC33" s="1478"/>
      <c r="HD33" s="1478"/>
      <c r="HE33" s="1478"/>
      <c r="HF33" s="1478"/>
      <c r="HG33" s="1478"/>
      <c r="HH33" s="1478"/>
      <c r="HI33" s="1478"/>
      <c r="HJ33" s="1478"/>
      <c r="HK33" s="387"/>
    </row>
    <row r="34" customFormat="false" ht="12" hidden="false" customHeight="false" outlineLevel="0" collapsed="false">
      <c r="A34" s="31" t="n">
        <f aca="false">A33+1</f>
        <v>1973</v>
      </c>
      <c r="B34" s="395" t="n">
        <v>429.54</v>
      </c>
      <c r="C34" s="432" t="n">
        <f aca="false">B34+CR34</f>
        <v>423.15</v>
      </c>
      <c r="D34" s="384" t="n">
        <f aca="false">B34-I34</f>
        <v>382</v>
      </c>
      <c r="E34" s="1996" t="n">
        <f aca="false">CH34</f>
        <v>0.21</v>
      </c>
      <c r="F34" s="395" t="n">
        <f aca="false">G34-H34</f>
        <v>429.33</v>
      </c>
      <c r="G34" s="1997" t="n">
        <v>486.02</v>
      </c>
      <c r="H34" s="1997" t="n">
        <v>56.69</v>
      </c>
      <c r="I34" s="853" t="n">
        <v>47.54</v>
      </c>
      <c r="J34" s="395" t="n">
        <f aca="false">I34-CO34</f>
        <v>48.63</v>
      </c>
      <c r="K34" s="1478"/>
      <c r="L34" s="1478"/>
      <c r="M34" s="1478"/>
      <c r="N34" s="1478"/>
      <c r="O34" s="1478"/>
      <c r="P34" s="1478" t="n">
        <v>-0.01</v>
      </c>
      <c r="Q34" s="1999" t="n">
        <v>-1.71000000000001</v>
      </c>
      <c r="R34" s="1997" t="n">
        <v>264.9</v>
      </c>
      <c r="S34" s="1997" t="n">
        <v>84.1</v>
      </c>
      <c r="T34" s="1997" t="n">
        <v>123.75</v>
      </c>
      <c r="U34" s="1997" t="n">
        <v>105.46</v>
      </c>
      <c r="V34" s="1997" t="n">
        <v>92.19</v>
      </c>
      <c r="W34" s="2000" t="n">
        <f aca="false">F34-J34-BM34</f>
        <v>333.3</v>
      </c>
      <c r="X34" s="1997" t="n">
        <f aca="false">W34+AA34</f>
        <v>382.64</v>
      </c>
      <c r="Y34" s="1997" t="n">
        <f aca="false">DH34-BO34</f>
        <v>216.24</v>
      </c>
      <c r="Z34" s="1997" t="n">
        <f aca="false">W34-Y34</f>
        <v>117.06</v>
      </c>
      <c r="AA34" s="1997" t="n">
        <f aca="false">H34-BP34</f>
        <v>49.34</v>
      </c>
      <c r="AB34" s="1319" t="n">
        <f aca="false">AA34/X34</f>
        <v>0.128946268032616</v>
      </c>
      <c r="AC34" s="1997"/>
      <c r="AD34" s="1997"/>
      <c r="AE34" s="2017"/>
      <c r="AF34" s="1997"/>
      <c r="AG34" s="1997"/>
      <c r="AH34" s="1997"/>
      <c r="AI34" s="2001"/>
      <c r="AJ34" s="2002"/>
      <c r="AK34" s="1478"/>
      <c r="AL34" s="1478"/>
      <c r="AM34" s="821"/>
      <c r="AN34" s="2030"/>
      <c r="AO34" s="2001"/>
      <c r="AP34" s="2004"/>
      <c r="AQ34" s="2004"/>
      <c r="AR34" s="1478"/>
      <c r="AS34" s="1478"/>
      <c r="AT34" s="1478"/>
      <c r="AU34" s="2005"/>
      <c r="AV34" s="2001"/>
      <c r="AW34" s="2004"/>
      <c r="AX34" s="2004"/>
      <c r="AY34" s="1932"/>
      <c r="AZ34" s="1478"/>
      <c r="BA34" s="1478"/>
      <c r="BB34" s="821"/>
      <c r="BC34" s="1478"/>
      <c r="BD34" s="1478"/>
      <c r="BE34" s="1509"/>
      <c r="BF34" s="1478"/>
      <c r="BG34" s="1478"/>
      <c r="BH34" s="1478"/>
      <c r="BI34" s="1478"/>
      <c r="BJ34" s="1509"/>
      <c r="BK34" s="1478"/>
      <c r="BL34" s="2003"/>
      <c r="BM34" s="2001" t="n">
        <f aca="false">BN34-BP34</f>
        <v>47.4</v>
      </c>
      <c r="BN34" s="2004" t="n">
        <f aca="false">BO34+BP34</f>
        <v>54.75</v>
      </c>
      <c r="BO34" s="1478" t="n">
        <v>47.4</v>
      </c>
      <c r="BP34" s="1478" t="n">
        <v>7.35</v>
      </c>
      <c r="BQ34" s="2005" t="n">
        <f aca="false">BP34/BN34</f>
        <v>0.134246575342466</v>
      </c>
      <c r="BR34" s="1509"/>
      <c r="BS34" s="1509" t="n">
        <f aca="false">DX34</f>
        <v>7.79</v>
      </c>
      <c r="BT34" s="1509"/>
      <c r="BU34" s="1509"/>
      <c r="BV34" s="1509"/>
      <c r="BW34" s="1509"/>
      <c r="BX34" s="1478"/>
      <c r="BY34" s="1478"/>
      <c r="BZ34" s="1478"/>
      <c r="CA34" s="1509"/>
      <c r="CB34" s="1509"/>
      <c r="CC34" s="1478"/>
      <c r="CD34" s="1478"/>
      <c r="CE34" s="1478"/>
      <c r="CF34" s="1478"/>
      <c r="CG34" s="1509"/>
      <c r="CH34" s="1482" t="n">
        <f aca="false">CI34+CL34+CO34</f>
        <v>0.21</v>
      </c>
      <c r="CI34" s="1479" t="n">
        <f aca="false">CJ34-CK34</f>
        <v>0.34</v>
      </c>
      <c r="CJ34" s="2023" t="n">
        <v>6.17</v>
      </c>
      <c r="CK34" s="2023" t="n">
        <v>5.83</v>
      </c>
      <c r="CL34" s="1479" t="n">
        <f aca="false">CM34-CN34</f>
        <v>0.96</v>
      </c>
      <c r="CM34" s="2023" t="n">
        <v>1.61</v>
      </c>
      <c r="CN34" s="2023" t="n">
        <v>0.65</v>
      </c>
      <c r="CO34" s="2023" t="n">
        <f aca="false">CP34-CQ34</f>
        <v>-1.09</v>
      </c>
      <c r="CP34" s="2023" t="n">
        <v>1.4</v>
      </c>
      <c r="CQ34" s="2023" t="n">
        <v>2.49</v>
      </c>
      <c r="CR34" s="1478" t="n">
        <f aca="false">CS34-CT34</f>
        <v>-6.39</v>
      </c>
      <c r="CS34" s="1478" t="n">
        <v>1.26</v>
      </c>
      <c r="CT34" s="1478" t="n">
        <v>7.65</v>
      </c>
      <c r="CU34" s="1478" t="n">
        <f aca="false">CV34-CW34</f>
        <v>-0.2</v>
      </c>
      <c r="CV34" s="485" t="n">
        <v>0.1</v>
      </c>
      <c r="CW34" s="1478" t="n">
        <v>0.3</v>
      </c>
      <c r="CX34" s="1998" t="n">
        <f aca="false">D34+DD34-DF34</f>
        <v>77.7630535141699</v>
      </c>
      <c r="CY34" s="2007" t="n">
        <f aca="false">CX34-DC34-DD34</f>
        <v>77.7530495141699</v>
      </c>
      <c r="CZ34" s="1509"/>
      <c r="DA34" s="2008"/>
      <c r="DB34" s="2009"/>
      <c r="DC34" s="2017" t="n">
        <f aca="false">CI34</f>
        <v>0.34</v>
      </c>
      <c r="DD34" s="1478" t="n">
        <v>-0.329996</v>
      </c>
      <c r="DE34" s="1478"/>
      <c r="DF34" s="2007" t="n">
        <f aca="false">DI34+DL34+DM34+DU34</f>
        <v>303.90695048583</v>
      </c>
      <c r="DG34" s="2010" t="n">
        <v>264.6</v>
      </c>
      <c r="DH34" s="2010" t="n">
        <f aca="false">DG34-DU34</f>
        <v>263.64</v>
      </c>
      <c r="DI34" s="2011" t="n">
        <f aca="false">Y34</f>
        <v>216.24</v>
      </c>
      <c r="DJ34" s="2012"/>
      <c r="DK34" s="2012"/>
      <c r="DL34" s="1509" t="n">
        <f aca="false">BM34</f>
        <v>47.4</v>
      </c>
      <c r="DM34" s="2009" t="n">
        <f aca="false">GK34*DN34*DH34/GJ34</f>
        <v>39.3069504858301</v>
      </c>
      <c r="DN34" s="2013" t="n">
        <f aca="false">DN35</f>
        <v>0.895905244977209</v>
      </c>
      <c r="DO34" s="2009"/>
      <c r="DP34" s="2009" t="n">
        <f aca="false">GK34*DH34/GJ34</f>
        <v>43.8740042054671</v>
      </c>
      <c r="DQ34" s="2009" t="n">
        <f aca="false">2/3*DP34</f>
        <v>29.2493361369781</v>
      </c>
      <c r="DR34" s="2009" t="n">
        <f aca="false">DS34*(DH34/GJ34)*GK34</f>
        <v>45.9606859413594</v>
      </c>
      <c r="DS34" s="514" t="n">
        <f aca="false">(DT34/GK34)/(DH34/GJ34)</f>
        <v>1.04756077713172</v>
      </c>
      <c r="DT34" s="2012" t="n">
        <v>45.9606859413594</v>
      </c>
      <c r="DU34" s="2015" t="n">
        <f aca="false">CL34</f>
        <v>0.96</v>
      </c>
      <c r="DV34" s="2007" t="n">
        <f aca="false">DW34+DX34+DY34+EB34</f>
        <v>174.16</v>
      </c>
      <c r="DW34" s="1509" t="n">
        <f aca="false">I34</f>
        <v>47.54</v>
      </c>
      <c r="DX34" s="2017" t="n">
        <v>7.79</v>
      </c>
      <c r="DY34" s="2017" t="n">
        <f aca="false">EE34+EF34</f>
        <v>51.88</v>
      </c>
      <c r="DZ34" s="2018" t="n">
        <f aca="false">EF34+EE34-EA34</f>
        <v>6.35613345084057</v>
      </c>
      <c r="EA34" s="2018" t="n">
        <f aca="false">EE34*(DF34-EB34+EH34)/(0.5*CX34+DF34-EB34+EH34)</f>
        <v>45.5238665491594</v>
      </c>
      <c r="EB34" s="1478" t="n">
        <v>66.95</v>
      </c>
      <c r="EC34" s="2018" t="n">
        <f aca="false">DX34+DZ34</f>
        <v>14.1461334508406</v>
      </c>
      <c r="ED34" s="2018" t="n">
        <f aca="false">EA34+EB34</f>
        <v>112.473866549159</v>
      </c>
      <c r="EE34" s="1478" t="n">
        <v>51.63</v>
      </c>
      <c r="EF34" s="2017" t="n">
        <v>0.25</v>
      </c>
      <c r="EG34" s="1478" t="n">
        <v>64.57</v>
      </c>
      <c r="EH34" s="2017" t="n">
        <f aca="false">EG34-EI34</f>
        <v>52.9216526543358</v>
      </c>
      <c r="EI34" s="2023" t="n">
        <f aca="false">EG34*EI$41/EG$41</f>
        <v>11.6483473456642</v>
      </c>
      <c r="EJ34" s="2023" t="n">
        <v>22.6</v>
      </c>
      <c r="EK34" s="2032" t="n">
        <v>2.3</v>
      </c>
      <c r="EL34" s="2017" t="n">
        <f aca="false">EM34-(DV34-EF34)</f>
        <v>0.659999999999997</v>
      </c>
      <c r="EM34" s="2017" t="n">
        <f aca="false">EP34+S34+EG34+EN34+DD34</f>
        <v>174.57</v>
      </c>
      <c r="EN34" s="2017" t="n">
        <v>2.3</v>
      </c>
      <c r="EO34" s="2019" t="n">
        <f aca="false">EM34-EG34-EN34-DD34</f>
        <v>108.029996</v>
      </c>
      <c r="EP34" s="2019" t="n">
        <f aca="false">ER34-EQ34</f>
        <v>23.929996</v>
      </c>
      <c r="EQ34" s="2017" t="n">
        <v>-7.3</v>
      </c>
      <c r="ER34" s="2023" t="n">
        <f aca="false">EU34+ES34-BP34+ET34</f>
        <v>16.629996</v>
      </c>
      <c r="ES34" s="2023" t="n">
        <v>18.7</v>
      </c>
      <c r="ET34" s="2023" t="n">
        <v>-0.17</v>
      </c>
      <c r="EU34" s="2023" t="n">
        <v>5.44999599999999</v>
      </c>
      <c r="EV34" s="2024" t="n">
        <f aca="false">B34-DV34+EH34+DD34-CO34</f>
        <v>309.061656654336</v>
      </c>
      <c r="EW34" s="1478" t="n">
        <f aca="false">CX34-EC34</f>
        <v>63.6169200633293</v>
      </c>
      <c r="EX34" s="1478" t="n">
        <f aca="false">($DF34-$EB34)-$EA34*($DF34-$EB34)/($DF34-$EB34+$EH34)</f>
        <v>199.74414321079</v>
      </c>
      <c r="EY34" s="1478" t="n">
        <f aca="false">$EH34-$EA34*$EH34/($DF34-$EB34+$EH34)</f>
        <v>44.6105933802161</v>
      </c>
      <c r="EZ34" s="1478" t="n">
        <f aca="false">EV34+EI34</f>
        <v>320.710004</v>
      </c>
      <c r="FA34" s="1478"/>
      <c r="FB34" s="1478" t="n">
        <f aca="false">FB35*DateDE1b!DE36/DateDE1b!DE37</f>
        <v>42.3596376811594</v>
      </c>
      <c r="FC34" s="1478"/>
      <c r="FD34" s="1997" t="n">
        <f aca="false">T34+E34+U34-V34+CR34-H34-EP34</f>
        <v>50.220004</v>
      </c>
      <c r="FE34" s="1997"/>
      <c r="FF34" s="1997"/>
      <c r="FG34" s="1997" t="n">
        <f aca="false">CU34-EQ34</f>
        <v>7.1</v>
      </c>
      <c r="FH34" s="514" t="n">
        <f aca="false">FG34/FD34</f>
        <v>0.141377925816175</v>
      </c>
      <c r="FI34" s="1994" t="n">
        <f aca="false">FI35*DateDE1b!DE36/DateDE1b!DE37</f>
        <v>44.3399275362319</v>
      </c>
      <c r="FJ34" s="1994" t="n">
        <f aca="false">FK34-FI34</f>
        <v>12.9800764637681</v>
      </c>
      <c r="FK34" s="2025" t="n">
        <f aca="false">FD34+FG34</f>
        <v>57.320004</v>
      </c>
      <c r="FL34" s="1994"/>
      <c r="FM34" s="1994"/>
      <c r="FN34" s="1478"/>
      <c r="FO34" s="1995"/>
      <c r="FP34" s="1478"/>
      <c r="FQ34" s="1478"/>
      <c r="FR34" s="1997" t="n">
        <v>0</v>
      </c>
      <c r="FS34" s="1478"/>
      <c r="FT34" s="1478"/>
      <c r="FU34" s="1478"/>
      <c r="FV34" s="1478"/>
      <c r="FW34" s="2025"/>
      <c r="FX34" s="2026"/>
      <c r="FY34" s="2026"/>
      <c r="FZ34" s="2027"/>
      <c r="GA34" s="2015" t="n">
        <v>0</v>
      </c>
      <c r="GB34" s="402" t="n">
        <v>0.0712694877505569</v>
      </c>
      <c r="GC34" s="387" t="n">
        <v>0.070320313701006</v>
      </c>
      <c r="GD34" s="387" t="n">
        <f aca="false">(G34/G33)/(1+GE34)-1</f>
        <v>0.0629748847406846</v>
      </c>
      <c r="GE34" s="387" t="n">
        <v>0.0477948319409365</v>
      </c>
      <c r="GF34" s="387" t="n">
        <v>0.0648330058939097</v>
      </c>
      <c r="GG34" s="2033" t="n">
        <v>69.3865</v>
      </c>
      <c r="GH34" s="465" t="n">
        <v>61955.3735</v>
      </c>
      <c r="GI34" s="465" t="n">
        <f aca="false">GJ34+GK34</f>
        <v>27181</v>
      </c>
      <c r="GJ34" s="465" t="n">
        <v>23303</v>
      </c>
      <c r="GK34" s="465" t="n">
        <v>3878</v>
      </c>
      <c r="GL34" s="25" t="n">
        <f aca="false">GL33+(GL$41-GL$31)/10</f>
        <v>0.2871</v>
      </c>
      <c r="GM34" s="25" t="n">
        <f aca="false">GK34/GI34</f>
        <v>0.142673190831831</v>
      </c>
      <c r="GN34" s="385" t="n">
        <v>61955.3735</v>
      </c>
      <c r="GO34" s="1932" t="n">
        <f aca="false">CX34</f>
        <v>77.7630535141699</v>
      </c>
      <c r="GP34" s="1932"/>
      <c r="GQ34" s="1932"/>
      <c r="GR34" s="1932"/>
      <c r="GS34" s="1509"/>
      <c r="GT34" s="1932"/>
      <c r="GU34" s="1478"/>
      <c r="GV34" s="1509"/>
      <c r="GW34" s="1478"/>
      <c r="GX34" s="1509"/>
      <c r="GY34" s="1478"/>
      <c r="GZ34" s="24" t="n">
        <f aca="false">DX34</f>
        <v>7.79</v>
      </c>
      <c r="HA34" s="1478"/>
      <c r="HB34" s="1478"/>
      <c r="HC34" s="1478"/>
      <c r="HD34" s="1478"/>
      <c r="HE34" s="1478"/>
      <c r="HF34" s="1478"/>
      <c r="HG34" s="1478"/>
      <c r="HH34" s="1478"/>
      <c r="HI34" s="1478"/>
      <c r="HJ34" s="1478"/>
      <c r="HK34" s="387"/>
    </row>
    <row r="35" customFormat="false" ht="12" hidden="false" customHeight="false" outlineLevel="0" collapsed="false">
      <c r="A35" s="31" t="n">
        <f aca="false">A34+1</f>
        <v>1974</v>
      </c>
      <c r="B35" s="395" t="n">
        <v>462.37</v>
      </c>
      <c r="C35" s="432" t="n">
        <f aca="false">B35+CR35</f>
        <v>455.12</v>
      </c>
      <c r="D35" s="384" t="n">
        <f aca="false">B35-I35</f>
        <v>413.2</v>
      </c>
      <c r="E35" s="1996" t="n">
        <f aca="false">CH35</f>
        <v>0.23</v>
      </c>
      <c r="F35" s="395" t="n">
        <f aca="false">G35-H35</f>
        <v>462.14</v>
      </c>
      <c r="G35" s="1997" t="n">
        <v>526.02</v>
      </c>
      <c r="H35" s="1997" t="n">
        <v>63.88</v>
      </c>
      <c r="I35" s="853" t="n">
        <v>49.17</v>
      </c>
      <c r="J35" s="395" t="n">
        <f aca="false">I35-CO35</f>
        <v>50.09</v>
      </c>
      <c r="K35" s="1478"/>
      <c r="L35" s="1478"/>
      <c r="M35" s="1478"/>
      <c r="N35" s="1478"/>
      <c r="O35" s="1478"/>
      <c r="P35" s="1478" t="n">
        <v>-0.03</v>
      </c>
      <c r="Q35" s="1999" t="n">
        <v>-1.78</v>
      </c>
      <c r="R35" s="1997" t="n">
        <v>285.58</v>
      </c>
      <c r="S35" s="1997" t="n">
        <v>98.09</v>
      </c>
      <c r="T35" s="1997" t="n">
        <v>121.02</v>
      </c>
      <c r="U35" s="1997" t="n">
        <v>135.56</v>
      </c>
      <c r="V35" s="1999" t="n">
        <v>114.23</v>
      </c>
      <c r="W35" s="1997" t="n">
        <f aca="false">F35-J35-BM35</f>
        <v>357.01</v>
      </c>
      <c r="X35" s="1997" t="n">
        <f aca="false">W35+AA35</f>
        <v>412.46</v>
      </c>
      <c r="Y35" s="1997" t="n">
        <f aca="false">DH35-BO35</f>
        <v>236.59</v>
      </c>
      <c r="Z35" s="1997" t="n">
        <f aca="false">W35-Y35</f>
        <v>120.42</v>
      </c>
      <c r="AA35" s="1997" t="n">
        <f aca="false">H35-BP35</f>
        <v>55.45</v>
      </c>
      <c r="AB35" s="1319" t="n">
        <f aca="false">AA35/X35</f>
        <v>0.134437278766426</v>
      </c>
      <c r="AC35" s="1997"/>
      <c r="AD35" s="1997"/>
      <c r="AE35" s="2017"/>
      <c r="AF35" s="1997"/>
      <c r="AG35" s="1997"/>
      <c r="AH35" s="1997"/>
      <c r="AI35" s="2001"/>
      <c r="AJ35" s="2002"/>
      <c r="AK35" s="1478"/>
      <c r="AL35" s="1478"/>
      <c r="AM35" s="821"/>
      <c r="AN35" s="2030"/>
      <c r="AO35" s="2001"/>
      <c r="AP35" s="2004"/>
      <c r="AQ35" s="2004"/>
      <c r="AR35" s="1478"/>
      <c r="AS35" s="1478"/>
      <c r="AT35" s="1478"/>
      <c r="AU35" s="2005"/>
      <c r="AV35" s="2001"/>
      <c r="AW35" s="2004"/>
      <c r="AX35" s="2004"/>
      <c r="AY35" s="1932"/>
      <c r="AZ35" s="1478"/>
      <c r="BA35" s="1478"/>
      <c r="BB35" s="821"/>
      <c r="BC35" s="1478"/>
      <c r="BD35" s="1478"/>
      <c r="BE35" s="1509"/>
      <c r="BF35" s="1478"/>
      <c r="BG35" s="1478"/>
      <c r="BH35" s="1478"/>
      <c r="BI35" s="1478"/>
      <c r="BJ35" s="1509"/>
      <c r="BK35" s="1478"/>
      <c r="BL35" s="2003"/>
      <c r="BM35" s="2001" t="n">
        <f aca="false">BN35-BP35</f>
        <v>55.04</v>
      </c>
      <c r="BN35" s="2004" t="n">
        <f aca="false">BO35+BP35</f>
        <v>63.47</v>
      </c>
      <c r="BO35" s="1478" t="n">
        <v>55.04</v>
      </c>
      <c r="BP35" s="1478" t="n">
        <v>8.43</v>
      </c>
      <c r="BQ35" s="2005" t="n">
        <f aca="false">BP35/BN35</f>
        <v>0.132818654482433</v>
      </c>
      <c r="BR35" s="1509"/>
      <c r="BS35" s="1509" t="n">
        <f aca="false">DX35</f>
        <v>7.7</v>
      </c>
      <c r="BT35" s="1509"/>
      <c r="BU35" s="1509"/>
      <c r="BV35" s="1509"/>
      <c r="BW35" s="1509"/>
      <c r="BX35" s="1478"/>
      <c r="BY35" s="1478"/>
      <c r="BZ35" s="1478"/>
      <c r="CA35" s="1509"/>
      <c r="CB35" s="1509"/>
      <c r="CC35" s="1478"/>
      <c r="CD35" s="1478"/>
      <c r="CE35" s="1478"/>
      <c r="CF35" s="1478"/>
      <c r="CG35" s="1509"/>
      <c r="CH35" s="1482" t="n">
        <f aca="false">CI35+CL35+CO35</f>
        <v>0.23</v>
      </c>
      <c r="CI35" s="1479" t="n">
        <f aca="false">CJ35-CK35</f>
        <v>0.0899999999999999</v>
      </c>
      <c r="CJ35" s="2023" t="n">
        <v>7.01</v>
      </c>
      <c r="CK35" s="2023" t="n">
        <v>6.92</v>
      </c>
      <c r="CL35" s="1479" t="n">
        <f aca="false">CM35-CN35</f>
        <v>1.06</v>
      </c>
      <c r="CM35" s="2023" t="n">
        <v>1.8</v>
      </c>
      <c r="CN35" s="2023" t="n">
        <v>0.74</v>
      </c>
      <c r="CO35" s="2023" t="n">
        <f aca="false">CP35-CQ35</f>
        <v>-0.92</v>
      </c>
      <c r="CP35" s="2023" t="n">
        <v>1.45</v>
      </c>
      <c r="CQ35" s="2023" t="n">
        <v>2.37</v>
      </c>
      <c r="CR35" s="1478" t="n">
        <f aca="false">CS35-CT35</f>
        <v>-7.25</v>
      </c>
      <c r="CS35" s="1478" t="n">
        <v>1.5</v>
      </c>
      <c r="CT35" s="1478" t="n">
        <v>8.75</v>
      </c>
      <c r="CU35" s="1478" t="n">
        <f aca="false">CV35-CW35</f>
        <v>-0.43</v>
      </c>
      <c r="CV35" s="485" t="n">
        <v>0.1</v>
      </c>
      <c r="CW35" s="1478" t="n">
        <v>0.53</v>
      </c>
      <c r="CX35" s="1998" t="n">
        <f aca="false">D35+DD35-DF35</f>
        <v>79.4688635478021</v>
      </c>
      <c r="CY35" s="2007" t="n">
        <f aca="false">CX35-DC35-DD35</f>
        <v>78.2588595478021</v>
      </c>
      <c r="CZ35" s="1509"/>
      <c r="DA35" s="2008"/>
      <c r="DB35" s="2009"/>
      <c r="DC35" s="2017" t="n">
        <f aca="false">CI35</f>
        <v>0.0899999999999999</v>
      </c>
      <c r="DD35" s="1478" t="n">
        <v>1.120004</v>
      </c>
      <c r="DE35" s="1478"/>
      <c r="DF35" s="2007" t="n">
        <f aca="false">DI35+DL35+DM35+DU35</f>
        <v>334.851140452198</v>
      </c>
      <c r="DG35" s="2010" t="n">
        <v>292.69</v>
      </c>
      <c r="DH35" s="2010" t="n">
        <f aca="false">DG35-DU35</f>
        <v>291.63</v>
      </c>
      <c r="DI35" s="2011" t="n">
        <f aca="false">Y35</f>
        <v>236.59</v>
      </c>
      <c r="DJ35" s="2012"/>
      <c r="DK35" s="2012"/>
      <c r="DL35" s="1509" t="n">
        <f aca="false">BM35</f>
        <v>55.04</v>
      </c>
      <c r="DM35" s="2009" t="n">
        <f aca="false">GK35*DN35*DH35/GJ35</f>
        <v>42.1611404521979</v>
      </c>
      <c r="DN35" s="2013" t="n">
        <f aca="false">DN36</f>
        <v>0.895905244977209</v>
      </c>
      <c r="DO35" s="2009"/>
      <c r="DP35" s="2009" t="n">
        <f aca="false">GK35*DH35/GJ35</f>
        <v>47.0598209895182</v>
      </c>
      <c r="DQ35" s="2009" t="n">
        <f aca="false">2/3*DP35</f>
        <v>31.3732139930121</v>
      </c>
      <c r="DR35" s="2009" t="n">
        <f aca="false">DS35*(DH35/GJ35)*GK35</f>
        <v>50.9304194966456</v>
      </c>
      <c r="DS35" s="514" t="n">
        <f aca="false">(DT35/GK35)/(DH35/GJ35)</f>
        <v>1.08224847493554</v>
      </c>
      <c r="DT35" s="2012" t="n">
        <v>50.9304194966456</v>
      </c>
      <c r="DU35" s="2015" t="n">
        <f aca="false">CL35</f>
        <v>1.06</v>
      </c>
      <c r="DV35" s="2007" t="n">
        <f aca="false">DW35+DX35+DY35+EB35</f>
        <v>190.36</v>
      </c>
      <c r="DW35" s="1509" t="n">
        <f aca="false">I35</f>
        <v>49.17</v>
      </c>
      <c r="DX35" s="2017" t="n">
        <v>7.7</v>
      </c>
      <c r="DY35" s="2017" t="n">
        <f aca="false">EE35+EF35</f>
        <v>58.41</v>
      </c>
      <c r="DZ35" s="2018" t="n">
        <f aca="false">EF35+EE35-EA35</f>
        <v>6.6420509289612</v>
      </c>
      <c r="EA35" s="2018" t="n">
        <f aca="false">EE35*(DF35-EB35+EH35)/(0.5*CX35+DF35-EB35+EH35)</f>
        <v>51.7679490710388</v>
      </c>
      <c r="EB35" s="1478" t="n">
        <v>75.08</v>
      </c>
      <c r="EC35" s="2018" t="n">
        <f aca="false">DX35+DZ35</f>
        <v>14.3420509289612</v>
      </c>
      <c r="ED35" s="2018" t="n">
        <f aca="false">EA35+EB35</f>
        <v>126.847949071039</v>
      </c>
      <c r="EE35" s="1478" t="n">
        <v>58.17</v>
      </c>
      <c r="EF35" s="2017" t="n">
        <v>0.24</v>
      </c>
      <c r="EG35" s="1478" t="n">
        <v>75.07</v>
      </c>
      <c r="EH35" s="2017" t="n">
        <f aca="false">EG35-EI35</f>
        <v>61.5274657698775</v>
      </c>
      <c r="EI35" s="2023" t="n">
        <f aca="false">EG35*EI$41/EG$41</f>
        <v>13.5425342301225</v>
      </c>
      <c r="EJ35" s="2023" t="n">
        <v>27.34</v>
      </c>
      <c r="EK35" s="2032" t="n">
        <v>2.47</v>
      </c>
      <c r="EL35" s="2017" t="n">
        <f aca="false">EM35-(DV35-EF35)</f>
        <v>0.649999999999977</v>
      </c>
      <c r="EM35" s="2017" t="n">
        <f aca="false">EP35+S35+EG35+EN35+DD35</f>
        <v>190.77</v>
      </c>
      <c r="EN35" s="2017" t="n">
        <v>2.47</v>
      </c>
      <c r="EO35" s="2019" t="n">
        <f aca="false">EM35-EG35-EN35-DD35</f>
        <v>112.109996</v>
      </c>
      <c r="EP35" s="2019" t="n">
        <f aca="false">ER35-EQ35</f>
        <v>14.019996</v>
      </c>
      <c r="EQ35" s="2017" t="n">
        <v>-8.55</v>
      </c>
      <c r="ER35" s="2023" t="n">
        <f aca="false">EU35+ES35-BP35+ET35</f>
        <v>5.46999599999999</v>
      </c>
      <c r="ES35" s="2023" t="n">
        <v>22.64</v>
      </c>
      <c r="ET35" s="2023" t="n">
        <v>-0.1</v>
      </c>
      <c r="EU35" s="2023" t="n">
        <v>-8.64000400000001</v>
      </c>
      <c r="EV35" s="2024" t="n">
        <f aca="false">B35-DV35+EH35+DD35-CO35</f>
        <v>335.577469769878</v>
      </c>
      <c r="EW35" s="1478" t="n">
        <f aca="false">CX35-EC35</f>
        <v>65.1268126188409</v>
      </c>
      <c r="EX35" s="1478" t="n">
        <f aca="false">($DF35-$EB35)-$EA35*($DF35-$EB35)/($DF35-$EB35+$EH35)</f>
        <v>217.916557492195</v>
      </c>
      <c r="EY35" s="1478" t="n">
        <f aca="false">$EH35-$EA35*$EH35/($DF35-$EB35+$EH35)</f>
        <v>51.6140996588413</v>
      </c>
      <c r="EZ35" s="1478" t="n">
        <f aca="false">EV35+EI35</f>
        <v>349.120004</v>
      </c>
      <c r="FA35" s="1478"/>
      <c r="FB35" s="1478" t="n">
        <f aca="false">FB36*DateDE1b!DE37/DateDE1b!DE38</f>
        <v>49.0558333333334</v>
      </c>
      <c r="FC35" s="1478"/>
      <c r="FD35" s="1997" t="n">
        <f aca="false">T35+E35+U35-V35+CR35-H35-EP35</f>
        <v>57.430004</v>
      </c>
      <c r="FE35" s="1997"/>
      <c r="FF35" s="1997"/>
      <c r="FG35" s="1997" t="n">
        <f aca="false">CU35-EQ35</f>
        <v>8.12</v>
      </c>
      <c r="FH35" s="514" t="n">
        <f aca="false">FG35/FD35</f>
        <v>0.141389507825909</v>
      </c>
      <c r="FI35" s="1994" t="n">
        <f aca="false">FI36*DateDE1b!DE37/DateDE1b!DE38</f>
        <v>51.3491666666667</v>
      </c>
      <c r="FJ35" s="1994" t="n">
        <f aca="false">FK35-FI35</f>
        <v>14.2008373333333</v>
      </c>
      <c r="FK35" s="2025" t="n">
        <f aca="false">FD35+FG35</f>
        <v>65.550004</v>
      </c>
      <c r="FL35" s="1994"/>
      <c r="FM35" s="1994"/>
      <c r="FN35" s="1478"/>
      <c r="FO35" s="1995"/>
      <c r="FP35" s="1478"/>
      <c r="FQ35" s="1478"/>
      <c r="FR35" s="1997" t="n">
        <v>0</v>
      </c>
      <c r="FS35" s="1478"/>
      <c r="FT35" s="1478"/>
      <c r="FU35" s="1478"/>
      <c r="FV35" s="1478"/>
      <c r="FW35" s="2025"/>
      <c r="FX35" s="2026"/>
      <c r="FY35" s="2026"/>
      <c r="FZ35" s="2027"/>
      <c r="GA35" s="2015" t="n">
        <v>0</v>
      </c>
      <c r="GB35" s="402" t="n">
        <v>0.0686070686070686</v>
      </c>
      <c r="GC35" s="387" t="n">
        <v>0.0698642622509589</v>
      </c>
      <c r="GD35" s="387" t="n">
        <f aca="false">(G35/G34)/(1+GE35)-1</f>
        <v>0.072753179070604</v>
      </c>
      <c r="GE35" s="387" t="n">
        <v>0.00890042647876865</v>
      </c>
      <c r="GF35" s="387" t="n">
        <v>0.0719557195571956</v>
      </c>
      <c r="GG35" s="2033" t="n">
        <v>63.388845</v>
      </c>
      <c r="GH35" s="465" t="n">
        <v>62046.422</v>
      </c>
      <c r="GI35" s="465" t="n">
        <f aca="false">GJ35+GK35</f>
        <v>26924</v>
      </c>
      <c r="GJ35" s="465" t="n">
        <v>23183</v>
      </c>
      <c r="GK35" s="465" t="n">
        <v>3741</v>
      </c>
      <c r="GL35" s="25" t="n">
        <f aca="false">GL34+(GL$41-GL$31)/10</f>
        <v>0.2838</v>
      </c>
      <c r="GM35" s="25" t="n">
        <f aca="false">GK35/GI35</f>
        <v>0.138946664685782</v>
      </c>
      <c r="GN35" s="385" t="n">
        <v>62046.422</v>
      </c>
      <c r="GO35" s="1932" t="n">
        <f aca="false">CX35</f>
        <v>79.4688635478021</v>
      </c>
      <c r="GP35" s="1932"/>
      <c r="GQ35" s="1932"/>
      <c r="GR35" s="1932"/>
      <c r="GS35" s="1509"/>
      <c r="GT35" s="1932"/>
      <c r="GU35" s="1478"/>
      <c r="GV35" s="1509"/>
      <c r="GW35" s="1478"/>
      <c r="GX35" s="1509"/>
      <c r="GY35" s="1478"/>
      <c r="GZ35" s="24" t="n">
        <f aca="false">DX35</f>
        <v>7.7</v>
      </c>
      <c r="HA35" s="1478"/>
      <c r="HB35" s="1478"/>
      <c r="HC35" s="1478"/>
      <c r="HD35" s="1478"/>
      <c r="HE35" s="1478"/>
      <c r="HF35" s="1478"/>
      <c r="HG35" s="1478"/>
      <c r="HH35" s="1478"/>
      <c r="HI35" s="1478"/>
      <c r="HJ35" s="1478"/>
      <c r="HK35" s="387"/>
    </row>
    <row r="36" customFormat="false" ht="12" hidden="false" customHeight="false" outlineLevel="0" collapsed="false">
      <c r="A36" s="31" t="n">
        <f aca="false">A35+1</f>
        <v>1975</v>
      </c>
      <c r="B36" s="395" t="n">
        <v>482.61</v>
      </c>
      <c r="C36" s="432" t="n">
        <f aca="false">B36+CR36</f>
        <v>475.03</v>
      </c>
      <c r="D36" s="384" t="n">
        <f aca="false">B36-I36</f>
        <v>431.99</v>
      </c>
      <c r="E36" s="1996" t="n">
        <f aca="false">CH36</f>
        <v>1.01</v>
      </c>
      <c r="F36" s="395" t="n">
        <f aca="false">G36-H36</f>
        <v>481.6</v>
      </c>
      <c r="G36" s="1997" t="n">
        <v>551.01</v>
      </c>
      <c r="H36" s="1997" t="n">
        <v>69.41</v>
      </c>
      <c r="I36" s="853" t="n">
        <v>50.62</v>
      </c>
      <c r="J36" s="395" t="n">
        <f aca="false">I36-CO36</f>
        <v>52.3</v>
      </c>
      <c r="K36" s="1478"/>
      <c r="L36" s="1478"/>
      <c r="M36" s="1478"/>
      <c r="N36" s="1478"/>
      <c r="O36" s="1478"/>
      <c r="P36" s="1478" t="n">
        <v>-0.05</v>
      </c>
      <c r="Q36" s="1999" t="n">
        <v>-1.53000000000001</v>
      </c>
      <c r="R36" s="1997" t="n">
        <v>312.38</v>
      </c>
      <c r="S36" s="1997" t="n">
        <v>108.54</v>
      </c>
      <c r="T36" s="1997" t="n">
        <v>117.03</v>
      </c>
      <c r="U36" s="1997" t="n">
        <v>133.23</v>
      </c>
      <c r="V36" s="1999" t="n">
        <v>120.17</v>
      </c>
      <c r="W36" s="1997" t="n">
        <f aca="false">F36-J36-BM36</f>
        <v>369.43</v>
      </c>
      <c r="X36" s="1997" t="n">
        <f aca="false">W36+AA36</f>
        <v>429.65</v>
      </c>
      <c r="Y36" s="1997" t="n">
        <f aca="false">DH36-BO36</f>
        <v>244.86</v>
      </c>
      <c r="Z36" s="1997" t="n">
        <f aca="false">W36-Y36</f>
        <v>124.57</v>
      </c>
      <c r="AA36" s="1997" t="n">
        <f aca="false">H36-BP36</f>
        <v>60.22</v>
      </c>
      <c r="AB36" s="1319" t="n">
        <f aca="false">AA36/X36</f>
        <v>0.140160595833818</v>
      </c>
      <c r="AC36" s="1997"/>
      <c r="AD36" s="1997"/>
      <c r="AE36" s="2017"/>
      <c r="AF36" s="1997"/>
      <c r="AG36" s="1997"/>
      <c r="AH36" s="1997"/>
      <c r="AI36" s="2001"/>
      <c r="AJ36" s="2002"/>
      <c r="AK36" s="1478"/>
      <c r="AL36" s="1478"/>
      <c r="AM36" s="821"/>
      <c r="AN36" s="2030"/>
      <c r="AO36" s="2001"/>
      <c r="AP36" s="2004"/>
      <c r="AQ36" s="2004"/>
      <c r="AR36" s="1478"/>
      <c r="AS36" s="1478"/>
      <c r="AT36" s="1478"/>
      <c r="AU36" s="2005"/>
      <c r="AV36" s="2001"/>
      <c r="AW36" s="2004"/>
      <c r="AX36" s="2004"/>
      <c r="AY36" s="1932"/>
      <c r="AZ36" s="1478"/>
      <c r="BA36" s="1478"/>
      <c r="BB36" s="821"/>
      <c r="BC36" s="1478"/>
      <c r="BD36" s="1478"/>
      <c r="BE36" s="1509"/>
      <c r="BF36" s="1478"/>
      <c r="BG36" s="1478"/>
      <c r="BH36" s="1478"/>
      <c r="BI36" s="1478"/>
      <c r="BJ36" s="1509"/>
      <c r="BK36" s="1478"/>
      <c r="BL36" s="2003"/>
      <c r="BM36" s="2001" t="n">
        <f aca="false">BN36-BP36</f>
        <v>59.87</v>
      </c>
      <c r="BN36" s="2004" t="n">
        <f aca="false">BO36+BP36</f>
        <v>69.06</v>
      </c>
      <c r="BO36" s="1478" t="n">
        <v>59.87</v>
      </c>
      <c r="BP36" s="1478" t="n">
        <v>9.19</v>
      </c>
      <c r="BQ36" s="2005" t="n">
        <f aca="false">BP36/BN36</f>
        <v>0.133072690414133</v>
      </c>
      <c r="BR36" s="1509"/>
      <c r="BS36" s="1509" t="n">
        <f aca="false">DX36</f>
        <v>7.16</v>
      </c>
      <c r="BT36" s="1509"/>
      <c r="BU36" s="1509"/>
      <c r="BV36" s="1509"/>
      <c r="BW36" s="1509"/>
      <c r="BX36" s="1478"/>
      <c r="BY36" s="1478"/>
      <c r="BZ36" s="1478"/>
      <c r="CA36" s="1509"/>
      <c r="CB36" s="1509"/>
      <c r="CC36" s="1478"/>
      <c r="CD36" s="1478"/>
      <c r="CE36" s="1478"/>
      <c r="CF36" s="1478"/>
      <c r="CG36" s="1509"/>
      <c r="CH36" s="1482" t="n">
        <f aca="false">CI36+CL36+CO36</f>
        <v>1.01</v>
      </c>
      <c r="CI36" s="1479" t="n">
        <f aca="false">CJ36-CK36</f>
        <v>1.46</v>
      </c>
      <c r="CJ36" s="2023" t="n">
        <v>6.84</v>
      </c>
      <c r="CK36" s="2023" t="n">
        <v>5.38</v>
      </c>
      <c r="CL36" s="1479" t="n">
        <f aca="false">CM36-CN36</f>
        <v>1.23</v>
      </c>
      <c r="CM36" s="2023" t="n">
        <v>1.98</v>
      </c>
      <c r="CN36" s="2023" t="n">
        <v>0.75</v>
      </c>
      <c r="CO36" s="2023" t="n">
        <f aca="false">CP36-CQ36</f>
        <v>-1.68</v>
      </c>
      <c r="CP36" s="2023" t="n">
        <v>1.49</v>
      </c>
      <c r="CQ36" s="2023" t="n">
        <v>3.17</v>
      </c>
      <c r="CR36" s="1478" t="n">
        <f aca="false">CS36-CT36</f>
        <v>-7.58</v>
      </c>
      <c r="CS36" s="1478" t="n">
        <v>1.5</v>
      </c>
      <c r="CT36" s="1478" t="n">
        <v>9.08</v>
      </c>
      <c r="CU36" s="1478" t="n">
        <f aca="false">CV36-CW36</f>
        <v>-0.31</v>
      </c>
      <c r="CV36" s="485" t="n">
        <v>0.11</v>
      </c>
      <c r="CW36" s="1478" t="n">
        <v>0.42</v>
      </c>
      <c r="CX36" s="1998" t="n">
        <f aca="false">D36+DD36-DF36</f>
        <v>85.3798529199343</v>
      </c>
      <c r="CY36" s="2007" t="n">
        <f aca="false">CX36-DC36-DD36</f>
        <v>81.2298489199343</v>
      </c>
      <c r="CZ36" s="1509"/>
      <c r="DA36" s="2008"/>
      <c r="DB36" s="2009"/>
      <c r="DC36" s="2017" t="n">
        <f aca="false">CI36</f>
        <v>1.46</v>
      </c>
      <c r="DD36" s="1478" t="n">
        <v>2.690004</v>
      </c>
      <c r="DE36" s="1478"/>
      <c r="DF36" s="2007" t="n">
        <f aca="false">DI36+DL36+DM36+DU36</f>
        <v>349.300151080066</v>
      </c>
      <c r="DG36" s="2010" t="n">
        <v>305.96</v>
      </c>
      <c r="DH36" s="2010" t="n">
        <f aca="false">DG36-DU36</f>
        <v>304.73</v>
      </c>
      <c r="DI36" s="2011" t="n">
        <f aca="false">Y36</f>
        <v>244.86</v>
      </c>
      <c r="DJ36" s="2012"/>
      <c r="DK36" s="2012"/>
      <c r="DL36" s="1509" t="n">
        <f aca="false">BM36</f>
        <v>59.87</v>
      </c>
      <c r="DM36" s="2009" t="n">
        <f aca="false">GK36*DN36*DH36/GJ36</f>
        <v>43.3401510800658</v>
      </c>
      <c r="DN36" s="2013" t="n">
        <f aca="false">DN37</f>
        <v>0.895905244977209</v>
      </c>
      <c r="DO36" s="2009"/>
      <c r="DP36" s="2009" t="n">
        <f aca="false">GK36*DH36/GJ36</f>
        <v>48.3758202366237</v>
      </c>
      <c r="DQ36" s="2009" t="n">
        <f aca="false">2/3*DP36</f>
        <v>32.2505468244158</v>
      </c>
      <c r="DR36" s="2009" t="n">
        <f aca="false">DS36*(DH36/GJ36)*GK36</f>
        <v>52.5192415371793</v>
      </c>
      <c r="DS36" s="514" t="n">
        <f aca="false">(DT36/GK36)/(DH36/GJ36)</f>
        <v>1.08565066763289</v>
      </c>
      <c r="DT36" s="2012" t="n">
        <v>52.5192415371793</v>
      </c>
      <c r="DU36" s="2015" t="n">
        <f aca="false">CL36</f>
        <v>1.23</v>
      </c>
      <c r="DV36" s="2007" t="n">
        <f aca="false">DW36+DX36+DY36+EB36</f>
        <v>198.37</v>
      </c>
      <c r="DW36" s="1509" t="n">
        <f aca="false">I36</f>
        <v>50.62</v>
      </c>
      <c r="DX36" s="2017" t="n">
        <v>7.16</v>
      </c>
      <c r="DY36" s="2017" t="n">
        <f aca="false">EE36+EF36</f>
        <v>56.62</v>
      </c>
      <c r="DZ36" s="2018" t="n">
        <f aca="false">EF36+EE36-EA36</f>
        <v>6.52335986377435</v>
      </c>
      <c r="EA36" s="2018" t="n">
        <f aca="false">EE36*(DF36-EB36+EH36)/(0.5*CX36+DF36-EB36+EH36)</f>
        <v>50.0966401362257</v>
      </c>
      <c r="EB36" s="1478" t="n">
        <v>83.97</v>
      </c>
      <c r="EC36" s="2018" t="n">
        <f aca="false">DX36+DZ36</f>
        <v>13.6833598637744</v>
      </c>
      <c r="ED36" s="2018" t="n">
        <f aca="false">EA36+EB36</f>
        <v>134.066640136226</v>
      </c>
      <c r="EE36" s="1478" t="n">
        <v>56.35</v>
      </c>
      <c r="EF36" s="2017" t="n">
        <v>0.27</v>
      </c>
      <c r="EG36" s="1478" t="n">
        <v>93.54</v>
      </c>
      <c r="EH36" s="2017" t="n">
        <f aca="false">EG36-EI36</f>
        <v>76.6655008407399</v>
      </c>
      <c r="EI36" s="2023" t="n">
        <f aca="false">EG36*EI$41/EG$41</f>
        <v>16.8744991592602</v>
      </c>
      <c r="EJ36" s="2023" t="n">
        <v>32.18</v>
      </c>
      <c r="EK36" s="2032" t="n">
        <v>2.89</v>
      </c>
      <c r="EL36" s="2017" t="n">
        <f aca="false">EM36-(DV36-EF36)</f>
        <v>0.689999999999969</v>
      </c>
      <c r="EM36" s="2017" t="n">
        <f aca="false">EP36+S36+EG36+EN36+DD36</f>
        <v>198.79</v>
      </c>
      <c r="EN36" s="2017" t="n">
        <v>2.89</v>
      </c>
      <c r="EO36" s="2019" t="n">
        <f aca="false">EM36-EG36-EN36-DD36</f>
        <v>99.669996</v>
      </c>
      <c r="EP36" s="2019" t="n">
        <f aca="false">ER36-EQ36</f>
        <v>-8.87000400000004</v>
      </c>
      <c r="EQ36" s="2017" t="n">
        <v>-8.34</v>
      </c>
      <c r="ER36" s="2023" t="n">
        <f aca="false">EU36+ES36-BP36+ET36</f>
        <v>-17.210004</v>
      </c>
      <c r="ES36" s="2023" t="n">
        <v>23.02</v>
      </c>
      <c r="ET36" s="2023" t="n">
        <v>-0.18</v>
      </c>
      <c r="EU36" s="2023" t="n">
        <v>-30.860004</v>
      </c>
      <c r="EV36" s="2024" t="n">
        <f aca="false">B36-DV36+EH36+DD36-CO36</f>
        <v>365.27550484074</v>
      </c>
      <c r="EW36" s="1478" t="n">
        <f aca="false">CX36-EC36</f>
        <v>71.6964930561599</v>
      </c>
      <c r="EX36" s="1478" t="n">
        <f aca="false">($DF36-$EB36)-$EA36*($DF36-$EB36)/($DF36-$EB36+$EH36)</f>
        <v>226.463723915587</v>
      </c>
      <c r="EY36" s="1478" t="n">
        <f aca="false">$EH36-$EA36*$EH36/($DF36-$EB36+$EH36)</f>
        <v>65.435287868993</v>
      </c>
      <c r="EZ36" s="1478" t="n">
        <f aca="false">EV36+EI36</f>
        <v>382.150004</v>
      </c>
      <c r="FA36" s="1478"/>
      <c r="FB36" s="1478" t="n">
        <f aca="false">FB37*DateDE1b!DE38/DateDE1b!DE39</f>
        <v>55.9504347826087</v>
      </c>
      <c r="FC36" s="1478"/>
      <c r="FD36" s="1997" t="n">
        <f aca="false">T36+E36+U36-V36+CR36-H36-EP36</f>
        <v>62.980004</v>
      </c>
      <c r="FE36" s="1997"/>
      <c r="FF36" s="1997"/>
      <c r="FG36" s="1997" t="n">
        <f aca="false">CU36-EQ36</f>
        <v>8.03</v>
      </c>
      <c r="FH36" s="514" t="n">
        <f aca="false">FG36/FD36</f>
        <v>0.127500785804968</v>
      </c>
      <c r="FI36" s="1994" t="n">
        <f aca="false">FI37*DateDE1b!DE38/DateDE1b!DE39</f>
        <v>58.5660869565217</v>
      </c>
      <c r="FJ36" s="1994" t="n">
        <f aca="false">FK36-FI36</f>
        <v>12.4439170434783</v>
      </c>
      <c r="FK36" s="2025" t="n">
        <f aca="false">FD36+FG36</f>
        <v>71.010004</v>
      </c>
      <c r="FL36" s="1994"/>
      <c r="FM36" s="1994"/>
      <c r="FN36" s="1478"/>
      <c r="FO36" s="1995"/>
      <c r="FP36" s="1478"/>
      <c r="FQ36" s="1478"/>
      <c r="FR36" s="1997" t="n">
        <v>0</v>
      </c>
      <c r="FS36" s="1478"/>
      <c r="FT36" s="1478"/>
      <c r="FU36" s="1478"/>
      <c r="FV36" s="1478"/>
      <c r="FW36" s="2025"/>
      <c r="FX36" s="2026"/>
      <c r="FY36" s="2026"/>
      <c r="FZ36" s="2027"/>
      <c r="GA36" s="2015" t="n">
        <v>0</v>
      </c>
      <c r="GB36" s="402" t="n">
        <v>0.0603112840466926</v>
      </c>
      <c r="GC36" s="387" t="n">
        <v>0.059103409869284</v>
      </c>
      <c r="GD36" s="387" t="n">
        <f aca="false">(G36/G35)/(1+GE36)-1</f>
        <v>0.0566350374561226</v>
      </c>
      <c r="GE36" s="387" t="n">
        <v>-0.00863811799301595</v>
      </c>
      <c r="GF36" s="387" t="n">
        <v>0.0602409638554218</v>
      </c>
      <c r="GG36" s="2033" t="n">
        <v>60.537345</v>
      </c>
      <c r="GH36" s="465" t="n">
        <v>61818.0495</v>
      </c>
      <c r="GI36" s="465" t="n">
        <f aca="false">GJ36+GK36</f>
        <v>26248</v>
      </c>
      <c r="GJ36" s="465" t="n">
        <v>22652</v>
      </c>
      <c r="GK36" s="465" t="n">
        <v>3596</v>
      </c>
      <c r="GL36" s="25" t="n">
        <f aca="false">GL35+(GL$41-GL$31)/10</f>
        <v>0.2805</v>
      </c>
      <c r="GM36" s="25" t="n">
        <f aca="false">GK36/GI36</f>
        <v>0.137000914355379</v>
      </c>
      <c r="GN36" s="385" t="n">
        <v>61818.0495</v>
      </c>
      <c r="GO36" s="1932" t="n">
        <f aca="false">CX36</f>
        <v>85.3798529199343</v>
      </c>
      <c r="GP36" s="1932"/>
      <c r="GQ36" s="1932"/>
      <c r="GR36" s="1932"/>
      <c r="GS36" s="1509"/>
      <c r="GT36" s="1932"/>
      <c r="GU36" s="1478"/>
      <c r="GV36" s="1509"/>
      <c r="GW36" s="1478"/>
      <c r="GX36" s="1509"/>
      <c r="GY36" s="1478"/>
      <c r="GZ36" s="24" t="n">
        <f aca="false">DX36</f>
        <v>7.16</v>
      </c>
      <c r="HA36" s="1478"/>
      <c r="HB36" s="1478"/>
      <c r="HC36" s="1478"/>
      <c r="HD36" s="1478"/>
      <c r="HE36" s="1478"/>
      <c r="HF36" s="1478"/>
      <c r="HG36" s="1478"/>
      <c r="HH36" s="1478"/>
      <c r="HI36" s="1478"/>
      <c r="HJ36" s="1478"/>
      <c r="HK36" s="387"/>
    </row>
    <row r="37" customFormat="false" ht="12" hidden="false" customHeight="false" outlineLevel="0" collapsed="false">
      <c r="A37" s="31" t="n">
        <f aca="false">A36+1</f>
        <v>1976</v>
      </c>
      <c r="B37" s="395" t="n">
        <v>524.83</v>
      </c>
      <c r="C37" s="432" t="n">
        <f aca="false">B37+CR37</f>
        <v>516.64</v>
      </c>
      <c r="D37" s="384" t="n">
        <f aca="false">B37-I37</f>
        <v>468.84</v>
      </c>
      <c r="E37" s="1996" t="n">
        <f aca="false">CH37</f>
        <v>1.59</v>
      </c>
      <c r="F37" s="395" t="n">
        <f aca="false">G37-H37</f>
        <v>523.24</v>
      </c>
      <c r="G37" s="1997" t="n">
        <v>597.4</v>
      </c>
      <c r="H37" s="1997" t="n">
        <v>74.16</v>
      </c>
      <c r="I37" s="853" t="n">
        <v>55.99</v>
      </c>
      <c r="J37" s="395" t="n">
        <f aca="false">I37-CO37</f>
        <v>57.69</v>
      </c>
      <c r="K37" s="1478"/>
      <c r="L37" s="1478"/>
      <c r="M37" s="1478"/>
      <c r="N37" s="1478"/>
      <c r="O37" s="1478"/>
      <c r="P37" s="1478" t="n">
        <v>-0.06</v>
      </c>
      <c r="Q37" s="1999" t="n">
        <v>-1.11000000000001</v>
      </c>
      <c r="R37" s="1997" t="n">
        <v>338.05</v>
      </c>
      <c r="S37" s="1997" t="n">
        <v>114.69</v>
      </c>
      <c r="T37" s="1997" t="n">
        <v>132.8</v>
      </c>
      <c r="U37" s="1997" t="n">
        <v>152.56</v>
      </c>
      <c r="V37" s="1999" t="n">
        <v>140.7</v>
      </c>
      <c r="W37" s="1997" t="n">
        <f aca="false">F37-J37-BM37</f>
        <v>402.26</v>
      </c>
      <c r="X37" s="1997" t="n">
        <f aca="false">W37+AA37</f>
        <v>466.55</v>
      </c>
      <c r="Y37" s="1997" t="n">
        <f aca="false">DH37-BO37</f>
        <v>266.08</v>
      </c>
      <c r="Z37" s="1997" t="n">
        <f aca="false">W37-Y37</f>
        <v>136.18</v>
      </c>
      <c r="AA37" s="1997" t="n">
        <f aca="false">H37-BP37</f>
        <v>64.29</v>
      </c>
      <c r="AB37" s="1319" t="n">
        <f aca="false">AA37/X37</f>
        <v>0.137798735398135</v>
      </c>
      <c r="AC37" s="1997"/>
      <c r="AD37" s="1997"/>
      <c r="AE37" s="2017"/>
      <c r="AF37" s="1997"/>
      <c r="AG37" s="1997"/>
      <c r="AH37" s="1997"/>
      <c r="AI37" s="2001"/>
      <c r="AJ37" s="2002"/>
      <c r="AK37" s="1478"/>
      <c r="AL37" s="1478"/>
      <c r="AM37" s="821"/>
      <c r="AN37" s="2030"/>
      <c r="AO37" s="2001"/>
      <c r="AP37" s="2004"/>
      <c r="AQ37" s="2004"/>
      <c r="AR37" s="1478"/>
      <c r="AS37" s="1478"/>
      <c r="AT37" s="1478"/>
      <c r="AU37" s="2005"/>
      <c r="AV37" s="2001"/>
      <c r="AW37" s="2004"/>
      <c r="AX37" s="2004"/>
      <c r="AY37" s="1932"/>
      <c r="AZ37" s="1478"/>
      <c r="BA37" s="1478"/>
      <c r="BB37" s="821"/>
      <c r="BC37" s="1478"/>
      <c r="BD37" s="1478"/>
      <c r="BE37" s="1509"/>
      <c r="BF37" s="1478"/>
      <c r="BG37" s="1478"/>
      <c r="BH37" s="1478"/>
      <c r="BI37" s="1478"/>
      <c r="BJ37" s="1509"/>
      <c r="BK37" s="1478"/>
      <c r="BL37" s="2003"/>
      <c r="BM37" s="2001" t="n">
        <f aca="false">BN37-BP37</f>
        <v>63.29</v>
      </c>
      <c r="BN37" s="2004" t="n">
        <f aca="false">BO37+BP37</f>
        <v>73.16</v>
      </c>
      <c r="BO37" s="1478" t="n">
        <v>63.29</v>
      </c>
      <c r="BP37" s="1478" t="n">
        <v>9.87</v>
      </c>
      <c r="BQ37" s="2005" t="n">
        <f aca="false">BP37/BN37</f>
        <v>0.134909786768726</v>
      </c>
      <c r="BR37" s="1509"/>
      <c r="BS37" s="1509" t="n">
        <f aca="false">DX37</f>
        <v>9.21</v>
      </c>
      <c r="BT37" s="1509"/>
      <c r="BU37" s="1509"/>
      <c r="BV37" s="1509"/>
      <c r="BW37" s="1509"/>
      <c r="BX37" s="1478"/>
      <c r="BY37" s="1478"/>
      <c r="BZ37" s="1478"/>
      <c r="CA37" s="1509"/>
      <c r="CB37" s="1509"/>
      <c r="CC37" s="1478"/>
      <c r="CD37" s="1478"/>
      <c r="CE37" s="1478"/>
      <c r="CF37" s="1478"/>
      <c r="CG37" s="1509"/>
      <c r="CH37" s="1482" t="n">
        <f aca="false">CI37+CL37+CO37</f>
        <v>1.59</v>
      </c>
      <c r="CI37" s="1479" t="n">
        <f aca="false">CJ37-CK37</f>
        <v>1.94</v>
      </c>
      <c r="CJ37" s="2023" t="n">
        <v>8.21</v>
      </c>
      <c r="CK37" s="2023" t="n">
        <v>6.27</v>
      </c>
      <c r="CL37" s="1479" t="n">
        <f aca="false">CM37-CN37</f>
        <v>1.35</v>
      </c>
      <c r="CM37" s="2023" t="n">
        <v>2.09</v>
      </c>
      <c r="CN37" s="2023" t="n">
        <v>0.74</v>
      </c>
      <c r="CO37" s="2023" t="n">
        <f aca="false">CP37-CQ37</f>
        <v>-1.7</v>
      </c>
      <c r="CP37" s="2023" t="n">
        <v>1.93</v>
      </c>
      <c r="CQ37" s="2023" t="n">
        <v>3.63</v>
      </c>
      <c r="CR37" s="1478" t="n">
        <f aca="false">CS37-CT37</f>
        <v>-8.19</v>
      </c>
      <c r="CS37" s="1478" t="n">
        <v>1.66</v>
      </c>
      <c r="CT37" s="1478" t="n">
        <v>9.85</v>
      </c>
      <c r="CU37" s="1478" t="n">
        <f aca="false">CV37-CW37</f>
        <v>-0.3</v>
      </c>
      <c r="CV37" s="485" t="n">
        <v>0.13</v>
      </c>
      <c r="CW37" s="1478" t="n">
        <v>0.43</v>
      </c>
      <c r="CX37" s="1998" t="n">
        <f aca="false">D37+DD37-DF37</f>
        <v>98.1348132104807</v>
      </c>
      <c r="CY37" s="2007" t="n">
        <f aca="false">CX37-DC37-DD37</f>
        <v>91.6848092104807</v>
      </c>
      <c r="CZ37" s="1509"/>
      <c r="DA37" s="2008"/>
      <c r="DB37" s="2009"/>
      <c r="DC37" s="2017" t="n">
        <f aca="false">CI37</f>
        <v>1.94</v>
      </c>
      <c r="DD37" s="1478" t="n">
        <v>4.510004</v>
      </c>
      <c r="DE37" s="1478"/>
      <c r="DF37" s="2007" t="n">
        <f aca="false">DI37+DL37+DM37+DU37</f>
        <v>375.215190789519</v>
      </c>
      <c r="DG37" s="2010" t="n">
        <v>330.72</v>
      </c>
      <c r="DH37" s="2010" t="n">
        <f aca="false">DG37-DU37</f>
        <v>329.37</v>
      </c>
      <c r="DI37" s="2011" t="n">
        <f aca="false">Y37</f>
        <v>266.08</v>
      </c>
      <c r="DJ37" s="2012"/>
      <c r="DK37" s="2012"/>
      <c r="DL37" s="1509" t="n">
        <f aca="false">BM37</f>
        <v>63.29</v>
      </c>
      <c r="DM37" s="2009" t="n">
        <f aca="false">GK37*DN37*DH37/GJ37</f>
        <v>44.4951907895193</v>
      </c>
      <c r="DN37" s="2013" t="n">
        <f aca="false">DN38</f>
        <v>0.895905244977209</v>
      </c>
      <c r="DO37" s="2009"/>
      <c r="DP37" s="2009" t="n">
        <f aca="false">GK37*DH37/GJ37</f>
        <v>49.6650633970239</v>
      </c>
      <c r="DQ37" s="2009" t="n">
        <f aca="false">2/3*DP37</f>
        <v>33.1100422646826</v>
      </c>
      <c r="DR37" s="2009" t="n">
        <f aca="false">DS37*(DH37/GJ37)*GK37</f>
        <v>53.692204631234</v>
      </c>
      <c r="DS37" s="514" t="n">
        <f aca="false">(DT37/GK37)/(DH37/GJ37)</f>
        <v>1.08108599805898</v>
      </c>
      <c r="DT37" s="2012" t="n">
        <v>53.692204631234</v>
      </c>
      <c r="DU37" s="2015" t="n">
        <f aca="false">CL37</f>
        <v>1.35</v>
      </c>
      <c r="DV37" s="2007" t="n">
        <f aca="false">DW37+DX37+DY37+EB37</f>
        <v>224.49</v>
      </c>
      <c r="DW37" s="1509" t="n">
        <f aca="false">I37</f>
        <v>55.99</v>
      </c>
      <c r="DX37" s="2017" t="n">
        <v>9.21</v>
      </c>
      <c r="DY37" s="2017" t="n">
        <f aca="false">EE37+EF37</f>
        <v>64.91</v>
      </c>
      <c r="DZ37" s="2018" t="n">
        <f aca="false">EF37+EE37-EA37</f>
        <v>8.19974876562986</v>
      </c>
      <c r="EA37" s="2018" t="n">
        <f aca="false">EE37*(DF37-EB37+EH37)/(0.5*CX37+DF37-EB37+EH37)</f>
        <v>56.7102512343702</v>
      </c>
      <c r="EB37" s="1478" t="n">
        <v>94.38</v>
      </c>
      <c r="EC37" s="2018" t="n">
        <f aca="false">DX37+DZ37</f>
        <v>17.4097487656299</v>
      </c>
      <c r="ED37" s="2018" t="n">
        <f aca="false">EA37+EB37</f>
        <v>151.09025123437</v>
      </c>
      <c r="EE37" s="1478" t="n">
        <v>64.37</v>
      </c>
      <c r="EF37" s="2017" t="n">
        <v>0.54</v>
      </c>
      <c r="EG37" s="1478" t="n">
        <v>100.59</v>
      </c>
      <c r="EH37" s="2017" t="n">
        <f aca="false">EG37-EI37</f>
        <v>82.4436896468893</v>
      </c>
      <c r="EI37" s="2023" t="n">
        <f aca="false">EG37*EI$41/EG$41</f>
        <v>18.1463103531107</v>
      </c>
      <c r="EJ37" s="2023" t="n">
        <v>35.36</v>
      </c>
      <c r="EK37" s="2032" t="n">
        <v>3.35</v>
      </c>
      <c r="EL37" s="2017" t="n">
        <f aca="false">EM37-(DV37-EF37)</f>
        <v>0.820000000000022</v>
      </c>
      <c r="EM37" s="2017" t="n">
        <f aca="false">EP37+S37+EG37+EN37+DD37</f>
        <v>224.77</v>
      </c>
      <c r="EN37" s="2017" t="n">
        <v>3.35</v>
      </c>
      <c r="EO37" s="2019" t="n">
        <f aca="false">EM37-EG37-EN37-DD37</f>
        <v>116.319996</v>
      </c>
      <c r="EP37" s="2019" t="n">
        <f aca="false">ER37-EQ37</f>
        <v>1.62999600000003</v>
      </c>
      <c r="EQ37" s="2017" t="n">
        <v>-9.89</v>
      </c>
      <c r="ER37" s="2023" t="n">
        <f aca="false">EU37+ES37-BP37+ET37</f>
        <v>-8.26000399999997</v>
      </c>
      <c r="ES37" s="2023" t="n">
        <v>22.27</v>
      </c>
      <c r="ET37" s="2023" t="n">
        <v>-0.23</v>
      </c>
      <c r="EU37" s="2023" t="n">
        <v>-20.430004</v>
      </c>
      <c r="EV37" s="2024" t="n">
        <f aca="false">B37-DV37+EH37+DD37-CO37</f>
        <v>388.993693646889</v>
      </c>
      <c r="EW37" s="1478" t="n">
        <f aca="false">CX37-EC37</f>
        <v>80.7250644448508</v>
      </c>
      <c r="EX37" s="1478" t="n">
        <f aca="false">($DF37-$EB37)-$EA37*($DF37-$EB37)/($DF37-$EB37+$EH37)</f>
        <v>236.994948257408</v>
      </c>
      <c r="EY37" s="1478" t="n">
        <f aca="false">$EH37-$EA37*$EH37/($DF37-$EB37+$EH37)</f>
        <v>69.5736809446301</v>
      </c>
      <c r="EZ37" s="1478" t="n">
        <f aca="false">EV37+EI37</f>
        <v>407.140004</v>
      </c>
      <c r="FA37" s="1478"/>
      <c r="FB37" s="1478" t="n">
        <f aca="false">FB38*DateDE1b!DE39/DateDE1b!DE40</f>
        <v>53.1231521739131</v>
      </c>
      <c r="FC37" s="1478"/>
      <c r="FD37" s="1997" t="n">
        <f aca="false">T37+E37+U37-V37+CR37-H37-EP37</f>
        <v>62.270004</v>
      </c>
      <c r="FE37" s="1997"/>
      <c r="FF37" s="1997"/>
      <c r="FG37" s="1997" t="n">
        <f aca="false">CU37-EQ37</f>
        <v>9.59</v>
      </c>
      <c r="FH37" s="514" t="n">
        <f aca="false">FG37/FD37</f>
        <v>0.154006734928104</v>
      </c>
      <c r="FI37" s="1994" t="n">
        <f aca="false">FI38*DateDE1b!DE39/DateDE1b!DE40</f>
        <v>55.6066304347826</v>
      </c>
      <c r="FJ37" s="1994" t="n">
        <f aca="false">FK37-FI37</f>
        <v>16.2533735652174</v>
      </c>
      <c r="FK37" s="2025" t="n">
        <f aca="false">FD37+FG37</f>
        <v>71.860004</v>
      </c>
      <c r="FL37" s="1994"/>
      <c r="FM37" s="1994"/>
      <c r="FN37" s="1478"/>
      <c r="FO37" s="1995"/>
      <c r="FP37" s="1478"/>
      <c r="FQ37" s="1478"/>
      <c r="FR37" s="1997" t="n">
        <v>0</v>
      </c>
      <c r="FS37" s="1478"/>
      <c r="FT37" s="1478"/>
      <c r="FU37" s="1478"/>
      <c r="FV37" s="1478"/>
      <c r="FW37" s="2025"/>
      <c r="FX37" s="2026"/>
      <c r="FY37" s="2026"/>
      <c r="FZ37" s="2027"/>
      <c r="GA37" s="2015" t="n">
        <v>0</v>
      </c>
      <c r="GB37" s="402" t="n">
        <v>0.0422018348623854</v>
      </c>
      <c r="GC37" s="387" t="n">
        <v>0.0424662083810385</v>
      </c>
      <c r="GD37" s="387" t="n">
        <f aca="false">(G37/G36)/(1+GE37)-1</f>
        <v>0.03305519208081</v>
      </c>
      <c r="GE37" s="387" t="n">
        <v>0.049499443826474</v>
      </c>
      <c r="GF37" s="387" t="n">
        <v>0.0422077922077921</v>
      </c>
      <c r="GG37" s="2033" t="n">
        <v>62.65696</v>
      </c>
      <c r="GH37" s="465" t="n">
        <v>61543.31</v>
      </c>
      <c r="GI37" s="465" t="n">
        <f aca="false">GJ37+GK37</f>
        <v>26139</v>
      </c>
      <c r="GJ37" s="465" t="n">
        <v>22714</v>
      </c>
      <c r="GK37" s="465" t="n">
        <v>3425</v>
      </c>
      <c r="GL37" s="25" t="n">
        <f aca="false">GL36+(GL$41-GL$31)/10</f>
        <v>0.2772</v>
      </c>
      <c r="GM37" s="25" t="n">
        <f aca="false">GK37/GI37</f>
        <v>0.131030261295382</v>
      </c>
      <c r="GN37" s="385" t="n">
        <v>61543.31</v>
      </c>
      <c r="GO37" s="1932" t="n">
        <f aca="false">CX37</f>
        <v>98.1348132104807</v>
      </c>
      <c r="GP37" s="1932"/>
      <c r="GQ37" s="1932"/>
      <c r="GR37" s="1932"/>
      <c r="GS37" s="1509"/>
      <c r="GT37" s="1932"/>
      <c r="GU37" s="1478"/>
      <c r="GV37" s="1509"/>
      <c r="GW37" s="1478"/>
      <c r="GX37" s="1509"/>
      <c r="GY37" s="1478"/>
      <c r="GZ37" s="24" t="n">
        <f aca="false">DX37</f>
        <v>9.21</v>
      </c>
      <c r="HA37" s="1478"/>
      <c r="HB37" s="1478"/>
      <c r="HC37" s="1478"/>
      <c r="HD37" s="1478"/>
      <c r="HE37" s="1478"/>
      <c r="HF37" s="1478"/>
      <c r="HG37" s="1478"/>
      <c r="HH37" s="1478"/>
      <c r="HI37" s="1478"/>
      <c r="HJ37" s="1478"/>
      <c r="HK37" s="387"/>
    </row>
    <row r="38" customFormat="false" ht="12" hidden="false" customHeight="false" outlineLevel="0" collapsed="false">
      <c r="A38" s="31" t="n">
        <f aca="false">A37+1</f>
        <v>1977</v>
      </c>
      <c r="B38" s="395" t="n">
        <v>558.19</v>
      </c>
      <c r="C38" s="432" t="n">
        <f aca="false">B38+CR38</f>
        <v>550.32</v>
      </c>
      <c r="D38" s="384" t="n">
        <f aca="false">B38-I38</f>
        <v>498.57</v>
      </c>
      <c r="E38" s="1996" t="n">
        <f aca="false">CH38</f>
        <v>0.679999999999999</v>
      </c>
      <c r="F38" s="395" t="n">
        <f aca="false">G38-H38</f>
        <v>557.51</v>
      </c>
      <c r="G38" s="1997" t="n">
        <v>636.54</v>
      </c>
      <c r="H38" s="1997" t="n">
        <v>79.03</v>
      </c>
      <c r="I38" s="853" t="n">
        <v>59.62</v>
      </c>
      <c r="J38" s="395" t="n">
        <f aca="false">I38-CO38</f>
        <v>60.9</v>
      </c>
      <c r="K38" s="1478"/>
      <c r="L38" s="1478"/>
      <c r="M38" s="1478"/>
      <c r="N38" s="1478"/>
      <c r="O38" s="1478"/>
      <c r="P38" s="1478" t="n">
        <v>-0.07</v>
      </c>
      <c r="Q38" s="1999" t="n">
        <v>-1.39999999999998</v>
      </c>
      <c r="R38" s="1997" t="n">
        <v>361.98</v>
      </c>
      <c r="S38" s="1997" t="n">
        <v>121.98</v>
      </c>
      <c r="T38" s="1997" t="n">
        <v>139.48</v>
      </c>
      <c r="U38" s="1997" t="n">
        <v>161.73</v>
      </c>
      <c r="V38" s="1999" t="n">
        <v>148.63</v>
      </c>
      <c r="W38" s="1997" t="n">
        <f aca="false">F38-J38-BM38</f>
        <v>429.65</v>
      </c>
      <c r="X38" s="1997" t="n">
        <f aca="false">W38+AA38</f>
        <v>498.02</v>
      </c>
      <c r="Y38" s="1997" t="n">
        <f aca="false">DH38-BO38</f>
        <v>286.65</v>
      </c>
      <c r="Z38" s="1997" t="n">
        <f aca="false">W38-Y38</f>
        <v>143</v>
      </c>
      <c r="AA38" s="1997" t="n">
        <f aca="false">H38-BP38</f>
        <v>68.37</v>
      </c>
      <c r="AB38" s="1319" t="n">
        <f aca="false">AA38/X38</f>
        <v>0.13728364322718</v>
      </c>
      <c r="AC38" s="1997"/>
      <c r="AD38" s="1997"/>
      <c r="AE38" s="2017"/>
      <c r="AF38" s="1997"/>
      <c r="AG38" s="1997"/>
      <c r="AH38" s="1997"/>
      <c r="AI38" s="2001"/>
      <c r="AJ38" s="2002"/>
      <c r="AK38" s="1478"/>
      <c r="AL38" s="1478"/>
      <c r="AM38" s="821"/>
      <c r="AN38" s="2030"/>
      <c r="AO38" s="2001"/>
      <c r="AP38" s="2004"/>
      <c r="AQ38" s="2004"/>
      <c r="AR38" s="1478"/>
      <c r="AS38" s="1478"/>
      <c r="AT38" s="1478"/>
      <c r="AU38" s="2005"/>
      <c r="AV38" s="2001"/>
      <c r="AW38" s="2004"/>
      <c r="AX38" s="2004"/>
      <c r="AY38" s="1932"/>
      <c r="AZ38" s="1478"/>
      <c r="BA38" s="1478"/>
      <c r="BB38" s="821"/>
      <c r="BC38" s="1478"/>
      <c r="BD38" s="1478"/>
      <c r="BE38" s="1509"/>
      <c r="BF38" s="1478"/>
      <c r="BG38" s="1478"/>
      <c r="BH38" s="1478"/>
      <c r="BI38" s="1478"/>
      <c r="BJ38" s="1509"/>
      <c r="BK38" s="1478"/>
      <c r="BL38" s="2003"/>
      <c r="BM38" s="2001" t="n">
        <f aca="false">BN38-BP38</f>
        <v>66.96</v>
      </c>
      <c r="BN38" s="2004" t="n">
        <f aca="false">BO38+BP38</f>
        <v>77.62</v>
      </c>
      <c r="BO38" s="1478" t="n">
        <v>66.96</v>
      </c>
      <c r="BP38" s="1478" t="n">
        <v>10.66</v>
      </c>
      <c r="BQ38" s="2005" t="n">
        <f aca="false">BP38/BN38</f>
        <v>0.137335738211801</v>
      </c>
      <c r="BR38" s="1509"/>
      <c r="BS38" s="1509" t="n">
        <f aca="false">DX38</f>
        <v>12.22</v>
      </c>
      <c r="BT38" s="1509"/>
      <c r="BU38" s="1509"/>
      <c r="BV38" s="1509"/>
      <c r="BW38" s="1509"/>
      <c r="BX38" s="1478"/>
      <c r="BY38" s="1478"/>
      <c r="BZ38" s="1478"/>
      <c r="CA38" s="1509"/>
      <c r="CB38" s="1509"/>
      <c r="CC38" s="1478"/>
      <c r="CD38" s="1478"/>
      <c r="CE38" s="1478"/>
      <c r="CF38" s="1478"/>
      <c r="CG38" s="1509"/>
      <c r="CH38" s="1482" t="n">
        <f aca="false">CI38+CL38+CO38</f>
        <v>0.679999999999999</v>
      </c>
      <c r="CI38" s="1479" t="n">
        <f aca="false">CJ38-CK38</f>
        <v>0.579999999999999</v>
      </c>
      <c r="CJ38" s="2023" t="n">
        <v>8.45</v>
      </c>
      <c r="CK38" s="2023" t="n">
        <v>7.87</v>
      </c>
      <c r="CL38" s="1479" t="n">
        <f aca="false">CM38-CN38</f>
        <v>1.38</v>
      </c>
      <c r="CM38" s="2023" t="n">
        <v>2.18</v>
      </c>
      <c r="CN38" s="2023" t="n">
        <v>0.8</v>
      </c>
      <c r="CO38" s="2023" t="n">
        <f aca="false">CP38-CQ38</f>
        <v>-1.28</v>
      </c>
      <c r="CP38" s="2023" t="n">
        <v>3.26</v>
      </c>
      <c r="CQ38" s="2023" t="n">
        <v>4.54</v>
      </c>
      <c r="CR38" s="1478" t="n">
        <f aca="false">CS38-CT38</f>
        <v>-7.87</v>
      </c>
      <c r="CS38" s="1478" t="n">
        <v>2.11</v>
      </c>
      <c r="CT38" s="1478" t="n">
        <v>9.98</v>
      </c>
      <c r="CU38" s="1478" t="n">
        <f aca="false">CV38-CW38</f>
        <v>-0.28</v>
      </c>
      <c r="CV38" s="485" t="n">
        <v>0.17</v>
      </c>
      <c r="CW38" s="1478" t="n">
        <v>0.45</v>
      </c>
      <c r="CX38" s="1998" t="n">
        <f aca="false">D38+DD38-DF38</f>
        <v>103.696768783976</v>
      </c>
      <c r="CY38" s="2007" t="n">
        <f aca="false">CX38-DC38-DD38</f>
        <v>97.4067647839759</v>
      </c>
      <c r="CZ38" s="1509"/>
      <c r="DA38" s="2008"/>
      <c r="DB38" s="2009"/>
      <c r="DC38" s="2017" t="n">
        <f aca="false">CI38</f>
        <v>0.579999999999999</v>
      </c>
      <c r="DD38" s="1478" t="n">
        <v>5.710004</v>
      </c>
      <c r="DE38" s="1478"/>
      <c r="DF38" s="2007" t="n">
        <f aca="false">DI38+DL38+DM38+DU38</f>
        <v>400.583235216024</v>
      </c>
      <c r="DG38" s="2010" t="n">
        <v>354.99</v>
      </c>
      <c r="DH38" s="2010" t="n">
        <f aca="false">DG38-DU38</f>
        <v>353.61</v>
      </c>
      <c r="DI38" s="2011" t="n">
        <f aca="false">Y38</f>
        <v>286.65</v>
      </c>
      <c r="DJ38" s="2012"/>
      <c r="DK38" s="2012"/>
      <c r="DL38" s="1509" t="n">
        <f aca="false">BM38</f>
        <v>66.96</v>
      </c>
      <c r="DM38" s="2009" t="n">
        <f aca="false">GK38*DN38*DH38/GJ38</f>
        <v>45.5932352160241</v>
      </c>
      <c r="DN38" s="2013" t="n">
        <f aca="false">DN39</f>
        <v>0.895905244977209</v>
      </c>
      <c r="DO38" s="2009"/>
      <c r="DP38" s="2009" t="n">
        <f aca="false">GK38*DH38/GJ38</f>
        <v>50.8906890227928</v>
      </c>
      <c r="DQ38" s="2009" t="n">
        <f aca="false">2/3*DP38</f>
        <v>33.9271260151952</v>
      </c>
      <c r="DR38" s="2009" t="n">
        <f aca="false">DS38*(DH38/GJ38)*GK38</f>
        <v>56.1510967259416</v>
      </c>
      <c r="DS38" s="514" t="n">
        <f aca="false">(DT38/GK38)/(DH38/GJ38)</f>
        <v>1.10336680057118</v>
      </c>
      <c r="DT38" s="2012" t="n">
        <v>56.1510967259416</v>
      </c>
      <c r="DU38" s="2015" t="n">
        <f aca="false">CL38</f>
        <v>1.38</v>
      </c>
      <c r="DV38" s="2007" t="n">
        <f aca="false">DW38+DX38+DY38+EB38</f>
        <v>244.57</v>
      </c>
      <c r="DW38" s="1509" t="n">
        <f aca="false">I38</f>
        <v>59.62</v>
      </c>
      <c r="DX38" s="2017" t="n">
        <v>12.22</v>
      </c>
      <c r="DY38" s="2017" t="n">
        <f aca="false">EE38+EF38</f>
        <v>72.32</v>
      </c>
      <c r="DZ38" s="2018" t="n">
        <f aca="false">EF38+EE38-EA38</f>
        <v>8.93524969539276</v>
      </c>
      <c r="EA38" s="2018" t="n">
        <f aca="false">EE38*(DF38-EB38+EH38)/(0.5*CX38+DF38-EB38+EH38)</f>
        <v>63.3847503046072</v>
      </c>
      <c r="EB38" s="1478" t="n">
        <v>100.41</v>
      </c>
      <c r="EC38" s="2018" t="n">
        <f aca="false">DX38+DZ38</f>
        <v>21.1552496953928</v>
      </c>
      <c r="ED38" s="2018" t="n">
        <f aca="false">EA38+EB38</f>
        <v>163.794750304607</v>
      </c>
      <c r="EE38" s="1478" t="n">
        <v>71.86</v>
      </c>
      <c r="EF38" s="2017" t="n">
        <v>0.46</v>
      </c>
      <c r="EG38" s="1478" t="n">
        <v>106.87</v>
      </c>
      <c r="EH38" s="2017" t="n">
        <f aca="false">EG38-EI38</f>
        <v>87.5907854912323</v>
      </c>
      <c r="EI38" s="2023" t="n">
        <f aca="false">EG38*EI$41/EG$41</f>
        <v>19.2792145087677</v>
      </c>
      <c r="EJ38" s="2023" t="n">
        <v>37.17</v>
      </c>
      <c r="EK38" s="2032" t="n">
        <v>3.87</v>
      </c>
      <c r="EL38" s="2017" t="n">
        <f aca="false">EM38-(DV38-EF38)</f>
        <v>1.10999999999996</v>
      </c>
      <c r="EM38" s="2017" t="n">
        <f aca="false">EP38+S38+EG38+EN38+DD38</f>
        <v>245.22</v>
      </c>
      <c r="EN38" s="2017" t="n">
        <v>3.87</v>
      </c>
      <c r="EO38" s="2019" t="n">
        <f aca="false">EM38-EG38-EN38-DD38</f>
        <v>128.769996</v>
      </c>
      <c r="EP38" s="2019" t="n">
        <f aca="false">ER38-EQ38</f>
        <v>6.78999599999996</v>
      </c>
      <c r="EQ38" s="2017" t="n">
        <v>-11.18</v>
      </c>
      <c r="ER38" s="2023" t="n">
        <f aca="false">EU38+ES38-BP38+ET38</f>
        <v>-4.39000400000004</v>
      </c>
      <c r="ES38" s="2023" t="n">
        <v>22.45</v>
      </c>
      <c r="ET38" s="2023" t="n">
        <v>-0.27</v>
      </c>
      <c r="EU38" s="2023" t="n">
        <v>-15.910004</v>
      </c>
      <c r="EV38" s="2024" t="n">
        <f aca="false">B38-DV38+EH38+DD38-CO38</f>
        <v>408.200789491232</v>
      </c>
      <c r="EW38" s="1478" t="n">
        <f aca="false">CX38-EC38</f>
        <v>82.5415190885832</v>
      </c>
      <c r="EX38" s="1478" t="n">
        <f aca="false">($DF38-$EB38)-$EA38*($DF38-$EB38)/($DF38-$EB38+$EH38)</f>
        <v>251.106265238792</v>
      </c>
      <c r="EY38" s="1478" t="n">
        <f aca="false">$EH38-$EA38*$EH38/($DF38-$EB38+$EH38)</f>
        <v>73.2730051638573</v>
      </c>
      <c r="EZ38" s="1478" t="n">
        <f aca="false">EV38+EI38</f>
        <v>427.480004</v>
      </c>
      <c r="FA38" s="1478"/>
      <c r="FB38" s="1478" t="n">
        <f aca="false">FB39*DateDE1b!DE40/DateDE1b!DE41</f>
        <v>51.5359057971015</v>
      </c>
      <c r="FC38" s="1478"/>
      <c r="FD38" s="1997" t="n">
        <f aca="false">T38+E38+U38-V38+CR38-H38-EP38</f>
        <v>59.570004</v>
      </c>
      <c r="FE38" s="1997"/>
      <c r="FF38" s="1997"/>
      <c r="FG38" s="1997" t="n">
        <f aca="false">CU38-EQ38</f>
        <v>10.9</v>
      </c>
      <c r="FH38" s="514" t="n">
        <f aca="false">FG38/FD38</f>
        <v>0.182977996778379</v>
      </c>
      <c r="FI38" s="1994" t="n">
        <f aca="false">FI39*DateDE1b!DE40/DateDE1b!DE41</f>
        <v>53.9451811594203</v>
      </c>
      <c r="FJ38" s="1994" t="n">
        <f aca="false">FK38-FI38</f>
        <v>16.5248228405797</v>
      </c>
      <c r="FK38" s="2025" t="n">
        <f aca="false">FD38+FG38</f>
        <v>70.470004</v>
      </c>
      <c r="FL38" s="1994"/>
      <c r="FM38" s="1994"/>
      <c r="FN38" s="1478"/>
      <c r="FO38" s="1995"/>
      <c r="FP38" s="1478"/>
      <c r="FQ38" s="1478"/>
      <c r="FR38" s="1997" t="n">
        <v>0</v>
      </c>
      <c r="FS38" s="1478"/>
      <c r="FT38" s="1478"/>
      <c r="FU38" s="1478"/>
      <c r="FV38" s="1478"/>
      <c r="FW38" s="2025"/>
      <c r="FX38" s="2026"/>
      <c r="FY38" s="2026"/>
      <c r="FZ38" s="2027"/>
      <c r="GA38" s="2015" t="n">
        <v>0</v>
      </c>
      <c r="GB38" s="402" t="n">
        <v>0.0369718309859155</v>
      </c>
      <c r="GC38" s="387" t="n">
        <v>0.0373418085989172</v>
      </c>
      <c r="GD38" s="387" t="n">
        <f aca="false">(G38/G37)/(1+GE38)-1</f>
        <v>0.0310928381962865</v>
      </c>
      <c r="GE38" s="387" t="n">
        <v>0.0333863275039745</v>
      </c>
      <c r="GF38" s="387" t="n">
        <v>0.0327102803738317</v>
      </c>
      <c r="GG38" s="2033" t="n">
        <v>65.47044</v>
      </c>
      <c r="GH38" s="465" t="n">
        <v>61397.3705</v>
      </c>
      <c r="GI38" s="465" t="n">
        <f aca="false">GJ38+GK38</f>
        <v>26198</v>
      </c>
      <c r="GJ38" s="465" t="n">
        <v>22902</v>
      </c>
      <c r="GK38" s="465" t="n">
        <v>3296</v>
      </c>
      <c r="GL38" s="25" t="n">
        <f aca="false">GL37+(GL$41-GL$31)/10</f>
        <v>0.2739</v>
      </c>
      <c r="GM38" s="25" t="n">
        <f aca="false">GK38/GI38</f>
        <v>0.125811130620658</v>
      </c>
      <c r="GN38" s="385" t="n">
        <v>61397.3705</v>
      </c>
      <c r="GO38" s="1932" t="n">
        <f aca="false">CX38</f>
        <v>103.696768783976</v>
      </c>
      <c r="GP38" s="1932"/>
      <c r="GQ38" s="1932"/>
      <c r="GR38" s="1932"/>
      <c r="GS38" s="1509"/>
      <c r="GT38" s="1932"/>
      <c r="GU38" s="1478"/>
      <c r="GV38" s="1509"/>
      <c r="GW38" s="1478"/>
      <c r="GX38" s="1509"/>
      <c r="GY38" s="1478"/>
      <c r="GZ38" s="24" t="n">
        <f aca="false">DX38</f>
        <v>12.22</v>
      </c>
      <c r="HA38" s="1478"/>
      <c r="HB38" s="1478"/>
      <c r="HC38" s="1478"/>
      <c r="HD38" s="1478"/>
      <c r="HE38" s="1478"/>
      <c r="HF38" s="1478"/>
      <c r="HG38" s="1478"/>
      <c r="HH38" s="1478"/>
      <c r="HI38" s="1478"/>
      <c r="HJ38" s="1478"/>
      <c r="HK38" s="387"/>
    </row>
    <row r="39" customFormat="false" ht="12" hidden="false" customHeight="false" outlineLevel="0" collapsed="false">
      <c r="A39" s="31" t="n">
        <f aca="false">A38+1</f>
        <v>1978</v>
      </c>
      <c r="B39" s="395" t="n">
        <v>596.72</v>
      </c>
      <c r="C39" s="432" t="n">
        <f aca="false">B39+CR39</f>
        <v>587.79</v>
      </c>
      <c r="D39" s="384" t="n">
        <f aca="false">B39-I39</f>
        <v>532.51</v>
      </c>
      <c r="E39" s="1996" t="n">
        <f aca="false">CH39</f>
        <v>3.16</v>
      </c>
      <c r="F39" s="395" t="n">
        <f aca="false">G39-H39</f>
        <v>593.56</v>
      </c>
      <c r="G39" s="1997" t="n">
        <v>678.94</v>
      </c>
      <c r="H39" s="1997" t="n">
        <v>85.38</v>
      </c>
      <c r="I39" s="853" t="n">
        <v>64.21</v>
      </c>
      <c r="J39" s="395" t="n">
        <f aca="false">I39-CO39</f>
        <v>65.5</v>
      </c>
      <c r="K39" s="1478"/>
      <c r="L39" s="1478"/>
      <c r="M39" s="1478"/>
      <c r="N39" s="1478"/>
      <c r="O39" s="1478"/>
      <c r="P39" s="1478" t="n">
        <v>-0.15</v>
      </c>
      <c r="Q39" s="1999" t="n">
        <v>-0.960000000000014</v>
      </c>
      <c r="R39" s="1997" t="n">
        <v>382.26</v>
      </c>
      <c r="S39" s="1997" t="n">
        <v>130.88</v>
      </c>
      <c r="T39" s="1997" t="n">
        <v>150.55</v>
      </c>
      <c r="U39" s="1997" t="n">
        <v>169.21</v>
      </c>
      <c r="V39" s="1999" t="n">
        <v>153.96</v>
      </c>
      <c r="W39" s="1997" t="n">
        <f aca="false">F39-J39-BM39</f>
        <v>460.34</v>
      </c>
      <c r="X39" s="1997" t="n">
        <f aca="false">W39+AA39</f>
        <v>534.18</v>
      </c>
      <c r="Y39" s="1997" t="n">
        <f aca="false">DH39-BO39</f>
        <v>309.79</v>
      </c>
      <c r="Z39" s="1997" t="n">
        <f aca="false">W39-Y39</f>
        <v>150.55</v>
      </c>
      <c r="AA39" s="1997" t="n">
        <f aca="false">H39-BP39</f>
        <v>73.84</v>
      </c>
      <c r="AB39" s="1319" t="n">
        <f aca="false">AA39/X39</f>
        <v>0.138230558987607</v>
      </c>
      <c r="AC39" s="1997"/>
      <c r="AD39" s="1997"/>
      <c r="AE39" s="2017"/>
      <c r="AF39" s="1997"/>
      <c r="AG39" s="1997"/>
      <c r="AH39" s="1997"/>
      <c r="AI39" s="2001"/>
      <c r="AJ39" s="2002"/>
      <c r="AK39" s="1478"/>
      <c r="AL39" s="1478"/>
      <c r="AM39" s="821"/>
      <c r="AN39" s="2030"/>
      <c r="AO39" s="2001"/>
      <c r="AP39" s="2004"/>
      <c r="AQ39" s="2004"/>
      <c r="AR39" s="1478"/>
      <c r="AS39" s="1478"/>
      <c r="AT39" s="1478"/>
      <c r="AU39" s="2005"/>
      <c r="AV39" s="2001"/>
      <c r="AW39" s="2004"/>
      <c r="AX39" s="2004"/>
      <c r="AY39" s="1932"/>
      <c r="AZ39" s="1478"/>
      <c r="BA39" s="1478"/>
      <c r="BB39" s="821"/>
      <c r="BC39" s="1478"/>
      <c r="BD39" s="1478"/>
      <c r="BE39" s="1509"/>
      <c r="BF39" s="1478"/>
      <c r="BG39" s="1478"/>
      <c r="BH39" s="1478"/>
      <c r="BI39" s="1478"/>
      <c r="BJ39" s="1509"/>
      <c r="BK39" s="1478"/>
      <c r="BL39" s="2003"/>
      <c r="BM39" s="2001" t="n">
        <f aca="false">BN39-BP39</f>
        <v>67.72</v>
      </c>
      <c r="BN39" s="2004" t="n">
        <f aca="false">BO39+BP39</f>
        <v>79.26</v>
      </c>
      <c r="BO39" s="1478" t="n">
        <v>67.72</v>
      </c>
      <c r="BP39" s="1478" t="n">
        <v>11.54</v>
      </c>
      <c r="BQ39" s="2005" t="n">
        <f aca="false">BP39/BN39</f>
        <v>0.145596770123644</v>
      </c>
      <c r="BR39" s="1509"/>
      <c r="BS39" s="1509" t="n">
        <f aca="false">DX39</f>
        <v>12.79</v>
      </c>
      <c r="BT39" s="1509"/>
      <c r="BU39" s="1509"/>
      <c r="BV39" s="1509"/>
      <c r="BW39" s="1509"/>
      <c r="BX39" s="1478"/>
      <c r="BY39" s="1478"/>
      <c r="BZ39" s="1478"/>
      <c r="CA39" s="1509"/>
      <c r="CB39" s="1509"/>
      <c r="CC39" s="1478"/>
      <c r="CD39" s="1478"/>
      <c r="CE39" s="1478"/>
      <c r="CF39" s="1478"/>
      <c r="CG39" s="1509"/>
      <c r="CH39" s="1482" t="n">
        <f aca="false">CI39+CL39+CO39</f>
        <v>3.16</v>
      </c>
      <c r="CI39" s="1479" t="n">
        <f aca="false">CJ39-CK39</f>
        <v>2.98</v>
      </c>
      <c r="CJ39" s="2023" t="n">
        <v>10.35</v>
      </c>
      <c r="CK39" s="2023" t="n">
        <v>7.37</v>
      </c>
      <c r="CL39" s="1479" t="n">
        <f aca="false">CM39-CN39</f>
        <v>1.47</v>
      </c>
      <c r="CM39" s="2023" t="n">
        <v>2.31</v>
      </c>
      <c r="CN39" s="2023" t="n">
        <v>0.84</v>
      </c>
      <c r="CO39" s="2023" t="n">
        <f aca="false">CP39-CQ39</f>
        <v>-1.29</v>
      </c>
      <c r="CP39" s="2023" t="n">
        <v>3.68</v>
      </c>
      <c r="CQ39" s="2023" t="n">
        <v>4.97</v>
      </c>
      <c r="CR39" s="1478" t="n">
        <f aca="false">CS39-CT39</f>
        <v>-8.93</v>
      </c>
      <c r="CS39" s="1478" t="n">
        <v>2.21</v>
      </c>
      <c r="CT39" s="1478" t="n">
        <v>11.14</v>
      </c>
      <c r="CU39" s="1478" t="n">
        <f aca="false">CV39-CW39</f>
        <v>-0.37</v>
      </c>
      <c r="CV39" s="485" t="n">
        <v>0.11</v>
      </c>
      <c r="CW39" s="1478" t="n">
        <v>0.48</v>
      </c>
      <c r="CX39" s="1998" t="n">
        <f aca="false">D39+DD39-DF39</f>
        <v>112.084766851025</v>
      </c>
      <c r="CY39" s="2007" t="n">
        <f aca="false">CX39-DC39-DD39</f>
        <v>103.334762851025</v>
      </c>
      <c r="CZ39" s="1509"/>
      <c r="DA39" s="2008"/>
      <c r="DB39" s="2009"/>
      <c r="DC39" s="2017" t="n">
        <f aca="false">CI39</f>
        <v>2.98</v>
      </c>
      <c r="DD39" s="1478" t="n">
        <v>5.770004</v>
      </c>
      <c r="DE39" s="1478"/>
      <c r="DF39" s="2007" t="n">
        <f aca="false">DI39+DL39+DM39+DU39</f>
        <v>426.195237148975</v>
      </c>
      <c r="DG39" s="2010" t="n">
        <v>378.98</v>
      </c>
      <c r="DH39" s="2010" t="n">
        <f aca="false">DG39-DU39</f>
        <v>377.51</v>
      </c>
      <c r="DI39" s="2011" t="n">
        <f aca="false">Y39</f>
        <v>309.79</v>
      </c>
      <c r="DJ39" s="2012"/>
      <c r="DK39" s="2012"/>
      <c r="DL39" s="1509" t="n">
        <f aca="false">BM39</f>
        <v>67.72</v>
      </c>
      <c r="DM39" s="2009" t="n">
        <f aca="false">GK39*DN39*DH39/GJ39</f>
        <v>47.2152371489746</v>
      </c>
      <c r="DN39" s="2013" t="n">
        <f aca="false">DN40</f>
        <v>0.895905244977209</v>
      </c>
      <c r="DO39" s="2009"/>
      <c r="DP39" s="2009" t="n">
        <f aca="false">GK39*DH39/GJ39</f>
        <v>52.7011504996554</v>
      </c>
      <c r="DQ39" s="2009" t="n">
        <f aca="false">2/3*DP39</f>
        <v>35.1341003331036</v>
      </c>
      <c r="DR39" s="2009" t="n">
        <f aca="false">DS39*(DH39/GJ39)*GK39</f>
        <v>58.121749556544</v>
      </c>
      <c r="DS39" s="514" t="n">
        <f aca="false">(DT39/GK39)/(DH39/GJ39)</f>
        <v>1.1028554216653</v>
      </c>
      <c r="DT39" s="2012" t="n">
        <v>58.1217495565439</v>
      </c>
      <c r="DU39" s="2015" t="n">
        <f aca="false">CL39</f>
        <v>1.47</v>
      </c>
      <c r="DV39" s="2007" t="n">
        <f aca="false">DW39+DX39+DY39+EB39</f>
        <v>257.16</v>
      </c>
      <c r="DW39" s="1509" t="n">
        <f aca="false">I39</f>
        <v>64.21</v>
      </c>
      <c r="DX39" s="2017" t="n">
        <v>12.79</v>
      </c>
      <c r="DY39" s="2017" t="n">
        <f aca="false">EE39+EF39</f>
        <v>73.55</v>
      </c>
      <c r="DZ39" s="2018" t="n">
        <f aca="false">EF39+EE39-EA39</f>
        <v>9.24529541124947</v>
      </c>
      <c r="EA39" s="2018" t="n">
        <f aca="false">EE39*(DF39-EB39+EH39)/(0.5*CX39+DF39-EB39+EH39)</f>
        <v>64.3047045887505</v>
      </c>
      <c r="EB39" s="1478" t="n">
        <v>106.61</v>
      </c>
      <c r="EC39" s="2018" t="n">
        <f aca="false">DX39+DZ39</f>
        <v>22.0352954112495</v>
      </c>
      <c r="ED39" s="2018" t="n">
        <f aca="false">EA39+EB39</f>
        <v>170.914704588751</v>
      </c>
      <c r="EE39" s="1478" t="n">
        <v>73.07</v>
      </c>
      <c r="EF39" s="2017" t="n">
        <v>0.48</v>
      </c>
      <c r="EG39" s="1478" t="n">
        <v>111.71</v>
      </c>
      <c r="EH39" s="2017" t="n">
        <f aca="false">EG39-EI39</f>
        <v>91.5576555368724</v>
      </c>
      <c r="EI39" s="2023" t="n">
        <f aca="false">EG39*EI$41/EG$41</f>
        <v>20.1523444631276</v>
      </c>
      <c r="EJ39" s="2023" t="n">
        <v>40.03</v>
      </c>
      <c r="EK39" s="2032" t="n">
        <v>3.89</v>
      </c>
      <c r="EL39" s="2017" t="n">
        <f aca="false">EM39-(DV39-EF39)</f>
        <v>0.699999999999989</v>
      </c>
      <c r="EM39" s="2017" t="n">
        <f aca="false">EP39+S39+EG39+EN39+DD39</f>
        <v>257.38</v>
      </c>
      <c r="EN39" s="2017" t="n">
        <v>3.89</v>
      </c>
      <c r="EO39" s="2019" t="n">
        <f aca="false">EM39-EG39-EN39-DD39</f>
        <v>136.009996</v>
      </c>
      <c r="EP39" s="2019" t="n">
        <f aca="false">ER39-EQ39</f>
        <v>5.12999600000001</v>
      </c>
      <c r="EQ39" s="2017" t="n">
        <v>-10.45</v>
      </c>
      <c r="ER39" s="2023" t="n">
        <f aca="false">EU39+ES39-BP39+ET39</f>
        <v>-5.32000399999999</v>
      </c>
      <c r="ES39" s="2023" t="n">
        <v>24.13</v>
      </c>
      <c r="ET39" s="2023" t="n">
        <v>-0.39</v>
      </c>
      <c r="EU39" s="2023" t="n">
        <v>-17.520004</v>
      </c>
      <c r="EV39" s="2024" t="n">
        <f aca="false">B39-DV39+EH39+DD39-CO39</f>
        <v>438.177659536872</v>
      </c>
      <c r="EW39" s="1478" t="n">
        <f aca="false">CX39-EC39</f>
        <v>90.0494714397759</v>
      </c>
      <c r="EX39" s="1478" t="n">
        <f aca="false">($DF39-$EB39)-$EA39*($DF39-$EB39)/($DF39-$EB39+$EH39)</f>
        <v>269.60058550745</v>
      </c>
      <c r="EY39" s="1478" t="n">
        <f aca="false">$EH39-$EA39*$EH39/($DF39-$EB39+$EH39)</f>
        <v>77.237602589646</v>
      </c>
      <c r="EZ39" s="1478" t="n">
        <f aca="false">EV39+EI39</f>
        <v>458.330004</v>
      </c>
      <c r="FA39" s="1478"/>
      <c r="FB39" s="1478" t="n">
        <f aca="false">FB40*DateDE1b!DE41/DateDE1b!DE42</f>
        <v>55.1072101449275</v>
      </c>
      <c r="FC39" s="1478"/>
      <c r="FD39" s="1997" t="n">
        <f aca="false">T39+E39+U39-V39+CR39-H39-EP39</f>
        <v>69.520004</v>
      </c>
      <c r="FE39" s="1997"/>
      <c r="FF39" s="1997"/>
      <c r="FG39" s="1997" t="n">
        <f aca="false">CU39-EQ39</f>
        <v>10.08</v>
      </c>
      <c r="FH39" s="514" t="n">
        <f aca="false">FG39/FD39</f>
        <v>0.144994237917478</v>
      </c>
      <c r="FI39" s="1994" t="n">
        <f aca="false">FI40*DateDE1b!DE41/DateDE1b!DE42</f>
        <v>57.6834420289855</v>
      </c>
      <c r="FJ39" s="1994" t="n">
        <f aca="false">FK39-FI39</f>
        <v>21.9165619710145</v>
      </c>
      <c r="FK39" s="2025" t="n">
        <f aca="false">FD39+FG39</f>
        <v>79.600004</v>
      </c>
      <c r="FL39" s="1994"/>
      <c r="FM39" s="1994"/>
      <c r="FN39" s="1478"/>
      <c r="FO39" s="1995"/>
      <c r="FP39" s="1478"/>
      <c r="FQ39" s="1478"/>
      <c r="FR39" s="1997" t="n">
        <v>0</v>
      </c>
      <c r="FS39" s="1478"/>
      <c r="FT39" s="1478"/>
      <c r="FU39" s="1478"/>
      <c r="FV39" s="1478"/>
      <c r="FW39" s="2025"/>
      <c r="FX39" s="2026"/>
      <c r="FY39" s="2026"/>
      <c r="FZ39" s="2027"/>
      <c r="GA39" s="2015" t="n">
        <v>0</v>
      </c>
      <c r="GB39" s="402" t="n">
        <v>0.0271646859083192</v>
      </c>
      <c r="GC39" s="387" t="n">
        <v>0.0271867506076013</v>
      </c>
      <c r="GD39" s="387" t="n">
        <f aca="false">(G39/G38)/(1+GE39)-1</f>
        <v>0.0354578740185689</v>
      </c>
      <c r="GE39" s="387" t="n">
        <v>0.03008547008547</v>
      </c>
      <c r="GF39" s="387" t="n">
        <v>0.0256410256410258</v>
      </c>
      <c r="GG39" s="2033" t="n">
        <v>68.635605</v>
      </c>
      <c r="GH39" s="465" t="n">
        <v>61337.204</v>
      </c>
      <c r="GI39" s="465" t="n">
        <f aca="false">GJ39+GK39</f>
        <v>26457</v>
      </c>
      <c r="GJ39" s="465" t="n">
        <v>23216</v>
      </c>
      <c r="GK39" s="465" t="n">
        <v>3241</v>
      </c>
      <c r="GL39" s="25" t="n">
        <f aca="false">GL38+(GL$41-GL$31)/10</f>
        <v>0.2706</v>
      </c>
      <c r="GM39" s="25" t="n">
        <f aca="false">GK39/GI39</f>
        <v>0.122500661450656</v>
      </c>
      <c r="GN39" s="385" t="n">
        <v>61337.204</v>
      </c>
      <c r="GO39" s="1932" t="n">
        <f aca="false">CX39</f>
        <v>112.084766851025</v>
      </c>
      <c r="GP39" s="1932"/>
      <c r="GQ39" s="1932"/>
      <c r="GR39" s="1932"/>
      <c r="GS39" s="1509"/>
      <c r="GT39" s="1932"/>
      <c r="GU39" s="1478"/>
      <c r="GV39" s="1509"/>
      <c r="GW39" s="1478"/>
      <c r="GX39" s="1509"/>
      <c r="GY39" s="1478"/>
      <c r="GZ39" s="24" t="n">
        <f aca="false">DX39</f>
        <v>12.79</v>
      </c>
      <c r="HA39" s="1478"/>
      <c r="HB39" s="1478"/>
      <c r="HC39" s="1478"/>
      <c r="HD39" s="1478"/>
      <c r="HE39" s="1478"/>
      <c r="HF39" s="1478"/>
      <c r="HG39" s="1478"/>
      <c r="HH39" s="1478"/>
      <c r="HI39" s="1478"/>
      <c r="HJ39" s="1478"/>
      <c r="HK39" s="387"/>
    </row>
    <row r="40" customFormat="false" ht="12" hidden="false" customHeight="false" outlineLevel="0" collapsed="false">
      <c r="A40" s="31" t="n">
        <f aca="false">A39+1</f>
        <v>1979</v>
      </c>
      <c r="B40" s="395" t="n">
        <v>645.02</v>
      </c>
      <c r="C40" s="432" t="n">
        <f aca="false">B40+CR40</f>
        <v>635.15</v>
      </c>
      <c r="D40" s="384" t="n">
        <f aca="false">B40-I40</f>
        <v>574.69</v>
      </c>
      <c r="E40" s="1996" t="n">
        <f aca="false">CH40</f>
        <v>1.24</v>
      </c>
      <c r="F40" s="395" t="n">
        <f aca="false">G40-H40</f>
        <v>643.78</v>
      </c>
      <c r="G40" s="1997" t="n">
        <v>737.37</v>
      </c>
      <c r="H40" s="1997" t="n">
        <v>93.59</v>
      </c>
      <c r="I40" s="853" t="n">
        <v>70.33</v>
      </c>
      <c r="J40" s="395" t="n">
        <f aca="false">I40-CO40</f>
        <v>72.32</v>
      </c>
      <c r="K40" s="1478"/>
      <c r="L40" s="1478"/>
      <c r="M40" s="1478"/>
      <c r="N40" s="1478"/>
      <c r="O40" s="1478"/>
      <c r="P40" s="1478" t="n">
        <v>-0.2</v>
      </c>
      <c r="Q40" s="1999" t="n">
        <v>-1.43999999999999</v>
      </c>
      <c r="R40" s="1997" t="n">
        <v>417.31</v>
      </c>
      <c r="S40" s="1997" t="n">
        <v>141.53</v>
      </c>
      <c r="T40" s="1997" t="n">
        <v>175.89</v>
      </c>
      <c r="U40" s="1997" t="n">
        <v>185.73</v>
      </c>
      <c r="V40" s="1999" t="n">
        <v>183.09</v>
      </c>
      <c r="W40" s="1997" t="n">
        <f aca="false">F40-J40-BM40</f>
        <v>500.05</v>
      </c>
      <c r="X40" s="1997" t="n">
        <f aca="false">W40+AA40</f>
        <v>580.6</v>
      </c>
      <c r="Y40" s="2034" t="n">
        <f aca="false">DH40-BO40</f>
        <v>337.36</v>
      </c>
      <c r="Z40" s="1997" t="n">
        <f aca="false">W40-Y40</f>
        <v>162.69</v>
      </c>
      <c r="AA40" s="1997" t="n">
        <f aca="false">H40-BP40</f>
        <v>80.55</v>
      </c>
      <c r="AB40" s="1319" t="n">
        <f aca="false">AA40/X40</f>
        <v>0.138735790561488</v>
      </c>
      <c r="AC40" s="1997"/>
      <c r="AD40" s="1997"/>
      <c r="AE40" s="2017"/>
      <c r="AF40" s="1997"/>
      <c r="AG40" s="1997"/>
      <c r="AH40" s="1997"/>
      <c r="AI40" s="2001"/>
      <c r="AJ40" s="2002"/>
      <c r="AK40" s="1478"/>
      <c r="AL40" s="1478"/>
      <c r="AM40" s="821"/>
      <c r="AN40" s="2030"/>
      <c r="AO40" s="2001"/>
      <c r="AP40" s="2004"/>
      <c r="AQ40" s="2004"/>
      <c r="AR40" s="1478"/>
      <c r="AS40" s="1478"/>
      <c r="AT40" s="1478"/>
      <c r="AU40" s="2005"/>
      <c r="AV40" s="2001"/>
      <c r="AW40" s="2004"/>
      <c r="AX40" s="2004"/>
      <c r="AY40" s="1932"/>
      <c r="AZ40" s="1478"/>
      <c r="BA40" s="1478"/>
      <c r="BB40" s="821"/>
      <c r="BC40" s="1478"/>
      <c r="BD40" s="1478"/>
      <c r="BE40" s="1509"/>
      <c r="BF40" s="1478"/>
      <c r="BG40" s="1478"/>
      <c r="BH40" s="1478"/>
      <c r="BI40" s="1478"/>
      <c r="BJ40" s="1509"/>
      <c r="BK40" s="1478"/>
      <c r="BL40" s="1478"/>
      <c r="BM40" s="2001" t="n">
        <f aca="false">BN40-BP40</f>
        <v>71.41</v>
      </c>
      <c r="BN40" s="2004" t="n">
        <f aca="false">BO40+BP40</f>
        <v>84.45</v>
      </c>
      <c r="BO40" s="1478" t="n">
        <v>71.41</v>
      </c>
      <c r="BP40" s="1478" t="n">
        <v>13.04</v>
      </c>
      <c r="BQ40" s="2005" t="n">
        <f aca="false">BP40/BN40</f>
        <v>0.15441089402013</v>
      </c>
      <c r="BR40" s="1509"/>
      <c r="BS40" s="1509" t="n">
        <f aca="false">DX40</f>
        <v>14.07</v>
      </c>
      <c r="BT40" s="1509"/>
      <c r="BU40" s="1509"/>
      <c r="BV40" s="1509"/>
      <c r="BW40" s="1509"/>
      <c r="BX40" s="1478"/>
      <c r="BY40" s="1478"/>
      <c r="BZ40" s="1478"/>
      <c r="CA40" s="1509"/>
      <c r="CB40" s="1509"/>
      <c r="CC40" s="1478"/>
      <c r="CD40" s="1478"/>
      <c r="CE40" s="1478"/>
      <c r="CF40" s="1478"/>
      <c r="CG40" s="1509"/>
      <c r="CH40" s="1482" t="n">
        <f aca="false">CI40+CL40+CO40</f>
        <v>1.24</v>
      </c>
      <c r="CI40" s="1479" t="n">
        <f aca="false">CJ40-CK40</f>
        <v>1.71</v>
      </c>
      <c r="CJ40" s="2023" t="n">
        <v>12.47</v>
      </c>
      <c r="CK40" s="2023" t="n">
        <v>10.76</v>
      </c>
      <c r="CL40" s="1479" t="n">
        <f aca="false">CM40-CN40</f>
        <v>1.52</v>
      </c>
      <c r="CM40" s="2023" t="n">
        <v>2.47</v>
      </c>
      <c r="CN40" s="2023" t="n">
        <v>0.95</v>
      </c>
      <c r="CO40" s="2023" t="n">
        <f aca="false">CP40-CQ40</f>
        <v>-1.99</v>
      </c>
      <c r="CP40" s="2023" t="n">
        <v>3.6</v>
      </c>
      <c r="CQ40" s="2023" t="n">
        <v>5.59</v>
      </c>
      <c r="CR40" s="1478" t="n">
        <f aca="false">CS40-CT40</f>
        <v>-9.87</v>
      </c>
      <c r="CS40" s="1478" t="n">
        <v>2.13</v>
      </c>
      <c r="CT40" s="1478" t="n">
        <v>12</v>
      </c>
      <c r="CU40" s="1478" t="n">
        <f aca="false">CV40-CW40</f>
        <v>-0.72</v>
      </c>
      <c r="CV40" s="485" t="n">
        <v>0.13</v>
      </c>
      <c r="CW40" s="1478" t="n">
        <v>0.85</v>
      </c>
      <c r="CX40" s="1998" t="n">
        <f aca="false">D40+DD40-DF40</f>
        <v>122.182844992344</v>
      </c>
      <c r="CY40" s="2007" t="n">
        <f aca="false">CX40-DC40-DD40</f>
        <v>113.942840992344</v>
      </c>
      <c r="CZ40" s="1509"/>
      <c r="DA40" s="2008"/>
      <c r="DB40" s="2009"/>
      <c r="DC40" s="2017" t="n">
        <f aca="false">CI40</f>
        <v>1.71</v>
      </c>
      <c r="DD40" s="1478" t="n">
        <v>6.530004</v>
      </c>
      <c r="DE40" s="1478"/>
      <c r="DF40" s="2007" t="n">
        <f aca="false">DI40+DL40+DM40+DU40</f>
        <v>459.037159007656</v>
      </c>
      <c r="DG40" s="2010" t="n">
        <v>410.29</v>
      </c>
      <c r="DH40" s="2010" t="n">
        <f aca="false">DG40-DU40</f>
        <v>408.77</v>
      </c>
      <c r="DI40" s="2011" t="n">
        <f aca="false">Y40</f>
        <v>337.36</v>
      </c>
      <c r="DJ40" s="2012"/>
      <c r="DK40" s="2012"/>
      <c r="DL40" s="1509" t="n">
        <f aca="false">BM40</f>
        <v>71.41</v>
      </c>
      <c r="DM40" s="2009" t="n">
        <f aca="false">GK40*DN40*DH40/GJ40</f>
        <v>48.7471590076559</v>
      </c>
      <c r="DN40" s="2013" t="n">
        <f aca="false">DN41</f>
        <v>0.895905244977209</v>
      </c>
      <c r="DO40" s="2009"/>
      <c r="DP40" s="2009" t="n">
        <f aca="false">GK40*DH40/GJ40</f>
        <v>54.4110655462185</v>
      </c>
      <c r="DQ40" s="2009" t="n">
        <f aca="false">2/3*DP40</f>
        <v>36.274043697479</v>
      </c>
      <c r="DR40" s="2009" t="n">
        <f aca="false">DS40*(DH40/GJ40)*GK40</f>
        <v>61.4288103413357</v>
      </c>
      <c r="DS40" s="514" t="n">
        <f aca="false">(DT40/GK40)/(DH40/GJ40)</f>
        <v>1.12897642647994</v>
      </c>
      <c r="DT40" s="2012" t="n">
        <v>61.4288103413357</v>
      </c>
      <c r="DU40" s="2015" t="n">
        <f aca="false">CL40</f>
        <v>1.52</v>
      </c>
      <c r="DV40" s="2007" t="n">
        <f aca="false">DW40+DX40+DY40+EB40</f>
        <v>276.16</v>
      </c>
      <c r="DW40" s="1509" t="n">
        <f aca="false">I40</f>
        <v>70.33</v>
      </c>
      <c r="DX40" s="2017" t="n">
        <v>14.07</v>
      </c>
      <c r="DY40" s="2017" t="n">
        <f aca="false">EE40+EF40</f>
        <v>76.39</v>
      </c>
      <c r="DZ40" s="2018" t="n">
        <f aca="false">EF40+EE40-EA40</f>
        <v>9.74645579773215</v>
      </c>
      <c r="EA40" s="2018" t="n">
        <f aca="false">EE40*(DF40-EB40+EH40)/(0.5*CX40+DF40-EB40+EH40)</f>
        <v>66.6435442022679</v>
      </c>
      <c r="EB40" s="1478" t="n">
        <v>115.37</v>
      </c>
      <c r="EC40" s="2018" t="n">
        <f aca="false">DX40+DZ40</f>
        <v>23.8164557977322</v>
      </c>
      <c r="ED40" s="2018" t="n">
        <f aca="false">EA40+EB40</f>
        <v>182.013544202268</v>
      </c>
      <c r="EE40" s="1478" t="n">
        <v>75.89</v>
      </c>
      <c r="EF40" s="2017" t="n">
        <v>0.5</v>
      </c>
      <c r="EG40" s="1478" t="n">
        <v>117.92</v>
      </c>
      <c r="EH40" s="2017" t="n">
        <f aca="false">EG40-EI40</f>
        <v>96.6473792937785</v>
      </c>
      <c r="EI40" s="2023" t="n">
        <f aca="false">EG40*EI$41/EG$41</f>
        <v>21.2726207062215</v>
      </c>
      <c r="EJ40" s="2023" t="n">
        <v>43.01</v>
      </c>
      <c r="EK40" s="2032" t="n">
        <v>5.53</v>
      </c>
      <c r="EL40" s="2017" t="n">
        <f aca="false">EM40-(DV40-EF40)</f>
        <v>0.939999999999941</v>
      </c>
      <c r="EM40" s="2017" t="n">
        <f aca="false">EP40+S40+EG40+EN40+DD40</f>
        <v>276.6</v>
      </c>
      <c r="EN40" s="2017" t="n">
        <v>5.53</v>
      </c>
      <c r="EO40" s="2019" t="n">
        <f aca="false">EM40-EG40-EN40-DD40</f>
        <v>146.619996</v>
      </c>
      <c r="EP40" s="2019" t="n">
        <f aca="false">ER40-EQ40</f>
        <v>5.08999599999996</v>
      </c>
      <c r="EQ40" s="2017" t="n">
        <v>-11.35</v>
      </c>
      <c r="ER40" s="2023" t="n">
        <f aca="false">EU40+ES40-BP40+ET40</f>
        <v>-6.26000400000004</v>
      </c>
      <c r="ES40" s="2023" t="n">
        <v>26.64</v>
      </c>
      <c r="ET40" s="2023" t="n">
        <v>-0.26</v>
      </c>
      <c r="EU40" s="2023" t="n">
        <v>-19.600004</v>
      </c>
      <c r="EV40" s="2024" t="n">
        <f aca="false">B40-DV40+EH40+DD40-CO40</f>
        <v>474.027383293779</v>
      </c>
      <c r="EW40" s="1478" t="n">
        <f aca="false">CX40-EC40</f>
        <v>98.3663891946119</v>
      </c>
      <c r="EX40" s="1478" t="n">
        <f aca="false">($DF40-$EB40)-$EA40*($DF40-$EB40)/($DF40-$EB40+$EH40)</f>
        <v>291.651621227445</v>
      </c>
      <c r="EY40" s="1478" t="n">
        <f aca="false">$EH40-$EA40*$EH40/($DF40-$EB40+$EH40)</f>
        <v>82.0193728717219</v>
      </c>
      <c r="EZ40" s="1478" t="n">
        <f aca="false">EV40+EI40</f>
        <v>495.300004</v>
      </c>
      <c r="FA40" s="1478"/>
      <c r="FB40" s="1478" t="n">
        <f aca="false">FB41*DateDE1b!DE42/DateDE1b!DE43</f>
        <v>62.5970289855073</v>
      </c>
      <c r="FC40" s="1478"/>
      <c r="FD40" s="1997" t="n">
        <f aca="false">T40+E40+U40-V40+CR40-H40-EP40</f>
        <v>71.2200040000001</v>
      </c>
      <c r="FE40" s="1997"/>
      <c r="FF40" s="1997"/>
      <c r="FG40" s="1997" t="n">
        <f aca="false">CU40-EQ40</f>
        <v>10.63</v>
      </c>
      <c r="FH40" s="514" t="n">
        <f aca="false">FG40/FD40</f>
        <v>0.14925581863208</v>
      </c>
      <c r="FI40" s="1994" t="n">
        <f aca="false">FI41*DateDE1b!DE42/DateDE1b!DE43</f>
        <v>65.5234057971015</v>
      </c>
      <c r="FJ40" s="1994" t="n">
        <f aca="false">FK40-FI40</f>
        <v>16.3265982028986</v>
      </c>
      <c r="FK40" s="2025" t="n">
        <f aca="false">FD40+FG40</f>
        <v>81.850004</v>
      </c>
      <c r="FL40" s="1994"/>
      <c r="FN40" s="1478"/>
      <c r="FO40" s="1995"/>
      <c r="FP40" s="1478"/>
      <c r="FQ40" s="1478"/>
      <c r="FR40" s="1997" t="n">
        <v>0</v>
      </c>
      <c r="FS40" s="1478"/>
      <c r="FT40" s="514"/>
      <c r="FU40" s="514"/>
      <c r="FV40" s="514"/>
      <c r="FW40" s="2025"/>
      <c r="FX40" s="2026"/>
      <c r="FY40" s="2026"/>
      <c r="FZ40" s="2027"/>
      <c r="GA40" s="2015" t="n">
        <v>0</v>
      </c>
      <c r="GB40" s="402" t="n">
        <v>0.0413223140495869</v>
      </c>
      <c r="GC40" s="387" t="n">
        <v>0.0404362170494172</v>
      </c>
      <c r="GD40" s="387" t="n">
        <f aca="false">(G40/G39)/(1+GE40)-1</f>
        <v>0.0427981707623077</v>
      </c>
      <c r="GE40" s="387" t="n">
        <v>0.041486890142715</v>
      </c>
      <c r="GF40" s="387" t="n">
        <v>0.0426470588235295</v>
      </c>
      <c r="GG40" s="2033" t="n">
        <v>72.893845</v>
      </c>
      <c r="GH40" s="465" t="n">
        <v>61380.5025</v>
      </c>
      <c r="GI40" s="465" t="n">
        <f aca="false">GJ40+GK40</f>
        <v>26968</v>
      </c>
      <c r="GJ40" s="465" t="n">
        <v>23800</v>
      </c>
      <c r="GK40" s="465" t="n">
        <v>3168</v>
      </c>
      <c r="GL40" s="25" t="n">
        <f aca="false">GL39+(GL$41-GL$31)/10</f>
        <v>0.2673</v>
      </c>
      <c r="GM40" s="25" t="n">
        <f aca="false">GK40/GI40</f>
        <v>0.117472560071196</v>
      </c>
      <c r="GN40" s="385" t="n">
        <v>61380.5025</v>
      </c>
      <c r="GO40" s="1932" t="n">
        <f aca="false">CX40</f>
        <v>122.182844992344</v>
      </c>
      <c r="GP40" s="1932"/>
      <c r="GQ40" s="1932"/>
      <c r="GR40" s="1932"/>
      <c r="GS40" s="1509"/>
      <c r="GT40" s="1932"/>
      <c r="GU40" s="1478"/>
      <c r="GV40" s="1509"/>
      <c r="GW40" s="1478"/>
      <c r="GX40" s="1509"/>
      <c r="GY40" s="1478"/>
      <c r="GZ40" s="24" t="n">
        <f aca="false">DX40</f>
        <v>14.07</v>
      </c>
      <c r="HA40" s="1478"/>
      <c r="HB40" s="1478"/>
      <c r="HC40" s="1478"/>
      <c r="HD40" s="1478"/>
      <c r="HE40" s="1478"/>
      <c r="HF40" s="1478"/>
      <c r="HG40" s="1478"/>
      <c r="HH40" s="1478"/>
      <c r="HI40" s="1478"/>
      <c r="HJ40" s="1478"/>
      <c r="HK40" s="387"/>
    </row>
    <row r="41" customFormat="false" ht="12" hidden="false" customHeight="false" outlineLevel="0" collapsed="false">
      <c r="A41" s="31" t="n">
        <f aca="false">A40+1</f>
        <v>1980</v>
      </c>
      <c r="B41" s="395" t="n">
        <f aca="false">E41+F41</f>
        <v>685.85</v>
      </c>
      <c r="C41" s="432" t="n">
        <f aca="false">B41+CR41</f>
        <v>675.23</v>
      </c>
      <c r="D41" s="1995" t="n">
        <f aca="false">B41-I41</f>
        <v>610.76</v>
      </c>
      <c r="E41" s="1996" t="n">
        <f aca="false">CH41</f>
        <v>1.46</v>
      </c>
      <c r="F41" s="1994" t="n">
        <f aca="false">J41+AC41+AV41+BM41</f>
        <v>684.39</v>
      </c>
      <c r="G41" s="1478" t="n">
        <f aca="false">J41+X41+BN41</f>
        <v>788.52</v>
      </c>
      <c r="H41" s="1478" t="n">
        <f aca="false">AG41+BA41+BP41</f>
        <v>104.13</v>
      </c>
      <c r="I41" s="853" t="n">
        <v>75.09</v>
      </c>
      <c r="J41" s="395" t="n">
        <f aca="false">I41-CO41</f>
        <v>77.36</v>
      </c>
      <c r="K41" s="1478"/>
      <c r="L41" s="1478" t="n">
        <f aca="false">M41+N41+O41+P41+Q41</f>
        <v>4.67</v>
      </c>
      <c r="M41" s="1478" t="n">
        <v>0.44</v>
      </c>
      <c r="N41" s="1478" t="n">
        <v>4.41</v>
      </c>
      <c r="O41" s="1478" t="n">
        <v>1.51</v>
      </c>
      <c r="P41" s="1478" t="n">
        <v>-0.23</v>
      </c>
      <c r="Q41" s="1999" t="n">
        <v>-1.46</v>
      </c>
      <c r="R41" s="1997" t="n">
        <v>452.1</v>
      </c>
      <c r="S41" s="1997" t="n">
        <v>154.93</v>
      </c>
      <c r="T41" s="1997" t="n">
        <v>186.56</v>
      </c>
      <c r="U41" s="1997" t="n">
        <v>207.49</v>
      </c>
      <c r="V41" s="1999" t="n">
        <v>212.56</v>
      </c>
      <c r="W41" s="395" t="n">
        <f aca="false">AC41+AV41</f>
        <v>530.36</v>
      </c>
      <c r="X41" s="1997" t="n">
        <f aca="false">W41+AA41</f>
        <v>619.71</v>
      </c>
      <c r="Y41" s="1997" t="n">
        <f aca="false">AE41+AZ41</f>
        <v>367.66</v>
      </c>
      <c r="Z41" s="1997" t="n">
        <f aca="false">W41-Y41</f>
        <v>162.7</v>
      </c>
      <c r="AA41" s="1997" t="n">
        <f aca="false">AG41+BA41</f>
        <v>89.35</v>
      </c>
      <c r="AB41" s="1319" t="n">
        <f aca="false">AA41/X41</f>
        <v>0.144180342418228</v>
      </c>
      <c r="AC41" s="1509" t="n">
        <f aca="false">AF41+AE41</f>
        <v>158.88</v>
      </c>
      <c r="AD41" s="1509" t="n">
        <f aca="false">AF41+AG41+AE41</f>
        <v>189.18</v>
      </c>
      <c r="AE41" s="1509" t="n">
        <f aca="false">AS41</f>
        <v>71.27</v>
      </c>
      <c r="AF41" s="1997" t="n">
        <v>87.61</v>
      </c>
      <c r="AG41" s="1997" t="n">
        <v>30.3</v>
      </c>
      <c r="AH41" s="514" t="n">
        <f aca="false">AG41/AD41</f>
        <v>0.160164922296226</v>
      </c>
      <c r="AI41" s="2001"/>
      <c r="AJ41" s="2002"/>
      <c r="AK41" s="1478"/>
      <c r="AL41" s="1478"/>
      <c r="AM41" s="821"/>
      <c r="AN41" s="2030"/>
      <c r="AO41" s="1478"/>
      <c r="AP41" s="1478"/>
      <c r="AQ41" s="2004"/>
      <c r="AR41" s="1478"/>
      <c r="AS41" s="1478" t="n">
        <v>71.27</v>
      </c>
      <c r="AT41" s="1478"/>
      <c r="AU41" s="2005"/>
      <c r="AV41" s="2001" t="n">
        <f aca="false">AW41-BA41</f>
        <v>371.48</v>
      </c>
      <c r="AW41" s="2004" t="n">
        <f aca="false">AY41+AZ41</f>
        <v>430.53</v>
      </c>
      <c r="AX41" s="2004" t="n">
        <f aca="false">BD41+BI41</f>
        <v>75.09</v>
      </c>
      <c r="AY41" s="1932" t="n">
        <f aca="false">AX41+BA41</f>
        <v>134.14</v>
      </c>
      <c r="AZ41" s="1478" t="n">
        <f aca="false">BF41+BK41</f>
        <v>296.39</v>
      </c>
      <c r="BA41" s="1478" t="n">
        <f aca="false">BG41+BL41</f>
        <v>59.05</v>
      </c>
      <c r="BB41" s="821" t="n">
        <f aca="false">BA41/AW41</f>
        <v>0.137156528000372</v>
      </c>
      <c r="BC41" s="1478" t="n">
        <f aca="false">BE41+BF41</f>
        <v>401.59</v>
      </c>
      <c r="BD41" s="1478" t="n">
        <v>67.28</v>
      </c>
      <c r="BE41" s="1509" t="n">
        <f aca="false">BD41+BG41</f>
        <v>123.97</v>
      </c>
      <c r="BF41" s="1478" t="n">
        <v>277.62</v>
      </c>
      <c r="BG41" s="1997" t="n">
        <v>56.69</v>
      </c>
      <c r="BH41" s="1478" t="n">
        <f aca="false">BJ41+BK41</f>
        <v>28.94</v>
      </c>
      <c r="BI41" s="1478" t="n">
        <v>7.81</v>
      </c>
      <c r="BJ41" s="1509" t="n">
        <f aca="false">BI41+BL41</f>
        <v>10.17</v>
      </c>
      <c r="BK41" s="1478" t="n">
        <v>18.77</v>
      </c>
      <c r="BL41" s="1997" t="n">
        <v>2.36</v>
      </c>
      <c r="BM41" s="2001" t="n">
        <f aca="false">BN41-BP41</f>
        <v>76.67</v>
      </c>
      <c r="BN41" s="2004" t="n">
        <f aca="false">BO41+BP41</f>
        <v>91.45</v>
      </c>
      <c r="BO41" s="1478" t="n">
        <v>76.67</v>
      </c>
      <c r="BP41" s="1997" t="n">
        <v>14.78</v>
      </c>
      <c r="BQ41" s="2005" t="n">
        <f aca="false">BP41/BN41</f>
        <v>0.161618370694369</v>
      </c>
      <c r="BR41" s="1509" t="n">
        <f aca="false">AY41-BA41</f>
        <v>75.09</v>
      </c>
      <c r="BS41" s="1509" t="n">
        <f aca="false">BX41+CC41</f>
        <v>13.32</v>
      </c>
      <c r="BT41" s="1509" t="n">
        <f aca="false">BY41-BZ41+CD41-CE41</f>
        <v>62.05</v>
      </c>
      <c r="BU41" s="1509" t="n">
        <f aca="false">BR41-BS41-BT41-BW41</f>
        <v>5.39999999999999</v>
      </c>
      <c r="BV41" s="1634" t="n">
        <v>7.67</v>
      </c>
      <c r="BW41" s="1509" t="n">
        <f aca="false">CB41+CG41</f>
        <v>-5.68</v>
      </c>
      <c r="BX41" s="1997" t="n">
        <v>10.59</v>
      </c>
      <c r="BY41" s="1997" t="n">
        <v>79.16</v>
      </c>
      <c r="BZ41" s="1478" t="n">
        <v>13.76</v>
      </c>
      <c r="CA41" s="1509"/>
      <c r="CB41" s="1997" t="n">
        <v>-3.91</v>
      </c>
      <c r="CC41" s="1997" t="n">
        <v>2.73</v>
      </c>
      <c r="CD41" s="1997" t="n">
        <v>105.48</v>
      </c>
      <c r="CE41" s="1997" t="n">
        <v>108.83</v>
      </c>
      <c r="CF41" s="1997"/>
      <c r="CG41" s="1997" t="n">
        <v>-1.77</v>
      </c>
      <c r="CH41" s="1482" t="n">
        <f aca="false">CI41+CL41+CO41</f>
        <v>1.46</v>
      </c>
      <c r="CI41" s="1479" t="n">
        <f aca="false">CJ41-CK41</f>
        <v>2.16</v>
      </c>
      <c r="CJ41" s="2023" t="n">
        <v>14.97</v>
      </c>
      <c r="CK41" s="2023" t="n">
        <v>12.81</v>
      </c>
      <c r="CL41" s="1479" t="n">
        <f aca="false">CM41-CN41</f>
        <v>1.57</v>
      </c>
      <c r="CM41" s="2023" t="n">
        <v>2.66</v>
      </c>
      <c r="CN41" s="2023" t="n">
        <v>1.09</v>
      </c>
      <c r="CO41" s="2023" t="n">
        <f aca="false">CP41-CQ41</f>
        <v>-2.27</v>
      </c>
      <c r="CP41" s="2023" t="n">
        <v>3.61</v>
      </c>
      <c r="CQ41" s="2023" t="n">
        <v>5.88</v>
      </c>
      <c r="CR41" s="1478" t="n">
        <f aca="false">CS41-CT41</f>
        <v>-10.62</v>
      </c>
      <c r="CS41" s="1478" t="n">
        <v>2.3</v>
      </c>
      <c r="CT41" s="1478" t="n">
        <v>12.92</v>
      </c>
      <c r="CU41" s="1478" t="n">
        <f aca="false">CV41-CW41</f>
        <v>-1.56</v>
      </c>
      <c r="CV41" s="485" t="n">
        <v>0.14</v>
      </c>
      <c r="CW41" s="1478" t="n">
        <v>1.7</v>
      </c>
      <c r="CX41" s="1998" t="n">
        <f aca="false">D41+DD41-DF41</f>
        <v>121.67943367785</v>
      </c>
      <c r="CY41" s="2007" t="n">
        <f aca="false">CX41-DC41-DD41</f>
        <v>110.95942967785</v>
      </c>
      <c r="CZ41" s="1509" t="n">
        <f aca="false">BR41</f>
        <v>75.09</v>
      </c>
      <c r="DA41" s="2023" t="n">
        <f aca="false">D41-DF41-CZ41-DC41</f>
        <v>35.8694296778504</v>
      </c>
      <c r="DB41" s="2023"/>
      <c r="DC41" s="2017" t="n">
        <f aca="false">CI41</f>
        <v>2.16</v>
      </c>
      <c r="DD41" s="1478" t="n">
        <v>8.560004</v>
      </c>
      <c r="DE41" s="1997" t="n">
        <v>29.06</v>
      </c>
      <c r="DF41" s="2007" t="n">
        <f aca="false">DI41+DL41+DM41+DU41</f>
        <v>497.64057032215</v>
      </c>
      <c r="DG41" s="2011" t="n">
        <f aca="false">DH41+DU41</f>
        <v>445.9</v>
      </c>
      <c r="DH41" s="2010" t="n">
        <f aca="false">DJ41+DL41+AE41</f>
        <v>444.33</v>
      </c>
      <c r="DI41" s="2011" t="n">
        <f aca="false">Y41</f>
        <v>367.66</v>
      </c>
      <c r="DJ41" s="2035" t="n">
        <f aca="false">AZ41</f>
        <v>296.39</v>
      </c>
      <c r="DK41" s="2035" t="n">
        <f aca="false">AS41</f>
        <v>71.27</v>
      </c>
      <c r="DL41" s="1509" t="n">
        <f aca="false">BM41</f>
        <v>76.67</v>
      </c>
      <c r="DM41" s="2009" t="n">
        <f aca="false">GK41*DN41*DH41/GJ41</f>
        <v>51.7405703221496</v>
      </c>
      <c r="DN41" s="2013" t="n">
        <f aca="false">DN42</f>
        <v>0.895905244977209</v>
      </c>
      <c r="DO41" s="2009"/>
      <c r="DP41" s="2009" t="n">
        <f aca="false">GK41*DH41/GJ41</f>
        <v>57.7522797329597</v>
      </c>
      <c r="DQ41" s="2009" t="n">
        <f aca="false">2/3*DP41</f>
        <v>38.5015198219731</v>
      </c>
      <c r="DR41" s="2009" t="n">
        <f aca="false">DS41*(DH41/GJ41)*GK41</f>
        <v>65.4807958007023</v>
      </c>
      <c r="DS41" s="514" t="n">
        <f aca="false">(DT41/GK41)/(DH41/GJ41)</f>
        <v>1.13382183531938</v>
      </c>
      <c r="DT41" s="2012" t="n">
        <v>65.4807958007023</v>
      </c>
      <c r="DU41" s="2015" t="n">
        <f aca="false">CL41</f>
        <v>1.57</v>
      </c>
      <c r="DV41" s="2007" t="n">
        <f aca="false">DW41+DX41+DY41+EB41</f>
        <v>296.4</v>
      </c>
      <c r="DW41" s="1509" t="n">
        <f aca="false">I41</f>
        <v>75.09</v>
      </c>
      <c r="DX41" s="2036" t="n">
        <f aca="false">BS41</f>
        <v>13.32</v>
      </c>
      <c r="DY41" s="2017" t="n">
        <f aca="false">EE41+EF41</f>
        <v>83.42</v>
      </c>
      <c r="DZ41" s="2018" t="n">
        <f aca="false">EF41+EE41-EA41</f>
        <v>9.92498223880151</v>
      </c>
      <c r="EA41" s="2018" t="n">
        <f aca="false">EE41*(DF41-EB41+EH41)/(0.5*CX41+DF41-EB41+EH41)</f>
        <v>73.4950177611985</v>
      </c>
      <c r="EB41" s="1478" t="n">
        <v>124.57</v>
      </c>
      <c r="EC41" s="2018" t="n">
        <f aca="false">DX41+DZ41</f>
        <v>23.2449822388015</v>
      </c>
      <c r="ED41" s="2018" t="n">
        <f aca="false">EA41+EB41</f>
        <v>198.065017761198</v>
      </c>
      <c r="EE41" s="1478" t="n">
        <v>82.9</v>
      </c>
      <c r="EF41" s="2017" t="n">
        <v>0.52</v>
      </c>
      <c r="EG41" s="1478" t="n">
        <v>124.89</v>
      </c>
      <c r="EH41" s="2017" t="n">
        <f aca="false">EG41-EI41</f>
        <v>102.36</v>
      </c>
      <c r="EI41" s="2023" t="n">
        <v>22.53</v>
      </c>
      <c r="EJ41" s="2023" t="n">
        <v>47.34</v>
      </c>
      <c r="EK41" s="2032" t="n">
        <v>6.29</v>
      </c>
      <c r="EL41" s="2017" t="n">
        <f aca="false">EM41-(DV41-EF41)</f>
        <v>0.810000000000002</v>
      </c>
      <c r="EM41" s="2017" t="n">
        <f aca="false">EP41+S41+EG41+EN41+DD41</f>
        <v>296.69</v>
      </c>
      <c r="EN41" s="2017" t="n">
        <v>6.29</v>
      </c>
      <c r="EO41" s="2019" t="n">
        <f aca="false">EM41-EG41-EN41-DD41</f>
        <v>156.949996</v>
      </c>
      <c r="EP41" s="2037" t="n">
        <f aca="false">ER41-EQ41</f>
        <v>2.01999599999999</v>
      </c>
      <c r="EQ41" s="2017" t="n">
        <v>-11.7</v>
      </c>
      <c r="ER41" s="2023" t="n">
        <f aca="false">EU41+ES41-BP41+ET41</f>
        <v>-9.68000400000001</v>
      </c>
      <c r="ES41" s="2023" t="n">
        <v>28.65</v>
      </c>
      <c r="ET41" s="2023" t="n">
        <v>-0.4</v>
      </c>
      <c r="EU41" s="2023" t="n">
        <v>-23.150004</v>
      </c>
      <c r="EV41" s="2024" t="n">
        <f aca="false">B41-DV41+EH41+DD41-CO41</f>
        <v>502.640004</v>
      </c>
      <c r="EW41" s="1478" t="n">
        <f aca="false">CX41-EC41</f>
        <v>98.434451439049</v>
      </c>
      <c r="EX41" s="1478" t="n">
        <f aca="false">($DF41-$EB41)-$EA41*($DF41-$EB41)/($DF41-$EB41+$EH41)</f>
        <v>315.398998690927</v>
      </c>
      <c r="EY41" s="1478" t="n">
        <f aca="false">$EH41-$EA41*$EH41/($DF41-$EB41+$EH41)</f>
        <v>86.5365538700241</v>
      </c>
      <c r="EZ41" s="1478" t="n">
        <f aca="false">EV41+EI41</f>
        <v>525.170004</v>
      </c>
      <c r="FA41" s="1478" t="n">
        <v>518.28</v>
      </c>
      <c r="FB41" s="1478" t="n">
        <v>68.45</v>
      </c>
      <c r="FC41" s="1478" t="n">
        <f aca="false">FB41+AG41</f>
        <v>98.75</v>
      </c>
      <c r="FD41" s="1997" t="n">
        <f aca="false">FB41+BU41-BV41</f>
        <v>66.18</v>
      </c>
      <c r="FE41" s="1478" t="n">
        <v>3.2</v>
      </c>
      <c r="FF41" s="1997" t="n">
        <v>6.94</v>
      </c>
      <c r="FG41" s="1478" t="n">
        <f aca="false">FE41+FF41</f>
        <v>10.14</v>
      </c>
      <c r="FH41" s="514" t="n">
        <f aca="false">FG41/FD41</f>
        <v>0.153218495013599</v>
      </c>
      <c r="FI41" s="1994" t="n">
        <f aca="false">FB41+FE41</f>
        <v>71.65</v>
      </c>
      <c r="FJ41" s="1994" t="n">
        <f aca="false">BU41-BV41+FF41</f>
        <v>4.66999999999999</v>
      </c>
      <c r="FK41" s="2025" t="n">
        <f aca="false">FI41+FJ41</f>
        <v>76.32</v>
      </c>
      <c r="FL41" s="1994" t="n">
        <f aca="false">FO41+FP41+FS41</f>
        <v>71.65</v>
      </c>
      <c r="FM41" s="1997" t="n">
        <v>71.29</v>
      </c>
      <c r="FO41" s="1995" t="n">
        <f aca="false">FM41-AG41</f>
        <v>40.99</v>
      </c>
      <c r="FP41" s="1997" t="n">
        <v>0.31</v>
      </c>
      <c r="FQ41" s="1478" t="n">
        <f aca="false">FI41-FO41-FP41</f>
        <v>30.35</v>
      </c>
      <c r="FR41" s="1997" t="n">
        <v>0</v>
      </c>
      <c r="FS41" s="1478" t="n">
        <f aca="false">FQ41+FR41</f>
        <v>30.35</v>
      </c>
      <c r="FT41" s="514"/>
      <c r="FU41" s="514"/>
      <c r="FV41" s="514"/>
      <c r="FW41" s="2025"/>
      <c r="FX41" s="2026" t="n">
        <f aca="false">FY41+FZ41</f>
        <v>86.62</v>
      </c>
      <c r="FY41" s="1997" t="n">
        <v>82.65</v>
      </c>
      <c r="FZ41" s="1999" t="n">
        <v>3.97</v>
      </c>
      <c r="GA41" s="2015" t="n">
        <v>0</v>
      </c>
      <c r="GB41" s="402" t="n">
        <v>0.053968253968254</v>
      </c>
      <c r="GC41" s="387" t="n">
        <v>0.0544105845434051</v>
      </c>
      <c r="GD41" s="387" t="n">
        <f aca="false">(G41/G40)/(1+GE41)-1</f>
        <v>0.0544154864061621</v>
      </c>
      <c r="GE41" s="387" t="n">
        <v>0.014181007010835</v>
      </c>
      <c r="GF41" s="387" t="n">
        <v>0.0578279266572637</v>
      </c>
      <c r="GG41" s="2033" t="n">
        <v>74.53821</v>
      </c>
      <c r="GH41" s="465" t="n">
        <v>61548.6435</v>
      </c>
      <c r="GI41" s="465" t="n">
        <f aca="false">GJ41+GK41</f>
        <v>27420</v>
      </c>
      <c r="GJ41" s="465" t="n">
        <v>24266</v>
      </c>
      <c r="GK41" s="465" t="n">
        <v>3154</v>
      </c>
      <c r="GL41" s="25" t="n">
        <v>0.264</v>
      </c>
      <c r="GM41" s="25" t="n">
        <f aca="false">GK41/GI41</f>
        <v>0.115025528811087</v>
      </c>
      <c r="GN41" s="385" t="n">
        <v>61548.6435</v>
      </c>
      <c r="GO41" s="1932" t="n">
        <f aca="false">CX41</f>
        <v>121.67943367785</v>
      </c>
      <c r="GP41" s="1932" t="n">
        <f aca="false">BU41</f>
        <v>5.39999999999999</v>
      </c>
      <c r="GQ41" s="1932" t="n">
        <f aca="false">BW41</f>
        <v>-5.68</v>
      </c>
      <c r="GR41" s="1932"/>
      <c r="GS41" s="1509"/>
      <c r="GT41" s="1932"/>
      <c r="GU41" s="1509" t="n">
        <v>8.23</v>
      </c>
      <c r="GV41" s="1509"/>
      <c r="GW41" s="1478" t="n">
        <v>0.38</v>
      </c>
      <c r="GX41" s="1509" t="n">
        <f aca="false">GY41+GZ41</f>
        <v>62.04</v>
      </c>
      <c r="GY41" s="1478" t="n">
        <v>48.72</v>
      </c>
      <c r="GZ41" s="24" t="n">
        <f aca="false">DX41</f>
        <v>13.32</v>
      </c>
      <c r="HA41" s="1478" t="n">
        <v>44.5</v>
      </c>
      <c r="HB41" s="1478"/>
      <c r="HC41" s="1478"/>
      <c r="HD41" s="24" t="n">
        <f aca="false">DE41</f>
        <v>29.06</v>
      </c>
      <c r="HE41" s="1997"/>
      <c r="HF41" s="1478"/>
      <c r="HG41" s="1478"/>
      <c r="HH41" s="1478"/>
      <c r="HI41" s="1478"/>
      <c r="HJ41" s="1478"/>
      <c r="HK41" s="387"/>
    </row>
    <row r="42" customFormat="false" ht="12" hidden="false" customHeight="false" outlineLevel="0" collapsed="false">
      <c r="A42" s="31" t="n">
        <f aca="false">A41+1</f>
        <v>1981</v>
      </c>
      <c r="B42" s="1994" t="n">
        <f aca="false">E42+F42</f>
        <v>712.68</v>
      </c>
      <c r="C42" s="432" t="n">
        <f aca="false">B42+CR42</f>
        <v>702.13</v>
      </c>
      <c r="D42" s="1995" t="n">
        <f aca="false">B42-I42</f>
        <v>636.5</v>
      </c>
      <c r="E42" s="1996" t="n">
        <f aca="false">CH42</f>
        <v>0.110000000000003</v>
      </c>
      <c r="F42" s="1994" t="n">
        <f aca="false">J42+AC42+AV42+BM42</f>
        <v>712.57</v>
      </c>
      <c r="G42" s="1478" t="n">
        <f aca="false">J42+X42+BN42</f>
        <v>825.79</v>
      </c>
      <c r="H42" s="1478" t="n">
        <f aca="false">AG42+BA42+BP42</f>
        <v>113.22</v>
      </c>
      <c r="I42" s="853" t="n">
        <v>76.18</v>
      </c>
      <c r="J42" s="395" t="n">
        <f aca="false">I42-CO42</f>
        <v>79.73</v>
      </c>
      <c r="K42" s="1478"/>
      <c r="L42" s="1478" t="n">
        <f aca="false">M42+N42+O42+P42+Q42</f>
        <v>3.71</v>
      </c>
      <c r="M42" s="1478" t="n">
        <v>0.66</v>
      </c>
      <c r="N42" s="1478" t="n">
        <v>2.91</v>
      </c>
      <c r="O42" s="1478" t="n">
        <v>1.42</v>
      </c>
      <c r="P42" s="1478" t="n">
        <v>-0.25</v>
      </c>
      <c r="Q42" s="1999" t="n">
        <v>-1.03</v>
      </c>
      <c r="R42" s="1997" t="n">
        <v>478.07</v>
      </c>
      <c r="S42" s="1997" t="n">
        <v>166.47</v>
      </c>
      <c r="T42" s="1997" t="n">
        <v>176.71</v>
      </c>
      <c r="U42" s="1997" t="n">
        <v>234.96</v>
      </c>
      <c r="V42" s="1999" t="n">
        <v>230.42</v>
      </c>
      <c r="W42" s="395" t="n">
        <f aca="false">AC42+AV42</f>
        <v>552.49</v>
      </c>
      <c r="X42" s="1997" t="n">
        <f aca="false">W42+AA42</f>
        <v>649.91</v>
      </c>
      <c r="Y42" s="1997" t="n">
        <f aca="false">AE42+AZ42</f>
        <v>385.63</v>
      </c>
      <c r="Z42" s="1997" t="n">
        <f aca="false">W42-Y42</f>
        <v>166.86</v>
      </c>
      <c r="AA42" s="1997" t="n">
        <f aca="false">AG42+BA42</f>
        <v>97.42</v>
      </c>
      <c r="AB42" s="1319" t="n">
        <f aca="false">AA42/X42</f>
        <v>0.14989767814005</v>
      </c>
      <c r="AC42" s="1509" t="n">
        <f aca="false">AF42+AE42</f>
        <v>164.31</v>
      </c>
      <c r="AD42" s="1509" t="n">
        <f aca="false">AF42+AG42+AE42</f>
        <v>197.46</v>
      </c>
      <c r="AE42" s="1509" t="n">
        <f aca="false">AS42</f>
        <v>72.87</v>
      </c>
      <c r="AF42" s="1997" t="n">
        <v>91.44</v>
      </c>
      <c r="AG42" s="1997" t="n">
        <v>33.15</v>
      </c>
      <c r="AH42" s="1319" t="n">
        <f aca="false">AG42/AD42</f>
        <v>0.167882102704345</v>
      </c>
      <c r="AI42" s="2002"/>
      <c r="AJ42" s="2002"/>
      <c r="AK42" s="1478"/>
      <c r="AL42" s="1478"/>
      <c r="AM42" s="821"/>
      <c r="AN42" s="2030"/>
      <c r="AO42" s="1478"/>
      <c r="AP42" s="1478"/>
      <c r="AQ42" s="2004"/>
      <c r="AR42" s="1478"/>
      <c r="AS42" s="1478" t="n">
        <v>72.87</v>
      </c>
      <c r="AT42" s="1478"/>
      <c r="AU42" s="2005"/>
      <c r="AV42" s="2001" t="n">
        <f aca="false">AW42-BA42</f>
        <v>388.18</v>
      </c>
      <c r="AW42" s="2004" t="n">
        <f aca="false">AY42+AZ42</f>
        <v>452.45</v>
      </c>
      <c r="AX42" s="2004" t="n">
        <f aca="false">BD42+BI42</f>
        <v>75.42</v>
      </c>
      <c r="AY42" s="1932" t="n">
        <f aca="false">AX42+BA42</f>
        <v>139.69</v>
      </c>
      <c r="AZ42" s="1478" t="n">
        <f aca="false">BF42+BK42</f>
        <v>312.76</v>
      </c>
      <c r="BA42" s="1478" t="n">
        <f aca="false">BG42+BL42</f>
        <v>64.27</v>
      </c>
      <c r="BB42" s="821" t="n">
        <f aca="false">BA42/AW42</f>
        <v>0.142048845176263</v>
      </c>
      <c r="BC42" s="1478" t="n">
        <f aca="false">BE42+BF42</f>
        <v>421.89</v>
      </c>
      <c r="BD42" s="1478" t="n">
        <v>67.4</v>
      </c>
      <c r="BE42" s="1509" t="n">
        <f aca="false">BD42+BG42</f>
        <v>129.09</v>
      </c>
      <c r="BF42" s="1478" t="n">
        <v>292.8</v>
      </c>
      <c r="BG42" s="1997" t="n">
        <v>61.69</v>
      </c>
      <c r="BH42" s="1478" t="n">
        <f aca="false">BJ42+BK42</f>
        <v>30.56</v>
      </c>
      <c r="BI42" s="1478" t="n">
        <v>8.02</v>
      </c>
      <c r="BJ42" s="1509" t="n">
        <f aca="false">BI42+BL42</f>
        <v>10.6</v>
      </c>
      <c r="BK42" s="1478" t="n">
        <v>19.96</v>
      </c>
      <c r="BL42" s="1997" t="n">
        <v>2.58</v>
      </c>
      <c r="BM42" s="2001" t="n">
        <f aca="false">BN42-BP42</f>
        <v>80.35</v>
      </c>
      <c r="BN42" s="2004" t="n">
        <f aca="false">BO42+BP42</f>
        <v>96.15</v>
      </c>
      <c r="BO42" s="1478" t="n">
        <v>80.35</v>
      </c>
      <c r="BP42" s="1997" t="n">
        <v>15.8</v>
      </c>
      <c r="BQ42" s="2005" t="n">
        <f aca="false">BP42/BN42</f>
        <v>0.164326573062923</v>
      </c>
      <c r="BR42" s="1509" t="n">
        <f aca="false">AY42-BA42</f>
        <v>75.42</v>
      </c>
      <c r="BS42" s="1509" t="n">
        <f aca="false">BX42+CC42</f>
        <v>12.9</v>
      </c>
      <c r="BT42" s="1509" t="n">
        <f aca="false">BY42-BZ42+CD42-CE42</f>
        <v>67.31</v>
      </c>
      <c r="BU42" s="1509" t="n">
        <f aca="false">BR42-BS42-BT42-BW42</f>
        <v>-0.59</v>
      </c>
      <c r="BV42" s="1509" t="n">
        <v>6.61</v>
      </c>
      <c r="BW42" s="1509" t="n">
        <f aca="false">CB42+CG42</f>
        <v>-4.2</v>
      </c>
      <c r="BX42" s="1997" t="n">
        <v>9.13</v>
      </c>
      <c r="BY42" s="1997" t="n">
        <v>89.18</v>
      </c>
      <c r="BZ42" s="1478" t="n">
        <v>15.28</v>
      </c>
      <c r="CA42" s="1509"/>
      <c r="CB42" s="1997" t="n">
        <v>-2.52</v>
      </c>
      <c r="CC42" s="1997" t="n">
        <v>3.77</v>
      </c>
      <c r="CD42" s="1997" t="n">
        <v>126.61</v>
      </c>
      <c r="CE42" s="1997" t="n">
        <v>133.2</v>
      </c>
      <c r="CF42" s="1997"/>
      <c r="CG42" s="1997" t="n">
        <v>-1.68</v>
      </c>
      <c r="CH42" s="1482" t="n">
        <f aca="false">CI42+CL42+CO42</f>
        <v>0.110000000000003</v>
      </c>
      <c r="CI42" s="1479" t="n">
        <f aca="false">CJ42-CK42</f>
        <v>1.88</v>
      </c>
      <c r="CJ42" s="2023" t="n">
        <v>18.12</v>
      </c>
      <c r="CK42" s="2023" t="n">
        <v>16.24</v>
      </c>
      <c r="CL42" s="1479" t="n">
        <f aca="false">CM42-CN42</f>
        <v>1.78</v>
      </c>
      <c r="CM42" s="2023" t="n">
        <v>2.92</v>
      </c>
      <c r="CN42" s="2023" t="n">
        <v>1.14</v>
      </c>
      <c r="CO42" s="2023" t="n">
        <f aca="false">CP42-CQ42</f>
        <v>-3.55</v>
      </c>
      <c r="CP42" s="2023" t="n">
        <v>3.13</v>
      </c>
      <c r="CQ42" s="2023" t="n">
        <v>6.68</v>
      </c>
      <c r="CR42" s="1478" t="n">
        <f aca="false">CS42-CT42</f>
        <v>-10.55</v>
      </c>
      <c r="CS42" s="1478" t="n">
        <v>2.34</v>
      </c>
      <c r="CT42" s="1478" t="n">
        <v>12.89</v>
      </c>
      <c r="CU42" s="1478" t="n">
        <f aca="false">CV42-CW42</f>
        <v>-0.93</v>
      </c>
      <c r="CV42" s="485" t="n">
        <v>0.13</v>
      </c>
      <c r="CW42" s="1478" t="n">
        <v>1.06</v>
      </c>
      <c r="CX42" s="1998" t="n">
        <f aca="false">D42+DD42-DF42</f>
        <v>125.563668145909</v>
      </c>
      <c r="CY42" s="2007" t="n">
        <f aca="false">CX42-DC42-DD42</f>
        <v>113.253664145909</v>
      </c>
      <c r="CZ42" s="1509" t="n">
        <f aca="false">BR42</f>
        <v>75.42</v>
      </c>
      <c r="DA42" s="2023" t="n">
        <f aca="false">D42-DF42-CZ42-DC42</f>
        <v>37.8336641459085</v>
      </c>
      <c r="DB42" s="2023"/>
      <c r="DC42" s="2017" t="n">
        <f aca="false">CI42</f>
        <v>1.88</v>
      </c>
      <c r="DD42" s="1478" t="n">
        <v>10.430004</v>
      </c>
      <c r="DE42" s="1997" t="n">
        <v>37.08</v>
      </c>
      <c r="DF42" s="2007" t="n">
        <f aca="false">DI42+DL42+DM42+DU42</f>
        <v>521.366335854092</v>
      </c>
      <c r="DG42" s="2011" t="n">
        <f aca="false">DH42+DU42</f>
        <v>467.76</v>
      </c>
      <c r="DH42" s="2010" t="n">
        <f aca="false">DJ42+DL42+AE42</f>
        <v>465.98</v>
      </c>
      <c r="DI42" s="2011" t="n">
        <f aca="false">Y42</f>
        <v>385.63</v>
      </c>
      <c r="DJ42" s="2035" t="n">
        <f aca="false">AZ42</f>
        <v>312.76</v>
      </c>
      <c r="DK42" s="2035" t="n">
        <f aca="false">AS42</f>
        <v>72.87</v>
      </c>
      <c r="DL42" s="1509" t="n">
        <f aca="false">BM42</f>
        <v>80.35</v>
      </c>
      <c r="DM42" s="2009" t="n">
        <f aca="false">GK42*DN42*DH42/GJ42</f>
        <v>53.6063358540917</v>
      </c>
      <c r="DN42" s="2013" t="n">
        <f aca="false">DN43</f>
        <v>0.895905244977209</v>
      </c>
      <c r="DO42" s="2009"/>
      <c r="DP42" s="2009" t="n">
        <f aca="false">GK42*DH42/GJ42</f>
        <v>59.8348275720334</v>
      </c>
      <c r="DQ42" s="2009" t="n">
        <f aca="false">2/3*DP42</f>
        <v>39.8898850480223</v>
      </c>
      <c r="DR42" s="2009" t="n">
        <f aca="false">DS42*(DH42/GJ42)*GK42</f>
        <v>68.7817288089421</v>
      </c>
      <c r="DS42" s="514" t="n">
        <f aca="false">(DT42/GK42)/(DH42/GJ42)</f>
        <v>1.14952664860842</v>
      </c>
      <c r="DT42" s="2012" t="n">
        <v>68.7817288089421</v>
      </c>
      <c r="DU42" s="2015" t="n">
        <f aca="false">CL42</f>
        <v>1.78</v>
      </c>
      <c r="DV42" s="2007" t="n">
        <f aca="false">DW42+DX42+DY42+EB42</f>
        <v>307.51</v>
      </c>
      <c r="DW42" s="1509" t="n">
        <f aca="false">I42</f>
        <v>76.18</v>
      </c>
      <c r="DX42" s="2036" t="n">
        <f aca="false">BS42</f>
        <v>12.9</v>
      </c>
      <c r="DY42" s="2017" t="n">
        <f aca="false">EE42+EF42</f>
        <v>83.94</v>
      </c>
      <c r="DZ42" s="2018" t="n">
        <f aca="false">EF42+EE42-EA42</f>
        <v>9.91080282529077</v>
      </c>
      <c r="EA42" s="2018" t="n">
        <f aca="false">EE42*(DF42-EB42+EH42)/(0.5*CX42+DF42-EB42+EH42)</f>
        <v>74.0291971747092</v>
      </c>
      <c r="EB42" s="1478" t="n">
        <v>134.49</v>
      </c>
      <c r="EC42" s="2018" t="n">
        <f aca="false">DX42+DZ42</f>
        <v>22.8108028252908</v>
      </c>
      <c r="ED42" s="2018" t="n">
        <f aca="false">EA42+EB42</f>
        <v>208.519197174709</v>
      </c>
      <c r="EE42" s="1478" t="n">
        <v>83.38</v>
      </c>
      <c r="EF42" s="2017" t="n">
        <v>0.56</v>
      </c>
      <c r="EG42" s="1478" t="n">
        <v>135.03</v>
      </c>
      <c r="EH42" s="2017" t="n">
        <f aca="false">EG42-EI42</f>
        <v>110.16</v>
      </c>
      <c r="EI42" s="2023" t="n">
        <v>24.87</v>
      </c>
      <c r="EJ42" s="2023" t="n">
        <v>51.34</v>
      </c>
      <c r="EK42" s="2032" t="n">
        <v>5.73</v>
      </c>
      <c r="EL42" s="2017" t="n">
        <f aca="false">EM42-(DV42-EF42)</f>
        <v>0.659999999999968</v>
      </c>
      <c r="EM42" s="2017" t="n">
        <f aca="false">EP42+S42+EG42+EN42+DD42</f>
        <v>307.61</v>
      </c>
      <c r="EN42" s="2017" t="n">
        <v>5.73</v>
      </c>
      <c r="EO42" s="2019" t="n">
        <f aca="false">EM42-EG42-EN42-DD42</f>
        <v>156.419996</v>
      </c>
      <c r="EP42" s="2019" t="n">
        <f aca="false">ER42-EQ42</f>
        <v>-10.050004</v>
      </c>
      <c r="EQ42" s="2017" t="n">
        <v>-10.8</v>
      </c>
      <c r="ER42" s="2023" t="n">
        <f aca="false">EU42+ES42-BP42+ET42</f>
        <v>-20.850004</v>
      </c>
      <c r="ES42" s="2023" t="n">
        <v>27.58</v>
      </c>
      <c r="ET42" s="2023" t="n">
        <v>-0.42</v>
      </c>
      <c r="EU42" s="2023" t="n">
        <v>-32.210004</v>
      </c>
      <c r="EV42" s="2024" t="n">
        <f aca="false">B42-DV42+EH42+DD42-CO42</f>
        <v>529.310004</v>
      </c>
      <c r="EW42" s="1478" t="n">
        <f aca="false">CX42-EC42</f>
        <v>102.752865320618</v>
      </c>
      <c r="EX42" s="1478" t="n">
        <f aca="false">($DF42-$EB42)-$EA42*($DF42-$EB42)/($DF42-$EB42+$EH42)</f>
        <v>329.254503237051</v>
      </c>
      <c r="EY42" s="1478" t="n">
        <f aca="false">$EH42-$EA42*$EH42/($DF42-$EB42+$EH42)</f>
        <v>93.7526354423312</v>
      </c>
      <c r="EZ42" s="1478" t="n">
        <f aca="false">EV42+EI42</f>
        <v>554.180004</v>
      </c>
      <c r="FA42" s="1478" t="n">
        <v>545.71</v>
      </c>
      <c r="FB42" s="1478" t="n">
        <v>74.84</v>
      </c>
      <c r="FC42" s="1478" t="n">
        <f aca="false">FB42+AG42</f>
        <v>107.99</v>
      </c>
      <c r="FD42" s="1997" t="n">
        <f aca="false">FB42+BU42-BV42</f>
        <v>67.64</v>
      </c>
      <c r="FE42" s="1478" t="n">
        <v>3.62</v>
      </c>
      <c r="FF42" s="1478" t="n">
        <v>6.25</v>
      </c>
      <c r="FG42" s="1478" t="n">
        <f aca="false">FE42+FF42</f>
        <v>9.87</v>
      </c>
      <c r="FH42" s="514" t="n">
        <f aca="false">FG42/FD42</f>
        <v>0.14591957421644</v>
      </c>
      <c r="FI42" s="1994" t="n">
        <f aca="false">FB42+FE42</f>
        <v>78.46</v>
      </c>
      <c r="FJ42" s="1994" t="n">
        <f aca="false">BU42-BV42+FF42</f>
        <v>-0.950000000000001</v>
      </c>
      <c r="FK42" s="2025" t="n">
        <f aca="false">FI42+FJ42</f>
        <v>77.51</v>
      </c>
      <c r="FL42" s="1994" t="n">
        <f aca="false">FO42+FP42+FS42</f>
        <v>78.46</v>
      </c>
      <c r="FM42" s="1997" t="n">
        <v>69.31</v>
      </c>
      <c r="FO42" s="1995" t="n">
        <f aca="false">FM42-AG42</f>
        <v>36.16</v>
      </c>
      <c r="FP42" s="1997" t="n">
        <v>0.32</v>
      </c>
      <c r="FQ42" s="1478" t="n">
        <f aca="false">FI42-FO42-FP42</f>
        <v>41.98</v>
      </c>
      <c r="FR42" s="1997" t="n">
        <v>0</v>
      </c>
      <c r="FS42" s="1478" t="n">
        <f aca="false">FQ42+FR42</f>
        <v>41.98</v>
      </c>
      <c r="FT42" s="514"/>
      <c r="FU42" s="514"/>
      <c r="FV42" s="514"/>
      <c r="FW42" s="2025"/>
      <c r="FX42" s="2026" t="n">
        <f aca="false">FY42+FZ42</f>
        <v>79.82</v>
      </c>
      <c r="FY42" s="1997" t="n">
        <v>75.52</v>
      </c>
      <c r="FZ42" s="1999" t="n">
        <v>4.3</v>
      </c>
      <c r="GA42" s="2015" t="n">
        <v>0</v>
      </c>
      <c r="GB42" s="402" t="n">
        <v>0.0632530120481927</v>
      </c>
      <c r="GC42" s="387" t="n">
        <v>0.0634424908889668</v>
      </c>
      <c r="GD42" s="387" t="n">
        <f aca="false">(G42/G41)/(1+GE42)-1</f>
        <v>0.041864111598817</v>
      </c>
      <c r="GE42" s="387" t="n">
        <v>0.00518460329929305</v>
      </c>
      <c r="GF42" s="387" t="n">
        <v>0.0626666666666667</v>
      </c>
      <c r="GG42" s="2033" t="n">
        <v>71.05938</v>
      </c>
      <c r="GH42" s="465" t="n">
        <v>61685.317</v>
      </c>
      <c r="GI42" s="465" t="n">
        <f aca="false">GJ42+GK42</f>
        <v>27453</v>
      </c>
      <c r="GJ42" s="465" t="n">
        <v>24329</v>
      </c>
      <c r="GK42" s="465" t="n">
        <v>3124</v>
      </c>
      <c r="GL42" s="25" t="n">
        <f aca="false">GL41+(GL$51-GL$41)/10</f>
        <v>0.2584</v>
      </c>
      <c r="GM42" s="25" t="n">
        <f aca="false">GK42/GI42</f>
        <v>0.113794485120023</v>
      </c>
      <c r="GN42" s="385" t="n">
        <v>61685.317</v>
      </c>
      <c r="GO42" s="1932" t="n">
        <f aca="false">CX42</f>
        <v>125.563668145909</v>
      </c>
      <c r="GP42" s="1932" t="n">
        <f aca="false">BU42</f>
        <v>-0.59</v>
      </c>
      <c r="GQ42" s="1932" t="n">
        <f aca="false">BW42</f>
        <v>-4.2</v>
      </c>
      <c r="GR42" s="1932"/>
      <c r="GS42" s="1509"/>
      <c r="GT42" s="1932"/>
      <c r="GU42" s="1509" t="n">
        <v>9.96</v>
      </c>
      <c r="GV42" s="1509"/>
      <c r="GW42" s="1478" t="n">
        <v>0.42</v>
      </c>
      <c r="GX42" s="1509" t="n">
        <f aca="false">GY42+GZ42</f>
        <v>67.05</v>
      </c>
      <c r="GY42" s="1478" t="n">
        <v>54.15</v>
      </c>
      <c r="GZ42" s="24" t="n">
        <f aca="false">DX42</f>
        <v>12.9</v>
      </c>
      <c r="HA42" s="1478" t="n">
        <v>52.17</v>
      </c>
      <c r="HB42" s="1478"/>
      <c r="HC42" s="1478"/>
      <c r="HD42" s="24" t="n">
        <f aca="false">DE42</f>
        <v>37.08</v>
      </c>
      <c r="HE42" s="1997"/>
      <c r="HF42" s="1478"/>
      <c r="HG42" s="1478"/>
      <c r="HH42" s="1478"/>
      <c r="HI42" s="1478"/>
      <c r="HJ42" s="1478"/>
      <c r="HK42" s="387"/>
    </row>
    <row r="43" customFormat="false" ht="12" hidden="false" customHeight="false" outlineLevel="0" collapsed="false">
      <c r="A43" s="31" t="n">
        <f aca="false">A42+1</f>
        <v>1982</v>
      </c>
      <c r="B43" s="1994" t="n">
        <f aca="false">E43+F43</f>
        <v>738.71</v>
      </c>
      <c r="C43" s="432" t="n">
        <f aca="false">B43+CR43</f>
        <v>728.11</v>
      </c>
      <c r="D43" s="1995" t="n">
        <f aca="false">B43-I43</f>
        <v>660.58</v>
      </c>
      <c r="E43" s="1996" t="n">
        <f aca="false">CH43</f>
        <v>-0.650000000000003</v>
      </c>
      <c r="F43" s="1994" t="n">
        <f aca="false">J43+AC43+AV43+BM43</f>
        <v>739.36</v>
      </c>
      <c r="G43" s="1478" t="n">
        <f aca="false">J43+X43+BN43</f>
        <v>860.21</v>
      </c>
      <c r="H43" s="1478" t="n">
        <f aca="false">AG43+BA43+BP43</f>
        <v>120.85</v>
      </c>
      <c r="I43" s="853" t="n">
        <v>78.13</v>
      </c>
      <c r="J43" s="395" t="n">
        <f aca="false">I43-CO43</f>
        <v>82.04</v>
      </c>
      <c r="K43" s="1478"/>
      <c r="L43" s="1478" t="n">
        <f aca="false">M43+N43+O43+P43+Q43</f>
        <v>3.86000000000002</v>
      </c>
      <c r="M43" s="1478" t="n">
        <v>0.62</v>
      </c>
      <c r="N43" s="1478" t="n">
        <v>3.02</v>
      </c>
      <c r="O43" s="1478" t="n">
        <v>1.43</v>
      </c>
      <c r="P43" s="1478" t="n">
        <v>-0.23</v>
      </c>
      <c r="Q43" s="1999" t="n">
        <v>-0.97999999999998</v>
      </c>
      <c r="R43" s="1997" t="n">
        <v>497.15</v>
      </c>
      <c r="S43" s="1997" t="n">
        <v>170.91</v>
      </c>
      <c r="T43" s="1997" t="n">
        <v>173.19</v>
      </c>
      <c r="U43" s="1997" t="n">
        <v>253.69</v>
      </c>
      <c r="V43" s="1999" t="n">
        <v>234.73</v>
      </c>
      <c r="W43" s="395" t="n">
        <f aca="false">AC43+AV43</f>
        <v>574.35</v>
      </c>
      <c r="X43" s="1997" t="n">
        <f aca="false">W43+AA43</f>
        <v>678.93</v>
      </c>
      <c r="Y43" s="1997" t="n">
        <f aca="false">AE43+AZ43</f>
        <v>397.63</v>
      </c>
      <c r="Z43" s="1997" t="n">
        <f aca="false">W43-Y43</f>
        <v>176.72</v>
      </c>
      <c r="AA43" s="1997" t="n">
        <f aca="false">AG43+BA43</f>
        <v>104.58</v>
      </c>
      <c r="AB43" s="1319" t="n">
        <f aca="false">AA43/X43</f>
        <v>0.154036498608104</v>
      </c>
      <c r="AC43" s="1509" t="n">
        <f aca="false">AF43+AE43</f>
        <v>167.69</v>
      </c>
      <c r="AD43" s="1509" t="n">
        <f aca="false">AF43+AG43+AE43</f>
        <v>203.3</v>
      </c>
      <c r="AE43" s="1509" t="n">
        <f aca="false">AS43</f>
        <v>72.93</v>
      </c>
      <c r="AF43" s="1997" t="n">
        <v>94.76</v>
      </c>
      <c r="AG43" s="1997" t="n">
        <v>35.61</v>
      </c>
      <c r="AH43" s="1319" t="n">
        <f aca="false">AG43/AD43</f>
        <v>0.175159862272504</v>
      </c>
      <c r="AI43" s="2002"/>
      <c r="AJ43" s="2002"/>
      <c r="AK43" s="1478"/>
      <c r="AL43" s="1478"/>
      <c r="AM43" s="821"/>
      <c r="AN43" s="2030"/>
      <c r="AO43" s="1478"/>
      <c r="AP43" s="1478"/>
      <c r="AQ43" s="2004"/>
      <c r="AR43" s="1478"/>
      <c r="AS43" s="1478" t="n">
        <v>72.93</v>
      </c>
      <c r="AT43" s="1478"/>
      <c r="AU43" s="2005"/>
      <c r="AV43" s="2001" t="n">
        <f aca="false">AW43-BA43</f>
        <v>406.66</v>
      </c>
      <c r="AW43" s="2004" t="n">
        <f aca="false">AY43+AZ43</f>
        <v>475.63</v>
      </c>
      <c r="AX43" s="2004" t="n">
        <f aca="false">BD43+BI43</f>
        <v>81.96</v>
      </c>
      <c r="AY43" s="1932" t="n">
        <f aca="false">AX43+BA43</f>
        <v>150.93</v>
      </c>
      <c r="AZ43" s="1478" t="n">
        <f aca="false">BF43+BK43</f>
        <v>324.7</v>
      </c>
      <c r="BA43" s="1478" t="n">
        <f aca="false">BG43+BL43</f>
        <v>68.97</v>
      </c>
      <c r="BB43" s="821" t="n">
        <f aca="false">BA43/AW43</f>
        <v>0.145007674032336</v>
      </c>
      <c r="BC43" s="1478" t="n">
        <f aca="false">BE43+BF43</f>
        <v>443.19</v>
      </c>
      <c r="BD43" s="1478" t="n">
        <v>73.39</v>
      </c>
      <c r="BE43" s="1509" t="n">
        <f aca="false">BD43+BG43</f>
        <v>139.61</v>
      </c>
      <c r="BF43" s="1478" t="n">
        <v>303.58</v>
      </c>
      <c r="BG43" s="1997" t="n">
        <v>66.22</v>
      </c>
      <c r="BH43" s="1478" t="n">
        <f aca="false">BJ43+BK43</f>
        <v>32.44</v>
      </c>
      <c r="BI43" s="1478" t="n">
        <v>8.57</v>
      </c>
      <c r="BJ43" s="1509" t="n">
        <f aca="false">BI43+BL43</f>
        <v>11.32</v>
      </c>
      <c r="BK43" s="1478" t="n">
        <v>21.12</v>
      </c>
      <c r="BL43" s="1997" t="n">
        <v>2.75</v>
      </c>
      <c r="BM43" s="2001" t="n">
        <f aca="false">BN43-BP43</f>
        <v>82.97</v>
      </c>
      <c r="BN43" s="2004" t="n">
        <f aca="false">BO43+BP43</f>
        <v>99.24</v>
      </c>
      <c r="BO43" s="1478" t="n">
        <v>82.97</v>
      </c>
      <c r="BP43" s="1997" t="n">
        <v>16.27</v>
      </c>
      <c r="BQ43" s="2005" t="n">
        <f aca="false">BP43/BN43</f>
        <v>0.163945989520355</v>
      </c>
      <c r="BR43" s="1509" t="n">
        <f aca="false">AY43-BA43</f>
        <v>81.96</v>
      </c>
      <c r="BS43" s="1509" t="n">
        <f aca="false">BX43+CC43</f>
        <v>13.73</v>
      </c>
      <c r="BT43" s="1509" t="n">
        <f aca="false">BY43-BZ43+CD43-CE43</f>
        <v>69.72</v>
      </c>
      <c r="BU43" s="1509" t="n">
        <f aca="false">BR43-BS43-BT43-BW43</f>
        <v>2.67000000000003</v>
      </c>
      <c r="BV43" s="1509" t="n">
        <v>6.73</v>
      </c>
      <c r="BW43" s="1509" t="n">
        <f aca="false">CB43+CG43</f>
        <v>-4.16</v>
      </c>
      <c r="BX43" s="1997" t="n">
        <v>8.23</v>
      </c>
      <c r="BY43" s="1997" t="n">
        <v>91.86</v>
      </c>
      <c r="BZ43" s="1478" t="n">
        <v>14.9</v>
      </c>
      <c r="CA43" s="1509"/>
      <c r="CB43" s="1997" t="n">
        <v>-2.28</v>
      </c>
      <c r="CC43" s="1997" t="n">
        <v>5.5</v>
      </c>
      <c r="CD43" s="1997" t="n">
        <v>135.45</v>
      </c>
      <c r="CE43" s="1997" t="n">
        <v>142.69</v>
      </c>
      <c r="CF43" s="1997"/>
      <c r="CG43" s="1997" t="n">
        <v>-1.88</v>
      </c>
      <c r="CH43" s="1482" t="n">
        <f aca="false">CI43+CL43+CO43</f>
        <v>-0.650000000000003</v>
      </c>
      <c r="CI43" s="1479" t="n">
        <f aca="false">CJ43-CK43</f>
        <v>1.1</v>
      </c>
      <c r="CJ43" s="2023" t="n">
        <v>17.7</v>
      </c>
      <c r="CK43" s="2023" t="n">
        <v>16.6</v>
      </c>
      <c r="CL43" s="1479" t="n">
        <f aca="false">CM43-CN43</f>
        <v>2.16</v>
      </c>
      <c r="CM43" s="2023" t="n">
        <v>3.29</v>
      </c>
      <c r="CN43" s="2023" t="n">
        <v>1.13</v>
      </c>
      <c r="CO43" s="2023" t="n">
        <f aca="false">CP43-CQ43</f>
        <v>-3.91</v>
      </c>
      <c r="CP43" s="2023" t="n">
        <v>3.03</v>
      </c>
      <c r="CQ43" s="2023" t="n">
        <v>6.94</v>
      </c>
      <c r="CR43" s="1478" t="n">
        <f aca="false">CS43-CT43</f>
        <v>-10.6</v>
      </c>
      <c r="CS43" s="1478" t="n">
        <v>2.67</v>
      </c>
      <c r="CT43" s="1478" t="n">
        <v>13.27</v>
      </c>
      <c r="CU43" s="1478" t="n">
        <f aca="false">CV43-CW43</f>
        <v>-0.97</v>
      </c>
      <c r="CV43" s="485" t="n">
        <v>0.15</v>
      </c>
      <c r="CW43" s="1478" t="n">
        <v>1.12</v>
      </c>
      <c r="CX43" s="1998" t="n">
        <f aca="false">D43+DD43-DF43</f>
        <v>132.090346039954</v>
      </c>
      <c r="CY43" s="2007" t="n">
        <f aca="false">CX43-DC43-DD43</f>
        <v>121.610342039954</v>
      </c>
      <c r="CZ43" s="1509" t="n">
        <f aca="false">BR43</f>
        <v>81.96</v>
      </c>
      <c r="DA43" s="2023" t="n">
        <f aca="false">D43-DF43-CZ43-DC43</f>
        <v>39.6503420399536</v>
      </c>
      <c r="DB43" s="2023"/>
      <c r="DC43" s="2017" t="n">
        <f aca="false">CI43</f>
        <v>1.1</v>
      </c>
      <c r="DD43" s="1478" t="n">
        <v>9.380004</v>
      </c>
      <c r="DE43" s="1997" t="n">
        <v>40.24</v>
      </c>
      <c r="DF43" s="2007" t="n">
        <f aca="false">DI43+DL43+DM43+DU43</f>
        <v>537.869657960046</v>
      </c>
      <c r="DG43" s="2011" t="n">
        <f aca="false">DH43+DU43</f>
        <v>482.76</v>
      </c>
      <c r="DH43" s="2010" t="n">
        <f aca="false">DJ43+DL43+AE43</f>
        <v>480.6</v>
      </c>
      <c r="DI43" s="2011" t="n">
        <f aca="false">Y43</f>
        <v>397.63</v>
      </c>
      <c r="DJ43" s="2035" t="n">
        <f aca="false">AZ43</f>
        <v>324.7</v>
      </c>
      <c r="DK43" s="2035" t="n">
        <f aca="false">AS43</f>
        <v>72.93</v>
      </c>
      <c r="DL43" s="1509" t="n">
        <f aca="false">BM43</f>
        <v>82.97</v>
      </c>
      <c r="DM43" s="2009" t="n">
        <f aca="false">GK43*DN43*DH43/GJ43</f>
        <v>55.1096579600464</v>
      </c>
      <c r="DN43" s="2013" t="n">
        <f aca="false">DN44</f>
        <v>0.895905244977209</v>
      </c>
      <c r="DO43" s="2009"/>
      <c r="DP43" s="2009" t="n">
        <f aca="false">GK43*DH43/GJ43</f>
        <v>61.5128198757764</v>
      </c>
      <c r="DQ43" s="2009" t="n">
        <f aca="false">2/3*DP43</f>
        <v>41.0085465838509</v>
      </c>
      <c r="DR43" s="2009" t="n">
        <f aca="false">DS43*(DH43/GJ43)*GK43</f>
        <v>71.5623329872123</v>
      </c>
      <c r="DS43" s="514" t="n">
        <f aca="false">(DT43/GK43)/(DH43/GJ43)</f>
        <v>1.16337266169444</v>
      </c>
      <c r="DT43" s="2012" t="n">
        <v>71.5623329872123</v>
      </c>
      <c r="DU43" s="2015" t="n">
        <f aca="false">CL43</f>
        <v>2.16</v>
      </c>
      <c r="DV43" s="2007" t="n">
        <f aca="false">DW43+DX43+DY43+EB43</f>
        <v>320.3</v>
      </c>
      <c r="DW43" s="1509" t="n">
        <f aca="false">I43</f>
        <v>78.13</v>
      </c>
      <c r="DX43" s="2036" t="n">
        <f aca="false">BS43</f>
        <v>13.73</v>
      </c>
      <c r="DY43" s="2017" t="n">
        <f aca="false">EE43+EF43</f>
        <v>85.91</v>
      </c>
      <c r="DZ43" s="2018" t="n">
        <f aca="false">EF43+EE43-EA43</f>
        <v>10.3590821322687</v>
      </c>
      <c r="EA43" s="2018" t="n">
        <f aca="false">EE43*(DF43-EB43+EH43)/(0.5*CX43+DF43-EB43+EH43)</f>
        <v>75.5509178677313</v>
      </c>
      <c r="EB43" s="1478" t="n">
        <v>142.53</v>
      </c>
      <c r="EC43" s="2018" t="n">
        <f aca="false">DX43+DZ43</f>
        <v>24.0890821322687</v>
      </c>
      <c r="ED43" s="2018" t="n">
        <f aca="false">EA43+EB43</f>
        <v>218.080917867731</v>
      </c>
      <c r="EE43" s="1478" t="n">
        <v>85.27</v>
      </c>
      <c r="EF43" s="2017" t="n">
        <v>0.64</v>
      </c>
      <c r="EG43" s="1478" t="n">
        <v>143.56</v>
      </c>
      <c r="EH43" s="2017" t="n">
        <f aca="false">EG43-EI43</f>
        <v>118.06</v>
      </c>
      <c r="EI43" s="2023" t="n">
        <v>25.5</v>
      </c>
      <c r="EJ43" s="2023" t="n">
        <v>52.33</v>
      </c>
      <c r="EK43" s="2032" t="n">
        <v>5.82</v>
      </c>
      <c r="EL43" s="2017" t="n">
        <f aca="false">EM43-(DV43-EF43)</f>
        <v>0.629999999999882</v>
      </c>
      <c r="EM43" s="2017" t="n">
        <f aca="false">EP43+S43+EG43+EN43+DD43</f>
        <v>320.29</v>
      </c>
      <c r="EN43" s="2017" t="n">
        <v>5.82</v>
      </c>
      <c r="EO43" s="2019" t="n">
        <f aca="false">EM43-EG43-EN43-DD43</f>
        <v>161.529996</v>
      </c>
      <c r="EP43" s="2019" t="n">
        <f aca="false">ER43-EQ43</f>
        <v>-9.380004</v>
      </c>
      <c r="EQ43" s="2017" t="n">
        <v>-11.93</v>
      </c>
      <c r="ER43" s="2023" t="n">
        <f aca="false">EU43+ES43-BP43+ET43</f>
        <v>-21.310004</v>
      </c>
      <c r="ES43" s="2023" t="n">
        <v>25.09</v>
      </c>
      <c r="ET43" s="2023" t="n">
        <v>-0.53</v>
      </c>
      <c r="EU43" s="2023" t="n">
        <v>-29.600004</v>
      </c>
      <c r="EV43" s="2024" t="n">
        <f aca="false">B43-DV43+EH43+DD43-CO43</f>
        <v>549.760004</v>
      </c>
      <c r="EW43" s="1478" t="n">
        <f aca="false">CX43-EC43</f>
        <v>108.001263907685</v>
      </c>
      <c r="EX43" s="1478" t="n">
        <f aca="false">($DF43-$EB43)-$EA43*($DF43-$EB43)/($DF43-$EB43+$EH43)</f>
        <v>337.162225300516</v>
      </c>
      <c r="EY43" s="1478" t="n">
        <f aca="false">$EH43-$EA43*$EH43/($DF43-$EB43+$EH43)</f>
        <v>100.686514791799</v>
      </c>
      <c r="EZ43" s="1478" t="n">
        <f aca="false">EV43+EI43</f>
        <v>575.260004</v>
      </c>
      <c r="FA43" s="1478" t="n">
        <v>566.58</v>
      </c>
      <c r="FB43" s="1478" t="n">
        <v>73.49</v>
      </c>
      <c r="FC43" s="1478" t="n">
        <f aca="false">FB43+AG43</f>
        <v>109.1</v>
      </c>
      <c r="FD43" s="1997" t="n">
        <f aca="false">FB43+BU43-BV43</f>
        <v>69.43</v>
      </c>
      <c r="FE43" s="1478" t="n">
        <v>3.61</v>
      </c>
      <c r="FF43" s="1478" t="n">
        <v>7.35</v>
      </c>
      <c r="FG43" s="1478" t="n">
        <f aca="false">FE43+FF43</f>
        <v>10.96</v>
      </c>
      <c r="FH43" s="514" t="n">
        <f aca="false">FG43/FD43</f>
        <v>0.157856834221518</v>
      </c>
      <c r="FI43" s="1994" t="n">
        <f aca="false">FB43+FE43</f>
        <v>77.1</v>
      </c>
      <c r="FJ43" s="1994" t="n">
        <f aca="false">BU43-BV43+FF43</f>
        <v>3.29000000000003</v>
      </c>
      <c r="FK43" s="2025" t="n">
        <f aca="false">FI43+FJ43</f>
        <v>80.39</v>
      </c>
      <c r="FL43" s="1994" t="n">
        <f aca="false">FO43+FP43+FS43</f>
        <v>77.1</v>
      </c>
      <c r="FM43" s="1997" t="n">
        <v>68.8</v>
      </c>
      <c r="FO43" s="1995" t="n">
        <f aca="false">FM43-AG43</f>
        <v>33.19</v>
      </c>
      <c r="FP43" s="1997" t="n">
        <v>0.39</v>
      </c>
      <c r="FQ43" s="1478" t="n">
        <f aca="false">FI43-FO43-FP43</f>
        <v>43.52</v>
      </c>
      <c r="FR43" s="1997" t="n">
        <v>0</v>
      </c>
      <c r="FS43" s="1478" t="n">
        <f aca="false">FQ43+FR43</f>
        <v>43.52</v>
      </c>
      <c r="FT43" s="514"/>
      <c r="FU43" s="514"/>
      <c r="FV43" s="514"/>
      <c r="FW43" s="2025"/>
      <c r="FX43" s="2026" t="n">
        <f aca="false">FY43+FZ43</f>
        <v>79.3</v>
      </c>
      <c r="FY43" s="1997" t="n">
        <v>74.44</v>
      </c>
      <c r="FZ43" s="1999" t="n">
        <v>4.86</v>
      </c>
      <c r="GA43" s="2015" t="n">
        <v>0</v>
      </c>
      <c r="GB43" s="402" t="n">
        <v>0.0524079320113315</v>
      </c>
      <c r="GC43" s="387" t="n">
        <v>0.0524104116961113</v>
      </c>
      <c r="GD43" s="387" t="n">
        <f aca="false">(G43/G42)/(1+GE43)-1</f>
        <v>0.0457676058006276</v>
      </c>
      <c r="GE43" s="387" t="n">
        <v>-0.00390747108471401</v>
      </c>
      <c r="GF43" s="387" t="n">
        <v>0.0501882057716436</v>
      </c>
      <c r="GG43" s="2033" t="n">
        <v>67.818175</v>
      </c>
      <c r="GH43" s="465" t="n">
        <v>61629.395</v>
      </c>
      <c r="GI43" s="465" t="n">
        <f aca="false">GJ43+GK43</f>
        <v>27241</v>
      </c>
      <c r="GJ43" s="465" t="n">
        <v>24150</v>
      </c>
      <c r="GK43" s="465" t="n">
        <v>3091</v>
      </c>
      <c r="GL43" s="25" t="n">
        <f aca="false">GL42+(GL$51-GL$41)/10</f>
        <v>0.2528</v>
      </c>
      <c r="GM43" s="25" t="n">
        <f aca="false">GK43/GI43</f>
        <v>0.113468668551081</v>
      </c>
      <c r="GN43" s="385" t="n">
        <v>61629.395</v>
      </c>
      <c r="GO43" s="1932" t="n">
        <f aca="false">CX43</f>
        <v>132.090346039954</v>
      </c>
      <c r="GP43" s="1932" t="n">
        <f aca="false">BU43</f>
        <v>2.67000000000003</v>
      </c>
      <c r="GQ43" s="1932" t="n">
        <f aca="false">BW43</f>
        <v>-4.16</v>
      </c>
      <c r="GR43" s="1932"/>
      <c r="GS43" s="1509"/>
      <c r="GT43" s="1932"/>
      <c r="GU43" s="1509" t="n">
        <v>11.55</v>
      </c>
      <c r="GV43" s="1509"/>
      <c r="GW43" s="1478" t="n">
        <v>0.66</v>
      </c>
      <c r="GX43" s="1509" t="n">
        <f aca="false">GY43+GZ43</f>
        <v>65.45</v>
      </c>
      <c r="GY43" s="1478" t="n">
        <v>51.72</v>
      </c>
      <c r="GZ43" s="24" t="n">
        <f aca="false">DX43</f>
        <v>13.73</v>
      </c>
      <c r="HA43" s="1478" t="n">
        <v>56.51</v>
      </c>
      <c r="HB43" s="1478"/>
      <c r="HC43" s="1478"/>
      <c r="HD43" s="24" t="n">
        <f aca="false">DE43</f>
        <v>40.24</v>
      </c>
      <c r="HE43" s="1997"/>
      <c r="HF43" s="1478"/>
      <c r="HG43" s="1478"/>
      <c r="HH43" s="1478"/>
      <c r="HI43" s="1478"/>
      <c r="HJ43" s="1478"/>
      <c r="HK43" s="387"/>
    </row>
    <row r="44" customFormat="false" ht="12" hidden="false" customHeight="false" outlineLevel="0" collapsed="false">
      <c r="A44" s="31" t="n">
        <f aca="false">A43+1</f>
        <v>1983</v>
      </c>
      <c r="B44" s="1994" t="n">
        <f aca="false">E44+F44</f>
        <v>773.45</v>
      </c>
      <c r="C44" s="432" t="n">
        <f aca="false">B44+CR44</f>
        <v>762.87</v>
      </c>
      <c r="D44" s="1995" t="n">
        <f aca="false">B44-I44</f>
        <v>690.73</v>
      </c>
      <c r="E44" s="1996" t="n">
        <f aca="false">CH44</f>
        <v>2.13</v>
      </c>
      <c r="F44" s="1994" t="n">
        <f aca="false">J44+AC44+AV44+BM44</f>
        <v>771.32</v>
      </c>
      <c r="G44" s="1478" t="n">
        <f aca="false">J44+X44+BN44</f>
        <v>898.27</v>
      </c>
      <c r="H44" s="1478" t="n">
        <f aca="false">AG44+BA44+BP44</f>
        <v>126.95</v>
      </c>
      <c r="I44" s="853" t="n">
        <v>82.72</v>
      </c>
      <c r="J44" s="395" t="n">
        <f aca="false">I44-CO44</f>
        <v>86.07</v>
      </c>
      <c r="K44" s="1478"/>
      <c r="L44" s="1478" t="n">
        <f aca="false">M44+N44+O44+P44+Q44</f>
        <v>3.64999999999998</v>
      </c>
      <c r="M44" s="1478" t="n">
        <v>0.85</v>
      </c>
      <c r="N44" s="1478" t="n">
        <v>2.83</v>
      </c>
      <c r="O44" s="1478" t="n">
        <v>1.43</v>
      </c>
      <c r="P44" s="1478" t="n">
        <v>-0.27</v>
      </c>
      <c r="Q44" s="1999" t="n">
        <v>-1.19000000000002</v>
      </c>
      <c r="R44" s="1997" t="n">
        <v>520.05</v>
      </c>
      <c r="S44" s="1997" t="n">
        <v>176.32</v>
      </c>
      <c r="T44" s="1997" t="n">
        <v>187.01</v>
      </c>
      <c r="U44" s="1997" t="n">
        <v>257.57</v>
      </c>
      <c r="V44" s="1999" t="n">
        <v>242.68</v>
      </c>
      <c r="W44" s="395" t="n">
        <f aca="false">AC44+AV44</f>
        <v>600.1</v>
      </c>
      <c r="X44" s="1997" t="n">
        <f aca="false">W44+AA44</f>
        <v>710.07</v>
      </c>
      <c r="Y44" s="1997" t="n">
        <f aca="false">AE44+AZ44</f>
        <v>406.12</v>
      </c>
      <c r="Z44" s="1997" t="n">
        <f aca="false">W44-Y44</f>
        <v>193.98</v>
      </c>
      <c r="AA44" s="1997" t="n">
        <f aca="false">AG44+BA44</f>
        <v>109.97</v>
      </c>
      <c r="AB44" s="1319" t="n">
        <f aca="false">AA44/X44</f>
        <v>0.15487205486783</v>
      </c>
      <c r="AC44" s="1509" t="n">
        <f aca="false">AF44+AE44</f>
        <v>174.15</v>
      </c>
      <c r="AD44" s="1509" t="n">
        <f aca="false">AF44+AG44+AE44</f>
        <v>211.74</v>
      </c>
      <c r="AE44" s="1509" t="n">
        <f aca="false">AS44</f>
        <v>74.11</v>
      </c>
      <c r="AF44" s="1997" t="n">
        <v>100.04</v>
      </c>
      <c r="AG44" s="1997" t="n">
        <v>37.59</v>
      </c>
      <c r="AH44" s="1319" t="n">
        <f aca="false">AG44/AD44</f>
        <v>0.177529045055256</v>
      </c>
      <c r="AI44" s="2002"/>
      <c r="AJ44" s="2002"/>
      <c r="AK44" s="1478"/>
      <c r="AL44" s="1478"/>
      <c r="AM44" s="821"/>
      <c r="AN44" s="2030"/>
      <c r="AO44" s="1478"/>
      <c r="AP44" s="1478"/>
      <c r="AQ44" s="2004"/>
      <c r="AR44" s="1478"/>
      <c r="AS44" s="1478" t="n">
        <v>74.11</v>
      </c>
      <c r="AT44" s="1478"/>
      <c r="AU44" s="2005"/>
      <c r="AV44" s="2001" t="n">
        <f aca="false">AW44-BA44</f>
        <v>425.95</v>
      </c>
      <c r="AW44" s="2004" t="n">
        <f aca="false">AY44+AZ44</f>
        <v>498.33</v>
      </c>
      <c r="AX44" s="2004" t="n">
        <f aca="false">BD44+BI44</f>
        <v>93.94</v>
      </c>
      <c r="AY44" s="1932" t="n">
        <f aca="false">AX44+BA44</f>
        <v>166.32</v>
      </c>
      <c r="AZ44" s="1478" t="n">
        <f aca="false">BF44+BK44</f>
        <v>332.01</v>
      </c>
      <c r="BA44" s="1478" t="n">
        <f aca="false">BG44+BL44</f>
        <v>72.38</v>
      </c>
      <c r="BB44" s="821" t="n">
        <f aca="false">BA44/AW44</f>
        <v>0.145245118696446</v>
      </c>
      <c r="BC44" s="1478" t="n">
        <f aca="false">BE44+BF44</f>
        <v>464.08</v>
      </c>
      <c r="BD44" s="1478" t="n">
        <v>84.79</v>
      </c>
      <c r="BE44" s="1509" t="n">
        <f aca="false">BD44+BG44</f>
        <v>154.22</v>
      </c>
      <c r="BF44" s="1478" t="n">
        <v>309.86</v>
      </c>
      <c r="BG44" s="1997" t="n">
        <v>69.43</v>
      </c>
      <c r="BH44" s="1478" t="n">
        <f aca="false">BJ44+BK44</f>
        <v>34.25</v>
      </c>
      <c r="BI44" s="1478" t="n">
        <v>9.15</v>
      </c>
      <c r="BJ44" s="1509" t="n">
        <f aca="false">BI44+BL44</f>
        <v>12.1</v>
      </c>
      <c r="BK44" s="1478" t="n">
        <v>22.15</v>
      </c>
      <c r="BL44" s="1997" t="n">
        <v>2.95</v>
      </c>
      <c r="BM44" s="2001" t="n">
        <f aca="false">BN44-BP44</f>
        <v>85.15</v>
      </c>
      <c r="BN44" s="2004" t="n">
        <f aca="false">BO44+BP44</f>
        <v>102.13</v>
      </c>
      <c r="BO44" s="1478" t="n">
        <v>85.15</v>
      </c>
      <c r="BP44" s="1997" t="n">
        <v>16.98</v>
      </c>
      <c r="BQ44" s="2005" t="n">
        <f aca="false">BP44/BN44</f>
        <v>0.166258689905023</v>
      </c>
      <c r="BR44" s="1509" t="n">
        <f aca="false">AY44-BA44</f>
        <v>93.94</v>
      </c>
      <c r="BS44" s="1509" t="n">
        <f aca="false">BX44+CC44</f>
        <v>15.12</v>
      </c>
      <c r="BT44" s="1509" t="n">
        <f aca="false">BY44-BZ44+CD44-CE44</f>
        <v>68.86</v>
      </c>
      <c r="BU44" s="1509" t="n">
        <f aca="false">BR44-BS44-BT44-BW44</f>
        <v>14.62</v>
      </c>
      <c r="BV44" s="1509" t="n">
        <v>7.5</v>
      </c>
      <c r="BW44" s="1509" t="n">
        <f aca="false">CB44+CG44</f>
        <v>-4.66</v>
      </c>
      <c r="BX44" s="1997" t="n">
        <v>8.44</v>
      </c>
      <c r="BY44" s="1997" t="n">
        <v>90.6</v>
      </c>
      <c r="BZ44" s="1478" t="n">
        <v>13.49</v>
      </c>
      <c r="CA44" s="1509"/>
      <c r="CB44" s="1997" t="n">
        <v>-3.06</v>
      </c>
      <c r="CC44" s="1997" t="n">
        <v>6.68</v>
      </c>
      <c r="CD44" s="1997" t="n">
        <v>127.33</v>
      </c>
      <c r="CE44" s="1997" t="n">
        <v>135.58</v>
      </c>
      <c r="CF44" s="1997"/>
      <c r="CG44" s="1997" t="n">
        <v>-1.6</v>
      </c>
      <c r="CH44" s="1482" t="n">
        <f aca="false">CI44+CL44+CO44</f>
        <v>2.13</v>
      </c>
      <c r="CI44" s="1479" t="n">
        <f aca="false">CJ44-CK44</f>
        <v>3.22</v>
      </c>
      <c r="CJ44" s="2023" t="n">
        <v>18.57</v>
      </c>
      <c r="CK44" s="2023" t="n">
        <v>15.35</v>
      </c>
      <c r="CL44" s="1479" t="n">
        <f aca="false">CM44-CN44</f>
        <v>2.26</v>
      </c>
      <c r="CM44" s="2023" t="n">
        <v>3.41</v>
      </c>
      <c r="CN44" s="2023" t="n">
        <v>1.15</v>
      </c>
      <c r="CO44" s="2023" t="n">
        <f aca="false">CP44-CQ44</f>
        <v>-3.35</v>
      </c>
      <c r="CP44" s="2023" t="n">
        <v>4.15</v>
      </c>
      <c r="CQ44" s="2023" t="n">
        <v>7.5</v>
      </c>
      <c r="CR44" s="1478" t="n">
        <f aca="false">CS44-CT44</f>
        <v>-10.58</v>
      </c>
      <c r="CS44" s="1478" t="n">
        <v>2.98</v>
      </c>
      <c r="CT44" s="1478" t="n">
        <v>13.56</v>
      </c>
      <c r="CU44" s="1478" t="n">
        <f aca="false">CV44-CW44</f>
        <v>-1.02</v>
      </c>
      <c r="CV44" s="485" t="n">
        <v>0.21</v>
      </c>
      <c r="CW44" s="1478" t="n">
        <v>1.23</v>
      </c>
      <c r="CX44" s="1998" t="n">
        <f aca="false">D44+DD44-DF44</f>
        <v>152.298373102074</v>
      </c>
      <c r="CY44" s="2007" t="n">
        <f aca="false">CX44-DC44-DD44</f>
        <v>137.768369102074</v>
      </c>
      <c r="CZ44" s="1509" t="n">
        <f aca="false">BR44</f>
        <v>93.94</v>
      </c>
      <c r="DA44" s="2023" t="n">
        <f aca="false">D44-DF44-CZ44-DC44</f>
        <v>43.828369102074</v>
      </c>
      <c r="DB44" s="2023"/>
      <c r="DC44" s="2017" t="n">
        <f aca="false">CI44</f>
        <v>3.22</v>
      </c>
      <c r="DD44" s="1478" t="n">
        <v>11.310004</v>
      </c>
      <c r="DE44" s="1997" t="n">
        <v>38.35</v>
      </c>
      <c r="DF44" s="2007" t="n">
        <f aca="false">DI44+DL44+DM44+DU44</f>
        <v>549.741630897926</v>
      </c>
      <c r="DG44" s="2011" t="n">
        <f aca="false">DH44+DU44</f>
        <v>493.53</v>
      </c>
      <c r="DH44" s="2010" t="n">
        <f aca="false">DJ44+DL44+AE44</f>
        <v>491.27</v>
      </c>
      <c r="DI44" s="2011" t="n">
        <f aca="false">Y44</f>
        <v>406.12</v>
      </c>
      <c r="DJ44" s="2035" t="n">
        <f aca="false">AZ44</f>
        <v>332.01</v>
      </c>
      <c r="DK44" s="2035" t="n">
        <f aca="false">AS44</f>
        <v>74.11</v>
      </c>
      <c r="DL44" s="1509" t="n">
        <f aca="false">BM44</f>
        <v>85.15</v>
      </c>
      <c r="DM44" s="2009" t="n">
        <f aca="false">GK44*DN44*DH44/GJ44</f>
        <v>56.2116308979261</v>
      </c>
      <c r="DN44" s="2013" t="n">
        <f aca="false">DN45</f>
        <v>0.895905244977209</v>
      </c>
      <c r="DO44" s="2009"/>
      <c r="DP44" s="2009" t="n">
        <f aca="false">GK44*DH44/GJ44</f>
        <v>62.7428304645722</v>
      </c>
      <c r="DQ44" s="2009" t="n">
        <f aca="false">2/3*DP44</f>
        <v>41.8285536430481</v>
      </c>
      <c r="DR44" s="2009" t="n">
        <f aca="false">DS44*(DH44/GJ44)*GK44</f>
        <v>72.962514186405</v>
      </c>
      <c r="DS44" s="514" t="n">
        <f aca="false">(DT44/GK44)/(DH44/GJ44)</f>
        <v>1.16288209578947</v>
      </c>
      <c r="DT44" s="2012" t="n">
        <v>72.962514186405</v>
      </c>
      <c r="DU44" s="2015" t="n">
        <f aca="false">CL44</f>
        <v>2.26</v>
      </c>
      <c r="DV44" s="2007" t="n">
        <f aca="false">DW44+DX44+DY44+EB44</f>
        <v>331.68</v>
      </c>
      <c r="DW44" s="1509" t="n">
        <f aca="false">I44</f>
        <v>82.72</v>
      </c>
      <c r="DX44" s="2017" t="n">
        <f aca="false">BS44</f>
        <v>15.12</v>
      </c>
      <c r="DY44" s="2017" t="n">
        <f aca="false">EE44+EF44</f>
        <v>88.25</v>
      </c>
      <c r="DZ44" s="2018" t="n">
        <f aca="false">EF44+EE44-EA44</f>
        <v>11.8368724212476</v>
      </c>
      <c r="EA44" s="2018" t="n">
        <f aca="false">EE44*(DF44-EB44+EH44)/(0.5*CX44+DF44-EB44+EH44)</f>
        <v>76.4131275787524</v>
      </c>
      <c r="EB44" s="1478" t="n">
        <v>145.59</v>
      </c>
      <c r="EC44" s="2018" t="n">
        <f aca="false">DX44+DZ44</f>
        <v>26.9568724212476</v>
      </c>
      <c r="ED44" s="2018" t="n">
        <f aca="false">EA44+EB44</f>
        <v>222.003127578752</v>
      </c>
      <c r="EE44" s="1478" t="n">
        <v>87.52</v>
      </c>
      <c r="EF44" s="2017" t="n">
        <v>0.73</v>
      </c>
      <c r="EG44" s="1478" t="n">
        <v>145.26</v>
      </c>
      <c r="EH44" s="2017" t="n">
        <f aca="false">EG44-EI44</f>
        <v>119.74</v>
      </c>
      <c r="EI44" s="2023" t="n">
        <v>25.52</v>
      </c>
      <c r="EJ44" s="2023" t="n">
        <v>53.86</v>
      </c>
      <c r="EK44" s="2032" t="n">
        <v>5.54</v>
      </c>
      <c r="EL44" s="2017" t="n">
        <f aca="false">EM44-(DV44-EF44)</f>
        <v>0.550000000000068</v>
      </c>
      <c r="EM44" s="2017" t="n">
        <f aca="false">EP44+S44+EG44+EN44+DD44</f>
        <v>331.5</v>
      </c>
      <c r="EN44" s="2017" t="n">
        <v>5.54</v>
      </c>
      <c r="EO44" s="2019" t="n">
        <f aca="false">EM44-EG44-EN44-DD44</f>
        <v>169.389996</v>
      </c>
      <c r="EP44" s="2019" t="n">
        <f aca="false">ER44-EQ44</f>
        <v>-6.930004</v>
      </c>
      <c r="EQ44" s="2017" t="n">
        <v>-12.19</v>
      </c>
      <c r="ER44" s="2023" t="n">
        <f aca="false">EU44+ES44-BP44+ET44</f>
        <v>-19.120004</v>
      </c>
      <c r="ES44" s="2023" t="n">
        <v>24.06</v>
      </c>
      <c r="ET44" s="2023" t="n">
        <v>-0.5</v>
      </c>
      <c r="EU44" s="2023" t="n">
        <v>-25.700004</v>
      </c>
      <c r="EV44" s="2024" t="n">
        <f aca="false">B44-DV44+EH44+DD44-CO44</f>
        <v>576.170004</v>
      </c>
      <c r="EW44" s="1478" t="n">
        <f aca="false">CX44-EC44</f>
        <v>125.341500680826</v>
      </c>
      <c r="EX44" s="1478" t="n">
        <f aca="false">($DF44-$EB44)-$EA44*($DF44-$EB44)/($DF44-$EB44+$EH44)</f>
        <v>345.203389865648</v>
      </c>
      <c r="EY44" s="1478" t="n">
        <f aca="false">$EH44-$EA44*$EH44/($DF44-$EB44+$EH44)</f>
        <v>102.275113453525</v>
      </c>
      <c r="EZ44" s="1478" t="n">
        <f aca="false">EV44+EI44</f>
        <v>601.690004</v>
      </c>
      <c r="FA44" s="1478" t="n">
        <v>593.48</v>
      </c>
      <c r="FB44" s="1478" t="n">
        <v>66.3100000000001</v>
      </c>
      <c r="FC44" s="1478" t="n">
        <f aca="false">FB44+AG44</f>
        <v>103.9</v>
      </c>
      <c r="FD44" s="1997" t="n">
        <f aca="false">FB44+BU44-BV44</f>
        <v>73.4300000000001</v>
      </c>
      <c r="FE44" s="1478" t="n">
        <v>3.6</v>
      </c>
      <c r="FF44" s="1478" t="n">
        <v>7.57</v>
      </c>
      <c r="FG44" s="1478" t="n">
        <f aca="false">FE44+FF44</f>
        <v>11.17</v>
      </c>
      <c r="FH44" s="514" t="n">
        <f aca="false">FG44/FD44</f>
        <v>0.152117663080485</v>
      </c>
      <c r="FI44" s="1994" t="n">
        <f aca="false">FB44+FE44</f>
        <v>69.9100000000001</v>
      </c>
      <c r="FJ44" s="1994" t="n">
        <f aca="false">BU44-BV44+FF44</f>
        <v>14.69</v>
      </c>
      <c r="FK44" s="2025" t="n">
        <f aca="false">FI44+FJ44</f>
        <v>84.6000000000001</v>
      </c>
      <c r="FL44" s="1994" t="n">
        <f aca="false">FO44+FP44+FS44</f>
        <v>69.9100000000001</v>
      </c>
      <c r="FM44" s="1997" t="n">
        <v>74.6</v>
      </c>
      <c r="FO44" s="1995" t="n">
        <f aca="false">FM44-AG44</f>
        <v>37.01</v>
      </c>
      <c r="FP44" s="1997" t="n">
        <v>0.35</v>
      </c>
      <c r="FQ44" s="1478" t="n">
        <f aca="false">FI44-FO44-FP44</f>
        <v>32.5500000000001</v>
      </c>
      <c r="FR44" s="1997" t="n">
        <v>0</v>
      </c>
      <c r="FS44" s="1478" t="n">
        <f aca="false">FQ44+FR44</f>
        <v>32.5500000000001</v>
      </c>
      <c r="FT44" s="514"/>
      <c r="FU44" s="514"/>
      <c r="FV44" s="514"/>
      <c r="FW44" s="2025"/>
      <c r="FX44" s="2026" t="n">
        <f aca="false">FY44+FZ44</f>
        <v>88.35</v>
      </c>
      <c r="FY44" s="1997" t="n">
        <v>82.29</v>
      </c>
      <c r="FZ44" s="1999" t="n">
        <v>6.06</v>
      </c>
      <c r="GA44" s="2015" t="n">
        <v>0</v>
      </c>
      <c r="GB44" s="402" t="n">
        <v>0.0323014804845223</v>
      </c>
      <c r="GC44" s="387" t="n">
        <v>0.0329341269959393</v>
      </c>
      <c r="GD44" s="387" t="n">
        <f aca="false">(G44/G43)/(1+GE44)-1</f>
        <v>0.0281126909229119</v>
      </c>
      <c r="GE44" s="387" t="n">
        <v>0.0156911972383493</v>
      </c>
      <c r="GF44" s="387" t="n">
        <v>0.032258064516129</v>
      </c>
      <c r="GG44" s="2033" t="n">
        <v>69.852245</v>
      </c>
      <c r="GH44" s="465" t="n">
        <v>61426.385</v>
      </c>
      <c r="GI44" s="465" t="n">
        <f aca="false">GJ44+GK44</f>
        <v>26993</v>
      </c>
      <c r="GJ44" s="465" t="n">
        <v>23936</v>
      </c>
      <c r="GK44" s="465" t="n">
        <v>3057</v>
      </c>
      <c r="GL44" s="25" t="n">
        <f aca="false">GL43+(GL$51-GL$41)/10</f>
        <v>0.2472</v>
      </c>
      <c r="GM44" s="25" t="n">
        <f aca="false">GK44/GI44</f>
        <v>0.113251583743934</v>
      </c>
      <c r="GN44" s="385" t="n">
        <v>61426.385</v>
      </c>
      <c r="GO44" s="1932" t="n">
        <f aca="false">CX44</f>
        <v>152.298373102074</v>
      </c>
      <c r="GP44" s="1932" t="n">
        <f aca="false">BU44</f>
        <v>14.62</v>
      </c>
      <c r="GQ44" s="1932" t="n">
        <f aca="false">BW44</f>
        <v>-4.66</v>
      </c>
      <c r="GR44" s="1932"/>
      <c r="GS44" s="1509"/>
      <c r="GT44" s="1932"/>
      <c r="GU44" s="1509" t="n">
        <v>12.91</v>
      </c>
      <c r="GV44" s="1509"/>
      <c r="GW44" s="1478" t="n">
        <v>0.68</v>
      </c>
      <c r="GX44" s="1509" t="n">
        <f aca="false">GY44+GZ44</f>
        <v>71.13</v>
      </c>
      <c r="GY44" s="1478" t="n">
        <v>56.01</v>
      </c>
      <c r="GZ44" s="24" t="n">
        <f aca="false">DX44</f>
        <v>15.12</v>
      </c>
      <c r="HA44" s="1478" t="n">
        <v>52.14</v>
      </c>
      <c r="HB44" s="1478"/>
      <c r="HC44" s="1478"/>
      <c r="HD44" s="24" t="n">
        <f aca="false">DE44</f>
        <v>38.35</v>
      </c>
      <c r="HE44" s="1997"/>
      <c r="HF44" s="1478"/>
      <c r="HG44" s="1478"/>
      <c r="HH44" s="1478"/>
      <c r="HI44" s="1478"/>
      <c r="HJ44" s="1478"/>
      <c r="HK44" s="387"/>
    </row>
    <row r="45" customFormat="false" ht="12" hidden="false" customHeight="false" outlineLevel="0" collapsed="false">
      <c r="A45" s="31" t="n">
        <f aca="false">A44+1</f>
        <v>1984</v>
      </c>
      <c r="B45" s="1994" t="n">
        <f aca="false">E45+F45</f>
        <v>813.91</v>
      </c>
      <c r="C45" s="432" t="n">
        <f aca="false">B45+CR45</f>
        <v>801.04</v>
      </c>
      <c r="D45" s="1995" t="n">
        <f aca="false">B45-I45</f>
        <v>727.54</v>
      </c>
      <c r="E45" s="1996" t="n">
        <f aca="false">CH45</f>
        <v>5.93</v>
      </c>
      <c r="F45" s="1994" t="n">
        <f aca="false">J45+AC45+AV45+BM45</f>
        <v>807.98</v>
      </c>
      <c r="G45" s="1478" t="n">
        <f aca="false">J45+X45+BN45</f>
        <v>942</v>
      </c>
      <c r="H45" s="1478" t="n">
        <f aca="false">AG45+BA45+BP45</f>
        <v>134.02</v>
      </c>
      <c r="I45" s="853" t="n">
        <v>86.37</v>
      </c>
      <c r="J45" s="395" t="n">
        <f aca="false">I45-CO45</f>
        <v>90.01</v>
      </c>
      <c r="K45" s="1478"/>
      <c r="L45" s="1478" t="n">
        <f aca="false">M45+N45+O45+P45+Q45</f>
        <v>3.89000000000002</v>
      </c>
      <c r="M45" s="1478" t="n">
        <v>-0.0900000000000003</v>
      </c>
      <c r="N45" s="1478" t="n">
        <v>3.87</v>
      </c>
      <c r="O45" s="1478" t="n">
        <v>1.55</v>
      </c>
      <c r="P45" s="1478" t="n">
        <v>-0.43</v>
      </c>
      <c r="Q45" s="1999" t="n">
        <v>-1.00999999999998</v>
      </c>
      <c r="R45" s="1997" t="n">
        <v>543.48</v>
      </c>
      <c r="S45" s="1997" t="n">
        <v>183.12</v>
      </c>
      <c r="T45" s="1997" t="n">
        <v>194.17</v>
      </c>
      <c r="U45" s="1997" t="n">
        <v>289.2</v>
      </c>
      <c r="V45" s="1999" t="n">
        <v>267.97</v>
      </c>
      <c r="W45" s="395" t="n">
        <f aca="false">AC45+AV45</f>
        <v>631.04</v>
      </c>
      <c r="X45" s="1997" t="n">
        <f aca="false">W45+AA45</f>
        <v>747.37</v>
      </c>
      <c r="Y45" s="1997" t="n">
        <f aca="false">AE45+AZ45</f>
        <v>423.57</v>
      </c>
      <c r="Z45" s="1997" t="n">
        <f aca="false">W45-Y45</f>
        <v>207.47</v>
      </c>
      <c r="AA45" s="1997" t="n">
        <f aca="false">AG45+BA45</f>
        <v>116.33</v>
      </c>
      <c r="AB45" s="1319" t="n">
        <f aca="false">AA45/X45</f>
        <v>0.155652488058124</v>
      </c>
      <c r="AC45" s="1509" t="n">
        <f aca="false">AF45+AE45</f>
        <v>183.23</v>
      </c>
      <c r="AD45" s="1509" t="n">
        <f aca="false">AF45+AG45+AE45</f>
        <v>223.08</v>
      </c>
      <c r="AE45" s="1509" t="n">
        <f aca="false">AS45</f>
        <v>76.84</v>
      </c>
      <c r="AF45" s="1997" t="n">
        <v>106.39</v>
      </c>
      <c r="AG45" s="1997" t="n">
        <v>39.85</v>
      </c>
      <c r="AH45" s="1319" t="n">
        <f aca="false">AG45/AD45</f>
        <v>0.178635467097006</v>
      </c>
      <c r="AI45" s="2002"/>
      <c r="AJ45" s="2002"/>
      <c r="AK45" s="1478"/>
      <c r="AL45" s="1478"/>
      <c r="AM45" s="821"/>
      <c r="AN45" s="2030"/>
      <c r="AO45" s="1478"/>
      <c r="AP45" s="1478"/>
      <c r="AQ45" s="2004"/>
      <c r="AR45" s="1478"/>
      <c r="AS45" s="1478" t="n">
        <v>76.84</v>
      </c>
      <c r="AT45" s="1478"/>
      <c r="AU45" s="2005"/>
      <c r="AV45" s="2001" t="n">
        <f aca="false">AW45-BA45</f>
        <v>447.81</v>
      </c>
      <c r="AW45" s="2004" t="n">
        <f aca="false">AY45+AZ45</f>
        <v>524.29</v>
      </c>
      <c r="AX45" s="2004" t="n">
        <f aca="false">BD45+BI45</f>
        <v>101.08</v>
      </c>
      <c r="AY45" s="1932" t="n">
        <f aca="false">AX45+BA45</f>
        <v>177.56</v>
      </c>
      <c r="AZ45" s="1478" t="n">
        <f aca="false">BF45+BK45</f>
        <v>346.73</v>
      </c>
      <c r="BA45" s="1478" t="n">
        <f aca="false">BG45+BL45</f>
        <v>76.48</v>
      </c>
      <c r="BB45" s="821" t="n">
        <f aca="false">BA45/AW45</f>
        <v>0.145873466974384</v>
      </c>
      <c r="BC45" s="1478" t="n">
        <f aca="false">BE45+BF45</f>
        <v>488.11</v>
      </c>
      <c r="BD45" s="1478" t="n">
        <v>91.12</v>
      </c>
      <c r="BE45" s="1509" t="n">
        <f aca="false">BD45+BG45</f>
        <v>164.34</v>
      </c>
      <c r="BF45" s="1478" t="n">
        <v>323.77</v>
      </c>
      <c r="BG45" s="1997" t="n">
        <v>73.22</v>
      </c>
      <c r="BH45" s="1478" t="n">
        <f aca="false">BJ45+BK45</f>
        <v>36.18</v>
      </c>
      <c r="BI45" s="1478" t="n">
        <v>9.96</v>
      </c>
      <c r="BJ45" s="1509" t="n">
        <f aca="false">BI45+BL45</f>
        <v>13.22</v>
      </c>
      <c r="BK45" s="1478" t="n">
        <v>22.96</v>
      </c>
      <c r="BL45" s="1997" t="n">
        <v>3.26</v>
      </c>
      <c r="BM45" s="2001" t="n">
        <f aca="false">BN45-BP45</f>
        <v>86.93</v>
      </c>
      <c r="BN45" s="2004" t="n">
        <f aca="false">BO45+BP45</f>
        <v>104.62</v>
      </c>
      <c r="BO45" s="1478" t="n">
        <v>86.93</v>
      </c>
      <c r="BP45" s="1997" t="n">
        <v>17.69</v>
      </c>
      <c r="BQ45" s="2005" t="n">
        <f aca="false">BP45/BN45</f>
        <v>0.169088128464921</v>
      </c>
      <c r="BR45" s="1509" t="n">
        <f aca="false">AY45-BA45</f>
        <v>101.08</v>
      </c>
      <c r="BS45" s="1509" t="n">
        <f aca="false">BX45+CC45</f>
        <v>17.42</v>
      </c>
      <c r="BT45" s="1509" t="n">
        <f aca="false">BY45-BZ45+CD45-CE45</f>
        <v>78.11</v>
      </c>
      <c r="BU45" s="1509" t="n">
        <f aca="false">BR45-BS45-BT45-BW45</f>
        <v>10.8</v>
      </c>
      <c r="BV45" s="1509" t="n">
        <v>8.36</v>
      </c>
      <c r="BW45" s="1509" t="n">
        <f aca="false">CB45+CG45</f>
        <v>-5.25</v>
      </c>
      <c r="BX45" s="1997" t="n">
        <v>10.72</v>
      </c>
      <c r="BY45" s="1997" t="n">
        <v>104.07</v>
      </c>
      <c r="BZ45" s="1478" t="n">
        <v>18.08</v>
      </c>
      <c r="CA45" s="1509"/>
      <c r="CB45" s="1997" t="n">
        <v>-3.87</v>
      </c>
      <c r="CC45" s="1997" t="n">
        <v>6.7</v>
      </c>
      <c r="CD45" s="1997" t="n">
        <v>136.05</v>
      </c>
      <c r="CE45" s="1997" t="n">
        <v>143.93</v>
      </c>
      <c r="CF45" s="1997"/>
      <c r="CG45" s="1997" t="n">
        <v>-1.38</v>
      </c>
      <c r="CH45" s="1482" t="n">
        <f aca="false">CI45+CL45+CO45</f>
        <v>5.93</v>
      </c>
      <c r="CI45" s="1479" t="n">
        <f aca="false">CJ45-CK45</f>
        <v>7.23</v>
      </c>
      <c r="CJ45" s="2023" t="n">
        <v>23.64</v>
      </c>
      <c r="CK45" s="2023" t="n">
        <v>16.41</v>
      </c>
      <c r="CL45" s="1479" t="n">
        <f aca="false">CM45-CN45</f>
        <v>2.34</v>
      </c>
      <c r="CM45" s="2023" t="n">
        <v>3.45</v>
      </c>
      <c r="CN45" s="2023" t="n">
        <v>1.11</v>
      </c>
      <c r="CO45" s="2023" t="n">
        <f aca="false">CP45-CQ45</f>
        <v>-3.64</v>
      </c>
      <c r="CP45" s="2023" t="n">
        <v>4.43</v>
      </c>
      <c r="CQ45" s="2023" t="n">
        <v>8.07</v>
      </c>
      <c r="CR45" s="1478" t="n">
        <f aca="false">CS45-CT45</f>
        <v>-12.87</v>
      </c>
      <c r="CS45" s="1478" t="n">
        <v>2.62</v>
      </c>
      <c r="CT45" s="1478" t="n">
        <v>15.49</v>
      </c>
      <c r="CU45" s="1478" t="n">
        <f aca="false">CV45-CW45</f>
        <v>-1.02</v>
      </c>
      <c r="CV45" s="485" t="n">
        <v>0.17</v>
      </c>
      <c r="CW45" s="1478" t="n">
        <v>1.19</v>
      </c>
      <c r="CX45" s="1998" t="n">
        <f aca="false">D45+DD45-DF45</f>
        <v>168.898536266782</v>
      </c>
      <c r="CY45" s="2007" t="n">
        <f aca="false">CX45-DC45-DD45</f>
        <v>149.578532266782</v>
      </c>
      <c r="CZ45" s="1509" t="n">
        <f aca="false">BR45</f>
        <v>101.08</v>
      </c>
      <c r="DA45" s="2023" t="n">
        <f aca="false">D45-DF45-CZ45-DC45</f>
        <v>48.4985322667816</v>
      </c>
      <c r="DB45" s="2023"/>
      <c r="DC45" s="2017" t="n">
        <f aca="false">CI45</f>
        <v>7.23</v>
      </c>
      <c r="DD45" s="1478" t="n">
        <v>12.090004</v>
      </c>
      <c r="DE45" s="1997" t="n">
        <v>39.27</v>
      </c>
      <c r="DF45" s="2007" t="n">
        <f aca="false">DI45+DL45+DM45+DU45</f>
        <v>570.731467733218</v>
      </c>
      <c r="DG45" s="2011" t="n">
        <f aca="false">DH45+DU45</f>
        <v>512.84</v>
      </c>
      <c r="DH45" s="2010" t="n">
        <f aca="false">DJ45+DL45+AE45</f>
        <v>510.5</v>
      </c>
      <c r="DI45" s="2011" t="n">
        <f aca="false">Y45</f>
        <v>423.57</v>
      </c>
      <c r="DJ45" s="2035" t="n">
        <f aca="false">AZ45</f>
        <v>346.73</v>
      </c>
      <c r="DK45" s="2035" t="n">
        <f aca="false">AS45</f>
        <v>76.84</v>
      </c>
      <c r="DL45" s="1509" t="n">
        <f aca="false">BM45</f>
        <v>86.93</v>
      </c>
      <c r="DM45" s="2009" t="n">
        <f aca="false">GK45*DN45*DH45/GJ45</f>
        <v>57.8914677332183</v>
      </c>
      <c r="DN45" s="2013" t="n">
        <f aca="false">DN46</f>
        <v>0.895905244977209</v>
      </c>
      <c r="DO45" s="2009"/>
      <c r="DP45" s="2009" t="n">
        <f aca="false">GK45*DH45/GJ45</f>
        <v>64.617846650391</v>
      </c>
      <c r="DQ45" s="2009" t="n">
        <f aca="false">2/3*DP45</f>
        <v>43.078564433594</v>
      </c>
      <c r="DR45" s="2009" t="n">
        <f aca="false">DS45*(DH45/GJ45)*GK45</f>
        <v>77.0209704497861</v>
      </c>
      <c r="DS45" s="514" t="n">
        <f aca="false">(DT45/GK45)/(DH45/GJ45)</f>
        <v>1.1919457927235</v>
      </c>
      <c r="DT45" s="2012" t="n">
        <v>77.0209704497861</v>
      </c>
      <c r="DU45" s="2015" t="n">
        <f aca="false">CL45</f>
        <v>2.34</v>
      </c>
      <c r="DV45" s="2007" t="n">
        <f aca="false">DW45+DX45+DY45+EB45</f>
        <v>349.11</v>
      </c>
      <c r="DW45" s="1509" t="n">
        <f aca="false">I45</f>
        <v>86.37</v>
      </c>
      <c r="DX45" s="2017" t="n">
        <f aca="false">BS45</f>
        <v>17.42</v>
      </c>
      <c r="DY45" s="2017" t="n">
        <f aca="false">EE45+EF45</f>
        <v>92.45</v>
      </c>
      <c r="DZ45" s="2018" t="n">
        <f aca="false">EF45+EE45-EA45</f>
        <v>13.2040679787263</v>
      </c>
      <c r="EA45" s="2018" t="n">
        <f aca="false">EE45*(DF45-EB45+EH45)/(0.5*CX45+DF45-EB45+EH45)</f>
        <v>79.2459320212737</v>
      </c>
      <c r="EB45" s="1478" t="n">
        <v>152.87</v>
      </c>
      <c r="EC45" s="2018" t="n">
        <f aca="false">DX45+DZ45</f>
        <v>30.6240679787263</v>
      </c>
      <c r="ED45" s="2018" t="n">
        <f aca="false">EA45+EB45</f>
        <v>232.115932021274</v>
      </c>
      <c r="EE45" s="1478" t="n">
        <v>91.65</v>
      </c>
      <c r="EF45" s="2017" t="n">
        <v>0.8</v>
      </c>
      <c r="EG45" s="1478" t="n">
        <v>147.22</v>
      </c>
      <c r="EH45" s="2017" t="n">
        <f aca="false">EG45-EI45</f>
        <v>121.66</v>
      </c>
      <c r="EI45" s="2023" t="n">
        <v>25.56</v>
      </c>
      <c r="EJ45" s="2023" t="n">
        <v>57.66</v>
      </c>
      <c r="EK45" s="2032" t="n">
        <v>6.57</v>
      </c>
      <c r="EL45" s="2017" t="n">
        <f aca="false">EM45-(DV45-EF45)</f>
        <v>0.25</v>
      </c>
      <c r="EM45" s="2017" t="n">
        <f aca="false">EP45+S45+EG45+EN45+DD45</f>
        <v>348.56</v>
      </c>
      <c r="EN45" s="2017" t="n">
        <v>6.57</v>
      </c>
      <c r="EO45" s="2019" t="n">
        <f aca="false">EM45-EG45-EN45-DD45</f>
        <v>182.679996</v>
      </c>
      <c r="EP45" s="2019" t="n">
        <f aca="false">ER45-EQ45</f>
        <v>-0.440004000000027</v>
      </c>
      <c r="EQ45" s="2017" t="n">
        <v>-12.24</v>
      </c>
      <c r="ER45" s="2023" t="n">
        <f aca="false">EU45+ES45-BP45+ET45</f>
        <v>-12.680004</v>
      </c>
      <c r="ES45" s="2023" t="n">
        <v>24.09</v>
      </c>
      <c r="ET45" s="2023" t="n">
        <v>-0.43</v>
      </c>
      <c r="EU45" s="2023" t="n">
        <v>-18.650004</v>
      </c>
      <c r="EV45" s="2024" t="n">
        <f aca="false">B45-DV45+EH45+DD45-CO45</f>
        <v>602.190004</v>
      </c>
      <c r="EW45" s="1478" t="n">
        <f aca="false">CX45-EC45</f>
        <v>138.274468288055</v>
      </c>
      <c r="EX45" s="1478" t="n">
        <f aca="false">($DF45-$EB45)-$EA45*($DF45-$EB45)/($DF45-$EB45+$EH45)</f>
        <v>356.485186256555</v>
      </c>
      <c r="EY45" s="1478" t="n">
        <f aca="false">$EH45-$EA45*$EH45/($DF45-$EB45+$EH45)</f>
        <v>103.790349455389</v>
      </c>
      <c r="EZ45" s="1478" t="n">
        <f aca="false">EV45+EI45</f>
        <v>627.750004</v>
      </c>
      <c r="FA45" s="1478" t="n">
        <v>618.36</v>
      </c>
      <c r="FB45" s="1478" t="n">
        <v>72.4399999999999</v>
      </c>
      <c r="FC45" s="1478" t="n">
        <f aca="false">FB45+AG45</f>
        <v>112.29</v>
      </c>
      <c r="FD45" s="1997" t="n">
        <f aca="false">FB45+BU45-BV45</f>
        <v>74.8799999999999</v>
      </c>
      <c r="FE45" s="1478" t="n">
        <v>3.82</v>
      </c>
      <c r="FF45" s="1478" t="n">
        <v>7.4</v>
      </c>
      <c r="FG45" s="1478" t="n">
        <f aca="false">FE45+FF45</f>
        <v>11.22</v>
      </c>
      <c r="FH45" s="514" t="n">
        <f aca="false">FG45/FD45</f>
        <v>0.149839743589744</v>
      </c>
      <c r="FI45" s="1994" t="n">
        <f aca="false">FB45+FE45</f>
        <v>76.2599999999999</v>
      </c>
      <c r="FJ45" s="1994" t="n">
        <f aca="false">BU45-BV45+FF45</f>
        <v>9.83999999999998</v>
      </c>
      <c r="FK45" s="2025" t="n">
        <f aca="false">FI45+FJ45</f>
        <v>86.0999999999999</v>
      </c>
      <c r="FL45" s="1994" t="n">
        <f aca="false">FO45+FP45+FS45</f>
        <v>76.2599999999999</v>
      </c>
      <c r="FM45" s="1997" t="n">
        <v>76.4</v>
      </c>
      <c r="FO45" s="1995" t="n">
        <f aca="false">FM45-AG45</f>
        <v>36.55</v>
      </c>
      <c r="FP45" s="1997" t="n">
        <v>0.29</v>
      </c>
      <c r="FQ45" s="1478" t="n">
        <f aca="false">FI45-FO45-FP45</f>
        <v>39.4199999999999</v>
      </c>
      <c r="FR45" s="1997" t="n">
        <v>0</v>
      </c>
      <c r="FS45" s="1478" t="n">
        <f aca="false">FQ45+FR45</f>
        <v>39.4199999999999</v>
      </c>
      <c r="FT45" s="514"/>
      <c r="FU45" s="514"/>
      <c r="FV45" s="514"/>
      <c r="FW45" s="2025"/>
      <c r="FX45" s="2026" t="n">
        <f aca="false">FY45+FZ45</f>
        <v>93.68</v>
      </c>
      <c r="FY45" s="1997" t="n">
        <v>87.81</v>
      </c>
      <c r="FZ45" s="1999" t="n">
        <v>5.87</v>
      </c>
      <c r="GA45" s="2015" t="n">
        <v>0</v>
      </c>
      <c r="GB45" s="402" t="n">
        <v>0.0247718383311601</v>
      </c>
      <c r="GC45" s="387" t="n">
        <v>0.0240579732360471</v>
      </c>
      <c r="GD45" s="387" t="n">
        <f aca="false">(G45/G44)/(1+GE45)-1</f>
        <v>0.0198500017341026</v>
      </c>
      <c r="GE45" s="387" t="n">
        <v>0.0282712807044647</v>
      </c>
      <c r="GF45" s="387" t="n">
        <v>0.0254629629629628</v>
      </c>
      <c r="GG45" s="2033" t="n">
        <v>69.9568</v>
      </c>
      <c r="GH45" s="465" t="n">
        <v>61177.9625</v>
      </c>
      <c r="GI45" s="465" t="n">
        <f aca="false">GJ45+GK45</f>
        <v>27226</v>
      </c>
      <c r="GJ45" s="465" t="n">
        <v>24167</v>
      </c>
      <c r="GK45" s="465" t="n">
        <v>3059</v>
      </c>
      <c r="GL45" s="25" t="n">
        <f aca="false">GL44+(GL$51-GL$41)/10</f>
        <v>0.2416</v>
      </c>
      <c r="GM45" s="25" t="n">
        <f aca="false">GK45/GI45</f>
        <v>0.112355836332917</v>
      </c>
      <c r="GN45" s="385" t="n">
        <v>61177.9625</v>
      </c>
      <c r="GO45" s="1932" t="n">
        <f aca="false">CX45</f>
        <v>168.898536266782</v>
      </c>
      <c r="GP45" s="1932" t="n">
        <f aca="false">BU45</f>
        <v>10.8</v>
      </c>
      <c r="GQ45" s="1932" t="n">
        <f aca="false">BW45</f>
        <v>-5.25</v>
      </c>
      <c r="GR45" s="1932"/>
      <c r="GS45" s="1509"/>
      <c r="GT45" s="1932"/>
      <c r="GU45" s="1509" t="n">
        <v>14.09</v>
      </c>
      <c r="GV45" s="1509"/>
      <c r="GW45" s="1478" t="n">
        <v>0.69</v>
      </c>
      <c r="GX45" s="1509" t="n">
        <f aca="false">GY45+GZ45</f>
        <v>84.44</v>
      </c>
      <c r="GY45" s="1478" t="n">
        <v>67.02</v>
      </c>
      <c r="GZ45" s="24" t="n">
        <f aca="false">DX45</f>
        <v>17.42</v>
      </c>
      <c r="HA45" s="1478" t="n">
        <v>54.9</v>
      </c>
      <c r="HB45" s="1478"/>
      <c r="HC45" s="1478"/>
      <c r="HD45" s="24" t="n">
        <f aca="false">DE45</f>
        <v>39.27</v>
      </c>
      <c r="HE45" s="1997"/>
      <c r="HF45" s="1478"/>
      <c r="HG45" s="1478"/>
      <c r="HH45" s="1478"/>
      <c r="HI45" s="1478"/>
      <c r="HJ45" s="1478"/>
      <c r="HK45" s="387"/>
    </row>
    <row r="46" customFormat="false" ht="12" hidden="false" customHeight="false" outlineLevel="0" collapsed="false">
      <c r="A46" s="31" t="n">
        <f aca="false">A45+1</f>
        <v>1985</v>
      </c>
      <c r="B46" s="1994" t="n">
        <f aca="false">E46+F46</f>
        <v>850.91</v>
      </c>
      <c r="C46" s="432" t="n">
        <f aca="false">B46+CR46</f>
        <v>838.43</v>
      </c>
      <c r="D46" s="1995" t="n">
        <f aca="false">B46-I46</f>
        <v>763.38</v>
      </c>
      <c r="E46" s="1996" t="n">
        <f aca="false">CH46</f>
        <v>6.27</v>
      </c>
      <c r="F46" s="1994" t="n">
        <f aca="false">J46+AC46+AV46+BM46</f>
        <v>844.64</v>
      </c>
      <c r="G46" s="1478" t="n">
        <f aca="false">J46+X46+BN46</f>
        <v>984.41</v>
      </c>
      <c r="H46" s="1478" t="n">
        <f aca="false">AG46+BA46+BP46</f>
        <v>139.77</v>
      </c>
      <c r="I46" s="853" t="n">
        <v>87.53</v>
      </c>
      <c r="J46" s="395" t="n">
        <f aca="false">I46-CO46</f>
        <v>91.09</v>
      </c>
      <c r="K46" s="1478"/>
      <c r="L46" s="1478" t="n">
        <f aca="false">M46+N46+O46+P46+Q46</f>
        <v>3.75</v>
      </c>
      <c r="M46" s="1478" t="n">
        <v>-0.71</v>
      </c>
      <c r="N46" s="1478" t="n">
        <v>4.32</v>
      </c>
      <c r="O46" s="1478" t="n">
        <v>1.7</v>
      </c>
      <c r="P46" s="1478" t="n">
        <v>-0.53</v>
      </c>
      <c r="Q46" s="1999" t="n">
        <v>-1.03</v>
      </c>
      <c r="R46" s="1997" t="n">
        <v>561.99</v>
      </c>
      <c r="S46" s="1997" t="n">
        <v>190.71</v>
      </c>
      <c r="T46" s="1997" t="n">
        <v>197.89</v>
      </c>
      <c r="U46" s="1997" t="n">
        <v>319.1</v>
      </c>
      <c r="V46" s="1999" t="n">
        <v>285.28</v>
      </c>
      <c r="W46" s="395" t="n">
        <f aca="false">AC46+AV46</f>
        <v>663.83</v>
      </c>
      <c r="X46" s="1997" t="n">
        <f aca="false">W46+AA46</f>
        <v>785.34</v>
      </c>
      <c r="Y46" s="1997" t="n">
        <f aca="false">AE46+AZ46</f>
        <v>441.19</v>
      </c>
      <c r="Z46" s="1997" t="n">
        <f aca="false">W46-Y46</f>
        <v>222.64</v>
      </c>
      <c r="AA46" s="1997" t="n">
        <f aca="false">AG46+BA46</f>
        <v>121.51</v>
      </c>
      <c r="AB46" s="1319" t="n">
        <f aca="false">AA46/X46</f>
        <v>0.154722795222451</v>
      </c>
      <c r="AC46" s="1509" t="n">
        <f aca="false">AF46+AE46</f>
        <v>188.26</v>
      </c>
      <c r="AD46" s="1509" t="n">
        <f aca="false">AF46+AG46+AE46</f>
        <v>229.75</v>
      </c>
      <c r="AE46" s="1509" t="n">
        <f aca="false">AS46</f>
        <v>78.6</v>
      </c>
      <c r="AF46" s="1997" t="n">
        <v>109.66</v>
      </c>
      <c r="AG46" s="1997" t="n">
        <v>41.49</v>
      </c>
      <c r="AH46" s="1319" t="n">
        <f aca="false">AG46/AD46</f>
        <v>0.180587595212187</v>
      </c>
      <c r="AI46" s="2002"/>
      <c r="AJ46" s="2002"/>
      <c r="AK46" s="1478"/>
      <c r="AL46" s="1478"/>
      <c r="AM46" s="821"/>
      <c r="AN46" s="2030"/>
      <c r="AO46" s="1478"/>
      <c r="AP46" s="1478"/>
      <c r="AQ46" s="2004"/>
      <c r="AR46" s="1478"/>
      <c r="AS46" s="1478" t="n">
        <v>78.6</v>
      </c>
      <c r="AT46" s="1478"/>
      <c r="AU46" s="2005"/>
      <c r="AV46" s="2001" t="n">
        <f aca="false">AW46-BA46</f>
        <v>475.57</v>
      </c>
      <c r="AW46" s="2004" t="n">
        <f aca="false">AY46+AZ46</f>
        <v>555.59</v>
      </c>
      <c r="AX46" s="2004" t="n">
        <f aca="false">BD46+BI46</f>
        <v>112.98</v>
      </c>
      <c r="AY46" s="1932" t="n">
        <f aca="false">AX46+BA46</f>
        <v>193</v>
      </c>
      <c r="AZ46" s="1478" t="n">
        <f aca="false">BF46+BK46</f>
        <v>362.59</v>
      </c>
      <c r="BA46" s="1478" t="n">
        <f aca="false">BG46+BL46</f>
        <v>80.02</v>
      </c>
      <c r="BB46" s="821" t="n">
        <f aca="false">BA46/AW46</f>
        <v>0.14402707032164</v>
      </c>
      <c r="BC46" s="1478" t="n">
        <f aca="false">BE46+BF46</f>
        <v>518.14</v>
      </c>
      <c r="BD46" s="1478" t="n">
        <v>102.94</v>
      </c>
      <c r="BE46" s="1509" t="n">
        <f aca="false">BD46+BG46</f>
        <v>179.48</v>
      </c>
      <c r="BF46" s="1478" t="n">
        <v>338.66</v>
      </c>
      <c r="BG46" s="1997" t="n">
        <v>76.54</v>
      </c>
      <c r="BH46" s="1478" t="n">
        <f aca="false">BJ46+BK46</f>
        <v>37.45</v>
      </c>
      <c r="BI46" s="1478" t="n">
        <v>10.04</v>
      </c>
      <c r="BJ46" s="1509" t="n">
        <f aca="false">BI46+BL46</f>
        <v>13.52</v>
      </c>
      <c r="BK46" s="1478" t="n">
        <v>23.93</v>
      </c>
      <c r="BL46" s="1997" t="n">
        <v>3.48</v>
      </c>
      <c r="BM46" s="2001" t="n">
        <f aca="false">BN46-BP46</f>
        <v>89.72</v>
      </c>
      <c r="BN46" s="2004" t="n">
        <f aca="false">BO46+BP46</f>
        <v>107.98</v>
      </c>
      <c r="BO46" s="1478" t="n">
        <v>89.72</v>
      </c>
      <c r="BP46" s="1997" t="n">
        <v>18.26</v>
      </c>
      <c r="BQ46" s="2005" t="n">
        <f aca="false">BP46/BN46</f>
        <v>0.169105389887016</v>
      </c>
      <c r="BR46" s="1509" t="n">
        <f aca="false">AY46-BA46</f>
        <v>112.98</v>
      </c>
      <c r="BS46" s="1509" t="n">
        <f aca="false">BX46+CC46</f>
        <v>19.81</v>
      </c>
      <c r="BT46" s="1509" t="n">
        <f aca="false">BY46-BZ46+CD46-CE46</f>
        <v>85.35</v>
      </c>
      <c r="BU46" s="1509" t="n">
        <f aca="false">BR46-BS46-BT46-BW46</f>
        <v>11.95</v>
      </c>
      <c r="BV46" s="1509" t="n">
        <v>7.23</v>
      </c>
      <c r="BW46" s="1509" t="n">
        <f aca="false">CB46+CG46</f>
        <v>-4.13</v>
      </c>
      <c r="BX46" s="1997" t="n">
        <v>12.98</v>
      </c>
      <c r="BY46" s="1997" t="n">
        <v>111</v>
      </c>
      <c r="BZ46" s="1478" t="n">
        <v>18.75</v>
      </c>
      <c r="CA46" s="1509"/>
      <c r="CB46" s="1997" t="n">
        <v>-2.89</v>
      </c>
      <c r="CC46" s="1997" t="n">
        <v>6.83</v>
      </c>
      <c r="CD46" s="1997" t="n">
        <v>138.77</v>
      </c>
      <c r="CE46" s="1997" t="n">
        <v>145.67</v>
      </c>
      <c r="CF46" s="1997"/>
      <c r="CG46" s="1997" t="n">
        <v>-1.24</v>
      </c>
      <c r="CH46" s="1482" t="n">
        <f aca="false">CI46+CL46+CO46</f>
        <v>6.27</v>
      </c>
      <c r="CI46" s="1479" t="n">
        <f aca="false">CJ46-CK46</f>
        <v>7.26</v>
      </c>
      <c r="CJ46" s="2023" t="n">
        <v>25.21</v>
      </c>
      <c r="CK46" s="2023" t="n">
        <v>17.95</v>
      </c>
      <c r="CL46" s="1479" t="n">
        <f aca="false">CM46-CN46</f>
        <v>2.57</v>
      </c>
      <c r="CM46" s="2023" t="n">
        <v>3.69</v>
      </c>
      <c r="CN46" s="2023" t="n">
        <v>1.12</v>
      </c>
      <c r="CO46" s="2023" t="n">
        <f aca="false">CP46-CQ46</f>
        <v>-3.56</v>
      </c>
      <c r="CP46" s="2023" t="n">
        <v>4.36</v>
      </c>
      <c r="CQ46" s="2023" t="n">
        <v>7.92</v>
      </c>
      <c r="CR46" s="1478" t="n">
        <f aca="false">CS46-CT46</f>
        <v>-12.48</v>
      </c>
      <c r="CS46" s="1478" t="n">
        <v>2.81</v>
      </c>
      <c r="CT46" s="1478" t="n">
        <v>15.29</v>
      </c>
      <c r="CU46" s="1478" t="n">
        <f aca="false">CV46-CW46</f>
        <v>-1.27</v>
      </c>
      <c r="CV46" s="485" t="n">
        <v>0.22</v>
      </c>
      <c r="CW46" s="1478" t="n">
        <v>1.49</v>
      </c>
      <c r="CX46" s="1998" t="n">
        <f aca="false">D46+DD46-DF46</f>
        <v>182.567277023065</v>
      </c>
      <c r="CY46" s="2007" t="n">
        <f aca="false">CX46-DC46-DD46</f>
        <v>163.327273023065</v>
      </c>
      <c r="CZ46" s="1509" t="n">
        <f aca="false">BR46</f>
        <v>112.98</v>
      </c>
      <c r="DA46" s="2023" t="n">
        <f aca="false">D46-DF46-CZ46-DC46</f>
        <v>50.3472730230655</v>
      </c>
      <c r="DB46" s="2023"/>
      <c r="DC46" s="2017" t="n">
        <f aca="false">CI46</f>
        <v>7.26</v>
      </c>
      <c r="DD46" s="1478" t="n">
        <v>11.980004</v>
      </c>
      <c r="DE46" s="1997" t="n">
        <v>38.5</v>
      </c>
      <c r="DF46" s="2007" t="n">
        <f aca="false">DI46+DL46+DM46+DU46</f>
        <v>592.792726976935</v>
      </c>
      <c r="DG46" s="2011" t="n">
        <f aca="false">DH46+DU46</f>
        <v>533.48</v>
      </c>
      <c r="DH46" s="2010" t="n">
        <f aca="false">DJ46+DL46+AE46</f>
        <v>530.91</v>
      </c>
      <c r="DI46" s="2011" t="n">
        <f aca="false">Y46</f>
        <v>441.19</v>
      </c>
      <c r="DJ46" s="2035" t="n">
        <f aca="false">AZ46</f>
        <v>362.59</v>
      </c>
      <c r="DK46" s="2035" t="n">
        <f aca="false">AS46</f>
        <v>78.6</v>
      </c>
      <c r="DL46" s="1509" t="n">
        <f aca="false">BM46</f>
        <v>89.72</v>
      </c>
      <c r="DM46" s="2009" t="n">
        <f aca="false">GK46*DN46*DH46/GJ46</f>
        <v>59.3127269769346</v>
      </c>
      <c r="DN46" s="2013" t="n">
        <f aca="false">DN47</f>
        <v>0.895905244977209</v>
      </c>
      <c r="DO46" s="2009"/>
      <c r="DP46" s="2009" t="n">
        <f aca="false">GK46*DH46/GJ46</f>
        <v>66.2042412514768</v>
      </c>
      <c r="DQ46" s="2009" t="n">
        <f aca="false">2/3*DP46</f>
        <v>44.1361608343179</v>
      </c>
      <c r="DR46" s="2009" t="n">
        <f aca="false">DS46*(DH46/GJ46)*GK46</f>
        <v>80.5921757360833</v>
      </c>
      <c r="DS46" s="514" t="n">
        <f aca="false">(DT46/GK46)/(DH46/GJ46)</f>
        <v>1.21732647656143</v>
      </c>
      <c r="DT46" s="2012" t="n">
        <v>80.5921757360833</v>
      </c>
      <c r="DU46" s="2015" t="n">
        <f aca="false">CL46</f>
        <v>2.57</v>
      </c>
      <c r="DV46" s="2007" t="n">
        <f aca="false">DW46+DX46+DY46+EB46</f>
        <v>366.55</v>
      </c>
      <c r="DW46" s="1509" t="n">
        <f aca="false">I46</f>
        <v>87.53</v>
      </c>
      <c r="DX46" s="2017" t="n">
        <f aca="false">BS46</f>
        <v>19.81</v>
      </c>
      <c r="DY46" s="2017" t="n">
        <f aca="false">EE46+EF46</f>
        <v>98.55</v>
      </c>
      <c r="DZ46" s="2018" t="n">
        <f aca="false">EF46+EE46-EA46</f>
        <v>14.5504947569511</v>
      </c>
      <c r="EA46" s="2018" t="n">
        <f aca="false">EE46*(DF46-EB46+EH46)/(0.5*CX46+DF46-EB46+EH46)</f>
        <v>83.9995052430489</v>
      </c>
      <c r="EB46" s="1478" t="n">
        <v>160.66</v>
      </c>
      <c r="EC46" s="2018" t="n">
        <f aca="false">DX46+DZ46</f>
        <v>34.3604947569511</v>
      </c>
      <c r="ED46" s="2018" t="n">
        <f aca="false">EA46+EB46</f>
        <v>244.659505243049</v>
      </c>
      <c r="EE46" s="1478" t="n">
        <v>97.78</v>
      </c>
      <c r="EF46" s="2017" t="n">
        <v>0.77</v>
      </c>
      <c r="EG46" s="1478" t="n">
        <v>150.36</v>
      </c>
      <c r="EH46" s="2017" t="n">
        <f aca="false">EG46-EI46</f>
        <v>124.29</v>
      </c>
      <c r="EI46" s="2023" t="n">
        <v>26.07</v>
      </c>
      <c r="EJ46" s="2023" t="n">
        <v>60.76</v>
      </c>
      <c r="EK46" s="2032" t="n">
        <v>6.58</v>
      </c>
      <c r="EL46" s="2017" t="n">
        <f aca="false">EM46-(DV46-EF46)</f>
        <v>0.300000000000011</v>
      </c>
      <c r="EM46" s="2017" t="n">
        <f aca="false">EP46+S46+EG46+EN46+DD46</f>
        <v>366.08</v>
      </c>
      <c r="EN46" s="2017" t="n">
        <v>6.58</v>
      </c>
      <c r="EO46" s="2019" t="n">
        <f aca="false">EM46-EG46-EN46-DD46</f>
        <v>197.159996</v>
      </c>
      <c r="EP46" s="2019" t="n">
        <f aca="false">ER46-EQ46</f>
        <v>6.44999599999994</v>
      </c>
      <c r="EQ46" s="2017" t="n">
        <v>-11.61</v>
      </c>
      <c r="ER46" s="2023" t="n">
        <f aca="false">EU46+ES46-BP46+ET46</f>
        <v>-5.16000400000007</v>
      </c>
      <c r="ES46" s="2023" t="n">
        <v>24.77</v>
      </c>
      <c r="ET46" s="2023" t="n">
        <v>-0.36</v>
      </c>
      <c r="EU46" s="2023" t="n">
        <v>-11.3100040000001</v>
      </c>
      <c r="EV46" s="2024" t="n">
        <f aca="false">B46-DV46+EH46+DD46-CO46</f>
        <v>624.190004</v>
      </c>
      <c r="EW46" s="1478" t="n">
        <f aca="false">CX46-EC46</f>
        <v>148.206782266114</v>
      </c>
      <c r="EX46" s="1478" t="n">
        <f aca="false">($DF46-$EB46)-$EA46*($DF46-$EB46)/($DF46-$EB46+$EH46)</f>
        <v>366.896471328993</v>
      </c>
      <c r="EY46" s="1478" t="n">
        <f aca="false">$EH46-$EA46*$EH46/($DF46-$EB46+$EH46)</f>
        <v>105.526750404893</v>
      </c>
      <c r="EZ46" s="1478" t="n">
        <f aca="false">EV46+EI46</f>
        <v>650.260004</v>
      </c>
      <c r="FA46" s="1478" t="n">
        <v>641.27</v>
      </c>
      <c r="FB46" s="1478" t="n">
        <v>74.56</v>
      </c>
      <c r="FC46" s="1478" t="n">
        <f aca="false">FB46+AG46</f>
        <v>116.05</v>
      </c>
      <c r="FD46" s="1997" t="n">
        <f aca="false">FB46+BU46-BV46</f>
        <v>79.28</v>
      </c>
      <c r="FE46" s="1478" t="n">
        <v>3.46</v>
      </c>
      <c r="FF46" s="1478" t="n">
        <v>6.88</v>
      </c>
      <c r="FG46" s="1478" t="n">
        <f aca="false">FE46+FF46</f>
        <v>10.34</v>
      </c>
      <c r="FH46" s="514" t="n">
        <f aca="false">FG46/FD46</f>
        <v>0.130423814328961</v>
      </c>
      <c r="FI46" s="1994" t="n">
        <f aca="false">FB46+FE46</f>
        <v>78.02</v>
      </c>
      <c r="FJ46" s="1994" t="n">
        <f aca="false">BU46-BV46+FF46</f>
        <v>11.6</v>
      </c>
      <c r="FK46" s="2025" t="n">
        <f aca="false">FI46+FJ46</f>
        <v>89.62</v>
      </c>
      <c r="FL46" s="1994" t="n">
        <f aca="false">FO46+FP46+FS46</f>
        <v>78.02</v>
      </c>
      <c r="FM46" s="1997" t="n">
        <v>72.82</v>
      </c>
      <c r="FO46" s="1995" t="n">
        <f aca="false">FM46-AG46</f>
        <v>31.33</v>
      </c>
      <c r="FP46" s="1997" t="n">
        <v>0.21</v>
      </c>
      <c r="FQ46" s="1478" t="n">
        <f aca="false">FI46-FO46-FP46</f>
        <v>46.48</v>
      </c>
      <c r="FR46" s="1997" t="n">
        <v>0</v>
      </c>
      <c r="FS46" s="1478" t="n">
        <f aca="false">FQ46+FR46</f>
        <v>46.48</v>
      </c>
      <c r="FT46" s="514"/>
      <c r="FU46" s="514"/>
      <c r="FV46" s="514"/>
      <c r="FW46" s="2025"/>
      <c r="FX46" s="2026" t="n">
        <f aca="false">FY46+FZ46</f>
        <v>100.3</v>
      </c>
      <c r="FY46" s="1997" t="n">
        <v>94.31</v>
      </c>
      <c r="FZ46" s="1999" t="n">
        <v>5.99</v>
      </c>
      <c r="GA46" s="2015" t="n">
        <v>0</v>
      </c>
      <c r="GB46" s="402" t="n">
        <v>0.0203562340966923</v>
      </c>
      <c r="GC46" s="387" t="n">
        <v>0.0206623699770396</v>
      </c>
      <c r="GD46" s="387" t="n">
        <f aca="false">(G46/G45)/(1+GE46)-1</f>
        <v>0.0212393651957417</v>
      </c>
      <c r="GE46" s="387" t="n">
        <v>0.0232872596153846</v>
      </c>
      <c r="GF46" s="387" t="n">
        <v>0.0169300225733635</v>
      </c>
      <c r="GG46" s="2033" t="n">
        <v>70.43205</v>
      </c>
      <c r="GH46" s="465" t="n">
        <v>61034.865</v>
      </c>
      <c r="GI46" s="465" t="n">
        <f aca="false">GJ46+GK46</f>
        <v>27608</v>
      </c>
      <c r="GJ46" s="465" t="n">
        <v>24547</v>
      </c>
      <c r="GK46" s="465" t="n">
        <v>3061</v>
      </c>
      <c r="GL46" s="25" t="n">
        <f aca="false">GL45+(GL$51-GL$41)/10</f>
        <v>0.236</v>
      </c>
      <c r="GM46" s="25" t="n">
        <f aca="false">GK46/GI46</f>
        <v>0.110873659808751</v>
      </c>
      <c r="GN46" s="385" t="n">
        <v>61034.865</v>
      </c>
      <c r="GO46" s="1932" t="n">
        <f aca="false">CX46</f>
        <v>182.567277023065</v>
      </c>
      <c r="GP46" s="1932" t="n">
        <f aca="false">BU46</f>
        <v>11.95</v>
      </c>
      <c r="GQ46" s="1932" t="n">
        <f aca="false">BW46</f>
        <v>-4.13</v>
      </c>
      <c r="GR46" s="1932"/>
      <c r="GS46" s="1509"/>
      <c r="GT46" s="1932"/>
      <c r="GU46" s="1509" t="n">
        <v>15.8</v>
      </c>
      <c r="GV46" s="1509"/>
      <c r="GW46" s="1478" t="n">
        <v>0.71</v>
      </c>
      <c r="GX46" s="1509" t="n">
        <f aca="false">GY46+GZ46</f>
        <v>92.41</v>
      </c>
      <c r="GY46" s="1478" t="n">
        <v>72.6</v>
      </c>
      <c r="GZ46" s="24" t="n">
        <f aca="false">DX46</f>
        <v>19.81</v>
      </c>
      <c r="HA46" s="1478" t="n">
        <v>53.98</v>
      </c>
      <c r="HB46" s="1478"/>
      <c r="HC46" s="1478"/>
      <c r="HD46" s="24" t="n">
        <f aca="false">DE46</f>
        <v>38.5</v>
      </c>
      <c r="HE46" s="1997"/>
      <c r="HF46" s="1478"/>
      <c r="HG46" s="1478"/>
      <c r="HH46" s="1478"/>
      <c r="HI46" s="1478"/>
      <c r="HJ46" s="1478"/>
      <c r="HK46" s="387"/>
    </row>
    <row r="47" customFormat="false" ht="12" hidden="false" customHeight="false" outlineLevel="0" collapsed="false">
      <c r="A47" s="31" t="n">
        <f aca="false">A46+1</f>
        <v>1986</v>
      </c>
      <c r="B47" s="1994" t="n">
        <f aca="false">E47+F47</f>
        <v>895.79</v>
      </c>
      <c r="C47" s="432" t="n">
        <f aca="false">B47+CR47</f>
        <v>884.14</v>
      </c>
      <c r="D47" s="1995" t="n">
        <f aca="false">B47-I47</f>
        <v>806.72</v>
      </c>
      <c r="E47" s="1996" t="n">
        <f aca="false">CH47</f>
        <v>4.06</v>
      </c>
      <c r="F47" s="1994" t="n">
        <f aca="false">J47+AC47+AV47+BM47</f>
        <v>891.73</v>
      </c>
      <c r="G47" s="1478" t="n">
        <f aca="false">J47+X47+BN47</f>
        <v>1037.13</v>
      </c>
      <c r="H47" s="1478" t="n">
        <f aca="false">AG47+BA47+BP47</f>
        <v>145.4</v>
      </c>
      <c r="I47" s="853" t="n">
        <v>89.07</v>
      </c>
      <c r="J47" s="395" t="n">
        <f aca="false">I47-CO47</f>
        <v>92.81</v>
      </c>
      <c r="K47" s="1478"/>
      <c r="L47" s="1478" t="n">
        <f aca="false">M47+N47+O47+P47+Q47</f>
        <v>3.34</v>
      </c>
      <c r="M47" s="1478" t="n">
        <v>-0.82</v>
      </c>
      <c r="N47" s="1478" t="n">
        <v>4.09</v>
      </c>
      <c r="O47" s="1478" t="n">
        <v>1.76</v>
      </c>
      <c r="P47" s="1478" t="n">
        <v>-0.68</v>
      </c>
      <c r="Q47" s="1999" t="n">
        <v>-1.01</v>
      </c>
      <c r="R47" s="1997" t="n">
        <v>577.32</v>
      </c>
      <c r="S47" s="1997" t="n">
        <v>199.78</v>
      </c>
      <c r="T47" s="1997" t="n">
        <v>208.67</v>
      </c>
      <c r="U47" s="1997" t="n">
        <v>311.98</v>
      </c>
      <c r="V47" s="1999" t="n">
        <v>260.62</v>
      </c>
      <c r="W47" s="395" t="n">
        <f aca="false">AC47+AV47</f>
        <v>705.03</v>
      </c>
      <c r="X47" s="1997" t="n">
        <f aca="false">W47+AA47</f>
        <v>831.44</v>
      </c>
      <c r="Y47" s="1997" t="n">
        <f aca="false">AE47+AZ47</f>
        <v>465.25</v>
      </c>
      <c r="Z47" s="1997" t="n">
        <f aca="false">W47-Y47</f>
        <v>239.78</v>
      </c>
      <c r="AA47" s="1997" t="n">
        <f aca="false">AG47+BA47</f>
        <v>126.41</v>
      </c>
      <c r="AB47" s="1319" t="n">
        <f aca="false">AA47/X47</f>
        <v>0.152037429038776</v>
      </c>
      <c r="AC47" s="1509" t="n">
        <f aca="false">AF47+AE47</f>
        <v>197.44</v>
      </c>
      <c r="AD47" s="1509" t="n">
        <f aca="false">AF47+AG47+AE47</f>
        <v>240.5</v>
      </c>
      <c r="AE47" s="1509" t="n">
        <f aca="false">AS47</f>
        <v>82.15</v>
      </c>
      <c r="AF47" s="1997" t="n">
        <v>115.29</v>
      </c>
      <c r="AG47" s="1997" t="n">
        <v>43.06</v>
      </c>
      <c r="AH47" s="1319" t="n">
        <f aca="false">AG47/AD47</f>
        <v>0.179043659043659</v>
      </c>
      <c r="AI47" s="2002"/>
      <c r="AJ47" s="2002"/>
      <c r="AK47" s="1478"/>
      <c r="AL47" s="1478"/>
      <c r="AM47" s="821"/>
      <c r="AN47" s="2030"/>
      <c r="AO47" s="1478"/>
      <c r="AP47" s="1478"/>
      <c r="AQ47" s="2004"/>
      <c r="AR47" s="1478"/>
      <c r="AS47" s="1478" t="n">
        <v>82.15</v>
      </c>
      <c r="AT47" s="1478"/>
      <c r="AU47" s="2005"/>
      <c r="AV47" s="2001" t="n">
        <f aca="false">AW47-BA47</f>
        <v>507.59</v>
      </c>
      <c r="AW47" s="2004" t="n">
        <f aca="false">AY47+AZ47</f>
        <v>590.94</v>
      </c>
      <c r="AX47" s="2004" t="n">
        <f aca="false">BD47+BI47</f>
        <v>124.49</v>
      </c>
      <c r="AY47" s="1932" t="n">
        <f aca="false">AX47+BA47</f>
        <v>207.84</v>
      </c>
      <c r="AZ47" s="1478" t="n">
        <f aca="false">BF47+BK47</f>
        <v>383.1</v>
      </c>
      <c r="BA47" s="1478" t="n">
        <f aca="false">BG47+BL47</f>
        <v>83.35</v>
      </c>
      <c r="BB47" s="821" t="n">
        <f aca="false">BA47/AW47</f>
        <v>0.141046468338579</v>
      </c>
      <c r="BC47" s="1478" t="n">
        <f aca="false">BE47+BF47</f>
        <v>550.42</v>
      </c>
      <c r="BD47" s="1478" t="n">
        <v>113.14</v>
      </c>
      <c r="BE47" s="1509" t="n">
        <f aca="false">BD47+BG47</f>
        <v>192.84</v>
      </c>
      <c r="BF47" s="1478" t="n">
        <v>357.58</v>
      </c>
      <c r="BG47" s="1997" t="n">
        <v>79.7</v>
      </c>
      <c r="BH47" s="1478" t="n">
        <f aca="false">BJ47+BK47</f>
        <v>40.52</v>
      </c>
      <c r="BI47" s="1478" t="n">
        <v>11.35</v>
      </c>
      <c r="BJ47" s="1509" t="n">
        <f aca="false">BI47+BL47</f>
        <v>15</v>
      </c>
      <c r="BK47" s="1478" t="n">
        <v>25.52</v>
      </c>
      <c r="BL47" s="1997" t="n">
        <v>3.65</v>
      </c>
      <c r="BM47" s="2001" t="n">
        <f aca="false">BN47-BP47</f>
        <v>93.89</v>
      </c>
      <c r="BN47" s="2004" t="n">
        <f aca="false">BO47+BP47</f>
        <v>112.88</v>
      </c>
      <c r="BO47" s="1478" t="n">
        <v>93.89</v>
      </c>
      <c r="BP47" s="1997" t="n">
        <v>18.99</v>
      </c>
      <c r="BQ47" s="2005" t="n">
        <f aca="false">BP47/BN47</f>
        <v>0.168231750531538</v>
      </c>
      <c r="BR47" s="1509" t="n">
        <f aca="false">AY47-BA47</f>
        <v>124.49</v>
      </c>
      <c r="BS47" s="1509" t="n">
        <f aca="false">BX47+CC47</f>
        <v>19.81</v>
      </c>
      <c r="BT47" s="1509" t="n">
        <f aca="false">BY47-BZ47+CD47-CE47</f>
        <v>83.39</v>
      </c>
      <c r="BU47" s="1509" t="n">
        <f aca="false">BR47-BS47-BT47-BW47</f>
        <v>25.01</v>
      </c>
      <c r="BV47" s="1509" t="n">
        <v>6.93</v>
      </c>
      <c r="BW47" s="1509" t="n">
        <f aca="false">CB47+CG47</f>
        <v>-3.72</v>
      </c>
      <c r="BX47" s="1997" t="n">
        <v>12.96</v>
      </c>
      <c r="BY47" s="1997" t="n">
        <v>105.71</v>
      </c>
      <c r="BZ47" s="1478" t="n">
        <v>17.75</v>
      </c>
      <c r="CA47" s="1509"/>
      <c r="CB47" s="1997" t="n">
        <v>-2.49</v>
      </c>
      <c r="CC47" s="1997" t="n">
        <v>6.85</v>
      </c>
      <c r="CD47" s="1997" t="n">
        <v>134.93</v>
      </c>
      <c r="CE47" s="1997" t="n">
        <v>139.5</v>
      </c>
      <c r="CF47" s="1997"/>
      <c r="CG47" s="1997" t="n">
        <v>-1.23</v>
      </c>
      <c r="CH47" s="1482" t="n">
        <f aca="false">CI47+CL47+CO47</f>
        <v>4.06</v>
      </c>
      <c r="CI47" s="1479" t="n">
        <f aca="false">CJ47-CK47</f>
        <v>5.2</v>
      </c>
      <c r="CJ47" s="2023" t="n">
        <v>26.29</v>
      </c>
      <c r="CK47" s="2023" t="n">
        <v>21.09</v>
      </c>
      <c r="CL47" s="1479" t="n">
        <f aca="false">CM47-CN47</f>
        <v>2.6</v>
      </c>
      <c r="CM47" s="2023" t="n">
        <v>3.78</v>
      </c>
      <c r="CN47" s="2023" t="n">
        <v>1.18</v>
      </c>
      <c r="CO47" s="2023" t="n">
        <f aca="false">CP47-CQ47</f>
        <v>-3.74</v>
      </c>
      <c r="CP47" s="2023" t="n">
        <v>5.35</v>
      </c>
      <c r="CQ47" s="2023" t="n">
        <v>9.09</v>
      </c>
      <c r="CR47" s="1478" t="n">
        <f aca="false">CS47-CT47</f>
        <v>-11.65</v>
      </c>
      <c r="CS47" s="1478" t="n">
        <v>3.06</v>
      </c>
      <c r="CT47" s="1478" t="n">
        <v>14.71</v>
      </c>
      <c r="CU47" s="1478" t="n">
        <f aca="false">CV47-CW47</f>
        <v>-1.11</v>
      </c>
      <c r="CV47" s="485" t="n">
        <v>0.23</v>
      </c>
      <c r="CW47" s="1478" t="n">
        <v>1.34</v>
      </c>
      <c r="CX47" s="1998" t="n">
        <f aca="false">D47+DD47-DF47</f>
        <v>195.74767309242</v>
      </c>
      <c r="CY47" s="2007" t="n">
        <f aca="false">CX47-DC47-DD47</f>
        <v>178.11766909242</v>
      </c>
      <c r="CZ47" s="1509" t="n">
        <f aca="false">BR47</f>
        <v>124.49</v>
      </c>
      <c r="DA47" s="2023" t="n">
        <f aca="false">D47-DF47-CZ47-DC47</f>
        <v>53.6276690924202</v>
      </c>
      <c r="DB47" s="2023"/>
      <c r="DC47" s="2017" t="n">
        <f aca="false">CI47</f>
        <v>5.2</v>
      </c>
      <c r="DD47" s="1478" t="n">
        <v>12.430004</v>
      </c>
      <c r="DE47" s="1997" t="n">
        <v>32.91</v>
      </c>
      <c r="DF47" s="2007" t="n">
        <f aca="false">DI47+DL47+DM47+DU47</f>
        <v>623.40233090758</v>
      </c>
      <c r="DG47" s="2011" t="n">
        <f aca="false">DH47+DU47</f>
        <v>561.74</v>
      </c>
      <c r="DH47" s="2010" t="n">
        <f aca="false">DJ47+DL47+AE47</f>
        <v>559.14</v>
      </c>
      <c r="DI47" s="2011" t="n">
        <f aca="false">Y47</f>
        <v>465.25</v>
      </c>
      <c r="DJ47" s="2035" t="n">
        <f aca="false">AZ47</f>
        <v>383.1</v>
      </c>
      <c r="DK47" s="2035" t="n">
        <f aca="false">AS47</f>
        <v>82.15</v>
      </c>
      <c r="DL47" s="1509" t="n">
        <f aca="false">BM47</f>
        <v>93.89</v>
      </c>
      <c r="DM47" s="2009" t="n">
        <f aca="false">GK47*DN47*DH47/GJ47</f>
        <v>61.6623309075797</v>
      </c>
      <c r="DN47" s="2013" t="n">
        <f aca="false">DN48</f>
        <v>0.895905244977209</v>
      </c>
      <c r="DO47" s="2009"/>
      <c r="DP47" s="2009" t="n">
        <f aca="false">GK47*DH47/GJ47</f>
        <v>68.8268444160613</v>
      </c>
      <c r="DQ47" s="2009" t="n">
        <f aca="false">2/3*DP47</f>
        <v>45.8845629440409</v>
      </c>
      <c r="DR47" s="2009" t="n">
        <f aca="false">DS47*(DH47/GJ47)*GK47</f>
        <v>84.4409273146185</v>
      </c>
      <c r="DS47" s="514" t="n">
        <f aca="false">(DT47/GK47)/(DH47/GJ47)</f>
        <v>1.2268603628574</v>
      </c>
      <c r="DT47" s="2012" t="n">
        <v>84.4409273146185</v>
      </c>
      <c r="DU47" s="2015" t="n">
        <f aca="false">CL47</f>
        <v>2.6</v>
      </c>
      <c r="DV47" s="2007" t="n">
        <f aca="false">DW47+DX47+DY47+EB47</f>
        <v>380.89</v>
      </c>
      <c r="DW47" s="1509" t="n">
        <f aca="false">I47</f>
        <v>89.07</v>
      </c>
      <c r="DX47" s="2017" t="n">
        <f aca="false">BS47</f>
        <v>19.81</v>
      </c>
      <c r="DY47" s="2017" t="n">
        <f aca="false">EE47+EF47</f>
        <v>102.68</v>
      </c>
      <c r="DZ47" s="2018" t="n">
        <f aca="false">EF47+EE47-EA47</f>
        <v>15.6068881132761</v>
      </c>
      <c r="EA47" s="2018" t="n">
        <f aca="false">EE47*(DF47-EB47+EH47)/(0.5*CX47+DF47-EB47+EH47)</f>
        <v>87.0731118867239</v>
      </c>
      <c r="EB47" s="1478" t="n">
        <v>169.33</v>
      </c>
      <c r="EC47" s="2018" t="n">
        <f aca="false">DX47+DZ47</f>
        <v>35.4168881132761</v>
      </c>
      <c r="ED47" s="2018" t="n">
        <f aca="false">EA47+EB47</f>
        <v>256.403111886724</v>
      </c>
      <c r="EE47" s="1478" t="n">
        <v>101.72</v>
      </c>
      <c r="EF47" s="2017" t="n">
        <v>0.96</v>
      </c>
      <c r="EG47" s="1478" t="n">
        <v>155.91</v>
      </c>
      <c r="EH47" s="2017" t="n">
        <f aca="false">EG47-EI47</f>
        <v>127.77</v>
      </c>
      <c r="EI47" s="2023" t="n">
        <v>28.14</v>
      </c>
      <c r="EJ47" s="2023" t="n">
        <v>63.86</v>
      </c>
      <c r="EK47" s="2032" t="n">
        <v>6.03</v>
      </c>
      <c r="EL47" s="2017" t="n">
        <f aca="false">EM47-(DV47-EF47)</f>
        <v>0.569999999999936</v>
      </c>
      <c r="EM47" s="2017" t="n">
        <f aca="false">EP47+S47+EG47+EN47+DD47</f>
        <v>380.5</v>
      </c>
      <c r="EN47" s="2017" t="n">
        <v>6.03</v>
      </c>
      <c r="EO47" s="2019" t="n">
        <f aca="false">EM47-EG47-EN47-DD47</f>
        <v>206.129996</v>
      </c>
      <c r="EP47" s="2019" t="n">
        <f aca="false">ER47-EQ47</f>
        <v>6.34999599999999</v>
      </c>
      <c r="EQ47" s="2017" t="n">
        <v>-10.4</v>
      </c>
      <c r="ER47" s="2023" t="n">
        <f aca="false">EU47+ES47-BP47+ET47</f>
        <v>-4.05000400000001</v>
      </c>
      <c r="ES47" s="2023" t="n">
        <v>27.2</v>
      </c>
      <c r="ET47" s="2023" t="n">
        <v>-0.33</v>
      </c>
      <c r="EU47" s="2023" t="n">
        <v>-11.930004</v>
      </c>
      <c r="EV47" s="2024" t="n">
        <f aca="false">B47-DV47+EH47+DD47-CO47</f>
        <v>658.840004</v>
      </c>
      <c r="EW47" s="1478" t="n">
        <f aca="false">CX47-EC47</f>
        <v>160.330784979144</v>
      </c>
      <c r="EX47" s="1478" t="n">
        <f aca="false">($DF47-$EB47)-$EA47*($DF47-$EB47)/($DF47-$EB47+$EH47)</f>
        <v>386.120088910836</v>
      </c>
      <c r="EY47" s="1478" t="n">
        <f aca="false">$EH47-$EA47*$EH47/($DF47-$EB47+$EH47)</f>
        <v>108.64913011002</v>
      </c>
      <c r="EZ47" s="1478" t="n">
        <f aca="false">EV47+EI47</f>
        <v>686.980004</v>
      </c>
      <c r="FA47" s="1478" t="n">
        <v>678.01</v>
      </c>
      <c r="FB47" s="1478" t="n">
        <v>82.6100000000001</v>
      </c>
      <c r="FC47" s="1478" t="n">
        <f aca="false">FB47+AG47</f>
        <v>125.67</v>
      </c>
      <c r="FD47" s="1997" t="n">
        <f aca="false">FB47+BU47-BV47</f>
        <v>100.69</v>
      </c>
      <c r="FE47" s="1478" t="n">
        <v>2.96</v>
      </c>
      <c r="FF47" s="1478" t="n">
        <v>6.33</v>
      </c>
      <c r="FG47" s="1478" t="n">
        <f aca="false">FE47+FF47</f>
        <v>9.29</v>
      </c>
      <c r="FH47" s="514" t="n">
        <f aca="false">FG47/FD47</f>
        <v>0.0922633826596483</v>
      </c>
      <c r="FI47" s="1994" t="n">
        <f aca="false">FB47+FE47</f>
        <v>85.5700000000001</v>
      </c>
      <c r="FJ47" s="1994" t="n">
        <f aca="false">BU47-BV47+FF47</f>
        <v>24.41</v>
      </c>
      <c r="FK47" s="2025" t="n">
        <f aca="false">FI47+FJ47</f>
        <v>109.98</v>
      </c>
      <c r="FL47" s="1994" t="n">
        <f aca="false">FO47+FP47+FS47</f>
        <v>85.5700000000001</v>
      </c>
      <c r="FM47" s="1997" t="n">
        <v>75.36</v>
      </c>
      <c r="FO47" s="1995" t="n">
        <f aca="false">FM47-AG47</f>
        <v>32.3</v>
      </c>
      <c r="FP47" s="1997" t="n">
        <v>0.23</v>
      </c>
      <c r="FQ47" s="1478" t="n">
        <f aca="false">FI47-FO47-FP47</f>
        <v>53.0400000000001</v>
      </c>
      <c r="FR47" s="1997" t="n">
        <v>0</v>
      </c>
      <c r="FS47" s="1478" t="n">
        <f aca="false">FQ47+FR47</f>
        <v>53.0400000000001</v>
      </c>
      <c r="FT47" s="514"/>
      <c r="FU47" s="514"/>
      <c r="FV47" s="514"/>
      <c r="FW47" s="2025"/>
      <c r="FX47" s="2026" t="n">
        <f aca="false">FY47+FZ47</f>
        <v>106.11</v>
      </c>
      <c r="FY47" s="1997" t="n">
        <v>100.71</v>
      </c>
      <c r="FZ47" s="1999" t="n">
        <v>5.4</v>
      </c>
      <c r="GA47" s="2015" t="n">
        <v>0</v>
      </c>
      <c r="GB47" s="402" t="n">
        <v>-0.00124688279301755</v>
      </c>
      <c r="GC47" s="387" t="n">
        <v>-0.00129409116273904</v>
      </c>
      <c r="GD47" s="387" t="n">
        <f aca="false">(G47/G46)/(1+GE47)-1</f>
        <v>0.0299644852076948</v>
      </c>
      <c r="GE47" s="387" t="n">
        <v>0.0229041256790485</v>
      </c>
      <c r="GF47" s="387" t="n">
        <v>-0.00554938956714757</v>
      </c>
      <c r="GG47" s="2033" t="n">
        <v>72.67523</v>
      </c>
      <c r="GH47" s="465" t="n">
        <v>61080.4675</v>
      </c>
      <c r="GI47" s="465" t="n">
        <f aca="false">GJ47+GK47</f>
        <v>28138</v>
      </c>
      <c r="GJ47" s="465" t="n">
        <v>25054</v>
      </c>
      <c r="GK47" s="465" t="n">
        <v>3084</v>
      </c>
      <c r="GL47" s="25" t="n">
        <f aca="false">GL46+(GL$51-GL$41)/10</f>
        <v>0.2304</v>
      </c>
      <c r="GM47" s="25" t="n">
        <f aca="false">GK47/GI47</f>
        <v>0.109602672542469</v>
      </c>
      <c r="GN47" s="385" t="n">
        <v>61080.4675</v>
      </c>
      <c r="GO47" s="1932" t="n">
        <f aca="false">CX47</f>
        <v>195.74767309242</v>
      </c>
      <c r="GP47" s="1932" t="n">
        <f aca="false">BU47</f>
        <v>25.01</v>
      </c>
      <c r="GQ47" s="1932" t="n">
        <f aca="false">BW47</f>
        <v>-3.72</v>
      </c>
      <c r="GR47" s="1932"/>
      <c r="GS47" s="1509"/>
      <c r="GT47" s="1932"/>
      <c r="GU47" s="1509" t="n">
        <v>17.34</v>
      </c>
      <c r="GV47" s="1509"/>
      <c r="GW47" s="1478" t="n">
        <v>0.73</v>
      </c>
      <c r="GX47" s="1509" t="n">
        <f aca="false">GY47+GZ47</f>
        <v>87.14</v>
      </c>
      <c r="GY47" s="1478" t="n">
        <v>67.33</v>
      </c>
      <c r="GZ47" s="24" t="n">
        <f aca="false">DX47</f>
        <v>19.81</v>
      </c>
      <c r="HA47" s="1478" t="n">
        <v>48.53</v>
      </c>
      <c r="HB47" s="1478"/>
      <c r="HC47" s="1478"/>
      <c r="HD47" s="24" t="n">
        <f aca="false">DE47</f>
        <v>32.91</v>
      </c>
      <c r="HE47" s="1997"/>
      <c r="HF47" s="1478"/>
      <c r="HG47" s="1478"/>
      <c r="HH47" s="1478"/>
      <c r="HI47" s="1478"/>
      <c r="HJ47" s="1478"/>
      <c r="HK47" s="387"/>
    </row>
    <row r="48" customFormat="false" ht="12" hidden="false" customHeight="false" outlineLevel="0" collapsed="false">
      <c r="A48" s="31" t="n">
        <f aca="false">A47+1</f>
        <v>1987</v>
      </c>
      <c r="B48" s="1994" t="n">
        <f aca="false">E48+F48</f>
        <v>916.96</v>
      </c>
      <c r="C48" s="432" t="n">
        <f aca="false">B48+CR48</f>
        <v>905.29</v>
      </c>
      <c r="D48" s="1995" t="n">
        <f aca="false">B48-I48</f>
        <v>826.29</v>
      </c>
      <c r="E48" s="1996" t="n">
        <f aca="false">CH48</f>
        <v>2.62</v>
      </c>
      <c r="F48" s="1994" t="n">
        <f aca="false">J48+AC48+AV48+BM48</f>
        <v>914.34</v>
      </c>
      <c r="G48" s="1478" t="n">
        <f aca="false">J48+X48+BN48</f>
        <v>1065.13</v>
      </c>
      <c r="H48" s="1478" t="n">
        <f aca="false">AG48+BA48+BP48</f>
        <v>150.79</v>
      </c>
      <c r="I48" s="853" t="n">
        <v>90.67</v>
      </c>
      <c r="J48" s="395" t="n">
        <f aca="false">I48-CO48</f>
        <v>94.48</v>
      </c>
      <c r="K48" s="1478"/>
      <c r="L48" s="1478" t="n">
        <f aca="false">M48+N48+O48+P48+Q48</f>
        <v>1.10999999999999</v>
      </c>
      <c r="M48" s="1478" t="n">
        <v>-0.57</v>
      </c>
      <c r="N48" s="1478" t="n">
        <v>1.62</v>
      </c>
      <c r="O48" s="1478" t="n">
        <v>1.74</v>
      </c>
      <c r="P48" s="1478" t="n">
        <v>-0.77</v>
      </c>
      <c r="Q48" s="1999" t="n">
        <v>-0.910000000000007</v>
      </c>
      <c r="R48" s="1997" t="n">
        <v>597.26</v>
      </c>
      <c r="S48" s="1997" t="n">
        <v>207.35</v>
      </c>
      <c r="T48" s="1997" t="n">
        <v>208.82</v>
      </c>
      <c r="U48" s="1997" t="n">
        <v>311.31</v>
      </c>
      <c r="V48" s="1999" t="n">
        <v>259.61</v>
      </c>
      <c r="W48" s="395" t="n">
        <f aca="false">AC48+AV48</f>
        <v>722.74</v>
      </c>
      <c r="X48" s="1997" t="n">
        <f aca="false">W48+AA48</f>
        <v>853.87</v>
      </c>
      <c r="Y48" s="1997" t="n">
        <f aca="false">AE48+AZ48</f>
        <v>487.41</v>
      </c>
      <c r="Z48" s="1997" t="n">
        <f aca="false">W48-Y48</f>
        <v>235.33</v>
      </c>
      <c r="AA48" s="1997" t="n">
        <f aca="false">AG48+BA48</f>
        <v>131.13</v>
      </c>
      <c r="AB48" s="1319" t="n">
        <f aca="false">AA48/X48</f>
        <v>0.153571386745055</v>
      </c>
      <c r="AC48" s="1509" t="n">
        <f aca="false">AF48+AE48</f>
        <v>203.97</v>
      </c>
      <c r="AD48" s="1509" t="n">
        <f aca="false">AF48+AG48+AE48</f>
        <v>248.58</v>
      </c>
      <c r="AE48" s="1509" t="n">
        <f aca="false">AS48</f>
        <v>84.34</v>
      </c>
      <c r="AF48" s="1997" t="n">
        <v>119.63</v>
      </c>
      <c r="AG48" s="1997" t="n">
        <v>44.61</v>
      </c>
      <c r="AH48" s="1319" t="n">
        <f aca="false">AG48/AD48</f>
        <v>0.179459328988656</v>
      </c>
      <c r="AI48" s="2002"/>
      <c r="AJ48" s="2002"/>
      <c r="AK48" s="1478"/>
      <c r="AL48" s="1478"/>
      <c r="AM48" s="821"/>
      <c r="AN48" s="2030"/>
      <c r="AO48" s="1478"/>
      <c r="AP48" s="1478"/>
      <c r="AQ48" s="2004"/>
      <c r="AR48" s="1478"/>
      <c r="AS48" s="1478" t="n">
        <v>84.34</v>
      </c>
      <c r="AT48" s="1478"/>
      <c r="AU48" s="2005"/>
      <c r="AV48" s="2001" t="n">
        <f aca="false">AW48-BA48</f>
        <v>518.77</v>
      </c>
      <c r="AW48" s="2004" t="n">
        <f aca="false">AY48+AZ48</f>
        <v>605.29</v>
      </c>
      <c r="AX48" s="2004" t="n">
        <f aca="false">BD48+BI48</f>
        <v>115.7</v>
      </c>
      <c r="AY48" s="1932" t="n">
        <f aca="false">AX48+BA48</f>
        <v>202.22</v>
      </c>
      <c r="AZ48" s="1478" t="n">
        <f aca="false">BF48+BK48</f>
        <v>403.07</v>
      </c>
      <c r="BA48" s="1478" t="n">
        <f aca="false">BG48+BL48</f>
        <v>86.52</v>
      </c>
      <c r="BB48" s="821" t="n">
        <f aca="false">BA48/AW48</f>
        <v>0.142939747889441</v>
      </c>
      <c r="BC48" s="1478" t="n">
        <f aca="false">BE48+BF48</f>
        <v>569.5</v>
      </c>
      <c r="BD48" s="1478" t="n">
        <v>110.91</v>
      </c>
      <c r="BE48" s="1509" t="n">
        <f aca="false">BD48+BG48</f>
        <v>193.61</v>
      </c>
      <c r="BF48" s="1478" t="n">
        <v>375.89</v>
      </c>
      <c r="BG48" s="1997" t="n">
        <v>82.7</v>
      </c>
      <c r="BH48" s="1478" t="n">
        <f aca="false">BJ48+BK48</f>
        <v>35.79</v>
      </c>
      <c r="BI48" s="1478" t="n">
        <v>4.79</v>
      </c>
      <c r="BJ48" s="1509" t="n">
        <f aca="false">BI48+BL48</f>
        <v>8.61</v>
      </c>
      <c r="BK48" s="1478" t="n">
        <v>27.18</v>
      </c>
      <c r="BL48" s="1997" t="n">
        <v>3.82</v>
      </c>
      <c r="BM48" s="2001" t="n">
        <f aca="false">BN48-BP48</f>
        <v>97.12</v>
      </c>
      <c r="BN48" s="2004" t="n">
        <f aca="false">BO48+BP48</f>
        <v>116.78</v>
      </c>
      <c r="BO48" s="1478" t="n">
        <v>97.12</v>
      </c>
      <c r="BP48" s="1997" t="n">
        <v>19.66</v>
      </c>
      <c r="BQ48" s="2005" t="n">
        <f aca="false">BP48/BN48</f>
        <v>0.168350744990581</v>
      </c>
      <c r="BR48" s="1509" t="n">
        <f aca="false">AY48-BA48</f>
        <v>115.7</v>
      </c>
      <c r="BS48" s="1509" t="n">
        <f aca="false">BX48+CC48</f>
        <v>17.63</v>
      </c>
      <c r="BT48" s="1509" t="n">
        <f aca="false">BY48-BZ48+CD48-CE48</f>
        <v>79.85</v>
      </c>
      <c r="BU48" s="1509" t="n">
        <f aca="false">BR48-BS48-BT48-BW48</f>
        <v>22.77</v>
      </c>
      <c r="BV48" s="1509" t="n">
        <v>7.78</v>
      </c>
      <c r="BW48" s="1509" t="n">
        <f aca="false">CB48+CG48</f>
        <v>-4.55</v>
      </c>
      <c r="BX48" s="1997" t="n">
        <v>11.61</v>
      </c>
      <c r="BY48" s="1997" t="n">
        <v>108.81</v>
      </c>
      <c r="BZ48" s="1478" t="n">
        <v>18.01</v>
      </c>
      <c r="CA48" s="1509"/>
      <c r="CB48" s="1997" t="n">
        <v>-3.03</v>
      </c>
      <c r="CC48" s="1997" t="n">
        <v>6.02</v>
      </c>
      <c r="CD48" s="1997" t="n">
        <v>128.8</v>
      </c>
      <c r="CE48" s="1997" t="n">
        <v>139.75</v>
      </c>
      <c r="CF48" s="1997"/>
      <c r="CG48" s="1997" t="n">
        <v>-1.52</v>
      </c>
      <c r="CH48" s="1482" t="n">
        <f aca="false">CI48+CL48+CO48</f>
        <v>2.62</v>
      </c>
      <c r="CI48" s="1479" t="n">
        <f aca="false">CJ48-CK48</f>
        <v>3.69</v>
      </c>
      <c r="CJ48" s="2023" t="n">
        <v>27.45</v>
      </c>
      <c r="CK48" s="2023" t="n">
        <v>23.76</v>
      </c>
      <c r="CL48" s="1479" t="n">
        <f aca="false">CM48-CN48</f>
        <v>2.74</v>
      </c>
      <c r="CM48" s="2023" t="n">
        <v>3.99</v>
      </c>
      <c r="CN48" s="2023" t="n">
        <v>1.25</v>
      </c>
      <c r="CO48" s="2023" t="n">
        <f aca="false">CP48-CQ48</f>
        <v>-3.81</v>
      </c>
      <c r="CP48" s="2023" t="n">
        <v>5.68</v>
      </c>
      <c r="CQ48" s="2023" t="n">
        <v>9.49</v>
      </c>
      <c r="CR48" s="1478" t="n">
        <f aca="false">CS48-CT48</f>
        <v>-11.67</v>
      </c>
      <c r="CS48" s="1478" t="n">
        <v>2.89</v>
      </c>
      <c r="CT48" s="1478" t="n">
        <v>14.56</v>
      </c>
      <c r="CU48" s="1478" t="n">
        <f aca="false">CV48-CW48</f>
        <v>-1.12</v>
      </c>
      <c r="CV48" s="485" t="n">
        <v>0.18</v>
      </c>
      <c r="CW48" s="1478" t="n">
        <v>1.3</v>
      </c>
      <c r="CX48" s="1998" t="n">
        <f aca="false">D48+DD48-DF48</f>
        <v>193.063404193435</v>
      </c>
      <c r="CY48" s="2007" t="n">
        <f aca="false">CX48-DC48-DD48</f>
        <v>172.393401193435</v>
      </c>
      <c r="CZ48" s="1509" t="n">
        <f aca="false">BR48</f>
        <v>115.7</v>
      </c>
      <c r="DA48" s="2023" t="n">
        <f aca="false">D48-DF48-CZ48-DC48</f>
        <v>56.6934011934346</v>
      </c>
      <c r="DB48" s="2023"/>
      <c r="DC48" s="2017" t="n">
        <f aca="false">CI48</f>
        <v>3.69</v>
      </c>
      <c r="DD48" s="1478" t="n">
        <v>16.980003</v>
      </c>
      <c r="DE48" s="1997" t="n">
        <v>32.44</v>
      </c>
      <c r="DF48" s="2007" t="n">
        <f aca="false">DI48+DL48+DM48+DU48</f>
        <v>650.206598806566</v>
      </c>
      <c r="DG48" s="2011" t="n">
        <f aca="false">DH48+DU48</f>
        <v>587.27</v>
      </c>
      <c r="DH48" s="2010" t="n">
        <f aca="false">DJ48+DL48+AE48</f>
        <v>584.53</v>
      </c>
      <c r="DI48" s="2011" t="n">
        <f aca="false">Y48</f>
        <v>487.41</v>
      </c>
      <c r="DJ48" s="2035" t="n">
        <f aca="false">AZ48</f>
        <v>403.07</v>
      </c>
      <c r="DK48" s="2035" t="n">
        <f aca="false">AS48</f>
        <v>84.34</v>
      </c>
      <c r="DL48" s="1509" t="n">
        <f aca="false">BM48</f>
        <v>97.12</v>
      </c>
      <c r="DM48" s="2009" t="n">
        <f aca="false">GK48*DN48*DH48/GJ48</f>
        <v>62.9365988065655</v>
      </c>
      <c r="DN48" s="2013" t="n">
        <f aca="false">DN49</f>
        <v>0.895905244977209</v>
      </c>
      <c r="DO48" s="2009"/>
      <c r="DP48" s="2009" t="n">
        <f aca="false">GK48*DH48/GJ48</f>
        <v>70.2491688260699</v>
      </c>
      <c r="DQ48" s="2009" t="n">
        <f aca="false">2/3*DP48</f>
        <v>46.8327792173799</v>
      </c>
      <c r="DR48" s="2009" t="n">
        <f aca="false">DS48*(DH48/GJ48)*GK48</f>
        <v>86.3610609283656</v>
      </c>
      <c r="DS48" s="514" t="n">
        <f aca="false">(DT48/GK48)/(DH48/GJ48)</f>
        <v>1.2293534908888</v>
      </c>
      <c r="DT48" s="2012" t="n">
        <v>86.3610609283656</v>
      </c>
      <c r="DU48" s="2015" t="n">
        <f aca="false">CL48</f>
        <v>2.74</v>
      </c>
      <c r="DV48" s="2007" t="n">
        <f aca="false">DW48+DX48+DY48+EB48</f>
        <v>393.63</v>
      </c>
      <c r="DW48" s="1509" t="n">
        <f aca="false">I48</f>
        <v>90.67</v>
      </c>
      <c r="DX48" s="2017" t="n">
        <f aca="false">BS48</f>
        <v>17.63</v>
      </c>
      <c r="DY48" s="2017" t="n">
        <f aca="false">EE48+EF48</f>
        <v>109.48</v>
      </c>
      <c r="DZ48" s="2018" t="n">
        <f aca="false">EF48+EE48-EA48</f>
        <v>15.9838976571213</v>
      </c>
      <c r="EA48" s="2018" t="n">
        <f aca="false">EE48*(DF48-EB48+EH48)/(0.5*CX48+DF48-EB48+EH48)</f>
        <v>93.4961023428787</v>
      </c>
      <c r="EB48" s="1478" t="n">
        <v>175.85</v>
      </c>
      <c r="EC48" s="2018" t="n">
        <f aca="false">DX48+DZ48</f>
        <v>33.6138976571213</v>
      </c>
      <c r="ED48" s="2018" t="n">
        <f aca="false">EA48+EB48</f>
        <v>269.346102342879</v>
      </c>
      <c r="EE48" s="1478" t="n">
        <v>108.33</v>
      </c>
      <c r="EF48" s="2017" t="n">
        <v>1.15</v>
      </c>
      <c r="EG48" s="1478" t="n">
        <v>163.59</v>
      </c>
      <c r="EH48" s="2017" t="n">
        <f aca="false">EG48-EI48</f>
        <v>134.07</v>
      </c>
      <c r="EI48" s="2023" t="n">
        <v>29.52</v>
      </c>
      <c r="EJ48" s="2023" t="n">
        <v>66.89</v>
      </c>
      <c r="EK48" s="2032" t="n">
        <v>6.63</v>
      </c>
      <c r="EL48" s="2017" t="n">
        <f aca="false">EM48-(DV48-EF48)</f>
        <v>0.629999999999996</v>
      </c>
      <c r="EM48" s="2017" t="n">
        <f aca="false">EP48+S48+EG48+EN48+DD48</f>
        <v>393.11</v>
      </c>
      <c r="EN48" s="2017" t="n">
        <v>6.63</v>
      </c>
      <c r="EO48" s="2019" t="n">
        <f aca="false">EM48-EG48-EN48-DD48</f>
        <v>205.909997</v>
      </c>
      <c r="EP48" s="2019" t="n">
        <f aca="false">ER48-EQ48</f>
        <v>-1.44000300000003</v>
      </c>
      <c r="EQ48" s="2017" t="n">
        <v>-10.51</v>
      </c>
      <c r="ER48" s="2023" t="n">
        <f aca="false">EU48+ES48-BP48+ET48</f>
        <v>-11.950003</v>
      </c>
      <c r="ES48" s="2023" t="n">
        <v>27.44</v>
      </c>
      <c r="ET48" s="2023" t="n">
        <v>-0.43</v>
      </c>
      <c r="EU48" s="2023" t="n">
        <v>-19.300003</v>
      </c>
      <c r="EV48" s="2024" t="n">
        <f aca="false">B48-DV48+EH48+DD48-CO48</f>
        <v>678.190003</v>
      </c>
      <c r="EW48" s="1478" t="n">
        <f aca="false">CX48-EC48</f>
        <v>159.449506536313</v>
      </c>
      <c r="EX48" s="1478" t="n">
        <f aca="false">($DF48-$EB48)-$EA48*($DF48-$EB48)/($DF48-$EB48+$EH48)</f>
        <v>401.462854193768</v>
      </c>
      <c r="EY48" s="1478" t="n">
        <f aca="false">$EH48-$EA48*$EH48/($DF48-$EB48+$EH48)</f>
        <v>113.467642269918</v>
      </c>
      <c r="EZ48" s="1478" t="n">
        <f aca="false">EV48+EI48</f>
        <v>707.710003</v>
      </c>
      <c r="FA48" s="1478" t="n">
        <v>699.38</v>
      </c>
      <c r="FB48" s="1478" t="n">
        <v>87.13</v>
      </c>
      <c r="FC48" s="1478" t="n">
        <f aca="false">FB48+AG48</f>
        <v>131.74</v>
      </c>
      <c r="FD48" s="1997" t="n">
        <f aca="false">FB48+BU48-BV48</f>
        <v>102.12</v>
      </c>
      <c r="FE48" s="1478" t="n">
        <v>1.91</v>
      </c>
      <c r="FF48" s="1478" t="n">
        <v>7.48</v>
      </c>
      <c r="FG48" s="1478" t="n">
        <f aca="false">FE48+FF48</f>
        <v>9.39</v>
      </c>
      <c r="FH48" s="514" t="n">
        <f aca="false">FG48/FD48</f>
        <v>0.0919506462984724</v>
      </c>
      <c r="FI48" s="1994" t="n">
        <f aca="false">FB48+FE48</f>
        <v>89.04</v>
      </c>
      <c r="FJ48" s="1994" t="n">
        <f aca="false">BU48-BV48+FF48</f>
        <v>22.47</v>
      </c>
      <c r="FK48" s="2025" t="n">
        <f aca="false">FI48+FJ48</f>
        <v>111.51</v>
      </c>
      <c r="FL48" s="1994" t="n">
        <f aca="false">FO48+FP48+FS48</f>
        <v>89.04</v>
      </c>
      <c r="FM48" s="1997" t="n">
        <v>76.7</v>
      </c>
      <c r="FO48" s="1995" t="n">
        <f aca="false">FM48-AG48</f>
        <v>32.09</v>
      </c>
      <c r="FP48" s="1997" t="n">
        <v>0.27</v>
      </c>
      <c r="FQ48" s="1478" t="n">
        <f aca="false">FI48-FO48-FP48</f>
        <v>56.68</v>
      </c>
      <c r="FR48" s="1997" t="n">
        <v>0</v>
      </c>
      <c r="FS48" s="1478" t="n">
        <f aca="false">FQ48+FR48</f>
        <v>56.68</v>
      </c>
      <c r="FT48" s="514"/>
      <c r="FU48" s="514"/>
      <c r="FV48" s="514"/>
      <c r="FW48" s="2025"/>
      <c r="FX48" s="2026" t="n">
        <f aca="false">FY48+FZ48</f>
        <v>104.68</v>
      </c>
      <c r="FY48" s="1997" t="n">
        <v>99.86</v>
      </c>
      <c r="FZ48" s="1999" t="n">
        <v>4.82</v>
      </c>
      <c r="GA48" s="2015" t="n">
        <v>0</v>
      </c>
      <c r="GB48" s="402" t="n">
        <v>0.00249687890137329</v>
      </c>
      <c r="GC48" s="387" t="n">
        <v>0.00249902310781391</v>
      </c>
      <c r="GD48" s="387" t="n">
        <f aca="false">(G48/G47)/(1+GE48)-1</f>
        <v>0.0128952631488204</v>
      </c>
      <c r="GE48" s="387" t="n">
        <v>0.0139227788144107</v>
      </c>
      <c r="GF48" s="387" t="n">
        <v>0.00446428571428581</v>
      </c>
      <c r="GG48" s="2033" t="n">
        <v>74.186525</v>
      </c>
      <c r="GH48" s="465" t="n">
        <v>61189.27</v>
      </c>
      <c r="GI48" s="465" t="n">
        <f aca="false">GJ48+GK48</f>
        <v>28531</v>
      </c>
      <c r="GJ48" s="465" t="n">
        <v>25470</v>
      </c>
      <c r="GK48" s="465" t="n">
        <v>3061</v>
      </c>
      <c r="GL48" s="25" t="n">
        <f aca="false">GL47+(GL$51-GL$41)/10</f>
        <v>0.2248</v>
      </c>
      <c r="GM48" s="25" t="n">
        <f aca="false">GK48/GI48</f>
        <v>0.107286810837335</v>
      </c>
      <c r="GN48" s="385" t="n">
        <v>61189.27</v>
      </c>
      <c r="GO48" s="1932" t="n">
        <f aca="false">CX48</f>
        <v>193.063404193435</v>
      </c>
      <c r="GP48" s="1932" t="n">
        <f aca="false">BU48</f>
        <v>22.77</v>
      </c>
      <c r="GQ48" s="1932" t="n">
        <f aca="false">BW48</f>
        <v>-4.55</v>
      </c>
      <c r="GR48" s="1932"/>
      <c r="GS48" s="1509"/>
      <c r="GT48" s="1932"/>
      <c r="GU48" s="1509" t="n">
        <v>17.03</v>
      </c>
      <c r="GV48" s="1509"/>
      <c r="GW48" s="1478" t="n">
        <v>0.75</v>
      </c>
      <c r="GX48" s="1509" t="n">
        <f aca="false">GY48+GZ48</f>
        <v>87.84</v>
      </c>
      <c r="GY48" s="1478" t="n">
        <v>70.21</v>
      </c>
      <c r="GZ48" s="24" t="n">
        <f aca="false">DX48</f>
        <v>17.63</v>
      </c>
      <c r="HA48" s="1478" t="n">
        <v>44.97</v>
      </c>
      <c r="HB48" s="1478"/>
      <c r="HC48" s="1478"/>
      <c r="HD48" s="24" t="n">
        <f aca="false">DE48</f>
        <v>32.44</v>
      </c>
      <c r="HE48" s="1997"/>
      <c r="HF48" s="1478"/>
      <c r="HG48" s="1478"/>
      <c r="HH48" s="1478"/>
      <c r="HI48" s="1478"/>
      <c r="HJ48" s="1478"/>
      <c r="HK48" s="387"/>
    </row>
    <row r="49" customFormat="false" ht="12" hidden="false" customHeight="false" outlineLevel="0" collapsed="false">
      <c r="A49" s="31" t="n">
        <f aca="false">A48+1</f>
        <v>1988</v>
      </c>
      <c r="B49" s="1994" t="n">
        <f aca="false">E49+F49</f>
        <v>973.9</v>
      </c>
      <c r="C49" s="432" t="n">
        <f aca="false">B49+CR49</f>
        <v>960.75</v>
      </c>
      <c r="D49" s="1995" t="n">
        <f aca="false">B49-I49</f>
        <v>878.91</v>
      </c>
      <c r="E49" s="1996" t="n">
        <f aca="false">CH49</f>
        <v>8.37</v>
      </c>
      <c r="F49" s="1994" t="n">
        <f aca="false">J49+AC49+AV49+BM49</f>
        <v>965.53</v>
      </c>
      <c r="G49" s="1478" t="n">
        <f aca="false">J49+X49+BN49</f>
        <v>1123.29</v>
      </c>
      <c r="H49" s="1478" t="n">
        <f aca="false">AG49+BA49+BP49</f>
        <v>157.76</v>
      </c>
      <c r="I49" s="853" t="n">
        <v>94.99</v>
      </c>
      <c r="J49" s="395" t="n">
        <f aca="false">I49-CO49</f>
        <v>98.89</v>
      </c>
      <c r="K49" s="1478"/>
      <c r="L49" s="1478" t="n">
        <f aca="false">M49+N49+O49+P49+Q49</f>
        <v>2.52</v>
      </c>
      <c r="M49" s="1478" t="n">
        <v>-0.97</v>
      </c>
      <c r="N49" s="1478" t="n">
        <v>3.11</v>
      </c>
      <c r="O49" s="1478" t="n">
        <v>1.89</v>
      </c>
      <c r="P49" s="1478" t="n">
        <v>-0.75</v>
      </c>
      <c r="Q49" s="1999" t="n">
        <v>-0.760000000000005</v>
      </c>
      <c r="R49" s="1997" t="n">
        <v>624.5</v>
      </c>
      <c r="S49" s="1997" t="n">
        <v>216.04</v>
      </c>
      <c r="T49" s="1997" t="n">
        <v>227.37</v>
      </c>
      <c r="U49" s="1997" t="n">
        <v>334.77</v>
      </c>
      <c r="V49" s="1999" t="n">
        <v>279.39</v>
      </c>
      <c r="W49" s="395" t="n">
        <f aca="false">AC49+AV49</f>
        <v>767.2</v>
      </c>
      <c r="X49" s="1997" t="n">
        <f aca="false">W49+AA49</f>
        <v>904.51</v>
      </c>
      <c r="Y49" s="1997" t="n">
        <f aca="false">AE49+AZ49</f>
        <v>509.66</v>
      </c>
      <c r="Z49" s="1997" t="n">
        <f aca="false">W49-Y49</f>
        <v>257.54</v>
      </c>
      <c r="AA49" s="1997" t="n">
        <f aca="false">AG49+BA49</f>
        <v>137.31</v>
      </c>
      <c r="AB49" s="1319" t="n">
        <f aca="false">AA49/X49</f>
        <v>0.151805950182972</v>
      </c>
      <c r="AC49" s="1509" t="n">
        <f aca="false">AF49+AE49</f>
        <v>216.69</v>
      </c>
      <c r="AD49" s="1509" t="n">
        <f aca="false">AF49+AG49+AE49</f>
        <v>263.34</v>
      </c>
      <c r="AE49" s="1509" t="n">
        <f aca="false">AS49</f>
        <v>87.83</v>
      </c>
      <c r="AF49" s="1997" t="n">
        <v>128.86</v>
      </c>
      <c r="AG49" s="1997" t="n">
        <v>46.65</v>
      </c>
      <c r="AH49" s="1319" t="n">
        <f aca="false">AG49/AD49</f>
        <v>0.177147413989519</v>
      </c>
      <c r="AI49" s="2002"/>
      <c r="AJ49" s="2002"/>
      <c r="AK49" s="1478"/>
      <c r="AL49" s="1478"/>
      <c r="AM49" s="821"/>
      <c r="AN49" s="2030"/>
      <c r="AO49" s="1478"/>
      <c r="AP49" s="1478"/>
      <c r="AQ49" s="2004"/>
      <c r="AR49" s="1478"/>
      <c r="AS49" s="1478" t="n">
        <v>87.83</v>
      </c>
      <c r="AT49" s="1478"/>
      <c r="AU49" s="2005"/>
      <c r="AV49" s="2001" t="n">
        <f aca="false">AW49-BA49</f>
        <v>550.51</v>
      </c>
      <c r="AW49" s="2004" t="n">
        <f aca="false">AY49+AZ49</f>
        <v>641.17</v>
      </c>
      <c r="AX49" s="2004" t="n">
        <f aca="false">BD49+BI49</f>
        <v>128.68</v>
      </c>
      <c r="AY49" s="1932" t="n">
        <f aca="false">AX49+BA49</f>
        <v>219.34</v>
      </c>
      <c r="AZ49" s="1478" t="n">
        <f aca="false">BF49+BK49</f>
        <v>421.83</v>
      </c>
      <c r="BA49" s="1478" t="n">
        <f aca="false">BG49+BL49</f>
        <v>90.66</v>
      </c>
      <c r="BB49" s="821" t="n">
        <f aca="false">BA49/AW49</f>
        <v>0.141397757225073</v>
      </c>
      <c r="BC49" s="1478" t="n">
        <f aca="false">BE49+BF49</f>
        <v>599.59</v>
      </c>
      <c r="BD49" s="1478" t="n">
        <v>119.46</v>
      </c>
      <c r="BE49" s="1509" t="n">
        <f aca="false">BD49+BG49</f>
        <v>206.14</v>
      </c>
      <c r="BF49" s="1478" t="n">
        <v>393.45</v>
      </c>
      <c r="BG49" s="1997" t="n">
        <v>86.68</v>
      </c>
      <c r="BH49" s="1478" t="n">
        <f aca="false">BJ49+BK49</f>
        <v>41.58</v>
      </c>
      <c r="BI49" s="1478" t="n">
        <v>9.22</v>
      </c>
      <c r="BJ49" s="1509" t="n">
        <f aca="false">BI49+BL49</f>
        <v>13.2</v>
      </c>
      <c r="BK49" s="1478" t="n">
        <v>28.38</v>
      </c>
      <c r="BL49" s="1997" t="n">
        <v>3.98</v>
      </c>
      <c r="BM49" s="2001" t="n">
        <f aca="false">BN49-BP49</f>
        <v>99.44</v>
      </c>
      <c r="BN49" s="2004" t="n">
        <f aca="false">BO49+BP49</f>
        <v>119.89</v>
      </c>
      <c r="BO49" s="1478" t="n">
        <v>99.44</v>
      </c>
      <c r="BP49" s="1997" t="n">
        <v>20.45</v>
      </c>
      <c r="BQ49" s="2005" t="n">
        <f aca="false">BP49/BN49</f>
        <v>0.170573025273167</v>
      </c>
      <c r="BR49" s="1509" t="n">
        <f aca="false">AY49-BA49</f>
        <v>128.68</v>
      </c>
      <c r="BS49" s="1509" t="n">
        <f aca="false">BX49+CC49</f>
        <v>19.21</v>
      </c>
      <c r="BT49" s="1509" t="n">
        <f aca="false">BY49-BZ49+CD49-CE49</f>
        <v>74.34</v>
      </c>
      <c r="BU49" s="1509" t="n">
        <f aca="false">BR49-BS49-BT49-BW49</f>
        <v>39.05</v>
      </c>
      <c r="BV49" s="1509" t="n">
        <v>7.44</v>
      </c>
      <c r="BW49" s="1509" t="n">
        <f aca="false">CB49+CG49</f>
        <v>-3.92</v>
      </c>
      <c r="BX49" s="1997" t="n">
        <v>12.26</v>
      </c>
      <c r="BY49" s="1997" t="n">
        <v>108.16</v>
      </c>
      <c r="BZ49" s="1478" t="n">
        <v>22.23</v>
      </c>
      <c r="CA49" s="1509"/>
      <c r="CB49" s="1997" t="n">
        <v>-2.5</v>
      </c>
      <c r="CC49" s="1997" t="n">
        <v>6.95</v>
      </c>
      <c r="CD49" s="1997" t="n">
        <v>136.8</v>
      </c>
      <c r="CE49" s="1997" t="n">
        <v>148.39</v>
      </c>
      <c r="CF49" s="1997"/>
      <c r="CG49" s="1997" t="n">
        <v>-1.42</v>
      </c>
      <c r="CH49" s="1482" t="n">
        <f aca="false">CI49+CL49+CO49</f>
        <v>8.37</v>
      </c>
      <c r="CI49" s="1479" t="n">
        <f aca="false">CJ49-CK49</f>
        <v>9.56</v>
      </c>
      <c r="CJ49" s="2023" t="n">
        <v>35.57</v>
      </c>
      <c r="CK49" s="2023" t="n">
        <v>26.01</v>
      </c>
      <c r="CL49" s="1479" t="n">
        <f aca="false">CM49-CN49</f>
        <v>2.71</v>
      </c>
      <c r="CM49" s="2023" t="n">
        <v>4.25</v>
      </c>
      <c r="CN49" s="2023" t="n">
        <v>1.54</v>
      </c>
      <c r="CO49" s="2023" t="n">
        <f aca="false">CP49-CQ49</f>
        <v>-3.9</v>
      </c>
      <c r="CP49" s="2023" t="n">
        <v>6.62</v>
      </c>
      <c r="CQ49" s="2023" t="n">
        <v>10.52</v>
      </c>
      <c r="CR49" s="1478" t="n">
        <f aca="false">CS49-CT49</f>
        <v>-13.15</v>
      </c>
      <c r="CS49" s="1478" t="n">
        <v>4.04</v>
      </c>
      <c r="CT49" s="1478" t="n">
        <v>17.19</v>
      </c>
      <c r="CU49" s="1478" t="n">
        <f aca="false">CV49-CW49</f>
        <v>-1.04</v>
      </c>
      <c r="CV49" s="485" t="n">
        <v>0.24</v>
      </c>
      <c r="CW49" s="1478" t="n">
        <v>1.28</v>
      </c>
      <c r="CX49" s="1998" t="n">
        <f aca="false">D49+DD49-DF49</f>
        <v>223.354833428078</v>
      </c>
      <c r="CY49" s="2007" t="n">
        <f aca="false">CX49-DC49-DD49</f>
        <v>193.104830428078</v>
      </c>
      <c r="CZ49" s="1509" t="n">
        <f aca="false">BR49</f>
        <v>128.68</v>
      </c>
      <c r="DA49" s="2023" t="n">
        <f aca="false">D49-DF49-CZ49-DC49</f>
        <v>64.4248304280776</v>
      </c>
      <c r="DB49" s="2023"/>
      <c r="DC49" s="2017" t="n">
        <f aca="false">CI49</f>
        <v>9.56</v>
      </c>
      <c r="DD49" s="1478" t="n">
        <v>20.690003</v>
      </c>
      <c r="DE49" s="1997" t="n">
        <v>32.82</v>
      </c>
      <c r="DF49" s="2007" t="n">
        <f aca="false">DI49+DL49+DM49+DU49</f>
        <v>676.245169571923</v>
      </c>
      <c r="DG49" s="2011" t="n">
        <f aca="false">DH49+DU49</f>
        <v>611.81</v>
      </c>
      <c r="DH49" s="2010" t="n">
        <f aca="false">DJ49+DL49+AE49</f>
        <v>609.1</v>
      </c>
      <c r="DI49" s="2011" t="n">
        <f aca="false">Y49</f>
        <v>509.66</v>
      </c>
      <c r="DJ49" s="2035" t="n">
        <f aca="false">AZ49</f>
        <v>421.83</v>
      </c>
      <c r="DK49" s="2035" t="n">
        <f aca="false">AS49</f>
        <v>87.83</v>
      </c>
      <c r="DL49" s="1509" t="n">
        <f aca="false">BM49</f>
        <v>99.44</v>
      </c>
      <c r="DM49" s="2009" t="n">
        <f aca="false">GK49*DN49*DH49/GJ49</f>
        <v>64.4351695719226</v>
      </c>
      <c r="DN49" s="2013" t="n">
        <f aca="false">DN50</f>
        <v>0.895905244977209</v>
      </c>
      <c r="DO49" s="2009"/>
      <c r="DP49" s="2009" t="n">
        <f aca="false">GK49*DH49/GJ49</f>
        <v>71.9218577334724</v>
      </c>
      <c r="DQ49" s="2009" t="n">
        <f aca="false">2/3*DP49</f>
        <v>47.9479051556483</v>
      </c>
      <c r="DR49" s="2009" t="n">
        <f aca="false">DS49*(DH49/GJ49)*GK49</f>
        <v>89.951828413518</v>
      </c>
      <c r="DS49" s="514" t="n">
        <f aca="false">(DT49/GK49)/(DH49/GJ49)</f>
        <v>1.25068833381447</v>
      </c>
      <c r="DT49" s="2012" t="n">
        <v>89.951828413518</v>
      </c>
      <c r="DU49" s="2015" t="n">
        <f aca="false">CL49</f>
        <v>2.71</v>
      </c>
      <c r="DV49" s="2007" t="n">
        <f aca="false">DW49+DX49+DY49+EB49</f>
        <v>410.39</v>
      </c>
      <c r="DW49" s="1509" t="n">
        <f aca="false">I49</f>
        <v>94.99</v>
      </c>
      <c r="DX49" s="2017" t="n">
        <f aca="false">BS49</f>
        <v>19.21</v>
      </c>
      <c r="DY49" s="2017" t="n">
        <f aca="false">EE49+EF49</f>
        <v>112.26</v>
      </c>
      <c r="DZ49" s="2018" t="n">
        <f aca="false">EF49+EE49-EA49</f>
        <v>17.875873468316</v>
      </c>
      <c r="EA49" s="2018" t="n">
        <f aca="false">EE49*(DF49-EB49+EH49)/(0.5*CX49+DF49-EB49+EH49)</f>
        <v>94.384126531684</v>
      </c>
      <c r="EB49" s="1478" t="n">
        <v>183.93</v>
      </c>
      <c r="EC49" s="2018" t="n">
        <f aca="false">DX49+DZ49</f>
        <v>37.085873468316</v>
      </c>
      <c r="ED49" s="2018" t="n">
        <f aca="false">EA49+EB49</f>
        <v>278.314126531684</v>
      </c>
      <c r="EE49" s="1478" t="n">
        <v>111.02</v>
      </c>
      <c r="EF49" s="2017" t="n">
        <v>1.24</v>
      </c>
      <c r="EG49" s="1478" t="n">
        <v>171.22</v>
      </c>
      <c r="EH49" s="2017" t="n">
        <f aca="false">EG49-EI49</f>
        <v>141.29</v>
      </c>
      <c r="EI49" s="2023" t="n">
        <v>29.93</v>
      </c>
      <c r="EJ49" s="2023" t="n">
        <v>72.25</v>
      </c>
      <c r="EK49" s="2032" t="n">
        <v>8.06</v>
      </c>
      <c r="EL49" s="2017" t="n">
        <f aca="false">EM49-(DV49-EF49)</f>
        <v>1.61000000000001</v>
      </c>
      <c r="EM49" s="2017" t="n">
        <f aca="false">EP49+S49+EG49+EN49+DD49</f>
        <v>410.76</v>
      </c>
      <c r="EN49" s="2017" t="n">
        <v>8.06</v>
      </c>
      <c r="EO49" s="2019" t="n">
        <f aca="false">EM49-EG49-EN49-DD49</f>
        <v>210.789997</v>
      </c>
      <c r="EP49" s="2019" t="n">
        <f aca="false">ER49-EQ49</f>
        <v>-5.250003</v>
      </c>
      <c r="EQ49" s="2017" t="n">
        <v>-10.1</v>
      </c>
      <c r="ER49" s="2023" t="n">
        <f aca="false">EU49+ES49-BP49+ET49</f>
        <v>-15.350003</v>
      </c>
      <c r="ES49" s="2023" t="n">
        <v>27.85</v>
      </c>
      <c r="ET49" s="2023" t="n">
        <v>-0.57</v>
      </c>
      <c r="EU49" s="2023" t="n">
        <v>-22.180003</v>
      </c>
      <c r="EV49" s="2024" t="n">
        <f aca="false">B49-DV49+EH49+DD49-CO49</f>
        <v>729.390003</v>
      </c>
      <c r="EW49" s="1478" t="n">
        <f aca="false">CX49-EC49</f>
        <v>186.268959959762</v>
      </c>
      <c r="EX49" s="1478" t="n">
        <f aca="false">($DF49-$EB49)-$EA49*($DF49-$EB49)/($DF49-$EB49+$EH49)</f>
        <v>418.978114431199</v>
      </c>
      <c r="EY49" s="1478" t="n">
        <f aca="false">$EH49-$EA49*$EH49/($DF49-$EB49+$EH49)</f>
        <v>120.24292860904</v>
      </c>
      <c r="EZ49" s="1478" t="n">
        <f aca="false">EV49+EI49</f>
        <v>759.320003</v>
      </c>
      <c r="FA49" s="1478" t="n">
        <v>749.96</v>
      </c>
      <c r="FB49" s="1478" t="n">
        <v>93.85</v>
      </c>
      <c r="FC49" s="1478" t="n">
        <f aca="false">FB49+AG49</f>
        <v>140.5</v>
      </c>
      <c r="FD49" s="1997" t="n">
        <f aca="false">FB49+BU49-BV49</f>
        <v>125.46</v>
      </c>
      <c r="FE49" s="1478" t="n">
        <v>2.81</v>
      </c>
      <c r="FF49" s="1478" t="n">
        <v>6.25</v>
      </c>
      <c r="FG49" s="1478" t="n">
        <f aca="false">FE49+FF49</f>
        <v>9.06</v>
      </c>
      <c r="FH49" s="514" t="n">
        <f aca="false">FG49/FD49</f>
        <v>0.0722142515542803</v>
      </c>
      <c r="FI49" s="1994" t="n">
        <f aca="false">FB49+FE49</f>
        <v>96.66</v>
      </c>
      <c r="FJ49" s="1994" t="n">
        <f aca="false">BU49-BV49+FF49</f>
        <v>37.86</v>
      </c>
      <c r="FK49" s="2025" t="n">
        <f aca="false">FI49+FJ49</f>
        <v>134.52</v>
      </c>
      <c r="FL49" s="1994" t="n">
        <f aca="false">FO49+FP49+FS49</f>
        <v>96.66</v>
      </c>
      <c r="FM49" s="1997" t="n">
        <v>83.55</v>
      </c>
      <c r="FO49" s="1995" t="n">
        <f aca="false">FM49-AG49</f>
        <v>36.9</v>
      </c>
      <c r="FP49" s="1997" t="n">
        <v>0.4</v>
      </c>
      <c r="FQ49" s="1478" t="n">
        <f aca="false">FI49-FO49-FP49</f>
        <v>59.36</v>
      </c>
      <c r="FR49" s="1997" t="n">
        <v>0</v>
      </c>
      <c r="FS49" s="1478" t="n">
        <f aca="false">FQ49+FR49</f>
        <v>59.36</v>
      </c>
      <c r="FT49" s="514"/>
      <c r="FU49" s="514"/>
      <c r="FV49" s="514"/>
      <c r="FW49" s="2025"/>
      <c r="FX49" s="2026" t="n">
        <f aca="false">FY49+FZ49</f>
        <v>115.97</v>
      </c>
      <c r="FY49" s="1997" t="n">
        <v>111.11</v>
      </c>
      <c r="FZ49" s="1999" t="n">
        <v>4.86</v>
      </c>
      <c r="GA49" s="2015" t="n">
        <v>0</v>
      </c>
      <c r="GB49" s="402" t="n">
        <v>0.0124533001245331</v>
      </c>
      <c r="GC49" s="387" t="n">
        <v>0.0127412540928293</v>
      </c>
      <c r="GD49" s="387" t="n">
        <f aca="false">(G49/G48)/(1+GE49)-1</f>
        <v>0.0168878348724939</v>
      </c>
      <c r="GE49" s="387" t="n">
        <v>0.0370894677236693</v>
      </c>
      <c r="GF49" s="387" t="n">
        <v>0.0133333333333334</v>
      </c>
      <c r="GG49" s="2033" t="n">
        <v>77.931495</v>
      </c>
      <c r="GH49" s="465" t="n">
        <v>61476.591</v>
      </c>
      <c r="GI49" s="465" t="n">
        <f aca="false">GJ49+GK49</f>
        <v>28937</v>
      </c>
      <c r="GJ49" s="465" t="n">
        <v>25881</v>
      </c>
      <c r="GK49" s="465" t="n">
        <v>3056</v>
      </c>
      <c r="GL49" s="25" t="n">
        <f aca="false">GL48+(GL$51-GL$41)/10</f>
        <v>0.2192</v>
      </c>
      <c r="GM49" s="25" t="n">
        <f aca="false">GK49/GI49</f>
        <v>0.105608736220064</v>
      </c>
      <c r="GN49" s="385" t="n">
        <v>61476.591</v>
      </c>
      <c r="GO49" s="1932" t="n">
        <f aca="false">CX49</f>
        <v>223.354833428078</v>
      </c>
      <c r="GP49" s="1932" t="n">
        <f aca="false">BU49</f>
        <v>39.05</v>
      </c>
      <c r="GQ49" s="1932" t="n">
        <f aca="false">BW49</f>
        <v>-3.92</v>
      </c>
      <c r="GR49" s="1932"/>
      <c r="GS49" s="1509"/>
      <c r="GT49" s="1932"/>
      <c r="GU49" s="1509" t="n">
        <v>18.19</v>
      </c>
      <c r="GV49" s="1509"/>
      <c r="GW49" s="1478" t="n">
        <v>0.79</v>
      </c>
      <c r="GX49" s="1509" t="n">
        <f aca="false">GY49+GZ49</f>
        <v>87.68</v>
      </c>
      <c r="GY49" s="1478" t="n">
        <v>68.47</v>
      </c>
      <c r="GZ49" s="24" t="n">
        <f aca="false">DX49</f>
        <v>19.21</v>
      </c>
      <c r="HA49" s="1478" t="n">
        <v>49.96</v>
      </c>
      <c r="HB49" s="1478"/>
      <c r="HC49" s="1478"/>
      <c r="HD49" s="24" t="n">
        <f aca="false">DE49</f>
        <v>32.82</v>
      </c>
      <c r="HE49" s="1997"/>
      <c r="HF49" s="1478"/>
      <c r="HG49" s="1478"/>
      <c r="HH49" s="1478"/>
      <c r="HI49" s="1478"/>
      <c r="HJ49" s="1478"/>
      <c r="HK49" s="387"/>
    </row>
    <row r="50" customFormat="false" ht="12" hidden="false" customHeight="false" outlineLevel="0" collapsed="false">
      <c r="A50" s="31" t="n">
        <f aca="false">A49+1</f>
        <v>1989</v>
      </c>
      <c r="B50" s="1994" t="n">
        <f aca="false">E50+F50</f>
        <v>1043.5</v>
      </c>
      <c r="C50" s="432" t="n">
        <f aca="false">B50+CR50</f>
        <v>1029.29</v>
      </c>
      <c r="D50" s="1995" t="n">
        <f aca="false">B50-I50</f>
        <v>939.37</v>
      </c>
      <c r="E50" s="1996" t="n">
        <f aca="false">CH50</f>
        <v>10.45</v>
      </c>
      <c r="F50" s="1994" t="n">
        <f aca="false">J50+AC50+AV50+BM50</f>
        <v>1033.05</v>
      </c>
      <c r="G50" s="1478" t="n">
        <f aca="false">J50+X50+BN50</f>
        <v>1200.66</v>
      </c>
      <c r="H50" s="1478" t="n">
        <f aca="false">AG50+BA50+BP50</f>
        <v>167.61</v>
      </c>
      <c r="I50" s="853" t="n">
        <v>104.13</v>
      </c>
      <c r="J50" s="395" t="n">
        <f aca="false">I50-CO50</f>
        <v>110.11</v>
      </c>
      <c r="K50" s="1478"/>
      <c r="L50" s="1478" t="n">
        <f aca="false">M50+N50+O50+P50+Q50</f>
        <v>3.36999999999999</v>
      </c>
      <c r="M50" s="1478" t="n">
        <v>-0.750000000000005</v>
      </c>
      <c r="N50" s="1478" t="n">
        <v>3.45</v>
      </c>
      <c r="O50" s="1478" t="n">
        <v>2.01</v>
      </c>
      <c r="P50" s="1478" t="n">
        <v>-0.68</v>
      </c>
      <c r="Q50" s="1999" t="n">
        <v>-0.660000000000003</v>
      </c>
      <c r="R50" s="1997" t="n">
        <v>668.31</v>
      </c>
      <c r="S50" s="1997" t="n">
        <v>220.05</v>
      </c>
      <c r="T50" s="1997" t="n">
        <v>253.2</v>
      </c>
      <c r="U50" s="1997" t="n">
        <v>378.35</v>
      </c>
      <c r="V50" s="1999" t="n">
        <v>319.25</v>
      </c>
      <c r="W50" s="395" t="n">
        <f aca="false">AC50+AV50</f>
        <v>820.92</v>
      </c>
      <c r="X50" s="1997" t="n">
        <f aca="false">W50+AA50</f>
        <v>967.05</v>
      </c>
      <c r="Y50" s="1997" t="n">
        <f aca="false">AE50+AZ50</f>
        <v>535.26</v>
      </c>
      <c r="Z50" s="1997" t="n">
        <f aca="false">W50-Y50</f>
        <v>285.66</v>
      </c>
      <c r="AA50" s="1997" t="n">
        <f aca="false">AG50+BA50</f>
        <v>146.13</v>
      </c>
      <c r="AB50" s="1319" t="n">
        <f aca="false">AA50/X50</f>
        <v>0.151109042965721</v>
      </c>
      <c r="AC50" s="1509" t="n">
        <f aca="false">AF50+AE50</f>
        <v>232.91</v>
      </c>
      <c r="AD50" s="1509" t="n">
        <f aca="false">AF50+AG50+AE50</f>
        <v>282.17</v>
      </c>
      <c r="AE50" s="1509" t="n">
        <f aca="false">AS50</f>
        <v>90.85</v>
      </c>
      <c r="AF50" s="1997" t="n">
        <v>142.06</v>
      </c>
      <c r="AG50" s="1997" t="n">
        <v>49.26</v>
      </c>
      <c r="AH50" s="1319" t="n">
        <f aca="false">AG50/AD50</f>
        <v>0.174575610447603</v>
      </c>
      <c r="AI50" s="2002"/>
      <c r="AJ50" s="2002"/>
      <c r="AK50" s="1478"/>
      <c r="AL50" s="1478"/>
      <c r="AM50" s="821"/>
      <c r="AN50" s="2030"/>
      <c r="AO50" s="2024"/>
      <c r="AP50" s="1478"/>
      <c r="AQ50" s="2004"/>
      <c r="AR50" s="1478"/>
      <c r="AS50" s="1478" t="n">
        <v>90.85</v>
      </c>
      <c r="AT50" s="1478"/>
      <c r="AU50" s="2005"/>
      <c r="AV50" s="2001" t="n">
        <f aca="false">AW50-BA50</f>
        <v>588.01</v>
      </c>
      <c r="AW50" s="2004" t="n">
        <f aca="false">AY50+AZ50</f>
        <v>684.88</v>
      </c>
      <c r="AX50" s="2004" t="n">
        <f aca="false">BD50+BI50</f>
        <v>143.6</v>
      </c>
      <c r="AY50" s="1932" t="n">
        <f aca="false">AX50+BA50</f>
        <v>240.47</v>
      </c>
      <c r="AZ50" s="1478" t="n">
        <f aca="false">BF50+BK50</f>
        <v>444.41</v>
      </c>
      <c r="BA50" s="1478" t="n">
        <f aca="false">BG50+BL50</f>
        <v>96.87</v>
      </c>
      <c r="BB50" s="821" t="n">
        <f aca="false">BA50/AW50</f>
        <v>0.141440836350894</v>
      </c>
      <c r="BC50" s="1478" t="n">
        <f aca="false">BE50+BF50</f>
        <v>639.82</v>
      </c>
      <c r="BD50" s="1478" t="n">
        <v>132.52</v>
      </c>
      <c r="BE50" s="1509" t="n">
        <f aca="false">BD50+BG50</f>
        <v>225.13</v>
      </c>
      <c r="BF50" s="1478" t="n">
        <v>414.69</v>
      </c>
      <c r="BG50" s="1997" t="n">
        <v>92.61</v>
      </c>
      <c r="BH50" s="1478" t="n">
        <f aca="false">BJ50+BK50</f>
        <v>45.06</v>
      </c>
      <c r="BI50" s="1478" t="n">
        <v>11.08</v>
      </c>
      <c r="BJ50" s="1509" t="n">
        <f aca="false">BI50+BL50</f>
        <v>15.34</v>
      </c>
      <c r="BK50" s="1478" t="n">
        <v>29.72</v>
      </c>
      <c r="BL50" s="1997" t="n">
        <v>4.26</v>
      </c>
      <c r="BM50" s="2001" t="n">
        <f aca="false">BN50-BP50</f>
        <v>102.02</v>
      </c>
      <c r="BN50" s="2004" t="n">
        <f aca="false">BO50+BP50</f>
        <v>123.5</v>
      </c>
      <c r="BO50" s="1478" t="n">
        <v>102.02</v>
      </c>
      <c r="BP50" s="1997" t="n">
        <v>21.48</v>
      </c>
      <c r="BQ50" s="2005" t="n">
        <f aca="false">BP50/BN50</f>
        <v>0.173927125506073</v>
      </c>
      <c r="BR50" s="1509" t="n">
        <f aca="false">AY50-BA50</f>
        <v>143.6</v>
      </c>
      <c r="BS50" s="1509" t="n">
        <f aca="false">BX50+CC50</f>
        <v>22.05</v>
      </c>
      <c r="BT50" s="1509" t="n">
        <f aca="false">BY50-BZ50+CD50-CE50</f>
        <v>91.4</v>
      </c>
      <c r="BU50" s="1509" t="n">
        <f aca="false">BR50-BS50-BT50-BW50</f>
        <v>33.43</v>
      </c>
      <c r="BV50" s="1509" t="n">
        <v>7.23</v>
      </c>
      <c r="BW50" s="1509" t="n">
        <f aca="false">CB50+CG50</f>
        <v>-3.28</v>
      </c>
      <c r="BX50" s="1997" t="n">
        <v>16.53</v>
      </c>
      <c r="BY50" s="1997" t="n">
        <v>120.45</v>
      </c>
      <c r="BZ50" s="1478" t="n">
        <v>23.07</v>
      </c>
      <c r="CA50" s="1509"/>
      <c r="CB50" s="1997" t="n">
        <v>-2.07</v>
      </c>
      <c r="CC50" s="1997" t="n">
        <v>5.52</v>
      </c>
      <c r="CD50" s="1997" t="n">
        <v>173.88</v>
      </c>
      <c r="CE50" s="1997" t="n">
        <v>179.86</v>
      </c>
      <c r="CF50" s="1997"/>
      <c r="CG50" s="1997" t="n">
        <v>-1.21</v>
      </c>
      <c r="CH50" s="1482" t="n">
        <f aca="false">CI50+CL50+CO50</f>
        <v>10.45</v>
      </c>
      <c r="CI50" s="1479" t="n">
        <f aca="false">CJ50-CK50</f>
        <v>13.84</v>
      </c>
      <c r="CJ50" s="2023" t="n">
        <v>45.35</v>
      </c>
      <c r="CK50" s="2023" t="n">
        <v>31.51</v>
      </c>
      <c r="CL50" s="1479" t="n">
        <f aca="false">CM50-CN50</f>
        <v>2.59</v>
      </c>
      <c r="CM50" s="2023" t="n">
        <v>4.44</v>
      </c>
      <c r="CN50" s="2023" t="n">
        <v>1.85</v>
      </c>
      <c r="CO50" s="2023" t="n">
        <f aca="false">CP50-CQ50</f>
        <v>-5.98</v>
      </c>
      <c r="CP50" s="2023" t="n">
        <v>5</v>
      </c>
      <c r="CQ50" s="2023" t="n">
        <v>10.98</v>
      </c>
      <c r="CR50" s="1478" t="n">
        <f aca="false">CS50-CT50</f>
        <v>-14.21</v>
      </c>
      <c r="CS50" s="1478" t="n">
        <v>4.4</v>
      </c>
      <c r="CT50" s="1478" t="n">
        <v>18.61</v>
      </c>
      <c r="CU50" s="1478" t="n">
        <f aca="false">CV50-CW50</f>
        <v>-1.06</v>
      </c>
      <c r="CV50" s="485" t="n">
        <v>0.38</v>
      </c>
      <c r="CW50" s="1478" t="n">
        <v>1.44</v>
      </c>
      <c r="CX50" s="1998" t="n">
        <f aca="false">D50+DD50-DF50</f>
        <v>248.665894677212</v>
      </c>
      <c r="CY50" s="2007" t="n">
        <f aca="false">CX50-DC50-DD50</f>
        <v>219.025891677212</v>
      </c>
      <c r="CZ50" s="1509" t="n">
        <f aca="false">BR50</f>
        <v>143.6</v>
      </c>
      <c r="DA50" s="2023" t="n">
        <f aca="false">D50-DF50-CZ50-DC50</f>
        <v>75.4258916772123</v>
      </c>
      <c r="DB50" s="2023"/>
      <c r="DC50" s="2017" t="n">
        <f aca="false">CI50</f>
        <v>13.84</v>
      </c>
      <c r="DD50" s="1478" t="n">
        <v>15.800003</v>
      </c>
      <c r="DE50" s="1997" t="n">
        <v>40.6</v>
      </c>
      <c r="DF50" s="2007" t="n">
        <f aca="false">DI50+DL50+DM50+DU50</f>
        <v>706.504108322788</v>
      </c>
      <c r="DG50" s="2011" t="n">
        <f aca="false">DH50+DU50</f>
        <v>639.87</v>
      </c>
      <c r="DH50" s="2010" t="n">
        <f aca="false">DJ50+DL50+AE50</f>
        <v>637.28</v>
      </c>
      <c r="DI50" s="2011" t="n">
        <f aca="false">Y50</f>
        <v>535.26</v>
      </c>
      <c r="DJ50" s="2035" t="n">
        <f aca="false">AZ50</f>
        <v>444.41</v>
      </c>
      <c r="DK50" s="2035" t="n">
        <f aca="false">AS50</f>
        <v>90.85</v>
      </c>
      <c r="DL50" s="1509" t="n">
        <f aca="false">BM50</f>
        <v>102.02</v>
      </c>
      <c r="DM50" s="2009" t="n">
        <f aca="false">GK50*DN50*DH50/GJ50</f>
        <v>66.6341083227877</v>
      </c>
      <c r="DN50" s="2013" t="n">
        <f aca="false">DN51</f>
        <v>0.895905244977209</v>
      </c>
      <c r="DO50" s="2009"/>
      <c r="DP50" s="2009" t="n">
        <f aca="false">GK50*DH50/GJ50</f>
        <v>74.3762900109853</v>
      </c>
      <c r="DQ50" s="2009" t="n">
        <f aca="false">2/3*DP50</f>
        <v>49.5841933406568</v>
      </c>
      <c r="DR50" s="2009" t="n">
        <f aca="false">DS50*(DH50/GJ50)*GK50</f>
        <v>93.9360568320105</v>
      </c>
      <c r="DS50" s="514" t="n">
        <f aca="false">(DT50/GK50)/(DH50/GJ50)</f>
        <v>1.26298390008612</v>
      </c>
      <c r="DT50" s="2012" t="n">
        <v>93.9360568320105</v>
      </c>
      <c r="DU50" s="2015" t="n">
        <f aca="false">CL50</f>
        <v>2.59</v>
      </c>
      <c r="DV50" s="2007" t="n">
        <f aca="false">DW50+DX50+DY50+EB50</f>
        <v>441.79</v>
      </c>
      <c r="DW50" s="1509" t="n">
        <f aca="false">I50</f>
        <v>104.13</v>
      </c>
      <c r="DX50" s="2017" t="n">
        <f aca="false">BS50</f>
        <v>22.05</v>
      </c>
      <c r="DY50" s="2017" t="n">
        <f aca="false">EE50+EF50</f>
        <v>123.15</v>
      </c>
      <c r="DZ50" s="2018" t="n">
        <f aca="false">EF50+EE50-EA50</f>
        <v>20.3760671508832</v>
      </c>
      <c r="EA50" s="2018" t="n">
        <f aca="false">EE50*(DF50-EB50+EH50)/(0.5*CX50+DF50-EB50+EH50)</f>
        <v>102.773932849117</v>
      </c>
      <c r="EB50" s="1478" t="n">
        <v>192.46</v>
      </c>
      <c r="EC50" s="2018" t="n">
        <f aca="false">DX50+DZ50</f>
        <v>42.4260671508832</v>
      </c>
      <c r="ED50" s="2018" t="n">
        <f aca="false">EA50+EB50</f>
        <v>295.233932849117</v>
      </c>
      <c r="EE50" s="1478" t="n">
        <v>122.08</v>
      </c>
      <c r="EF50" s="2017" t="n">
        <v>1.07</v>
      </c>
      <c r="EG50" s="1478" t="n">
        <v>179.36</v>
      </c>
      <c r="EH50" s="2017" t="n">
        <f aca="false">EG50-EI50</f>
        <v>147.83</v>
      </c>
      <c r="EI50" s="2023" t="n">
        <v>31.53</v>
      </c>
      <c r="EJ50" s="2023" t="n">
        <v>70.51</v>
      </c>
      <c r="EK50" s="2032" t="n">
        <v>7.52</v>
      </c>
      <c r="EL50" s="2017" t="n">
        <f aca="false">EM50-(DV50-EF50)</f>
        <v>1.08000000000004</v>
      </c>
      <c r="EM50" s="2017" t="n">
        <f aca="false">EP50+S50+EG50+EN50+DD50</f>
        <v>441.8</v>
      </c>
      <c r="EN50" s="2017" t="n">
        <v>7.52</v>
      </c>
      <c r="EO50" s="2019" t="n">
        <f aca="false">EM50-EG50-EN50-DD50</f>
        <v>239.119997</v>
      </c>
      <c r="EP50" s="2019" t="n">
        <f aca="false">ER50-EQ50</f>
        <v>19.069997</v>
      </c>
      <c r="EQ50" s="2017" t="n">
        <v>-10.77</v>
      </c>
      <c r="ER50" s="2023" t="n">
        <f aca="false">EU50+ES50-BP50+ET50</f>
        <v>8.29999699999999</v>
      </c>
      <c r="ES50" s="2023" t="n">
        <v>29.5</v>
      </c>
      <c r="ET50" s="2023" t="n">
        <v>-0.69</v>
      </c>
      <c r="EU50" s="2023" t="n">
        <v>0.969996999999992</v>
      </c>
      <c r="EV50" s="2024" t="n">
        <f aca="false">B50-DV50+EH50+DD50-CO50</f>
        <v>771.320003</v>
      </c>
      <c r="EW50" s="1478" t="n">
        <f aca="false">CX50-EC50</f>
        <v>206.239827526329</v>
      </c>
      <c r="EX50" s="1478" t="n">
        <f aca="false">($DF50-$EB50)-$EA50*($DF50-$EB50)/($DF50-$EB50+$EH50)</f>
        <v>434.224798266795</v>
      </c>
      <c r="EY50" s="1478" t="n">
        <f aca="false">$EH50-$EA50*$EH50/($DF50-$EB50+$EH50)</f>
        <v>124.875377206876</v>
      </c>
      <c r="EZ50" s="1478" t="n">
        <f aca="false">EV50+EI50</f>
        <v>802.850003</v>
      </c>
      <c r="FA50" s="1478" t="n">
        <v>790.17</v>
      </c>
      <c r="FB50" s="1478" t="n">
        <v>95.66</v>
      </c>
      <c r="FC50" s="1478" t="n">
        <f aca="false">FB50+AG50</f>
        <v>144.92</v>
      </c>
      <c r="FD50" s="1997" t="n">
        <f aca="false">FB50+BU50-BV50</f>
        <v>121.86</v>
      </c>
      <c r="FE50" s="1478" t="n">
        <v>2.75</v>
      </c>
      <c r="FF50" s="1478" t="n">
        <v>6.96</v>
      </c>
      <c r="FG50" s="1478" t="n">
        <f aca="false">FE50+FF50</f>
        <v>9.71</v>
      </c>
      <c r="FH50" s="514" t="n">
        <f aca="false">FG50/FD50</f>
        <v>0.079681601838175</v>
      </c>
      <c r="FI50" s="1994" t="n">
        <f aca="false">FB50+FE50</f>
        <v>98.41</v>
      </c>
      <c r="FJ50" s="1994" t="n">
        <f aca="false">BU50-BV50+FF50</f>
        <v>33.16</v>
      </c>
      <c r="FK50" s="2025" t="n">
        <f aca="false">FI50+FJ50</f>
        <v>131.57</v>
      </c>
      <c r="FL50" s="1994" t="n">
        <f aca="false">FO50+FP50+FS50</f>
        <v>98.41</v>
      </c>
      <c r="FM50" s="1997" t="n">
        <v>91.94</v>
      </c>
      <c r="FO50" s="1995" t="n">
        <f aca="false">FM50-AG50</f>
        <v>42.68</v>
      </c>
      <c r="FP50" s="1997" t="n">
        <v>0.49</v>
      </c>
      <c r="FQ50" s="1478" t="n">
        <f aca="false">FI50-FO50-FP50</f>
        <v>55.24</v>
      </c>
      <c r="FR50" s="1997" t="n">
        <v>0</v>
      </c>
      <c r="FS50" s="1478" t="n">
        <f aca="false">FQ50+FR50</f>
        <v>55.24</v>
      </c>
      <c r="FT50" s="514"/>
      <c r="FU50" s="514"/>
      <c r="FV50" s="514"/>
      <c r="FW50" s="2038"/>
      <c r="FX50" s="2026" t="n">
        <f aca="false">FY50+FZ50</f>
        <v>131.76</v>
      </c>
      <c r="FY50" s="1997" t="n">
        <v>125.94</v>
      </c>
      <c r="FZ50" s="1999" t="n">
        <v>5.82</v>
      </c>
      <c r="GA50" s="2015" t="n">
        <v>0</v>
      </c>
      <c r="GB50" s="402" t="n">
        <v>0.0282902829028291</v>
      </c>
      <c r="GC50" s="387" t="n">
        <v>0.0278055882515444</v>
      </c>
      <c r="GD50" s="387" t="n">
        <f aca="false">(G50/G49)/(1+GE50)-1</f>
        <v>0.0287178708168208</v>
      </c>
      <c r="GE50" s="387" t="n">
        <v>0.0390390390390389</v>
      </c>
      <c r="GF50" s="387" t="n">
        <v>0.0296052631578947</v>
      </c>
      <c r="GG50" s="2033" t="n">
        <v>83.56796</v>
      </c>
      <c r="GH50" s="465" t="n">
        <v>62197.069</v>
      </c>
      <c r="GI50" s="465" t="n">
        <f aca="false">GJ50+GK50</f>
        <v>29480</v>
      </c>
      <c r="GJ50" s="465" t="n">
        <v>26399</v>
      </c>
      <c r="GK50" s="465" t="n">
        <v>3081</v>
      </c>
      <c r="GL50" s="25" t="n">
        <f aca="false">GL49+(GL$51-GL$41)/10</f>
        <v>0.2136</v>
      </c>
      <c r="GM50" s="25" t="n">
        <f aca="false">GK50/GI50</f>
        <v>0.104511533242877</v>
      </c>
      <c r="GN50" s="385" t="n">
        <v>62197.069</v>
      </c>
      <c r="GO50" s="1932" t="n">
        <f aca="false">CX50</f>
        <v>248.665894677212</v>
      </c>
      <c r="GP50" s="1932" t="n">
        <f aca="false">BU50</f>
        <v>33.43</v>
      </c>
      <c r="GQ50" s="1932" t="n">
        <f aca="false">BW50</f>
        <v>-3.28</v>
      </c>
      <c r="GR50" s="1932"/>
      <c r="GS50" s="1509"/>
      <c r="GT50" s="1932"/>
      <c r="GU50" s="1509" t="n">
        <v>19.85</v>
      </c>
      <c r="GV50" s="1509"/>
      <c r="GW50" s="1478" t="n">
        <v>0.8</v>
      </c>
      <c r="GX50" s="1509" t="n">
        <f aca="false">GY50+GZ50</f>
        <v>97.48</v>
      </c>
      <c r="GY50" s="1478" t="n">
        <v>75.43</v>
      </c>
      <c r="GZ50" s="24" t="n">
        <f aca="false">DX50</f>
        <v>22.05</v>
      </c>
      <c r="HA50" s="1509" t="n">
        <v>65.56</v>
      </c>
      <c r="HB50" s="1478"/>
      <c r="HC50" s="1478"/>
      <c r="HD50" s="24" t="n">
        <f aca="false">DE50</f>
        <v>40.6</v>
      </c>
      <c r="HE50" s="1997"/>
      <c r="HF50" s="1478"/>
      <c r="HG50" s="1478"/>
      <c r="HH50" s="1478"/>
      <c r="HI50" s="1478"/>
      <c r="HJ50" s="1478"/>
      <c r="HK50" s="387"/>
    </row>
    <row r="51" customFormat="false" ht="12" hidden="false" customHeight="false" outlineLevel="0" collapsed="false">
      <c r="A51" s="31" t="n">
        <f aca="false">A50+1</f>
        <v>1990</v>
      </c>
      <c r="B51" s="1994" t="n">
        <f aca="false">E51+F51</f>
        <v>1136.5</v>
      </c>
      <c r="C51" s="432" t="n">
        <f aca="false">B51+CR51</f>
        <v>1101.62</v>
      </c>
      <c r="D51" s="1995" t="n">
        <f aca="false">B51-I51</f>
        <v>1019.14</v>
      </c>
      <c r="E51" s="1996" t="n">
        <f aca="false">CH51</f>
        <v>11.26</v>
      </c>
      <c r="F51" s="1994" t="n">
        <f aca="false">J51+AC51+AV51+BM51</f>
        <v>1125.24</v>
      </c>
      <c r="G51" s="1478" t="n">
        <f aca="false">J51+X51+BN51</f>
        <v>1306.68</v>
      </c>
      <c r="H51" s="1478" t="n">
        <f aca="false">AG51+BA51+BP51</f>
        <v>181.44</v>
      </c>
      <c r="I51" s="853" t="n">
        <v>117.36</v>
      </c>
      <c r="J51" s="395" t="n">
        <f aca="false">I51-CO51</f>
        <v>123.33</v>
      </c>
      <c r="K51" s="1478"/>
      <c r="L51" s="1478" t="n">
        <f aca="false">M51+N51+O51+P51+Q51</f>
        <v>4.97000000000002</v>
      </c>
      <c r="M51" s="1478" t="n">
        <v>-0.0200000000000005</v>
      </c>
      <c r="N51" s="1478" t="n">
        <v>4.66</v>
      </c>
      <c r="O51" s="1478" t="n">
        <v>2.12</v>
      </c>
      <c r="P51" s="1478" t="n">
        <v>-0.56</v>
      </c>
      <c r="Q51" s="1999" t="n">
        <v>-1.22999999999998</v>
      </c>
      <c r="R51" s="1997" t="n">
        <v>717.21</v>
      </c>
      <c r="S51" s="1997" t="n">
        <v>234.8</v>
      </c>
      <c r="T51" s="1997" t="n">
        <v>282.14</v>
      </c>
      <c r="U51" s="1997" t="n">
        <v>421.66</v>
      </c>
      <c r="V51" s="1999" t="n">
        <v>349.13</v>
      </c>
      <c r="W51" s="395" t="n">
        <f aca="false">AC51+AV51</f>
        <v>894.4</v>
      </c>
      <c r="X51" s="1997" t="n">
        <f aca="false">W51+AA51</f>
        <v>1052.61</v>
      </c>
      <c r="Y51" s="1997" t="n">
        <f aca="false">AE51+AZ51</f>
        <v>582.02</v>
      </c>
      <c r="Z51" s="1997" t="n">
        <f aca="false">W51-Y51</f>
        <v>312.38</v>
      </c>
      <c r="AA51" s="1997" t="n">
        <f aca="false">AG51+BA51</f>
        <v>158.21</v>
      </c>
      <c r="AB51" s="1319" t="n">
        <f aca="false">AA51/X51</f>
        <v>0.150302581202915</v>
      </c>
      <c r="AC51" s="1509" t="n">
        <f aca="false">AF51+AE51</f>
        <v>249.83</v>
      </c>
      <c r="AD51" s="1509" t="n">
        <f aca="false">AF51+AG51+AE51</f>
        <v>303.44</v>
      </c>
      <c r="AE51" s="1509" t="n">
        <f aca="false">AS51</f>
        <v>96.76</v>
      </c>
      <c r="AF51" s="1997" t="n">
        <v>153.07</v>
      </c>
      <c r="AG51" s="1997" t="n">
        <v>53.61</v>
      </c>
      <c r="AH51" s="1319" t="n">
        <f aca="false">AG51/AD51</f>
        <v>0.176674136567361</v>
      </c>
      <c r="AI51" s="80" t="n">
        <v>27.99</v>
      </c>
      <c r="AJ51" s="80" t="n">
        <v>7.98</v>
      </c>
      <c r="AK51" s="1478"/>
      <c r="AL51" s="1478"/>
      <c r="AM51" s="821"/>
      <c r="AN51" s="2030"/>
      <c r="AO51" s="79" t="n">
        <f aca="false">AQ51+AS51</f>
        <v>221.84</v>
      </c>
      <c r="AP51" s="2039"/>
      <c r="AQ51" s="2004" t="n">
        <v>125.08</v>
      </c>
      <c r="AR51" s="2039" t="n">
        <f aca="false">AR52*AQ51/AQ52</f>
        <v>162.489771689498</v>
      </c>
      <c r="AS51" s="1478" t="n">
        <v>96.76</v>
      </c>
      <c r="AT51" s="2039"/>
      <c r="AU51" s="2040"/>
      <c r="AV51" s="2001" t="n">
        <f aca="false">AW51-BA51</f>
        <v>644.57</v>
      </c>
      <c r="AW51" s="2004" t="n">
        <f aca="false">AY51+AZ51</f>
        <v>749.17</v>
      </c>
      <c r="AX51" s="2004" t="n">
        <f aca="false">BD51+BI51</f>
        <v>159.31</v>
      </c>
      <c r="AY51" s="1932" t="n">
        <f aca="false">AX51+BA51</f>
        <v>263.91</v>
      </c>
      <c r="AZ51" s="1478" t="n">
        <f aca="false">BF51+BK51</f>
        <v>485.26</v>
      </c>
      <c r="BA51" s="1478" t="n">
        <f aca="false">BG51+BL51</f>
        <v>104.6</v>
      </c>
      <c r="BB51" s="821" t="n">
        <f aca="false">BA51/AW51</f>
        <v>0.139621180773389</v>
      </c>
      <c r="BC51" s="1478" t="n">
        <f aca="false">BE51+BF51</f>
        <v>697.64</v>
      </c>
      <c r="BD51" s="1478" t="n">
        <v>145.32</v>
      </c>
      <c r="BE51" s="1509" t="n">
        <f aca="false">BD51+BG51</f>
        <v>245.35</v>
      </c>
      <c r="BF51" s="1478" t="n">
        <v>452.29</v>
      </c>
      <c r="BG51" s="1997" t="n">
        <v>100.03</v>
      </c>
      <c r="BH51" s="1478" t="n">
        <f aca="false">BJ51+BK51</f>
        <v>51.53</v>
      </c>
      <c r="BI51" s="1478" t="n">
        <v>13.99</v>
      </c>
      <c r="BJ51" s="1509" t="n">
        <f aca="false">BI51+BL51</f>
        <v>18.56</v>
      </c>
      <c r="BK51" s="1478" t="n">
        <v>32.97</v>
      </c>
      <c r="BL51" s="1997" t="n">
        <v>4.57</v>
      </c>
      <c r="BM51" s="2001" t="n">
        <f aca="false">BN51-BP51</f>
        <v>107.51</v>
      </c>
      <c r="BN51" s="2004" t="n">
        <f aca="false">BO51+BP51</f>
        <v>130.74</v>
      </c>
      <c r="BO51" s="1478" t="n">
        <v>107.51</v>
      </c>
      <c r="BP51" s="1997" t="n">
        <v>23.23</v>
      </c>
      <c r="BQ51" s="2005" t="n">
        <f aca="false">BP51/BN51</f>
        <v>0.177680893376166</v>
      </c>
      <c r="BR51" s="1509" t="n">
        <f aca="false">AY51-BA51</f>
        <v>159.31</v>
      </c>
      <c r="BS51" s="1509" t="n">
        <f aca="false">BX51+CC51</f>
        <v>20.01</v>
      </c>
      <c r="BT51" s="1509" t="n">
        <f aca="false">BY51-BZ51+CD51-CE51</f>
        <v>93.43</v>
      </c>
      <c r="BU51" s="1509" t="n">
        <f aca="false">BR51-BS51-BT51-BW51</f>
        <v>50.69</v>
      </c>
      <c r="BV51" s="1509" t="n">
        <v>9.17</v>
      </c>
      <c r="BW51" s="1509" t="n">
        <f aca="false">CB51+CG51</f>
        <v>-4.81999999999999</v>
      </c>
      <c r="BX51" s="1997" t="n">
        <v>15.05</v>
      </c>
      <c r="BY51" s="1997" t="n">
        <v>132.56</v>
      </c>
      <c r="BZ51" s="1478" t="n">
        <v>33.96</v>
      </c>
      <c r="CA51" s="1509"/>
      <c r="CB51" s="1997" t="n">
        <v>-3.39</v>
      </c>
      <c r="CC51" s="1997" t="n">
        <v>4.96</v>
      </c>
      <c r="CD51" s="1997" t="n">
        <v>209.65</v>
      </c>
      <c r="CE51" s="1997" t="n">
        <v>214.82</v>
      </c>
      <c r="CF51" s="1997"/>
      <c r="CG51" s="1997" t="n">
        <v>-1.42999999999999</v>
      </c>
      <c r="CH51" s="1482" t="n">
        <f aca="false">CI51+CL51+CO51</f>
        <v>11.26</v>
      </c>
      <c r="CI51" s="1479" t="n">
        <f aca="false">CJ51-CK51</f>
        <v>16.8</v>
      </c>
      <c r="CJ51" s="2023" t="n">
        <v>56.1</v>
      </c>
      <c r="CK51" s="2023" t="n">
        <v>39.3</v>
      </c>
      <c r="CL51" s="1479" t="n">
        <f aca="false">CM51-CN51</f>
        <v>0.43</v>
      </c>
      <c r="CM51" s="2023" t="n">
        <v>4.75</v>
      </c>
      <c r="CN51" s="2023" t="n">
        <v>4.32</v>
      </c>
      <c r="CO51" s="2023" t="n">
        <f aca="false">CP51-CQ51</f>
        <v>-5.97</v>
      </c>
      <c r="CP51" s="2023" t="n">
        <v>4.86</v>
      </c>
      <c r="CQ51" s="2023" t="n">
        <v>10.83</v>
      </c>
      <c r="CR51" s="1478" t="n">
        <f aca="false">CS51-CT51</f>
        <v>-34.88</v>
      </c>
      <c r="CS51" s="1478" t="n">
        <v>6.09</v>
      </c>
      <c r="CT51" s="1478" t="n">
        <v>40.97</v>
      </c>
      <c r="CU51" s="2041" t="n">
        <f aca="false">CV51-CW51</f>
        <v>-2.54</v>
      </c>
      <c r="CV51" s="485" t="n">
        <v>0.32</v>
      </c>
      <c r="CW51" s="1478" t="n">
        <v>2.86</v>
      </c>
      <c r="CX51" s="1998" t="n">
        <f aca="false">CZ51+DA51+DB51+DC51+DD51</f>
        <v>275.379315185535</v>
      </c>
      <c r="CY51" s="2007" t="n">
        <f aca="false">CZ51+DA51+DB51</f>
        <v>242.129313185535</v>
      </c>
      <c r="CZ51" s="1509" t="n">
        <f aca="false">BR51</f>
        <v>159.31</v>
      </c>
      <c r="DA51" s="2008" t="n">
        <f aca="false">AI51</f>
        <v>27.99</v>
      </c>
      <c r="DB51" s="2009" t="n">
        <f aca="false">AO51*AX51/AV51</f>
        <v>54.8293131855345</v>
      </c>
      <c r="DC51" s="2017" t="n">
        <f aca="false">CI51</f>
        <v>16.8</v>
      </c>
      <c r="DD51" s="1478" t="n">
        <v>16.450002</v>
      </c>
      <c r="DE51" s="1997" t="n">
        <v>49.03</v>
      </c>
      <c r="DF51" s="2007" t="n">
        <f aca="false">DI51+DL51+DM51+DU51</f>
        <v>760.210686814465</v>
      </c>
      <c r="DG51" s="2011" t="n">
        <f aca="false">DH51+DU51</f>
        <v>689.96</v>
      </c>
      <c r="DH51" s="2011" t="n">
        <f aca="false">DJ51+DL51+AE51</f>
        <v>689.53</v>
      </c>
      <c r="DI51" s="2011" t="n">
        <f aca="false">Y51</f>
        <v>582.02</v>
      </c>
      <c r="DJ51" s="2035" t="n">
        <f aca="false">AZ51</f>
        <v>485.26</v>
      </c>
      <c r="DK51" s="2035" t="n">
        <f aca="false">AS51</f>
        <v>96.76</v>
      </c>
      <c r="DL51" s="1509" t="n">
        <f aca="false">BM51</f>
        <v>107.51</v>
      </c>
      <c r="DM51" s="2042" t="n">
        <f aca="false">AO51*AZ51/AV51-DK51</f>
        <v>70.2506868144655</v>
      </c>
      <c r="DN51" s="514" t="n">
        <f aca="false">(DM51/GK51)/(DH51/GJ51)</f>
        <v>0.895905244977209</v>
      </c>
      <c r="DO51" s="2043" t="n">
        <f aca="false">2/3*AR51</f>
        <v>108.326514459665</v>
      </c>
      <c r="DP51" s="2043" t="n">
        <f aca="false">GK51*DH51/GJ51</f>
        <v>78.4130768385585</v>
      </c>
      <c r="DQ51" s="2009" t="n">
        <f aca="false">2/3*DP51</f>
        <v>52.275384559039</v>
      </c>
      <c r="DR51" s="2009" t="n">
        <f aca="false">DS51*(DH51/GJ51)*GK51</f>
        <v>100.466037502719</v>
      </c>
      <c r="DS51" s="514" t="n">
        <f aca="false">(DT51/GK51)/(DH51/GJ51)</f>
        <v>1.2812408536087</v>
      </c>
      <c r="DT51" s="2012" t="n">
        <v>100.466037502719</v>
      </c>
      <c r="DU51" s="2015" t="n">
        <f aca="false">CL51</f>
        <v>0.43</v>
      </c>
      <c r="DV51" s="2007" t="n">
        <f aca="false">DW51+DX51+DY51+EB51</f>
        <v>463.56</v>
      </c>
      <c r="DW51" s="1509" t="n">
        <f aca="false">I51</f>
        <v>117.36</v>
      </c>
      <c r="DX51" s="2017" t="n">
        <f aca="false">BS51</f>
        <v>20.01</v>
      </c>
      <c r="DY51" s="2017" t="n">
        <f aca="false">EE51+EF51</f>
        <v>120.26</v>
      </c>
      <c r="DZ51" s="2018" t="n">
        <f aca="false">EF51+EE51-EA51</f>
        <v>20.863485701427</v>
      </c>
      <c r="EA51" s="2018" t="n">
        <f aca="false">EE51*(DF51-EB51+EH51)/(0.5*CX51+DF51-EB51+EH51)</f>
        <v>99.3965142985731</v>
      </c>
      <c r="EB51" s="1478" t="n">
        <v>205.93</v>
      </c>
      <c r="EC51" s="2018" t="n">
        <f aca="false">DX51+DZ51</f>
        <v>40.873485701427</v>
      </c>
      <c r="ED51" s="2018" t="n">
        <f aca="false">EA51+EB51</f>
        <v>305.326514298573</v>
      </c>
      <c r="EE51" s="2044" t="n">
        <v>118.72</v>
      </c>
      <c r="EF51" s="2017" t="n">
        <v>1.54</v>
      </c>
      <c r="EG51" s="1479" t="n">
        <v>187.02</v>
      </c>
      <c r="EH51" s="2017" t="n">
        <f aca="false">134.57+19.4</f>
        <v>153.97</v>
      </c>
      <c r="EI51" s="2023" t="n">
        <v>32.58</v>
      </c>
      <c r="EJ51" s="2043" t="n">
        <v>76.7</v>
      </c>
      <c r="EK51" s="2045" t="n">
        <v>31.48</v>
      </c>
      <c r="EL51" s="2046" t="n">
        <f aca="false">EM51-(DV51-EF51)</f>
        <v>2.07999999999993</v>
      </c>
      <c r="EM51" s="2046" t="n">
        <f aca="false">EP51+S51+EG51+EN51+DD51</f>
        <v>464.1</v>
      </c>
      <c r="EN51" s="2047" t="n">
        <v>31.48</v>
      </c>
      <c r="EO51" s="2048" t="n">
        <f aca="false">EM51-EG51-EN51-DD51</f>
        <v>229.149998</v>
      </c>
      <c r="EP51" s="2048" t="n">
        <f aca="false">ER51-EQ51</f>
        <v>-5.65000200000005</v>
      </c>
      <c r="EQ51" s="2046" t="n">
        <v>-11.56</v>
      </c>
      <c r="ER51" s="2043" t="n">
        <f aca="false">EU51+ES51-BP51+ET51</f>
        <v>-17.2100020000001</v>
      </c>
      <c r="ES51" s="2043" t="n">
        <v>31.62</v>
      </c>
      <c r="ET51" s="2043" t="n">
        <v>-0.82</v>
      </c>
      <c r="EU51" s="2045" t="n">
        <v>-24.7800020000001</v>
      </c>
      <c r="EV51" s="2024" t="n">
        <f aca="false">B51-DV51+EH51+DD51-CO51</f>
        <v>849.330002</v>
      </c>
      <c r="EW51" s="1478" t="n">
        <f aca="false">CX51-EC51</f>
        <v>234.505829484108</v>
      </c>
      <c r="EX51" s="1478" t="n">
        <f aca="false">($DF51-$EB51)-$EA51*($DF51-$EB51)/($DF51-$EB51+$EH51)</f>
        <v>476.492455559549</v>
      </c>
      <c r="EY51" s="1478" t="n">
        <f aca="false">$EH51-$EA51*$EH51/($DF51-$EB51+$EH51)</f>
        <v>132.361716956343</v>
      </c>
      <c r="EZ51" s="2041" t="n">
        <f aca="false">EV51+EI51</f>
        <v>881.910002</v>
      </c>
      <c r="FA51" s="1478" t="n">
        <v>872.47</v>
      </c>
      <c r="FB51" s="1478" t="n">
        <v>113.74</v>
      </c>
      <c r="FC51" s="1478" t="n">
        <f aca="false">FB51+AG51</f>
        <v>167.35</v>
      </c>
      <c r="FD51" s="2034" t="n">
        <f aca="false">FB51+BU51-BV51</f>
        <v>155.26</v>
      </c>
      <c r="FE51" s="1478" t="n">
        <v>0.11</v>
      </c>
      <c r="FF51" s="1478" t="n">
        <v>8.91</v>
      </c>
      <c r="FG51" s="1478" t="n">
        <f aca="false">FE51+FF51</f>
        <v>9.02</v>
      </c>
      <c r="FH51" s="514" t="n">
        <f aca="false">FG51/FD51</f>
        <v>0.0580960968697669</v>
      </c>
      <c r="FI51" s="1994" t="n">
        <f aca="false">FB51+FE51</f>
        <v>113.85</v>
      </c>
      <c r="FJ51" s="2049" t="n">
        <f aca="false">BU51-BV51+FF51</f>
        <v>50.43</v>
      </c>
      <c r="FK51" s="2025" t="n">
        <f aca="false">FI51+FJ51</f>
        <v>164.28</v>
      </c>
      <c r="FL51" s="1994" t="n">
        <f aca="false">FO51+FP51+FS51</f>
        <v>113.85</v>
      </c>
      <c r="FM51" s="1997" t="n">
        <v>104.18</v>
      </c>
      <c r="FO51" s="1995" t="n">
        <f aca="false">FM51-AG51</f>
        <v>50.57</v>
      </c>
      <c r="FP51" s="1997" t="n">
        <v>0.48</v>
      </c>
      <c r="FQ51" s="1478" t="n">
        <f aca="false">FI51-FO51-FP51</f>
        <v>62.8</v>
      </c>
      <c r="FR51" s="2034" t="n">
        <v>0</v>
      </c>
      <c r="FS51" s="1478" t="n">
        <f aca="false">FQ51+FR51</f>
        <v>62.8</v>
      </c>
      <c r="FT51" s="514"/>
      <c r="FU51" s="514"/>
      <c r="FV51" s="514"/>
      <c r="FW51" s="2038"/>
      <c r="FX51" s="2026" t="n">
        <f aca="false">FY51+FZ51</f>
        <v>146.34</v>
      </c>
      <c r="FY51" s="1997" t="n">
        <v>139.6</v>
      </c>
      <c r="FZ51" s="1999" t="n">
        <v>6.74</v>
      </c>
      <c r="GA51" s="2015" t="n">
        <v>0</v>
      </c>
      <c r="GB51" s="402" t="n">
        <v>0.0263157894736843</v>
      </c>
      <c r="GC51" s="387" t="n">
        <v>0.0269646976839355</v>
      </c>
      <c r="GD51" s="387" t="n">
        <f aca="false">(G51/G50)/(1+GE51)-1</f>
        <v>0.033967862857655</v>
      </c>
      <c r="GE51" s="387" t="n">
        <v>0.0525486074619022</v>
      </c>
      <c r="GF51" s="387" t="n">
        <v>0.0266240681576144</v>
      </c>
      <c r="GG51" s="2050" t="n">
        <v>90.249975</v>
      </c>
      <c r="GH51" s="465" t="n">
        <v>63202.344</v>
      </c>
      <c r="GI51" s="465" t="n">
        <f aca="false">GJ51+GK51</f>
        <v>30409</v>
      </c>
      <c r="GJ51" s="465" t="n">
        <v>27304</v>
      </c>
      <c r="GK51" s="465" t="n">
        <v>3105</v>
      </c>
      <c r="GL51" s="25" t="n">
        <v>0.208</v>
      </c>
      <c r="GM51" s="25" t="n">
        <f aca="false">GK51/GI51</f>
        <v>0.102107928573778</v>
      </c>
      <c r="GN51" s="385" t="n">
        <v>63202.344</v>
      </c>
      <c r="GO51" s="1932" t="n">
        <f aca="false">CX51</f>
        <v>275.379315185535</v>
      </c>
      <c r="GP51" s="1932" t="n">
        <f aca="false">BU51</f>
        <v>50.69</v>
      </c>
      <c r="GQ51" s="1932" t="n">
        <f aca="false">BW51</f>
        <v>-4.81999999999999</v>
      </c>
      <c r="GR51" s="1932" t="n">
        <f aca="false">DB51</f>
        <v>54.8293131855345</v>
      </c>
      <c r="GS51" s="1509" t="n">
        <f aca="false">GO51-GP51-GQ51-GR51</f>
        <v>174.680002</v>
      </c>
      <c r="GT51" s="1932" t="n">
        <f aca="false">GU51+GV51+GW51+GX51+HA51-HD51</f>
        <v>174.68</v>
      </c>
      <c r="GU51" s="1509" t="n">
        <v>21.69</v>
      </c>
      <c r="GV51" s="2041" t="n">
        <f aca="false">AI51</f>
        <v>27.99</v>
      </c>
      <c r="GW51" s="1478" t="n">
        <v>0.85</v>
      </c>
      <c r="GX51" s="1509" t="n">
        <f aca="false">GY51+GZ51</f>
        <v>94.42</v>
      </c>
      <c r="GY51" s="1478" t="n">
        <v>74.41</v>
      </c>
      <c r="GZ51" s="24" t="n">
        <f aca="false">DX51</f>
        <v>20.01</v>
      </c>
      <c r="HA51" s="1478" t="n">
        <v>78.76</v>
      </c>
      <c r="HB51" s="1478" t="n">
        <v>46.56</v>
      </c>
      <c r="HC51" s="1478" t="n">
        <f aca="false">HA51-HB51</f>
        <v>32.2</v>
      </c>
      <c r="HD51" s="2051" t="n">
        <f aca="false">DE51</f>
        <v>49.03</v>
      </c>
      <c r="HE51" s="2052" t="n">
        <v>48.13</v>
      </c>
      <c r="HF51" s="1478" t="n">
        <v>50.57</v>
      </c>
      <c r="HG51" s="1478" t="n">
        <f aca="false">HF51-HE51</f>
        <v>2.44</v>
      </c>
      <c r="HI51" s="24"/>
      <c r="HJ51" s="158" t="n">
        <f aca="false">DE51/DataDE2!AR52</f>
        <v>0.0669872535584723</v>
      </c>
      <c r="HK51" s="387" t="n">
        <f aca="false">HF51/DataDE2!AR52</f>
        <v>0.0690912790628583</v>
      </c>
    </row>
    <row r="52" s="1093" customFormat="true" ht="12" hidden="false" customHeight="false" outlineLevel="0" collapsed="false">
      <c r="A52" s="2053" t="n">
        <f aca="false">A51+1</f>
        <v>1991</v>
      </c>
      <c r="B52" s="2054" t="n">
        <f aca="false">E52+F52</f>
        <v>1330.57</v>
      </c>
      <c r="C52" s="2055" t="n">
        <f aca="false">B52+CR52</f>
        <v>1308.84</v>
      </c>
      <c r="D52" s="2056" t="n">
        <f aca="false">B52-I52</f>
        <v>1219.43</v>
      </c>
      <c r="E52" s="2057" t="n">
        <f aca="false">CH52</f>
        <v>7.03999999999999</v>
      </c>
      <c r="F52" s="2054" t="n">
        <f aca="false">J52+AC52+AV52+BM52</f>
        <v>1323.53</v>
      </c>
      <c r="G52" s="2058" t="n">
        <f aca="false">J52+X52+BN52</f>
        <v>1534.6</v>
      </c>
      <c r="H52" s="2058" t="n">
        <f aca="false">AG52+BA52+BP52</f>
        <v>211.07</v>
      </c>
      <c r="I52" s="2059" t="n">
        <f aca="false">K52+L52+CO52</f>
        <v>111.14</v>
      </c>
      <c r="J52" s="2060" t="n">
        <f aca="false">K52+L52</f>
        <v>119.71</v>
      </c>
      <c r="K52" s="2061" t="n">
        <v>141.2</v>
      </c>
      <c r="L52" s="2058" t="n">
        <f aca="false">M52+N52+O52+P52+Q52</f>
        <v>-21.49</v>
      </c>
      <c r="M52" s="2061" t="n">
        <v>-0.98</v>
      </c>
      <c r="N52" s="2061" t="n">
        <v>-16.85</v>
      </c>
      <c r="O52" s="2061" t="n">
        <v>0.18</v>
      </c>
      <c r="P52" s="2061" t="n">
        <v>-1.61</v>
      </c>
      <c r="Q52" s="2062" t="n">
        <v>-2.23</v>
      </c>
      <c r="R52" s="2061" t="n">
        <v>882.55</v>
      </c>
      <c r="S52" s="2061" t="n">
        <v>288.94</v>
      </c>
      <c r="T52" s="2061" t="n">
        <v>368.91</v>
      </c>
      <c r="U52" s="2061" t="n">
        <v>394.4</v>
      </c>
      <c r="V52" s="2062" t="n">
        <v>400.2</v>
      </c>
      <c r="W52" s="2063" t="n">
        <f aca="false">AC52+AV52</f>
        <v>1068.72</v>
      </c>
      <c r="X52" s="2061" t="n">
        <f aca="false">W52+AA52</f>
        <v>1251.96</v>
      </c>
      <c r="Y52" s="2061" t="n">
        <f aca="false">AE52+AZ52</f>
        <v>723.73</v>
      </c>
      <c r="Z52" s="2061" t="n">
        <f aca="false">W52-Y52</f>
        <v>344.99</v>
      </c>
      <c r="AA52" s="2061" t="n">
        <f aca="false">AG52+BA52</f>
        <v>183.24</v>
      </c>
      <c r="AB52" s="2064" t="n">
        <f aca="false">AA52/X52</f>
        <v>0.146362503594364</v>
      </c>
      <c r="AC52" s="2058" t="n">
        <f aca="false">AF52+AE52</f>
        <v>284.25</v>
      </c>
      <c r="AD52" s="2058" t="n">
        <f aca="false">AF52+AG52+AE52</f>
        <v>345.14</v>
      </c>
      <c r="AE52" s="2058" t="n">
        <f aca="false">AS52</f>
        <v>122.8</v>
      </c>
      <c r="AF52" s="2058" t="n">
        <f aca="false">AI52+AQ52</f>
        <v>161.45</v>
      </c>
      <c r="AG52" s="2065" t="n">
        <v>60.89</v>
      </c>
      <c r="AH52" s="2064" t="n">
        <f aca="false">AG52/AD52</f>
        <v>0.176421162426841</v>
      </c>
      <c r="AI52" s="2065" t="n">
        <v>24.83</v>
      </c>
      <c r="AJ52" s="2065" t="n">
        <v>9.5</v>
      </c>
      <c r="AL52" s="2058"/>
      <c r="AM52" s="810"/>
      <c r="AN52" s="2066"/>
      <c r="AO52" s="61" t="n">
        <f aca="false">AQ52+AS52</f>
        <v>259.42</v>
      </c>
      <c r="AP52" s="2067"/>
      <c r="AQ52" s="2065" t="n">
        <v>136.62</v>
      </c>
      <c r="AR52" s="2068" t="n">
        <f aca="false">AR53*AQ52/AQ53</f>
        <v>177.481232876712</v>
      </c>
      <c r="AS52" s="2065" t="n">
        <v>122.8</v>
      </c>
      <c r="AT52" s="2068"/>
      <c r="AU52" s="2069"/>
      <c r="AV52" s="2070" t="n">
        <f aca="false">AW52-BA52</f>
        <v>784.47</v>
      </c>
      <c r="AW52" s="2071" t="n">
        <f aca="false">AY52+AZ52</f>
        <v>906.82</v>
      </c>
      <c r="AX52" s="2071" t="n">
        <f aca="false">BD52+BI52</f>
        <v>183.54</v>
      </c>
      <c r="AY52" s="2072" t="n">
        <f aca="false">AX52+BA52</f>
        <v>305.89</v>
      </c>
      <c r="AZ52" s="2058" t="n">
        <f aca="false">BF52+BK52</f>
        <v>600.93</v>
      </c>
      <c r="BA52" s="2058" t="n">
        <f aca="false">BG52+BL52</f>
        <v>122.35</v>
      </c>
      <c r="BB52" s="810" t="n">
        <f aca="false">BA52/AW52</f>
        <v>0.13492203524404</v>
      </c>
      <c r="BC52" s="2058" t="n">
        <f aca="false">BE52+BF52</f>
        <v>847.51</v>
      </c>
      <c r="BD52" s="2065" t="n">
        <v>170.87</v>
      </c>
      <c r="BE52" s="2058" t="n">
        <f aca="false">BD52+BG52</f>
        <v>288.26</v>
      </c>
      <c r="BF52" s="2065" t="n">
        <v>559.25</v>
      </c>
      <c r="BG52" s="2065" t="n">
        <v>117.39</v>
      </c>
      <c r="BH52" s="2058" t="n">
        <f aca="false">BJ52+BK52</f>
        <v>59.31</v>
      </c>
      <c r="BI52" s="2065" t="n">
        <v>12.67</v>
      </c>
      <c r="BJ52" s="2058" t="n">
        <f aca="false">BI52+BL52</f>
        <v>17.63</v>
      </c>
      <c r="BK52" s="2065" t="n">
        <v>41.68</v>
      </c>
      <c r="BL52" s="2065" t="n">
        <v>4.96</v>
      </c>
      <c r="BM52" s="2070" t="n">
        <f aca="false">BN52-BP52</f>
        <v>135.1</v>
      </c>
      <c r="BN52" s="2071" t="n">
        <f aca="false">BO52+BP52</f>
        <v>162.93</v>
      </c>
      <c r="BO52" s="2065" t="n">
        <v>135.1</v>
      </c>
      <c r="BP52" s="2065" t="n">
        <v>27.83</v>
      </c>
      <c r="BQ52" s="2073" t="n">
        <f aca="false">BP52/BN52</f>
        <v>0.170809550113546</v>
      </c>
      <c r="BR52" s="2058" t="n">
        <f aca="false">AY52-BA52</f>
        <v>183.54</v>
      </c>
      <c r="BS52" s="2058" t="n">
        <f aca="false">BX52+CC52</f>
        <v>42.06</v>
      </c>
      <c r="BT52" s="2058" t="n">
        <f aca="false">BY52-BZ52+CD52-CE52</f>
        <v>127.71</v>
      </c>
      <c r="BU52" s="2058" t="n">
        <f aca="false">BR52-BS52-BT52-BW52</f>
        <v>21.55</v>
      </c>
      <c r="BV52" s="2058" t="n">
        <f aca="false">CA52+CF52</f>
        <v>9.29</v>
      </c>
      <c r="BW52" s="2058" t="n">
        <f aca="false">CB52+CG52</f>
        <v>-7.78</v>
      </c>
      <c r="BX52" s="2065" t="n">
        <v>32.24</v>
      </c>
      <c r="BY52" s="2074" t="n">
        <v>183.15</v>
      </c>
      <c r="BZ52" s="2065" t="n">
        <v>44.19</v>
      </c>
      <c r="CA52" s="2065" t="n">
        <v>7.19</v>
      </c>
      <c r="CB52" s="2058" t="n">
        <v>-5.78</v>
      </c>
      <c r="CC52" s="2065" t="n">
        <v>9.82</v>
      </c>
      <c r="CD52" s="2074" t="n">
        <v>245.44</v>
      </c>
      <c r="CE52" s="2075" t="n">
        <v>256.69</v>
      </c>
      <c r="CF52" s="2065" t="n">
        <v>2.1</v>
      </c>
      <c r="CG52" s="2058" t="n">
        <v>-2</v>
      </c>
      <c r="CH52" s="2076" t="n">
        <f aca="false">CI52+CL52+CO52</f>
        <v>7.03999999999999</v>
      </c>
      <c r="CI52" s="2061" t="n">
        <f aca="false">CJ52-CK52</f>
        <v>13.24</v>
      </c>
      <c r="CJ52" s="2061" t="n">
        <v>59.19</v>
      </c>
      <c r="CK52" s="2061" t="n">
        <v>45.95</v>
      </c>
      <c r="CL52" s="2061" t="n">
        <f aca="false">CM52-CN52</f>
        <v>2.37</v>
      </c>
      <c r="CM52" s="2061" t="n">
        <v>5.1</v>
      </c>
      <c r="CN52" s="2061" t="n">
        <v>2.73</v>
      </c>
      <c r="CO52" s="2074" t="n">
        <f aca="false">CP52-CQ52</f>
        <v>-8.57</v>
      </c>
      <c r="CP52" s="2061" t="n">
        <v>5.58</v>
      </c>
      <c r="CQ52" s="2061" t="n">
        <v>14.15</v>
      </c>
      <c r="CR52" s="2058" t="n">
        <f aca="false">CS52-CT52</f>
        <v>-21.73</v>
      </c>
      <c r="CS52" s="2058" t="n">
        <v>5.04</v>
      </c>
      <c r="CT52" s="2058" t="n">
        <v>26.77</v>
      </c>
      <c r="CU52" s="1478" t="n">
        <f aca="false">CV52-CW52</f>
        <v>-2.89</v>
      </c>
      <c r="CV52" s="2061" t="n">
        <v>0.66</v>
      </c>
      <c r="CW52" s="2061" t="n">
        <v>3.55</v>
      </c>
      <c r="CX52" s="2059" t="n">
        <f aca="false">CZ52+DA52+DB52+DC52+DD52</f>
        <v>305.215688554056</v>
      </c>
      <c r="CY52" s="2054" t="n">
        <f aca="false">CZ52+DA52+DB52</f>
        <v>269.065688554056</v>
      </c>
      <c r="CZ52" s="2058" t="n">
        <f aca="false">BR52</f>
        <v>183.54</v>
      </c>
      <c r="DA52" s="2058" t="n">
        <f aca="false">AI52</f>
        <v>24.83</v>
      </c>
      <c r="DB52" s="2061" t="n">
        <f aca="false">AO52*AX52/AV52</f>
        <v>60.6956885540556</v>
      </c>
      <c r="DC52" s="2061" t="n">
        <f aca="false">CI52</f>
        <v>13.24</v>
      </c>
      <c r="DD52" s="2061" t="n">
        <v>22.91</v>
      </c>
      <c r="DE52" s="2074" t="n">
        <v>58.58</v>
      </c>
      <c r="DF52" s="2054" t="n">
        <f aca="false">DI52+DL52+DM52+DU52</f>
        <v>937.124311445944</v>
      </c>
      <c r="DG52" s="2077" t="n">
        <f aca="false">DH52+DU52</f>
        <v>861.2</v>
      </c>
      <c r="DH52" s="2077" t="n">
        <f aca="false">DJ52+DL52+AE52</f>
        <v>858.83</v>
      </c>
      <c r="DI52" s="2077" t="n">
        <f aca="false">Y52</f>
        <v>723.73</v>
      </c>
      <c r="DJ52" s="2078" t="n">
        <f aca="false">AZ52</f>
        <v>600.93</v>
      </c>
      <c r="DK52" s="2078" t="n">
        <f aca="false">AS52</f>
        <v>122.8</v>
      </c>
      <c r="DL52" s="2058" t="n">
        <f aca="false">BM52</f>
        <v>135.1</v>
      </c>
      <c r="DM52" s="2079" t="n">
        <f aca="false">AO52*AZ52/AV52-DK52</f>
        <v>75.9243114459444</v>
      </c>
      <c r="DN52" s="2080" t="n">
        <f aca="false">(DM52/GK52)/(DH52/GJ52)</f>
        <v>0.871839573089124</v>
      </c>
      <c r="DO52" s="2042" t="n">
        <f aca="false">2/3*AR52</f>
        <v>118.320821917808</v>
      </c>
      <c r="DP52" s="2042" t="n">
        <f aca="false">GK52*DH52/GJ52</f>
        <v>87.0851860703312</v>
      </c>
      <c r="DQ52" s="2081" t="n">
        <f aca="false">2/3*DP52</f>
        <v>58.0567907135541</v>
      </c>
      <c r="DR52" s="2081" t="n">
        <f aca="false">DS52*(DH52/GJ52)*GK52</f>
        <v>107.41848855713</v>
      </c>
      <c r="DS52" s="2080" t="n">
        <f aca="false">(DT52/GK52)/(DH52/GJ52)</f>
        <v>1.23348750119655</v>
      </c>
      <c r="DT52" s="2082" t="n">
        <v>107.41848855713</v>
      </c>
      <c r="DU52" s="2062" t="n">
        <f aca="false">CL52</f>
        <v>2.37</v>
      </c>
      <c r="DV52" s="2054" t="n">
        <f aca="false">DW52+DX52+DY52+EB52</f>
        <v>561.55</v>
      </c>
      <c r="DW52" s="2058" t="n">
        <f aca="false">I52</f>
        <v>111.14</v>
      </c>
      <c r="DX52" s="2061" t="n">
        <f aca="false">BS52</f>
        <v>42.06</v>
      </c>
      <c r="DY52" s="2061" t="n">
        <f aca="false">EE52+EF52</f>
        <v>149.89</v>
      </c>
      <c r="DZ52" s="2083" t="n">
        <f aca="false">EF52+EE52-EA52</f>
        <v>23.4337643403427</v>
      </c>
      <c r="EA52" s="2083" t="n">
        <f aca="false">EE52*(DF52-EB52+EH52)/(0.5*CX52+DF52-EB52+EH52)</f>
        <v>126.456235659657</v>
      </c>
      <c r="EB52" s="2061" t="n">
        <v>258.46</v>
      </c>
      <c r="EC52" s="2083" t="n">
        <f aca="false">DX52+DZ52</f>
        <v>65.4937643403427</v>
      </c>
      <c r="ED52" s="2083" t="n">
        <f aca="false">EA52+EB52</f>
        <v>384.916235659657</v>
      </c>
      <c r="EE52" s="2074" t="n">
        <v>148.54</v>
      </c>
      <c r="EF52" s="2061" t="n">
        <v>1.35</v>
      </c>
      <c r="EG52" s="2061" t="n">
        <v>235.59</v>
      </c>
      <c r="EH52" s="2074" t="n">
        <v>195.2</v>
      </c>
      <c r="EI52" s="2061" t="n">
        <v>40.39</v>
      </c>
      <c r="EJ52" s="1479" t="n">
        <v>98.97</v>
      </c>
      <c r="EK52" s="2062" t="n">
        <v>20.68</v>
      </c>
      <c r="EL52" s="1479" t="n">
        <v>1.14</v>
      </c>
      <c r="EM52" s="2017" t="n">
        <f aca="false">DV52-EF52+EL52</f>
        <v>561.34</v>
      </c>
      <c r="EN52" s="2023" t="n">
        <v>20.68</v>
      </c>
      <c r="EO52" s="2019" t="n">
        <f aca="false">EM52-EG52-EN52-DD52</f>
        <v>282.16</v>
      </c>
      <c r="EP52" s="2019" t="n">
        <f aca="false">EO52-S52</f>
        <v>-6.78000000000014</v>
      </c>
      <c r="EQ52" s="2023" t="n">
        <v>-25.88</v>
      </c>
      <c r="ER52" s="2023" t="n">
        <f aca="false">EP52+EQ52</f>
        <v>-32.6600000000001</v>
      </c>
      <c r="ES52" s="1479" t="n">
        <v>39.9</v>
      </c>
      <c r="ET52" s="1479" t="n">
        <v>-0.88</v>
      </c>
      <c r="EU52" s="2023" t="n">
        <f aca="false">ER52-ES52-ET52+BP52</f>
        <v>-43.8500000000002</v>
      </c>
      <c r="EV52" s="2084" t="n">
        <f aca="false">B52-DV52+EH52+DD52-CO52</f>
        <v>995.7</v>
      </c>
      <c r="EW52" s="2058" t="n">
        <f aca="false">CX52-EC52</f>
        <v>239.721924213713</v>
      </c>
      <c r="EX52" s="2058" t="n">
        <f aca="false">($DF52-$EB52)-$EA52*($DF52-$EB52)/($DF52-$EB52+$EH52)</f>
        <v>580.455318381561</v>
      </c>
      <c r="EY52" s="2058" t="n">
        <f aca="false">$EH52-$EA52*$EH52/($DF52-$EB52+$EH52)</f>
        <v>166.952757404727</v>
      </c>
      <c r="EZ52" s="1478" t="n">
        <f aca="false">EV52+EI52</f>
        <v>1036.09</v>
      </c>
      <c r="FA52" s="2061" t="n">
        <v>1026.68</v>
      </c>
      <c r="FB52" s="2061" t="n">
        <v>131.87</v>
      </c>
      <c r="FC52" s="2058" t="n">
        <f aca="false">FB52+AG52</f>
        <v>192.76</v>
      </c>
      <c r="FD52" s="1997" t="n">
        <f aca="false">FB52+BU52-BV52</f>
        <v>144.13</v>
      </c>
      <c r="FE52" s="2061" t="n">
        <v>5.14</v>
      </c>
      <c r="FF52" s="2061" t="n">
        <v>17.85</v>
      </c>
      <c r="FG52" s="2061" t="n">
        <f aca="false">FE52+FF52</f>
        <v>22.99</v>
      </c>
      <c r="FH52" s="514" t="n">
        <f aca="false">FG52/FD52</f>
        <v>0.159508776798723</v>
      </c>
      <c r="FI52" s="2054" t="n">
        <f aca="false">FB52+FE52</f>
        <v>137.01</v>
      </c>
      <c r="FJ52" s="1994" t="n">
        <f aca="false">BU52-BV52+FF52</f>
        <v>30.11</v>
      </c>
      <c r="FK52" s="2085" t="n">
        <f aca="false">FI52+FJ52</f>
        <v>167.12</v>
      </c>
      <c r="FL52" s="2054" t="n">
        <f aca="false">FO52+FP52+FS52</f>
        <v>137.01</v>
      </c>
      <c r="FM52" s="2061" t="n">
        <v>120.92</v>
      </c>
      <c r="FN52" s="2061" t="n">
        <v>116.2</v>
      </c>
      <c r="FO52" s="2056" t="n">
        <f aca="false">FN52-AG52</f>
        <v>55.31</v>
      </c>
      <c r="FP52" s="2061" t="n">
        <v>5.27</v>
      </c>
      <c r="FQ52" s="2058" t="n">
        <f aca="false">FI52-FO52-FP52</f>
        <v>76.43</v>
      </c>
      <c r="FR52" s="1997" t="n">
        <v>0</v>
      </c>
      <c r="FS52" s="2058" t="n">
        <f aca="false">FQ52+FR52</f>
        <v>76.43</v>
      </c>
      <c r="FT52" s="2077" t="n">
        <v>142.2</v>
      </c>
      <c r="FU52" s="2077" t="n">
        <v>18.6</v>
      </c>
      <c r="FV52" s="2077" t="n">
        <v>31.9</v>
      </c>
      <c r="FW52" s="2086" t="n">
        <v>65.7</v>
      </c>
      <c r="FX52" s="2087" t="n">
        <f aca="false">FY52+FZ52</f>
        <v>208.09</v>
      </c>
      <c r="FY52" s="2074" t="n">
        <v>199.03</v>
      </c>
      <c r="FZ52" s="2088" t="n">
        <v>9.06</v>
      </c>
      <c r="GA52" s="2062" t="n">
        <v>0</v>
      </c>
      <c r="GB52" s="2089" t="n">
        <v>0.0400508652017344</v>
      </c>
      <c r="GC52" s="2090" t="n">
        <v>0.0400508652017344</v>
      </c>
      <c r="GD52" s="2090" t="n">
        <v>0.03085</v>
      </c>
      <c r="GE52" s="2090" t="n">
        <v>0.0510484273589613</v>
      </c>
      <c r="GF52" s="2091" t="n">
        <f aca="false">GB52</f>
        <v>0.0400508652017344</v>
      </c>
      <c r="GG52" s="2033" t="n">
        <v>95.05</v>
      </c>
      <c r="GH52" s="2092" t="n">
        <v>80013.8955</v>
      </c>
      <c r="GI52" s="2092" t="n">
        <f aca="false">GJ52+GK52</f>
        <v>38712</v>
      </c>
      <c r="GJ52" s="2092" t="n">
        <v>35148</v>
      </c>
      <c r="GK52" s="2092" t="n">
        <v>3564</v>
      </c>
      <c r="GL52" s="1030" t="n">
        <v>0.217</v>
      </c>
      <c r="GM52" s="1030" t="n">
        <f aca="false">GK52/GI52</f>
        <v>0.0920644761314321</v>
      </c>
      <c r="GN52" s="2093" t="n">
        <v>64105.22</v>
      </c>
      <c r="GO52" s="2072" t="n">
        <f aca="false">CX52</f>
        <v>305.215688554056</v>
      </c>
      <c r="GP52" s="2072" t="n">
        <f aca="false">BU52</f>
        <v>21.55</v>
      </c>
      <c r="GQ52" s="2072" t="n">
        <f aca="false">BW52</f>
        <v>-7.78</v>
      </c>
      <c r="GR52" s="2072" t="n">
        <f aca="false">DB52</f>
        <v>60.6956885540556</v>
      </c>
      <c r="GS52" s="2058" t="n">
        <f aca="false">GO52-GP52-GQ52-GR52</f>
        <v>230.75</v>
      </c>
      <c r="GT52" s="2072" t="n">
        <f aca="false">GU52+GV52+GW52+GX52+HA52-HD52</f>
        <v>230.75</v>
      </c>
      <c r="GU52" s="2061" t="n">
        <v>23.87</v>
      </c>
      <c r="GV52" s="2017" t="n">
        <f aca="false">AI52</f>
        <v>24.83</v>
      </c>
      <c r="GW52" s="2061" t="n">
        <v>1.1</v>
      </c>
      <c r="GX52" s="2058" t="n">
        <f aca="false">GY52+GZ52</f>
        <v>154.26</v>
      </c>
      <c r="GY52" s="2061" t="n">
        <v>112.2</v>
      </c>
      <c r="GZ52" s="2094" t="n">
        <f aca="false">DX52</f>
        <v>42.06</v>
      </c>
      <c r="HA52" s="2061" t="n">
        <v>85.27</v>
      </c>
      <c r="HB52" s="2061"/>
      <c r="HC52" s="2061"/>
      <c r="HD52" s="24" t="n">
        <f aca="false">DE52</f>
        <v>58.58</v>
      </c>
      <c r="HE52" s="2061" t="n">
        <v>57.44</v>
      </c>
      <c r="HF52" s="2061" t="n">
        <v>64.44</v>
      </c>
      <c r="HG52" s="2058" t="n">
        <f aca="false">HF52-HE52</f>
        <v>7</v>
      </c>
      <c r="HH52" s="2058" t="n">
        <f aca="false">AJ52</f>
        <v>9.5</v>
      </c>
      <c r="HI52" s="2094" t="n">
        <f aca="false">HG52-HH52</f>
        <v>-2.5</v>
      </c>
      <c r="HJ52" s="2095" t="n">
        <f aca="false">DE52/DataDE2!AR53</f>
        <v>0.075215451906528</v>
      </c>
      <c r="HK52" s="2090" t="n">
        <f aca="false">HF52/DataDE2!AR53</f>
        <v>0.0827395650538864</v>
      </c>
    </row>
    <row r="53" customFormat="false" ht="12" hidden="false" customHeight="false" outlineLevel="0" collapsed="false">
      <c r="A53" s="31" t="n">
        <f aca="false">A52+1</f>
        <v>1992</v>
      </c>
      <c r="B53" s="1994" t="n">
        <f aca="false">E53+F53</f>
        <v>1423.96</v>
      </c>
      <c r="C53" s="381" t="n">
        <f aca="false">B53+CR53</f>
        <v>1407.65</v>
      </c>
      <c r="D53" s="1995" t="n">
        <f aca="false">B53-I53</f>
        <v>1300.55</v>
      </c>
      <c r="E53" s="1996" t="n">
        <f aca="false">CH53</f>
        <v>5.12</v>
      </c>
      <c r="F53" s="1994" t="n">
        <f aca="false">J53+AC53+AV53+BM53</f>
        <v>1418.84</v>
      </c>
      <c r="G53" s="1478" t="n">
        <f aca="false">J53+X53+BN53</f>
        <v>1648.4</v>
      </c>
      <c r="H53" s="1478" t="n">
        <f aca="false">AG53+BA53+BP53</f>
        <v>229.56</v>
      </c>
      <c r="I53" s="1998" t="n">
        <f aca="false">K53+L53+CO53</f>
        <v>123.41</v>
      </c>
      <c r="J53" s="395" t="n">
        <f aca="false">K53+L53</f>
        <v>133.71</v>
      </c>
      <c r="K53" s="1479" t="n">
        <v>153.22</v>
      </c>
      <c r="L53" s="1478" t="n">
        <f aca="false">M53+N53+O53+P53+Q53</f>
        <v>-19.51</v>
      </c>
      <c r="M53" s="1479" t="n">
        <v>-0.23</v>
      </c>
      <c r="N53" s="1479" t="n">
        <v>-15.01</v>
      </c>
      <c r="O53" s="1479" t="n">
        <v>0.18</v>
      </c>
      <c r="P53" s="1479" t="n">
        <v>-2.32</v>
      </c>
      <c r="Q53" s="2015" t="n">
        <v>-2.12999999999997</v>
      </c>
      <c r="R53" s="1479" t="n">
        <v>949.79</v>
      </c>
      <c r="S53" s="1479" t="n">
        <v>318.1</v>
      </c>
      <c r="T53" s="1479" t="n">
        <v>387.18</v>
      </c>
      <c r="U53" s="1479" t="n">
        <v>395.86</v>
      </c>
      <c r="V53" s="2015" t="n">
        <v>402.53</v>
      </c>
      <c r="W53" s="2096" t="n">
        <f aca="false">AC53+AV53</f>
        <v>1136.75</v>
      </c>
      <c r="X53" s="1479" t="n">
        <f aca="false">W53+AA53</f>
        <v>1336.18</v>
      </c>
      <c r="Y53" s="1479" t="n">
        <f aca="false">AE53+AZ53</f>
        <v>783.4</v>
      </c>
      <c r="Z53" s="1479" t="n">
        <f aca="false">W53-Y53</f>
        <v>353.35</v>
      </c>
      <c r="AA53" s="1479" t="n">
        <f aca="false">AG53+BA53</f>
        <v>199.43</v>
      </c>
      <c r="AB53" s="1319" t="n">
        <f aca="false">AA53/X53</f>
        <v>0.149253843045099</v>
      </c>
      <c r="AC53" s="1509" t="n">
        <f aca="false">AF53+AE53</f>
        <v>310.09</v>
      </c>
      <c r="AD53" s="1509" t="n">
        <f aca="false">AF53+AG53+AE53</f>
        <v>376.42</v>
      </c>
      <c r="AE53" s="1509" t="n">
        <f aca="false">AS53</f>
        <v>136.79</v>
      </c>
      <c r="AF53" s="1509" t="n">
        <f aca="false">AI53+AQ53</f>
        <v>173.3</v>
      </c>
      <c r="AG53" s="2097" t="n">
        <v>66.33</v>
      </c>
      <c r="AH53" s="1319" t="n">
        <f aca="false">AG53/AD53</f>
        <v>0.176212741087084</v>
      </c>
      <c r="AI53" s="2097" t="n">
        <v>28.43</v>
      </c>
      <c r="AJ53" s="2097" t="n">
        <v>9.13</v>
      </c>
      <c r="AL53" s="1478"/>
      <c r="AM53" s="821"/>
      <c r="AN53" s="2030"/>
      <c r="AO53" s="79" t="n">
        <f aca="false">AQ53+AS53</f>
        <v>281.66</v>
      </c>
      <c r="AP53" s="2098"/>
      <c r="AQ53" s="2097" t="n">
        <v>144.87</v>
      </c>
      <c r="AR53" s="2039" t="n">
        <f aca="false">AR54*AQ53/AQ54</f>
        <v>188.198698630137</v>
      </c>
      <c r="AS53" s="2097" t="n">
        <v>136.79</v>
      </c>
      <c r="AT53" s="2039"/>
      <c r="AU53" s="2069"/>
      <c r="AV53" s="2001" t="n">
        <f aca="false">AW53-BA53</f>
        <v>826.66</v>
      </c>
      <c r="AW53" s="2004" t="n">
        <f aca="false">AY53+AZ53</f>
        <v>959.76</v>
      </c>
      <c r="AX53" s="2004" t="n">
        <f aca="false">BD53+BI53</f>
        <v>180.05</v>
      </c>
      <c r="AY53" s="1932" t="n">
        <f aca="false">AX53+BA53</f>
        <v>313.15</v>
      </c>
      <c r="AZ53" s="1478" t="n">
        <f aca="false">BF53+BK53</f>
        <v>646.61</v>
      </c>
      <c r="BA53" s="1478" t="n">
        <f aca="false">BG53+BL53</f>
        <v>133.1</v>
      </c>
      <c r="BB53" s="821" t="n">
        <f aca="false">BA53/AW53</f>
        <v>0.138680503459198</v>
      </c>
      <c r="BC53" s="1478" t="n">
        <f aca="false">BE53+BF53</f>
        <v>897.54</v>
      </c>
      <c r="BD53" s="2097" t="n">
        <v>169.81</v>
      </c>
      <c r="BE53" s="1509" t="n">
        <f aca="false">BD53+BG53</f>
        <v>297.4</v>
      </c>
      <c r="BF53" s="2097" t="n">
        <v>600.14</v>
      </c>
      <c r="BG53" s="2097" t="n">
        <v>127.59</v>
      </c>
      <c r="BH53" s="1478" t="n">
        <f aca="false">BJ53+BK53</f>
        <v>62.22</v>
      </c>
      <c r="BI53" s="2097" t="n">
        <v>10.24</v>
      </c>
      <c r="BJ53" s="1509" t="n">
        <f aca="false">BI53+BL53</f>
        <v>15.75</v>
      </c>
      <c r="BK53" s="2097" t="n">
        <v>46.47</v>
      </c>
      <c r="BL53" s="2097" t="n">
        <v>5.51</v>
      </c>
      <c r="BM53" s="2001" t="n">
        <f aca="false">BN53-BP53</f>
        <v>148.38</v>
      </c>
      <c r="BN53" s="2004" t="n">
        <f aca="false">BO53+BP53</f>
        <v>178.51</v>
      </c>
      <c r="BO53" s="2097" t="n">
        <v>148.38</v>
      </c>
      <c r="BP53" s="2097" t="n">
        <v>30.13</v>
      </c>
      <c r="BQ53" s="2005" t="n">
        <f aca="false">BP53/BN53</f>
        <v>0.168786062405467</v>
      </c>
      <c r="BR53" s="1509" t="n">
        <f aca="false">AY53-BA53</f>
        <v>180.05</v>
      </c>
      <c r="BS53" s="1509" t="n">
        <f aca="false">BX53+CC53</f>
        <v>44.22</v>
      </c>
      <c r="BT53" s="1509" t="n">
        <f aca="false">BY53-BZ53+CD53-CE53</f>
        <v>126.13</v>
      </c>
      <c r="BU53" s="1509" t="n">
        <f aca="false">BR53-BS53-BT53-BW53</f>
        <v>16.05</v>
      </c>
      <c r="BV53" s="1509" t="n">
        <f aca="false">CA53+CF53</f>
        <v>11.75</v>
      </c>
      <c r="BW53" s="1509" t="n">
        <f aca="false">CB53+CG53</f>
        <v>-6.35</v>
      </c>
      <c r="BX53" s="2097" t="n">
        <v>33.73</v>
      </c>
      <c r="BY53" s="2023" t="n">
        <v>182.08</v>
      </c>
      <c r="BZ53" s="2097" t="n">
        <v>44.41</v>
      </c>
      <c r="CA53" s="2097" t="n">
        <v>8.46</v>
      </c>
      <c r="CB53" s="1509" t="n">
        <v>-3.49</v>
      </c>
      <c r="CC53" s="2097" t="n">
        <v>10.49</v>
      </c>
      <c r="CD53" s="2023" t="n">
        <v>273.65</v>
      </c>
      <c r="CE53" s="2099" t="n">
        <v>285.19</v>
      </c>
      <c r="CF53" s="2097" t="n">
        <v>3.29</v>
      </c>
      <c r="CG53" s="1509" t="n">
        <v>-2.86</v>
      </c>
      <c r="CH53" s="1482" t="n">
        <f aca="false">CI53+CL53+CO53</f>
        <v>5.12</v>
      </c>
      <c r="CI53" s="1479" t="n">
        <f aca="false">CJ53-CK53</f>
        <v>13.98</v>
      </c>
      <c r="CJ53" s="2017" t="n">
        <v>60.88</v>
      </c>
      <c r="CK53" s="2017" t="n">
        <v>46.9</v>
      </c>
      <c r="CL53" s="1479" t="n">
        <f aca="false">CM53-CN53</f>
        <v>1.44</v>
      </c>
      <c r="CM53" s="2017" t="n">
        <v>4.98</v>
      </c>
      <c r="CN53" s="2017" t="n">
        <v>3.54</v>
      </c>
      <c r="CO53" s="2023" t="n">
        <f aca="false">CP53-CQ53</f>
        <v>-10.3</v>
      </c>
      <c r="CP53" s="2017" t="n">
        <v>5.08</v>
      </c>
      <c r="CQ53" s="2017" t="n">
        <v>15.38</v>
      </c>
      <c r="CR53" s="1478" t="n">
        <f aca="false">CS53-CT53</f>
        <v>-16.31</v>
      </c>
      <c r="CS53" s="1478" t="n">
        <v>5.7</v>
      </c>
      <c r="CT53" s="1478" t="n">
        <v>22.01</v>
      </c>
      <c r="CU53" s="1478" t="n">
        <f aca="false">CV53-CW53</f>
        <v>-1.07</v>
      </c>
      <c r="CV53" s="2017" t="n">
        <v>0.88</v>
      </c>
      <c r="CW53" s="2017" t="n">
        <v>1.95</v>
      </c>
      <c r="CX53" s="1998" t="n">
        <f aca="false">CZ53+DA53+DB53+DC53+DD53</f>
        <v>311.78672416713</v>
      </c>
      <c r="CY53" s="2007" t="n">
        <f aca="false">CZ53+DA53+DB53</f>
        <v>269.82672416713</v>
      </c>
      <c r="CZ53" s="1509" t="n">
        <f aca="false">BR53</f>
        <v>180.05</v>
      </c>
      <c r="DA53" s="1509" t="n">
        <f aca="false">AI53</f>
        <v>28.43</v>
      </c>
      <c r="DB53" s="2017" t="n">
        <f aca="false">AO53*AX53/AV53</f>
        <v>61.3467241671304</v>
      </c>
      <c r="DC53" s="2017" t="n">
        <f aca="false">CI53</f>
        <v>13.98</v>
      </c>
      <c r="DD53" s="1479" t="n">
        <v>27.98</v>
      </c>
      <c r="DE53" s="2023" t="n">
        <v>65.87</v>
      </c>
      <c r="DF53" s="2007" t="n">
        <f aca="false">DI53+DL53+DM53+DU53</f>
        <v>1016.74327583287</v>
      </c>
      <c r="DG53" s="2010" t="n">
        <f aca="false">DH53+DU53</f>
        <v>933.22</v>
      </c>
      <c r="DH53" s="2010" t="n">
        <f aca="false">DJ53+DL53+AE53</f>
        <v>931.78</v>
      </c>
      <c r="DI53" s="2010" t="n">
        <f aca="false">Y53</f>
        <v>783.4</v>
      </c>
      <c r="DJ53" s="2035" t="n">
        <f aca="false">AZ53</f>
        <v>646.61</v>
      </c>
      <c r="DK53" s="2035" t="n">
        <f aca="false">AS53</f>
        <v>136.79</v>
      </c>
      <c r="DL53" s="1509" t="n">
        <f aca="false">BM53</f>
        <v>148.38</v>
      </c>
      <c r="DM53" s="2023" t="n">
        <f aca="false">AO53*AZ53/AV53-DK53</f>
        <v>83.5232758328696</v>
      </c>
      <c r="DN53" s="514" t="n">
        <f aca="false">(DM53/GK53)/(DH53/GJ53)</f>
        <v>0.856894593563026</v>
      </c>
      <c r="DO53" s="2009" t="n">
        <f aca="false">2/3*AR53</f>
        <v>125.465799086758</v>
      </c>
      <c r="DP53" s="2009" t="n">
        <f aca="false">GK53*DH53/GJ53</f>
        <v>97.4720536928284</v>
      </c>
      <c r="DQ53" s="2023" t="n">
        <f aca="false">2/3*DP53</f>
        <v>64.9813691285523</v>
      </c>
      <c r="DR53" s="2023" t="n">
        <f aca="false">DS53*(DH53/GJ53)*GK53</f>
        <v>118.031963927852</v>
      </c>
      <c r="DS53" s="514" t="n">
        <f aca="false">(DT53/GK53)/(DH53/GJ53)</f>
        <v>1.21093133319849</v>
      </c>
      <c r="DT53" s="2100" t="n">
        <v>118.031963927852</v>
      </c>
      <c r="DU53" s="2015" t="n">
        <f aca="false">CL53</f>
        <v>1.44</v>
      </c>
      <c r="DV53" s="2007" t="n">
        <f aca="false">DW53+DX53+DY53+EB53</f>
        <v>618.8</v>
      </c>
      <c r="DW53" s="1509" t="n">
        <f aca="false">I53</f>
        <v>123.41</v>
      </c>
      <c r="DX53" s="2017" t="n">
        <f aca="false">BS53</f>
        <v>44.22</v>
      </c>
      <c r="DY53" s="2017" t="n">
        <f aca="false">EE53+EF53</f>
        <v>167.24</v>
      </c>
      <c r="DZ53" s="2018" t="n">
        <f aca="false">EF53+EE53-EA53</f>
        <v>24.844261309144</v>
      </c>
      <c r="EA53" s="2018" t="n">
        <f aca="false">EE53*(DF53-EB53+EH53)/(0.5*CX53+DF53-EB53+EH53)</f>
        <v>142.395738690856</v>
      </c>
      <c r="EB53" s="2017" t="n">
        <v>283.93</v>
      </c>
      <c r="EC53" s="2018" t="n">
        <f aca="false">DX53+DZ53</f>
        <v>69.064261309144</v>
      </c>
      <c r="ED53" s="2018" t="n">
        <f aca="false">EA53+EB53</f>
        <v>426.325738690856</v>
      </c>
      <c r="EE53" s="2023" t="n">
        <v>165.7</v>
      </c>
      <c r="EF53" s="2017" t="n">
        <v>1.54</v>
      </c>
      <c r="EG53" s="2017" t="n">
        <v>265.13</v>
      </c>
      <c r="EH53" s="2023" t="n">
        <v>219.74</v>
      </c>
      <c r="EI53" s="1479" t="n">
        <v>45.39</v>
      </c>
      <c r="EJ53" s="1479" t="n">
        <v>113.14</v>
      </c>
      <c r="EK53" s="2015" t="n">
        <v>12.09</v>
      </c>
      <c r="EL53" s="1479" t="n">
        <v>1.57</v>
      </c>
      <c r="EM53" s="2017" t="n">
        <f aca="false">DV53-EF53+EL53</f>
        <v>618.83</v>
      </c>
      <c r="EN53" s="2023" t="n">
        <v>12.09</v>
      </c>
      <c r="EO53" s="2019" t="n">
        <f aca="false">EM53-EG53-EN53-DD53</f>
        <v>313.63</v>
      </c>
      <c r="EP53" s="2019" t="n">
        <f aca="false">EO53-S53</f>
        <v>-4.46999999999986</v>
      </c>
      <c r="EQ53" s="2023" t="n">
        <v>-21.64</v>
      </c>
      <c r="ER53" s="2023" t="n">
        <f aca="false">EP53+EQ53</f>
        <v>-26.1099999999999</v>
      </c>
      <c r="ES53" s="1479" t="n">
        <v>45.37</v>
      </c>
      <c r="ET53" s="1479" t="n">
        <v>-1.02</v>
      </c>
      <c r="EU53" s="2023" t="n">
        <f aca="false">ER53-ES53-ET53+BP53</f>
        <v>-40.3299999999999</v>
      </c>
      <c r="EV53" s="2024" t="n">
        <f aca="false">B53-DV53+EH53+DD53-CO53</f>
        <v>1063.18</v>
      </c>
      <c r="EW53" s="1478" t="n">
        <f aca="false">CX53-EC53</f>
        <v>242.722462857986</v>
      </c>
      <c r="EX53" s="1478" t="n">
        <f aca="false">($DF53-$EB53)-$EA53*($DF53-$EB53)/($DF53-$EB53+$EH53)</f>
        <v>623.266135129953</v>
      </c>
      <c r="EY53" s="1478" t="n">
        <f aca="false">$EH53-$EA53*$EH53/($DF53-$EB53+$EH53)</f>
        <v>186.891402012061</v>
      </c>
      <c r="EZ53" s="1478" t="n">
        <f aca="false">EV53+EI53</f>
        <v>1108.57</v>
      </c>
      <c r="FA53" s="2017" t="n">
        <v>1094.02</v>
      </c>
      <c r="FB53" s="2017" t="n">
        <v>139.93</v>
      </c>
      <c r="FC53" s="1478" t="n">
        <f aca="false">FB53+AG53</f>
        <v>206.26</v>
      </c>
      <c r="FD53" s="1997" t="n">
        <f aca="false">FB53+BU53-BV53</f>
        <v>144.23</v>
      </c>
      <c r="FE53" s="1479" t="n">
        <v>6.35</v>
      </c>
      <c r="FF53" s="1479" t="n">
        <v>14.22</v>
      </c>
      <c r="FG53" s="1479" t="n">
        <f aca="false">FE53+FF53</f>
        <v>20.57</v>
      </c>
      <c r="FH53" s="514" t="n">
        <f aca="false">FG53/FD53</f>
        <v>0.142619427303612</v>
      </c>
      <c r="FI53" s="1994" t="n">
        <f aca="false">FB53+FE53</f>
        <v>146.28</v>
      </c>
      <c r="FJ53" s="1994" t="n">
        <f aca="false">BU53-BV53+FF53</f>
        <v>18.52</v>
      </c>
      <c r="FK53" s="2025" t="n">
        <f aca="false">FI53+FJ53</f>
        <v>164.8</v>
      </c>
      <c r="FL53" s="1994" t="n">
        <f aca="false">FO53+FP53+FS53</f>
        <v>146.28</v>
      </c>
      <c r="FM53" s="2017" t="n">
        <v>133.06</v>
      </c>
      <c r="FN53" s="2017" t="n">
        <v>130.34</v>
      </c>
      <c r="FO53" s="1995" t="n">
        <f aca="false">FN53-AG53</f>
        <v>64.01</v>
      </c>
      <c r="FP53" s="2017" t="n">
        <v>3.26</v>
      </c>
      <c r="FQ53" s="1478" t="n">
        <f aca="false">FI53-FO53-FP53</f>
        <v>79.01</v>
      </c>
      <c r="FR53" s="1997" t="n">
        <v>0</v>
      </c>
      <c r="FS53" s="1478" t="n">
        <f aca="false">FQ53+FR53</f>
        <v>79.01</v>
      </c>
      <c r="FT53" s="1478" t="n">
        <v>151.5</v>
      </c>
      <c r="FU53" s="1478" t="n">
        <v>31.1</v>
      </c>
      <c r="FV53" s="1478" t="n">
        <v>35.5</v>
      </c>
      <c r="FW53" s="2038" t="n">
        <v>72.4</v>
      </c>
      <c r="FX53" s="2026" t="n">
        <f aca="false">FY53+FZ53</f>
        <v>208.75</v>
      </c>
      <c r="FY53" s="2023" t="n">
        <v>197.59</v>
      </c>
      <c r="FZ53" s="2032" t="n">
        <v>11.16</v>
      </c>
      <c r="GA53" s="2015" t="n">
        <v>0</v>
      </c>
      <c r="GB53" s="402" t="n">
        <v>0.0513833992094861</v>
      </c>
      <c r="GC53" s="387" t="n">
        <v>0.0513833992094861</v>
      </c>
      <c r="GD53" s="387" t="n">
        <f aca="false">(G53/G52)/(1+GE53)-1</f>
        <v>0.0540047525815084</v>
      </c>
      <c r="GE53" s="387" t="n">
        <v>0.0191188694929343</v>
      </c>
      <c r="GF53" s="387" t="n">
        <v>0.0430622009569379</v>
      </c>
      <c r="GG53" s="2033" t="n">
        <v>99.41</v>
      </c>
      <c r="GH53" s="465" t="n">
        <v>80624.598</v>
      </c>
      <c r="GI53" s="465" t="n">
        <f aca="false">GJ53+GK53</f>
        <v>38183</v>
      </c>
      <c r="GJ53" s="465" t="n">
        <v>34567</v>
      </c>
      <c r="GK53" s="465" t="n">
        <v>3616</v>
      </c>
      <c r="GL53" s="25" t="n">
        <f aca="false">GL52+(GL$56-GL$52)/4</f>
        <v>0.2165</v>
      </c>
      <c r="GM53" s="25" t="n">
        <f aca="false">GK53/GI53</f>
        <v>0.0947018306576225</v>
      </c>
      <c r="GN53" s="385" t="n">
        <v>64887.0105</v>
      </c>
      <c r="GO53" s="1932" t="n">
        <f aca="false">CX53</f>
        <v>311.78672416713</v>
      </c>
      <c r="GP53" s="1932" t="n">
        <f aca="false">BU53</f>
        <v>16.05</v>
      </c>
      <c r="GQ53" s="1932" t="n">
        <f aca="false">BW53</f>
        <v>-6.35</v>
      </c>
      <c r="GR53" s="1932" t="n">
        <f aca="false">DB53</f>
        <v>61.3467241671304</v>
      </c>
      <c r="GS53" s="1509" t="n">
        <f aca="false">GO53-GP53-GQ53-GR53</f>
        <v>240.74</v>
      </c>
      <c r="GT53" s="1932" t="n">
        <f aca="false">GU53+GV53+GW53+GX53+HA53-HD53</f>
        <v>240.74</v>
      </c>
      <c r="GU53" s="2017" t="n">
        <v>25.83</v>
      </c>
      <c r="GV53" s="2017" t="n">
        <f aca="false">AI53</f>
        <v>28.43</v>
      </c>
      <c r="GW53" s="2017" t="n">
        <v>1.08</v>
      </c>
      <c r="GX53" s="1509" t="n">
        <f aca="false">GY53+GZ53</f>
        <v>154.86</v>
      </c>
      <c r="GY53" s="2017" t="n">
        <v>110.64</v>
      </c>
      <c r="GZ53" s="24" t="n">
        <f aca="false">DX53</f>
        <v>44.22</v>
      </c>
      <c r="HA53" s="2017" t="n">
        <v>96.41</v>
      </c>
      <c r="HB53" s="2017"/>
      <c r="HC53" s="2017"/>
      <c r="HD53" s="24" t="n">
        <f aca="false">DE53</f>
        <v>65.87</v>
      </c>
      <c r="HE53" s="2017" t="n">
        <v>64.66</v>
      </c>
      <c r="HF53" s="2017" t="n">
        <v>71.93</v>
      </c>
      <c r="HG53" s="1478" t="n">
        <f aca="false">HF53-HE53</f>
        <v>7.27000000000001</v>
      </c>
      <c r="HH53" s="1478" t="n">
        <f aca="false">AJ53</f>
        <v>9.13</v>
      </c>
      <c r="HI53" s="24" t="n">
        <f aca="false">HG53-HH53</f>
        <v>-1.85999999999999</v>
      </c>
      <c r="HJ53" s="158" t="n">
        <f aca="false">DE53/DataDE2!AR54</f>
        <v>0.0794284336187146</v>
      </c>
      <c r="HK53" s="387" t="n">
        <f aca="false">HF53/DataDE2!AR54</f>
        <v>0.0867358012781864</v>
      </c>
    </row>
    <row r="54" customFormat="false" ht="12" hidden="false" customHeight="false" outlineLevel="0" collapsed="false">
      <c r="A54" s="31" t="n">
        <f aca="false">A53+1</f>
        <v>1993</v>
      </c>
      <c r="B54" s="1994" t="n">
        <f aca="false">E54+F54</f>
        <v>1454.58</v>
      </c>
      <c r="C54" s="381" t="n">
        <f aca="false">B54+CR54</f>
        <v>1435.56</v>
      </c>
      <c r="D54" s="1995" t="n">
        <f aca="false">B54-I54</f>
        <v>1318.51</v>
      </c>
      <c r="E54" s="1996" t="n">
        <f aca="false">CH54</f>
        <v>1.92</v>
      </c>
      <c r="F54" s="1994" t="n">
        <f aca="false">J54+AC54+AV54+BM54</f>
        <v>1452.66</v>
      </c>
      <c r="G54" s="1478" t="n">
        <f aca="false">J54+X54+BN54</f>
        <v>1696.9</v>
      </c>
      <c r="H54" s="1478" t="n">
        <f aca="false">AG54+BA54+BP54</f>
        <v>244.24</v>
      </c>
      <c r="I54" s="1998" t="n">
        <f aca="false">K54+L54+CO54</f>
        <v>136.07</v>
      </c>
      <c r="J54" s="395" t="n">
        <f aca="false">K54+L54</f>
        <v>143.71</v>
      </c>
      <c r="K54" s="1479" t="n">
        <v>160.91</v>
      </c>
      <c r="L54" s="1478" t="n">
        <f aca="false">M54+N54+O54+P54+Q54</f>
        <v>-17.2</v>
      </c>
      <c r="M54" s="1479" t="n">
        <v>0.130000000000001</v>
      </c>
      <c r="N54" s="1479" t="n">
        <v>-13.61</v>
      </c>
      <c r="O54" s="1479" t="n">
        <v>0.18</v>
      </c>
      <c r="P54" s="1479" t="n">
        <v>-2.22</v>
      </c>
      <c r="Q54" s="2015" t="n">
        <v>-1.68</v>
      </c>
      <c r="R54" s="1479" t="n">
        <v>989.11</v>
      </c>
      <c r="S54" s="1479" t="n">
        <v>328.77</v>
      </c>
      <c r="T54" s="1479" t="n">
        <v>376.08</v>
      </c>
      <c r="U54" s="1479" t="n">
        <v>373.18</v>
      </c>
      <c r="V54" s="2015" t="n">
        <v>370.24</v>
      </c>
      <c r="W54" s="2096" t="n">
        <f aca="false">AC54+AV54</f>
        <v>1154.33</v>
      </c>
      <c r="X54" s="1479" t="n">
        <f aca="false">W54+AA54</f>
        <v>1366.76</v>
      </c>
      <c r="Y54" s="1479" t="n">
        <f aca="false">AE54+AZ54</f>
        <v>799.39</v>
      </c>
      <c r="Z54" s="1479" t="n">
        <f aca="false">W54-Y54</f>
        <v>354.94</v>
      </c>
      <c r="AA54" s="1479" t="n">
        <f aca="false">AG54+BA54</f>
        <v>212.43</v>
      </c>
      <c r="AB54" s="1319" t="n">
        <f aca="false">AA54/X54</f>
        <v>0.155425970909304</v>
      </c>
      <c r="AC54" s="1509" t="n">
        <f aca="false">AF54+AE54</f>
        <v>323.52</v>
      </c>
      <c r="AD54" s="1509" t="n">
        <f aca="false">AF54+AG54+AE54</f>
        <v>394.32</v>
      </c>
      <c r="AE54" s="1509" t="n">
        <f aca="false">AS54</f>
        <v>144.25</v>
      </c>
      <c r="AF54" s="1509" t="n">
        <f aca="false">AI54+AQ54</f>
        <v>179.27</v>
      </c>
      <c r="AG54" s="2097" t="n">
        <v>70.8</v>
      </c>
      <c r="AH54" s="1319" t="n">
        <f aca="false">AG54/AD54</f>
        <v>0.179549604382228</v>
      </c>
      <c r="AI54" s="2097" t="n">
        <v>32.18</v>
      </c>
      <c r="AJ54" s="2097" t="n">
        <v>10.59</v>
      </c>
      <c r="AL54" s="1478"/>
      <c r="AM54" s="821"/>
      <c r="AN54" s="2030"/>
      <c r="AO54" s="79" t="n">
        <f aca="false">AQ54+AS54</f>
        <v>291.34</v>
      </c>
      <c r="AP54" s="2098"/>
      <c r="AQ54" s="2097" t="n">
        <v>147.09</v>
      </c>
      <c r="AR54" s="2039" t="n">
        <f aca="false">AR55*AQ54/AQ55</f>
        <v>191.082671232877</v>
      </c>
      <c r="AS54" s="2097" t="n">
        <v>144.25</v>
      </c>
      <c r="AT54" s="2039"/>
      <c r="AU54" s="2069"/>
      <c r="AV54" s="2001" t="n">
        <f aca="false">AW54-BA54</f>
        <v>830.81</v>
      </c>
      <c r="AW54" s="2004" t="n">
        <f aca="false">AY54+AZ54</f>
        <v>972.44</v>
      </c>
      <c r="AX54" s="2004" t="n">
        <f aca="false">BD54+BI54</f>
        <v>175.67</v>
      </c>
      <c r="AY54" s="1932" t="n">
        <f aca="false">AX54+BA54</f>
        <v>317.3</v>
      </c>
      <c r="AZ54" s="1478" t="n">
        <f aca="false">BF54+BK54</f>
        <v>655.14</v>
      </c>
      <c r="BA54" s="1478" t="n">
        <f aca="false">BG54+BL54</f>
        <v>141.63</v>
      </c>
      <c r="BB54" s="821" t="n">
        <f aca="false">BA54/AW54</f>
        <v>0.145643947184402</v>
      </c>
      <c r="BC54" s="1478" t="n">
        <f aca="false">BE54+BF54</f>
        <v>901.08</v>
      </c>
      <c r="BD54" s="2097" t="n">
        <v>159.25</v>
      </c>
      <c r="BE54" s="1509" t="n">
        <f aca="false">BD54+BG54</f>
        <v>294.93</v>
      </c>
      <c r="BF54" s="2097" t="n">
        <v>606.15</v>
      </c>
      <c r="BG54" s="2097" t="n">
        <v>135.68</v>
      </c>
      <c r="BH54" s="1478" t="n">
        <f aca="false">BJ54+BK54</f>
        <v>71.36</v>
      </c>
      <c r="BI54" s="2097" t="n">
        <v>16.42</v>
      </c>
      <c r="BJ54" s="1509" t="n">
        <f aca="false">BI54+BL54</f>
        <v>22.37</v>
      </c>
      <c r="BK54" s="2097" t="n">
        <v>48.99</v>
      </c>
      <c r="BL54" s="2097" t="n">
        <v>5.95</v>
      </c>
      <c r="BM54" s="2001" t="n">
        <f aca="false">BN54-BP54</f>
        <v>154.62</v>
      </c>
      <c r="BN54" s="2004" t="n">
        <f aca="false">BO54+BP54</f>
        <v>186.43</v>
      </c>
      <c r="BO54" s="2097" t="n">
        <v>154.62</v>
      </c>
      <c r="BP54" s="2097" t="n">
        <v>31.81</v>
      </c>
      <c r="BQ54" s="2005" t="n">
        <f aca="false">BP54/BN54</f>
        <v>0.170627045003487</v>
      </c>
      <c r="BR54" s="1509" t="n">
        <f aca="false">AY54-BA54</f>
        <v>175.67</v>
      </c>
      <c r="BS54" s="1509" t="n">
        <f aca="false">BX54+CC54</f>
        <v>43.27</v>
      </c>
      <c r="BT54" s="1509" t="n">
        <f aca="false">BY54-BZ54+CD54-CE54</f>
        <v>130.28</v>
      </c>
      <c r="BU54" s="1509" t="n">
        <f aca="false">BR54-BS54-BT54-BW54</f>
        <v>5.57</v>
      </c>
      <c r="BV54" s="1509" t="n">
        <f aca="false">CA54+CF54</f>
        <v>7.35</v>
      </c>
      <c r="BW54" s="1509" t="n">
        <f aca="false">CB54+CG54</f>
        <v>-3.45</v>
      </c>
      <c r="BX54" s="2097" t="n">
        <v>31.38</v>
      </c>
      <c r="BY54" s="2023" t="n">
        <v>174.93</v>
      </c>
      <c r="BZ54" s="2097" t="n">
        <v>36.64</v>
      </c>
      <c r="CA54" s="2097" t="n">
        <v>4.22</v>
      </c>
      <c r="CB54" s="1509" t="n">
        <v>-0.5</v>
      </c>
      <c r="CC54" s="2097" t="n">
        <v>11.89</v>
      </c>
      <c r="CD54" s="2023" t="n">
        <v>276.65</v>
      </c>
      <c r="CE54" s="2099" t="n">
        <v>284.66</v>
      </c>
      <c r="CF54" s="2097" t="n">
        <v>3.13</v>
      </c>
      <c r="CG54" s="1509" t="n">
        <v>-2.95</v>
      </c>
      <c r="CH54" s="1482" t="n">
        <f aca="false">CI54+CL54+CO54</f>
        <v>1.92</v>
      </c>
      <c r="CI54" s="1479" t="n">
        <f aca="false">CJ54-CK54</f>
        <v>8.9</v>
      </c>
      <c r="CJ54" s="2017" t="n">
        <v>60.6</v>
      </c>
      <c r="CK54" s="2017" t="n">
        <v>51.7</v>
      </c>
      <c r="CL54" s="1479" t="n">
        <f aca="false">CM54-CN54</f>
        <v>0.66</v>
      </c>
      <c r="CM54" s="2017" t="n">
        <v>4.54</v>
      </c>
      <c r="CN54" s="2017" t="n">
        <v>3.88</v>
      </c>
      <c r="CO54" s="2023" t="n">
        <f aca="false">CP54-CQ54</f>
        <v>-7.64</v>
      </c>
      <c r="CP54" s="2017" t="n">
        <v>6.5</v>
      </c>
      <c r="CQ54" s="2017" t="n">
        <v>14.14</v>
      </c>
      <c r="CR54" s="1478" t="n">
        <f aca="false">CS54-CT54</f>
        <v>-19.02</v>
      </c>
      <c r="CS54" s="1478" t="n">
        <v>5.73</v>
      </c>
      <c r="CT54" s="1478" t="n">
        <v>24.75</v>
      </c>
      <c r="CU54" s="1478" t="n">
        <f aca="false">CV54-CW54</f>
        <v>-1.02</v>
      </c>
      <c r="CV54" s="2017" t="n">
        <v>1.15</v>
      </c>
      <c r="CW54" s="2017" t="n">
        <v>2.17</v>
      </c>
      <c r="CX54" s="1998" t="n">
        <f aca="false">CZ54+DA54+DB54+DC54+DD54</f>
        <v>310.552168726905</v>
      </c>
      <c r="CY54" s="2007" t="n">
        <f aca="false">CZ54+DA54+DB54</f>
        <v>269.452168726905</v>
      </c>
      <c r="CZ54" s="1509" t="n">
        <f aca="false">BR54</f>
        <v>175.67</v>
      </c>
      <c r="DA54" s="1509" t="n">
        <f aca="false">AI54</f>
        <v>32.18</v>
      </c>
      <c r="DB54" s="2017" t="n">
        <f aca="false">AO54*AX54/AV54</f>
        <v>61.6021687269051</v>
      </c>
      <c r="DC54" s="2017" t="n">
        <f aca="false">CI54</f>
        <v>8.9</v>
      </c>
      <c r="DD54" s="1479" t="n">
        <v>32.2</v>
      </c>
      <c r="DE54" s="2023" t="n">
        <v>65.59</v>
      </c>
      <c r="DF54" s="2007" t="n">
        <f aca="false">DI54+DL54+DM54+DU54</f>
        <v>1040.1578312731</v>
      </c>
      <c r="DG54" s="2010" t="n">
        <f aca="false">DH54+DU54</f>
        <v>954.67</v>
      </c>
      <c r="DH54" s="2010" t="n">
        <f aca="false">DJ54+DL54+AE54</f>
        <v>954.01</v>
      </c>
      <c r="DI54" s="2010" t="n">
        <f aca="false">Y54</f>
        <v>799.39</v>
      </c>
      <c r="DJ54" s="2035" t="n">
        <f aca="false">AZ54</f>
        <v>655.14</v>
      </c>
      <c r="DK54" s="2035" t="n">
        <f aca="false">AS54</f>
        <v>144.25</v>
      </c>
      <c r="DL54" s="1509" t="n">
        <f aca="false">BM54</f>
        <v>154.62</v>
      </c>
      <c r="DM54" s="2009" t="n">
        <f aca="false">AO54*AZ54/AV54-DK54</f>
        <v>85.4878312730949</v>
      </c>
      <c r="DN54" s="514" t="n">
        <f aca="false">(DM54/GK54)/(DH54/GJ54)</f>
        <v>0.829522821188839</v>
      </c>
      <c r="DO54" s="2009" t="n">
        <f aca="false">2/3*AR54</f>
        <v>127.388447488584</v>
      </c>
      <c r="DP54" s="2009" t="n">
        <f aca="false">GK54*DH54/GJ54</f>
        <v>103.056635802469</v>
      </c>
      <c r="DQ54" s="2009" t="n">
        <f aca="false">2/3*DP54</f>
        <v>68.7044238683127</v>
      </c>
      <c r="DR54" s="2009" t="n">
        <f aca="false">DS54*(DH54/GJ54)*GK54</f>
        <v>126.966637744931</v>
      </c>
      <c r="DS54" s="514" t="n">
        <f aca="false">(DT54/GK54)/(DH54/GJ54)</f>
        <v>1.2320083685663</v>
      </c>
      <c r="DT54" s="2012" t="n">
        <v>126.966637744931</v>
      </c>
      <c r="DU54" s="2015" t="n">
        <f aca="false">CL54</f>
        <v>0.66</v>
      </c>
      <c r="DV54" s="2007" t="n">
        <f aca="false">DW54+DX54+DY54+EB54</f>
        <v>648.76</v>
      </c>
      <c r="DW54" s="1509" t="n">
        <f aca="false">I54</f>
        <v>136.07</v>
      </c>
      <c r="DX54" s="2017" t="n">
        <f aca="false">BS54</f>
        <v>43.27</v>
      </c>
      <c r="DY54" s="2017" t="n">
        <f aca="false">EE54+EF54</f>
        <v>168.57</v>
      </c>
      <c r="DZ54" s="2018" t="n">
        <f aca="false">EF54+EE54-EA54</f>
        <v>24.3898082901044</v>
      </c>
      <c r="EA54" s="2018" t="n">
        <f aca="false">EE54*(DF54-EB54+EH54)/(0.5*CX54+DF54-EB54+EH54)</f>
        <v>144.180191709896</v>
      </c>
      <c r="EB54" s="2017" t="n">
        <v>300.85</v>
      </c>
      <c r="EC54" s="2018" t="n">
        <f aca="false">DX54+DZ54</f>
        <v>67.6598082901044</v>
      </c>
      <c r="ED54" s="2018" t="n">
        <f aca="false">EA54+EB54</f>
        <v>445.030191709896</v>
      </c>
      <c r="EE54" s="2023" t="n">
        <v>167.03</v>
      </c>
      <c r="EF54" s="2017" t="n">
        <v>1.54</v>
      </c>
      <c r="EG54" s="2017" t="n">
        <v>289.33</v>
      </c>
      <c r="EH54" s="2023" t="n">
        <v>240.47</v>
      </c>
      <c r="EI54" s="1479" t="n">
        <v>48.86</v>
      </c>
      <c r="EJ54" s="1479" t="n">
        <v>116.4</v>
      </c>
      <c r="EK54" s="2015" t="n">
        <v>16.7</v>
      </c>
      <c r="EL54" s="1479" t="n">
        <v>1.24</v>
      </c>
      <c r="EM54" s="2017" t="n">
        <f aca="false">DV54-EF54+EL54</f>
        <v>648.46</v>
      </c>
      <c r="EN54" s="2023" t="n">
        <v>16.7</v>
      </c>
      <c r="EO54" s="2019" t="n">
        <f aca="false">EM54-EG54-EN54-DD54</f>
        <v>310.23</v>
      </c>
      <c r="EP54" s="2019" t="n">
        <f aca="false">EO54-S54</f>
        <v>-18.5399999999999</v>
      </c>
      <c r="EQ54" s="2023" t="n">
        <v>-20.6699897741624</v>
      </c>
      <c r="ER54" s="2023" t="n">
        <f aca="false">EP54+EQ54</f>
        <v>-39.2099897741623</v>
      </c>
      <c r="ES54" s="1479" t="n">
        <v>44.45</v>
      </c>
      <c r="ET54" s="1479" t="n">
        <v>-1.38</v>
      </c>
      <c r="EU54" s="2023" t="n">
        <f aca="false">ER54-ES54-ET54+BP54</f>
        <v>-50.4699897741623</v>
      </c>
      <c r="EV54" s="2024" t="n">
        <f aca="false">B54-DV54+EH54+DD54-CO54</f>
        <v>1086.13</v>
      </c>
      <c r="EW54" s="1478" t="n">
        <f aca="false">CX54-EC54</f>
        <v>242.892360436801</v>
      </c>
      <c r="EX54" s="1478" t="n">
        <f aca="false">($DF54-$EB54)-$EA54*($DF54-$EB54)/($DF54-$EB54+$EH54)</f>
        <v>630.514244152352</v>
      </c>
      <c r="EY54" s="1478" t="n">
        <f aca="false">$EH54-$EA54*$EH54/($DF54-$EB54+$EH54)</f>
        <v>205.083395410847</v>
      </c>
      <c r="EZ54" s="1478" t="n">
        <f aca="false">EV54+EI54</f>
        <v>1134.99</v>
      </c>
      <c r="FA54" s="2017" t="n">
        <v>1125.33</v>
      </c>
      <c r="FB54" s="2017" t="n">
        <v>138</v>
      </c>
      <c r="FC54" s="1478" t="n">
        <f aca="false">FB54+AG54</f>
        <v>208.8</v>
      </c>
      <c r="FD54" s="1997" t="n">
        <f aca="false">FB54+BU54-BV54</f>
        <v>136.22</v>
      </c>
      <c r="FE54" s="1479" t="n">
        <v>6.15</v>
      </c>
      <c r="FF54" s="1479" t="n">
        <v>13.4999897741624</v>
      </c>
      <c r="FG54" s="1479" t="n">
        <f aca="false">FE54+FF54</f>
        <v>19.6499897741624</v>
      </c>
      <c r="FH54" s="514" t="n">
        <f aca="false">FG54/FD54</f>
        <v>0.144251870313921</v>
      </c>
      <c r="FI54" s="1994" t="n">
        <f aca="false">FB54+FE54</f>
        <v>144.15</v>
      </c>
      <c r="FJ54" s="1994" t="n">
        <f aca="false">BU54-BV54+FF54</f>
        <v>11.7199897741624</v>
      </c>
      <c r="FK54" s="2025" t="n">
        <f aca="false">FI54+FJ54</f>
        <v>155.869989774162</v>
      </c>
      <c r="FL54" s="1994" t="n">
        <f aca="false">FO54+FP54+FS54</f>
        <v>144.15</v>
      </c>
      <c r="FM54" s="2017" t="n">
        <v>141.76</v>
      </c>
      <c r="FN54" s="2017" t="n">
        <v>138.52</v>
      </c>
      <c r="FO54" s="1995" t="n">
        <f aca="false">FN54-AG54</f>
        <v>67.72</v>
      </c>
      <c r="FP54" s="2017" t="n">
        <v>3.97</v>
      </c>
      <c r="FQ54" s="1478" t="n">
        <f aca="false">FI54-FO54-FP54</f>
        <v>72.46</v>
      </c>
      <c r="FR54" s="1997" t="n">
        <v>0</v>
      </c>
      <c r="FS54" s="1478" t="n">
        <f aca="false">FQ54+FR54</f>
        <v>72.46</v>
      </c>
      <c r="FT54" s="1478" t="n">
        <v>159</v>
      </c>
      <c r="FU54" s="1478" t="n">
        <v>26.2</v>
      </c>
      <c r="FV54" s="1478" t="n">
        <v>42.5</v>
      </c>
      <c r="FW54" s="2038" t="n">
        <v>86.5</v>
      </c>
      <c r="FX54" s="2026" t="n">
        <f aca="false">FY54+FZ54</f>
        <v>189.87</v>
      </c>
      <c r="FY54" s="2023" t="n">
        <v>178.44</v>
      </c>
      <c r="FZ54" s="2032" t="n">
        <v>11.43</v>
      </c>
      <c r="GA54" s="2015" t="n">
        <v>0</v>
      </c>
      <c r="GB54" s="402" t="n">
        <v>0.0438596491228069</v>
      </c>
      <c r="GC54" s="387" t="n">
        <v>0.0438596491228069</v>
      </c>
      <c r="GD54" s="387" t="n">
        <f aca="false">(G54/G53)/(1+GE54)-1</f>
        <v>0.0398427071437415</v>
      </c>
      <c r="GE54" s="387" t="n">
        <v>-0.0100209741319039</v>
      </c>
      <c r="GF54" s="387" t="n">
        <v>0.0364558184451955</v>
      </c>
      <c r="GG54" s="2033" t="n">
        <v>95.17</v>
      </c>
      <c r="GH54" s="465" t="n">
        <v>81156.3625</v>
      </c>
      <c r="GI54" s="465" t="n">
        <f aca="false">GJ54+GK54</f>
        <v>37695</v>
      </c>
      <c r="GJ54" s="465" t="n">
        <v>34020</v>
      </c>
      <c r="GK54" s="465" t="n">
        <v>3675</v>
      </c>
      <c r="GL54" s="25" t="n">
        <f aca="false">GL53+(GL$56-GL$52)/4</f>
        <v>0.216</v>
      </c>
      <c r="GM54" s="25" t="n">
        <f aca="false">GK54/GI54</f>
        <v>0.0974930362116992</v>
      </c>
      <c r="GN54" s="385" t="n">
        <v>65514.4495</v>
      </c>
      <c r="GO54" s="1932" t="n">
        <f aca="false">CX54</f>
        <v>310.552168726905</v>
      </c>
      <c r="GP54" s="1932" t="n">
        <f aca="false">BU54</f>
        <v>5.57</v>
      </c>
      <c r="GQ54" s="1932" t="n">
        <f aca="false">BW54</f>
        <v>-3.45</v>
      </c>
      <c r="GR54" s="1932" t="n">
        <f aca="false">DB54</f>
        <v>61.6021687269051</v>
      </c>
      <c r="GS54" s="1509" t="n">
        <f aca="false">GO54-GP54-GQ54-GR54</f>
        <v>246.83</v>
      </c>
      <c r="GT54" s="1932" t="n">
        <f aca="false">GU54+GV54+GW54+GX54+HA54-HD54</f>
        <v>246.83</v>
      </c>
      <c r="GU54" s="2017" t="n">
        <v>28.6</v>
      </c>
      <c r="GV54" s="2017" t="n">
        <f aca="false">AI54</f>
        <v>32.18</v>
      </c>
      <c r="GW54" s="2017" t="n">
        <v>1.19</v>
      </c>
      <c r="GX54" s="1509" t="n">
        <f aca="false">GY54+GZ54</f>
        <v>155.87</v>
      </c>
      <c r="GY54" s="2017" t="n">
        <v>112.6</v>
      </c>
      <c r="GZ54" s="24" t="n">
        <f aca="false">DX54</f>
        <v>43.27</v>
      </c>
      <c r="HA54" s="2017" t="n">
        <v>94.58</v>
      </c>
      <c r="HB54" s="2017"/>
      <c r="HC54" s="2017"/>
      <c r="HD54" s="24" t="n">
        <f aca="false">DE54</f>
        <v>65.59</v>
      </c>
      <c r="HE54" s="2017" t="n">
        <v>64.37</v>
      </c>
      <c r="HF54" s="2017" t="n">
        <v>74.37</v>
      </c>
      <c r="HG54" s="1478" t="n">
        <f aca="false">HF54-HE54</f>
        <v>10</v>
      </c>
      <c r="HH54" s="1478" t="n">
        <f aca="false">AJ54</f>
        <v>10.59</v>
      </c>
      <c r="HI54" s="24" t="n">
        <f aca="false">HG54-HH54</f>
        <v>-0.59</v>
      </c>
      <c r="HJ54" s="158" t="n">
        <f aca="false">DE54/DataDE2!AR55</f>
        <v>0.0731378233719893</v>
      </c>
      <c r="HK54" s="387" t="n">
        <f aca="false">HF54/DataDE2!AR55</f>
        <v>0.08292818911686</v>
      </c>
    </row>
    <row r="55" customFormat="false" ht="12" hidden="false" customHeight="false" outlineLevel="0" collapsed="false">
      <c r="A55" s="31" t="n">
        <f aca="false">A54+1</f>
        <v>1994</v>
      </c>
      <c r="B55" s="1994" t="n">
        <f aca="false">E55+F55</f>
        <v>1517.52</v>
      </c>
      <c r="C55" s="381" t="n">
        <f aca="false">B55+CR55</f>
        <v>1497.36</v>
      </c>
      <c r="D55" s="1995" t="n">
        <f aca="false">B55-I55</f>
        <v>1371.68</v>
      </c>
      <c r="E55" s="1996" t="n">
        <f aca="false">CH55</f>
        <v>-10.57</v>
      </c>
      <c r="F55" s="1994" t="n">
        <f aca="false">J55+AC55+AV55+BM55</f>
        <v>1528.09</v>
      </c>
      <c r="G55" s="1478" t="n">
        <f aca="false">J55+X55+BN55</f>
        <v>1782.2</v>
      </c>
      <c r="H55" s="1478" t="n">
        <f aca="false">AG55+BA55+BP55</f>
        <v>254.11</v>
      </c>
      <c r="I55" s="1998" t="n">
        <f aca="false">K55+L55+CO55</f>
        <v>145.84</v>
      </c>
      <c r="J55" s="395" t="n">
        <f aca="false">K55+L55</f>
        <v>155.54</v>
      </c>
      <c r="K55" s="1479" t="n">
        <v>176.28</v>
      </c>
      <c r="L55" s="1478" t="n">
        <f aca="false">M55+N55+O55+P55+Q55</f>
        <v>-20.74</v>
      </c>
      <c r="M55" s="1479" t="n">
        <v>0.86</v>
      </c>
      <c r="N55" s="1479" t="n">
        <v>-19.06</v>
      </c>
      <c r="O55" s="1479" t="n">
        <v>0.21</v>
      </c>
      <c r="P55" s="1479" t="n">
        <v>-1.57</v>
      </c>
      <c r="Q55" s="2015" t="n">
        <v>-1.18000000000001</v>
      </c>
      <c r="R55" s="1479" t="n">
        <v>1032.75</v>
      </c>
      <c r="S55" s="1479" t="n">
        <v>343.23</v>
      </c>
      <c r="T55" s="1479" t="n">
        <v>400.26</v>
      </c>
      <c r="U55" s="1479" t="n">
        <v>406.96</v>
      </c>
      <c r="V55" s="2015" t="n">
        <v>401</v>
      </c>
      <c r="W55" s="2096" t="n">
        <f aca="false">AC55+AV55</f>
        <v>1215.03</v>
      </c>
      <c r="X55" s="1479" t="n">
        <f aca="false">W55+AA55</f>
        <v>1436.24</v>
      </c>
      <c r="Y55" s="1479" t="n">
        <f aca="false">AE55+AZ55</f>
        <v>820.97</v>
      </c>
      <c r="Z55" s="1479" t="n">
        <f aca="false">W55-Y55</f>
        <v>394.06</v>
      </c>
      <c r="AA55" s="1479" t="n">
        <f aca="false">AG55+BA55</f>
        <v>221.21</v>
      </c>
      <c r="AB55" s="1319" t="n">
        <f aca="false">AA55/X55</f>
        <v>0.154020219461928</v>
      </c>
      <c r="AC55" s="1509" t="n">
        <f aca="false">AF55+AE55</f>
        <v>342.36</v>
      </c>
      <c r="AD55" s="1509" t="n">
        <f aca="false">AF55+AG55+AE55</f>
        <v>416.7</v>
      </c>
      <c r="AE55" s="1509" t="n">
        <f aca="false">AS55</f>
        <v>151.34</v>
      </c>
      <c r="AF55" s="1509" t="n">
        <f aca="false">AI55+AQ55</f>
        <v>191.02</v>
      </c>
      <c r="AG55" s="2097" t="n">
        <v>74.34</v>
      </c>
      <c r="AH55" s="1319" t="n">
        <f aca="false">AG55/AD55</f>
        <v>0.178401727861771</v>
      </c>
      <c r="AI55" s="2097" t="n">
        <v>36.87</v>
      </c>
      <c r="AJ55" s="2097" t="n">
        <v>11.12</v>
      </c>
      <c r="AL55" s="1478"/>
      <c r="AM55" s="821"/>
      <c r="AN55" s="2030"/>
      <c r="AO55" s="79" t="n">
        <f aca="false">AQ55+AS55</f>
        <v>305.49</v>
      </c>
      <c r="AP55" s="2098"/>
      <c r="AQ55" s="2097" t="n">
        <v>154.15</v>
      </c>
      <c r="AR55" s="2039" t="n">
        <f aca="false">AR56*AQ55/AQ56</f>
        <v>200.254223744292</v>
      </c>
      <c r="AS55" s="2097" t="n">
        <v>151.34</v>
      </c>
      <c r="AT55" s="2039"/>
      <c r="AU55" s="2069"/>
      <c r="AV55" s="2001" t="n">
        <f aca="false">AW55-BA55</f>
        <v>872.67</v>
      </c>
      <c r="AW55" s="2004" t="n">
        <f aca="false">AY55+AZ55</f>
        <v>1019.54</v>
      </c>
      <c r="AX55" s="2004" t="n">
        <f aca="false">BD55+BI55</f>
        <v>203.04</v>
      </c>
      <c r="AY55" s="1932" t="n">
        <f aca="false">AX55+BA55</f>
        <v>349.91</v>
      </c>
      <c r="AZ55" s="1478" t="n">
        <f aca="false">BF55+BK55</f>
        <v>669.63</v>
      </c>
      <c r="BA55" s="1478" t="n">
        <f aca="false">BG55+BL55</f>
        <v>146.87</v>
      </c>
      <c r="BB55" s="821" t="n">
        <f aca="false">BA55/AW55</f>
        <v>0.144055162131942</v>
      </c>
      <c r="BC55" s="1478" t="n">
        <f aca="false">BE55+BF55</f>
        <v>945.05</v>
      </c>
      <c r="BD55" s="2097" t="n">
        <v>185.69</v>
      </c>
      <c r="BE55" s="1509" t="n">
        <f aca="false">BD55+BG55</f>
        <v>326.25</v>
      </c>
      <c r="BF55" s="2097" t="n">
        <v>618.8</v>
      </c>
      <c r="BG55" s="2097" t="n">
        <v>140.56</v>
      </c>
      <c r="BH55" s="1478" t="n">
        <f aca="false">BJ55+BK55</f>
        <v>74.49</v>
      </c>
      <c r="BI55" s="2097" t="n">
        <v>17.35</v>
      </c>
      <c r="BJ55" s="1509" t="n">
        <f aca="false">BI55+BL55</f>
        <v>23.66</v>
      </c>
      <c r="BK55" s="2097" t="n">
        <v>50.83</v>
      </c>
      <c r="BL55" s="2097" t="n">
        <v>6.31</v>
      </c>
      <c r="BM55" s="2001" t="n">
        <f aca="false">BN55-BP55</f>
        <v>157.52</v>
      </c>
      <c r="BN55" s="2004" t="n">
        <f aca="false">BO55+BP55</f>
        <v>190.42</v>
      </c>
      <c r="BO55" s="2097" t="n">
        <v>157.52</v>
      </c>
      <c r="BP55" s="2097" t="n">
        <v>32.9</v>
      </c>
      <c r="BQ55" s="2005" t="n">
        <f aca="false">BP55/BN55</f>
        <v>0.172775968910829</v>
      </c>
      <c r="BR55" s="1509" t="n">
        <f aca="false">AY55-BA55</f>
        <v>203.04</v>
      </c>
      <c r="BS55" s="1509" t="n">
        <f aca="false">BX55+CC55</f>
        <v>41.08</v>
      </c>
      <c r="BT55" s="1509" t="n">
        <f aca="false">BY55-BZ55+CD55-CE55</f>
        <v>156.69</v>
      </c>
      <c r="BU55" s="1509" t="n">
        <f aca="false">BR55-BS55-BT55-BW55</f>
        <v>12.3</v>
      </c>
      <c r="BV55" s="1509" t="n">
        <f aca="false">CA55+CF55</f>
        <v>8.79</v>
      </c>
      <c r="BW55" s="1509" t="n">
        <f aca="false">CB55+CG55</f>
        <v>-7.03000000000001</v>
      </c>
      <c r="BX55" s="2097" t="n">
        <v>28.9</v>
      </c>
      <c r="BY55" s="2023" t="n">
        <v>210.24</v>
      </c>
      <c r="BZ55" s="2097" t="n">
        <v>46.88</v>
      </c>
      <c r="CA55" s="2097" t="n">
        <v>5.42</v>
      </c>
      <c r="CB55" s="1509" t="n">
        <v>-3.96</v>
      </c>
      <c r="CC55" s="2097" t="n">
        <v>12.18</v>
      </c>
      <c r="CD55" s="2023" t="n">
        <v>274.49</v>
      </c>
      <c r="CE55" s="2099" t="n">
        <v>281.16</v>
      </c>
      <c r="CF55" s="2097" t="n">
        <v>3.37</v>
      </c>
      <c r="CG55" s="1509" t="n">
        <v>-3.07000000000001</v>
      </c>
      <c r="CH55" s="1482" t="n">
        <f aca="false">CI55+CL55+CO55</f>
        <v>-10.57</v>
      </c>
      <c r="CI55" s="1479" t="n">
        <f aca="false">CJ55-CK55</f>
        <v>-0.939999999999998</v>
      </c>
      <c r="CJ55" s="2017" t="n">
        <v>55.77</v>
      </c>
      <c r="CK55" s="2017" t="n">
        <v>56.71</v>
      </c>
      <c r="CL55" s="1479" t="n">
        <f aca="false">CM55-CN55</f>
        <v>0.0699999999999994</v>
      </c>
      <c r="CM55" s="2017" t="n">
        <v>4.1</v>
      </c>
      <c r="CN55" s="2017" t="n">
        <v>4.03</v>
      </c>
      <c r="CO55" s="2023" t="n">
        <f aca="false">CP55-CQ55</f>
        <v>-9.7</v>
      </c>
      <c r="CP55" s="2017" t="n">
        <v>5.76</v>
      </c>
      <c r="CQ55" s="2017" t="n">
        <v>15.46</v>
      </c>
      <c r="CR55" s="1478" t="n">
        <f aca="false">CS55-CT55</f>
        <v>-20.16</v>
      </c>
      <c r="CS55" s="1478" t="n">
        <v>6.02</v>
      </c>
      <c r="CT55" s="1478" t="n">
        <v>26.18</v>
      </c>
      <c r="CU55" s="1478" t="n">
        <f aca="false">CV55-CW55</f>
        <v>-1.34</v>
      </c>
      <c r="CV55" s="2017" t="n">
        <v>1.29</v>
      </c>
      <c r="CW55" s="2017" t="n">
        <v>2.63</v>
      </c>
      <c r="CX55" s="1998" t="n">
        <f aca="false">CZ55+DA55+DB55+DC55+DD55</f>
        <v>345.546912922411</v>
      </c>
      <c r="CY55" s="2007" t="n">
        <f aca="false">CZ55+DA55+DB55</f>
        <v>310.986912922411</v>
      </c>
      <c r="CZ55" s="1509" t="n">
        <f aca="false">BR55</f>
        <v>203.04</v>
      </c>
      <c r="DA55" s="1509" t="n">
        <f aca="false">AI55</f>
        <v>36.87</v>
      </c>
      <c r="DB55" s="2017" t="n">
        <f aca="false">AO55*AX55/AV55</f>
        <v>71.0769129224105</v>
      </c>
      <c r="DC55" s="2017" t="n">
        <f aca="false">CI55</f>
        <v>-0.939999999999998</v>
      </c>
      <c r="DD55" s="1479" t="n">
        <v>35.5</v>
      </c>
      <c r="DE55" s="2023" t="n">
        <v>70.23</v>
      </c>
      <c r="DF55" s="2007" t="n">
        <f aca="false">DI55+DL55+DM55+DU55</f>
        <v>1061.63308707759</v>
      </c>
      <c r="DG55" s="2010" t="n">
        <f aca="false">DH55+DU55</f>
        <v>978.56</v>
      </c>
      <c r="DH55" s="2010" t="n">
        <f aca="false">DJ55+DL55+AE55</f>
        <v>978.49</v>
      </c>
      <c r="DI55" s="2010" t="n">
        <f aca="false">Y55</f>
        <v>820.97</v>
      </c>
      <c r="DJ55" s="2035" t="n">
        <f aca="false">AZ55</f>
        <v>669.63</v>
      </c>
      <c r="DK55" s="2035" t="n">
        <f aca="false">AS55</f>
        <v>151.34</v>
      </c>
      <c r="DL55" s="1509" t="n">
        <f aca="false">BM55</f>
        <v>157.52</v>
      </c>
      <c r="DM55" s="2009" t="n">
        <f aca="false">AO55*AZ55/AV55-DK55</f>
        <v>83.0730870775895</v>
      </c>
      <c r="DN55" s="514" t="n">
        <f aca="false">(DM55/GK55)/(DH55/GJ55)</f>
        <v>0.766058903521937</v>
      </c>
      <c r="DO55" s="2009" t="n">
        <f aca="false">2/3*AR55</f>
        <v>133.502815829528</v>
      </c>
      <c r="DP55" s="2009" t="n">
        <f aca="false">GK55*DH55/GJ55</f>
        <v>108.442166386505</v>
      </c>
      <c r="DQ55" s="2009" t="n">
        <f aca="false">2/3*DP55</f>
        <v>72.2947775910034</v>
      </c>
      <c r="DR55" s="2009" t="n">
        <f aca="false">DS55*(DH55/GJ55)*GK55</f>
        <v>134.568679288237</v>
      </c>
      <c r="DS55" s="514" t="n">
        <f aca="false">(DT55/GK55)/(DH55/GJ55)</f>
        <v>1.24092577428426</v>
      </c>
      <c r="DT55" s="2012" t="n">
        <v>134.568679288237</v>
      </c>
      <c r="DU55" s="2015" t="n">
        <f aca="false">CL55</f>
        <v>0.0699999999999994</v>
      </c>
      <c r="DV55" s="2007" t="n">
        <f aca="false">DW55+DX55+DY55+EB55</f>
        <v>683.74</v>
      </c>
      <c r="DW55" s="1509" t="n">
        <f aca="false">I55</f>
        <v>145.84</v>
      </c>
      <c r="DX55" s="2017" t="n">
        <f aca="false">BS55</f>
        <v>41.08</v>
      </c>
      <c r="DY55" s="2017" t="n">
        <f aca="false">EE55+EF55</f>
        <v>173.33</v>
      </c>
      <c r="DZ55" s="2018" t="n">
        <f aca="false">EF55+EE55-EA55</f>
        <v>27.2049522506982</v>
      </c>
      <c r="EA55" s="2018" t="n">
        <f aca="false">EE55*(DF55-EB55+EH55)/(0.5*CX55+DF55-EB55+EH55)</f>
        <v>146.125047749302</v>
      </c>
      <c r="EB55" s="2017" t="n">
        <v>323.49</v>
      </c>
      <c r="EC55" s="2018" t="n">
        <f aca="false">DX55+DZ55</f>
        <v>68.2849522506982</v>
      </c>
      <c r="ED55" s="2018" t="n">
        <f aca="false">EA55+EB55</f>
        <v>469.615047749302</v>
      </c>
      <c r="EE55" s="2023" t="n">
        <v>171.54</v>
      </c>
      <c r="EF55" s="2017" t="n">
        <v>1.79</v>
      </c>
      <c r="EG55" s="2017" t="n">
        <v>307.55</v>
      </c>
      <c r="EH55" s="2023" t="n">
        <v>255.23</v>
      </c>
      <c r="EI55" s="1479" t="n">
        <v>52.32</v>
      </c>
      <c r="EJ55" s="1479" t="n">
        <v>127.07</v>
      </c>
      <c r="EK55" s="2015" t="n">
        <v>14.88</v>
      </c>
      <c r="EL55" s="1479" t="n">
        <v>1.65</v>
      </c>
      <c r="EM55" s="2017" t="n">
        <f aca="false">DV55-EF55+EL55</f>
        <v>683.6</v>
      </c>
      <c r="EN55" s="2023" t="n">
        <v>14.88</v>
      </c>
      <c r="EO55" s="2019" t="n">
        <f aca="false">EM55-EG55-EN55-DD55</f>
        <v>325.67</v>
      </c>
      <c r="EP55" s="2019" t="n">
        <f aca="false">EO55-S55</f>
        <v>-17.56</v>
      </c>
      <c r="EQ55" s="2023" t="n">
        <v>-16.91996</v>
      </c>
      <c r="ER55" s="2023" t="n">
        <f aca="false">EP55+EQ55</f>
        <v>-34.47996</v>
      </c>
      <c r="ES55" s="1479" t="n">
        <v>44.24</v>
      </c>
      <c r="ET55" s="1479" t="n">
        <v>-1.6</v>
      </c>
      <c r="EU55" s="2023" t="n">
        <f aca="false">ER55-ES55-ET55+BP55</f>
        <v>-44.21996</v>
      </c>
      <c r="EV55" s="2024" t="n">
        <f aca="false">B55-DV55+EH55+DD55-CO55</f>
        <v>1134.21</v>
      </c>
      <c r="EW55" s="1478" t="n">
        <f aca="false">CX55-EC55</f>
        <v>277.261960671712</v>
      </c>
      <c r="EX55" s="1478" t="n">
        <f aca="false">($DF55-$EB55)-$EA55*($DF55-$EB55)/($DF55-$EB55+$EH55)</f>
        <v>629.562338063795</v>
      </c>
      <c r="EY55" s="1478" t="n">
        <f aca="false">$EH55-$EA55*$EH55/($DF55-$EB55+$EH55)</f>
        <v>217.685701264493</v>
      </c>
      <c r="EZ55" s="1478" t="n">
        <f aca="false">EV55+EI55</f>
        <v>1186.53</v>
      </c>
      <c r="FA55" s="2017" t="n">
        <v>1171.69</v>
      </c>
      <c r="FB55" s="2017" t="n">
        <v>135.43</v>
      </c>
      <c r="FC55" s="1478" t="n">
        <f aca="false">FB55+AG55</f>
        <v>209.77</v>
      </c>
      <c r="FD55" s="1997" t="n">
        <f aca="false">FB55+BU55-BV55</f>
        <v>138.94</v>
      </c>
      <c r="FE55" s="1479" t="n">
        <v>3.86996</v>
      </c>
      <c r="FF55" s="1479" t="n">
        <v>11.71</v>
      </c>
      <c r="FG55" s="1479" t="n">
        <f aca="false">FE55+FF55</f>
        <v>15.57996</v>
      </c>
      <c r="FH55" s="514" t="n">
        <f aca="false">FG55/FD55</f>
        <v>0.112134446523679</v>
      </c>
      <c r="FI55" s="1994" t="n">
        <f aca="false">FB55+FE55</f>
        <v>139.29996</v>
      </c>
      <c r="FJ55" s="1994" t="n">
        <f aca="false">BU55-BV55+FF55</f>
        <v>15.22</v>
      </c>
      <c r="FK55" s="2025" t="n">
        <f aca="false">FI55+FJ55</f>
        <v>154.51996</v>
      </c>
      <c r="FL55" s="1994" t="n">
        <f aca="false">FO55+FP55+FS55</f>
        <v>139.29996</v>
      </c>
      <c r="FM55" s="2017" t="n">
        <v>160.88</v>
      </c>
      <c r="FN55" s="2017" t="n">
        <v>159.49</v>
      </c>
      <c r="FO55" s="1995" t="n">
        <f aca="false">FN55-AG55</f>
        <v>85.15</v>
      </c>
      <c r="FP55" s="2017" t="n">
        <v>2.31</v>
      </c>
      <c r="FQ55" s="1478" t="n">
        <f aca="false">FI55-FO55-FP55</f>
        <v>51.83996</v>
      </c>
      <c r="FR55" s="1997" t="n">
        <v>0</v>
      </c>
      <c r="FS55" s="1478" t="n">
        <f aca="false">FQ55+FR55</f>
        <v>51.83996</v>
      </c>
      <c r="FT55" s="1478" t="n">
        <v>148.4</v>
      </c>
      <c r="FU55" s="1478" t="n">
        <v>54</v>
      </c>
      <c r="FV55" s="1478" t="n">
        <v>47.3</v>
      </c>
      <c r="FW55" s="2038" t="n">
        <v>96.5</v>
      </c>
      <c r="FX55" s="2026" t="n">
        <f aca="false">FY55+FZ55</f>
        <v>195.14</v>
      </c>
      <c r="FY55" s="2023" t="n">
        <v>184.77</v>
      </c>
      <c r="FZ55" s="2032" t="n">
        <v>10.37</v>
      </c>
      <c r="GA55" s="2015" t="n">
        <v>0</v>
      </c>
      <c r="GB55" s="402" t="n">
        <v>0.0276110444177671</v>
      </c>
      <c r="GC55" s="387" t="n">
        <v>0.0276110444177671</v>
      </c>
      <c r="GD55" s="387" t="n">
        <f aca="false">(G55/G54)/(1+GE55)-1</f>
        <v>0.0249343077836142</v>
      </c>
      <c r="GE55" s="387" t="n">
        <v>0.0247175141242939</v>
      </c>
      <c r="GF55" s="387" t="n">
        <v>0.0252737013743303</v>
      </c>
      <c r="GG55" s="2033" t="n">
        <v>99.21</v>
      </c>
      <c r="GH55" s="465" t="n">
        <v>81438.348</v>
      </c>
      <c r="GI55" s="465" t="n">
        <f aca="false">GJ55+GK55</f>
        <v>37667</v>
      </c>
      <c r="GJ55" s="465" t="n">
        <v>33909</v>
      </c>
      <c r="GK55" s="465" t="n">
        <v>3758</v>
      </c>
      <c r="GL55" s="25" t="n">
        <f aca="false">GL54+(GL$56-GL$52)/4</f>
        <v>0.2155</v>
      </c>
      <c r="GM55" s="25" t="n">
        <f aca="false">GK55/GI55</f>
        <v>0.0997690285926673</v>
      </c>
      <c r="GN55" s="385" t="n">
        <v>65873.439</v>
      </c>
      <c r="GO55" s="1932" t="n">
        <f aca="false">CX55</f>
        <v>345.546912922411</v>
      </c>
      <c r="GP55" s="1932" t="n">
        <f aca="false">BU55</f>
        <v>12.3</v>
      </c>
      <c r="GQ55" s="1932" t="n">
        <f aca="false">BW55</f>
        <v>-7.03000000000001</v>
      </c>
      <c r="GR55" s="1932" t="n">
        <f aca="false">DB55</f>
        <v>71.0769129224105</v>
      </c>
      <c r="GS55" s="1509" t="n">
        <f aca="false">GO55-GP55-GQ55-GR55</f>
        <v>269.2</v>
      </c>
      <c r="GT55" s="1932" t="n">
        <f aca="false">GU55+GV55+GW55+GX55+HA55-HD55</f>
        <v>269.2</v>
      </c>
      <c r="GU55" s="2017" t="n">
        <v>30.48</v>
      </c>
      <c r="GV55" s="2017" t="n">
        <f aca="false">AI55</f>
        <v>36.87</v>
      </c>
      <c r="GW55" s="2017" t="n">
        <v>1.24</v>
      </c>
      <c r="GX55" s="1509" t="n">
        <f aca="false">GY55+GZ55</f>
        <v>176.75</v>
      </c>
      <c r="GY55" s="2017" t="n">
        <v>135.67</v>
      </c>
      <c r="GZ55" s="24" t="n">
        <f aca="false">DX55</f>
        <v>41.08</v>
      </c>
      <c r="HA55" s="2017" t="n">
        <v>94.09</v>
      </c>
      <c r="HB55" s="2017"/>
      <c r="HC55" s="2017"/>
      <c r="HD55" s="24" t="n">
        <f aca="false">DE55</f>
        <v>70.23</v>
      </c>
      <c r="HE55" s="2017" t="n">
        <v>69.07</v>
      </c>
      <c r="HF55" s="2017" t="n">
        <v>79.42</v>
      </c>
      <c r="HG55" s="1478" t="n">
        <f aca="false">HF55-HE55</f>
        <v>10.35</v>
      </c>
      <c r="HH55" s="1478" t="n">
        <f aca="false">AJ55</f>
        <v>11.12</v>
      </c>
      <c r="HI55" s="24" t="n">
        <f aca="false">HG55-HH55</f>
        <v>-0.769999999999991</v>
      </c>
      <c r="HJ55" s="158" t="n">
        <f aca="false">DE55/DataDE2!AR56</f>
        <v>0.0712922545934423</v>
      </c>
      <c r="HK55" s="387" t="n">
        <f aca="false">HF55/DataDE2!AR56</f>
        <v>0.0806212567252056</v>
      </c>
    </row>
    <row r="56" customFormat="false" ht="12" hidden="false" customHeight="false" outlineLevel="0" collapsed="false">
      <c r="A56" s="31" t="n">
        <f aca="false">A55+1</f>
        <v>1995</v>
      </c>
      <c r="B56" s="1994" t="n">
        <f aca="false">E56+F56</f>
        <v>1569.37</v>
      </c>
      <c r="C56" s="381" t="n">
        <f aca="false">B56+CR56</f>
        <v>1552.92</v>
      </c>
      <c r="D56" s="1995" t="n">
        <f aca="false">B56-I56</f>
        <v>1424.9</v>
      </c>
      <c r="E56" s="1996" t="n">
        <f aca="false">CH56</f>
        <v>-15.92</v>
      </c>
      <c r="F56" s="1994" t="n">
        <f aca="false">J56+AC56+AV56+BM56</f>
        <v>1585.29</v>
      </c>
      <c r="G56" s="1478" t="n">
        <f aca="false">J56+X56+BN56</f>
        <v>1848.5</v>
      </c>
      <c r="H56" s="1478" t="n">
        <f aca="false">AG56+BA56+BP56</f>
        <v>263.21</v>
      </c>
      <c r="I56" s="1998" t="n">
        <f aca="false">K56+L56+CO56</f>
        <v>144.47</v>
      </c>
      <c r="J56" s="395" t="n">
        <f aca="false">K56+L56</f>
        <v>155.05</v>
      </c>
      <c r="K56" s="1479" t="n">
        <v>176.55</v>
      </c>
      <c r="L56" s="1478" t="n">
        <f aca="false">M56+N56+O56+P56+Q56</f>
        <v>-21.5</v>
      </c>
      <c r="M56" s="1479" t="n">
        <v>1.26</v>
      </c>
      <c r="N56" s="1479" t="n">
        <v>-20.48</v>
      </c>
      <c r="O56" s="1479" t="n">
        <v>0.22</v>
      </c>
      <c r="P56" s="1479" t="n">
        <v>-1.5</v>
      </c>
      <c r="Q56" s="2015" t="n">
        <v>-0.999999999999965</v>
      </c>
      <c r="R56" s="1479" t="n">
        <v>1066.47</v>
      </c>
      <c r="S56" s="1479" t="n">
        <v>358.13</v>
      </c>
      <c r="T56" s="1479" t="n">
        <v>412.91</v>
      </c>
      <c r="U56" s="1479" t="n">
        <v>438.85</v>
      </c>
      <c r="V56" s="2015" t="n">
        <v>427.86</v>
      </c>
      <c r="W56" s="2096" t="n">
        <f aca="false">AC56+AV56</f>
        <v>1267.64</v>
      </c>
      <c r="X56" s="1479" t="n">
        <f aca="false">W56+AA56</f>
        <v>1497.11</v>
      </c>
      <c r="Y56" s="1479" t="n">
        <f aca="false">AE56+AZ56</f>
        <v>851.97</v>
      </c>
      <c r="Z56" s="1479" t="n">
        <f aca="false">W56-Y56</f>
        <v>415.67</v>
      </c>
      <c r="AA56" s="1479" t="n">
        <f aca="false">AG56+BA56</f>
        <v>229.47</v>
      </c>
      <c r="AB56" s="1319" t="n">
        <f aca="false">AA56/X56</f>
        <v>0.153275310431431</v>
      </c>
      <c r="AC56" s="1509" t="n">
        <f aca="false">AF56+AE56</f>
        <v>355.37</v>
      </c>
      <c r="AD56" s="1509" t="n">
        <f aca="false">AF56+AG56+AE56</f>
        <v>433.48</v>
      </c>
      <c r="AE56" s="1509" t="n">
        <f aca="false">AS56</f>
        <v>157.69</v>
      </c>
      <c r="AF56" s="1509" t="n">
        <f aca="false">AI56+AQ56</f>
        <v>197.68</v>
      </c>
      <c r="AG56" s="2097" t="n">
        <v>78.11</v>
      </c>
      <c r="AH56" s="1319" t="n">
        <f aca="false">AG56/AD56</f>
        <v>0.180192857801975</v>
      </c>
      <c r="AI56" s="2097" t="n">
        <v>40</v>
      </c>
      <c r="AJ56" s="2097" t="n">
        <v>13.22</v>
      </c>
      <c r="AK56" s="0" t="n">
        <v>70.95</v>
      </c>
      <c r="AL56" s="1478" t="n">
        <f aca="false">AK56-AI56</f>
        <v>30.95</v>
      </c>
      <c r="AM56" s="821" t="n">
        <f aca="false">AL56/AK56</f>
        <v>0.436222692036646</v>
      </c>
      <c r="AN56" s="2030" t="n">
        <f aca="false">AL56/DataDE2!AD57</f>
        <v>0.010838907097847</v>
      </c>
      <c r="AO56" s="79" t="n">
        <f aca="false">AQ56+AS56</f>
        <v>315.37</v>
      </c>
      <c r="AP56" s="2004" t="n">
        <f aca="false">AO56+AT56</f>
        <v>362.53</v>
      </c>
      <c r="AQ56" s="2097" t="n">
        <v>157.68</v>
      </c>
      <c r="AR56" s="1478" t="n">
        <f aca="false">AQ56+AT56</f>
        <v>204.84</v>
      </c>
      <c r="AS56" s="2097" t="n">
        <v>157.69</v>
      </c>
      <c r="AT56" s="1478" t="n">
        <f aca="false">AG56-AL56</f>
        <v>47.16</v>
      </c>
      <c r="AU56" s="2005" t="n">
        <f aca="false">AT56/AP56</f>
        <v>0.130085786003917</v>
      </c>
      <c r="AV56" s="2001" t="n">
        <f aca="false">AW56-BA56</f>
        <v>912.27</v>
      </c>
      <c r="AW56" s="2004" t="n">
        <f aca="false">AY56+AZ56</f>
        <v>1063.63</v>
      </c>
      <c r="AX56" s="2004" t="n">
        <f aca="false">BD56+BI56</f>
        <v>217.99</v>
      </c>
      <c r="AY56" s="1932" t="n">
        <f aca="false">AX56+BA56</f>
        <v>369.35</v>
      </c>
      <c r="AZ56" s="1478" t="n">
        <f aca="false">BF56+BK56</f>
        <v>694.28</v>
      </c>
      <c r="BA56" s="1478" t="n">
        <f aca="false">BG56+BL56</f>
        <v>151.36</v>
      </c>
      <c r="BB56" s="821" t="n">
        <f aca="false">BA56/AW56</f>
        <v>0.142305124902457</v>
      </c>
      <c r="BC56" s="1478" t="n">
        <f aca="false">BE56+BF56</f>
        <v>989.15</v>
      </c>
      <c r="BD56" s="2097" t="n">
        <v>202.62</v>
      </c>
      <c r="BE56" s="1509" t="n">
        <f aca="false">BD56+BG56</f>
        <v>347.34</v>
      </c>
      <c r="BF56" s="2097" t="n">
        <v>641.81</v>
      </c>
      <c r="BG56" s="2097" t="n">
        <v>144.72</v>
      </c>
      <c r="BH56" s="1478" t="n">
        <f aca="false">BJ56+BK56</f>
        <v>74.48</v>
      </c>
      <c r="BI56" s="2097" t="n">
        <v>15.37</v>
      </c>
      <c r="BJ56" s="1509" t="n">
        <f aca="false">BI56+BL56</f>
        <v>22.01</v>
      </c>
      <c r="BK56" s="2097" t="n">
        <v>52.47</v>
      </c>
      <c r="BL56" s="2097" t="n">
        <v>6.64</v>
      </c>
      <c r="BM56" s="2001" t="n">
        <f aca="false">BN56-BP56</f>
        <v>162.6</v>
      </c>
      <c r="BN56" s="2004" t="n">
        <f aca="false">BO56+BP56</f>
        <v>196.34</v>
      </c>
      <c r="BO56" s="2097" t="n">
        <v>162.6</v>
      </c>
      <c r="BP56" s="2097" t="n">
        <v>33.74</v>
      </c>
      <c r="BQ56" s="2005" t="n">
        <f aca="false">BP56/BN56</f>
        <v>0.171844759091372</v>
      </c>
      <c r="BR56" s="1509" t="n">
        <f aca="false">AY56-BA56</f>
        <v>217.99</v>
      </c>
      <c r="BS56" s="1509" t="n">
        <f aca="false">BX56+CC56</f>
        <v>39.24</v>
      </c>
      <c r="BT56" s="1509" t="n">
        <f aca="false">BY56-BZ56+CD56-CE56</f>
        <v>151.1</v>
      </c>
      <c r="BU56" s="1509" t="n">
        <f aca="false">BR56-BS56-BT56-BW56</f>
        <v>36.97</v>
      </c>
      <c r="BV56" s="1509" t="n">
        <f aca="false">CA56+CF56</f>
        <v>10.44</v>
      </c>
      <c r="BW56" s="1509" t="n">
        <f aca="false">CB56+CG56</f>
        <v>-9.32000000000001</v>
      </c>
      <c r="BX56" s="2097" t="n">
        <v>25.82</v>
      </c>
      <c r="BY56" s="2023" t="n">
        <v>197.87</v>
      </c>
      <c r="BZ56" s="2097" t="n">
        <v>34.82</v>
      </c>
      <c r="CA56" s="2097" t="n">
        <v>7.1</v>
      </c>
      <c r="CB56" s="1509" t="n">
        <v>-8.93</v>
      </c>
      <c r="CC56" s="2097" t="n">
        <v>13.42</v>
      </c>
      <c r="CD56" s="2023" t="n">
        <v>276.57</v>
      </c>
      <c r="CE56" s="2099" t="n">
        <v>288.52</v>
      </c>
      <c r="CF56" s="2097" t="n">
        <v>3.34</v>
      </c>
      <c r="CG56" s="1509" t="n">
        <v>-0.390000000000008</v>
      </c>
      <c r="CH56" s="1482" t="n">
        <f aca="false">CI56+CL56+CO56</f>
        <v>-15.92</v>
      </c>
      <c r="CI56" s="1479" t="n">
        <f aca="false">CJ56-CK56</f>
        <v>-3.53</v>
      </c>
      <c r="CJ56" s="2017" t="n">
        <v>57.83</v>
      </c>
      <c r="CK56" s="2017" t="n">
        <v>61.36</v>
      </c>
      <c r="CL56" s="1479" t="n">
        <f aca="false">CM56-CN56</f>
        <v>-1.81</v>
      </c>
      <c r="CM56" s="2017" t="n">
        <v>3.7</v>
      </c>
      <c r="CN56" s="2017" t="n">
        <v>5.51</v>
      </c>
      <c r="CO56" s="2023" t="n">
        <f aca="false">CP56-CQ56</f>
        <v>-10.58</v>
      </c>
      <c r="CP56" s="2017" t="n">
        <v>5.92</v>
      </c>
      <c r="CQ56" s="2017" t="n">
        <v>16.5</v>
      </c>
      <c r="CR56" s="1478" t="n">
        <f aca="false">CS56-CT56</f>
        <v>-16.45</v>
      </c>
      <c r="CS56" s="1478" t="n">
        <v>7.03</v>
      </c>
      <c r="CT56" s="1478" t="n">
        <v>23.48</v>
      </c>
      <c r="CU56" s="1478" t="n">
        <f aca="false">CV56-CW56</f>
        <v>-1.95</v>
      </c>
      <c r="CV56" s="2017" t="n">
        <v>1.22</v>
      </c>
      <c r="CW56" s="2017" t="n">
        <v>3.17</v>
      </c>
      <c r="CX56" s="1998" t="n">
        <f aca="false">CZ56+DA56+DB56+DC56+DD56</f>
        <v>375.908727460072</v>
      </c>
      <c r="CY56" s="2007" t="n">
        <f aca="false">CZ56+DA56+DB56</f>
        <v>333.348727460072</v>
      </c>
      <c r="CZ56" s="1509" t="n">
        <f aca="false">BR56</f>
        <v>217.99</v>
      </c>
      <c r="DA56" s="1509" t="n">
        <f aca="false">AI56</f>
        <v>40</v>
      </c>
      <c r="DB56" s="2017" t="n">
        <f aca="false">AO56*AX56/AV56</f>
        <v>75.3587274600721</v>
      </c>
      <c r="DC56" s="2017" t="n">
        <f aca="false">CI56</f>
        <v>-3.53</v>
      </c>
      <c r="DD56" s="1479" t="n">
        <v>46.09</v>
      </c>
      <c r="DE56" s="2023" t="n">
        <v>69.33</v>
      </c>
      <c r="DF56" s="2007" t="n">
        <f aca="false">DI56+DL56+DM56+DU56</f>
        <v>1095.08127253993</v>
      </c>
      <c r="DG56" s="2010" t="n">
        <f aca="false">DH56+DU56</f>
        <v>1012.76</v>
      </c>
      <c r="DH56" s="2010" t="n">
        <f aca="false">DJ56+DL56+AE56</f>
        <v>1014.57</v>
      </c>
      <c r="DI56" s="2010" t="n">
        <f aca="false">Y56</f>
        <v>851.97</v>
      </c>
      <c r="DJ56" s="2035" t="n">
        <f aca="false">AZ56</f>
        <v>694.28</v>
      </c>
      <c r="DK56" s="2035" t="n">
        <f aca="false">AS56</f>
        <v>157.69</v>
      </c>
      <c r="DL56" s="1509" t="n">
        <f aca="false">BM56</f>
        <v>162.6</v>
      </c>
      <c r="DM56" s="2009" t="n">
        <f aca="false">AO56*AZ56/AV56-DK56</f>
        <v>82.3212725399278</v>
      </c>
      <c r="DN56" s="514" t="n">
        <f aca="false">(DM56/GK56)/(DH56/GJ56)</f>
        <v>0.724751454147383</v>
      </c>
      <c r="DO56" s="2009" t="n">
        <f aca="false">2/3*AR56</f>
        <v>136.56</v>
      </c>
      <c r="DP56" s="2009" t="n">
        <f aca="false">GK56*DH56/GJ56</f>
        <v>113.585522414402</v>
      </c>
      <c r="DQ56" s="2009" t="n">
        <f aca="false">2/3*DP56</f>
        <v>75.7236816096011</v>
      </c>
      <c r="DR56" s="2009" t="n">
        <f aca="false">DS56*(DH56/GJ56)*GK56</f>
        <v>142.545086970172</v>
      </c>
      <c r="DS56" s="514" t="n">
        <f aca="false">(DT56/GK56)/(DH56/GJ56)</f>
        <v>1.25495823710803</v>
      </c>
      <c r="DT56" s="2012" t="n">
        <v>142.545086970172</v>
      </c>
      <c r="DU56" s="2015" t="n">
        <f aca="false">CL56</f>
        <v>-1.81</v>
      </c>
      <c r="DV56" s="2007" t="n">
        <f aca="false">DW56+DX56+DY56+EB56</f>
        <v>709.32</v>
      </c>
      <c r="DW56" s="1509" t="n">
        <f aca="false">I56</f>
        <v>144.47</v>
      </c>
      <c r="DX56" s="2017" t="n">
        <f aca="false">BS56</f>
        <v>39.24</v>
      </c>
      <c r="DY56" s="2017" t="n">
        <f aca="false">EE56+EF56</f>
        <v>182.77</v>
      </c>
      <c r="DZ56" s="2018" t="n">
        <f aca="false">EF56+EE56-EA56</f>
        <v>29.8820233072677</v>
      </c>
      <c r="EA56" s="2018" t="n">
        <f aca="false">EE56*(DF56-EB56+EH56)/(0.5*CX56+DF56-EB56+EH56)</f>
        <v>152.887976692732</v>
      </c>
      <c r="EB56" s="2017" t="n">
        <v>342.84</v>
      </c>
      <c r="EC56" s="2018" t="n">
        <f aca="false">DX56+DZ56</f>
        <v>69.1220233072677</v>
      </c>
      <c r="ED56" s="2018" t="n">
        <f aca="false">EA56+EB56</f>
        <v>495.727976692732</v>
      </c>
      <c r="EE56" s="2023" t="n">
        <v>180.96</v>
      </c>
      <c r="EF56" s="2017" t="n">
        <v>1.81</v>
      </c>
      <c r="EG56" s="2017" t="n">
        <v>326.29</v>
      </c>
      <c r="EH56" s="2023" t="n">
        <v>271.41</v>
      </c>
      <c r="EI56" s="1479" t="n">
        <v>54.88</v>
      </c>
      <c r="EJ56" s="1479" t="n">
        <v>136.05</v>
      </c>
      <c r="EK56" s="2015" t="n">
        <v>11.57</v>
      </c>
      <c r="EL56" s="1479" t="n">
        <v>1.78</v>
      </c>
      <c r="EM56" s="2017" t="n">
        <f aca="false">DV56-EF56+EL56</f>
        <v>709.29</v>
      </c>
      <c r="EN56" s="2023" t="n">
        <v>11.57</v>
      </c>
      <c r="EO56" s="2019" t="n">
        <f aca="false">EM56-EG56-EN56-DD56</f>
        <v>325.34</v>
      </c>
      <c r="EP56" s="2019" t="n">
        <f aca="false">EO56-S56</f>
        <v>-32.7900000000001</v>
      </c>
      <c r="EQ56" s="2023" t="n">
        <v>-137.83995</v>
      </c>
      <c r="ER56" s="2023" t="n">
        <f aca="false">EP56+EQ56</f>
        <v>-170.62995</v>
      </c>
      <c r="ES56" s="1479" t="n">
        <v>39.99</v>
      </c>
      <c r="ET56" s="1479" t="n">
        <v>-1.52</v>
      </c>
      <c r="EU56" s="2023" t="n">
        <f aca="false">ER56-ES56-ET56+BP56</f>
        <v>-175.35995</v>
      </c>
      <c r="EV56" s="2024" t="n">
        <f aca="false">B56-DV56+EH56+DD56-CO56</f>
        <v>1188.13</v>
      </c>
      <c r="EW56" s="1478" t="n">
        <f aca="false">CX56-EC56</f>
        <v>306.786704152805</v>
      </c>
      <c r="EX56" s="1478" t="n">
        <f aca="false">($DF56-$EB56)-$EA56*($DF56-$EB56)/($DF56-$EB56+$EH56)</f>
        <v>639.889879806315</v>
      </c>
      <c r="EY56" s="1478" t="n">
        <f aca="false">$EH56-$EA56*$EH56/($DF56-$EB56+$EH56)</f>
        <v>230.87341604088</v>
      </c>
      <c r="EZ56" s="1478" t="n">
        <f aca="false">EV56+EI56</f>
        <v>1243.01</v>
      </c>
      <c r="FA56" s="2017" t="n">
        <v>1227.58</v>
      </c>
      <c r="FB56" s="2017" t="n">
        <v>134.58</v>
      </c>
      <c r="FC56" s="1478" t="n">
        <f aca="false">FB56+AG56</f>
        <v>212.69</v>
      </c>
      <c r="FD56" s="1997" t="n">
        <f aca="false">FB56+BU56-BV56</f>
        <v>161.11</v>
      </c>
      <c r="FE56" s="1479" t="n">
        <v>6.02995</v>
      </c>
      <c r="FF56" s="1479" t="n">
        <v>129.86</v>
      </c>
      <c r="FG56" s="1479" t="n">
        <f aca="false">FE56+FF56</f>
        <v>135.88995</v>
      </c>
      <c r="FH56" s="514" t="n">
        <f aca="false">FG56/FD56</f>
        <v>0.843460679039166</v>
      </c>
      <c r="FI56" s="1994" t="n">
        <f aca="false">FB56+FE56</f>
        <v>140.60995</v>
      </c>
      <c r="FJ56" s="1994" t="n">
        <f aca="false">BU56-BV56+FF56</f>
        <v>156.39</v>
      </c>
      <c r="FK56" s="2025" t="n">
        <f aca="false">FI56+FJ56</f>
        <v>296.99995</v>
      </c>
      <c r="FL56" s="1994" t="n">
        <f aca="false">FO56+FP56+FS56</f>
        <v>140.60995</v>
      </c>
      <c r="FM56" s="2017" t="n">
        <v>161</v>
      </c>
      <c r="FN56" s="2017" t="n">
        <v>159.81</v>
      </c>
      <c r="FO56" s="1995" t="n">
        <f aca="false">FN56-AG56</f>
        <v>81.7</v>
      </c>
      <c r="FP56" s="2017" t="n">
        <v>2.12</v>
      </c>
      <c r="FQ56" s="1478" t="n">
        <f aca="false">FI56-FO56-FP56</f>
        <v>56.78995</v>
      </c>
      <c r="FR56" s="1997" t="n">
        <v>0</v>
      </c>
      <c r="FS56" s="1478" t="n">
        <f aca="false">FQ56+FR56</f>
        <v>56.78995</v>
      </c>
      <c r="FT56" s="1478" t="n">
        <v>132.6</v>
      </c>
      <c r="FU56" s="1478" t="n">
        <v>13.5</v>
      </c>
      <c r="FV56" s="1478" t="n">
        <v>51</v>
      </c>
      <c r="FW56" s="2038" t="n">
        <v>75.8</v>
      </c>
      <c r="FX56" s="2026" t="n">
        <f aca="false">FY56+FZ56</f>
        <v>211.92</v>
      </c>
      <c r="FY56" s="2023" t="n">
        <v>200.04</v>
      </c>
      <c r="FZ56" s="2032" t="n">
        <v>11.88</v>
      </c>
      <c r="GA56" s="2015" t="n">
        <v>0</v>
      </c>
      <c r="GB56" s="402" t="n">
        <v>0.0175233644859814</v>
      </c>
      <c r="GC56" s="387" t="n">
        <v>0.0175233644859814</v>
      </c>
      <c r="GD56" s="387" t="n">
        <f aca="false">(G56/G55)/(1+GE56)-1</f>
        <v>0.020094187928495</v>
      </c>
      <c r="GE56" s="387" t="n">
        <v>0.0167700436480587</v>
      </c>
      <c r="GF56" s="387" t="n">
        <v>0.0140861070089742</v>
      </c>
      <c r="GG56" s="2033" t="n">
        <v>99.03</v>
      </c>
      <c r="GH56" s="465" t="n">
        <v>81678.051</v>
      </c>
      <c r="GI56" s="465" t="n">
        <f aca="false">GJ56+GK56</f>
        <v>37802</v>
      </c>
      <c r="GJ56" s="465" t="n">
        <v>33996</v>
      </c>
      <c r="GK56" s="465" t="n">
        <v>3806</v>
      </c>
      <c r="GL56" s="25" t="n">
        <v>0.215</v>
      </c>
      <c r="GM56" s="25" t="n">
        <f aca="false">GK56/GI56</f>
        <v>0.10068250357124</v>
      </c>
      <c r="GN56" s="385" t="n">
        <v>66174.5815</v>
      </c>
      <c r="GO56" s="1932" t="n">
        <f aca="false">CX56</f>
        <v>375.908727460072</v>
      </c>
      <c r="GP56" s="1932" t="n">
        <f aca="false">BU56</f>
        <v>36.97</v>
      </c>
      <c r="GQ56" s="1932" t="n">
        <f aca="false">BW56</f>
        <v>-9.32000000000001</v>
      </c>
      <c r="GR56" s="1932" t="n">
        <f aca="false">DB56</f>
        <v>75.3587274600721</v>
      </c>
      <c r="GS56" s="1509" t="n">
        <f aca="false">GO56-GP56-GQ56-GR56</f>
        <v>272.9</v>
      </c>
      <c r="GT56" s="1932" t="n">
        <f aca="false">GU56+GV56+GW56+GX56+HA56-HD56</f>
        <v>272.9</v>
      </c>
      <c r="GU56" s="2017" t="n">
        <v>32.83</v>
      </c>
      <c r="GV56" s="2017" t="n">
        <f aca="false">AI56</f>
        <v>40</v>
      </c>
      <c r="GW56" s="2017" t="n">
        <v>1.28</v>
      </c>
      <c r="GX56" s="1509" t="n">
        <f aca="false">GY56+GZ56</f>
        <v>178.41</v>
      </c>
      <c r="GY56" s="2017" t="n">
        <v>139.17</v>
      </c>
      <c r="GZ56" s="24" t="n">
        <f aca="false">DX56</f>
        <v>39.24</v>
      </c>
      <c r="HA56" s="2017" t="n">
        <v>89.71</v>
      </c>
      <c r="HB56" s="2017"/>
      <c r="HC56" s="2017"/>
      <c r="HD56" s="24" t="n">
        <f aca="false">DE56</f>
        <v>69.33</v>
      </c>
      <c r="HE56" s="2017" t="n">
        <v>68.22</v>
      </c>
      <c r="HF56" s="2017" t="n">
        <v>81.85</v>
      </c>
      <c r="HG56" s="1478" t="n">
        <f aca="false">HF56-HE56</f>
        <v>13.63</v>
      </c>
      <c r="HH56" s="1478" t="n">
        <f aca="false">AJ56</f>
        <v>13.22</v>
      </c>
      <c r="HI56" s="24" t="n">
        <f aca="false">HG56-HH56</f>
        <v>0.409999999999995</v>
      </c>
      <c r="HJ56" s="158" t="n">
        <f aca="false">DE56/DataDE2!AR57</f>
        <v>0.064164738546969</v>
      </c>
      <c r="HK56" s="387" t="n">
        <f aca="false">HF56/DataDE2!AR57</f>
        <v>0.0757519666820916</v>
      </c>
    </row>
    <row r="57" customFormat="false" ht="12" hidden="false" customHeight="false" outlineLevel="0" collapsed="false">
      <c r="A57" s="31" t="n">
        <f aca="false">A56+1</f>
        <v>1996</v>
      </c>
      <c r="B57" s="1994" t="n">
        <f aca="false">E57+F57</f>
        <v>1593.78</v>
      </c>
      <c r="C57" s="381" t="n">
        <f aca="false">B57+CR57</f>
        <v>1576.65</v>
      </c>
      <c r="D57" s="1995" t="n">
        <f aca="false">B57-I57</f>
        <v>1445.86</v>
      </c>
      <c r="E57" s="1996" t="n">
        <f aca="false">CH57</f>
        <v>-12.02</v>
      </c>
      <c r="F57" s="1994" t="n">
        <f aca="false">J57+AC57+AV57+BM57</f>
        <v>1605.8</v>
      </c>
      <c r="G57" s="1478" t="n">
        <f aca="false">J57+X57+BN57</f>
        <v>1875</v>
      </c>
      <c r="H57" s="1478" t="n">
        <f aca="false">AG57+BA57+BP57</f>
        <v>269.2</v>
      </c>
      <c r="I57" s="1998" t="n">
        <f aca="false">K57+L57+CO57</f>
        <v>147.92</v>
      </c>
      <c r="J57" s="395" t="n">
        <f aca="false">K57+L57</f>
        <v>156.34</v>
      </c>
      <c r="K57" s="1479" t="n">
        <v>178.06</v>
      </c>
      <c r="L57" s="1478" t="n">
        <f aca="false">M57+N57+O57+P57+Q57</f>
        <v>-21.72</v>
      </c>
      <c r="M57" s="1479" t="n">
        <v>1.28</v>
      </c>
      <c r="N57" s="1479" t="n">
        <v>-20.65</v>
      </c>
      <c r="O57" s="1479" t="n">
        <v>0.24</v>
      </c>
      <c r="P57" s="1479" t="n">
        <v>-1.39</v>
      </c>
      <c r="Q57" s="2015" t="n">
        <v>-1.20000000000002</v>
      </c>
      <c r="R57" s="1479" t="n">
        <v>1088.64</v>
      </c>
      <c r="S57" s="1479" t="n">
        <v>369.39</v>
      </c>
      <c r="T57" s="1479" t="n">
        <v>398.96</v>
      </c>
      <c r="U57" s="1479" t="n">
        <v>465.07</v>
      </c>
      <c r="V57" s="2015" t="n">
        <v>447.06</v>
      </c>
      <c r="W57" s="2096" t="n">
        <f aca="false">AC57+AV57</f>
        <v>1283.77</v>
      </c>
      <c r="X57" s="1479" t="n">
        <f aca="false">W57+AA57</f>
        <v>1518.96</v>
      </c>
      <c r="Y57" s="1479" t="n">
        <f aca="false">AE57+AZ57</f>
        <v>857.17</v>
      </c>
      <c r="Z57" s="1479" t="n">
        <f aca="false">W57-Y57</f>
        <v>426.6</v>
      </c>
      <c r="AA57" s="1479" t="n">
        <f aca="false">AG57+BA57</f>
        <v>235.19</v>
      </c>
      <c r="AB57" s="1319" t="n">
        <f aca="false">AA57/X57</f>
        <v>0.154836203718334</v>
      </c>
      <c r="AC57" s="1509" t="n">
        <f aca="false">AF57+AE57</f>
        <v>357.37</v>
      </c>
      <c r="AD57" s="1509" t="n">
        <f aca="false">AF57+AG57+AE57</f>
        <v>437.51</v>
      </c>
      <c r="AE57" s="1509" t="n">
        <f aca="false">AS57</f>
        <v>157</v>
      </c>
      <c r="AF57" s="1509" t="n">
        <f aca="false">AI57+AQ57</f>
        <v>200.37</v>
      </c>
      <c r="AG57" s="2097" t="n">
        <v>80.14</v>
      </c>
      <c r="AH57" s="1319" t="n">
        <f aca="false">AG57/AD57</f>
        <v>0.183172956046719</v>
      </c>
      <c r="AI57" s="2097" t="n">
        <v>39.98</v>
      </c>
      <c r="AJ57" s="2097" t="n">
        <v>17.95</v>
      </c>
      <c r="AK57" s="0" t="n">
        <v>72.07</v>
      </c>
      <c r="AL57" s="1478" t="n">
        <f aca="false">AK57-AI57</f>
        <v>32.09</v>
      </c>
      <c r="AM57" s="821" t="n">
        <f aca="false">AL57/AK57</f>
        <v>0.445261551269599</v>
      </c>
      <c r="AN57" s="2030" t="n">
        <f aca="false">AL57/DataDE2!AD58</f>
        <v>0.0106931368468934</v>
      </c>
      <c r="AO57" s="79" t="n">
        <f aca="false">AQ57+AS57</f>
        <v>317.39</v>
      </c>
      <c r="AP57" s="2004" t="n">
        <f aca="false">AO57+AT57</f>
        <v>365.44</v>
      </c>
      <c r="AQ57" s="2097" t="n">
        <v>160.39</v>
      </c>
      <c r="AR57" s="1478" t="n">
        <f aca="false">AQ57+AT57</f>
        <v>208.44</v>
      </c>
      <c r="AS57" s="2097" t="n">
        <v>157</v>
      </c>
      <c r="AT57" s="1478" t="n">
        <f aca="false">AG57-AL57</f>
        <v>48.05</v>
      </c>
      <c r="AU57" s="2005" t="n">
        <f aca="false">AT57/AP57</f>
        <v>0.131485332749562</v>
      </c>
      <c r="AV57" s="2001" t="n">
        <f aca="false">AW57-BA57</f>
        <v>926.4</v>
      </c>
      <c r="AW57" s="2004" t="n">
        <f aca="false">AY57+AZ57</f>
        <v>1081.45</v>
      </c>
      <c r="AX57" s="2004" t="n">
        <f aca="false">BD57+BI57</f>
        <v>226.23</v>
      </c>
      <c r="AY57" s="1932" t="n">
        <f aca="false">AX57+BA57</f>
        <v>381.28</v>
      </c>
      <c r="AZ57" s="1478" t="n">
        <f aca="false">BF57+BK57</f>
        <v>700.17</v>
      </c>
      <c r="BA57" s="1478" t="n">
        <f aca="false">BG57+BL57</f>
        <v>155.05</v>
      </c>
      <c r="BB57" s="821" t="n">
        <f aca="false">BA57/AW57</f>
        <v>0.143372324194369</v>
      </c>
      <c r="BC57" s="1478" t="n">
        <f aca="false">BE57+BF57</f>
        <v>1002.13</v>
      </c>
      <c r="BD57" s="2097" t="n">
        <v>206.23</v>
      </c>
      <c r="BE57" s="1509" t="n">
        <f aca="false">BD57+BG57</f>
        <v>354.41</v>
      </c>
      <c r="BF57" s="2097" t="n">
        <v>647.72</v>
      </c>
      <c r="BG57" s="2097" t="n">
        <v>148.18</v>
      </c>
      <c r="BH57" s="1478" t="n">
        <f aca="false">BJ57+BK57</f>
        <v>79.32</v>
      </c>
      <c r="BI57" s="2097" t="n">
        <v>20</v>
      </c>
      <c r="BJ57" s="1509" t="n">
        <f aca="false">BI57+BL57</f>
        <v>26.87</v>
      </c>
      <c r="BK57" s="2097" t="n">
        <v>52.45</v>
      </c>
      <c r="BL57" s="2097" t="n">
        <v>6.87</v>
      </c>
      <c r="BM57" s="2001" t="n">
        <f aca="false">BN57-BP57</f>
        <v>165.69</v>
      </c>
      <c r="BN57" s="2004" t="n">
        <f aca="false">BO57+BP57</f>
        <v>199.7</v>
      </c>
      <c r="BO57" s="2097" t="n">
        <v>165.69</v>
      </c>
      <c r="BP57" s="2097" t="n">
        <v>34.01</v>
      </c>
      <c r="BQ57" s="2005" t="n">
        <f aca="false">BP57/BN57</f>
        <v>0.170305458187281</v>
      </c>
      <c r="BR57" s="1509" t="n">
        <f aca="false">AY57-BA57</f>
        <v>226.23</v>
      </c>
      <c r="BS57" s="1509" t="n">
        <f aca="false">BX57+CC57</f>
        <v>46.9</v>
      </c>
      <c r="BT57" s="1509" t="n">
        <f aca="false">BY57-BZ57+CD57-CE57</f>
        <v>149.06</v>
      </c>
      <c r="BU57" s="1509" t="n">
        <f aca="false">BR57-BS57-BT57-BW57</f>
        <v>38.41</v>
      </c>
      <c r="BV57" s="1509" t="n">
        <f aca="false">CA57+CF57</f>
        <v>7.17</v>
      </c>
      <c r="BW57" s="1509" t="n">
        <f aca="false">CB57+CG57</f>
        <v>-8.14</v>
      </c>
      <c r="BX57" s="2097" t="n">
        <v>31.89</v>
      </c>
      <c r="BY57" s="2023" t="n">
        <v>190.93</v>
      </c>
      <c r="BZ57" s="2097" t="n">
        <v>34.09</v>
      </c>
      <c r="CA57" s="2097" t="n">
        <v>3.55</v>
      </c>
      <c r="CB57" s="1509" t="n">
        <v>-4.52</v>
      </c>
      <c r="CC57" s="2097" t="n">
        <v>15.01</v>
      </c>
      <c r="CD57" s="2023" t="n">
        <v>281.03</v>
      </c>
      <c r="CE57" s="2099" t="n">
        <v>288.81</v>
      </c>
      <c r="CF57" s="2097" t="n">
        <v>3.62</v>
      </c>
      <c r="CG57" s="1509" t="n">
        <v>-3.62</v>
      </c>
      <c r="CH57" s="1482" t="n">
        <f aca="false">CI57+CL57+CO57</f>
        <v>-12.02</v>
      </c>
      <c r="CI57" s="1479" t="n">
        <f aca="false">CJ57-CK57</f>
        <v>-1.72</v>
      </c>
      <c r="CJ57" s="2017" t="n">
        <v>61.13</v>
      </c>
      <c r="CK57" s="2017" t="n">
        <v>62.85</v>
      </c>
      <c r="CL57" s="1479" t="n">
        <f aca="false">CM57-CN57</f>
        <v>-1.88</v>
      </c>
      <c r="CM57" s="2017" t="n">
        <v>3.74</v>
      </c>
      <c r="CN57" s="2017" t="n">
        <v>5.62</v>
      </c>
      <c r="CO57" s="2023" t="n">
        <f aca="false">CP57-CQ57</f>
        <v>-8.42</v>
      </c>
      <c r="CP57" s="2017" t="n">
        <v>5.93</v>
      </c>
      <c r="CQ57" s="2017" t="n">
        <v>14.35</v>
      </c>
      <c r="CR57" s="1478" t="n">
        <f aca="false">CS57-CT57</f>
        <v>-17.13</v>
      </c>
      <c r="CS57" s="1478" t="n">
        <v>7.34</v>
      </c>
      <c r="CT57" s="1478" t="n">
        <v>24.47</v>
      </c>
      <c r="CU57" s="1478" t="n">
        <f aca="false">CV57-CW57</f>
        <v>-1.7</v>
      </c>
      <c r="CV57" s="2017" t="n">
        <v>2.1</v>
      </c>
      <c r="CW57" s="2017" t="n">
        <v>3.8</v>
      </c>
      <c r="CX57" s="1998" t="n">
        <f aca="false">CZ57+DA57+DB57+DC57+DD57</f>
        <v>389.477706930052</v>
      </c>
      <c r="CY57" s="2007" t="n">
        <f aca="false">CZ57+DA57+DB57</f>
        <v>343.717706930052</v>
      </c>
      <c r="CZ57" s="1509" t="n">
        <f aca="false">BR57</f>
        <v>226.23</v>
      </c>
      <c r="DA57" s="1509" t="n">
        <f aca="false">AI57</f>
        <v>39.98</v>
      </c>
      <c r="DB57" s="2017" t="n">
        <f aca="false">AO57*AX57/AV57</f>
        <v>77.5077069300518</v>
      </c>
      <c r="DC57" s="2017" t="n">
        <f aca="false">CI57</f>
        <v>-1.72</v>
      </c>
      <c r="DD57" s="1479" t="n">
        <v>47.48</v>
      </c>
      <c r="DE57" s="2023" t="n">
        <v>66.88</v>
      </c>
      <c r="DF57" s="2007" t="n">
        <f aca="false">DI57+DL57+DM57+DU57</f>
        <v>1103.86229306995</v>
      </c>
      <c r="DG57" s="2010" t="n">
        <f aca="false">DH57+DU57</f>
        <v>1020.98</v>
      </c>
      <c r="DH57" s="2010" t="n">
        <f aca="false">DJ57+DL57+AE57</f>
        <v>1022.86</v>
      </c>
      <c r="DI57" s="2010" t="n">
        <f aca="false">Y57</f>
        <v>857.17</v>
      </c>
      <c r="DJ57" s="2035" t="n">
        <f aca="false">AZ57</f>
        <v>700.17</v>
      </c>
      <c r="DK57" s="2035" t="n">
        <f aca="false">AS57</f>
        <v>157</v>
      </c>
      <c r="DL57" s="1509" t="n">
        <f aca="false">BM57</f>
        <v>165.69</v>
      </c>
      <c r="DM57" s="2009" t="n">
        <f aca="false">AO57*AZ57/AV57-DK57</f>
        <v>82.8822930699482</v>
      </c>
      <c r="DN57" s="514" t="n">
        <f aca="false">(DM57/GK57)/(DH57/GJ57)</f>
        <v>0.710862215275676</v>
      </c>
      <c r="DO57" s="2009" t="n">
        <f aca="false">2/3*AR57</f>
        <v>138.96</v>
      </c>
      <c r="DP57" s="2009" t="n">
        <f aca="false">GK57*DH57/GJ57</f>
        <v>116.594033680361</v>
      </c>
      <c r="DQ57" s="2009" t="n">
        <f aca="false">2/3*DP57</f>
        <v>77.7293557869073</v>
      </c>
      <c r="DR57" s="2009" t="n">
        <f aca="false">DS57*(DH57/GJ57)*GK57</f>
        <v>147.800086301633</v>
      </c>
      <c r="DS57" s="514" t="n">
        <f aca="false">(DT57/GK57)/(DH57/GJ57)</f>
        <v>1.2676470796681</v>
      </c>
      <c r="DT57" s="2012" t="n">
        <v>147.800086301633</v>
      </c>
      <c r="DU57" s="2015" t="n">
        <f aca="false">CL57</f>
        <v>-1.88</v>
      </c>
      <c r="DV57" s="2007" t="n">
        <f aca="false">DW57+DX57+DY57+EB57</f>
        <v>731.22</v>
      </c>
      <c r="DW57" s="1509" t="n">
        <f aca="false">I57</f>
        <v>147.92</v>
      </c>
      <c r="DX57" s="2017" t="n">
        <f aca="false">BS57</f>
        <v>46.9</v>
      </c>
      <c r="DY57" s="2017" t="n">
        <f aca="false">EE57+EF57</f>
        <v>176.07</v>
      </c>
      <c r="DZ57" s="2018" t="n">
        <f aca="false">EF57+EE57-EA57</f>
        <v>29.659701423726</v>
      </c>
      <c r="EA57" s="2018" t="n">
        <f aca="false">EE57*(DF57-EB57+EH57)/(0.5*CX57+DF57-EB57+EH57)</f>
        <v>146.410298576274</v>
      </c>
      <c r="EB57" s="2017" t="n">
        <v>360.33</v>
      </c>
      <c r="EC57" s="2018" t="n">
        <f aca="false">DX57+DZ57</f>
        <v>76.559701423726</v>
      </c>
      <c r="ED57" s="2018" t="n">
        <f aca="false">EA57+EB57</f>
        <v>506.740298576274</v>
      </c>
      <c r="EE57" s="2023" t="n">
        <v>174.02</v>
      </c>
      <c r="EF57" s="2017" t="n">
        <v>2.05</v>
      </c>
      <c r="EG57" s="2017" t="n">
        <v>345.61</v>
      </c>
      <c r="EH57" s="2023" t="n">
        <v>289.14</v>
      </c>
      <c r="EI57" s="1479" t="n">
        <v>56.47</v>
      </c>
      <c r="EJ57" s="1479" t="n">
        <v>142.81</v>
      </c>
      <c r="EK57" s="2015" t="n">
        <v>12.73</v>
      </c>
      <c r="EL57" s="1479" t="n">
        <v>2.18</v>
      </c>
      <c r="EM57" s="2017" t="n">
        <f aca="false">DV57-EF57+EL57</f>
        <v>731.35</v>
      </c>
      <c r="EN57" s="2023" t="n">
        <v>12.73</v>
      </c>
      <c r="EO57" s="2019" t="n">
        <f aca="false">EM57-EG57-EN57-DD57</f>
        <v>325.53</v>
      </c>
      <c r="EP57" s="2019" t="n">
        <f aca="false">EO57-S57</f>
        <v>-43.86</v>
      </c>
      <c r="EQ57" s="2023" t="n">
        <v>-15.83992</v>
      </c>
      <c r="ER57" s="2023" t="n">
        <f aca="false">EP57+EQ57</f>
        <v>-59.69992</v>
      </c>
      <c r="ES57" s="1479" t="n">
        <v>38.84</v>
      </c>
      <c r="ET57" s="1479" t="n">
        <v>-1.71</v>
      </c>
      <c r="EU57" s="2023" t="n">
        <f aca="false">ER57-ES57-ET57+BP57</f>
        <v>-62.81992</v>
      </c>
      <c r="EV57" s="2024" t="n">
        <f aca="false">B57-DV57+EH57+DD57-CO57</f>
        <v>1207.6</v>
      </c>
      <c r="EW57" s="1478" t="n">
        <f aca="false">CX57-EC57</f>
        <v>312.918005506326</v>
      </c>
      <c r="EX57" s="1478" t="n">
        <f aca="false">($DF57-$EB57)-$EA57*($DF57-$EB57)/($DF57-$EB57+$EH57)</f>
        <v>638.115709551619</v>
      </c>
      <c r="EY57" s="1478" t="n">
        <f aca="false">$EH57-$EA57*$EH57/($DF57-$EB57+$EH57)</f>
        <v>248.146284942055</v>
      </c>
      <c r="EZ57" s="1478" t="n">
        <f aca="false">EV57+EI57</f>
        <v>1264.07</v>
      </c>
      <c r="FA57" s="2017" t="n">
        <v>1251.12</v>
      </c>
      <c r="FB57" s="2017" t="n">
        <v>131.24</v>
      </c>
      <c r="FC57" s="1478" t="n">
        <f aca="false">FB57+AG57</f>
        <v>211.38</v>
      </c>
      <c r="FD57" s="1997" t="n">
        <f aca="false">FB57+BU57-BV57</f>
        <v>162.48</v>
      </c>
      <c r="FE57" s="1479" t="n">
        <v>7.61992</v>
      </c>
      <c r="FF57" s="1479" t="n">
        <v>6.52</v>
      </c>
      <c r="FG57" s="1479" t="n">
        <f aca="false">FE57+FF57</f>
        <v>14.13992</v>
      </c>
      <c r="FH57" s="514" t="n">
        <f aca="false">FG57/FD57</f>
        <v>0.087025603151157</v>
      </c>
      <c r="FI57" s="1994" t="n">
        <f aca="false">FB57+FE57</f>
        <v>138.85992</v>
      </c>
      <c r="FJ57" s="1994" t="n">
        <f aca="false">BU57-BV57+FF57</f>
        <v>37.76</v>
      </c>
      <c r="FK57" s="2025" t="n">
        <f aca="false">FI57+FJ57</f>
        <v>176.61992</v>
      </c>
      <c r="FL57" s="1994" t="n">
        <f aca="false">FO57+FP57+FS57</f>
        <v>138.85992</v>
      </c>
      <c r="FM57" s="2017" t="n">
        <v>156.16</v>
      </c>
      <c r="FN57" s="2017" t="n">
        <v>155.29</v>
      </c>
      <c r="FO57" s="1995" t="n">
        <f aca="false">FN57-AG57</f>
        <v>75.15</v>
      </c>
      <c r="FP57" s="2017" t="n">
        <v>1.98</v>
      </c>
      <c r="FQ57" s="1478" t="n">
        <f aca="false">FI57-FO57-FP57</f>
        <v>61.72992</v>
      </c>
      <c r="FR57" s="1997" t="n">
        <v>0</v>
      </c>
      <c r="FS57" s="1478" t="n">
        <f aca="false">FQ57+FR57</f>
        <v>61.72992</v>
      </c>
      <c r="FT57" s="1478" t="n">
        <v>140.6</v>
      </c>
      <c r="FU57" s="1478" t="n">
        <v>19.8</v>
      </c>
      <c r="FV57" s="1478" t="n">
        <v>54.8</v>
      </c>
      <c r="FW57" s="2003" t="n">
        <v>78.9</v>
      </c>
      <c r="FX57" s="2026" t="n">
        <f aca="false">FY57+FZ57</f>
        <v>203.96</v>
      </c>
      <c r="FY57" s="2023" t="n">
        <v>192.49</v>
      </c>
      <c r="FZ57" s="2032" t="n">
        <v>11.47</v>
      </c>
      <c r="GA57" s="2015" t="n">
        <v>0</v>
      </c>
      <c r="GB57" s="402" t="n">
        <v>0.0137772675086107</v>
      </c>
      <c r="GC57" s="387" t="n">
        <v>0.0137772675086107</v>
      </c>
      <c r="GD57" s="387" t="n">
        <f aca="false">(G57/G56)/(1+GE57)-1</f>
        <v>0.00637769696034818</v>
      </c>
      <c r="GE57" s="387" t="n">
        <v>0.00790781744238589</v>
      </c>
      <c r="GF57" s="387" t="n">
        <v>0.00940965609947364</v>
      </c>
      <c r="GG57" s="2033" t="n">
        <v>98.48</v>
      </c>
      <c r="GH57" s="465" t="n">
        <v>81914.8305</v>
      </c>
      <c r="GI57" s="465" t="n">
        <f aca="false">GJ57+GK57</f>
        <v>37772</v>
      </c>
      <c r="GJ57" s="465" t="n">
        <v>33907</v>
      </c>
      <c r="GK57" s="465" t="n">
        <v>3865</v>
      </c>
      <c r="GL57" s="25" t="n">
        <f aca="false">GL56+(GL$59-GL$56)/3</f>
        <v>0.214779216054081</v>
      </c>
      <c r="GM57" s="25" t="n">
        <f aca="false">GK57/GI57</f>
        <v>0.102324473154718</v>
      </c>
      <c r="GN57" s="385" t="n">
        <v>66462.6845</v>
      </c>
      <c r="GO57" s="1932" t="n">
        <f aca="false">CX57</f>
        <v>389.477706930052</v>
      </c>
      <c r="GP57" s="1932" t="n">
        <f aca="false">BU57</f>
        <v>38.41</v>
      </c>
      <c r="GQ57" s="1932" t="n">
        <f aca="false">BW57</f>
        <v>-8.14</v>
      </c>
      <c r="GR57" s="1932" t="n">
        <f aca="false">DB57</f>
        <v>77.5077069300518</v>
      </c>
      <c r="GS57" s="1509" t="n">
        <f aca="false">GO57-GP57-GQ57-GR57</f>
        <v>281.7</v>
      </c>
      <c r="GT57" s="1932" t="n">
        <f aca="false">GU57+GV57+GW57+GX57+HA57-HD57</f>
        <v>281.7</v>
      </c>
      <c r="GU57" s="2017" t="n">
        <v>35.55</v>
      </c>
      <c r="GV57" s="2017" t="n">
        <f aca="false">AI57</f>
        <v>39.98</v>
      </c>
      <c r="GW57" s="2017" t="n">
        <v>1.29</v>
      </c>
      <c r="GX57" s="1509" t="n">
        <f aca="false">GY57+GZ57</f>
        <v>187.37</v>
      </c>
      <c r="GY57" s="2017" t="n">
        <v>140.47</v>
      </c>
      <c r="GZ57" s="24" t="n">
        <f aca="false">DX57</f>
        <v>46.9</v>
      </c>
      <c r="HA57" s="2017" t="n">
        <v>84.39</v>
      </c>
      <c r="HB57" s="2017"/>
      <c r="HC57" s="2017"/>
      <c r="HD57" s="24" t="n">
        <f aca="false">DE57</f>
        <v>66.88</v>
      </c>
      <c r="HE57" s="2017" t="n">
        <v>65.75</v>
      </c>
      <c r="HF57" s="2017" t="n">
        <v>85.56</v>
      </c>
      <c r="HG57" s="1478" t="n">
        <f aca="false">HF57-HE57</f>
        <v>19.81</v>
      </c>
      <c r="HH57" s="1478" t="n">
        <f aca="false">AJ57</f>
        <v>17.95</v>
      </c>
      <c r="HI57" s="24" t="n">
        <f aca="false">HG57-HH57</f>
        <v>1.86</v>
      </c>
      <c r="HJ57" s="158" t="n">
        <f aca="false">DE57/DataDE2!AR58</f>
        <v>0.0578947368421053</v>
      </c>
      <c r="HK57" s="387" t="n">
        <f aca="false">HF57/DataDE2!AR58</f>
        <v>0.0740650969529086</v>
      </c>
    </row>
    <row r="58" customFormat="false" ht="12" hidden="false" customHeight="false" outlineLevel="0" collapsed="false">
      <c r="A58" s="31" t="n">
        <f aca="false">A57+1</f>
        <v>1997</v>
      </c>
      <c r="B58" s="1994" t="n">
        <f aca="false">E58+F58</f>
        <v>1621.1</v>
      </c>
      <c r="C58" s="381" t="n">
        <f aca="false">B58+CR58</f>
        <v>1602.7</v>
      </c>
      <c r="D58" s="1995" t="n">
        <f aca="false">B58-I58</f>
        <v>1467.11</v>
      </c>
      <c r="E58" s="1996" t="n">
        <f aca="false">CH58</f>
        <v>-15.66</v>
      </c>
      <c r="F58" s="1994" t="n">
        <f aca="false">J58+AC58+AV58+BM58</f>
        <v>1636.76</v>
      </c>
      <c r="G58" s="1478" t="n">
        <f aca="false">J58+X58+BN58</f>
        <v>1912.6</v>
      </c>
      <c r="H58" s="1478" t="n">
        <f aca="false">AG58+BA58+BP58</f>
        <v>275.84</v>
      </c>
      <c r="I58" s="1998" t="n">
        <f aca="false">K58+L58+CO58</f>
        <v>153.99</v>
      </c>
      <c r="J58" s="395" t="n">
        <f aca="false">K58+L58</f>
        <v>162.08</v>
      </c>
      <c r="K58" s="1479" t="n">
        <v>180.52</v>
      </c>
      <c r="L58" s="1478" t="n">
        <f aca="false">M58+N58+O58+P58+Q58</f>
        <v>-18.44</v>
      </c>
      <c r="M58" s="1479" t="n">
        <v>1.96</v>
      </c>
      <c r="N58" s="1479" t="n">
        <v>-18.19</v>
      </c>
      <c r="O58" s="1479" t="n">
        <v>0.27</v>
      </c>
      <c r="P58" s="1479" t="n">
        <v>-1.04</v>
      </c>
      <c r="Q58" s="2015" t="n">
        <v>-1.44</v>
      </c>
      <c r="R58" s="1479" t="n">
        <v>1110.82</v>
      </c>
      <c r="S58" s="1479" t="n">
        <v>369.13</v>
      </c>
      <c r="T58" s="1479" t="n">
        <v>407.98</v>
      </c>
      <c r="U58" s="1479" t="n">
        <v>524.02</v>
      </c>
      <c r="V58" s="2015" t="n">
        <v>499.35</v>
      </c>
      <c r="W58" s="2096" t="n">
        <f aca="false">AC58+AV58</f>
        <v>1308.91</v>
      </c>
      <c r="X58" s="1479" t="n">
        <f aca="false">W58+AA58</f>
        <v>1550.56</v>
      </c>
      <c r="Y58" s="1479" t="n">
        <f aca="false">AE58+AZ58</f>
        <v>860.43</v>
      </c>
      <c r="Z58" s="1479" t="n">
        <f aca="false">W58-Y58</f>
        <v>448.48</v>
      </c>
      <c r="AA58" s="1479" t="n">
        <f aca="false">AG58+BA58</f>
        <v>241.65</v>
      </c>
      <c r="AB58" s="1319" t="n">
        <f aca="false">AA58/X58</f>
        <v>0.155846919822516</v>
      </c>
      <c r="AC58" s="1509" t="n">
        <f aca="false">AF58+AE58</f>
        <v>358.57</v>
      </c>
      <c r="AD58" s="1509" t="n">
        <f aca="false">AF58+AG58+AE58</f>
        <v>441.17</v>
      </c>
      <c r="AE58" s="1509" t="n">
        <f aca="false">AS58</f>
        <v>158.12</v>
      </c>
      <c r="AF58" s="1509" t="n">
        <f aca="false">AI58+AQ58</f>
        <v>200.45</v>
      </c>
      <c r="AG58" s="2097" t="n">
        <v>82.6</v>
      </c>
      <c r="AH58" s="1319" t="n">
        <f aca="false">AG58/AD58</f>
        <v>0.187229412698053</v>
      </c>
      <c r="AI58" s="2097" t="n">
        <v>41.66</v>
      </c>
      <c r="AJ58" s="2097" t="n">
        <v>20.45</v>
      </c>
      <c r="AK58" s="0" t="n">
        <v>74.86</v>
      </c>
      <c r="AL58" s="1478" t="n">
        <f aca="false">AK58-AI58</f>
        <v>33.2</v>
      </c>
      <c r="AM58" s="821" t="n">
        <f aca="false">AL58/AK58</f>
        <v>0.443494523109805</v>
      </c>
      <c r="AN58" s="2030" t="n">
        <f aca="false">AL58/DataDE2!AD59</f>
        <v>0.0106348874081945</v>
      </c>
      <c r="AO58" s="79" t="n">
        <f aca="false">AQ58+AS58</f>
        <v>316.91</v>
      </c>
      <c r="AP58" s="2004" t="n">
        <f aca="false">AO58+AT58</f>
        <v>366.31</v>
      </c>
      <c r="AQ58" s="2097" t="n">
        <v>158.79</v>
      </c>
      <c r="AR58" s="1478" t="n">
        <f aca="false">AQ58+AT58</f>
        <v>208.19</v>
      </c>
      <c r="AS58" s="2097" t="n">
        <v>158.12</v>
      </c>
      <c r="AT58" s="1478" t="n">
        <f aca="false">AG58-AL58</f>
        <v>49.4</v>
      </c>
      <c r="AU58" s="2005" t="n">
        <f aca="false">AT58/AP58</f>
        <v>0.13485845322268</v>
      </c>
      <c r="AV58" s="2001" t="n">
        <f aca="false">AW58-BA58</f>
        <v>950.34</v>
      </c>
      <c r="AW58" s="2004" t="n">
        <f aca="false">AY58+AZ58</f>
        <v>1109.39</v>
      </c>
      <c r="AX58" s="2004" t="n">
        <f aca="false">BD58+BI58</f>
        <v>248.03</v>
      </c>
      <c r="AY58" s="1932" t="n">
        <f aca="false">AX58+BA58</f>
        <v>407.08</v>
      </c>
      <c r="AZ58" s="1478" t="n">
        <f aca="false">BF58+BK58</f>
        <v>702.31</v>
      </c>
      <c r="BA58" s="1478" t="n">
        <f aca="false">BG58+BL58</f>
        <v>159.05</v>
      </c>
      <c r="BB58" s="821" t="n">
        <f aca="false">BA58/AW58</f>
        <v>0.143367075600105</v>
      </c>
      <c r="BC58" s="1478" t="n">
        <f aca="false">BE58+BF58</f>
        <v>1027.08</v>
      </c>
      <c r="BD58" s="2097" t="n">
        <v>225.63</v>
      </c>
      <c r="BE58" s="1509" t="n">
        <f aca="false">BD58+BG58</f>
        <v>377.51</v>
      </c>
      <c r="BF58" s="2097" t="n">
        <v>649.57</v>
      </c>
      <c r="BG58" s="2097" t="n">
        <v>151.88</v>
      </c>
      <c r="BH58" s="1478" t="n">
        <f aca="false">BJ58+BK58</f>
        <v>82.31</v>
      </c>
      <c r="BI58" s="2097" t="n">
        <v>22.4</v>
      </c>
      <c r="BJ58" s="1509" t="n">
        <f aca="false">BI58+BL58</f>
        <v>29.57</v>
      </c>
      <c r="BK58" s="2097" t="n">
        <v>52.74</v>
      </c>
      <c r="BL58" s="2097" t="n">
        <v>7.17</v>
      </c>
      <c r="BM58" s="2001" t="n">
        <f aca="false">BN58-BP58</f>
        <v>165.77</v>
      </c>
      <c r="BN58" s="2004" t="n">
        <f aca="false">BO58+BP58</f>
        <v>199.96</v>
      </c>
      <c r="BO58" s="2097" t="n">
        <v>165.77</v>
      </c>
      <c r="BP58" s="2097" t="n">
        <v>34.19</v>
      </c>
      <c r="BQ58" s="2005" t="n">
        <f aca="false">BP58/BN58</f>
        <v>0.170984196839368</v>
      </c>
      <c r="BR58" s="1509" t="n">
        <f aca="false">AY58-BA58</f>
        <v>248.03</v>
      </c>
      <c r="BS58" s="1509" t="n">
        <f aca="false">BX58+CC58</f>
        <v>48.24</v>
      </c>
      <c r="BT58" s="1509" t="n">
        <f aca="false">BY58-BZ58+CD58-CE58</f>
        <v>168.44</v>
      </c>
      <c r="BU58" s="1509" t="n">
        <f aca="false">BR58-BS58-BT58-BW58</f>
        <v>39.61</v>
      </c>
      <c r="BV58" s="1509" t="n">
        <f aca="false">CA58+CF58</f>
        <v>7.21</v>
      </c>
      <c r="BW58" s="1509" t="n">
        <f aca="false">CB58+CG58</f>
        <v>-8.26</v>
      </c>
      <c r="BX58" s="2097" t="n">
        <v>33.64</v>
      </c>
      <c r="BY58" s="2023" t="n">
        <v>215.44</v>
      </c>
      <c r="BZ58" s="2097" t="n">
        <v>37.77</v>
      </c>
      <c r="CA58" s="2097" t="n">
        <v>3.55</v>
      </c>
      <c r="CB58" s="1509" t="n">
        <v>-4.32</v>
      </c>
      <c r="CC58" s="2097" t="n">
        <v>14.6</v>
      </c>
      <c r="CD58" s="2023" t="n">
        <v>293.72</v>
      </c>
      <c r="CE58" s="2099" t="n">
        <v>302.95</v>
      </c>
      <c r="CF58" s="2097" t="n">
        <v>3.66</v>
      </c>
      <c r="CG58" s="1509" t="n">
        <v>-3.94</v>
      </c>
      <c r="CH58" s="1482" t="n">
        <f aca="false">CI58+CL58+CO58</f>
        <v>-15.66</v>
      </c>
      <c r="CI58" s="1479" t="n">
        <f aca="false">CJ58-CK58</f>
        <v>-5.48</v>
      </c>
      <c r="CJ58" s="2017" t="n">
        <v>68.78</v>
      </c>
      <c r="CK58" s="2017" t="n">
        <v>74.26</v>
      </c>
      <c r="CL58" s="1479" t="n">
        <f aca="false">CM58-CN58</f>
        <v>-2.09</v>
      </c>
      <c r="CM58" s="2017" t="n">
        <v>3.78</v>
      </c>
      <c r="CN58" s="2017" t="n">
        <v>5.87</v>
      </c>
      <c r="CO58" s="2023" t="n">
        <f aca="false">CP58-CQ58</f>
        <v>-8.09</v>
      </c>
      <c r="CP58" s="2017" t="n">
        <v>5.83</v>
      </c>
      <c r="CQ58" s="2017" t="n">
        <v>13.92</v>
      </c>
      <c r="CR58" s="1478" t="n">
        <f aca="false">CS58-CT58</f>
        <v>-18.4</v>
      </c>
      <c r="CS58" s="1478" t="n">
        <v>8.11</v>
      </c>
      <c r="CT58" s="1478" t="n">
        <v>26.51</v>
      </c>
      <c r="CU58" s="1478" t="n">
        <f aca="false">CV58-CW58</f>
        <v>0.0699999999999998</v>
      </c>
      <c r="CV58" s="2017" t="n">
        <v>2.52</v>
      </c>
      <c r="CW58" s="2017" t="n">
        <v>2.45</v>
      </c>
      <c r="CX58" s="1998" t="n">
        <f aca="false">CZ58+DA58+DB58+DC58+DD58</f>
        <v>415.620595471095</v>
      </c>
      <c r="CY58" s="2007" t="n">
        <f aca="false">CZ58+DA58+DB58</f>
        <v>372.400595471095</v>
      </c>
      <c r="CZ58" s="1509" t="n">
        <f aca="false">BR58</f>
        <v>248.03</v>
      </c>
      <c r="DA58" s="1509" t="n">
        <f aca="false">AI58</f>
        <v>41.66</v>
      </c>
      <c r="DB58" s="2017" t="n">
        <f aca="false">AO58*AX58/AV58</f>
        <v>82.7105954710945</v>
      </c>
      <c r="DC58" s="2017" t="n">
        <f aca="false">CI58</f>
        <v>-5.48</v>
      </c>
      <c r="DD58" s="1479" t="n">
        <v>48.7</v>
      </c>
      <c r="DE58" s="2023" t="n">
        <v>64.78</v>
      </c>
      <c r="DF58" s="2007" t="n">
        <f aca="false">DI58+DL58+DM58+DU58</f>
        <v>1100.18940452891</v>
      </c>
      <c r="DG58" s="2010" t="n">
        <f aca="false">DH58+DU58</f>
        <v>1024.11</v>
      </c>
      <c r="DH58" s="2010" t="n">
        <f aca="false">DJ58+DL58+AE58</f>
        <v>1026.2</v>
      </c>
      <c r="DI58" s="2010" t="n">
        <f aca="false">Y58</f>
        <v>860.43</v>
      </c>
      <c r="DJ58" s="2035" t="n">
        <f aca="false">AZ58</f>
        <v>702.31</v>
      </c>
      <c r="DK58" s="2035" t="n">
        <f aca="false">AS58</f>
        <v>158.12</v>
      </c>
      <c r="DL58" s="1509" t="n">
        <f aca="false">BM58</f>
        <v>165.77</v>
      </c>
      <c r="DM58" s="2009" t="n">
        <f aca="false">AO58*AZ58/AV58-DK58</f>
        <v>76.0794045289054</v>
      </c>
      <c r="DN58" s="514" t="n">
        <f aca="false">(DM58/GK58)/(DH58/GJ58)</f>
        <v>0.640443012866275</v>
      </c>
      <c r="DO58" s="2009" t="n">
        <f aca="false">2/3*AR58</f>
        <v>138.793333333333</v>
      </c>
      <c r="DP58" s="2009" t="n">
        <f aca="false">GK58*DH58/GJ58</f>
        <v>118.791840960861</v>
      </c>
      <c r="DQ58" s="2009" t="n">
        <f aca="false">2/3*DP58</f>
        <v>79.1945606405743</v>
      </c>
      <c r="DR58" s="2009" t="n">
        <f aca="false">DS58*(DH58/GJ58)*GK58</f>
        <v>153.952132557751</v>
      </c>
      <c r="DS58" s="514" t="n">
        <f aca="false">(DT58/GK58)/(DH58/GJ58)</f>
        <v>1.29598237818769</v>
      </c>
      <c r="DT58" s="2012" t="n">
        <v>153.952132557751</v>
      </c>
      <c r="DU58" s="2015" t="n">
        <f aca="false">CL58</f>
        <v>-2.09</v>
      </c>
      <c r="DV58" s="2007" t="n">
        <f aca="false">DW58+DX58+DY58+EB58</f>
        <v>749.24</v>
      </c>
      <c r="DW58" s="1509" t="n">
        <f aca="false">I58</f>
        <v>153.99</v>
      </c>
      <c r="DX58" s="2017" t="n">
        <f aca="false">BS58</f>
        <v>48.24</v>
      </c>
      <c r="DY58" s="2017" t="n">
        <f aca="false">EE58+EF58</f>
        <v>174.65</v>
      </c>
      <c r="DZ58" s="2018" t="n">
        <f aca="false">EF58+EE58-EA58</f>
        <v>31.2108291632159</v>
      </c>
      <c r="EA58" s="2018" t="n">
        <f aca="false">EE58*(DF58-EB58+EH58)/(0.5*CX58+DF58-EB58+EH58)</f>
        <v>143.439170836784</v>
      </c>
      <c r="EB58" s="2017" t="n">
        <v>372.36</v>
      </c>
      <c r="EC58" s="2018" t="n">
        <f aca="false">DX58+DZ58</f>
        <v>79.4508291632159</v>
      </c>
      <c r="ED58" s="2018" t="n">
        <f aca="false">EA58+EB58</f>
        <v>515.799170836784</v>
      </c>
      <c r="EE58" s="2023" t="n">
        <v>172.58</v>
      </c>
      <c r="EF58" s="2017" t="n">
        <v>2.07</v>
      </c>
      <c r="EG58" s="2017" t="n">
        <v>353.45</v>
      </c>
      <c r="EH58" s="2023" t="n">
        <v>295.07</v>
      </c>
      <c r="EI58" s="1479" t="n">
        <v>58.38</v>
      </c>
      <c r="EJ58" s="1479" t="n">
        <v>142.26</v>
      </c>
      <c r="EK58" s="2015" t="n">
        <v>15</v>
      </c>
      <c r="EL58" s="1479" t="n">
        <v>1.6</v>
      </c>
      <c r="EM58" s="2017" t="n">
        <f aca="false">DV58-EF58+EL58</f>
        <v>748.77</v>
      </c>
      <c r="EN58" s="2023" t="n">
        <v>15</v>
      </c>
      <c r="EO58" s="2019" t="n">
        <f aca="false">EM58-EG58-EN58-DD58</f>
        <v>331.62</v>
      </c>
      <c r="EP58" s="2019" t="n">
        <f aca="false">EO58-S58</f>
        <v>-37.51</v>
      </c>
      <c r="EQ58" s="2023" t="n">
        <v>-14.85992</v>
      </c>
      <c r="ER58" s="2023" t="n">
        <f aca="false">EP58+EQ58</f>
        <v>-52.36992</v>
      </c>
      <c r="ES58" s="1479" t="n">
        <v>35.95</v>
      </c>
      <c r="ET58" s="1479" t="n">
        <v>-1.48</v>
      </c>
      <c r="EU58" s="2023" t="n">
        <f aca="false">ER58-ES58-ET58+BP58</f>
        <v>-52.64992</v>
      </c>
      <c r="EV58" s="2024" t="n">
        <f aca="false">B58-DV58+EH58+DD58-CO58</f>
        <v>1223.72</v>
      </c>
      <c r="EW58" s="1478" t="n">
        <f aca="false">CX58-EC58</f>
        <v>336.169766307879</v>
      </c>
      <c r="EX58" s="1478" t="n">
        <f aca="false">($DF58-$EB58)-$EA58*($DF58-$EB58)/($DF58-$EB58+$EH58)</f>
        <v>625.767319211398</v>
      </c>
      <c r="EY58" s="1478" t="n">
        <f aca="false">$EH58-$EA58*$EH58/($DF58-$EB58+$EH58)</f>
        <v>253.692914480723</v>
      </c>
      <c r="EZ58" s="1478" t="n">
        <f aca="false">EV58+EI58</f>
        <v>1282.1</v>
      </c>
      <c r="FA58" s="2017" t="n">
        <v>1271.08</v>
      </c>
      <c r="FB58" s="2017" t="n">
        <v>127.86</v>
      </c>
      <c r="FC58" s="1478" t="n">
        <f aca="false">FB58+AG58</f>
        <v>210.46</v>
      </c>
      <c r="FD58" s="1997" t="n">
        <f aca="false">FB58+BU58-BV58</f>
        <v>160.26</v>
      </c>
      <c r="FE58" s="1479" t="n">
        <v>9.93992</v>
      </c>
      <c r="FF58" s="1479" t="n">
        <v>4.99</v>
      </c>
      <c r="FG58" s="1479" t="n">
        <f aca="false">FE58+FF58</f>
        <v>14.92992</v>
      </c>
      <c r="FH58" s="514" t="n">
        <f aca="false">FG58/FD58</f>
        <v>0.0931606140022464</v>
      </c>
      <c r="FI58" s="1994" t="n">
        <f aca="false">FB58+FE58</f>
        <v>137.79992</v>
      </c>
      <c r="FJ58" s="1994" t="n">
        <f aca="false">BU58-BV58+FF58</f>
        <v>37.39</v>
      </c>
      <c r="FK58" s="2025" t="n">
        <f aca="false">FI58+FJ58</f>
        <v>175.18992</v>
      </c>
      <c r="FL58" s="1994" t="n">
        <f aca="false">FO58+FP58+FS58</f>
        <v>137.79992</v>
      </c>
      <c r="FM58" s="2017" t="n">
        <v>156.55</v>
      </c>
      <c r="FN58" s="2017" t="n">
        <v>155.3</v>
      </c>
      <c r="FO58" s="1995" t="n">
        <f aca="false">FN58-AG58</f>
        <v>72.7</v>
      </c>
      <c r="FP58" s="2017" t="n">
        <v>2.28</v>
      </c>
      <c r="FQ58" s="1478" t="n">
        <f aca="false">FI58-FO58-FP58</f>
        <v>62.81992</v>
      </c>
      <c r="FR58" s="1997" t="n">
        <v>0</v>
      </c>
      <c r="FS58" s="1478" t="n">
        <f aca="false">FQ58+FR58</f>
        <v>62.81992</v>
      </c>
      <c r="FT58" s="1478" t="n">
        <v>127.1</v>
      </c>
      <c r="FU58" s="1478" t="n">
        <v>28.3</v>
      </c>
      <c r="FV58" s="1478" t="n">
        <v>57.7</v>
      </c>
      <c r="FW58" s="2003" t="n">
        <v>64.2</v>
      </c>
      <c r="FX58" s="2026" t="n">
        <f aca="false">FY58+FZ58</f>
        <v>215.48</v>
      </c>
      <c r="FY58" s="2023" t="n">
        <v>203.73</v>
      </c>
      <c r="FZ58" s="2032" t="n">
        <v>11.75</v>
      </c>
      <c r="GA58" s="2015" t="n">
        <v>0</v>
      </c>
      <c r="GB58" s="402" t="n">
        <v>0.0192525481313703</v>
      </c>
      <c r="GC58" s="387" t="n">
        <v>0.0192525481313703</v>
      </c>
      <c r="GD58" s="387" t="n">
        <f aca="false">(G58/G57)/(1+GE58)-1</f>
        <v>0.00263477360361342</v>
      </c>
      <c r="GE58" s="387" t="n">
        <v>0.0173727863707689</v>
      </c>
      <c r="GF58" s="387" t="n">
        <v>0.0127621795583177</v>
      </c>
      <c r="GG58" s="2033" t="n">
        <v>99.41</v>
      </c>
      <c r="GH58" s="465" t="n">
        <v>82034.7705</v>
      </c>
      <c r="GI58" s="465" t="n">
        <f aca="false">GJ58+GK58</f>
        <v>37716</v>
      </c>
      <c r="GJ58" s="465" t="n">
        <v>33803</v>
      </c>
      <c r="GK58" s="465" t="n">
        <v>3913</v>
      </c>
      <c r="GL58" s="25" t="n">
        <f aca="false">GL57+(GL$59-GL$56)/3</f>
        <v>0.214558432108162</v>
      </c>
      <c r="GM58" s="25" t="n">
        <f aca="false">GK58/GI58</f>
        <v>0.103749072011878</v>
      </c>
      <c r="GN58" s="385" t="n">
        <v>66635.7135</v>
      </c>
      <c r="GO58" s="1932" t="n">
        <f aca="false">CX58</f>
        <v>415.620595471095</v>
      </c>
      <c r="GP58" s="1932" t="n">
        <f aca="false">BU58</f>
        <v>39.61</v>
      </c>
      <c r="GQ58" s="1932" t="n">
        <f aca="false">BW58</f>
        <v>-8.26</v>
      </c>
      <c r="GR58" s="1932" t="n">
        <f aca="false">DB58</f>
        <v>82.7105954710945</v>
      </c>
      <c r="GS58" s="1509" t="n">
        <f aca="false">GO58-GP58-GQ58-GR58</f>
        <v>301.56</v>
      </c>
      <c r="GT58" s="1932" t="n">
        <f aca="false">GU58+GV58+GW58+GX58+HA58-HD58</f>
        <v>301.56</v>
      </c>
      <c r="GU58" s="2017" t="n">
        <v>38.89</v>
      </c>
      <c r="GV58" s="2017" t="n">
        <f aca="false">AI58</f>
        <v>41.66</v>
      </c>
      <c r="GW58" s="2017" t="n">
        <v>1.32</v>
      </c>
      <c r="GX58" s="1509" t="n">
        <f aca="false">GY58+GZ58</f>
        <v>204.39</v>
      </c>
      <c r="GY58" s="2017" t="n">
        <v>156.15</v>
      </c>
      <c r="GZ58" s="24" t="n">
        <f aca="false">DX58</f>
        <v>48.24</v>
      </c>
      <c r="HA58" s="2017" t="n">
        <v>80.08</v>
      </c>
      <c r="HB58" s="2017"/>
      <c r="HC58" s="2017"/>
      <c r="HD58" s="24" t="n">
        <f aca="false">DE58</f>
        <v>64.78</v>
      </c>
      <c r="HE58" s="2017" t="n">
        <v>63.63</v>
      </c>
      <c r="HF58" s="2017" t="n">
        <v>86.33</v>
      </c>
      <c r="HG58" s="1478" t="n">
        <f aca="false">HF58-HE58</f>
        <v>22.7</v>
      </c>
      <c r="HH58" s="1478" t="n">
        <f aca="false">AJ58</f>
        <v>20.45</v>
      </c>
      <c r="HI58" s="24" t="n">
        <f aca="false">HG58-HH58</f>
        <v>2.25</v>
      </c>
      <c r="HJ58" s="158" t="n">
        <f aca="false">DE58/DataDE2!AR59</f>
        <v>0.0525214853251176</v>
      </c>
      <c r="HK58" s="387" t="n">
        <f aca="false">HF58/DataDE2!AR59</f>
        <v>0.0699935138641155</v>
      </c>
    </row>
    <row r="59" customFormat="false" ht="12" hidden="false" customHeight="false" outlineLevel="0" collapsed="false">
      <c r="A59" s="31" t="n">
        <f aca="false">A58+1</f>
        <v>1998</v>
      </c>
      <c r="B59" s="1994" t="n">
        <f aca="false">E59+F59</f>
        <v>1655.4</v>
      </c>
      <c r="C59" s="381" t="n">
        <f aca="false">B59+CR59</f>
        <v>1635.2</v>
      </c>
      <c r="D59" s="1995" t="n">
        <f aca="false">B59-I59</f>
        <v>1494.05</v>
      </c>
      <c r="E59" s="1996" t="n">
        <f aca="false">CH59</f>
        <v>-21.98</v>
      </c>
      <c r="F59" s="1994" t="n">
        <f aca="false">J59+AC59+AV59+BM59</f>
        <v>1677.38</v>
      </c>
      <c r="G59" s="1478" t="n">
        <f aca="false">J59+X59+BN59</f>
        <v>1959.7</v>
      </c>
      <c r="H59" s="1478" t="n">
        <f aca="false">AG59+BA59+BP59</f>
        <v>282.32</v>
      </c>
      <c r="I59" s="1998" t="n">
        <f aca="false">K59+L59+CO59</f>
        <v>161.35</v>
      </c>
      <c r="J59" s="395" t="n">
        <f aca="false">K59+L59</f>
        <v>167.65</v>
      </c>
      <c r="K59" s="1479" t="n">
        <v>187.12</v>
      </c>
      <c r="L59" s="1478" t="n">
        <f aca="false">M59+N59+O59+P59+Q59</f>
        <v>-19.47</v>
      </c>
      <c r="M59" s="1479" t="n">
        <v>2.48</v>
      </c>
      <c r="N59" s="1479" t="n">
        <v>-19.34</v>
      </c>
      <c r="O59" s="1479" t="n">
        <v>0.27</v>
      </c>
      <c r="P59" s="1479" t="n">
        <v>-1</v>
      </c>
      <c r="Q59" s="2015" t="n">
        <v>-1.88000000000002</v>
      </c>
      <c r="R59" s="1479" t="n">
        <v>1130.14</v>
      </c>
      <c r="S59" s="1479" t="n">
        <v>374.49</v>
      </c>
      <c r="T59" s="1479" t="n">
        <v>428.14</v>
      </c>
      <c r="U59" s="1479" t="n">
        <v>560.14</v>
      </c>
      <c r="V59" s="2015" t="n">
        <v>533.21</v>
      </c>
      <c r="W59" s="2096" t="n">
        <f aca="false">AC59+AV59</f>
        <v>1343.36</v>
      </c>
      <c r="X59" s="1479" t="n">
        <f aca="false">W59+AA59</f>
        <v>1591.36</v>
      </c>
      <c r="Y59" s="1479" t="n">
        <f aca="false">AE59+AZ59</f>
        <v>880.85</v>
      </c>
      <c r="Z59" s="1479" t="n">
        <f aca="false">W59-Y59</f>
        <v>462.51</v>
      </c>
      <c r="AA59" s="1479" t="n">
        <f aca="false">AG59+BA59</f>
        <v>248</v>
      </c>
      <c r="AB59" s="1319" t="n">
        <f aca="false">AA59/X59</f>
        <v>0.155841544339433</v>
      </c>
      <c r="AC59" s="1509" t="n">
        <f aca="false">AF59+AE59</f>
        <v>355.28</v>
      </c>
      <c r="AD59" s="1509" t="n">
        <f aca="false">AF59+AG59+AE59</f>
        <v>439.83</v>
      </c>
      <c r="AE59" s="1509" t="n">
        <f aca="false">AS59</f>
        <v>160.92</v>
      </c>
      <c r="AF59" s="1509" t="n">
        <f aca="false">AI59+AQ59</f>
        <v>194.36</v>
      </c>
      <c r="AG59" s="2097" t="n">
        <v>84.55</v>
      </c>
      <c r="AH59" s="1319" t="n">
        <f aca="false">AG59/AD59</f>
        <v>0.192233362890208</v>
      </c>
      <c r="AI59" s="2097" t="n">
        <v>41.13</v>
      </c>
      <c r="AJ59" s="2097" t="n">
        <v>21.09</v>
      </c>
      <c r="AK59" s="0" t="n">
        <v>75.52</v>
      </c>
      <c r="AL59" s="1478" t="n">
        <f aca="false">AK59-AI59</f>
        <v>34.39</v>
      </c>
      <c r="AM59" s="821" t="n">
        <f aca="false">AL59/AK59</f>
        <v>0.455376059322034</v>
      </c>
      <c r="AN59" s="2030" t="n">
        <f aca="false">AL59/DataDE2!AD60</f>
        <v>0.0106224513748929</v>
      </c>
      <c r="AO59" s="79" t="n">
        <f aca="false">AQ59+AS59</f>
        <v>314.15</v>
      </c>
      <c r="AP59" s="2004" t="n">
        <f aca="false">AO59+AT59</f>
        <v>364.31</v>
      </c>
      <c r="AQ59" s="2097" t="n">
        <v>153.23</v>
      </c>
      <c r="AR59" s="1478" t="n">
        <f aca="false">AQ59+AT59</f>
        <v>203.39</v>
      </c>
      <c r="AS59" s="2097" t="n">
        <v>160.92</v>
      </c>
      <c r="AT59" s="1478" t="n">
        <f aca="false">AG59-AL59</f>
        <v>50.16</v>
      </c>
      <c r="AU59" s="2005" t="n">
        <f aca="false">AT59/AP59</f>
        <v>0.137684938651149</v>
      </c>
      <c r="AV59" s="2001" t="n">
        <f aca="false">AW59-BA59</f>
        <v>988.08</v>
      </c>
      <c r="AW59" s="2004" t="n">
        <f aca="false">AY59+AZ59</f>
        <v>1151.53</v>
      </c>
      <c r="AX59" s="2004" t="n">
        <f aca="false">BD59+BI59</f>
        <v>268.15</v>
      </c>
      <c r="AY59" s="1932" t="n">
        <f aca="false">AX59+BA59</f>
        <v>431.6</v>
      </c>
      <c r="AZ59" s="1478" t="n">
        <f aca="false">BF59+BK59</f>
        <v>719.93</v>
      </c>
      <c r="BA59" s="1478" t="n">
        <f aca="false">BG59+BL59</f>
        <v>163.45</v>
      </c>
      <c r="BB59" s="821" t="n">
        <f aca="false">BA59/AW59</f>
        <v>0.141941590753172</v>
      </c>
      <c r="BC59" s="1478" t="n">
        <f aca="false">BE59+BF59</f>
        <v>1073.41</v>
      </c>
      <c r="BD59" s="2097" t="n">
        <v>251.27</v>
      </c>
      <c r="BE59" s="1509" t="n">
        <f aca="false">BD59+BG59</f>
        <v>407.41</v>
      </c>
      <c r="BF59" s="2097" t="n">
        <v>666</v>
      </c>
      <c r="BG59" s="2097" t="n">
        <v>156.14</v>
      </c>
      <c r="BH59" s="1478" t="n">
        <f aca="false">BJ59+BK59</f>
        <v>78.12</v>
      </c>
      <c r="BI59" s="2097" t="n">
        <v>16.88</v>
      </c>
      <c r="BJ59" s="1509" t="n">
        <f aca="false">BI59+BL59</f>
        <v>24.19</v>
      </c>
      <c r="BK59" s="2097" t="n">
        <v>53.93</v>
      </c>
      <c r="BL59" s="2097" t="n">
        <v>7.31</v>
      </c>
      <c r="BM59" s="2001" t="n">
        <f aca="false">BN59-BP59</f>
        <v>166.37</v>
      </c>
      <c r="BN59" s="2004" t="n">
        <f aca="false">BO59+BP59</f>
        <v>200.69</v>
      </c>
      <c r="BO59" s="2097" t="n">
        <v>166.37</v>
      </c>
      <c r="BP59" s="2097" t="n">
        <v>34.32</v>
      </c>
      <c r="BQ59" s="2005" t="n">
        <f aca="false">BP59/BN59</f>
        <v>0.171010015446709</v>
      </c>
      <c r="BR59" s="1509" t="n">
        <f aca="false">AY59-BA59</f>
        <v>268.15</v>
      </c>
      <c r="BS59" s="1509" t="n">
        <f aca="false">BX59+CC59</f>
        <v>51.21</v>
      </c>
      <c r="BT59" s="1509" t="n">
        <f aca="false">BY59-BZ59+CD59-CE59</f>
        <v>190.1</v>
      </c>
      <c r="BU59" s="1509" t="n">
        <f aca="false">BR59-BS59-BT59-BW59</f>
        <v>36.0700000000001</v>
      </c>
      <c r="BV59" s="1509" t="n">
        <f aca="false">CA59+CF59</f>
        <v>8.64</v>
      </c>
      <c r="BW59" s="1509" t="n">
        <f aca="false">CB59+CG59</f>
        <v>-9.23</v>
      </c>
      <c r="BX59" s="2097" t="n">
        <v>30.4</v>
      </c>
      <c r="BY59" s="2023" t="n">
        <v>242.9</v>
      </c>
      <c r="BZ59" s="2097" t="n">
        <v>40.92</v>
      </c>
      <c r="CA59" s="2097" t="n">
        <v>4.5</v>
      </c>
      <c r="CB59" s="1509" t="n">
        <v>-4.65</v>
      </c>
      <c r="CC59" s="2097" t="n">
        <v>20.81</v>
      </c>
      <c r="CD59" s="2023" t="n">
        <v>309.49</v>
      </c>
      <c r="CE59" s="2099" t="n">
        <v>321.37</v>
      </c>
      <c r="CF59" s="2097" t="n">
        <v>4.14</v>
      </c>
      <c r="CG59" s="1509" t="n">
        <v>-4.58</v>
      </c>
      <c r="CH59" s="1482" t="n">
        <f aca="false">CI59+CL59+CO59</f>
        <v>-21.98</v>
      </c>
      <c r="CI59" s="1479" t="n">
        <f aca="false">CJ59-CK59</f>
        <v>-13.37</v>
      </c>
      <c r="CJ59" s="2017" t="n">
        <v>70.53</v>
      </c>
      <c r="CK59" s="2017" t="n">
        <v>83.9</v>
      </c>
      <c r="CL59" s="1479" t="n">
        <f aca="false">CM59-CN59</f>
        <v>-2.31</v>
      </c>
      <c r="CM59" s="2017" t="n">
        <v>3.8</v>
      </c>
      <c r="CN59" s="2017" t="n">
        <v>6.11</v>
      </c>
      <c r="CO59" s="2023" t="n">
        <f aca="false">CP59-CQ59</f>
        <v>-6.3</v>
      </c>
      <c r="CP59" s="2017" t="n">
        <v>5.88</v>
      </c>
      <c r="CQ59" s="2017" t="n">
        <v>12.18</v>
      </c>
      <c r="CR59" s="1478" t="n">
        <f aca="false">CS59-CT59</f>
        <v>-20.2</v>
      </c>
      <c r="CS59" s="1478" t="n">
        <v>8.59</v>
      </c>
      <c r="CT59" s="1478" t="n">
        <v>28.79</v>
      </c>
      <c r="CU59" s="1478" t="n">
        <f aca="false">CV59-CW59</f>
        <v>0.69</v>
      </c>
      <c r="CV59" s="2017" t="n">
        <v>2.98</v>
      </c>
      <c r="CW59" s="2017" t="n">
        <v>2.29</v>
      </c>
      <c r="CX59" s="1998" t="n">
        <f aca="false">CZ59+DA59+DB59+DC59+DD59</f>
        <v>430.925568881062</v>
      </c>
      <c r="CY59" s="2007" t="n">
        <f aca="false">CZ59+DA59+DB59</f>
        <v>394.535568881062</v>
      </c>
      <c r="CZ59" s="1509" t="n">
        <f aca="false">BR59</f>
        <v>268.15</v>
      </c>
      <c r="DA59" s="1509" t="n">
        <f aca="false">AI59</f>
        <v>41.13</v>
      </c>
      <c r="DB59" s="2017" t="n">
        <f aca="false">AO59*AX59/AV59</f>
        <v>85.2555688810623</v>
      </c>
      <c r="DC59" s="2017" t="n">
        <f aca="false">CI59</f>
        <v>-13.37</v>
      </c>
      <c r="DD59" s="1479" t="n">
        <v>49.76</v>
      </c>
      <c r="DE59" s="2023" t="n">
        <v>66.39</v>
      </c>
      <c r="DF59" s="2007" t="n">
        <f aca="false">DI59+DL59+DM59+DU59</f>
        <v>1112.88443111894</v>
      </c>
      <c r="DG59" s="2010" t="n">
        <f aca="false">DH59+DU59</f>
        <v>1044.91</v>
      </c>
      <c r="DH59" s="2010" t="n">
        <f aca="false">DJ59+DL59+AE59</f>
        <v>1047.22</v>
      </c>
      <c r="DI59" s="2010" t="n">
        <f aca="false">Y59</f>
        <v>880.85</v>
      </c>
      <c r="DJ59" s="2035" t="n">
        <f aca="false">AZ59</f>
        <v>719.93</v>
      </c>
      <c r="DK59" s="2035" t="n">
        <f aca="false">AS59</f>
        <v>160.92</v>
      </c>
      <c r="DL59" s="1509" t="n">
        <f aca="false">BM59</f>
        <v>166.37</v>
      </c>
      <c r="DM59" s="2009" t="n">
        <f aca="false">AO59*AZ59/AV59-DK59</f>
        <v>67.9744311189377</v>
      </c>
      <c r="DN59" s="514" t="n">
        <f aca="false">(DM59/GK59)/(DH59/GJ59)</f>
        <v>0.560542505334421</v>
      </c>
      <c r="DO59" s="2009" t="n">
        <f aca="false">2/3*AR59</f>
        <v>135.593333333333</v>
      </c>
      <c r="DP59" s="2009" t="n">
        <f aca="false">GK59*DH59/GJ59</f>
        <v>121.265435666442</v>
      </c>
      <c r="DQ59" s="2009" t="n">
        <f aca="false">2/3*DP59</f>
        <v>80.8436237776283</v>
      </c>
      <c r="DR59" s="2009" t="n">
        <f aca="false">DS59*(DH59/GJ59)*GK59</f>
        <v>157.611724616072</v>
      </c>
      <c r="DS59" s="514" t="n">
        <f aca="false">(DT59/GK59)/(DH59/GJ59)</f>
        <v>1.29972505149452</v>
      </c>
      <c r="DT59" s="2012" t="n">
        <v>157.611724616072</v>
      </c>
      <c r="DU59" s="2015" t="n">
        <f aca="false">CL59</f>
        <v>-2.31</v>
      </c>
      <c r="DV59" s="2007" t="n">
        <f aca="false">DW59+DX59+DY59+EB59</f>
        <v>772.75</v>
      </c>
      <c r="DW59" s="1509" t="n">
        <f aca="false">I59</f>
        <v>161.35</v>
      </c>
      <c r="DX59" s="2017" t="n">
        <f aca="false">BS59</f>
        <v>51.21</v>
      </c>
      <c r="DY59" s="2017" t="n">
        <f aca="false">EE59+EF59</f>
        <v>183.93</v>
      </c>
      <c r="DZ59" s="2018" t="n">
        <f aca="false">EF59+EE59-EA59</f>
        <v>33.7065984438429</v>
      </c>
      <c r="EA59" s="2018" t="n">
        <f aca="false">EE59*(DF59-EB59+EH59)/(0.5*CX59+DF59-EB59+EH59)</f>
        <v>150.223401556157</v>
      </c>
      <c r="EB59" s="2017" t="n">
        <v>376.26</v>
      </c>
      <c r="EC59" s="2018" t="n">
        <f aca="false">DX59+DZ59</f>
        <v>84.9165984438429</v>
      </c>
      <c r="ED59" s="2018" t="n">
        <f aca="false">EA59+EB59</f>
        <v>526.483401556157</v>
      </c>
      <c r="EE59" s="2023" t="n">
        <v>181.47</v>
      </c>
      <c r="EF59" s="2017" t="n">
        <v>2.46</v>
      </c>
      <c r="EG59" s="2017" t="n">
        <v>357.37</v>
      </c>
      <c r="EH59" s="2023" t="n">
        <v>299.25</v>
      </c>
      <c r="EI59" s="1479" t="n">
        <v>58.12</v>
      </c>
      <c r="EJ59" s="1479" t="n">
        <v>144.69</v>
      </c>
      <c r="EK59" s="2015" t="n">
        <v>17.53</v>
      </c>
      <c r="EL59" s="1479" t="n">
        <v>2.29</v>
      </c>
      <c r="EM59" s="2017" t="n">
        <f aca="false">DV59-EF59+EL59</f>
        <v>772.58</v>
      </c>
      <c r="EN59" s="2023" t="n">
        <v>17.53</v>
      </c>
      <c r="EO59" s="2019" t="n">
        <f aca="false">EM59-EG59-EN59-DD59</f>
        <v>347.92</v>
      </c>
      <c r="EP59" s="2019" t="n">
        <f aca="false">EO59-S59</f>
        <v>-26.5700000000001</v>
      </c>
      <c r="EQ59" s="2023" t="n">
        <v>-18.76</v>
      </c>
      <c r="ER59" s="2023" t="n">
        <f aca="false">EP59+EQ59</f>
        <v>-45.3300000000001</v>
      </c>
      <c r="ES59" s="1479" t="n">
        <v>36.54</v>
      </c>
      <c r="ET59" s="1479" t="n">
        <v>-1.8</v>
      </c>
      <c r="EU59" s="2023" t="n">
        <f aca="false">ER59-ES59-ET59+BP59</f>
        <v>-45.7500000000001</v>
      </c>
      <c r="EV59" s="2024" t="n">
        <f aca="false">B59-DV59+EH59+DD59-CO59</f>
        <v>1237.96</v>
      </c>
      <c r="EW59" s="1478" t="n">
        <f aca="false">CX59-EC59</f>
        <v>346.008970437219</v>
      </c>
      <c r="EX59" s="1478" t="n">
        <f aca="false">($DF59-$EB59)-$EA59*($DF59-$EB59)/($DF59-$EB59+$EH59)</f>
        <v>629.798522120948</v>
      </c>
      <c r="EY59" s="1478" t="n">
        <f aca="false">$EH59-$EA59*$EH59/($DF59-$EB59+$EH59)</f>
        <v>255.852507441833</v>
      </c>
      <c r="EZ59" s="1478" t="n">
        <f aca="false">EV59+EI59</f>
        <v>1296.08</v>
      </c>
      <c r="FA59" s="2017" t="n">
        <v>1287.28</v>
      </c>
      <c r="FB59" s="2017" t="n">
        <v>129.71</v>
      </c>
      <c r="FC59" s="1478" t="n">
        <f aca="false">FB59+AG59</f>
        <v>214.26</v>
      </c>
      <c r="FD59" s="1997" t="n">
        <f aca="false">FB59+BU59-BV59</f>
        <v>157.14</v>
      </c>
      <c r="FE59" s="1479" t="n">
        <v>13.94</v>
      </c>
      <c r="FF59" s="1479" t="n">
        <v>5.51</v>
      </c>
      <c r="FG59" s="1479" t="n">
        <f aca="false">FE59+FF59</f>
        <v>19.45</v>
      </c>
      <c r="FH59" s="514" t="n">
        <f aca="false">FG59/FD59</f>
        <v>0.123774977726868</v>
      </c>
      <c r="FI59" s="1994" t="n">
        <f aca="false">FB59+FE59</f>
        <v>143.65</v>
      </c>
      <c r="FJ59" s="1994" t="n">
        <f aca="false">BU59-BV59+FF59</f>
        <v>32.9400000000001</v>
      </c>
      <c r="FK59" s="2025" t="n">
        <f aca="false">FI59+FJ59</f>
        <v>176.59</v>
      </c>
      <c r="FL59" s="1994" t="n">
        <f aca="false">FO59+FP59+FS59</f>
        <v>143.65</v>
      </c>
      <c r="FM59" s="2017" t="n">
        <v>158.94</v>
      </c>
      <c r="FN59" s="2017" t="n">
        <v>156.97</v>
      </c>
      <c r="FO59" s="1995" t="n">
        <f aca="false">FN59-AG59</f>
        <v>72.42</v>
      </c>
      <c r="FP59" s="2017" t="n">
        <v>3.19</v>
      </c>
      <c r="FQ59" s="1478" t="n">
        <f aca="false">FI59-FO59-FP59</f>
        <v>68.04</v>
      </c>
      <c r="FR59" s="1997" t="n">
        <v>0</v>
      </c>
      <c r="FS59" s="1478" t="n">
        <f aca="false">FQ59+FR59</f>
        <v>68.04</v>
      </c>
      <c r="FT59" s="1478" t="n">
        <v>142.6</v>
      </c>
      <c r="FU59" s="1478" t="n">
        <v>38.9</v>
      </c>
      <c r="FV59" s="1478" t="n">
        <v>59.9</v>
      </c>
      <c r="FW59" s="2003" t="n">
        <v>74.7</v>
      </c>
      <c r="FX59" s="2026" t="n">
        <f aca="false">FY59+FZ59</f>
        <v>232.66</v>
      </c>
      <c r="FY59" s="2023" t="n">
        <v>220.81</v>
      </c>
      <c r="FZ59" s="2032" t="n">
        <v>11.85</v>
      </c>
      <c r="GA59" s="2015" t="n">
        <v>0</v>
      </c>
      <c r="GB59" s="402" t="n">
        <v>0.01</v>
      </c>
      <c r="GC59" s="387" t="n">
        <v>0.01</v>
      </c>
      <c r="GD59" s="387" t="n">
        <f aca="false">(G59/G58)/(1+GE59)-1</f>
        <v>0.00589786768524747</v>
      </c>
      <c r="GE59" s="387" t="n">
        <v>0.0186184862840144</v>
      </c>
      <c r="GF59" s="387" t="n">
        <v>0.00536927460004377</v>
      </c>
      <c r="GG59" s="2033" t="n">
        <v>103.36</v>
      </c>
      <c r="GH59" s="465" t="n">
        <v>82047.195</v>
      </c>
      <c r="GI59" s="465" t="n">
        <f aca="false">GJ59+GK59</f>
        <v>38148</v>
      </c>
      <c r="GJ59" s="465" t="n">
        <v>34189</v>
      </c>
      <c r="GK59" s="465" t="n">
        <v>3959</v>
      </c>
      <c r="GL59" s="25" t="n">
        <v>0.214337648162242</v>
      </c>
      <c r="GM59" s="25" t="n">
        <f aca="false">GK59/GI59</f>
        <v>0.103780014679669</v>
      </c>
      <c r="GN59" s="385" t="n">
        <v>66717.636</v>
      </c>
      <c r="GO59" s="1932" t="n">
        <f aca="false">CX59</f>
        <v>430.925568881062</v>
      </c>
      <c r="GP59" s="1932" t="n">
        <f aca="false">BU59</f>
        <v>36.0700000000001</v>
      </c>
      <c r="GQ59" s="1932" t="n">
        <f aca="false">BW59</f>
        <v>-9.23</v>
      </c>
      <c r="GR59" s="1932" t="n">
        <f aca="false">DB59</f>
        <v>85.2555688810623</v>
      </c>
      <c r="GS59" s="1509" t="n">
        <f aca="false">GO59-GP59-GQ59-GR59</f>
        <v>318.83</v>
      </c>
      <c r="GT59" s="1932" t="n">
        <f aca="false">GU59+GV59+GW59+GX59+HA59-HD59</f>
        <v>318.83</v>
      </c>
      <c r="GU59" s="2017" t="n">
        <v>41.3</v>
      </c>
      <c r="GV59" s="2017" t="n">
        <f aca="false">AI59</f>
        <v>41.13</v>
      </c>
      <c r="GW59" s="2017" t="n">
        <v>1.33</v>
      </c>
      <c r="GX59" s="1509" t="n">
        <f aca="false">GY59+GZ59</f>
        <v>224.72</v>
      </c>
      <c r="GY59" s="2017" t="n">
        <v>173.51</v>
      </c>
      <c r="GZ59" s="24" t="n">
        <f aca="false">DX59</f>
        <v>51.21</v>
      </c>
      <c r="HA59" s="2017" t="n">
        <v>76.74</v>
      </c>
      <c r="HB59" s="2017"/>
      <c r="HC59" s="2017"/>
      <c r="HD59" s="24" t="n">
        <f aca="false">DE59</f>
        <v>66.39</v>
      </c>
      <c r="HE59" s="2017" t="n">
        <v>65.24</v>
      </c>
      <c r="HF59" s="2017" t="n">
        <v>88.8</v>
      </c>
      <c r="HG59" s="1478" t="n">
        <f aca="false">HF59-HE59</f>
        <v>23.56</v>
      </c>
      <c r="HH59" s="1478" t="n">
        <f aca="false">AJ59</f>
        <v>21.09</v>
      </c>
      <c r="HI59" s="24" t="n">
        <f aca="false">HG59-HH59</f>
        <v>2.47</v>
      </c>
      <c r="HJ59" s="158" t="n">
        <f aca="false">DE59/DataDE2!AR60</f>
        <v>0.0512308048460529</v>
      </c>
      <c r="HK59" s="387" t="n">
        <f aca="false">HF59/DataDE2!AR60</f>
        <v>0.0685238058492168</v>
      </c>
    </row>
    <row r="60" customFormat="false" ht="12" hidden="false" customHeight="false" outlineLevel="0" collapsed="false">
      <c r="A60" s="31" t="n">
        <f aca="false">A59+1</f>
        <v>1999</v>
      </c>
      <c r="B60" s="1994" t="n">
        <f aca="false">E60+F60</f>
        <v>1687.07</v>
      </c>
      <c r="C60" s="381" t="n">
        <f aca="false">B60+CR60</f>
        <v>1667.62</v>
      </c>
      <c r="D60" s="1995" t="n">
        <f aca="false">B60-I60</f>
        <v>1509.97</v>
      </c>
      <c r="E60" s="1996" t="n">
        <f aca="false">CH60</f>
        <v>-24.04</v>
      </c>
      <c r="F60" s="1994" t="n">
        <f aca="false">J60+AC60+AV60+BM60</f>
        <v>1711.11</v>
      </c>
      <c r="G60" s="1478" t="n">
        <f aca="false">J60+X60+BN60</f>
        <v>2000.2</v>
      </c>
      <c r="H60" s="1478" t="n">
        <f aca="false">AG60+BA60+BP60</f>
        <v>289.09</v>
      </c>
      <c r="I60" s="1998" t="n">
        <f aca="false">K60+L60+CO60</f>
        <v>177.1</v>
      </c>
      <c r="J60" s="395" t="n">
        <f aca="false">K60+L60</f>
        <v>182.19</v>
      </c>
      <c r="K60" s="1479" t="n">
        <v>201.48</v>
      </c>
      <c r="L60" s="1478" t="n">
        <f aca="false">M60+N60+O60+P60+Q60</f>
        <v>-19.29</v>
      </c>
      <c r="M60" s="1479" t="n">
        <v>2.84</v>
      </c>
      <c r="N60" s="1479" t="n">
        <v>-18.99</v>
      </c>
      <c r="O60" s="1479" t="n">
        <v>0.28</v>
      </c>
      <c r="P60" s="1479" t="n">
        <v>-1.06</v>
      </c>
      <c r="Q60" s="2015" t="n">
        <v>-2.35999999999997</v>
      </c>
      <c r="R60" s="1479" t="n">
        <v>1161.86</v>
      </c>
      <c r="S60" s="1479" t="n">
        <v>384.78</v>
      </c>
      <c r="T60" s="1479" t="n">
        <v>435.98</v>
      </c>
      <c r="U60" s="1479" t="n">
        <v>588.13</v>
      </c>
      <c r="V60" s="2015" t="n">
        <v>570.55</v>
      </c>
      <c r="W60" s="2096" t="n">
        <f aca="false">AC60+AV60</f>
        <v>1359.98</v>
      </c>
      <c r="X60" s="1479" t="n">
        <f aca="false">W60+AA60</f>
        <v>1614.46</v>
      </c>
      <c r="Y60" s="1479" t="n">
        <f aca="false">AE60+AZ60</f>
        <v>904.77</v>
      </c>
      <c r="Z60" s="1479" t="n">
        <f aca="false">W60-Y60</f>
        <v>455.21</v>
      </c>
      <c r="AA60" s="1479" t="n">
        <f aca="false">AG60+BA60</f>
        <v>254.48</v>
      </c>
      <c r="AB60" s="1319" t="n">
        <f aca="false">AA60/X60</f>
        <v>0.157625459906099</v>
      </c>
      <c r="AC60" s="1509" t="n">
        <f aca="false">AF60+AE60</f>
        <v>352.92</v>
      </c>
      <c r="AD60" s="1509" t="n">
        <f aca="false">AF60+AG60+AE60</f>
        <v>438.93</v>
      </c>
      <c r="AE60" s="1509" t="n">
        <f aca="false">AS60</f>
        <v>164.62</v>
      </c>
      <c r="AF60" s="1509" t="n">
        <f aca="false">AI60+AQ60</f>
        <v>188.3</v>
      </c>
      <c r="AG60" s="2097" t="n">
        <v>86.01</v>
      </c>
      <c r="AH60" s="1319" t="n">
        <f aca="false">AG60/AD60</f>
        <v>0.195953796732964</v>
      </c>
      <c r="AI60" s="2097" t="n">
        <v>39.18</v>
      </c>
      <c r="AJ60" s="2097" t="n">
        <v>25.62</v>
      </c>
      <c r="AK60" s="0" t="n">
        <v>74.59</v>
      </c>
      <c r="AL60" s="1478" t="n">
        <f aca="false">AK60-AI60</f>
        <v>35.41</v>
      </c>
      <c r="AM60" s="821" t="n">
        <f aca="false">AL60/AK60</f>
        <v>0.474728515886848</v>
      </c>
      <c r="AN60" s="2030" t="n">
        <f aca="false">AL60/DataDE2!AD61</f>
        <v>0.0105241160535206</v>
      </c>
      <c r="AO60" s="79" t="n">
        <f aca="false">AQ60+AS60</f>
        <v>313.74</v>
      </c>
      <c r="AP60" s="2004" t="n">
        <f aca="false">AO60+AT60</f>
        <v>364.34</v>
      </c>
      <c r="AQ60" s="2097" t="n">
        <v>149.12</v>
      </c>
      <c r="AR60" s="1478" t="n">
        <f aca="false">AQ60+AT60</f>
        <v>199.72</v>
      </c>
      <c r="AS60" s="2097" t="n">
        <v>164.62</v>
      </c>
      <c r="AT60" s="1478" t="n">
        <f aca="false">AG60-AL60</f>
        <v>50.6</v>
      </c>
      <c r="AU60" s="2005" t="n">
        <f aca="false">AT60/AP60</f>
        <v>0.138881264752704</v>
      </c>
      <c r="AV60" s="2001" t="n">
        <f aca="false">AW60-BA60</f>
        <v>1007.06</v>
      </c>
      <c r="AW60" s="2004" t="n">
        <f aca="false">AY60+AZ60</f>
        <v>1175.53</v>
      </c>
      <c r="AX60" s="2004" t="n">
        <f aca="false">BD60+BI60</f>
        <v>266.91</v>
      </c>
      <c r="AY60" s="1932" t="n">
        <f aca="false">AX60+BA60</f>
        <v>435.38</v>
      </c>
      <c r="AZ60" s="1478" t="n">
        <f aca="false">BF60+BK60</f>
        <v>740.15</v>
      </c>
      <c r="BA60" s="1478" t="n">
        <f aca="false">BG60+BL60</f>
        <v>168.47</v>
      </c>
      <c r="BB60" s="821" t="n">
        <f aca="false">BA60/AW60</f>
        <v>0.143314079606646</v>
      </c>
      <c r="BC60" s="1478" t="n">
        <f aca="false">BE60+BF60</f>
        <v>1084.27</v>
      </c>
      <c r="BD60" s="2097" t="n">
        <v>238.51</v>
      </c>
      <c r="BE60" s="1509" t="n">
        <f aca="false">BD60+BG60</f>
        <v>399.48</v>
      </c>
      <c r="BF60" s="2097" t="n">
        <v>684.79</v>
      </c>
      <c r="BG60" s="2097" t="n">
        <v>160.97</v>
      </c>
      <c r="BH60" s="1478" t="n">
        <f aca="false">BJ60+BK60</f>
        <v>91.26</v>
      </c>
      <c r="BI60" s="2097" t="n">
        <v>28.4</v>
      </c>
      <c r="BJ60" s="1509" t="n">
        <f aca="false">BI60+BL60</f>
        <v>35.9</v>
      </c>
      <c r="BK60" s="2097" t="n">
        <v>55.36</v>
      </c>
      <c r="BL60" s="2097" t="n">
        <v>7.5</v>
      </c>
      <c r="BM60" s="2001" t="n">
        <f aca="false">BN60-BP60</f>
        <v>168.94</v>
      </c>
      <c r="BN60" s="2004" t="n">
        <f aca="false">BO60+BP60</f>
        <v>203.55</v>
      </c>
      <c r="BO60" s="2097" t="n">
        <v>168.94</v>
      </c>
      <c r="BP60" s="2097" t="n">
        <v>34.61</v>
      </c>
      <c r="BQ60" s="2005" t="n">
        <f aca="false">BP60/BN60</f>
        <v>0.170031933185949</v>
      </c>
      <c r="BR60" s="1509" t="n">
        <f aca="false">AY60-BA60</f>
        <v>266.91</v>
      </c>
      <c r="BS60" s="1509" t="n">
        <f aca="false">BX60+CC60</f>
        <v>55.93</v>
      </c>
      <c r="BT60" s="1509" t="n">
        <f aca="false">BY60-BZ60+CD60-CE60</f>
        <v>204.73</v>
      </c>
      <c r="BU60" s="1509" t="n">
        <f aca="false">BR60-BS60-BT60-BW60</f>
        <v>15.43</v>
      </c>
      <c r="BV60" s="1509" t="n">
        <f aca="false">CA60+CF60</f>
        <v>7.23</v>
      </c>
      <c r="BW60" s="1509" t="n">
        <f aca="false">CB60+CG60</f>
        <v>-9.18000000000001</v>
      </c>
      <c r="BX60" s="2097" t="n">
        <v>41.62</v>
      </c>
      <c r="BY60" s="2023" t="n">
        <v>245.64</v>
      </c>
      <c r="BZ60" s="2097" t="n">
        <v>37.98</v>
      </c>
      <c r="CA60" s="2097" t="n">
        <v>3.33</v>
      </c>
      <c r="CB60" s="1509" t="n">
        <v>-3.76</v>
      </c>
      <c r="CC60" s="2097" t="n">
        <v>14.31</v>
      </c>
      <c r="CD60" s="2023" t="n">
        <v>328.28</v>
      </c>
      <c r="CE60" s="2099" t="n">
        <v>331.21</v>
      </c>
      <c r="CF60" s="2097" t="n">
        <v>3.9</v>
      </c>
      <c r="CG60" s="1509" t="n">
        <v>-5.42000000000001</v>
      </c>
      <c r="CH60" s="1482" t="n">
        <f aca="false">CI60+CL60+CO60</f>
        <v>-24.04</v>
      </c>
      <c r="CI60" s="1479" t="n">
        <f aca="false">CJ60-CK60</f>
        <v>-16.5</v>
      </c>
      <c r="CJ60" s="2017" t="n">
        <v>80.64</v>
      </c>
      <c r="CK60" s="2017" t="n">
        <v>97.14</v>
      </c>
      <c r="CL60" s="1479" t="n">
        <f aca="false">CM60-CN60</f>
        <v>-2.45</v>
      </c>
      <c r="CM60" s="2017" t="n">
        <v>4.12</v>
      </c>
      <c r="CN60" s="2017" t="n">
        <v>6.57</v>
      </c>
      <c r="CO60" s="2023" t="n">
        <f aca="false">CP60-CQ60</f>
        <v>-5.09</v>
      </c>
      <c r="CP60" s="2017" t="n">
        <v>5.98</v>
      </c>
      <c r="CQ60" s="2017" t="n">
        <v>11.07</v>
      </c>
      <c r="CR60" s="1478" t="n">
        <f aca="false">CS60-CT60</f>
        <v>-19.45</v>
      </c>
      <c r="CS60" s="1478" t="n">
        <v>9.87</v>
      </c>
      <c r="CT60" s="1478" t="n">
        <v>29.32</v>
      </c>
      <c r="CU60" s="1478" t="n">
        <f aca="false">CV60-CW60</f>
        <v>-0.15</v>
      </c>
      <c r="CV60" s="2017" t="n">
        <v>2.83</v>
      </c>
      <c r="CW60" s="2017" t="n">
        <v>2.98</v>
      </c>
      <c r="CX60" s="1998" t="n">
        <f aca="false">CZ60+DA60+DB60+DC60+DD60</f>
        <v>418.723281234485</v>
      </c>
      <c r="CY60" s="2007" t="n">
        <f aca="false">CZ60+DA60+DB60</f>
        <v>389.243281234485</v>
      </c>
      <c r="CZ60" s="1509" t="n">
        <f aca="false">BR60</f>
        <v>266.91</v>
      </c>
      <c r="DA60" s="1509" t="n">
        <f aca="false">AI60</f>
        <v>39.18</v>
      </c>
      <c r="DB60" s="2017" t="n">
        <f aca="false">AO60*AX60/AV60</f>
        <v>83.1532812344845</v>
      </c>
      <c r="DC60" s="2017" t="n">
        <f aca="false">CI60</f>
        <v>-16.5</v>
      </c>
      <c r="DD60" s="1479" t="n">
        <v>45.98</v>
      </c>
      <c r="DE60" s="2023" t="n">
        <v>64.49</v>
      </c>
      <c r="DF60" s="2007" t="n">
        <f aca="false">DI60+DL60+DM60+DU60</f>
        <v>1137.22671876552</v>
      </c>
      <c r="DG60" s="2010" t="n">
        <f aca="false">DH60+DU60</f>
        <v>1071.26</v>
      </c>
      <c r="DH60" s="2010" t="n">
        <f aca="false">DJ60+DL60+AE60</f>
        <v>1073.71</v>
      </c>
      <c r="DI60" s="2010" t="n">
        <f aca="false">Y60</f>
        <v>904.77</v>
      </c>
      <c r="DJ60" s="2035" t="n">
        <f aca="false">AZ60</f>
        <v>740.15</v>
      </c>
      <c r="DK60" s="2035" t="n">
        <f aca="false">AS60</f>
        <v>164.62</v>
      </c>
      <c r="DL60" s="1509" t="n">
        <f aca="false">BM60</f>
        <v>168.94</v>
      </c>
      <c r="DM60" s="2009" t="n">
        <f aca="false">AO60*AZ60/AV60-DK60</f>
        <v>65.9667187655155</v>
      </c>
      <c r="DN60" s="514" t="n">
        <f aca="false">(DM60/GK60)/(DH60/GJ60)</f>
        <v>0.53538708843877</v>
      </c>
      <c r="DO60" s="2009" t="n">
        <f aca="false">2/3*AR60</f>
        <v>133.146666666667</v>
      </c>
      <c r="DP60" s="2009" t="n">
        <f aca="false">GK60*DH60/GJ60</f>
        <v>123.213129696272</v>
      </c>
      <c r="DQ60" s="2009" t="n">
        <f aca="false">2/3*DP60</f>
        <v>82.1420864641812</v>
      </c>
      <c r="DR60" s="2009" t="n">
        <f aca="false">DS60*(DH60/GJ60)*GK60</f>
        <v>160.772328528437</v>
      </c>
      <c r="DS60" s="514" t="n">
        <f aca="false">(DT60/GK60)/(DH60/GJ60)</f>
        <v>1.30483114035615</v>
      </c>
      <c r="DT60" s="2012" t="n">
        <v>160.772328528437</v>
      </c>
      <c r="DU60" s="2015" t="n">
        <f aca="false">CL60</f>
        <v>-2.45</v>
      </c>
      <c r="DV60" s="2007" t="n">
        <f aca="false">DW60+DX60+DY60+EB60</f>
        <v>808.14</v>
      </c>
      <c r="DW60" s="1509" t="n">
        <f aca="false">I60</f>
        <v>177.1</v>
      </c>
      <c r="DX60" s="2017" t="n">
        <f aca="false">BS60</f>
        <v>55.93</v>
      </c>
      <c r="DY60" s="2017" t="n">
        <f aca="false">EE60+EF60</f>
        <v>195.47</v>
      </c>
      <c r="DZ60" s="2018" t="n">
        <f aca="false">EF60+EE60-EA60</f>
        <v>34.5993544010305</v>
      </c>
      <c r="EA60" s="2018" t="n">
        <f aca="false">EE60*(DF60-EB60+EH60)/(0.5*CX60+DF60-EB60+EH60)</f>
        <v>160.870645598969</v>
      </c>
      <c r="EB60" s="2017" t="n">
        <v>379.64</v>
      </c>
      <c r="EC60" s="2018" t="n">
        <f aca="false">DX60+DZ60</f>
        <v>90.5293544010305</v>
      </c>
      <c r="ED60" s="2018" t="n">
        <f aca="false">EA60+EB60</f>
        <v>540.510645598969</v>
      </c>
      <c r="EE60" s="2023" t="n">
        <v>192.41</v>
      </c>
      <c r="EF60" s="2017" t="n">
        <v>3.06</v>
      </c>
      <c r="EG60" s="2017" t="n">
        <v>370.19</v>
      </c>
      <c r="EH60" s="2023" t="n">
        <v>310.29</v>
      </c>
      <c r="EI60" s="1479" t="n">
        <v>59.9</v>
      </c>
      <c r="EJ60" s="1479" t="n">
        <v>148.33</v>
      </c>
      <c r="EK60" s="2015" t="n">
        <v>17.85</v>
      </c>
      <c r="EL60" s="1479" t="n">
        <v>2.47</v>
      </c>
      <c r="EM60" s="2017" t="n">
        <f aca="false">DV60-EF60+EL60</f>
        <v>807.55</v>
      </c>
      <c r="EN60" s="2023" t="n">
        <v>17.85</v>
      </c>
      <c r="EO60" s="2019" t="n">
        <f aca="false">EM60-EG60-EN60-DD60</f>
        <v>373.53</v>
      </c>
      <c r="EP60" s="2019" t="n">
        <f aca="false">EO60-S60</f>
        <v>-11.2499999999999</v>
      </c>
      <c r="EQ60" s="2023" t="n">
        <v>-18.39</v>
      </c>
      <c r="ER60" s="2023" t="n">
        <f aca="false">EP60+EQ60</f>
        <v>-29.6399999999999</v>
      </c>
      <c r="ES60" s="1479" t="n">
        <v>39.04</v>
      </c>
      <c r="ET60" s="1479" t="n">
        <v>-1.9</v>
      </c>
      <c r="EU60" s="2023" t="n">
        <f aca="false">ER60-ES60-ET60+BP60</f>
        <v>-32.1699999999999</v>
      </c>
      <c r="EV60" s="2024" t="n">
        <f aca="false">B60-DV60+EH60+DD60-CO60</f>
        <v>1240.29</v>
      </c>
      <c r="EW60" s="1478" t="n">
        <f aca="false">CX60-EC60</f>
        <v>328.193926833454</v>
      </c>
      <c r="EX60" s="1478" t="n">
        <f aca="false">($DF60-$EB60)-$EA60*($DF60-$EB60)/($DF60-$EB60+$EH60)</f>
        <v>643.45981403638</v>
      </c>
      <c r="EY60" s="1478" t="n">
        <f aca="false">$EH60-$EA60*$EH60/($DF60-$EB60+$EH60)</f>
        <v>263.546259130166</v>
      </c>
      <c r="EZ60" s="1478" t="n">
        <f aca="false">EV60+EI60</f>
        <v>1300.19</v>
      </c>
      <c r="FA60" s="2017" t="n">
        <v>1294.09</v>
      </c>
      <c r="FB60" s="2017" t="n">
        <v>124.03</v>
      </c>
      <c r="FC60" s="1478" t="n">
        <f aca="false">FB60+AG60</f>
        <v>210.04</v>
      </c>
      <c r="FD60" s="1997" t="n">
        <f aca="false">FB60+BU60-BV60</f>
        <v>132.23</v>
      </c>
      <c r="FE60" s="1479" t="n">
        <v>18.15</v>
      </c>
      <c r="FF60" s="1479" t="n">
        <v>0.0899999999999999</v>
      </c>
      <c r="FG60" s="1479" t="n">
        <f aca="false">FE60+FF60</f>
        <v>18.24</v>
      </c>
      <c r="FH60" s="514" t="n">
        <f aca="false">FG60/FD60</f>
        <v>0.137941465628072</v>
      </c>
      <c r="FI60" s="1994" t="n">
        <f aca="false">FB60+FE60</f>
        <v>142.18</v>
      </c>
      <c r="FJ60" s="1994" t="n">
        <f aca="false">BU60-BV60+FF60</f>
        <v>8.29000000000001</v>
      </c>
      <c r="FK60" s="2025" t="n">
        <f aca="false">FI60+FJ60</f>
        <v>150.47</v>
      </c>
      <c r="FL60" s="1994" t="n">
        <f aca="false">FO60+FP60+FS60</f>
        <v>142.18</v>
      </c>
      <c r="FM60" s="2017" t="n">
        <v>157.4</v>
      </c>
      <c r="FN60" s="2017" t="n">
        <v>156.01</v>
      </c>
      <c r="FO60" s="1995" t="n">
        <f aca="false">FN60-AG60</f>
        <v>70</v>
      </c>
      <c r="FP60" s="2017" t="n">
        <v>2.74</v>
      </c>
      <c r="FQ60" s="1478" t="n">
        <f aca="false">FI60-FO60-FP60</f>
        <v>69.44</v>
      </c>
      <c r="FR60" s="1997" t="n">
        <v>0</v>
      </c>
      <c r="FS60" s="1478" t="n">
        <f aca="false">FQ60+FR60</f>
        <v>69.44</v>
      </c>
      <c r="FT60" s="1478" t="n">
        <v>153</v>
      </c>
      <c r="FU60" s="1478" t="n">
        <v>71.5</v>
      </c>
      <c r="FV60" s="1478" t="n">
        <v>61.7</v>
      </c>
      <c r="FW60" s="2003" t="n">
        <v>83.7</v>
      </c>
      <c r="FX60" s="2026" t="n">
        <f aca="false">FY60+FZ60</f>
        <v>239.54</v>
      </c>
      <c r="FY60" s="2023" t="n">
        <v>228.51</v>
      </c>
      <c r="FZ60" s="2032" t="n">
        <v>11.03</v>
      </c>
      <c r="GA60" s="2015" t="n">
        <v>0</v>
      </c>
      <c r="GB60" s="402" t="n">
        <v>0.0055005500550056</v>
      </c>
      <c r="GC60" s="387" t="n">
        <v>0.0055005500550056</v>
      </c>
      <c r="GD60" s="387" t="n">
        <f aca="false">(G60/G59)/(1+GE60)-1</f>
        <v>0.00191971528128509</v>
      </c>
      <c r="GE60" s="387" t="n">
        <v>0.018710793856803</v>
      </c>
      <c r="GF60" s="387" t="n">
        <v>0.0039237057220709</v>
      </c>
      <c r="GG60" s="2033" t="n">
        <v>108.05</v>
      </c>
      <c r="GH60" s="465" t="n">
        <v>82100.243</v>
      </c>
      <c r="GI60" s="465" t="n">
        <f aca="false">GJ60+GK60</f>
        <v>38721</v>
      </c>
      <c r="GJ60" s="465" t="n">
        <v>34735</v>
      </c>
      <c r="GK60" s="465" t="n">
        <v>3986</v>
      </c>
      <c r="GL60" s="25" t="n">
        <v>0.213356591843273</v>
      </c>
      <c r="GM60" s="25" t="n">
        <f aca="false">GK60/GI60</f>
        <v>0.10294155626146</v>
      </c>
      <c r="GN60" s="385" t="n">
        <v>66846.707</v>
      </c>
      <c r="GO60" s="1932" t="n">
        <f aca="false">CX60</f>
        <v>418.723281234485</v>
      </c>
      <c r="GP60" s="1932" t="n">
        <f aca="false">BU60</f>
        <v>15.43</v>
      </c>
      <c r="GQ60" s="1932" t="n">
        <f aca="false">BW60</f>
        <v>-9.18000000000001</v>
      </c>
      <c r="GR60" s="1932" t="n">
        <f aca="false">DB60</f>
        <v>83.1532812344845</v>
      </c>
      <c r="GS60" s="1509" t="n">
        <f aca="false">GO60-GP60-GQ60-GR60</f>
        <v>329.32</v>
      </c>
      <c r="GT60" s="1932" t="n">
        <f aca="false">GU60+GV60+GW60+GX60+HA60-HD60</f>
        <v>329.32</v>
      </c>
      <c r="GU60" s="2017" t="n">
        <v>43.57</v>
      </c>
      <c r="GV60" s="2017" t="n">
        <f aca="false">AI60</f>
        <v>39.18</v>
      </c>
      <c r="GW60" s="2017" t="n">
        <v>1.56</v>
      </c>
      <c r="GX60" s="1509" t="n">
        <f aca="false">GY60+GZ60</f>
        <v>235.63</v>
      </c>
      <c r="GY60" s="2017" t="n">
        <v>179.7</v>
      </c>
      <c r="GZ60" s="24" t="n">
        <f aca="false">DX60</f>
        <v>55.93</v>
      </c>
      <c r="HA60" s="2017" t="n">
        <v>73.87</v>
      </c>
      <c r="HB60" s="2017"/>
      <c r="HC60" s="2017"/>
      <c r="HD60" s="24" t="n">
        <f aca="false">DE60</f>
        <v>64.49</v>
      </c>
      <c r="HE60" s="2017" t="n">
        <v>63.27</v>
      </c>
      <c r="HF60" s="2017" t="n">
        <v>91.56</v>
      </c>
      <c r="HG60" s="1478" t="n">
        <f aca="false">HF60-HE60</f>
        <v>28.29</v>
      </c>
      <c r="HH60" s="1478" t="n">
        <f aca="false">AJ60</f>
        <v>25.62</v>
      </c>
      <c r="HI60" s="24" t="n">
        <f aca="false">HG60-HH60</f>
        <v>2.67</v>
      </c>
      <c r="HJ60" s="158" t="n">
        <f aca="false">DE60/DataDE2!AR61</f>
        <v>0.0470352271898476</v>
      </c>
      <c r="HK60" s="387" t="n">
        <f aca="false">HF60/DataDE2!AR61</f>
        <v>0.0667784990153891</v>
      </c>
    </row>
    <row r="61" customFormat="false" ht="12" hidden="false" customHeight="false" outlineLevel="0" collapsed="false">
      <c r="A61" s="31" t="n">
        <f aca="false">A60+1</f>
        <v>2000</v>
      </c>
      <c r="B61" s="1994" t="n">
        <f aca="false">E61+F61</f>
        <v>1724.53</v>
      </c>
      <c r="C61" s="381" t="n">
        <f aca="false">B61+CR61</f>
        <v>1703.63</v>
      </c>
      <c r="D61" s="1995" t="n">
        <f aca="false">B61-I61</f>
        <v>1543.71</v>
      </c>
      <c r="E61" s="1996" t="n">
        <f aca="false">CH61</f>
        <v>-21.63</v>
      </c>
      <c r="F61" s="1994" t="n">
        <f aca="false">J61+AC61+AV61+BM61</f>
        <v>1746.16</v>
      </c>
      <c r="G61" s="1478" t="n">
        <f aca="false">J61+X61+BN61</f>
        <v>2047.5</v>
      </c>
      <c r="H61" s="1478" t="n">
        <f aca="false">AG61+BA61+BP61</f>
        <v>301.34</v>
      </c>
      <c r="I61" s="1998" t="n">
        <f aca="false">K61+L61+CO61</f>
        <v>180.82</v>
      </c>
      <c r="J61" s="395" t="n">
        <f aca="false">K61+L61</f>
        <v>187.62</v>
      </c>
      <c r="K61" s="1479" t="n">
        <v>206.02</v>
      </c>
      <c r="L61" s="1478" t="n">
        <f aca="false">M61+N61+O61+P61+Q61</f>
        <v>-18.4</v>
      </c>
      <c r="M61" s="1479" t="n">
        <v>3.91</v>
      </c>
      <c r="N61" s="1479" t="n">
        <v>-18.86</v>
      </c>
      <c r="O61" s="1479" t="n">
        <v>0.28</v>
      </c>
      <c r="P61" s="1479" t="n">
        <v>-0.95</v>
      </c>
      <c r="Q61" s="2015" t="n">
        <v>-2.78000000000005</v>
      </c>
      <c r="R61" s="1479" t="n">
        <v>1195.04</v>
      </c>
      <c r="S61" s="1479" t="n">
        <v>389.57</v>
      </c>
      <c r="T61" s="1479" t="n">
        <v>456.59</v>
      </c>
      <c r="U61" s="1479" t="n">
        <v>683.55</v>
      </c>
      <c r="V61" s="2015" t="n">
        <v>677.25</v>
      </c>
      <c r="W61" s="2096" t="n">
        <f aca="false">AC61+AV61</f>
        <v>1388.73</v>
      </c>
      <c r="X61" s="1479" t="n">
        <f aca="false">W61+AA61</f>
        <v>1654.65</v>
      </c>
      <c r="Y61" s="1479" t="n">
        <f aca="false">AE61+AZ61</f>
        <v>944.28</v>
      </c>
      <c r="Z61" s="1479" t="n">
        <f aca="false">W61-Y61</f>
        <v>444.45</v>
      </c>
      <c r="AA61" s="1479" t="n">
        <f aca="false">AG61+BA61</f>
        <v>265.92</v>
      </c>
      <c r="AB61" s="1319" t="n">
        <f aca="false">AA61/X61</f>
        <v>0.160710724322364</v>
      </c>
      <c r="AC61" s="1509" t="n">
        <f aca="false">AF61+AE61</f>
        <v>359.58</v>
      </c>
      <c r="AD61" s="1509" t="n">
        <f aca="false">AF61+AG61+AE61</f>
        <v>448.5</v>
      </c>
      <c r="AE61" s="1509" t="n">
        <f aca="false">AS61</f>
        <v>170.09</v>
      </c>
      <c r="AF61" s="1509" t="n">
        <f aca="false">AI61+AQ61</f>
        <v>189.49</v>
      </c>
      <c r="AG61" s="2097" t="n">
        <v>88.92</v>
      </c>
      <c r="AH61" s="1319" t="n">
        <f aca="false">AG61/AD61</f>
        <v>0.198260869565217</v>
      </c>
      <c r="AI61" s="2097" t="n">
        <v>41.47</v>
      </c>
      <c r="AJ61" s="2097" t="n">
        <v>21.73</v>
      </c>
      <c r="AK61" s="0" t="n">
        <v>78.05</v>
      </c>
      <c r="AL61" s="1478" t="n">
        <f aca="false">AK61-AI61</f>
        <v>36.58</v>
      </c>
      <c r="AM61" s="821" t="n">
        <f aca="false">AL61/AK61</f>
        <v>0.468673926969891</v>
      </c>
      <c r="AN61" s="2030" t="n">
        <f aca="false">AL61/DataDE2!AD62</f>
        <v>0.0105187965341723</v>
      </c>
      <c r="AO61" s="79" t="n">
        <f aca="false">AQ61+AS61</f>
        <v>318.11</v>
      </c>
      <c r="AP61" s="2004" t="n">
        <f aca="false">AO61+AT61</f>
        <v>370.45</v>
      </c>
      <c r="AQ61" s="2097" t="n">
        <v>148.02</v>
      </c>
      <c r="AR61" s="1478" t="n">
        <f aca="false">AQ61+AT61</f>
        <v>200.36</v>
      </c>
      <c r="AS61" s="2097" t="n">
        <v>170.09</v>
      </c>
      <c r="AT61" s="1478" t="n">
        <f aca="false">AG61-AL61</f>
        <v>52.34</v>
      </c>
      <c r="AU61" s="2005" t="n">
        <f aca="false">AT61/AP61</f>
        <v>0.14128762316102</v>
      </c>
      <c r="AV61" s="2001" t="n">
        <f aca="false">AW61-BA61</f>
        <v>1029.15</v>
      </c>
      <c r="AW61" s="2004" t="n">
        <f aca="false">AY61+AZ61</f>
        <v>1206.15</v>
      </c>
      <c r="AX61" s="2004" t="n">
        <f aca="false">BD61+BI61</f>
        <v>254.96</v>
      </c>
      <c r="AY61" s="1932" t="n">
        <f aca="false">AX61+BA61</f>
        <v>431.96</v>
      </c>
      <c r="AZ61" s="1478" t="n">
        <f aca="false">BF61+BK61</f>
        <v>774.19</v>
      </c>
      <c r="BA61" s="1478" t="n">
        <f aca="false">BG61+BL61</f>
        <v>177</v>
      </c>
      <c r="BB61" s="821" t="n">
        <f aca="false">BA61/AW61</f>
        <v>0.146747916925755</v>
      </c>
      <c r="BC61" s="1478" t="n">
        <f aca="false">BE61+BF61</f>
        <v>1131.74</v>
      </c>
      <c r="BD61" s="2097" t="n">
        <v>247.02</v>
      </c>
      <c r="BE61" s="1509" t="n">
        <f aca="false">BD61+BG61</f>
        <v>416.07</v>
      </c>
      <c r="BF61" s="2097" t="n">
        <v>715.67</v>
      </c>
      <c r="BG61" s="2097" t="n">
        <v>169.05</v>
      </c>
      <c r="BH61" s="1478" t="n">
        <f aca="false">BJ61+BK61</f>
        <v>74.41</v>
      </c>
      <c r="BI61" s="2097" t="n">
        <v>7.94</v>
      </c>
      <c r="BJ61" s="1509" t="n">
        <f aca="false">BI61+BL61</f>
        <v>15.89</v>
      </c>
      <c r="BK61" s="2097" t="n">
        <v>58.52</v>
      </c>
      <c r="BL61" s="2097" t="n">
        <v>7.95</v>
      </c>
      <c r="BM61" s="2001" t="n">
        <f aca="false">BN61-BP61</f>
        <v>169.81</v>
      </c>
      <c r="BN61" s="2004" t="n">
        <f aca="false">BO61+BP61</f>
        <v>205.23</v>
      </c>
      <c r="BO61" s="2097" t="n">
        <v>169.81</v>
      </c>
      <c r="BP61" s="2097" t="n">
        <v>35.42</v>
      </c>
      <c r="BQ61" s="2005" t="n">
        <f aca="false">BP61/BN61</f>
        <v>0.172586853773815</v>
      </c>
      <c r="BR61" s="1509" t="n">
        <f aca="false">AY61-BA61</f>
        <v>254.96</v>
      </c>
      <c r="BS61" s="1509" t="n">
        <f aca="false">BX61+CC61</f>
        <v>60.26</v>
      </c>
      <c r="BT61" s="1509" t="n">
        <f aca="false">BY61-BZ61+CD61-CE61</f>
        <v>198.96</v>
      </c>
      <c r="BU61" s="1509" t="n">
        <f aca="false">BR61-BS61-BT61-BW61</f>
        <v>17.3200000000001</v>
      </c>
      <c r="BV61" s="1509" t="n">
        <f aca="false">CA61+CF61</f>
        <v>18</v>
      </c>
      <c r="BW61" s="1509" t="n">
        <f aca="false">CB61+CG61</f>
        <v>-21.58</v>
      </c>
      <c r="BX61" s="2097" t="n">
        <v>50.08</v>
      </c>
      <c r="BY61" s="2023" t="n">
        <v>278.13</v>
      </c>
      <c r="BZ61" s="2097" t="n">
        <v>58.46</v>
      </c>
      <c r="CA61" s="2097" t="n">
        <v>12.99</v>
      </c>
      <c r="CB61" s="1509" t="n">
        <v>-16.01</v>
      </c>
      <c r="CC61" s="2097" t="n">
        <v>10.18</v>
      </c>
      <c r="CD61" s="2023" t="n">
        <v>370.1</v>
      </c>
      <c r="CE61" s="2099" t="n">
        <v>390.81</v>
      </c>
      <c r="CF61" s="2097" t="n">
        <v>5.01</v>
      </c>
      <c r="CG61" s="1509" t="n">
        <v>-5.56999999999999</v>
      </c>
      <c r="CH61" s="1482" t="n">
        <f aca="false">CI61+CL61+CO61</f>
        <v>-21.63</v>
      </c>
      <c r="CI61" s="1479" t="n">
        <f aca="false">CJ61-CK61</f>
        <v>-11.94</v>
      </c>
      <c r="CJ61" s="2017" t="n">
        <v>109.15</v>
      </c>
      <c r="CK61" s="2017" t="n">
        <v>121.09</v>
      </c>
      <c r="CL61" s="1479" t="n">
        <f aca="false">CM61-CN61</f>
        <v>-2.89</v>
      </c>
      <c r="CM61" s="2017" t="n">
        <v>4.55</v>
      </c>
      <c r="CN61" s="2017" t="n">
        <v>7.44</v>
      </c>
      <c r="CO61" s="2023" t="n">
        <f aca="false">CP61-CQ61</f>
        <v>-6.8</v>
      </c>
      <c r="CP61" s="2017" t="n">
        <v>5.85</v>
      </c>
      <c r="CQ61" s="2017" t="n">
        <v>12.65</v>
      </c>
      <c r="CR61" s="1478" t="n">
        <f aca="false">CS61-CT61</f>
        <v>-20.9</v>
      </c>
      <c r="CS61" s="1478" t="n">
        <v>10.02</v>
      </c>
      <c r="CT61" s="1478" t="n">
        <v>30.92</v>
      </c>
      <c r="CU61" s="1478" t="n">
        <f aca="false">CV61-CW61</f>
        <v>-1.6</v>
      </c>
      <c r="CV61" s="2017" t="n">
        <v>1.91</v>
      </c>
      <c r="CW61" s="2017" t="n">
        <v>3.51</v>
      </c>
      <c r="CX61" s="1998" t="n">
        <f aca="false">CZ61+DA61+DB61+DC61+DD61</f>
        <v>411.978070349318</v>
      </c>
      <c r="CY61" s="2007" t="n">
        <f aca="false">CZ61+DA61+DB61</f>
        <v>375.238070349317</v>
      </c>
      <c r="CZ61" s="1509" t="n">
        <f aca="false">BR61</f>
        <v>254.96</v>
      </c>
      <c r="DA61" s="1509" t="n">
        <f aca="false">AI61</f>
        <v>41.47</v>
      </c>
      <c r="DB61" s="2017" t="n">
        <f aca="false">AO61*AX61/AV61</f>
        <v>78.8080703493174</v>
      </c>
      <c r="DC61" s="2017" t="n">
        <f aca="false">CI61</f>
        <v>-11.94</v>
      </c>
      <c r="DD61" s="1479" t="n">
        <v>48.68</v>
      </c>
      <c r="DE61" s="2023" t="n">
        <v>73.24</v>
      </c>
      <c r="DF61" s="2007" t="n">
        <f aca="false">DI61+DL61+DM61+DU61</f>
        <v>1180.41192965068</v>
      </c>
      <c r="DG61" s="2010" t="n">
        <f aca="false">DH61+DU61</f>
        <v>1111.2</v>
      </c>
      <c r="DH61" s="2010" t="n">
        <f aca="false">DJ61+DL61+AE61</f>
        <v>1114.09</v>
      </c>
      <c r="DI61" s="2010" t="n">
        <f aca="false">Y61</f>
        <v>944.28</v>
      </c>
      <c r="DJ61" s="2035" t="n">
        <f aca="false">AZ61</f>
        <v>774.19</v>
      </c>
      <c r="DK61" s="2035" t="n">
        <f aca="false">AS61</f>
        <v>170.09</v>
      </c>
      <c r="DL61" s="1509" t="n">
        <f aca="false">BM61</f>
        <v>169.81</v>
      </c>
      <c r="DM61" s="2009" t="n">
        <f aca="false">AO61*AZ61/AV61-DK61</f>
        <v>69.2119296506826</v>
      </c>
      <c r="DN61" s="514" t="n">
        <f aca="false">(DM61/GK61)/(DH61/GJ61)</f>
        <v>0.550284961136548</v>
      </c>
      <c r="DO61" s="2009" t="n">
        <f aca="false">2/3*AR61</f>
        <v>133.573333333333</v>
      </c>
      <c r="DP61" s="2009" t="n">
        <f aca="false">GK61*DH61/GJ61</f>
        <v>125.774706813236</v>
      </c>
      <c r="DQ61" s="2009" t="n">
        <f aca="false">2/3*DP61</f>
        <v>83.8498045421577</v>
      </c>
      <c r="DR61" s="2009" t="n">
        <f aca="false">DS61*(DH61/GJ61)*GK61</f>
        <v>167.274859169603</v>
      </c>
      <c r="DS61" s="514" t="n">
        <f aca="false">(DT61/GK61)/(DH61/GJ61)</f>
        <v>1.32995626392507</v>
      </c>
      <c r="DT61" s="2012" t="n">
        <v>167.274859169603</v>
      </c>
      <c r="DU61" s="2015" t="n">
        <f aca="false">CL61</f>
        <v>-2.89</v>
      </c>
      <c r="DV61" s="2007" t="n">
        <f aca="false">DW61+DX61+DY61+EB61</f>
        <v>824.97</v>
      </c>
      <c r="DW61" s="1509" t="n">
        <f aca="false">I61</f>
        <v>180.82</v>
      </c>
      <c r="DX61" s="2017" t="n">
        <f aca="false">BS61</f>
        <v>60.26</v>
      </c>
      <c r="DY61" s="2017" t="n">
        <f aca="false">EE61+EF61</f>
        <v>203</v>
      </c>
      <c r="DZ61" s="2018" t="n">
        <f aca="false">EF61+EE61-EA61</f>
        <v>34.1880530101026</v>
      </c>
      <c r="EA61" s="2018" t="n">
        <f aca="false">EE61*(DF61-EB61+EH61)/(0.5*CX61+DF61-EB61+EH61)</f>
        <v>168.811946989897</v>
      </c>
      <c r="EB61" s="2017" t="n">
        <v>380.89</v>
      </c>
      <c r="EC61" s="2018" t="n">
        <f aca="false">DX61+DZ61</f>
        <v>94.4480530101026</v>
      </c>
      <c r="ED61" s="2018" t="n">
        <f aca="false">EA61+EB61</f>
        <v>549.701946989898</v>
      </c>
      <c r="EE61" s="2023" t="n">
        <v>200.01</v>
      </c>
      <c r="EF61" s="2017" t="n">
        <v>2.99</v>
      </c>
      <c r="EG61" s="2017" t="n">
        <v>368.9</v>
      </c>
      <c r="EH61" s="2023" t="n">
        <v>315.08</v>
      </c>
      <c r="EI61" s="1479" t="n">
        <v>53.82</v>
      </c>
      <c r="EJ61" s="1479" t="n">
        <v>152.83</v>
      </c>
      <c r="EK61" s="2015" t="n">
        <v>21.28</v>
      </c>
      <c r="EL61" s="1479" t="n">
        <v>2.49</v>
      </c>
      <c r="EM61" s="2017" t="n">
        <f aca="false">DV61-EF61+EL61</f>
        <v>824.47</v>
      </c>
      <c r="EN61" s="2023" t="n">
        <v>21.28</v>
      </c>
      <c r="EO61" s="2019" t="n">
        <f aca="false">EM61-EG61-EN61-DD61</f>
        <v>385.61</v>
      </c>
      <c r="EP61" s="2019" t="n">
        <f aca="false">EO61-S61</f>
        <v>-3.95999999999992</v>
      </c>
      <c r="EQ61" s="2023" t="n">
        <v>-22.06</v>
      </c>
      <c r="ER61" s="2023" t="n">
        <f aca="false">EP61+EQ61</f>
        <v>-26.0199999999999</v>
      </c>
      <c r="ES61" s="1479" t="n">
        <v>38.35</v>
      </c>
      <c r="ET61" s="1479" t="n">
        <v>-52.23</v>
      </c>
      <c r="EU61" s="2023" t="n">
        <f aca="false">ER61-ES61-ET61+BP61</f>
        <v>23.2800000000001</v>
      </c>
      <c r="EV61" s="2024" t="n">
        <f aca="false">B61-DV61+EH61+DD61-CO61</f>
        <v>1270.12</v>
      </c>
      <c r="EW61" s="1478" t="n">
        <f aca="false">CX61-EC61</f>
        <v>317.530017339215</v>
      </c>
      <c r="EX61" s="1478" t="n">
        <f aca="false">($DF61-$EB61)-$EA61*($DF61-$EB61)/($DF61-$EB61+$EH61)</f>
        <v>678.430399109594</v>
      </c>
      <c r="EY61" s="1478" t="n">
        <f aca="false">$EH61-$EA61*$EH61/($DF61-$EB61+$EH61)</f>
        <v>267.359583551191</v>
      </c>
      <c r="EZ61" s="1478" t="n">
        <f aca="false">EV61+EI61</f>
        <v>1323.94</v>
      </c>
      <c r="FA61" s="2017" t="n">
        <v>1318.02</v>
      </c>
      <c r="FB61" s="2017" t="n">
        <v>123.66</v>
      </c>
      <c r="FC61" s="1478" t="n">
        <f aca="false">FB61+AG61</f>
        <v>212.58</v>
      </c>
      <c r="FD61" s="1997" t="n">
        <f aca="false">FB61+BU61-BV61</f>
        <v>122.98</v>
      </c>
      <c r="FE61" s="1479" t="n">
        <v>15.95</v>
      </c>
      <c r="FF61" s="1479" t="n">
        <v>4.51</v>
      </c>
      <c r="FG61" s="1479" t="n">
        <f aca="false">FE61+FF61</f>
        <v>20.46</v>
      </c>
      <c r="FH61" s="514" t="n">
        <f aca="false">FG61/FD61</f>
        <v>0.166368515205724</v>
      </c>
      <c r="FI61" s="1994" t="n">
        <f aca="false">FB61+FE61</f>
        <v>139.61</v>
      </c>
      <c r="FJ61" s="1994" t="n">
        <f aca="false">BU61-BV61+FF61</f>
        <v>3.83000000000005</v>
      </c>
      <c r="FK61" s="2025" t="n">
        <f aca="false">FI61+FJ61</f>
        <v>143.44</v>
      </c>
      <c r="FL61" s="1994" t="n">
        <f aca="false">FO61+FP61+FS61</f>
        <v>139.61</v>
      </c>
      <c r="FM61" s="2017" t="n">
        <v>152.21</v>
      </c>
      <c r="FN61" s="2017" t="n">
        <v>153.01</v>
      </c>
      <c r="FO61" s="1995" t="n">
        <f aca="false">FN61-AG61</f>
        <v>64.09</v>
      </c>
      <c r="FP61" s="2017" t="n">
        <v>0.150000000000007</v>
      </c>
      <c r="FQ61" s="1478" t="n">
        <f aca="false">FI61-FO61-FP61</f>
        <v>75.37</v>
      </c>
      <c r="FR61" s="1997" t="n">
        <v>0</v>
      </c>
      <c r="FS61" s="1478" t="n">
        <f aca="false">FQ61+FR61</f>
        <v>75.37</v>
      </c>
      <c r="FT61" s="1478" t="n">
        <v>118.9</v>
      </c>
      <c r="FU61" s="1478" t="n">
        <v>79.2</v>
      </c>
      <c r="FV61" s="1478" t="n">
        <v>55.9</v>
      </c>
      <c r="FW61" s="2003" t="n">
        <v>43.4</v>
      </c>
      <c r="FX61" s="2026" t="n">
        <f aca="false">FY61+FZ61</f>
        <v>266.03</v>
      </c>
      <c r="FY61" s="2023" t="n">
        <v>254.93</v>
      </c>
      <c r="FZ61" s="2032" t="n">
        <v>11.1</v>
      </c>
      <c r="GA61" s="2015" t="n">
        <v>0</v>
      </c>
      <c r="GB61" s="402" t="n">
        <v>0.0142231947483589</v>
      </c>
      <c r="GC61" s="387" t="n">
        <v>0.0142231947483589</v>
      </c>
      <c r="GD61" s="387" t="n">
        <f aca="false">(G61/G60)/(1+GE61)-1</f>
        <v>-0.00672328460983107</v>
      </c>
      <c r="GE61" s="387" t="n">
        <v>0.0305764943199915</v>
      </c>
      <c r="GF61" s="387" t="n">
        <v>0.00792530669851277</v>
      </c>
      <c r="GG61" s="2033" t="n">
        <v>110.89</v>
      </c>
      <c r="GH61" s="465" t="n">
        <v>82211.5025</v>
      </c>
      <c r="GI61" s="465" t="n">
        <f aca="false">GJ61+GK61</f>
        <v>39382</v>
      </c>
      <c r="GJ61" s="465" t="n">
        <v>35387</v>
      </c>
      <c r="GK61" s="465" t="n">
        <v>3995</v>
      </c>
      <c r="GL61" s="25" t="n">
        <v>0.211</v>
      </c>
      <c r="GM61" s="25" t="n">
        <f aca="false">GK61/GI61</f>
        <v>0.101442283276624</v>
      </c>
      <c r="GN61" s="385" t="n">
        <v>67043.075</v>
      </c>
      <c r="GO61" s="1932" t="n">
        <f aca="false">CX61</f>
        <v>411.978070349318</v>
      </c>
      <c r="GP61" s="1932" t="n">
        <f aca="false">BU61</f>
        <v>17.3200000000001</v>
      </c>
      <c r="GQ61" s="1932" t="n">
        <f aca="false">BW61</f>
        <v>-21.58</v>
      </c>
      <c r="GR61" s="1932" t="n">
        <f aca="false">DB61</f>
        <v>78.8080703493174</v>
      </c>
      <c r="GS61" s="1509" t="n">
        <f aca="false">GO61-GP61-GQ61-GR61</f>
        <v>337.43</v>
      </c>
      <c r="GT61" s="1932" t="n">
        <f aca="false">GU61+GV61+GW61+GX61+HA61-HD61</f>
        <v>337.43</v>
      </c>
      <c r="GU61" s="2017" t="n">
        <v>46.63</v>
      </c>
      <c r="GV61" s="2017" t="n">
        <f aca="false">AI61</f>
        <v>41.47</v>
      </c>
      <c r="GW61" s="2017" t="n">
        <v>1.62</v>
      </c>
      <c r="GX61" s="1509" t="n">
        <f aca="false">GY61+GZ61</f>
        <v>247.35</v>
      </c>
      <c r="GY61" s="2017" t="n">
        <v>187.09</v>
      </c>
      <c r="GZ61" s="24" t="n">
        <f aca="false">DX61</f>
        <v>60.26</v>
      </c>
      <c r="HA61" s="2017" t="n">
        <v>73.6</v>
      </c>
      <c r="HB61" s="2017"/>
      <c r="HC61" s="2017"/>
      <c r="HD61" s="24" t="n">
        <f aca="false">DE61</f>
        <v>73.24</v>
      </c>
      <c r="HE61" s="2017" t="n">
        <v>71.9</v>
      </c>
      <c r="HF61" s="2017" t="n">
        <v>95.34</v>
      </c>
      <c r="HG61" s="1478" t="n">
        <f aca="false">HF61-HE61</f>
        <v>23.44</v>
      </c>
      <c r="HH61" s="1478" t="n">
        <f aca="false">AJ61</f>
        <v>21.73</v>
      </c>
      <c r="HI61" s="24" t="n">
        <f aca="false">HG61-HH61</f>
        <v>1.71</v>
      </c>
      <c r="HJ61" s="158" t="n">
        <f aca="false">DE61/DataDE2!AR62</f>
        <v>0.0498876098358423</v>
      </c>
      <c r="HK61" s="387" t="n">
        <f aca="false">HF61/DataDE2!AR62</f>
        <v>0.0649410803078809</v>
      </c>
    </row>
    <row r="62" customFormat="false" ht="12" hidden="false" customHeight="false" outlineLevel="0" collapsed="false">
      <c r="A62" s="31" t="n">
        <f aca="false">A61+1</f>
        <v>2001</v>
      </c>
      <c r="B62" s="1994" t="n">
        <f aca="false">E62+F62</f>
        <v>1767.48</v>
      </c>
      <c r="C62" s="381" t="n">
        <f aca="false">B62+CR62</f>
        <v>1746.02</v>
      </c>
      <c r="D62" s="1995" t="n">
        <f aca="false">B62-I62</f>
        <v>1579.14</v>
      </c>
      <c r="E62" s="1996" t="n">
        <f aca="false">CH62</f>
        <v>-23.76</v>
      </c>
      <c r="F62" s="1994" t="n">
        <f aca="false">J62+AC62+AV62+BM62</f>
        <v>1791.24</v>
      </c>
      <c r="G62" s="1478" t="n">
        <f aca="false">J62+X62+BN62</f>
        <v>2101.9</v>
      </c>
      <c r="H62" s="1478" t="n">
        <f aca="false">AG62+BA62+BP62</f>
        <v>310.66</v>
      </c>
      <c r="I62" s="1998" t="n">
        <f aca="false">K62+L62+CO62</f>
        <v>188.34</v>
      </c>
      <c r="J62" s="395" t="n">
        <f aca="false">K62+L62</f>
        <v>192.81</v>
      </c>
      <c r="K62" s="1479" t="n">
        <v>208.55</v>
      </c>
      <c r="L62" s="1478" t="n">
        <f aca="false">M62+N62+O62+P62+Q62</f>
        <v>-15.74</v>
      </c>
      <c r="M62" s="1479" t="n">
        <v>3.98</v>
      </c>
      <c r="N62" s="1479" t="n">
        <v>-17.11</v>
      </c>
      <c r="O62" s="1479" t="n">
        <v>0.31</v>
      </c>
      <c r="P62" s="1479" t="n">
        <v>-0.85</v>
      </c>
      <c r="Q62" s="2015" t="n">
        <v>-2.06999999999999</v>
      </c>
      <c r="R62" s="1479" t="n">
        <v>1233.43</v>
      </c>
      <c r="S62" s="1479" t="n">
        <v>399.14</v>
      </c>
      <c r="T62" s="1479" t="n">
        <v>427.65</v>
      </c>
      <c r="U62" s="1479" t="n">
        <v>731.23</v>
      </c>
      <c r="V62" s="2015" t="n">
        <v>689.55</v>
      </c>
      <c r="W62" s="2096" t="n">
        <f aca="false">AC62+AV62</f>
        <v>1426.66</v>
      </c>
      <c r="X62" s="1479" t="n">
        <f aca="false">W62+AA62</f>
        <v>1701.37</v>
      </c>
      <c r="Y62" s="1479" t="n">
        <f aca="false">AE62+AZ62</f>
        <v>963.34</v>
      </c>
      <c r="Z62" s="1479" t="n">
        <f aca="false">W62-Y62</f>
        <v>463.32</v>
      </c>
      <c r="AA62" s="1479" t="n">
        <f aca="false">AG62+BA62</f>
        <v>274.71</v>
      </c>
      <c r="AB62" s="1319" t="n">
        <f aca="false">AA62/X62</f>
        <v>0.161463996661514</v>
      </c>
      <c r="AC62" s="1509" t="n">
        <f aca="false">AF62+AE62</f>
        <v>361.97</v>
      </c>
      <c r="AD62" s="1509" t="n">
        <f aca="false">AF62+AG62+AE62</f>
        <v>452.98</v>
      </c>
      <c r="AE62" s="1509" t="n">
        <f aca="false">AS62</f>
        <v>173.73</v>
      </c>
      <c r="AF62" s="1509" t="n">
        <f aca="false">AI62+AQ62</f>
        <v>188.24</v>
      </c>
      <c r="AG62" s="2097" t="n">
        <v>91.01</v>
      </c>
      <c r="AH62" s="1319" t="n">
        <f aca="false">AG62/AD62</f>
        <v>0.200913947635657</v>
      </c>
      <c r="AI62" s="2097" t="n">
        <v>44.52</v>
      </c>
      <c r="AJ62" s="2097" t="n">
        <v>23</v>
      </c>
      <c r="AK62" s="0" t="n">
        <v>82.14</v>
      </c>
      <c r="AL62" s="1478" t="n">
        <f aca="false">AK62-AI62</f>
        <v>37.62</v>
      </c>
      <c r="AM62" s="821" t="n">
        <f aca="false">AL62/AK62</f>
        <v>0.45799853907962</v>
      </c>
      <c r="AN62" s="2030" t="n">
        <f aca="false">AL62/DataDE2!AD63</f>
        <v>0.0104326583036474</v>
      </c>
      <c r="AO62" s="79" t="n">
        <f aca="false">AQ62+AS62</f>
        <v>317.45</v>
      </c>
      <c r="AP62" s="2004" t="n">
        <f aca="false">AO62+AT62</f>
        <v>370.84</v>
      </c>
      <c r="AQ62" s="2097" t="n">
        <v>143.72</v>
      </c>
      <c r="AR62" s="1478" t="n">
        <f aca="false">AQ62+AT62</f>
        <v>197.11</v>
      </c>
      <c r="AS62" s="2097" t="n">
        <v>173.73</v>
      </c>
      <c r="AT62" s="1478" t="n">
        <f aca="false">AG62-AL62</f>
        <v>53.39</v>
      </c>
      <c r="AU62" s="2005" t="n">
        <f aca="false">AT62/AP62</f>
        <v>0.143970445475138</v>
      </c>
      <c r="AV62" s="2001" t="n">
        <f aca="false">AW62-BA62</f>
        <v>1064.69</v>
      </c>
      <c r="AW62" s="2004" t="n">
        <f aca="false">AY62+AZ62</f>
        <v>1248.39</v>
      </c>
      <c r="AX62" s="2004" t="n">
        <f aca="false">BD62+BI62</f>
        <v>275.08</v>
      </c>
      <c r="AY62" s="1932" t="n">
        <f aca="false">AX62+BA62</f>
        <v>458.78</v>
      </c>
      <c r="AZ62" s="1478" t="n">
        <f aca="false">BF62+BK62</f>
        <v>789.61</v>
      </c>
      <c r="BA62" s="1478" t="n">
        <f aca="false">BG62+BL62</f>
        <v>183.7</v>
      </c>
      <c r="BB62" s="821" t="n">
        <f aca="false">BA62/AW62</f>
        <v>0.147149528592828</v>
      </c>
      <c r="BC62" s="1478" t="n">
        <f aca="false">BE62+BF62</f>
        <v>1174.61</v>
      </c>
      <c r="BD62" s="2097" t="n">
        <v>269.47</v>
      </c>
      <c r="BE62" s="1509" t="n">
        <f aca="false">BD62+BG62</f>
        <v>445.16</v>
      </c>
      <c r="BF62" s="2097" t="n">
        <v>729.45</v>
      </c>
      <c r="BG62" s="2097" t="n">
        <v>175.69</v>
      </c>
      <c r="BH62" s="1478" t="n">
        <f aca="false">BJ62+BK62</f>
        <v>73.78</v>
      </c>
      <c r="BI62" s="2097" t="n">
        <v>5.61</v>
      </c>
      <c r="BJ62" s="1509" t="n">
        <f aca="false">BI62+BL62</f>
        <v>13.62</v>
      </c>
      <c r="BK62" s="2097" t="n">
        <v>60.16</v>
      </c>
      <c r="BL62" s="2097" t="n">
        <v>8.01</v>
      </c>
      <c r="BM62" s="2001" t="n">
        <f aca="false">BN62-BP62</f>
        <v>171.77</v>
      </c>
      <c r="BN62" s="2004" t="n">
        <f aca="false">BO62+BP62</f>
        <v>207.72</v>
      </c>
      <c r="BO62" s="2097" t="n">
        <v>171.77</v>
      </c>
      <c r="BP62" s="2097" t="n">
        <v>35.95</v>
      </c>
      <c r="BQ62" s="2005" t="n">
        <f aca="false">BP62/BN62</f>
        <v>0.173069516657038</v>
      </c>
      <c r="BR62" s="1509" t="n">
        <f aca="false">AY62-BA62</f>
        <v>275.08</v>
      </c>
      <c r="BS62" s="1509" t="n">
        <f aca="false">BX62+CC62</f>
        <v>35.57</v>
      </c>
      <c r="BT62" s="1509" t="n">
        <f aca="false">BY62-BZ62+CD62-CE62</f>
        <v>222.72</v>
      </c>
      <c r="BU62" s="1509" t="n">
        <f aca="false">BR62-BS62-BT62-BW62</f>
        <v>35.58</v>
      </c>
      <c r="BV62" s="1509" t="n">
        <f aca="false">CA62+CF62</f>
        <v>15.82</v>
      </c>
      <c r="BW62" s="1509" t="n">
        <f aca="false">CB62+CG62</f>
        <v>-18.79</v>
      </c>
      <c r="BX62" s="2097" t="n">
        <v>29.49</v>
      </c>
      <c r="BY62" s="2023" t="n">
        <v>301.93</v>
      </c>
      <c r="BZ62" s="2097" t="n">
        <v>75.96</v>
      </c>
      <c r="CA62" s="2097" t="n">
        <v>10.88</v>
      </c>
      <c r="CB62" s="1509" t="n">
        <v>-13.6</v>
      </c>
      <c r="CC62" s="2097" t="n">
        <v>6.08</v>
      </c>
      <c r="CD62" s="2023" t="n">
        <v>379.25</v>
      </c>
      <c r="CE62" s="2099" t="n">
        <v>382.5</v>
      </c>
      <c r="CF62" s="2097" t="n">
        <v>4.94</v>
      </c>
      <c r="CG62" s="1509" t="n">
        <v>-5.19</v>
      </c>
      <c r="CH62" s="1482" t="n">
        <f aca="false">CI62+CL62+CO62</f>
        <v>-23.76</v>
      </c>
      <c r="CI62" s="1479" t="n">
        <f aca="false">CJ62-CK62</f>
        <v>-16.11</v>
      </c>
      <c r="CJ62" s="2017" t="n">
        <v>93.63</v>
      </c>
      <c r="CK62" s="2017" t="n">
        <v>109.74</v>
      </c>
      <c r="CL62" s="1479" t="n">
        <f aca="false">CM62-CN62</f>
        <v>-3.18</v>
      </c>
      <c r="CM62" s="2017" t="n">
        <v>4.98</v>
      </c>
      <c r="CN62" s="2017" t="n">
        <v>8.16</v>
      </c>
      <c r="CO62" s="2023" t="n">
        <f aca="false">CP62-CQ62</f>
        <v>-4.47</v>
      </c>
      <c r="CP62" s="2017" t="n">
        <v>6.16</v>
      </c>
      <c r="CQ62" s="2017" t="n">
        <v>10.63</v>
      </c>
      <c r="CR62" s="1478" t="n">
        <f aca="false">CS62-CT62</f>
        <v>-21.46</v>
      </c>
      <c r="CS62" s="1478" t="n">
        <v>10.41</v>
      </c>
      <c r="CT62" s="1478" t="n">
        <v>31.87</v>
      </c>
      <c r="CU62" s="1478" t="n">
        <f aca="false">CV62-CW62</f>
        <v>-0.36</v>
      </c>
      <c r="CV62" s="2017" t="n">
        <v>2.06</v>
      </c>
      <c r="CW62" s="2017" t="n">
        <v>2.42</v>
      </c>
      <c r="CX62" s="1998" t="n">
        <f aca="false">CZ62+DA62+DB62+DC62+DD62</f>
        <v>430.968377180212</v>
      </c>
      <c r="CY62" s="2007" t="n">
        <f aca="false">CZ62+DA62+DB62</f>
        <v>401.618377180212</v>
      </c>
      <c r="CZ62" s="1509" t="n">
        <f aca="false">BR62</f>
        <v>275.08</v>
      </c>
      <c r="DA62" s="1509" t="n">
        <f aca="false">AI62</f>
        <v>44.52</v>
      </c>
      <c r="DB62" s="2017" t="n">
        <f aca="false">AO62*AX62/AV62</f>
        <v>82.0183771802121</v>
      </c>
      <c r="DC62" s="2017" t="n">
        <f aca="false">CI62</f>
        <v>-16.11</v>
      </c>
      <c r="DD62" s="1479" t="n">
        <v>45.46</v>
      </c>
      <c r="DE62" s="2023" t="n">
        <v>74.32</v>
      </c>
      <c r="DF62" s="2007" t="n">
        <f aca="false">DI62+DL62+DM62+DU62</f>
        <v>1193.63162281979</v>
      </c>
      <c r="DG62" s="2010" t="n">
        <f aca="false">DH62+DU62</f>
        <v>1131.93</v>
      </c>
      <c r="DH62" s="2010" t="n">
        <f aca="false">DJ62+DL62+AE62</f>
        <v>1135.11</v>
      </c>
      <c r="DI62" s="2010" t="n">
        <f aca="false">Y62</f>
        <v>963.34</v>
      </c>
      <c r="DJ62" s="2035" t="n">
        <f aca="false">AZ62</f>
        <v>789.61</v>
      </c>
      <c r="DK62" s="2035" t="n">
        <f aca="false">AS62</f>
        <v>173.73</v>
      </c>
      <c r="DL62" s="1509" t="n">
        <f aca="false">BM62</f>
        <v>171.77</v>
      </c>
      <c r="DM62" s="2009" t="n">
        <f aca="false">AO62*AZ62/AV62-DK62</f>
        <v>61.7016228197879</v>
      </c>
      <c r="DN62" s="514" t="n">
        <f aca="false">(DM62/GK62)/(DH62/GJ62)</f>
        <v>0.479548512273796</v>
      </c>
      <c r="DO62" s="2009" t="n">
        <f aca="false">2/3*AR62</f>
        <v>131.406666666667</v>
      </c>
      <c r="DP62" s="2009" t="n">
        <f aca="false">GK62*DH62/GJ62</f>
        <v>128.666070774003</v>
      </c>
      <c r="DQ62" s="2009" t="n">
        <f aca="false">2/3*DP62</f>
        <v>85.7773805160017</v>
      </c>
      <c r="DR62" s="2009" t="n">
        <f aca="false">DS62*(DH62/GJ62)*GK62</f>
        <v>170.262596008317</v>
      </c>
      <c r="DS62" s="514" t="n">
        <f aca="false">(DT62/GK62)/(DH62/GJ62)</f>
        <v>1.32329055347759</v>
      </c>
      <c r="DT62" s="2012" t="n">
        <v>170.262596008317</v>
      </c>
      <c r="DU62" s="2015" t="n">
        <f aca="false">CL62</f>
        <v>-3.18</v>
      </c>
      <c r="DV62" s="2007" t="n">
        <f aca="false">DW62+DX62+DY62+EB62</f>
        <v>812.31</v>
      </c>
      <c r="DW62" s="1509" t="n">
        <f aca="false">I62</f>
        <v>188.34</v>
      </c>
      <c r="DX62" s="2017" t="n">
        <f aca="false">BS62</f>
        <v>35.57</v>
      </c>
      <c r="DY62" s="2017" t="n">
        <f aca="false">EE62+EF62</f>
        <v>202.16</v>
      </c>
      <c r="DZ62" s="2018" t="n">
        <f aca="false">EF62+EE62-EA62</f>
        <v>34.8505484973778</v>
      </c>
      <c r="EA62" s="2018" t="n">
        <f aca="false">EE62*(DF62-EB62+EH62)/(0.5*CX62+DF62-EB62+EH62)</f>
        <v>167.309451502622</v>
      </c>
      <c r="EB62" s="2017" t="n">
        <v>386.24</v>
      </c>
      <c r="EC62" s="2018" t="n">
        <f aca="false">DX62+DZ62</f>
        <v>70.4205484973778</v>
      </c>
      <c r="ED62" s="2018" t="n">
        <f aca="false">EA62+EB62</f>
        <v>553.549451502622</v>
      </c>
      <c r="EE62" s="2023" t="n">
        <v>199.09</v>
      </c>
      <c r="EF62" s="2017" t="n">
        <v>3.07</v>
      </c>
      <c r="EG62" s="2017" t="n">
        <v>382.72</v>
      </c>
      <c r="EH62" s="2023" t="n">
        <v>327.03</v>
      </c>
      <c r="EI62" s="1479" t="n">
        <v>55.69</v>
      </c>
      <c r="EJ62" s="1479" t="n">
        <v>157.72</v>
      </c>
      <c r="EK62" s="2015" t="n">
        <v>20.64</v>
      </c>
      <c r="EL62" s="1479" t="n">
        <v>2.24</v>
      </c>
      <c r="EM62" s="2017" t="n">
        <f aca="false">DV62-EF62+EL62</f>
        <v>811.48</v>
      </c>
      <c r="EN62" s="2023" t="n">
        <v>20.64</v>
      </c>
      <c r="EO62" s="2019" t="n">
        <f aca="false">EM62-EG62-EN62-DD62</f>
        <v>362.66</v>
      </c>
      <c r="EP62" s="2019" t="n">
        <f aca="false">EO62-S62</f>
        <v>-36.48</v>
      </c>
      <c r="EQ62" s="2023" t="n">
        <v>-26.49</v>
      </c>
      <c r="ER62" s="2023" t="n">
        <f aca="false">EP62+EQ62</f>
        <v>-62.97</v>
      </c>
      <c r="ES62" s="1479" t="n">
        <v>38.93</v>
      </c>
      <c r="ET62" s="1479" t="n">
        <v>-1.3</v>
      </c>
      <c r="EU62" s="2023" t="n">
        <f aca="false">ER62-ES62-ET62+BP62</f>
        <v>-64.65</v>
      </c>
      <c r="EV62" s="2024" t="n">
        <f aca="false">B62-DV62+EH62+DD62-CO62</f>
        <v>1332.13</v>
      </c>
      <c r="EW62" s="1478" t="n">
        <f aca="false">CX62-EC62</f>
        <v>360.547828682834</v>
      </c>
      <c r="EX62" s="1478" t="n">
        <f aca="false">($DF62-$EB62)-$EA62*($DF62-$EB62)/($DF62-$EB62+$EH62)</f>
        <v>688.313982862594</v>
      </c>
      <c r="EY62" s="1478" t="n">
        <f aca="false">$EH62-$EA62*$EH62/($DF62-$EB62+$EH62)</f>
        <v>278.798188454572</v>
      </c>
      <c r="EZ62" s="1478" t="n">
        <f aca="false">EV62+EI62</f>
        <v>1387.82</v>
      </c>
      <c r="FA62" s="2017" t="n">
        <v>1383.36</v>
      </c>
      <c r="FB62" s="2017" t="n">
        <v>130.17</v>
      </c>
      <c r="FC62" s="1478" t="n">
        <f aca="false">FB62+AG62</f>
        <v>221.18</v>
      </c>
      <c r="FD62" s="1997" t="n">
        <f aca="false">FB62+BU62-BV62</f>
        <v>149.93</v>
      </c>
      <c r="FE62" s="1479" t="n">
        <v>11.92</v>
      </c>
      <c r="FF62" s="1479" t="n">
        <v>14.21</v>
      </c>
      <c r="FG62" s="1479" t="n">
        <f aca="false">FE62+FF62</f>
        <v>26.13</v>
      </c>
      <c r="FH62" s="514" t="n">
        <f aca="false">FG62/FD62</f>
        <v>0.174281331287934</v>
      </c>
      <c r="FI62" s="1994" t="n">
        <f aca="false">FB62+FE62</f>
        <v>142.09</v>
      </c>
      <c r="FJ62" s="1994" t="n">
        <f aca="false">BU62-BV62+FF62</f>
        <v>33.97</v>
      </c>
      <c r="FK62" s="2025" t="n">
        <f aca="false">FI62+FJ62</f>
        <v>176.06</v>
      </c>
      <c r="FL62" s="1994" t="n">
        <f aca="false">FO62+FP62+FS62</f>
        <v>142.09</v>
      </c>
      <c r="FM62" s="2017" t="n">
        <v>134.92</v>
      </c>
      <c r="FN62" s="2017" t="n">
        <v>142.71</v>
      </c>
      <c r="FO62" s="1995" t="n">
        <f aca="false">FN62-AG62</f>
        <v>51.7</v>
      </c>
      <c r="FP62" s="2017" t="n">
        <v>-6.91</v>
      </c>
      <c r="FQ62" s="1478" t="n">
        <f aca="false">FI62-FO62-FP62</f>
        <v>97.3</v>
      </c>
      <c r="FR62" s="1997" t="n">
        <v>0</v>
      </c>
      <c r="FS62" s="1478" t="n">
        <f aca="false">FQ62+FR62</f>
        <v>97.3</v>
      </c>
      <c r="FT62" s="1478" t="n">
        <v>118.7</v>
      </c>
      <c r="FU62" s="1478" t="n">
        <v>27.5</v>
      </c>
      <c r="FV62" s="1478" t="n">
        <v>46.5</v>
      </c>
      <c r="FW62" s="2003" t="n">
        <v>21.4</v>
      </c>
      <c r="FX62" s="2026" t="n">
        <f aca="false">FY62+FZ62</f>
        <v>253.8</v>
      </c>
      <c r="FY62" s="2023" t="n">
        <v>244.75</v>
      </c>
      <c r="FZ62" s="2032" t="n">
        <v>9.05</v>
      </c>
      <c r="GA62" s="2015" t="n">
        <v>0</v>
      </c>
      <c r="GB62" s="402" t="n">
        <v>0.0194174757281553</v>
      </c>
      <c r="GC62" s="387" t="n">
        <v>0.0194174757281553</v>
      </c>
      <c r="GD62" s="387" t="n">
        <f aca="false">(G62/G61)/(1+GE62)-1</f>
        <v>0.0112548358661611</v>
      </c>
      <c r="GE62" s="387" t="n">
        <v>0.0151437107242198</v>
      </c>
      <c r="GF62" s="387" t="n">
        <v>0.018526497199483</v>
      </c>
      <c r="GG62" s="2033" t="n">
        <v>107.23</v>
      </c>
      <c r="GH62" s="465" t="n">
        <v>82349.915</v>
      </c>
      <c r="GI62" s="465" t="n">
        <f aca="false">GJ62+GK62</f>
        <v>39485</v>
      </c>
      <c r="GJ62" s="465" t="n">
        <v>35465</v>
      </c>
      <c r="GK62" s="465" t="n">
        <v>4020</v>
      </c>
      <c r="GL62" s="25" t="n">
        <v>0.209</v>
      </c>
      <c r="GM62" s="25" t="n">
        <f aca="false">GK62/GI62</f>
        <v>0.101810814233253</v>
      </c>
      <c r="GN62" s="2101" t="n">
        <v>67155.9497113999</v>
      </c>
      <c r="GO62" s="1932" t="n">
        <f aca="false">CX62</f>
        <v>430.968377180212</v>
      </c>
      <c r="GP62" s="1932" t="n">
        <f aca="false">BU62</f>
        <v>35.58</v>
      </c>
      <c r="GQ62" s="1932" t="n">
        <f aca="false">BW62</f>
        <v>-18.79</v>
      </c>
      <c r="GR62" s="1932" t="n">
        <f aca="false">DB62</f>
        <v>82.0183771802121</v>
      </c>
      <c r="GS62" s="1509" t="n">
        <f aca="false">GO62-GP62-GQ62-GR62</f>
        <v>332.16</v>
      </c>
      <c r="GT62" s="1932" t="n">
        <f aca="false">GU62+GV62+GW62+GX62+HA62-HD62</f>
        <v>332.16</v>
      </c>
      <c r="GU62" s="2017" t="n">
        <v>44.94</v>
      </c>
      <c r="GV62" s="2017" t="n">
        <f aca="false">AI62</f>
        <v>44.52</v>
      </c>
      <c r="GW62" s="2017" t="n">
        <v>1.71</v>
      </c>
      <c r="GX62" s="1509" t="n">
        <f aca="false">GY62+GZ62</f>
        <v>238.16</v>
      </c>
      <c r="GY62" s="2017" t="n">
        <v>202.59</v>
      </c>
      <c r="GZ62" s="24" t="n">
        <f aca="false">DX62</f>
        <v>35.57</v>
      </c>
      <c r="HA62" s="2017" t="n">
        <v>77.15</v>
      </c>
      <c r="HB62" s="2017"/>
      <c r="HC62" s="2017"/>
      <c r="HD62" s="24" t="n">
        <f aca="false">DE62</f>
        <v>74.32</v>
      </c>
      <c r="HE62" s="2017" t="n">
        <v>72.75</v>
      </c>
      <c r="HF62" s="2017" t="n">
        <v>97.92</v>
      </c>
      <c r="HG62" s="1478" t="n">
        <f aca="false">HF62-HE62</f>
        <v>25.17</v>
      </c>
      <c r="HH62" s="1478" t="n">
        <f aca="false">AJ62</f>
        <v>23</v>
      </c>
      <c r="HI62" s="24" t="n">
        <f aca="false">HG62-HH62</f>
        <v>2.17</v>
      </c>
      <c r="HJ62" s="158" t="n">
        <f aca="false">DE62/DataDE2!AR63</f>
        <v>0.0490787822756389</v>
      </c>
      <c r="HK62" s="387" t="n">
        <f aca="false">HF62/DataDE2!AR63</f>
        <v>0.0646635409099914</v>
      </c>
    </row>
    <row r="63" customFormat="false" ht="12" hidden="false" customHeight="false" outlineLevel="0" collapsed="false">
      <c r="A63" s="31" t="n">
        <f aca="false">A62+1</f>
        <v>2002</v>
      </c>
      <c r="B63" s="1994" t="n">
        <f aca="false">E63+F63</f>
        <v>1787.41</v>
      </c>
      <c r="C63" s="381" t="n">
        <f aca="false">B63+CR63</f>
        <v>1762.92</v>
      </c>
      <c r="D63" s="1995" t="n">
        <f aca="false">B63-I63</f>
        <v>1593.62</v>
      </c>
      <c r="E63" s="1996" t="n">
        <f aca="false">CH63</f>
        <v>-28.67</v>
      </c>
      <c r="F63" s="1994" t="n">
        <f aca="false">J63+AC63+AV63+BM63</f>
        <v>1816.08</v>
      </c>
      <c r="G63" s="1478" t="n">
        <f aca="false">J63+X63+BN63</f>
        <v>2132.2</v>
      </c>
      <c r="H63" s="1478" t="n">
        <f aca="false">AG63+BA63+BP63</f>
        <v>316.12</v>
      </c>
      <c r="I63" s="1998" t="n">
        <f aca="false">K63+L63+CO63</f>
        <v>193.79</v>
      </c>
      <c r="J63" s="395" t="n">
        <f aca="false">K63+L63</f>
        <v>195.81</v>
      </c>
      <c r="K63" s="1479" t="n">
        <v>209.73</v>
      </c>
      <c r="L63" s="1478" t="n">
        <f aca="false">M63+N63+O63+P63+Q63</f>
        <v>-13.92</v>
      </c>
      <c r="M63" s="1479" t="n">
        <v>4.61</v>
      </c>
      <c r="N63" s="1479" t="n">
        <v>-15.88</v>
      </c>
      <c r="O63" s="1479" t="n">
        <v>0.31</v>
      </c>
      <c r="P63" s="1479" t="n">
        <v>-0.69</v>
      </c>
      <c r="Q63" s="2015" t="n">
        <v>-2.26999999999998</v>
      </c>
      <c r="R63" s="1479" t="n">
        <v>1240.58</v>
      </c>
      <c r="S63" s="1479" t="n">
        <v>410.38</v>
      </c>
      <c r="T63" s="1479" t="n">
        <v>385.34</v>
      </c>
      <c r="U63" s="1479" t="n">
        <v>760.57</v>
      </c>
      <c r="V63" s="2015" t="n">
        <v>664.67</v>
      </c>
      <c r="W63" s="2096" t="n">
        <f aca="false">AC63+AV63</f>
        <v>1445.22</v>
      </c>
      <c r="X63" s="1479" t="n">
        <f aca="false">W63+AA63</f>
        <v>1725.11</v>
      </c>
      <c r="Y63" s="1479" t="n">
        <f aca="false">AE63+AZ63</f>
        <v>966.46</v>
      </c>
      <c r="Z63" s="1479" t="n">
        <f aca="false">W63-Y63</f>
        <v>478.76</v>
      </c>
      <c r="AA63" s="1479" t="n">
        <f aca="false">AG63+BA63</f>
        <v>279.89</v>
      </c>
      <c r="AB63" s="1319" t="n">
        <f aca="false">AA63/X63</f>
        <v>0.162244726423243</v>
      </c>
      <c r="AC63" s="1509" t="n">
        <f aca="false">AF63+AE63</f>
        <v>365.67</v>
      </c>
      <c r="AD63" s="1509" t="n">
        <f aca="false">AF63+AG63+AE63</f>
        <v>457.93</v>
      </c>
      <c r="AE63" s="1509" t="n">
        <f aca="false">AS63</f>
        <v>174.16</v>
      </c>
      <c r="AF63" s="1509" t="n">
        <f aca="false">AI63+AQ63</f>
        <v>191.51</v>
      </c>
      <c r="AG63" s="2097" t="n">
        <v>92.26</v>
      </c>
      <c r="AH63" s="1319" t="n">
        <f aca="false">AG63/AD63</f>
        <v>0.201471840674339</v>
      </c>
      <c r="AI63" s="2097" t="n">
        <v>49.75</v>
      </c>
      <c r="AJ63" s="2097" t="n">
        <v>24.38</v>
      </c>
      <c r="AK63" s="0" t="n">
        <v>88.45</v>
      </c>
      <c r="AL63" s="1478" t="n">
        <f aca="false">AK63-AI63</f>
        <v>38.7</v>
      </c>
      <c r="AM63" s="821" t="n">
        <f aca="false">AL63/AK63</f>
        <v>0.437535330695308</v>
      </c>
      <c r="AN63" s="2030" t="n">
        <f aca="false">AL63/DataDE2!AD64</f>
        <v>0.0103579162093345</v>
      </c>
      <c r="AO63" s="79" t="n">
        <f aca="false">AQ63+AS63</f>
        <v>315.92</v>
      </c>
      <c r="AP63" s="2004" t="n">
        <f aca="false">AO63+AT63</f>
        <v>369.48</v>
      </c>
      <c r="AQ63" s="2097" t="n">
        <v>141.76</v>
      </c>
      <c r="AR63" s="1478" t="n">
        <f aca="false">AQ63+AT63</f>
        <v>195.32</v>
      </c>
      <c r="AS63" s="2097" t="n">
        <v>174.16</v>
      </c>
      <c r="AT63" s="1478" t="n">
        <f aca="false">AG63-AL63</f>
        <v>53.56</v>
      </c>
      <c r="AU63" s="2005" t="n">
        <f aca="false">AT63/AP63</f>
        <v>0.144960485005954</v>
      </c>
      <c r="AV63" s="2001" t="n">
        <f aca="false">AW63-BA63</f>
        <v>1079.55</v>
      </c>
      <c r="AW63" s="2004" t="n">
        <f aca="false">AY63+AZ63</f>
        <v>1267.18</v>
      </c>
      <c r="AX63" s="2004" t="n">
        <f aca="false">BD63+BI63</f>
        <v>287.25</v>
      </c>
      <c r="AY63" s="1932" t="n">
        <f aca="false">AX63+BA63</f>
        <v>474.88</v>
      </c>
      <c r="AZ63" s="1478" t="n">
        <f aca="false">BF63+BK63</f>
        <v>792.3</v>
      </c>
      <c r="BA63" s="1478" t="n">
        <f aca="false">BG63+BL63</f>
        <v>187.63</v>
      </c>
      <c r="BB63" s="821" t="n">
        <f aca="false">BA63/AW63</f>
        <v>0.148068940482015</v>
      </c>
      <c r="BC63" s="1478" t="n">
        <f aca="false">BE63+BF63</f>
        <v>1187.37</v>
      </c>
      <c r="BD63" s="2097" t="n">
        <v>277</v>
      </c>
      <c r="BE63" s="1509" t="n">
        <f aca="false">BD63+BG63</f>
        <v>456.62</v>
      </c>
      <c r="BF63" s="2097" t="n">
        <v>730.75</v>
      </c>
      <c r="BG63" s="2097" t="n">
        <v>179.62</v>
      </c>
      <c r="BH63" s="1478" t="n">
        <f aca="false">BJ63+BK63</f>
        <v>79.81</v>
      </c>
      <c r="BI63" s="2097" t="n">
        <v>10.25</v>
      </c>
      <c r="BJ63" s="1509" t="n">
        <f aca="false">BI63+BL63</f>
        <v>18.26</v>
      </c>
      <c r="BK63" s="2097" t="n">
        <v>61.55</v>
      </c>
      <c r="BL63" s="2097" t="n">
        <v>8.01</v>
      </c>
      <c r="BM63" s="2001" t="n">
        <f aca="false">BN63-BP63</f>
        <v>175.05</v>
      </c>
      <c r="BN63" s="2004" t="n">
        <f aca="false">BO63+BP63</f>
        <v>211.28</v>
      </c>
      <c r="BO63" s="2097" t="n">
        <v>175.05</v>
      </c>
      <c r="BP63" s="2097" t="n">
        <v>36.23</v>
      </c>
      <c r="BQ63" s="2005" t="n">
        <f aca="false">BP63/BN63</f>
        <v>0.171478606588413</v>
      </c>
      <c r="BR63" s="1509" t="n">
        <f aca="false">AY63-BA63</f>
        <v>287.25</v>
      </c>
      <c r="BS63" s="1509" t="n">
        <f aca="false">BX63+CC63</f>
        <v>34.79</v>
      </c>
      <c r="BT63" s="1509" t="n">
        <f aca="false">BY63-BZ63+CD63-CE63</f>
        <v>224.16</v>
      </c>
      <c r="BU63" s="1509" t="n">
        <f aca="false">BR63-BS63-BT63-BW63</f>
        <v>44.98</v>
      </c>
      <c r="BV63" s="1509" t="n">
        <f aca="false">CA63+CF63</f>
        <v>16.22</v>
      </c>
      <c r="BW63" s="1509" t="n">
        <f aca="false">CB63+CG63</f>
        <v>-16.68</v>
      </c>
      <c r="BX63" s="2097" t="n">
        <v>28.67</v>
      </c>
      <c r="BY63" s="2023" t="n">
        <v>302.35</v>
      </c>
      <c r="BZ63" s="2097" t="n">
        <v>74.64</v>
      </c>
      <c r="CA63" s="2097" t="n">
        <v>9.3</v>
      </c>
      <c r="CB63" s="1509" t="n">
        <v>-9.41</v>
      </c>
      <c r="CC63" s="2097" t="n">
        <v>6.12</v>
      </c>
      <c r="CD63" s="2023" t="n">
        <v>353.07</v>
      </c>
      <c r="CE63" s="2099" t="n">
        <v>356.62</v>
      </c>
      <c r="CF63" s="2097" t="n">
        <v>6.92</v>
      </c>
      <c r="CG63" s="1509" t="n">
        <v>-7.27</v>
      </c>
      <c r="CH63" s="1482" t="n">
        <f aca="false">CI63+CL63+CO63</f>
        <v>-28.67</v>
      </c>
      <c r="CI63" s="1479" t="n">
        <f aca="false">CJ63-CK63</f>
        <v>-23.98</v>
      </c>
      <c r="CJ63" s="2017" t="n">
        <v>95.49</v>
      </c>
      <c r="CK63" s="2017" t="n">
        <v>119.47</v>
      </c>
      <c r="CL63" s="1479" t="n">
        <f aca="false">CM63-CN63</f>
        <v>-2.67</v>
      </c>
      <c r="CM63" s="2017" t="n">
        <v>5.37</v>
      </c>
      <c r="CN63" s="2017" t="n">
        <v>8.04</v>
      </c>
      <c r="CO63" s="2023" t="n">
        <f aca="false">CP63-CQ63</f>
        <v>-2.02</v>
      </c>
      <c r="CP63" s="2017" t="n">
        <v>5.99</v>
      </c>
      <c r="CQ63" s="2017" t="n">
        <v>8.01</v>
      </c>
      <c r="CR63" s="1478" t="n">
        <f aca="false">CS63-CT63</f>
        <v>-24.49</v>
      </c>
      <c r="CS63" s="1478" t="n">
        <v>10.39</v>
      </c>
      <c r="CT63" s="1478" t="n">
        <v>34.88</v>
      </c>
      <c r="CU63" s="1478" t="n">
        <f aca="false">CV63-CW63</f>
        <v>-0.66</v>
      </c>
      <c r="CV63" s="2017" t="n">
        <v>2.23</v>
      </c>
      <c r="CW63" s="2017" t="n">
        <v>2.89</v>
      </c>
      <c r="CX63" s="1998" t="n">
        <f aca="false">CZ63+DA63+DB63+DC63+DD63</f>
        <v>441.810969848548</v>
      </c>
      <c r="CY63" s="2007" t="n">
        <f aca="false">CZ63+DA63+DB63</f>
        <v>421.060969848548</v>
      </c>
      <c r="CZ63" s="1509" t="n">
        <f aca="false">BR63</f>
        <v>287.25</v>
      </c>
      <c r="DA63" s="1509" t="n">
        <f aca="false">AI63</f>
        <v>49.75</v>
      </c>
      <c r="DB63" s="2017" t="n">
        <f aca="false">AO63*AX63/AV63</f>
        <v>84.060969848548</v>
      </c>
      <c r="DC63" s="2017" t="n">
        <f aca="false">CI63</f>
        <v>-23.98</v>
      </c>
      <c r="DD63" s="1479" t="n">
        <v>44.73</v>
      </c>
      <c r="DE63" s="2023" t="n">
        <v>69.75</v>
      </c>
      <c r="DF63" s="2007" t="n">
        <f aca="false">DI63+DL63+DM63+DU63</f>
        <v>1196.53903015145</v>
      </c>
      <c r="DG63" s="2010" t="n">
        <f aca="false">DH63+DU63</f>
        <v>1138.84</v>
      </c>
      <c r="DH63" s="2010" t="n">
        <f aca="false">DJ63+DL63+AE63</f>
        <v>1141.51</v>
      </c>
      <c r="DI63" s="2010" t="n">
        <f aca="false">Y63</f>
        <v>966.46</v>
      </c>
      <c r="DJ63" s="2035" t="n">
        <f aca="false">AZ63</f>
        <v>792.3</v>
      </c>
      <c r="DK63" s="2035" t="n">
        <f aca="false">AS63</f>
        <v>174.16</v>
      </c>
      <c r="DL63" s="1509" t="n">
        <f aca="false">BM63</f>
        <v>175.05</v>
      </c>
      <c r="DM63" s="2009" t="n">
        <f aca="false">AO63*AZ63/AV63-DK63</f>
        <v>57.699030151452</v>
      </c>
      <c r="DN63" s="514" t="n">
        <f aca="false">(DM63/GK63)/(DH63/GJ63)</f>
        <v>0.438919346732222</v>
      </c>
      <c r="DO63" s="2009" t="n">
        <f aca="false">2/3*AR63</f>
        <v>130.213333333333</v>
      </c>
      <c r="DP63" s="2009" t="n">
        <f aca="false">GK63*DH63/GJ63</f>
        <v>131.457021844729</v>
      </c>
      <c r="DQ63" s="2009" t="n">
        <f aca="false">2/3*DP63</f>
        <v>87.6380145631528</v>
      </c>
      <c r="DR63" s="2009" t="n">
        <f aca="false">DS63*(DH63/GJ63)*GK63</f>
        <v>170.49747308067</v>
      </c>
      <c r="DS63" s="514" t="n">
        <f aca="false">(DT63/GK63)/(DH63/GJ63)</f>
        <v>1.29698262358365</v>
      </c>
      <c r="DT63" s="2012" t="n">
        <v>170.49747308067</v>
      </c>
      <c r="DU63" s="2015" t="n">
        <f aca="false">CL63</f>
        <v>-2.67</v>
      </c>
      <c r="DV63" s="2007" t="n">
        <f aca="false">DW63+DX63+DY63+EB63</f>
        <v>817.9</v>
      </c>
      <c r="DW63" s="1509" t="n">
        <f aca="false">I63</f>
        <v>193.79</v>
      </c>
      <c r="DX63" s="2017" t="n">
        <f aca="false">BS63</f>
        <v>34.79</v>
      </c>
      <c r="DY63" s="2017" t="n">
        <f aca="false">EE63+EF63</f>
        <v>197.69</v>
      </c>
      <c r="DZ63" s="2018" t="n">
        <f aca="false">EF63+EE63-EA63</f>
        <v>34.5665294054745</v>
      </c>
      <c r="EA63" s="2018" t="n">
        <f aca="false">EE63*(DF63-EB63+EH63)/(0.5*CX63+DF63-EB63+EH63)</f>
        <v>163.123470594525</v>
      </c>
      <c r="EB63" s="2017" t="n">
        <v>391.63</v>
      </c>
      <c r="EC63" s="2018" t="n">
        <f aca="false">DX63+DZ63</f>
        <v>69.3565294054745</v>
      </c>
      <c r="ED63" s="2018" t="n">
        <f aca="false">EA63+EB63</f>
        <v>554.753470594525</v>
      </c>
      <c r="EE63" s="2023" t="n">
        <v>194.66</v>
      </c>
      <c r="EF63" s="2017" t="n">
        <v>3.03</v>
      </c>
      <c r="EG63" s="2017" t="n">
        <v>397.69</v>
      </c>
      <c r="EH63" s="2023" t="n">
        <v>337.73</v>
      </c>
      <c r="EI63" s="1479" t="n">
        <v>59.96</v>
      </c>
      <c r="EJ63" s="1479" t="n">
        <v>162.68</v>
      </c>
      <c r="EK63" s="2015" t="n">
        <v>19.68</v>
      </c>
      <c r="EL63" s="1479" t="n">
        <v>1.91</v>
      </c>
      <c r="EM63" s="2017" t="n">
        <f aca="false">DV63-EF63+EL63</f>
        <v>816.78</v>
      </c>
      <c r="EN63" s="2023" t="n">
        <v>19.68</v>
      </c>
      <c r="EO63" s="2019" t="n">
        <f aca="false">EM63-EG63-EN63-DD63</f>
        <v>354.68</v>
      </c>
      <c r="EP63" s="2019" t="n">
        <f aca="false">EO63-S63</f>
        <v>-55.7</v>
      </c>
      <c r="EQ63" s="2023" t="n">
        <v>-26.34</v>
      </c>
      <c r="ER63" s="2023" t="n">
        <f aca="false">EP63+EQ63</f>
        <v>-82.0400000000001</v>
      </c>
      <c r="ES63" s="1479" t="n">
        <v>37.83</v>
      </c>
      <c r="ET63" s="1479" t="n">
        <v>-1.41</v>
      </c>
      <c r="EU63" s="2023" t="n">
        <f aca="false">ER63-ES63-ET63+BP63</f>
        <v>-82.2300000000001</v>
      </c>
      <c r="EV63" s="2024" t="n">
        <f aca="false">B63-DV63+EH63+DD63-CO63</f>
        <v>1353.99</v>
      </c>
      <c r="EW63" s="1478" t="n">
        <f aca="false">CX63-EC63</f>
        <v>372.454440443073</v>
      </c>
      <c r="EX63" s="1478" t="n">
        <f aca="false">($DF63-$EB63)-$EA63*($DF63-$EB63)/($DF63-$EB63+$EH63)</f>
        <v>689.999989722669</v>
      </c>
      <c r="EY63" s="1478" t="n">
        <f aca="false">$EH63-$EA63*$EH63/($DF63-$EB63+$EH63)</f>
        <v>289.515569834257</v>
      </c>
      <c r="EZ63" s="1478" t="n">
        <f aca="false">EV63+EI63</f>
        <v>1413.95</v>
      </c>
      <c r="FA63" s="2017" t="n">
        <v>1408.24</v>
      </c>
      <c r="FB63" s="2017" t="n">
        <v>138.9</v>
      </c>
      <c r="FC63" s="1478" t="n">
        <f aca="false">FB63+AG63</f>
        <v>231.16</v>
      </c>
      <c r="FD63" s="1997" t="n">
        <f aca="false">FB63+BU63-BV63</f>
        <v>167.66</v>
      </c>
      <c r="FE63" s="1479" t="n">
        <v>0.77</v>
      </c>
      <c r="FF63" s="1479" t="n">
        <v>24.69</v>
      </c>
      <c r="FG63" s="1479" t="n">
        <f aca="false">FE63+FF63</f>
        <v>25.46</v>
      </c>
      <c r="FH63" s="514" t="n">
        <f aca="false">FG63/FD63</f>
        <v>0.151854944530598</v>
      </c>
      <c r="FI63" s="1994" t="n">
        <f aca="false">FB63+FE63</f>
        <v>139.67</v>
      </c>
      <c r="FJ63" s="1994" t="n">
        <f aca="false">BU63-BV63+FF63</f>
        <v>53.45</v>
      </c>
      <c r="FK63" s="2025" t="n">
        <f aca="false">FI63+FJ63</f>
        <v>193.12</v>
      </c>
      <c r="FL63" s="1994" t="n">
        <f aca="false">FO63+FP63+FS63</f>
        <v>139.67</v>
      </c>
      <c r="FM63" s="2017" t="n">
        <v>129.74</v>
      </c>
      <c r="FN63" s="2017" t="n">
        <v>134.04</v>
      </c>
      <c r="FO63" s="1995" t="n">
        <f aca="false">FN63-AG63</f>
        <v>41.78</v>
      </c>
      <c r="FP63" s="2017" t="n">
        <v>-3.36</v>
      </c>
      <c r="FQ63" s="1478" t="n">
        <f aca="false">FI63-FO63-FP63</f>
        <v>101.25</v>
      </c>
      <c r="FR63" s="1997" t="n">
        <v>0</v>
      </c>
      <c r="FS63" s="1478" t="n">
        <f aca="false">FQ63+FR63</f>
        <v>101.25</v>
      </c>
      <c r="FT63" s="1478" t="n">
        <v>117</v>
      </c>
      <c r="FU63" s="1478" t="n">
        <v>-30</v>
      </c>
      <c r="FV63" s="1478" t="n">
        <v>33.9</v>
      </c>
      <c r="FW63" s="2003" t="n">
        <v>15.8</v>
      </c>
      <c r="FX63" s="2026" t="n">
        <f aca="false">FY63+FZ63</f>
        <v>217.77</v>
      </c>
      <c r="FY63" s="2023" t="n">
        <v>209.54</v>
      </c>
      <c r="FZ63" s="2032" t="n">
        <v>8.23</v>
      </c>
      <c r="GA63" s="2015" t="n">
        <v>0</v>
      </c>
      <c r="GB63" s="402" t="n">
        <v>0.0148148148148148</v>
      </c>
      <c r="GC63" s="387" t="n">
        <v>0.0148148148148148</v>
      </c>
      <c r="GD63" s="387" t="n">
        <f aca="false">(G63/G62)/(1+GE63)-1</f>
        <v>0.014312594709978</v>
      </c>
      <c r="GE63" s="387" t="n">
        <v>0.000101481631824552</v>
      </c>
      <c r="GF63" s="387" t="n">
        <v>0.011844331641286</v>
      </c>
      <c r="GG63" s="2033" t="n">
        <v>100.67</v>
      </c>
      <c r="GH63" s="465" t="n">
        <v>82488.49</v>
      </c>
      <c r="GI63" s="465" t="n">
        <f aca="false">GJ63+GK63</f>
        <v>39257</v>
      </c>
      <c r="GJ63" s="465" t="n">
        <v>35203</v>
      </c>
      <c r="GK63" s="465" t="n">
        <v>4054</v>
      </c>
      <c r="GL63" s="25" t="n">
        <v>0.207</v>
      </c>
      <c r="GM63" s="25" t="n">
        <f aca="false">GK63/GI63</f>
        <v>0.103268206943985</v>
      </c>
      <c r="GN63" s="2101" t="n">
        <v>67268.9569407486</v>
      </c>
      <c r="GO63" s="1932" t="n">
        <f aca="false">CX63</f>
        <v>441.810969848548</v>
      </c>
      <c r="GP63" s="1932" t="n">
        <f aca="false">BU63</f>
        <v>44.98</v>
      </c>
      <c r="GQ63" s="1932" t="n">
        <f aca="false">BW63</f>
        <v>-16.68</v>
      </c>
      <c r="GR63" s="1932" t="n">
        <f aca="false">DB63</f>
        <v>84.060969848548</v>
      </c>
      <c r="GS63" s="1509" t="n">
        <f aca="false">GO63-GP63-GQ63-GR63</f>
        <v>329.45</v>
      </c>
      <c r="GT63" s="1932" t="n">
        <f aca="false">GU63+GV63+GW63+GX63+HA63-HD63</f>
        <v>329.45</v>
      </c>
      <c r="GU63" s="2017" t="n">
        <v>42.95</v>
      </c>
      <c r="GV63" s="2017" t="n">
        <f aca="false">AI63</f>
        <v>49.75</v>
      </c>
      <c r="GW63" s="2017" t="n">
        <v>1.59</v>
      </c>
      <c r="GX63" s="1509" t="n">
        <f aca="false">GY63+GZ63</f>
        <v>232.57</v>
      </c>
      <c r="GY63" s="2017" t="n">
        <v>197.78</v>
      </c>
      <c r="GZ63" s="24" t="n">
        <f aca="false">DX63</f>
        <v>34.79</v>
      </c>
      <c r="HA63" s="2017" t="n">
        <v>72.34</v>
      </c>
      <c r="HB63" s="2017"/>
      <c r="HC63" s="2017"/>
      <c r="HD63" s="24" t="n">
        <f aca="false">DE63</f>
        <v>69.75</v>
      </c>
      <c r="HE63" s="2017" t="n">
        <v>68.33</v>
      </c>
      <c r="HF63" s="2017" t="n">
        <v>94.86</v>
      </c>
      <c r="HG63" s="1478" t="n">
        <f aca="false">HF63-HE63</f>
        <v>26.53</v>
      </c>
      <c r="HH63" s="1478" t="n">
        <f aca="false">AJ63</f>
        <v>24.38</v>
      </c>
      <c r="HI63" s="24" t="n">
        <f aca="false">HG63-HH63</f>
        <v>2.15</v>
      </c>
      <c r="HJ63" s="158" t="n">
        <f aca="false">DE63/DataDE2!AR64</f>
        <v>0.0454131128328667</v>
      </c>
      <c r="HK63" s="387" t="n">
        <f aca="false">HF63/DataDE2!AR64</f>
        <v>0.0617618334526987</v>
      </c>
    </row>
    <row r="64" customFormat="false" ht="12" hidden="false" customHeight="false" outlineLevel="0" collapsed="false">
      <c r="A64" s="31" t="n">
        <f aca="false">A63+1</f>
        <v>2003</v>
      </c>
      <c r="B64" s="1994" t="n">
        <f aca="false">E64+F64</f>
        <v>1811.5</v>
      </c>
      <c r="C64" s="381" t="n">
        <f aca="false">B64+CR64</f>
        <v>1785.85</v>
      </c>
      <c r="D64" s="1995" t="n">
        <f aca="false">B64-I64</f>
        <v>1610.66</v>
      </c>
      <c r="E64" s="1996" t="n">
        <f aca="false">CH64</f>
        <v>-18.15</v>
      </c>
      <c r="F64" s="1994" t="n">
        <f aca="false">J64+AC64+AV64+BM64</f>
        <v>1829.65</v>
      </c>
      <c r="G64" s="1478" t="n">
        <f aca="false">J64+X64+BN64</f>
        <v>2147.5</v>
      </c>
      <c r="H64" s="1478" t="n">
        <f aca="false">AG64+BA64+BP64</f>
        <v>317.85</v>
      </c>
      <c r="I64" s="1998" t="n">
        <f aca="false">K64+L64+CO64</f>
        <v>200.84</v>
      </c>
      <c r="J64" s="395" t="n">
        <f aca="false">K64+L64</f>
        <v>202.52</v>
      </c>
      <c r="K64" s="1479" t="n">
        <v>214.06</v>
      </c>
      <c r="L64" s="1478" t="n">
        <f aca="false">M64+N64+O64+P64+Q64</f>
        <v>-11.54</v>
      </c>
      <c r="M64" s="1479" t="n">
        <v>5.3</v>
      </c>
      <c r="N64" s="1479" t="n">
        <v>-14.46</v>
      </c>
      <c r="O64" s="1479" t="n">
        <v>0.32</v>
      </c>
      <c r="P64" s="1479" t="n">
        <v>-0.51</v>
      </c>
      <c r="Q64" s="2015" t="n">
        <v>-2.19</v>
      </c>
      <c r="R64" s="1479" t="n">
        <v>1264.51</v>
      </c>
      <c r="S64" s="1479" t="n">
        <v>415.45</v>
      </c>
      <c r="T64" s="1479" t="n">
        <v>383.39</v>
      </c>
      <c r="U64" s="1479" t="n">
        <v>767.08</v>
      </c>
      <c r="V64" s="2015" t="n">
        <v>682.93</v>
      </c>
      <c r="W64" s="2096" t="n">
        <f aca="false">AC64+AV64</f>
        <v>1450.44</v>
      </c>
      <c r="X64" s="1479" t="n">
        <f aca="false">W64+AA64</f>
        <v>1731.85</v>
      </c>
      <c r="Y64" s="1479" t="n">
        <f aca="false">AE64+AZ64</f>
        <v>967.56</v>
      </c>
      <c r="Z64" s="1479" t="n">
        <f aca="false">W64-Y64</f>
        <v>482.88</v>
      </c>
      <c r="AA64" s="1479" t="n">
        <f aca="false">AG64+BA64</f>
        <v>281.41</v>
      </c>
      <c r="AB64" s="1319" t="n">
        <f aca="false">AA64/X64</f>
        <v>0.16249097785605</v>
      </c>
      <c r="AC64" s="1509" t="n">
        <f aca="false">AF64+AE64</f>
        <v>362</v>
      </c>
      <c r="AD64" s="1509" t="n">
        <f aca="false">AF64+AG64+AE64</f>
        <v>455.12</v>
      </c>
      <c r="AE64" s="1509" t="n">
        <f aca="false">AS64</f>
        <v>174.28</v>
      </c>
      <c r="AF64" s="1509" t="n">
        <f aca="false">AI64+AQ64</f>
        <v>187.72</v>
      </c>
      <c r="AG64" s="2097" t="n">
        <v>93.12</v>
      </c>
      <c r="AH64" s="1319" t="n">
        <f aca="false">AG64/AD64</f>
        <v>0.204605378801195</v>
      </c>
      <c r="AI64" s="2097" t="n">
        <v>50.02</v>
      </c>
      <c r="AJ64" s="2097" t="n">
        <v>28.56</v>
      </c>
      <c r="AK64" s="0" t="n">
        <v>89.62</v>
      </c>
      <c r="AL64" s="1478" t="n">
        <f aca="false">AK64-AI64</f>
        <v>39.6</v>
      </c>
      <c r="AM64" s="821" t="n">
        <f aca="false">AL64/AK64</f>
        <v>0.441865654987726</v>
      </c>
      <c r="AN64" s="2030" t="n">
        <f aca="false">AL64/DataDE2!AD65</f>
        <v>0.0102288357201983</v>
      </c>
      <c r="AO64" s="79" t="n">
        <f aca="false">AQ64+AS64</f>
        <v>311.98</v>
      </c>
      <c r="AP64" s="2004" t="n">
        <f aca="false">AO64+AT64</f>
        <v>365.5</v>
      </c>
      <c r="AQ64" s="2097" t="n">
        <v>137.7</v>
      </c>
      <c r="AR64" s="1478" t="n">
        <f aca="false">AQ64+AT64</f>
        <v>191.22</v>
      </c>
      <c r="AS64" s="2097" t="n">
        <v>174.28</v>
      </c>
      <c r="AT64" s="1478" t="n">
        <f aca="false">AG64-AL64</f>
        <v>53.52</v>
      </c>
      <c r="AU64" s="2005" t="n">
        <f aca="false">AT64/AP64</f>
        <v>0.146429548563612</v>
      </c>
      <c r="AV64" s="2001" t="n">
        <f aca="false">AW64-BA64</f>
        <v>1088.44</v>
      </c>
      <c r="AW64" s="2004" t="n">
        <f aca="false">AY64+AZ64</f>
        <v>1276.73</v>
      </c>
      <c r="AX64" s="2004" t="n">
        <f aca="false">BD64+BI64</f>
        <v>295.16</v>
      </c>
      <c r="AY64" s="1932" t="n">
        <f aca="false">AX64+BA64</f>
        <v>483.45</v>
      </c>
      <c r="AZ64" s="1478" t="n">
        <f aca="false">BF64+BK64</f>
        <v>793.28</v>
      </c>
      <c r="BA64" s="1478" t="n">
        <f aca="false">BG64+BL64</f>
        <v>188.29</v>
      </c>
      <c r="BB64" s="821" t="n">
        <f aca="false">BA64/AW64</f>
        <v>0.147478323529642</v>
      </c>
      <c r="BC64" s="1478" t="n">
        <f aca="false">BE64+BF64</f>
        <v>1188.77</v>
      </c>
      <c r="BD64" s="2097" t="n">
        <v>276.82</v>
      </c>
      <c r="BE64" s="1509" t="n">
        <f aca="false">BD64+BG64</f>
        <v>457.17</v>
      </c>
      <c r="BF64" s="2097" t="n">
        <v>731.6</v>
      </c>
      <c r="BG64" s="2097" t="n">
        <v>180.35</v>
      </c>
      <c r="BH64" s="1478" t="n">
        <f aca="false">BJ64+BK64</f>
        <v>87.96</v>
      </c>
      <c r="BI64" s="2097" t="n">
        <v>18.34</v>
      </c>
      <c r="BJ64" s="1509" t="n">
        <f aca="false">BI64+BL64</f>
        <v>26.28</v>
      </c>
      <c r="BK64" s="2097" t="n">
        <v>61.68</v>
      </c>
      <c r="BL64" s="2097" t="n">
        <v>7.94</v>
      </c>
      <c r="BM64" s="2001" t="n">
        <f aca="false">BN64-BP64</f>
        <v>176.69</v>
      </c>
      <c r="BN64" s="2004" t="n">
        <f aca="false">BO64+BP64</f>
        <v>213.13</v>
      </c>
      <c r="BO64" s="2097" t="n">
        <v>176.69</v>
      </c>
      <c r="BP64" s="2097" t="n">
        <v>36.44</v>
      </c>
      <c r="BQ64" s="2005" t="n">
        <f aca="false">BP64/BN64</f>
        <v>0.170975460986253</v>
      </c>
      <c r="BR64" s="1509" t="n">
        <f aca="false">AY64-BA64</f>
        <v>295.16</v>
      </c>
      <c r="BS64" s="1509" t="n">
        <f aca="false">BX64+CC64</f>
        <v>39.1</v>
      </c>
      <c r="BT64" s="1509" t="n">
        <f aca="false">BY64-BZ64+CD64-CE64</f>
        <v>231.78</v>
      </c>
      <c r="BU64" s="1509" t="n">
        <f aca="false">BR64-BS64-BT64-BW64</f>
        <v>40.7699999999999</v>
      </c>
      <c r="BV64" s="1509" t="n">
        <f aca="false">CA64+CF64</f>
        <v>17.2</v>
      </c>
      <c r="BW64" s="1509" t="n">
        <f aca="false">CB64+CG64</f>
        <v>-16.49</v>
      </c>
      <c r="BX64" s="2097" t="n">
        <v>30.04</v>
      </c>
      <c r="BY64" s="2023" t="n">
        <v>298.92</v>
      </c>
      <c r="BZ64" s="2097" t="n">
        <v>63.51</v>
      </c>
      <c r="CA64" s="2097" t="n">
        <v>7.87</v>
      </c>
      <c r="CB64" s="1509" t="n">
        <v>-7.13</v>
      </c>
      <c r="CC64" s="2097" t="n">
        <v>9.06</v>
      </c>
      <c r="CD64" s="2023" t="n">
        <v>329.94</v>
      </c>
      <c r="CE64" s="2099" t="n">
        <v>333.57</v>
      </c>
      <c r="CF64" s="2097" t="n">
        <v>9.33</v>
      </c>
      <c r="CG64" s="1509" t="n">
        <v>-9.36000000000001</v>
      </c>
      <c r="CH64" s="1482" t="n">
        <f aca="false">CI64+CL64+CO64</f>
        <v>-18.15</v>
      </c>
      <c r="CI64" s="1479" t="n">
        <f aca="false">CJ64-CK64</f>
        <v>-13.83</v>
      </c>
      <c r="CJ64" s="2017" t="n">
        <v>100.62</v>
      </c>
      <c r="CK64" s="2017" t="n">
        <v>114.45</v>
      </c>
      <c r="CL64" s="1479" t="n">
        <f aca="false">CM64-CN64</f>
        <v>-2.64</v>
      </c>
      <c r="CM64" s="2017" t="n">
        <v>5.5</v>
      </c>
      <c r="CN64" s="2017" t="n">
        <v>8.14</v>
      </c>
      <c r="CO64" s="2023" t="n">
        <f aca="false">CP64-CQ64</f>
        <v>-1.68</v>
      </c>
      <c r="CP64" s="2017" t="n">
        <v>6.19</v>
      </c>
      <c r="CQ64" s="2017" t="n">
        <v>7.87</v>
      </c>
      <c r="CR64" s="1478" t="n">
        <f aca="false">CS64-CT64</f>
        <v>-25.65</v>
      </c>
      <c r="CS64" s="1478" t="n">
        <v>9.84</v>
      </c>
      <c r="CT64" s="1478" t="n">
        <v>35.49</v>
      </c>
      <c r="CU64" s="1478" t="n">
        <f aca="false">CV64-CW64</f>
        <v>0.17</v>
      </c>
      <c r="CV64" s="2017" t="n">
        <v>2.86</v>
      </c>
      <c r="CW64" s="2017" t="n">
        <v>2.69</v>
      </c>
      <c r="CX64" s="1998" t="n">
        <f aca="false">CZ64+DA64+DB64+DC64+DD64</f>
        <v>465.401830877219</v>
      </c>
      <c r="CY64" s="2007" t="n">
        <f aca="false">CZ64+DA64+DB64</f>
        <v>429.781830877219</v>
      </c>
      <c r="CZ64" s="1509" t="n">
        <f aca="false">BR64</f>
        <v>295.16</v>
      </c>
      <c r="DA64" s="1509" t="n">
        <f aca="false">AI64</f>
        <v>50.02</v>
      </c>
      <c r="DB64" s="2017" t="n">
        <f aca="false">AO64*AX64/AV64</f>
        <v>84.6018308772188</v>
      </c>
      <c r="DC64" s="2017" t="n">
        <f aca="false">CI64</f>
        <v>-13.83</v>
      </c>
      <c r="DD64" s="1479" t="n">
        <v>49.45</v>
      </c>
      <c r="DE64" s="2023" t="n">
        <v>63.68</v>
      </c>
      <c r="DF64" s="2007" t="n">
        <f aca="false">DI64+DL64+DM64+DU64</f>
        <v>1194.70816912278</v>
      </c>
      <c r="DG64" s="2010" t="n">
        <f aca="false">DH64+DU64</f>
        <v>1141.61</v>
      </c>
      <c r="DH64" s="2010" t="n">
        <f aca="false">DJ64+DL64+AE64</f>
        <v>1144.25</v>
      </c>
      <c r="DI64" s="2010" t="n">
        <f aca="false">Y64</f>
        <v>967.56</v>
      </c>
      <c r="DJ64" s="2035" t="n">
        <f aca="false">AZ64</f>
        <v>793.28</v>
      </c>
      <c r="DK64" s="2035" t="n">
        <f aca="false">AS64</f>
        <v>174.28</v>
      </c>
      <c r="DL64" s="1509" t="n">
        <f aca="false">BM64</f>
        <v>176.69</v>
      </c>
      <c r="DM64" s="2009" t="n">
        <f aca="false">AO64*AZ64/AV64-DK64</f>
        <v>53.0981691227812</v>
      </c>
      <c r="DN64" s="514" t="n">
        <f aca="false">(DM64/GK64)/(DH64/GJ64)</f>
        <v>0.392149374843215</v>
      </c>
      <c r="DO64" s="2009" t="n">
        <f aca="false">2/3*AR64</f>
        <v>127.48</v>
      </c>
      <c r="DP64" s="2009" t="n">
        <f aca="false">GK64*DH64/GJ64</f>
        <v>135.402916666667</v>
      </c>
      <c r="DQ64" s="2009" t="n">
        <f aca="false">2/3*DP64</f>
        <v>90.2686111111111</v>
      </c>
      <c r="DR64" s="2009" t="n">
        <f aca="false">DS64*(DH64/GJ64)*GK64</f>
        <v>174.441889434882</v>
      </c>
      <c r="DS64" s="514" t="n">
        <f aca="false">(DT64/GK64)/(DH64/GJ64)</f>
        <v>1.28831707417589</v>
      </c>
      <c r="DT64" s="2012" t="n">
        <v>174.441889434882</v>
      </c>
      <c r="DU64" s="2015" t="n">
        <f aca="false">CL64</f>
        <v>-2.64</v>
      </c>
      <c r="DV64" s="2007" t="n">
        <f aca="false">DW64+DX64+DY64+EB64</f>
        <v>831.86</v>
      </c>
      <c r="DW64" s="1509" t="n">
        <f aca="false">I64</f>
        <v>200.84</v>
      </c>
      <c r="DX64" s="2017" t="n">
        <f aca="false">BS64</f>
        <v>39.1</v>
      </c>
      <c r="DY64" s="2017" t="n">
        <f aca="false">EE64+EF64</f>
        <v>194.66</v>
      </c>
      <c r="DZ64" s="2018" t="n">
        <f aca="false">EF64+EE64-EA64</f>
        <v>35.7414894757854</v>
      </c>
      <c r="EA64" s="2018" t="n">
        <f aca="false">EE64*(DF64-EB64+EH64)/(0.5*CX64+DF64-EB64+EH64)</f>
        <v>158.918510524215</v>
      </c>
      <c r="EB64" s="2017" t="n">
        <v>397.26</v>
      </c>
      <c r="EC64" s="2018" t="n">
        <f aca="false">DX64+DZ64</f>
        <v>74.8414894757854</v>
      </c>
      <c r="ED64" s="2018" t="n">
        <f aca="false">EA64+EB64</f>
        <v>556.178510524215</v>
      </c>
      <c r="EE64" s="2023" t="n">
        <v>191.29</v>
      </c>
      <c r="EF64" s="2017" t="n">
        <v>3.37</v>
      </c>
      <c r="EG64" s="2017" t="n">
        <v>408.74</v>
      </c>
      <c r="EH64" s="2023" t="n">
        <v>344.93</v>
      </c>
      <c r="EI64" s="1479" t="n">
        <v>63.81</v>
      </c>
      <c r="EJ64" s="1479" t="n">
        <v>166.73</v>
      </c>
      <c r="EK64" s="2015" t="n">
        <v>21.35</v>
      </c>
      <c r="EL64" s="1479" t="n">
        <v>1.51</v>
      </c>
      <c r="EM64" s="2017" t="n">
        <f aca="false">DV64-EF64+EL64</f>
        <v>830</v>
      </c>
      <c r="EN64" s="2023" t="n">
        <v>21.35</v>
      </c>
      <c r="EO64" s="2019" t="n">
        <f aca="false">EM64-EG64-EN64-DD64</f>
        <v>350.46</v>
      </c>
      <c r="EP64" s="2019" t="n">
        <f aca="false">EO64-S64</f>
        <v>-64.99</v>
      </c>
      <c r="EQ64" s="2023" t="n">
        <v>-26.79</v>
      </c>
      <c r="ER64" s="2023" t="n">
        <f aca="false">EP64+EQ64</f>
        <v>-91.78</v>
      </c>
      <c r="ES64" s="1479" t="n">
        <v>35.23</v>
      </c>
      <c r="ET64" s="1479" t="n">
        <v>-1.43</v>
      </c>
      <c r="EU64" s="2023" t="n">
        <f aca="false">ER64-ES64-ET64+BP64</f>
        <v>-89.14</v>
      </c>
      <c r="EV64" s="2024" t="n">
        <f aca="false">B64-DV64+EH64+DD64-CO64</f>
        <v>1375.7</v>
      </c>
      <c r="EW64" s="1478" t="n">
        <f aca="false">CX64-EC64</f>
        <v>390.560341401433</v>
      </c>
      <c r="EX64" s="1478" t="n">
        <f aca="false">($DF64-$EB64)-$EA64*($DF64-$EB64)/($DF64-$EB64+$EH64)</f>
        <v>686.513560354331</v>
      </c>
      <c r="EY64" s="1478" t="n">
        <f aca="false">$EH64-$EA64*$EH64/($DF64-$EB64+$EH64)</f>
        <v>296.946098244236</v>
      </c>
      <c r="EZ64" s="1478" t="n">
        <f aca="false">EV64+EI64</f>
        <v>1439.51</v>
      </c>
      <c r="FA64" s="2017" t="n">
        <v>1435.39</v>
      </c>
      <c r="FB64" s="2017" t="n">
        <v>147.31</v>
      </c>
      <c r="FC64" s="1478" t="n">
        <f aca="false">FB64+AG64</f>
        <v>240.43</v>
      </c>
      <c r="FD64" s="1997" t="n">
        <f aca="false">FB64+BU64-BV64</f>
        <v>170.88</v>
      </c>
      <c r="FE64" s="1479" t="n">
        <v>15.35</v>
      </c>
      <c r="FF64" s="1479" t="n">
        <v>11.61</v>
      </c>
      <c r="FG64" s="1479" t="n">
        <f aca="false">FE64+FF64</f>
        <v>26.96</v>
      </c>
      <c r="FH64" s="514" t="n">
        <f aca="false">FG64/FD64</f>
        <v>0.157771535580524</v>
      </c>
      <c r="FI64" s="1994" t="n">
        <f aca="false">FB64+FE64</f>
        <v>162.66</v>
      </c>
      <c r="FJ64" s="1994" t="n">
        <f aca="false">BU64-BV64+FF64</f>
        <v>35.1799999999999</v>
      </c>
      <c r="FK64" s="2025" t="n">
        <f aca="false">FI64+FJ64</f>
        <v>197.84</v>
      </c>
      <c r="FL64" s="1994" t="n">
        <f aca="false">FO64+FP64+FS64</f>
        <v>162.66</v>
      </c>
      <c r="FM64" s="2017" t="n">
        <v>129.72</v>
      </c>
      <c r="FN64" s="2017" t="n">
        <v>131.99</v>
      </c>
      <c r="FO64" s="1995" t="n">
        <f aca="false">FN64-AG64</f>
        <v>38.87</v>
      </c>
      <c r="FP64" s="2017" t="n">
        <v>-1.31</v>
      </c>
      <c r="FQ64" s="1478" t="n">
        <f aca="false">FI64-FO64-FP64</f>
        <v>125.1</v>
      </c>
      <c r="FR64" s="1997" t="n">
        <v>0</v>
      </c>
      <c r="FS64" s="1478" t="n">
        <f aca="false">FQ64+FR64</f>
        <v>125.1</v>
      </c>
      <c r="FT64" s="1478" t="n">
        <v>142.6</v>
      </c>
      <c r="FU64" s="1478" t="n">
        <v>10.6</v>
      </c>
      <c r="FV64" s="1478" t="n">
        <v>46.1</v>
      </c>
      <c r="FW64" s="2003" t="n">
        <v>17.5</v>
      </c>
      <c r="FX64" s="2026" t="n">
        <f aca="false">FY64+FZ64</f>
        <v>218.44</v>
      </c>
      <c r="FY64" s="2023" t="n">
        <v>211.43</v>
      </c>
      <c r="FZ64" s="2032" t="n">
        <v>7.01</v>
      </c>
      <c r="GA64" s="2015" t="n">
        <v>0</v>
      </c>
      <c r="GB64" s="402" t="n">
        <v>0.0104275286757038</v>
      </c>
      <c r="GC64" s="387" t="n">
        <v>0.0104275286757038</v>
      </c>
      <c r="GD64" s="387" t="n">
        <f aca="false">(G64/G63)/(1+GE64)-1</f>
        <v>0.0109713176013941</v>
      </c>
      <c r="GE64" s="387" t="n">
        <v>-0.0037544393708776</v>
      </c>
      <c r="GF64" s="387" t="n">
        <v>0.0163043478260869</v>
      </c>
      <c r="GG64" s="2033" t="n">
        <v>99.46</v>
      </c>
      <c r="GH64" s="465" t="n">
        <v>82534.1755</v>
      </c>
      <c r="GI64" s="465" t="n">
        <f aca="false">GJ64+GK64</f>
        <v>38918</v>
      </c>
      <c r="GJ64" s="465" t="n">
        <v>34800</v>
      </c>
      <c r="GK64" s="465" t="n">
        <v>4118</v>
      </c>
      <c r="GL64" s="25" t="n">
        <v>0.205</v>
      </c>
      <c r="GM64" s="25" t="n">
        <f aca="false">GK64/GI64</f>
        <v>0.105812220566319</v>
      </c>
      <c r="GN64" s="2101" t="n">
        <v>67421.1857446006</v>
      </c>
      <c r="GO64" s="1932" t="n">
        <f aca="false">CX64</f>
        <v>465.401830877219</v>
      </c>
      <c r="GP64" s="1932" t="n">
        <f aca="false">BU64</f>
        <v>40.7699999999999</v>
      </c>
      <c r="GQ64" s="1932" t="n">
        <f aca="false">BW64</f>
        <v>-16.49</v>
      </c>
      <c r="GR64" s="1932" t="n">
        <f aca="false">DB64</f>
        <v>84.6018308772188</v>
      </c>
      <c r="GS64" s="1509" t="n">
        <f aca="false">GO64-GP64-GQ64-GR64</f>
        <v>356.52</v>
      </c>
      <c r="GT64" s="1932" t="n">
        <f aca="false">GU64+GV64+GW64+GX64+HA64-HD64</f>
        <v>356.52</v>
      </c>
      <c r="GU64" s="2017" t="n">
        <v>42.14</v>
      </c>
      <c r="GV64" s="2017" t="n">
        <f aca="false">AI64</f>
        <v>50.02</v>
      </c>
      <c r="GW64" s="2017" t="n">
        <v>1.75</v>
      </c>
      <c r="GX64" s="1509" t="n">
        <f aca="false">GY64+GZ64</f>
        <v>250.82</v>
      </c>
      <c r="GY64" s="2017" t="n">
        <v>211.72</v>
      </c>
      <c r="GZ64" s="24" t="n">
        <f aca="false">DX64</f>
        <v>39.1</v>
      </c>
      <c r="HA64" s="2017" t="n">
        <v>75.47</v>
      </c>
      <c r="HB64" s="2017"/>
      <c r="HC64" s="2017"/>
      <c r="HD64" s="24" t="n">
        <f aca="false">DE64</f>
        <v>63.68</v>
      </c>
      <c r="HE64" s="2017" t="n">
        <v>62.13</v>
      </c>
      <c r="HF64" s="2017" t="n">
        <v>94.35</v>
      </c>
      <c r="HG64" s="1478" t="n">
        <f aca="false">HF64-HE64</f>
        <v>32.22</v>
      </c>
      <c r="HH64" s="1478" t="n">
        <f aca="false">AJ64</f>
        <v>28.56</v>
      </c>
      <c r="HI64" s="24" t="n">
        <f aca="false">HG64-HH64</f>
        <v>3.65999999999999</v>
      </c>
      <c r="HJ64" s="158" t="n">
        <f aca="false">DE64/DataDE2!AR65</f>
        <v>0.0410150714929795</v>
      </c>
      <c r="HK64" s="387" t="n">
        <f aca="false">HF64/DataDE2!AR65</f>
        <v>0.0607690325904934</v>
      </c>
    </row>
    <row r="65" customFormat="false" ht="12" hidden="false" customHeight="false" outlineLevel="0" collapsed="false">
      <c r="A65" s="31" t="n">
        <f aca="false">A64+1</f>
        <v>2004</v>
      </c>
      <c r="B65" s="1994" t="n">
        <f aca="false">E65+F65</f>
        <v>1891.58</v>
      </c>
      <c r="C65" s="381" t="n">
        <f aca="false">B65+CR65</f>
        <v>1864.49</v>
      </c>
      <c r="D65" s="1995" t="n">
        <f aca="false">B65-I65</f>
        <v>1688.94</v>
      </c>
      <c r="E65" s="1996" t="n">
        <f aca="false">CH65</f>
        <v>18.81</v>
      </c>
      <c r="F65" s="1994" t="n">
        <f aca="false">J65+AC65+AV65+BM65</f>
        <v>1872.77</v>
      </c>
      <c r="G65" s="1478" t="n">
        <f aca="false">J65+X65+BN65</f>
        <v>2195.7</v>
      </c>
      <c r="H65" s="1478" t="n">
        <f aca="false">AG65+BA65+BP65</f>
        <v>322.93</v>
      </c>
      <c r="I65" s="1998" t="n">
        <f aca="false">K65+L65+CO65</f>
        <v>202.64</v>
      </c>
      <c r="J65" s="395" t="n">
        <f aca="false">K65+L65</f>
        <v>202.6</v>
      </c>
      <c r="K65" s="1479" t="n">
        <v>212.16</v>
      </c>
      <c r="L65" s="1478" t="n">
        <f aca="false">M65+N65+O65+P65+Q65</f>
        <v>-9.56000000000005</v>
      </c>
      <c r="M65" s="1479" t="n">
        <v>5.82</v>
      </c>
      <c r="N65" s="1479" t="n">
        <v>-13.11</v>
      </c>
      <c r="O65" s="1479" t="n">
        <v>0.32</v>
      </c>
      <c r="P65" s="1479" t="n">
        <v>-0.46</v>
      </c>
      <c r="Q65" s="2015" t="n">
        <v>-2.13000000000005</v>
      </c>
      <c r="R65" s="1479" t="n">
        <v>1283.61</v>
      </c>
      <c r="S65" s="1479" t="n">
        <v>414.2</v>
      </c>
      <c r="T65" s="1479" t="n">
        <v>387.12</v>
      </c>
      <c r="U65" s="1479" t="n">
        <v>846.44</v>
      </c>
      <c r="V65" s="2015" t="n">
        <v>735.67</v>
      </c>
      <c r="W65" s="2096" t="n">
        <f aca="false">AC65+AV65</f>
        <v>1493.13</v>
      </c>
      <c r="X65" s="1479" t="n">
        <f aca="false">W65+AA65</f>
        <v>1779.19</v>
      </c>
      <c r="Y65" s="1479" t="n">
        <f aca="false">AE65+AZ65</f>
        <v>970.45</v>
      </c>
      <c r="Z65" s="1479" t="n">
        <f aca="false">W65-Y65</f>
        <v>522.68</v>
      </c>
      <c r="AA65" s="1479" t="n">
        <f aca="false">AG65+BA65</f>
        <v>286.06</v>
      </c>
      <c r="AB65" s="1319" t="n">
        <f aca="false">AA65/X65</f>
        <v>0.160781029569636</v>
      </c>
      <c r="AC65" s="1509" t="n">
        <f aca="false">AF65+AE65</f>
        <v>364.95</v>
      </c>
      <c r="AD65" s="1509" t="n">
        <f aca="false">AF65+AG65+AE65</f>
        <v>459.87</v>
      </c>
      <c r="AE65" s="1509" t="n">
        <f aca="false">AS65</f>
        <v>171.99</v>
      </c>
      <c r="AF65" s="1509" t="n">
        <f aca="false">AI65+AQ65</f>
        <v>192.96</v>
      </c>
      <c r="AG65" s="2097" t="n">
        <v>94.92</v>
      </c>
      <c r="AH65" s="1319" t="n">
        <f aca="false">AG65/AD65</f>
        <v>0.206406158262118</v>
      </c>
      <c r="AI65" s="2097" t="n">
        <v>49.81</v>
      </c>
      <c r="AJ65" s="2097" t="n">
        <v>28.79</v>
      </c>
      <c r="AK65" s="0" t="n">
        <v>90.63</v>
      </c>
      <c r="AL65" s="1478" t="n">
        <f aca="false">AK65-AI65</f>
        <v>40.82</v>
      </c>
      <c r="AM65" s="821" t="n">
        <f aca="false">AL65/AK65</f>
        <v>0.45040273640075</v>
      </c>
      <c r="AN65" s="2030" t="n">
        <f aca="false">AL65/DataDE2!AD66</f>
        <v>0.010184878317134</v>
      </c>
      <c r="AO65" s="79" t="n">
        <f aca="false">AQ65+AS65</f>
        <v>315.14</v>
      </c>
      <c r="AP65" s="2004" t="n">
        <f aca="false">AO65+AT65</f>
        <v>369.24</v>
      </c>
      <c r="AQ65" s="2097" t="n">
        <v>143.15</v>
      </c>
      <c r="AR65" s="1478" t="n">
        <f aca="false">AQ65+AT65</f>
        <v>197.25</v>
      </c>
      <c r="AS65" s="2097" t="n">
        <v>171.99</v>
      </c>
      <c r="AT65" s="1478" t="n">
        <f aca="false">AG65-AL65</f>
        <v>54.1</v>
      </c>
      <c r="AU65" s="2005" t="n">
        <f aca="false">AT65/AP65</f>
        <v>0.146517170404073</v>
      </c>
      <c r="AV65" s="2001" t="n">
        <f aca="false">AW65-BA65</f>
        <v>1128.18</v>
      </c>
      <c r="AW65" s="2004" t="n">
        <f aca="false">AY65+AZ65</f>
        <v>1319.32</v>
      </c>
      <c r="AX65" s="2004" t="n">
        <f aca="false">BD65+BI65</f>
        <v>329.72</v>
      </c>
      <c r="AY65" s="1932" t="n">
        <f aca="false">AX65+BA65</f>
        <v>520.86</v>
      </c>
      <c r="AZ65" s="1478" t="n">
        <f aca="false">BF65+BK65</f>
        <v>798.46</v>
      </c>
      <c r="BA65" s="1478" t="n">
        <f aca="false">BG65+BL65</f>
        <v>191.14</v>
      </c>
      <c r="BB65" s="821" t="n">
        <f aca="false">BA65/AW65</f>
        <v>0.144877664251281</v>
      </c>
      <c r="BC65" s="1478" t="n">
        <f aca="false">BE65+BF65</f>
        <v>1223.71</v>
      </c>
      <c r="BD65" s="2097" t="n">
        <v>303.66</v>
      </c>
      <c r="BE65" s="1509" t="n">
        <f aca="false">BD65+BG65</f>
        <v>486.7</v>
      </c>
      <c r="BF65" s="2097" t="n">
        <v>737.01</v>
      </c>
      <c r="BG65" s="2097" t="n">
        <v>183.04</v>
      </c>
      <c r="BH65" s="1478" t="n">
        <f aca="false">BJ65+BK65</f>
        <v>95.61</v>
      </c>
      <c r="BI65" s="2097" t="n">
        <v>26.06</v>
      </c>
      <c r="BJ65" s="1509" t="n">
        <f aca="false">BI65+BL65</f>
        <v>34.16</v>
      </c>
      <c r="BK65" s="2097" t="n">
        <v>61.45</v>
      </c>
      <c r="BL65" s="2097" t="n">
        <v>8.1</v>
      </c>
      <c r="BM65" s="2001" t="n">
        <f aca="false">BN65-BP65</f>
        <v>177.04</v>
      </c>
      <c r="BN65" s="2004" t="n">
        <f aca="false">BO65+BP65</f>
        <v>213.91</v>
      </c>
      <c r="BO65" s="2097" t="n">
        <v>177.04</v>
      </c>
      <c r="BP65" s="2097" t="n">
        <v>36.87</v>
      </c>
      <c r="BQ65" s="2005" t="n">
        <f aca="false">BP65/BN65</f>
        <v>0.172362208405404</v>
      </c>
      <c r="BR65" s="1509" t="n">
        <f aca="false">AY65-BA65</f>
        <v>329.72</v>
      </c>
      <c r="BS65" s="1509" t="n">
        <f aca="false">BX65+CC65</f>
        <v>47.67</v>
      </c>
      <c r="BT65" s="1509" t="n">
        <f aca="false">BY65-BZ65+CD65-CE65</f>
        <v>202.01</v>
      </c>
      <c r="BU65" s="1509" t="n">
        <f aca="false">BR65-BS65-BT65-BW65</f>
        <v>95.4400000000001</v>
      </c>
      <c r="BV65" s="1509" t="n">
        <f aca="false">CA65+CF65</f>
        <v>16.44</v>
      </c>
      <c r="BW65" s="1509" t="n">
        <f aca="false">CB65+CG65</f>
        <v>-15.4</v>
      </c>
      <c r="BX65" s="2097" t="n">
        <v>39.3</v>
      </c>
      <c r="BY65" s="2023" t="n">
        <v>302.51</v>
      </c>
      <c r="BZ65" s="2097" t="n">
        <v>89.82</v>
      </c>
      <c r="CA65" s="2097" t="n">
        <v>6.57</v>
      </c>
      <c r="CB65" s="1509" t="n">
        <v>-4.55</v>
      </c>
      <c r="CC65" s="2097" t="n">
        <v>8.37</v>
      </c>
      <c r="CD65" s="2023" t="n">
        <v>312.16</v>
      </c>
      <c r="CE65" s="2099" t="n">
        <v>322.84</v>
      </c>
      <c r="CF65" s="2097" t="n">
        <v>9.87</v>
      </c>
      <c r="CG65" s="1509" t="n">
        <v>-10.85</v>
      </c>
      <c r="CH65" s="1482" t="n">
        <f aca="false">CI65+CL65+CO65</f>
        <v>18.81</v>
      </c>
      <c r="CI65" s="1479" t="n">
        <f aca="false">CJ65-CK65</f>
        <v>20.87</v>
      </c>
      <c r="CJ65" s="2017" t="n">
        <v>132.54</v>
      </c>
      <c r="CK65" s="2017" t="n">
        <v>111.67</v>
      </c>
      <c r="CL65" s="1479" t="n">
        <f aca="false">CM65-CN65</f>
        <v>-2.1</v>
      </c>
      <c r="CM65" s="2017" t="n">
        <v>5.93</v>
      </c>
      <c r="CN65" s="2017" t="n">
        <v>8.03</v>
      </c>
      <c r="CO65" s="2023" t="n">
        <f aca="false">CP65-CQ65</f>
        <v>0.04</v>
      </c>
      <c r="CP65" s="2017" t="n">
        <v>6</v>
      </c>
      <c r="CQ65" s="2017" t="n">
        <v>5.96</v>
      </c>
      <c r="CR65" s="1478" t="n">
        <f aca="false">CS65-CT65</f>
        <v>-27.09</v>
      </c>
      <c r="CS65" s="1478" t="n">
        <v>9.51</v>
      </c>
      <c r="CT65" s="1478" t="n">
        <v>36.6</v>
      </c>
      <c r="CU65" s="1478" t="n">
        <f aca="false">CV65-CW65</f>
        <v>-0.22</v>
      </c>
      <c r="CV65" s="2017" t="n">
        <v>2.67</v>
      </c>
      <c r="CW65" s="2017" t="n">
        <v>2.89</v>
      </c>
      <c r="CX65" s="1998" t="n">
        <f aca="false">CZ65+DA65+DB65+DC65+DD65</f>
        <v>543.78228935099</v>
      </c>
      <c r="CY65" s="2007" t="n">
        <f aca="false">CZ65+DA65+DB65</f>
        <v>471.63228935099</v>
      </c>
      <c r="CZ65" s="1509" t="n">
        <f aca="false">BR65</f>
        <v>329.72</v>
      </c>
      <c r="DA65" s="1509" t="n">
        <f aca="false">AI65</f>
        <v>49.81</v>
      </c>
      <c r="DB65" s="2009" t="n">
        <f aca="false">AO65*AX65/AV65</f>
        <v>92.1022893509901</v>
      </c>
      <c r="DC65" s="2017" t="n">
        <f aca="false">CI65</f>
        <v>20.87</v>
      </c>
      <c r="DD65" s="1479" t="n">
        <v>51.28</v>
      </c>
      <c r="DE65" s="2023" t="n">
        <v>60.25</v>
      </c>
      <c r="DF65" s="2007" t="n">
        <f aca="false">DI65+DL65+DM65+DU65</f>
        <v>1196.43771064901</v>
      </c>
      <c r="DG65" s="2010" t="n">
        <f aca="false">DH65+DU65</f>
        <v>1145.39</v>
      </c>
      <c r="DH65" s="2010" t="n">
        <f aca="false">DJ65+DL65+AE65</f>
        <v>1147.49</v>
      </c>
      <c r="DI65" s="2010" t="n">
        <f aca="false">Y65</f>
        <v>970.45</v>
      </c>
      <c r="DJ65" s="2035" t="n">
        <f aca="false">AZ65</f>
        <v>798.46</v>
      </c>
      <c r="DK65" s="2035" t="n">
        <f aca="false">AS65</f>
        <v>171.99</v>
      </c>
      <c r="DL65" s="1509" t="n">
        <f aca="false">BM65</f>
        <v>177.04</v>
      </c>
      <c r="DM65" s="2009" t="n">
        <f aca="false">AO65*AZ65/AV65-DK65</f>
        <v>51.0477106490098</v>
      </c>
      <c r="DN65" s="514" t="n">
        <f aca="false">(DM65/GK65)/(DH65/GJ65)</f>
        <v>0.363425858991072</v>
      </c>
      <c r="DO65" s="2009" t="n">
        <f aca="false">2/3*AR65</f>
        <v>131.5</v>
      </c>
      <c r="DP65" s="2009" t="n">
        <f aca="false">GK65*DH65/GJ65</f>
        <v>140.462516318256</v>
      </c>
      <c r="DQ65" s="2009" t="n">
        <f aca="false">2/3*DP65</f>
        <v>93.6416775455042</v>
      </c>
      <c r="DR65" s="2009" t="n">
        <f aca="false">DS65*(DH65/GJ65)*GK65</f>
        <v>179.377133906746</v>
      </c>
      <c r="DS65" s="514" t="n">
        <f aca="false">(DT65/GK65)/(DH65/GJ65)</f>
        <v>1.27704627973714</v>
      </c>
      <c r="DT65" s="2012" t="n">
        <v>179.377133906746</v>
      </c>
      <c r="DU65" s="2015" t="n">
        <f aca="false">CL65</f>
        <v>-2.1</v>
      </c>
      <c r="DV65" s="2007" t="n">
        <f aca="false">DW65+DX65+DY65+EB65</f>
        <v>834.33</v>
      </c>
      <c r="DW65" s="1509" t="n">
        <f aca="false">I65</f>
        <v>202.64</v>
      </c>
      <c r="DX65" s="2017" t="n">
        <f aca="false">BS65</f>
        <v>47.67</v>
      </c>
      <c r="DY65" s="2017" t="n">
        <f aca="false">EE65+EF65</f>
        <v>186.56</v>
      </c>
      <c r="DZ65" s="2018" t="n">
        <f aca="false">EF65+EE65-EA65</f>
        <v>39.3400661717891</v>
      </c>
      <c r="EA65" s="2018" t="n">
        <f aca="false">EE65*(DF65-EB65+EH65)/(0.5*CX65+DF65-EB65+EH65)</f>
        <v>147.219933828211</v>
      </c>
      <c r="EB65" s="2017" t="n">
        <v>397.46</v>
      </c>
      <c r="EC65" s="2018" t="n">
        <f aca="false">DX65+DZ65</f>
        <v>87.0100661717891</v>
      </c>
      <c r="ED65" s="2018" t="n">
        <f aca="false">EA65+EB65</f>
        <v>544.679933828211</v>
      </c>
      <c r="EE65" s="2023" t="n">
        <v>182.27</v>
      </c>
      <c r="EF65" s="2017" t="n">
        <v>4.29</v>
      </c>
      <c r="EG65" s="2017" t="n">
        <v>410.83</v>
      </c>
      <c r="EH65" s="2023" t="n">
        <v>343.04</v>
      </c>
      <c r="EI65" s="1479" t="n">
        <v>67.79</v>
      </c>
      <c r="EJ65" s="1479" t="n">
        <v>163.47</v>
      </c>
      <c r="EK65" s="2015" t="n">
        <v>20.09</v>
      </c>
      <c r="EL65" s="1479" t="n">
        <v>2.21</v>
      </c>
      <c r="EM65" s="2017" t="n">
        <f aca="false">DV65-EF65+EL65</f>
        <v>832.25</v>
      </c>
      <c r="EN65" s="2023" t="n">
        <v>20.09</v>
      </c>
      <c r="EO65" s="2019" t="n">
        <f aca="false">EM65-EG65-EN65-DD65</f>
        <v>350.05</v>
      </c>
      <c r="EP65" s="2019" t="n">
        <f aca="false">EO65-S65</f>
        <v>-64.1499999999999</v>
      </c>
      <c r="EQ65" s="2023" t="n">
        <v>-24.14</v>
      </c>
      <c r="ER65" s="2023" t="n">
        <f aca="false">EP65+EQ65</f>
        <v>-88.2899999999999</v>
      </c>
      <c r="ES65" s="1479" t="n">
        <v>32.57</v>
      </c>
      <c r="ET65" s="1479" t="n">
        <v>-1.43</v>
      </c>
      <c r="EU65" s="2023" t="n">
        <f aca="false">ER65-ES65-ET65+BP65</f>
        <v>-82.5599999999999</v>
      </c>
      <c r="EV65" s="2024" t="n">
        <f aca="false">B65-DV65+EH65+DD65-CO65</f>
        <v>1451.53</v>
      </c>
      <c r="EW65" s="1478" t="n">
        <f aca="false">CX65-EC65</f>
        <v>456.772223179201</v>
      </c>
      <c r="EX65" s="1478" t="n">
        <f aca="false">($DF65-$EB65)-$EA65*($DF65-$EB65)/($DF65-$EB65+$EH65)</f>
        <v>695.97979337055</v>
      </c>
      <c r="EY65" s="1478" t="n">
        <f aca="false">$EH65-$EA65*$EH65/($DF65-$EB65+$EH65)</f>
        <v>298.817983450249</v>
      </c>
      <c r="EZ65" s="1478" t="n">
        <f aca="false">EV65+EI65</f>
        <v>1519.32</v>
      </c>
      <c r="FA65" s="2017" t="n">
        <v>1514.44</v>
      </c>
      <c r="FB65" s="2017" t="n">
        <v>151.83</v>
      </c>
      <c r="FC65" s="1478" t="n">
        <f aca="false">FB65+AG65</f>
        <v>246.75</v>
      </c>
      <c r="FD65" s="1997" t="n">
        <f aca="false">FB65+BU65-BV65</f>
        <v>230.83</v>
      </c>
      <c r="FE65" s="1479" t="n">
        <v>15.33</v>
      </c>
      <c r="FF65" s="1479" t="n">
        <v>8.59</v>
      </c>
      <c r="FG65" s="1479" t="n">
        <f aca="false">FE65+FF65</f>
        <v>23.92</v>
      </c>
      <c r="FH65" s="514" t="n">
        <f aca="false">FG65/FD65</f>
        <v>0.103626045141446</v>
      </c>
      <c r="FI65" s="1994" t="n">
        <f aca="false">FB65+FE65</f>
        <v>167.16</v>
      </c>
      <c r="FJ65" s="1994" t="n">
        <f aca="false">BU65-BV65+FF65</f>
        <v>87.5900000000001</v>
      </c>
      <c r="FK65" s="2025" t="n">
        <f aca="false">FI65+FJ65</f>
        <v>254.75</v>
      </c>
      <c r="FL65" s="1994" t="n">
        <f aca="false">FO65+FP65+FS65</f>
        <v>167.16</v>
      </c>
      <c r="FM65" s="2017" t="n">
        <v>127.72</v>
      </c>
      <c r="FN65" s="2017" t="n">
        <v>130.15</v>
      </c>
      <c r="FO65" s="1995" t="n">
        <f aca="false">FN65-AG65</f>
        <v>35.23</v>
      </c>
      <c r="FP65" s="2017" t="n">
        <v>-1.47</v>
      </c>
      <c r="FQ65" s="1478" t="n">
        <f aca="false">FI65-FO65-FP65</f>
        <v>133.4</v>
      </c>
      <c r="FR65" s="1997" t="n">
        <v>0</v>
      </c>
      <c r="FS65" s="1478" t="n">
        <f aca="false">FQ65+FR65</f>
        <v>133.4</v>
      </c>
      <c r="FT65" s="1478" t="n">
        <v>134.5</v>
      </c>
      <c r="FU65" s="1478" t="n">
        <v>-8.3</v>
      </c>
      <c r="FV65" s="1478" t="n">
        <v>48.2</v>
      </c>
      <c r="FW65" s="2003" t="n">
        <v>1.1</v>
      </c>
      <c r="FX65" s="2026" t="n">
        <f aca="false">FY65+FZ65</f>
        <v>226.83</v>
      </c>
      <c r="FY65" s="2023" t="n">
        <v>219.44</v>
      </c>
      <c r="FZ65" s="2032" t="n">
        <v>7.39</v>
      </c>
      <c r="GA65" s="2015" t="n">
        <v>0</v>
      </c>
      <c r="GB65" s="402" t="n">
        <v>0.0165118679050567</v>
      </c>
      <c r="GC65" s="387" t="n">
        <v>0.0165118679050567</v>
      </c>
      <c r="GD65" s="387" t="n">
        <f aca="false">(G65/G64)/(1+GE65)-1</f>
        <v>0.0107090309564881</v>
      </c>
      <c r="GE65" s="387" t="n">
        <v>0.011611326135669</v>
      </c>
      <c r="GF65" s="387" t="n">
        <v>0.0115178938708351</v>
      </c>
      <c r="GG65" s="2033" t="n">
        <v>99.23</v>
      </c>
      <c r="GH65" s="465" t="n">
        <v>82516.26</v>
      </c>
      <c r="GI65" s="465" t="n">
        <f aca="false">GJ65+GK65</f>
        <v>39034</v>
      </c>
      <c r="GJ65" s="465" t="n">
        <v>34777</v>
      </c>
      <c r="GK65" s="465" t="n">
        <v>4257</v>
      </c>
      <c r="GL65" s="25" t="n">
        <v>0.203</v>
      </c>
      <c r="GM65" s="25" t="n">
        <f aca="false">GK65/GI65</f>
        <v>0.109058769278065</v>
      </c>
      <c r="GN65" s="2101" t="n">
        <v>67499.5441580115</v>
      </c>
      <c r="GO65" s="1932" t="n">
        <f aca="false">CX65</f>
        <v>543.78228935099</v>
      </c>
      <c r="GP65" s="1932" t="n">
        <f aca="false">BU65</f>
        <v>95.4400000000001</v>
      </c>
      <c r="GQ65" s="1932" t="n">
        <f aca="false">BW65</f>
        <v>-15.4</v>
      </c>
      <c r="GR65" s="1932" t="n">
        <f aca="false">DB65</f>
        <v>92.1022893509901</v>
      </c>
      <c r="GS65" s="1509" t="n">
        <f aca="false">GO65-GP65-GQ65-GR65</f>
        <v>371.64</v>
      </c>
      <c r="GT65" s="1932" t="n">
        <f aca="false">GU65+GV65+GW65+GX65+HA65-HD65</f>
        <v>371.64</v>
      </c>
      <c r="GU65" s="2017" t="n">
        <v>41.44</v>
      </c>
      <c r="GV65" s="2017" t="n">
        <f aca="false">AI65</f>
        <v>49.81</v>
      </c>
      <c r="GW65" s="2017" t="n">
        <v>1.75</v>
      </c>
      <c r="GX65" s="1509" t="n">
        <f aca="false">GY65+GZ65</f>
        <v>266.09</v>
      </c>
      <c r="GY65" s="2017" t="n">
        <v>218.42</v>
      </c>
      <c r="GZ65" s="24" t="n">
        <f aca="false">DX65</f>
        <v>47.67</v>
      </c>
      <c r="HA65" s="2017" t="n">
        <v>72.8</v>
      </c>
      <c r="HB65" s="2017"/>
      <c r="HC65" s="2017"/>
      <c r="HD65" s="24" t="n">
        <f aca="false">DE65</f>
        <v>60.25</v>
      </c>
      <c r="HE65" s="2017" t="n">
        <v>58.69</v>
      </c>
      <c r="HF65" s="2017" t="n">
        <v>91.27</v>
      </c>
      <c r="HG65" s="1478" t="n">
        <f aca="false">HF65-HE65</f>
        <v>32.58</v>
      </c>
      <c r="HH65" s="1478" t="n">
        <f aca="false">AJ65</f>
        <v>28.79</v>
      </c>
      <c r="HI65" s="24" t="n">
        <f aca="false">HG65-HH65</f>
        <v>3.79</v>
      </c>
      <c r="HJ65" s="158" t="n">
        <f aca="false">DE65/DataDE2!AR66</f>
        <v>0.0384002549394519</v>
      </c>
      <c r="HK65" s="387" t="n">
        <f aca="false">HF65/DataDE2!AR66</f>
        <v>0.0581708094327597</v>
      </c>
    </row>
    <row r="66" customFormat="false" ht="12" hidden="false" customHeight="false" outlineLevel="0" collapsed="false">
      <c r="A66" s="31" t="n">
        <f aca="false">A65+1</f>
        <v>2005</v>
      </c>
      <c r="B66" s="1994" t="n">
        <f aca="false">E66+F66</f>
        <v>1921.63</v>
      </c>
      <c r="C66" s="381" t="n">
        <f aca="false">B66+CR66</f>
        <v>1893.8</v>
      </c>
      <c r="D66" s="1995" t="n">
        <f aca="false">B66-I66</f>
        <v>1716.34</v>
      </c>
      <c r="E66" s="1996" t="n">
        <f aca="false">CH66</f>
        <v>25.19</v>
      </c>
      <c r="F66" s="1994" t="n">
        <f aca="false">J66+AC66+AV66+BM66</f>
        <v>1896.44</v>
      </c>
      <c r="G66" s="1478" t="n">
        <f aca="false">J66+X66+BN66</f>
        <v>2224.4</v>
      </c>
      <c r="H66" s="1478" t="n">
        <f aca="false">AG66+BA66+BP66</f>
        <v>327.96</v>
      </c>
      <c r="I66" s="1998" t="n">
        <f aca="false">K66+L66+CO66</f>
        <v>205.29</v>
      </c>
      <c r="J66" s="395" t="n">
        <f aca="false">K66+L66</f>
        <v>205.88</v>
      </c>
      <c r="K66" s="1479" t="n">
        <v>218.04</v>
      </c>
      <c r="L66" s="1478" t="n">
        <f aca="false">M66+N66+O66+P66+Q66</f>
        <v>-12.16</v>
      </c>
      <c r="M66" s="1479" t="n">
        <v>6.06</v>
      </c>
      <c r="N66" s="1479" t="n">
        <v>-15.46</v>
      </c>
      <c r="O66" s="1479" t="n">
        <v>0.33</v>
      </c>
      <c r="P66" s="1479" t="n">
        <v>-0.44</v>
      </c>
      <c r="Q66" s="2015" t="n">
        <v>-2.65000000000004</v>
      </c>
      <c r="R66" s="1479" t="n">
        <v>1306.98</v>
      </c>
      <c r="S66" s="1479" t="n">
        <v>417.3</v>
      </c>
      <c r="T66" s="1479" t="n">
        <v>384.13</v>
      </c>
      <c r="U66" s="1479" t="n">
        <v>919.07</v>
      </c>
      <c r="V66" s="2015" t="n">
        <v>803.08</v>
      </c>
      <c r="W66" s="2096" t="n">
        <f aca="false">AC66+AV66</f>
        <v>1513.81</v>
      </c>
      <c r="X66" s="1479" t="n">
        <f aca="false">W66+AA66</f>
        <v>1804.43</v>
      </c>
      <c r="Y66" s="1479" t="n">
        <f aca="false">AE66+AZ66</f>
        <v>962.68</v>
      </c>
      <c r="Z66" s="1479" t="n">
        <f aca="false">W66-Y66</f>
        <v>551.13</v>
      </c>
      <c r="AA66" s="1479" t="n">
        <f aca="false">AG66+BA66</f>
        <v>290.62</v>
      </c>
      <c r="AB66" s="1319" t="n">
        <f aca="false">AA66/X66</f>
        <v>0.161059171040162</v>
      </c>
      <c r="AC66" s="1509" t="n">
        <f aca="false">AF66+AE66</f>
        <v>370.14</v>
      </c>
      <c r="AD66" s="1509" t="n">
        <f aca="false">AF66+AG66+AE66</f>
        <v>467.42</v>
      </c>
      <c r="AE66" s="1509" t="n">
        <f aca="false">AS66</f>
        <v>168.4</v>
      </c>
      <c r="AF66" s="1509" t="n">
        <f aca="false">AI66+AQ66</f>
        <v>201.74</v>
      </c>
      <c r="AG66" s="2097" t="n">
        <v>97.28</v>
      </c>
      <c r="AH66" s="1319" t="n">
        <f aca="false">AG66/AD66</f>
        <v>0.208121175816182</v>
      </c>
      <c r="AI66" s="2097" t="n">
        <v>51.58</v>
      </c>
      <c r="AJ66" s="2097" t="n">
        <v>27.96</v>
      </c>
      <c r="AK66" s="0" t="n">
        <v>93.62</v>
      </c>
      <c r="AL66" s="1478" t="n">
        <f aca="false">AK66-AI66</f>
        <v>42.04</v>
      </c>
      <c r="AM66" s="821" t="n">
        <f aca="false">AL66/AK66</f>
        <v>0.449049348429823</v>
      </c>
      <c r="AN66" s="2030" t="n">
        <f aca="false">AL66/DataDE2!AD67</f>
        <v>0.0101541639244532</v>
      </c>
      <c r="AO66" s="79" t="n">
        <f aca="false">AQ66+AS66</f>
        <v>318.56</v>
      </c>
      <c r="AP66" s="2004" t="n">
        <f aca="false">AO66+AT66</f>
        <v>373.8</v>
      </c>
      <c r="AQ66" s="2097" t="n">
        <v>150.16</v>
      </c>
      <c r="AR66" s="1478" t="n">
        <f aca="false">AQ66+AT66</f>
        <v>205.4</v>
      </c>
      <c r="AS66" s="2097" t="n">
        <v>168.4</v>
      </c>
      <c r="AT66" s="1478" t="n">
        <f aca="false">AG66-AL66</f>
        <v>55.24</v>
      </c>
      <c r="AU66" s="2005" t="n">
        <f aca="false">AT66/AP66</f>
        <v>0.147779561262707</v>
      </c>
      <c r="AV66" s="2001" t="n">
        <f aca="false">AW66-BA66</f>
        <v>1143.67</v>
      </c>
      <c r="AW66" s="2004" t="n">
        <f aca="false">AY66+AZ66</f>
        <v>1337.01</v>
      </c>
      <c r="AX66" s="2004" t="n">
        <f aca="false">BD66+BI66</f>
        <v>349.39</v>
      </c>
      <c r="AY66" s="1932" t="n">
        <f aca="false">AX66+BA66</f>
        <v>542.73</v>
      </c>
      <c r="AZ66" s="1478" t="n">
        <f aca="false">BF66+BK66</f>
        <v>794.28</v>
      </c>
      <c r="BA66" s="1478" t="n">
        <f aca="false">BG66+BL66</f>
        <v>193.34</v>
      </c>
      <c r="BB66" s="821" t="n">
        <f aca="false">BA66/AW66</f>
        <v>0.144606248270394</v>
      </c>
      <c r="BC66" s="1478" t="n">
        <f aca="false">BE66+BF66</f>
        <v>1246.68</v>
      </c>
      <c r="BD66" s="2097" t="n">
        <v>327.6</v>
      </c>
      <c r="BE66" s="1509" t="n">
        <f aca="false">BD66+BG66</f>
        <v>512.94</v>
      </c>
      <c r="BF66" s="2097" t="n">
        <v>733.74</v>
      </c>
      <c r="BG66" s="2097" t="n">
        <v>185.34</v>
      </c>
      <c r="BH66" s="1478" t="n">
        <f aca="false">BJ66+BK66</f>
        <v>90.33</v>
      </c>
      <c r="BI66" s="2097" t="n">
        <v>21.79</v>
      </c>
      <c r="BJ66" s="1509" t="n">
        <f aca="false">BI66+BL66</f>
        <v>29.79</v>
      </c>
      <c r="BK66" s="2097" t="n">
        <v>60.54</v>
      </c>
      <c r="BL66" s="2097" t="n">
        <v>8</v>
      </c>
      <c r="BM66" s="2001" t="n">
        <f aca="false">BN66-BP66</f>
        <v>176.75</v>
      </c>
      <c r="BN66" s="2004" t="n">
        <f aca="false">BO66+BP66</f>
        <v>214.09</v>
      </c>
      <c r="BO66" s="2097" t="n">
        <v>176.75</v>
      </c>
      <c r="BP66" s="2097" t="n">
        <v>37.34</v>
      </c>
      <c r="BQ66" s="2005" t="n">
        <f aca="false">BP66/BN66</f>
        <v>0.174412630202251</v>
      </c>
      <c r="BR66" s="1509" t="n">
        <f aca="false">AY66-BA66</f>
        <v>349.39</v>
      </c>
      <c r="BS66" s="1509" t="n">
        <f aca="false">BX66+CC66</f>
        <v>55.16</v>
      </c>
      <c r="BT66" s="1509" t="n">
        <f aca="false">BY66-BZ66+CD66-CE66</f>
        <v>223.13</v>
      </c>
      <c r="BU66" s="1509" t="n">
        <f aca="false">BR66-BS66-BT66-BW66</f>
        <v>84.69</v>
      </c>
      <c r="BV66" s="1509" t="n">
        <f aca="false">CA66+CF66</f>
        <v>15.72</v>
      </c>
      <c r="BW66" s="1509" t="n">
        <f aca="false">CB66+CG66</f>
        <v>-13.59</v>
      </c>
      <c r="BX66" s="2097" t="n">
        <v>41.87</v>
      </c>
      <c r="BY66" s="2023" t="n">
        <v>343.41</v>
      </c>
      <c r="BZ66" s="2097" t="n">
        <v>98.13</v>
      </c>
      <c r="CA66" s="2097" t="n">
        <v>5.53</v>
      </c>
      <c r="CB66" s="1509" t="n">
        <v>-2.13</v>
      </c>
      <c r="CC66" s="2097" t="n">
        <v>13.29</v>
      </c>
      <c r="CD66" s="2023" t="n">
        <v>327.42</v>
      </c>
      <c r="CE66" s="2099" t="n">
        <v>349.57</v>
      </c>
      <c r="CF66" s="2097" t="n">
        <v>10.19</v>
      </c>
      <c r="CG66" s="1509" t="n">
        <v>-11.46</v>
      </c>
      <c r="CH66" s="1482" t="n">
        <f aca="false">CI66+CL66+CO66</f>
        <v>25.19</v>
      </c>
      <c r="CI66" s="1479" t="n">
        <f aca="false">CJ66-CK66</f>
        <v>27.57</v>
      </c>
      <c r="CJ66" s="2017" t="n">
        <v>158.79</v>
      </c>
      <c r="CK66" s="2017" t="n">
        <v>131.22</v>
      </c>
      <c r="CL66" s="1479" t="n">
        <f aca="false">CM66-CN66</f>
        <v>-1.79</v>
      </c>
      <c r="CM66" s="2017" t="n">
        <v>6.21</v>
      </c>
      <c r="CN66" s="2017" t="n">
        <v>8</v>
      </c>
      <c r="CO66" s="2023" t="n">
        <f aca="false">CP66-CQ66</f>
        <v>-0.590000000000001</v>
      </c>
      <c r="CP66" s="2017" t="n">
        <v>6.14</v>
      </c>
      <c r="CQ66" s="2017" t="n">
        <v>6.73</v>
      </c>
      <c r="CR66" s="1478" t="n">
        <f aca="false">CS66-CT66</f>
        <v>-27.83</v>
      </c>
      <c r="CS66" s="1478" t="n">
        <v>10.97</v>
      </c>
      <c r="CT66" s="1478" t="n">
        <v>38.8</v>
      </c>
      <c r="CU66" s="1478" t="n">
        <f aca="false">CV66-CW66</f>
        <v>-0.92</v>
      </c>
      <c r="CV66" s="2017" t="n">
        <v>3.03</v>
      </c>
      <c r="CW66" s="2017" t="n">
        <v>3.95</v>
      </c>
      <c r="CX66" s="1998" t="n">
        <f aca="false">CZ66+DA66+DB66+DC66+DD66</f>
        <v>575.239749927864</v>
      </c>
      <c r="CY66" s="2007" t="n">
        <f aca="false">CZ66+DA66+DB66</f>
        <v>498.289749927864</v>
      </c>
      <c r="CZ66" s="1509" t="n">
        <f aca="false">BR66</f>
        <v>349.39</v>
      </c>
      <c r="DA66" s="1509" t="n">
        <f aca="false">AI66</f>
        <v>51.58</v>
      </c>
      <c r="DB66" s="2009" t="n">
        <f aca="false">AO66*AX66/AV66</f>
        <v>97.3197499278638</v>
      </c>
      <c r="DC66" s="2017" t="n">
        <f aca="false">CI66</f>
        <v>27.57</v>
      </c>
      <c r="DD66" s="1479" t="n">
        <v>49.38</v>
      </c>
      <c r="DE66" s="2023" t="n">
        <v>58.5</v>
      </c>
      <c r="DF66" s="2007" t="n">
        <f aca="false">DI66+DL66+DM66+DU66</f>
        <v>1190.48025007214</v>
      </c>
      <c r="DG66" s="2010" t="n">
        <f aca="false">DH66+DU66</f>
        <v>1137.64</v>
      </c>
      <c r="DH66" s="2010" t="n">
        <f aca="false">DJ66+DL66+AE66</f>
        <v>1139.43</v>
      </c>
      <c r="DI66" s="2010" t="n">
        <f aca="false">Y66</f>
        <v>962.68</v>
      </c>
      <c r="DJ66" s="2035" t="n">
        <f aca="false">AZ66</f>
        <v>794.28</v>
      </c>
      <c r="DK66" s="2035" t="n">
        <f aca="false">AS66</f>
        <v>168.4</v>
      </c>
      <c r="DL66" s="1509" t="n">
        <f aca="false">BM66</f>
        <v>176.75</v>
      </c>
      <c r="DM66" s="2009" t="n">
        <f aca="false">AO66*AZ66/AV66-DK66</f>
        <v>52.8402500721362</v>
      </c>
      <c r="DN66" s="514" t="n">
        <f aca="false">(DM66/GK66)/(DH66/GJ66)</f>
        <v>0.362836511266082</v>
      </c>
      <c r="DO66" s="2009" t="n">
        <f aca="false">2/3*AR66</f>
        <v>136.933333333333</v>
      </c>
      <c r="DP66" s="2009" t="n">
        <f aca="false">GK66*DH66/GJ66</f>
        <v>145.631016811829</v>
      </c>
      <c r="DQ66" s="2009" t="n">
        <f aca="false">2/3*DP66</f>
        <v>97.0873445412194</v>
      </c>
      <c r="DR66" s="2009" t="n">
        <f aca="false">DS66*(DH66/GJ66)*GK66</f>
        <v>185.231570098209</v>
      </c>
      <c r="DS66" s="514" t="n">
        <f aca="false">(DT66/GK66)/(DH66/GJ66)</f>
        <v>1.27192389473973</v>
      </c>
      <c r="DT66" s="2012" t="n">
        <v>185.231570098209</v>
      </c>
      <c r="DU66" s="2015" t="n">
        <f aca="false">CL66</f>
        <v>-1.79</v>
      </c>
      <c r="DV66" s="2007" t="n">
        <f aca="false">DW66+DX66+DY66+EB66</f>
        <v>846.06</v>
      </c>
      <c r="DW66" s="1509" t="n">
        <f aca="false">I66</f>
        <v>205.29</v>
      </c>
      <c r="DX66" s="2017" t="n">
        <f aca="false">BS66</f>
        <v>55.16</v>
      </c>
      <c r="DY66" s="2017" t="n">
        <f aca="false">EE66+EF66</f>
        <v>188.47</v>
      </c>
      <c r="DZ66" s="2018" t="n">
        <f aca="false">EF66+EE66-EA66</f>
        <v>41.4587271571266</v>
      </c>
      <c r="EA66" s="2018" t="n">
        <f aca="false">EE66*(DF66-EB66+EH66)/(0.5*CX66+DF66-EB66+EH66)</f>
        <v>147.011272842873</v>
      </c>
      <c r="EB66" s="2017" t="n">
        <v>397.14</v>
      </c>
      <c r="EC66" s="2018" t="n">
        <f aca="false">DX66+DZ66</f>
        <v>96.6187271571266</v>
      </c>
      <c r="ED66" s="2018" t="n">
        <f aca="false">EA66+EB66</f>
        <v>544.151272842873</v>
      </c>
      <c r="EE66" s="2023" t="n">
        <v>184.37</v>
      </c>
      <c r="EF66" s="2017" t="n">
        <v>4.1</v>
      </c>
      <c r="EG66" s="2017" t="n">
        <v>412.3</v>
      </c>
      <c r="EH66" s="2023" t="n">
        <v>338.48</v>
      </c>
      <c r="EI66" s="1479" t="n">
        <v>73.82</v>
      </c>
      <c r="EJ66" s="1479" t="n">
        <v>167.36</v>
      </c>
      <c r="EK66" s="2015" t="n">
        <v>22.04</v>
      </c>
      <c r="EL66" s="1479" t="n">
        <v>2.74</v>
      </c>
      <c r="EM66" s="2017" t="n">
        <f aca="false">DV66-EF66+EL66</f>
        <v>844.7</v>
      </c>
      <c r="EN66" s="2023" t="n">
        <v>22.04</v>
      </c>
      <c r="EO66" s="2019" t="n">
        <f aca="false">EM66-EG66-EN66-DD66</f>
        <v>360.98</v>
      </c>
      <c r="EP66" s="2019" t="n">
        <f aca="false">EO66-S66</f>
        <v>-56.3200000000001</v>
      </c>
      <c r="EQ66" s="2023" t="n">
        <v>-25.15</v>
      </c>
      <c r="ER66" s="2023" t="n">
        <f aca="false">EP66+EQ66</f>
        <v>-81.4700000000001</v>
      </c>
      <c r="ES66" s="1479" t="n">
        <v>31.42</v>
      </c>
      <c r="ET66" s="1479" t="n">
        <v>-1.43</v>
      </c>
      <c r="EU66" s="2023" t="n">
        <f aca="false">ER66-ES66-ET66+BP66</f>
        <v>-74.1200000000001</v>
      </c>
      <c r="EV66" s="2024" t="n">
        <f aca="false">B66-DV66+EH66+DD66-CO66</f>
        <v>1464.02</v>
      </c>
      <c r="EW66" s="1478" t="n">
        <f aca="false">CX66-EC66</f>
        <v>478.621022770737</v>
      </c>
      <c r="EX66" s="1478" t="n">
        <f aca="false">($DF66-$EB66)-$EA66*($DF66-$EB66)/($DF66-$EB66+$EH66)</f>
        <v>690.29388740708</v>
      </c>
      <c r="EY66" s="1478" t="n">
        <f aca="false">$EH66-$EA66*$EH66/($DF66-$EB66+$EH66)</f>
        <v>294.515089822183</v>
      </c>
      <c r="EZ66" s="1478" t="n">
        <f aca="false">EV66+EI66</f>
        <v>1537.84</v>
      </c>
      <c r="FA66" s="2017" t="n">
        <v>1532.82</v>
      </c>
      <c r="FB66" s="2017" t="n">
        <v>156.87</v>
      </c>
      <c r="FC66" s="1478" t="n">
        <f aca="false">FB66+AG66</f>
        <v>254.15</v>
      </c>
      <c r="FD66" s="1997" t="n">
        <f aca="false">FB66+BU66-BV66</f>
        <v>225.84</v>
      </c>
      <c r="FE66" s="1479" t="n">
        <v>18.42</v>
      </c>
      <c r="FF66" s="1479" t="n">
        <v>5.81</v>
      </c>
      <c r="FG66" s="1479" t="n">
        <f aca="false">FE66+FF66</f>
        <v>24.23</v>
      </c>
      <c r="FH66" s="514" t="n">
        <f aca="false">FG66/FD66</f>
        <v>0.107288345731491</v>
      </c>
      <c r="FI66" s="1994" t="n">
        <f aca="false">FB66+FE66</f>
        <v>175.29</v>
      </c>
      <c r="FJ66" s="1994" t="n">
        <f aca="false">BU66-BV66+FF66</f>
        <v>74.78</v>
      </c>
      <c r="FK66" s="2025" t="n">
        <f aca="false">FI66+FJ66</f>
        <v>250.07</v>
      </c>
      <c r="FL66" s="1994" t="n">
        <f aca="false">FO66+FP66+FS66</f>
        <v>175.29</v>
      </c>
      <c r="FM66" s="2017" t="n">
        <v>126.91</v>
      </c>
      <c r="FN66" s="2017" t="n">
        <v>128.31</v>
      </c>
      <c r="FO66" s="1995" t="n">
        <f aca="false">FN66-AG66</f>
        <v>31.03</v>
      </c>
      <c r="FP66" s="2017" t="n">
        <v>-0.44</v>
      </c>
      <c r="FQ66" s="1478" t="n">
        <f aca="false">FI66-FO66-FP66</f>
        <v>144.7</v>
      </c>
      <c r="FR66" s="1997" t="n">
        <v>0</v>
      </c>
      <c r="FS66" s="1478" t="n">
        <f aca="false">FQ66+FR66</f>
        <v>144.7</v>
      </c>
      <c r="FT66" s="1478" t="n">
        <v>137.4</v>
      </c>
      <c r="FU66" s="1478" t="n">
        <v>16.6</v>
      </c>
      <c r="FV66" s="1478" t="n">
        <v>59.3</v>
      </c>
      <c r="FW66" s="2003" t="n">
        <v>-7.3</v>
      </c>
      <c r="FX66" s="2026" t="n">
        <f aca="false">FY66+FZ66</f>
        <v>225.8</v>
      </c>
      <c r="FY66" s="2023" t="n">
        <v>218.57</v>
      </c>
      <c r="FZ66" s="2032" t="n">
        <v>7.23</v>
      </c>
      <c r="GA66" s="2015" t="n">
        <v>0</v>
      </c>
      <c r="GB66" s="402" t="n">
        <v>0.015228426395939</v>
      </c>
      <c r="GC66" s="387" t="n">
        <v>0.015228426395939</v>
      </c>
      <c r="GD66" s="387" t="n">
        <f aca="false">(G66/G65)/(1+GE66)-1</f>
        <v>0.00618211959739456</v>
      </c>
      <c r="GE66" s="387" t="n">
        <v>0.00684655658477662</v>
      </c>
      <c r="GF66" s="387" t="n">
        <v>0.0166734444896299</v>
      </c>
      <c r="GG66" s="2033" t="n">
        <v>100</v>
      </c>
      <c r="GH66" s="465" t="n">
        <v>82469.422</v>
      </c>
      <c r="GI66" s="465" t="n">
        <f aca="false">GJ66+GK66</f>
        <v>38976</v>
      </c>
      <c r="GJ66" s="465" t="n">
        <v>34559</v>
      </c>
      <c r="GK66" s="465" t="n">
        <v>4417</v>
      </c>
      <c r="GL66" s="25" t="n">
        <v>0.2</v>
      </c>
      <c r="GM66" s="25" t="n">
        <f aca="false">GK66/GI66</f>
        <v>0.113326149425287</v>
      </c>
      <c r="GN66" s="2101" t="n">
        <v>67540.2088334879</v>
      </c>
      <c r="GO66" s="1932" t="n">
        <f aca="false">CX66</f>
        <v>575.239749927864</v>
      </c>
      <c r="GP66" s="1932" t="n">
        <f aca="false">BU66</f>
        <v>84.69</v>
      </c>
      <c r="GQ66" s="1932" t="n">
        <f aca="false">BW66</f>
        <v>-13.59</v>
      </c>
      <c r="GR66" s="1932" t="n">
        <f aca="false">DB66</f>
        <v>97.3197499278638</v>
      </c>
      <c r="GS66" s="1509" t="n">
        <f aca="false">GO66-GP66-GQ66-GR66</f>
        <v>406.82</v>
      </c>
      <c r="GT66" s="1932" t="n">
        <f aca="false">GU66+GV66+GW66+GX66+HA66-HD66</f>
        <v>406.82</v>
      </c>
      <c r="GU66" s="2017" t="n">
        <v>41.98</v>
      </c>
      <c r="GV66" s="2017" t="n">
        <f aca="false">AI66</f>
        <v>51.58</v>
      </c>
      <c r="GW66" s="2017" t="n">
        <v>1.8</v>
      </c>
      <c r="GX66" s="1509" t="n">
        <f aca="false">GY66+GZ66</f>
        <v>303.34</v>
      </c>
      <c r="GY66" s="2017" t="n">
        <v>248.18</v>
      </c>
      <c r="GZ66" s="24" t="n">
        <f aca="false">DX66</f>
        <v>55.16</v>
      </c>
      <c r="HA66" s="2017" t="n">
        <v>66.62</v>
      </c>
      <c r="HB66" s="2017" t="n">
        <v>44.37</v>
      </c>
      <c r="HC66" s="2017" t="n">
        <f aca="false">HA66-HB66</f>
        <v>22.25</v>
      </c>
      <c r="HD66" s="24" t="n">
        <f aca="false">DE66</f>
        <v>58.5</v>
      </c>
      <c r="HE66" s="2017" t="n">
        <v>56.75</v>
      </c>
      <c r="HF66" s="2017" t="n">
        <v>88.58</v>
      </c>
      <c r="HG66" s="1478" t="n">
        <f aca="false">HF66-HE66</f>
        <v>31.83</v>
      </c>
      <c r="HH66" s="1478" t="n">
        <f aca="false">AJ66</f>
        <v>27.96</v>
      </c>
      <c r="HI66" s="24" t="n">
        <f aca="false">HG66-HH66</f>
        <v>3.87</v>
      </c>
      <c r="HJ66" s="158" t="n">
        <f aca="false">DE66/DataDE2!AR67</f>
        <v>0.0371546522705621</v>
      </c>
      <c r="HK66" s="387" t="n">
        <f aca="false">HF66/DataDE2!AR67</f>
        <v>0.0562591298825024</v>
      </c>
    </row>
    <row r="67" customFormat="false" ht="12" hidden="false" customHeight="false" outlineLevel="0" collapsed="false">
      <c r="A67" s="31" t="n">
        <f aca="false">A66+1</f>
        <v>2006</v>
      </c>
      <c r="B67" s="1994" t="n">
        <f aca="false">E67+F67</f>
        <v>2025.2</v>
      </c>
      <c r="C67" s="381" t="n">
        <f aca="false">B67+CR67</f>
        <v>1998.02</v>
      </c>
      <c r="D67" s="1995" t="n">
        <f aca="false">B67-I67</f>
        <v>1811.46</v>
      </c>
      <c r="E67" s="1996" t="n">
        <f aca="false">CH67</f>
        <v>47.13</v>
      </c>
      <c r="F67" s="1994" t="n">
        <f aca="false">J67+AC67+AV67+BM67</f>
        <v>1978.07</v>
      </c>
      <c r="G67" s="1478" t="n">
        <f aca="false">J67+X67+BN67</f>
        <v>2313.9</v>
      </c>
      <c r="H67" s="1478" t="n">
        <f aca="false">AG67+BA67+BP67</f>
        <v>335.83</v>
      </c>
      <c r="I67" s="1998" t="n">
        <f aca="false">K67+L67+CO67</f>
        <v>213.74</v>
      </c>
      <c r="J67" s="395" t="n">
        <f aca="false">K67+L67</f>
        <v>213.67</v>
      </c>
      <c r="K67" s="1479" t="n">
        <v>227.62</v>
      </c>
      <c r="L67" s="1478" t="n">
        <f aca="false">M67+N67+O67+P67+Q67</f>
        <v>-13.95</v>
      </c>
      <c r="M67" s="1479" t="n">
        <v>5.98</v>
      </c>
      <c r="N67" s="1479" t="n">
        <v>-17.18</v>
      </c>
      <c r="O67" s="1479" t="n">
        <v>0.35</v>
      </c>
      <c r="P67" s="1479" t="n">
        <v>-0.36</v>
      </c>
      <c r="Q67" s="2015" t="n">
        <v>-2.73999999999997</v>
      </c>
      <c r="R67" s="1479" t="n">
        <v>1339.54</v>
      </c>
      <c r="S67" s="1479" t="n">
        <v>424.69</v>
      </c>
      <c r="T67" s="1479" t="n">
        <v>419.62</v>
      </c>
      <c r="U67" s="1479" t="n">
        <v>1053.14</v>
      </c>
      <c r="V67" s="2015" t="n">
        <v>923.09</v>
      </c>
      <c r="W67" s="2096" t="n">
        <f aca="false">AC67+AV67</f>
        <v>1587.2</v>
      </c>
      <c r="X67" s="1479" t="n">
        <f aca="false">W67+AA67</f>
        <v>1884.79</v>
      </c>
      <c r="Y67" s="1479" t="n">
        <f aca="false">AE67+AZ67</f>
        <v>979.78</v>
      </c>
      <c r="Z67" s="1479" t="n">
        <f aca="false">W67-Y67</f>
        <v>607.419999999999</v>
      </c>
      <c r="AA67" s="1479" t="n">
        <f aca="false">AG67+BA67</f>
        <v>297.59</v>
      </c>
      <c r="AB67" s="1319" t="n">
        <f aca="false">AA67/X67</f>
        <v>0.157890268942429</v>
      </c>
      <c r="AC67" s="1509" t="n">
        <f aca="false">AF67+AE67</f>
        <v>383.309999999999</v>
      </c>
      <c r="AD67" s="1509" t="n">
        <f aca="false">AF67+AG67+AE67</f>
        <v>483.409999999999</v>
      </c>
      <c r="AE67" s="1509" t="n">
        <f aca="false">AS67</f>
        <v>168.66</v>
      </c>
      <c r="AF67" s="1509" t="n">
        <f aca="false">AI67+AQ67</f>
        <v>214.649999999999</v>
      </c>
      <c r="AG67" s="2097" t="n">
        <v>100.1</v>
      </c>
      <c r="AH67" s="1319" t="n">
        <f aca="false">AG67/AD67</f>
        <v>0.207070602594072</v>
      </c>
      <c r="AI67" s="2097" t="n">
        <v>53.61</v>
      </c>
      <c r="AJ67" s="2097" t="n">
        <v>23.44</v>
      </c>
      <c r="AK67" s="0" t="n">
        <v>97.27</v>
      </c>
      <c r="AL67" s="1478" t="n">
        <f aca="false">AK67-AI67</f>
        <v>43.66</v>
      </c>
      <c r="AM67" s="821" t="n">
        <f aca="false">AL67/AK67</f>
        <v>0.448853706178678</v>
      </c>
      <c r="AN67" s="2030" t="n">
        <f aca="false">AL67/DataDE2!AD68</f>
        <v>0.0102623982468354</v>
      </c>
      <c r="AO67" s="79" t="n">
        <f aca="false">AQ67+AS67</f>
        <v>329.699999999999</v>
      </c>
      <c r="AP67" s="2004" t="n">
        <f aca="false">AO67+AT67</f>
        <v>386.139999999999</v>
      </c>
      <c r="AQ67" s="2097" t="n">
        <v>161.039999999999</v>
      </c>
      <c r="AR67" s="1478" t="n">
        <f aca="false">AQ67+AT67</f>
        <v>217.479999999999</v>
      </c>
      <c r="AS67" s="2097" t="n">
        <v>168.66</v>
      </c>
      <c r="AT67" s="1478" t="n">
        <f aca="false">AG67-AL67</f>
        <v>56.44</v>
      </c>
      <c r="AU67" s="2005" t="n">
        <f aca="false">AT67/AP67</f>
        <v>0.14616460351168</v>
      </c>
      <c r="AV67" s="2001" t="n">
        <f aca="false">AW67-BA67</f>
        <v>1203.89</v>
      </c>
      <c r="AW67" s="2004" t="n">
        <f aca="false">AY67+AZ67</f>
        <v>1401.38</v>
      </c>
      <c r="AX67" s="2004" t="n">
        <f aca="false">BD67+BI67</f>
        <v>392.77</v>
      </c>
      <c r="AY67" s="1932" t="n">
        <f aca="false">AX67+BA67</f>
        <v>590.26</v>
      </c>
      <c r="AZ67" s="1478" t="n">
        <f aca="false">BF67+BK67</f>
        <v>811.12</v>
      </c>
      <c r="BA67" s="1478" t="n">
        <f aca="false">BG67+BL67</f>
        <v>197.49</v>
      </c>
      <c r="BB67" s="821" t="n">
        <f aca="false">BA67/AW67</f>
        <v>0.140925373560348</v>
      </c>
      <c r="BC67" s="1478" t="n">
        <f aca="false">BE67+BF67</f>
        <v>1311.96</v>
      </c>
      <c r="BD67" s="2097" t="n">
        <v>371.38</v>
      </c>
      <c r="BE67" s="1509" t="n">
        <f aca="false">BD67+BG67</f>
        <v>561.19</v>
      </c>
      <c r="BF67" s="2097" t="n">
        <v>750.77</v>
      </c>
      <c r="BG67" s="2097" t="n">
        <v>189.81</v>
      </c>
      <c r="BH67" s="1478" t="n">
        <f aca="false">BJ67+BK67</f>
        <v>89.42</v>
      </c>
      <c r="BI67" s="2097" t="n">
        <v>21.39</v>
      </c>
      <c r="BJ67" s="1509" t="n">
        <f aca="false">BI67+BL67</f>
        <v>29.07</v>
      </c>
      <c r="BK67" s="2097" t="n">
        <v>60.35</v>
      </c>
      <c r="BL67" s="2097" t="n">
        <v>7.68</v>
      </c>
      <c r="BM67" s="2001" t="n">
        <f aca="false">BN67-BP67</f>
        <v>177.2</v>
      </c>
      <c r="BN67" s="2004" t="n">
        <f aca="false">BO67+BP67</f>
        <v>215.44</v>
      </c>
      <c r="BO67" s="2097" t="n">
        <v>177.2</v>
      </c>
      <c r="BP67" s="2097" t="n">
        <v>38.24</v>
      </c>
      <c r="BQ67" s="2005" t="n">
        <f aca="false">BP67/BN67</f>
        <v>0.177497215001857</v>
      </c>
      <c r="BR67" s="1509" t="n">
        <f aca="false">AY67-BA67</f>
        <v>392.77</v>
      </c>
      <c r="BS67" s="1509" t="n">
        <f aca="false">BX67+CC67</f>
        <v>68.13</v>
      </c>
      <c r="BT67" s="1509" t="n">
        <f aca="false">BY67-BZ67+CD67-CE67</f>
        <v>231.67</v>
      </c>
      <c r="BU67" s="1509" t="n">
        <f aca="false">BR67-BS67-BT67-BW67</f>
        <v>115.85</v>
      </c>
      <c r="BV67" s="1509" t="n">
        <f aca="false">CA67+CF67</f>
        <v>21.51</v>
      </c>
      <c r="BW67" s="1509" t="n">
        <f aca="false">CB67+CG67</f>
        <v>-22.88</v>
      </c>
      <c r="BX67" s="2097" t="n">
        <v>60.66</v>
      </c>
      <c r="BY67" s="2023" t="n">
        <v>376.06</v>
      </c>
      <c r="BZ67" s="2097" t="n">
        <v>120.81</v>
      </c>
      <c r="CA67" s="2097" t="n">
        <v>8.17</v>
      </c>
      <c r="CB67" s="1509" t="n">
        <v>-8.44000000000001</v>
      </c>
      <c r="CC67" s="2097" t="n">
        <v>7.47</v>
      </c>
      <c r="CD67" s="2023" t="n">
        <v>367.33</v>
      </c>
      <c r="CE67" s="2099" t="n">
        <v>390.91</v>
      </c>
      <c r="CF67" s="2097" t="n">
        <v>13.34</v>
      </c>
      <c r="CG67" s="1509" t="n">
        <v>-14.44</v>
      </c>
      <c r="CH67" s="1482" t="n">
        <f aca="false">CI67+CL67+CO67</f>
        <v>47.13</v>
      </c>
      <c r="CI67" s="1479" t="n">
        <f aca="false">CJ67-CK67</f>
        <v>47.96</v>
      </c>
      <c r="CJ67" s="2017" t="n">
        <v>198.49</v>
      </c>
      <c r="CK67" s="2017" t="n">
        <v>150.53</v>
      </c>
      <c r="CL67" s="1479" t="n">
        <f aca="false">CM67-CN67</f>
        <v>-0.9</v>
      </c>
      <c r="CM67" s="2017" t="n">
        <v>6.83</v>
      </c>
      <c r="CN67" s="2017" t="n">
        <v>7.73</v>
      </c>
      <c r="CO67" s="2023" t="n">
        <f aca="false">CP67-CQ67</f>
        <v>0.0700000000000003</v>
      </c>
      <c r="CP67" s="2017" t="n">
        <v>7.58</v>
      </c>
      <c r="CQ67" s="2017" t="n">
        <v>7.51</v>
      </c>
      <c r="CR67" s="1478" t="n">
        <f aca="false">CS67-CT67</f>
        <v>-27.18</v>
      </c>
      <c r="CS67" s="1478" t="n">
        <v>11.88</v>
      </c>
      <c r="CT67" s="1478" t="n">
        <v>39.06</v>
      </c>
      <c r="CU67" s="1478" t="n">
        <f aca="false">CV67-CW67</f>
        <v>-0.0299999999999998</v>
      </c>
      <c r="CV67" s="2017" t="n">
        <v>3.1</v>
      </c>
      <c r="CW67" s="2017" t="n">
        <v>3.13</v>
      </c>
      <c r="CX67" s="1998" t="n">
        <f aca="false">CZ67+DA67+DB67+DC67+DD67</f>
        <v>650.504868052729</v>
      </c>
      <c r="CY67" s="2007" t="n">
        <f aca="false">CZ67+DA67+DB67</f>
        <v>553.944868052729</v>
      </c>
      <c r="CZ67" s="1509" t="n">
        <f aca="false">BR67</f>
        <v>392.77</v>
      </c>
      <c r="DA67" s="1509" t="n">
        <f aca="false">AI67</f>
        <v>53.61</v>
      </c>
      <c r="DB67" s="2009" t="n">
        <f aca="false">AO67*AX67/AV67</f>
        <v>107.564868052729</v>
      </c>
      <c r="DC67" s="2017" t="n">
        <f aca="false">CI67</f>
        <v>47.96</v>
      </c>
      <c r="DD67" s="1479" t="n">
        <v>48.6</v>
      </c>
      <c r="DE67" s="2023" t="n">
        <v>61.55</v>
      </c>
      <c r="DF67" s="2007" t="n">
        <f aca="false">DI67+DL67+DM67+DU67</f>
        <v>1209.55513194727</v>
      </c>
      <c r="DG67" s="2010" t="n">
        <f aca="false">DH67+DU67</f>
        <v>1156.08</v>
      </c>
      <c r="DH67" s="2010" t="n">
        <f aca="false">DJ67+DL67+AE67</f>
        <v>1156.98</v>
      </c>
      <c r="DI67" s="2010" t="n">
        <f aca="false">Y67</f>
        <v>979.78</v>
      </c>
      <c r="DJ67" s="2035" t="n">
        <f aca="false">AZ67</f>
        <v>811.12</v>
      </c>
      <c r="DK67" s="2035" t="n">
        <f aca="false">AS67</f>
        <v>168.66</v>
      </c>
      <c r="DL67" s="1509" t="n">
        <f aca="false">BM67</f>
        <v>177.2</v>
      </c>
      <c r="DM67" s="2009" t="n">
        <f aca="false">AO67*AZ67/AV67-DK67</f>
        <v>53.4751319472705</v>
      </c>
      <c r="DN67" s="514" t="n">
        <f aca="false">(DM67/GK67)/(DH67/GJ67)</f>
        <v>0.360296992661245</v>
      </c>
      <c r="DO67" s="2009" t="n">
        <f aca="false">2/3*AR67</f>
        <v>144.986666666666</v>
      </c>
      <c r="DP67" s="2009" t="n">
        <f aca="false">GK67*DH67/GJ67</f>
        <v>148.419590050668</v>
      </c>
      <c r="DQ67" s="2009" t="n">
        <f aca="false">2/3*DP67</f>
        <v>98.9463933671119</v>
      </c>
      <c r="DR67" s="2009" t="n">
        <f aca="false">DS67*(DH67/GJ67)*GK67</f>
        <v>185.690683669601</v>
      </c>
      <c r="DS67" s="514" t="n">
        <f aca="false">(DT67/GK67)/(DH67/GJ67)</f>
        <v>1.2511197720342</v>
      </c>
      <c r="DT67" s="2012" t="n">
        <v>185.690683669601</v>
      </c>
      <c r="DU67" s="2015" t="n">
        <f aca="false">CL67</f>
        <v>-0.9</v>
      </c>
      <c r="DV67" s="2007" t="n">
        <f aca="false">DW67+DX67+DY67+EB67</f>
        <v>884.53</v>
      </c>
      <c r="DW67" s="1509" t="n">
        <f aca="false">I67</f>
        <v>213.74</v>
      </c>
      <c r="DX67" s="2017" t="n">
        <f aca="false">BS67</f>
        <v>68.13</v>
      </c>
      <c r="DY67" s="2017" t="n">
        <f aca="false">EE67+EF67</f>
        <v>201.93</v>
      </c>
      <c r="DZ67" s="2018" t="n">
        <f aca="false">EF67+EE67-EA67</f>
        <v>47.7133443585554</v>
      </c>
      <c r="EA67" s="2018" t="n">
        <f aca="false">EE67*(DF67-EB67+EH67)/(0.5*CX67+DF67-EB67+EH67)</f>
        <v>154.216655641445</v>
      </c>
      <c r="EB67" s="2017" t="n">
        <v>400.73</v>
      </c>
      <c r="EC67" s="2018" t="n">
        <f aca="false">DX67+DZ67</f>
        <v>115.843344358555</v>
      </c>
      <c r="ED67" s="2018" t="n">
        <f aca="false">EA67+EB67</f>
        <v>554.946655641445</v>
      </c>
      <c r="EE67" s="2023" t="n">
        <v>198.17</v>
      </c>
      <c r="EF67" s="2017" t="n">
        <v>3.76</v>
      </c>
      <c r="EG67" s="2017" t="n">
        <v>408.98</v>
      </c>
      <c r="EH67" s="2023" t="n">
        <v>332.37</v>
      </c>
      <c r="EI67" s="1479" t="n">
        <v>76.61</v>
      </c>
      <c r="EJ67" s="1479" t="n">
        <v>171.6</v>
      </c>
      <c r="EK67" s="2015" t="n">
        <v>25.74</v>
      </c>
      <c r="EL67" s="1479" t="n">
        <v>4.2</v>
      </c>
      <c r="EM67" s="2017" t="n">
        <f aca="false">DV67-EF67+EL67</f>
        <v>884.97</v>
      </c>
      <c r="EN67" s="2023" t="n">
        <v>25.74</v>
      </c>
      <c r="EO67" s="2019" t="n">
        <f aca="false">EM67-EG67-EN67-DD67</f>
        <v>401.65</v>
      </c>
      <c r="EP67" s="2019" t="n">
        <f aca="false">EO67-S67</f>
        <v>-23.04</v>
      </c>
      <c r="EQ67" s="2023" t="n">
        <v>-21.14</v>
      </c>
      <c r="ER67" s="2023" t="n">
        <f aca="false">EP67+EQ67</f>
        <v>-44.18</v>
      </c>
      <c r="ES67" s="1479" t="n">
        <v>33.73</v>
      </c>
      <c r="ET67" s="1479" t="n">
        <v>-1.43</v>
      </c>
      <c r="EU67" s="2023" t="n">
        <f aca="false">ER67-ES67-ET67+BP67</f>
        <v>-38.24</v>
      </c>
      <c r="EV67" s="2024" t="n">
        <f aca="false">B67-DV67+EH67+DD67-CO67</f>
        <v>1521.57</v>
      </c>
      <c r="EW67" s="1478" t="n">
        <f aca="false">CX67-EC67</f>
        <v>534.661523694173</v>
      </c>
      <c r="EX67" s="1478" t="n">
        <f aca="false">($DF67-$EB67)-$EA67*($DF67-$EB67)/($DF67-$EB67+$EH67)</f>
        <v>699.523660747671</v>
      </c>
      <c r="EY67" s="1478" t="n">
        <f aca="false">$EH67-$EA67*$EH67/($DF67-$EB67+$EH67)</f>
        <v>287.454815558155</v>
      </c>
      <c r="EZ67" s="1478" t="n">
        <f aca="false">EV67+EI67</f>
        <v>1598.18</v>
      </c>
      <c r="FA67" s="2017" t="n">
        <v>1596.37</v>
      </c>
      <c r="FB67" s="2017" t="n">
        <v>162.489999999999</v>
      </c>
      <c r="FC67" s="1478" t="n">
        <f aca="false">FB67+AG67</f>
        <v>262.589999999999</v>
      </c>
      <c r="FD67" s="1997" t="n">
        <f aca="false">FB67+BU67-BV67</f>
        <v>256.829999999999</v>
      </c>
      <c r="FE67" s="1479" t="n">
        <v>13.44</v>
      </c>
      <c r="FF67" s="1479" t="n">
        <v>7.67</v>
      </c>
      <c r="FG67" s="1479" t="n">
        <f aca="false">FE67+FF67</f>
        <v>21.11</v>
      </c>
      <c r="FH67" s="514" t="n">
        <f aca="false">FG67/FD67</f>
        <v>0.0821944476891331</v>
      </c>
      <c r="FI67" s="1994" t="n">
        <f aca="false">FB67+FE67</f>
        <v>175.929999999999</v>
      </c>
      <c r="FJ67" s="1994" t="n">
        <f aca="false">BU67-BV67+FF67</f>
        <v>102.01</v>
      </c>
      <c r="FK67" s="2025" t="n">
        <f aca="false">FI67+FJ67</f>
        <v>277.939999999999</v>
      </c>
      <c r="FL67" s="1994" t="n">
        <f aca="false">FO67+FP67+FS67</f>
        <v>175.929999999999</v>
      </c>
      <c r="FM67" s="2017" t="n">
        <v>138.27</v>
      </c>
      <c r="FN67" s="2017" t="n">
        <v>139.54</v>
      </c>
      <c r="FO67" s="1995" t="n">
        <f aca="false">FN67-AG67</f>
        <v>39.44</v>
      </c>
      <c r="FP67" s="2017" t="n">
        <v>-0.309999999999994</v>
      </c>
      <c r="FQ67" s="1478" t="n">
        <f aca="false">FI67-FO67-FP67</f>
        <v>136.799999999999</v>
      </c>
      <c r="FR67" s="1997" t="n">
        <v>0</v>
      </c>
      <c r="FS67" s="1478" t="n">
        <f aca="false">FQ67+FR67</f>
        <v>136.799999999999</v>
      </c>
      <c r="FT67" s="1478" t="n">
        <v>131.3</v>
      </c>
      <c r="FU67" s="1478" t="n">
        <v>1.4</v>
      </c>
      <c r="FV67" s="1478" t="n">
        <v>66</v>
      </c>
      <c r="FW67" s="2003" t="n">
        <v>-5.5</v>
      </c>
      <c r="FX67" s="2026" t="n">
        <f aca="false">FY67+FZ67</f>
        <v>247.62</v>
      </c>
      <c r="FY67" s="2023" t="n">
        <v>243.07</v>
      </c>
      <c r="FZ67" s="2032" t="n">
        <v>4.55</v>
      </c>
      <c r="GA67" s="2015" t="n">
        <v>0</v>
      </c>
      <c r="GB67" s="402" t="n">
        <v>0.016</v>
      </c>
      <c r="GC67" s="387" t="n">
        <v>0.016</v>
      </c>
      <c r="GD67" s="387" t="n">
        <f aca="false">(G67/G66)/(1+GE67)-1</f>
        <v>0.00312012453446564</v>
      </c>
      <c r="GE67" s="387" t="n">
        <v>0.0369999999999999</v>
      </c>
      <c r="GF67" s="387" t="n">
        <v>0.00990000000000002</v>
      </c>
      <c r="GG67" s="2033" t="n">
        <v>108.22</v>
      </c>
      <c r="GH67" s="465" t="n">
        <v>82376.4505</v>
      </c>
      <c r="GI67" s="465" t="n">
        <f aca="false">GJ67+GK67</f>
        <v>39192</v>
      </c>
      <c r="GJ67" s="465" t="n">
        <v>34736</v>
      </c>
      <c r="GK67" s="465" t="n">
        <v>4456</v>
      </c>
      <c r="GL67" s="25" t="n">
        <v>0.196850495097449</v>
      </c>
      <c r="GM67" s="25" t="n">
        <f aca="false">GK67/GI67</f>
        <v>0.113696672790365</v>
      </c>
      <c r="GN67" s="2101" t="n">
        <v>67533.5148418397</v>
      </c>
      <c r="GO67" s="1932" t="n">
        <f aca="false">CX67</f>
        <v>650.504868052729</v>
      </c>
      <c r="GP67" s="1932" t="n">
        <f aca="false">BU67</f>
        <v>115.85</v>
      </c>
      <c r="GQ67" s="1932" t="n">
        <f aca="false">BW67</f>
        <v>-22.88</v>
      </c>
      <c r="GR67" s="1932" t="n">
        <f aca="false">DB67</f>
        <v>107.564868052729</v>
      </c>
      <c r="GS67" s="1509" t="n">
        <f aca="false">GO67-GP67-GQ67-GR67</f>
        <v>449.97</v>
      </c>
      <c r="GT67" s="1932" t="n">
        <f aca="false">GU67+GV67+GW67+GX67+HA67-HD67</f>
        <v>449.97</v>
      </c>
      <c r="GU67" s="2017" t="n">
        <v>44.92</v>
      </c>
      <c r="GV67" s="2017" t="n">
        <f aca="false">AI67</f>
        <v>53.61</v>
      </c>
      <c r="GW67" s="2017" t="n">
        <v>1.8</v>
      </c>
      <c r="GX67" s="1509" t="n">
        <f aca="false">GY67+GZ67</f>
        <v>339.07</v>
      </c>
      <c r="GY67" s="2017" t="n">
        <v>270.94</v>
      </c>
      <c r="GZ67" s="24" t="n">
        <f aca="false">DX67</f>
        <v>68.13</v>
      </c>
      <c r="HA67" s="2017" t="n">
        <v>72.12</v>
      </c>
      <c r="HB67" s="2017" t="n">
        <v>48.7</v>
      </c>
      <c r="HC67" s="2017" t="n">
        <f aca="false">HA67-HB67</f>
        <v>23.42</v>
      </c>
      <c r="HD67" s="24" t="n">
        <f aca="false">DE67</f>
        <v>61.55</v>
      </c>
      <c r="HE67" s="2017" t="n">
        <v>59.66</v>
      </c>
      <c r="HF67" s="2017" t="n">
        <v>86.31</v>
      </c>
      <c r="HG67" s="1478" t="n">
        <f aca="false">HF67-HE67</f>
        <v>26.65</v>
      </c>
      <c r="HH67" s="1478" t="n">
        <f aca="false">AJ67</f>
        <v>23.44</v>
      </c>
      <c r="HI67" s="24" t="n">
        <f aca="false">HG67-HH67</f>
        <v>3.21</v>
      </c>
      <c r="HJ67" s="158" t="n">
        <f aca="false">DE67/DataDE2!AR68</f>
        <v>0.0392388116792044</v>
      </c>
      <c r="HK67" s="387" t="n">
        <f aca="false">HF67/DataDE2!AR68</f>
        <v>0.0550235879127885</v>
      </c>
    </row>
    <row r="68" customFormat="false" ht="12" hidden="false" customHeight="false" outlineLevel="0" collapsed="false">
      <c r="A68" s="31" t="n">
        <f aca="false">A67+1</f>
        <v>2007</v>
      </c>
      <c r="B68" s="1994" t="n">
        <f aca="false">E68+F68</f>
        <v>2118</v>
      </c>
      <c r="C68" s="381" t="n">
        <f aca="false">B68+CR68</f>
        <v>2088.69</v>
      </c>
      <c r="D68" s="1995" t="n">
        <f aca="false">B68-I68</f>
        <v>1880.36</v>
      </c>
      <c r="E68" s="1996" t="n">
        <f aca="false">CH68</f>
        <v>41.83</v>
      </c>
      <c r="F68" s="1994" t="n">
        <f aca="false">J68+AC68+AV68+BM68</f>
        <v>2076.17</v>
      </c>
      <c r="G68" s="1478" t="n">
        <f aca="false">J68+X68+BN68</f>
        <v>2428.5</v>
      </c>
      <c r="H68" s="1478" t="n">
        <f aca="false">AG68+BA68+BP68</f>
        <v>352.33</v>
      </c>
      <c r="I68" s="1998" t="n">
        <f aca="false">K68+L68+CO68</f>
        <v>237.64</v>
      </c>
      <c r="J68" s="395" t="n">
        <f aca="false">K68+L68</f>
        <v>239.7</v>
      </c>
      <c r="K68" s="1479" t="n">
        <v>251.51</v>
      </c>
      <c r="L68" s="1478" t="n">
        <f aca="false">M68+N68+O68+P68+Q68</f>
        <v>-11.81</v>
      </c>
      <c r="M68" s="1479" t="n">
        <v>6.17</v>
      </c>
      <c r="N68" s="1479" t="n">
        <v>-14.99</v>
      </c>
      <c r="O68" s="1479" t="n">
        <v>0.36</v>
      </c>
      <c r="P68" s="1479" t="n">
        <v>-0.32</v>
      </c>
      <c r="Q68" s="2015" t="n">
        <v>-3.03</v>
      </c>
      <c r="R68" s="1479" t="n">
        <v>1356.73</v>
      </c>
      <c r="S68" s="1479" t="n">
        <v>434.04</v>
      </c>
      <c r="T68" s="1479" t="n">
        <v>467.75</v>
      </c>
      <c r="U68" s="1479" t="n">
        <v>1145.41</v>
      </c>
      <c r="V68" s="2015" t="n">
        <v>975.43</v>
      </c>
      <c r="W68" s="2096" t="n">
        <f aca="false">AC68+AV68</f>
        <v>1658.24</v>
      </c>
      <c r="X68" s="1479" t="n">
        <f aca="false">W68+AA68</f>
        <v>1970.44</v>
      </c>
      <c r="Y68" s="1479" t="n">
        <f aca="false">AE68+AZ68</f>
        <v>1008.72</v>
      </c>
      <c r="Z68" s="1479" t="n">
        <f aca="false">W68-Y68</f>
        <v>649.52</v>
      </c>
      <c r="AA68" s="1479" t="n">
        <f aca="false">AG68+BA68</f>
        <v>312.2</v>
      </c>
      <c r="AB68" s="1319" t="n">
        <f aca="false">AA68/X68</f>
        <v>0.158441769351008</v>
      </c>
      <c r="AC68" s="1509" t="n">
        <f aca="false">AF68+AE68</f>
        <v>393.82</v>
      </c>
      <c r="AD68" s="1509" t="n">
        <f aca="false">AF68+AG68+AE68</f>
        <v>500.43</v>
      </c>
      <c r="AE68" s="1509" t="n">
        <f aca="false">AS68</f>
        <v>173.34</v>
      </c>
      <c r="AF68" s="1509" t="n">
        <f aca="false">AI68+AQ68</f>
        <v>220.48</v>
      </c>
      <c r="AG68" s="2097" t="n">
        <v>106.61</v>
      </c>
      <c r="AH68" s="1319" t="n">
        <f aca="false">AG68/AD68</f>
        <v>0.213036788362009</v>
      </c>
      <c r="AI68" s="2097" t="n">
        <v>56.96</v>
      </c>
      <c r="AJ68" s="2097" t="n">
        <v>17.83</v>
      </c>
      <c r="AK68" s="0" t="n">
        <v>104.11</v>
      </c>
      <c r="AL68" s="1478" t="n">
        <f aca="false">AK68-AI68</f>
        <v>47.15</v>
      </c>
      <c r="AM68" s="821" t="n">
        <f aca="false">AL68/AK68</f>
        <v>0.452886370185381</v>
      </c>
      <c r="AN68" s="2030" t="n">
        <f aca="false">AL68/DataDE2!AD69</f>
        <v>0.0107031487829992</v>
      </c>
      <c r="AO68" s="79" t="n">
        <f aca="false">AQ68+AS68</f>
        <v>336.86</v>
      </c>
      <c r="AP68" s="2004" t="n">
        <f aca="false">AO68+AT68</f>
        <v>396.32</v>
      </c>
      <c r="AQ68" s="2097" t="n">
        <v>163.52</v>
      </c>
      <c r="AR68" s="1478" t="n">
        <f aca="false">AQ68+AT68</f>
        <v>222.98</v>
      </c>
      <c r="AS68" s="2097" t="n">
        <v>173.34</v>
      </c>
      <c r="AT68" s="1478" t="n">
        <f aca="false">AG68-AL68</f>
        <v>59.46</v>
      </c>
      <c r="AU68" s="2005" t="n">
        <f aca="false">AT68/AP68</f>
        <v>0.150030278562778</v>
      </c>
      <c r="AV68" s="2001" t="n">
        <f aca="false">AW68-BA68</f>
        <v>1264.42</v>
      </c>
      <c r="AW68" s="2004" t="n">
        <f aca="false">AY68+AZ68</f>
        <v>1470.01</v>
      </c>
      <c r="AX68" s="2004" t="n">
        <f aca="false">BD68+BI68</f>
        <v>429.04</v>
      </c>
      <c r="AY68" s="1932" t="n">
        <f aca="false">AX68+BA68</f>
        <v>634.63</v>
      </c>
      <c r="AZ68" s="1478" t="n">
        <f aca="false">BF68+BK68</f>
        <v>835.38</v>
      </c>
      <c r="BA68" s="1478" t="n">
        <f aca="false">BG68+BL68</f>
        <v>205.59</v>
      </c>
      <c r="BB68" s="821" t="n">
        <f aca="false">BA68/AW68</f>
        <v>0.13985619145448</v>
      </c>
      <c r="BC68" s="1478" t="n">
        <f aca="false">BE68+BF68</f>
        <v>1387.62</v>
      </c>
      <c r="BD68" s="2097" t="n">
        <v>415.72</v>
      </c>
      <c r="BE68" s="1509" t="n">
        <f aca="false">BD68+BG68</f>
        <v>613.75</v>
      </c>
      <c r="BF68" s="2097" t="n">
        <v>773.87</v>
      </c>
      <c r="BG68" s="2097" t="n">
        <v>198.03</v>
      </c>
      <c r="BH68" s="1478" t="n">
        <f aca="false">BJ68+BK68</f>
        <v>82.39</v>
      </c>
      <c r="BI68" s="2097" t="n">
        <v>13.32</v>
      </c>
      <c r="BJ68" s="1509" t="n">
        <f aca="false">BI68+BL68</f>
        <v>20.88</v>
      </c>
      <c r="BK68" s="2097" t="n">
        <v>61.51</v>
      </c>
      <c r="BL68" s="2097" t="n">
        <v>7.56</v>
      </c>
      <c r="BM68" s="2001" t="n">
        <f aca="false">BN68-BP68</f>
        <v>178.23</v>
      </c>
      <c r="BN68" s="2004" t="n">
        <f aca="false">BO68+BP68</f>
        <v>218.36</v>
      </c>
      <c r="BO68" s="2097" t="n">
        <v>178.23</v>
      </c>
      <c r="BP68" s="2097" t="n">
        <v>40.13</v>
      </c>
      <c r="BQ68" s="2005" t="n">
        <f aca="false">BP68/BN68</f>
        <v>0.183779080417659</v>
      </c>
      <c r="BR68" s="1509" t="n">
        <f aca="false">AY68-BA68</f>
        <v>429.04</v>
      </c>
      <c r="BS68" s="1509" t="n">
        <f aca="false">BX68+CC68</f>
        <v>71.32</v>
      </c>
      <c r="BT68" s="1509" t="n">
        <f aca="false">BY68-BZ68+CD68-CE68</f>
        <v>248.37</v>
      </c>
      <c r="BU68" s="1509" t="n">
        <f aca="false">BR68-BS68-BT68-BW68</f>
        <v>132.87</v>
      </c>
      <c r="BV68" s="1509" t="n">
        <f aca="false">CA68+CF68</f>
        <v>22.43</v>
      </c>
      <c r="BW68" s="1509" t="n">
        <f aca="false">CB68+CG68</f>
        <v>-23.52</v>
      </c>
      <c r="BX68" s="2097" t="n">
        <v>61.32</v>
      </c>
      <c r="BY68" s="2023" t="n">
        <v>393.49</v>
      </c>
      <c r="BZ68" s="2097" t="n">
        <v>134.77</v>
      </c>
      <c r="CA68" s="2097" t="n">
        <v>1.26</v>
      </c>
      <c r="CB68" s="1509" t="n">
        <v>-1.3</v>
      </c>
      <c r="CC68" s="2097" t="n">
        <v>10</v>
      </c>
      <c r="CD68" s="2023" t="n">
        <v>441.75</v>
      </c>
      <c r="CE68" s="2099" t="n">
        <v>452.1</v>
      </c>
      <c r="CF68" s="2097" t="n">
        <v>21.17</v>
      </c>
      <c r="CG68" s="1509" t="n">
        <v>-22.22</v>
      </c>
      <c r="CH68" s="1482" t="n">
        <f aca="false">CI68+CL68+CO68</f>
        <v>41.83</v>
      </c>
      <c r="CI68" s="1479" t="n">
        <f aca="false">CJ68-CK68</f>
        <v>43.73</v>
      </c>
      <c r="CJ68" s="2017" t="n">
        <v>234.43</v>
      </c>
      <c r="CK68" s="2017" t="n">
        <v>190.7</v>
      </c>
      <c r="CL68" s="1479" t="n">
        <f aca="false">CM68-CN68</f>
        <v>0.16</v>
      </c>
      <c r="CM68" s="2017" t="n">
        <v>7.96</v>
      </c>
      <c r="CN68" s="2017" t="n">
        <v>7.8</v>
      </c>
      <c r="CO68" s="2023" t="n">
        <f aca="false">CP68-CQ68</f>
        <v>-2.06</v>
      </c>
      <c r="CP68" s="2017" t="n">
        <v>5.76</v>
      </c>
      <c r="CQ68" s="2017" t="n">
        <v>7.82</v>
      </c>
      <c r="CR68" s="1478" t="n">
        <f aca="false">CS68-CT68</f>
        <v>-29.31</v>
      </c>
      <c r="CS68" s="1478" t="n">
        <v>13.17</v>
      </c>
      <c r="CT68" s="1478" t="n">
        <v>42.48</v>
      </c>
      <c r="CU68" s="1478" t="n">
        <f aca="false">CV68-CW68</f>
        <v>0.44</v>
      </c>
      <c r="CV68" s="2017" t="n">
        <v>3.59</v>
      </c>
      <c r="CW68" s="2017" t="n">
        <v>3.15</v>
      </c>
      <c r="CX68" s="1998" t="n">
        <f aca="false">CZ68+DA68+DB68+DC68+DD68</f>
        <v>693.672537448</v>
      </c>
      <c r="CY68" s="2007" t="n">
        <f aca="false">CZ68+DA68+DB68</f>
        <v>600.302537448</v>
      </c>
      <c r="CZ68" s="1509" t="n">
        <f aca="false">BR68</f>
        <v>429.04</v>
      </c>
      <c r="DA68" s="1509" t="n">
        <f aca="false">AI68</f>
        <v>56.96</v>
      </c>
      <c r="DB68" s="2009" t="n">
        <f aca="false">AO68*AX68/AV68</f>
        <v>114.302537448</v>
      </c>
      <c r="DC68" s="2017" t="n">
        <f aca="false">CI68</f>
        <v>43.73</v>
      </c>
      <c r="DD68" s="1479" t="n">
        <v>49.64</v>
      </c>
      <c r="DE68" s="2023" t="n">
        <v>66.59</v>
      </c>
      <c r="DF68" s="2007" t="n">
        <f aca="false">DI68+DL68+DM68+DU68</f>
        <v>1236.327462552</v>
      </c>
      <c r="DG68" s="2010" t="n">
        <f aca="false">DH68+DU68</f>
        <v>1187.11</v>
      </c>
      <c r="DH68" s="2010" t="n">
        <f aca="false">DJ68+DL68+AE68</f>
        <v>1186.95</v>
      </c>
      <c r="DI68" s="2010" t="n">
        <f aca="false">Y68</f>
        <v>1008.72</v>
      </c>
      <c r="DJ68" s="2035" t="n">
        <f aca="false">AZ68</f>
        <v>835.38</v>
      </c>
      <c r="DK68" s="2035" t="n">
        <f aca="false">AS68</f>
        <v>173.34</v>
      </c>
      <c r="DL68" s="1509" t="n">
        <f aca="false">BM68</f>
        <v>178.23</v>
      </c>
      <c r="DM68" s="2009" t="n">
        <f aca="false">AO68*AZ68/AV68-DK68</f>
        <v>49.2174625520001</v>
      </c>
      <c r="DN68" s="514" t="n">
        <f aca="false">(DM68/GK68)/(DH68/GJ68)</f>
        <v>0.325962258108915</v>
      </c>
      <c r="DO68" s="2009" t="n">
        <f aca="false">2/3*AR68</f>
        <v>148.653333333333</v>
      </c>
      <c r="DP68" s="2009" t="n">
        <f aca="false">GK68*DH68/GJ68</f>
        <v>150.991292174552</v>
      </c>
      <c r="DQ68" s="2009" t="n">
        <f aca="false">2/3*DP68</f>
        <v>100.660861449702</v>
      </c>
      <c r="DR68" s="2009" t="n">
        <f aca="false">DS68*(DH68/GJ68)*GK68</f>
        <v>188.970798471151</v>
      </c>
      <c r="DS68" s="514" t="n">
        <f aca="false">(DT68/GK68)/(DH68/GJ68)</f>
        <v>1.25153441466474</v>
      </c>
      <c r="DT68" s="2012" t="n">
        <v>188.970798471151</v>
      </c>
      <c r="DU68" s="2015" t="n">
        <f aca="false">CL68</f>
        <v>0.16</v>
      </c>
      <c r="DV68" s="2007" t="n">
        <f aca="false">DW68+DX68+DY68+EB68</f>
        <v>929.9</v>
      </c>
      <c r="DW68" s="1509" t="n">
        <f aca="false">I68</f>
        <v>237.64</v>
      </c>
      <c r="DX68" s="2017" t="n">
        <f aca="false">BS68</f>
        <v>71.32</v>
      </c>
      <c r="DY68" s="2017" t="n">
        <f aca="false">EE68+EF68</f>
        <v>220</v>
      </c>
      <c r="DZ68" s="2018" t="n">
        <f aca="false">EF68+EE68-EA68</f>
        <v>53.7554611688104</v>
      </c>
      <c r="EA68" s="2018" t="n">
        <f aca="false">EE68*(DF68-EB68+EH68)/(0.5*CX68+DF68-EB68+EH68)</f>
        <v>166.24453883119</v>
      </c>
      <c r="EB68" s="2017" t="n">
        <v>400.94</v>
      </c>
      <c r="EC68" s="2018" t="n">
        <f aca="false">DX68+DZ68</f>
        <v>125.07546116881</v>
      </c>
      <c r="ED68" s="2018" t="n">
        <f aca="false">EA68+EB68</f>
        <v>567.18453883119</v>
      </c>
      <c r="EE68" s="2023" t="n">
        <v>215.8</v>
      </c>
      <c r="EF68" s="2017" t="n">
        <v>4.2</v>
      </c>
      <c r="EG68" s="2017" t="n">
        <v>401.16</v>
      </c>
      <c r="EH68" s="2023" t="n">
        <v>328.15</v>
      </c>
      <c r="EI68" s="1479" t="n">
        <v>73.01</v>
      </c>
      <c r="EJ68" s="1479" t="n">
        <v>178.28</v>
      </c>
      <c r="EK68" s="2015" t="n">
        <v>27.18</v>
      </c>
      <c r="EL68" s="1479" t="n">
        <v>5.73</v>
      </c>
      <c r="EM68" s="2017" t="n">
        <f aca="false">DV68-EF68+EL68</f>
        <v>931.43</v>
      </c>
      <c r="EN68" s="2023" t="n">
        <v>27.18</v>
      </c>
      <c r="EO68" s="2019" t="n">
        <f aca="false">EM68-EG68-EN68-DD68</f>
        <v>453.45</v>
      </c>
      <c r="EP68" s="2019" t="n">
        <f aca="false">EO68-S68</f>
        <v>19.41</v>
      </c>
      <c r="EQ68" s="2023" t="n">
        <v>-19.44</v>
      </c>
      <c r="ER68" s="2023" t="n">
        <f aca="false">EP68+EQ68</f>
        <v>-0.0300000000000296</v>
      </c>
      <c r="ES68" s="1479" t="n">
        <v>35.99</v>
      </c>
      <c r="ET68" s="1479" t="n">
        <v>-1.43</v>
      </c>
      <c r="EU68" s="2023" t="n">
        <f aca="false">ER68-ES68-ET68+BP68</f>
        <v>5.53999999999997</v>
      </c>
      <c r="EV68" s="2024" t="n">
        <f aca="false">B68-DV68+EH68+DD68-CO68</f>
        <v>1567.95</v>
      </c>
      <c r="EW68" s="1478" t="n">
        <f aca="false">CX68-EC68</f>
        <v>568.597076279189</v>
      </c>
      <c r="EX68" s="1478" t="n">
        <f aca="false">($DF68-$EB68)-$EA68*($DF68-$EB68)/($DF68-$EB68+$EH68)</f>
        <v>716.028518016849</v>
      </c>
      <c r="EY68" s="1478" t="n">
        <f aca="false">$EH68-$EA68*$EH68/($DF68-$EB68+$EH68)</f>
        <v>281.264405703962</v>
      </c>
      <c r="EZ68" s="1478" t="n">
        <f aca="false">EV68+EI68</f>
        <v>1640.96</v>
      </c>
      <c r="FA68" s="2017" t="n">
        <v>1635.24</v>
      </c>
      <c r="FB68" s="2017" t="n">
        <v>168.07</v>
      </c>
      <c r="FC68" s="1478" t="n">
        <f aca="false">FB68+AG68</f>
        <v>274.68</v>
      </c>
      <c r="FD68" s="1997" t="n">
        <f aca="false">FB68+BU68-BV68</f>
        <v>278.51</v>
      </c>
      <c r="FE68" s="1479" t="n">
        <v>8.8</v>
      </c>
      <c r="FF68" s="1479" t="n">
        <v>11.08</v>
      </c>
      <c r="FG68" s="1479" t="n">
        <f aca="false">FE68+FF68</f>
        <v>19.88</v>
      </c>
      <c r="FH68" s="514" t="n">
        <f aca="false">FG68/FD68</f>
        <v>0.0713798427345518</v>
      </c>
      <c r="FI68" s="1994" t="n">
        <f aca="false">FB68+FE68</f>
        <v>176.87</v>
      </c>
      <c r="FJ68" s="1994" t="n">
        <f aca="false">BU68-BV68+FF68</f>
        <v>121.52</v>
      </c>
      <c r="FK68" s="2025" t="n">
        <f aca="false">FI68+FJ68</f>
        <v>298.39</v>
      </c>
      <c r="FL68" s="1994" t="n">
        <f aca="false">FO68+FP68+FS68</f>
        <v>176.87</v>
      </c>
      <c r="FM68" s="2017" t="n">
        <v>146.32</v>
      </c>
      <c r="FN68" s="2017" t="n">
        <v>147</v>
      </c>
      <c r="FO68" s="1995" t="n">
        <f aca="false">FN68-AG68</f>
        <v>40.39</v>
      </c>
      <c r="FP68" s="2017" t="n">
        <v>0.28</v>
      </c>
      <c r="FQ68" s="1478" t="n">
        <f aca="false">FI68-FO68-FP68</f>
        <v>136.2</v>
      </c>
      <c r="FR68" s="1997" t="n">
        <v>0</v>
      </c>
      <c r="FS68" s="1478" t="n">
        <f aca="false">FQ68+FR68</f>
        <v>136.2</v>
      </c>
      <c r="FT68" s="1478" t="n">
        <v>115</v>
      </c>
      <c r="FU68" s="1478" t="n">
        <v>-11.4</v>
      </c>
      <c r="FV68" s="1478" t="n">
        <v>75.1</v>
      </c>
      <c r="FW68" s="2003" t="n">
        <v>-21.2</v>
      </c>
      <c r="FX68" s="2026" t="n">
        <f aca="false">FY68+FZ68</f>
        <v>285.44</v>
      </c>
      <c r="FY68" s="2023" t="n">
        <v>281.37</v>
      </c>
      <c r="FZ68" s="2032" t="n">
        <v>4.07</v>
      </c>
      <c r="GA68" s="2015" t="n">
        <v>0</v>
      </c>
      <c r="GB68" s="402" t="n">
        <v>0.0226377952755907</v>
      </c>
      <c r="GC68" s="387" t="n">
        <v>0.0226377952755907</v>
      </c>
      <c r="GD68" s="387" t="n">
        <f aca="false">(G68/G67)/(1+GE68)-1</f>
        <v>0.0163033556643641</v>
      </c>
      <c r="GE68" s="387" t="n">
        <v>0.0326904532304726</v>
      </c>
      <c r="GF68" s="387" t="n">
        <v>0.014852955738192</v>
      </c>
      <c r="GG68" s="2033" t="n">
        <v>113.36</v>
      </c>
      <c r="GH68" s="465" t="n">
        <v>82266.3715</v>
      </c>
      <c r="GI68" s="465" t="n">
        <f aca="false">GJ68+GK68</f>
        <v>39857</v>
      </c>
      <c r="GJ68" s="465" t="n">
        <v>35359</v>
      </c>
      <c r="GK68" s="465" t="n">
        <v>4498</v>
      </c>
      <c r="GL68" s="25" t="n">
        <v>0.194</v>
      </c>
      <c r="GM68" s="25" t="n">
        <f aca="false">GK68/GI68</f>
        <v>0.112853451087638</v>
      </c>
      <c r="GN68" s="2101" t="n">
        <v>67516.1693784948</v>
      </c>
      <c r="GO68" s="1932" t="n">
        <f aca="false">CX68</f>
        <v>693.672537448</v>
      </c>
      <c r="GP68" s="1932" t="n">
        <f aca="false">BU68</f>
        <v>132.87</v>
      </c>
      <c r="GQ68" s="1932" t="n">
        <f aca="false">BW68</f>
        <v>-23.52</v>
      </c>
      <c r="GR68" s="1932" t="n">
        <f aca="false">DB68</f>
        <v>114.302537448</v>
      </c>
      <c r="GS68" s="1509" t="n">
        <f aca="false">GO68-GP68-GQ68-GR68</f>
        <v>470.02</v>
      </c>
      <c r="GT68" s="1932" t="n">
        <f aca="false">GU68+GV68+GW68+GX68+HA68-HD68</f>
        <v>470.02</v>
      </c>
      <c r="GU68" s="2017" t="n">
        <v>50.03</v>
      </c>
      <c r="GV68" s="2017" t="n">
        <f aca="false">AI68</f>
        <v>56.96</v>
      </c>
      <c r="GW68" s="2017" t="n">
        <v>1.8</v>
      </c>
      <c r="GX68" s="1509" t="n">
        <f aca="false">GY68+GZ68</f>
        <v>348.43</v>
      </c>
      <c r="GY68" s="2017" t="n">
        <v>277.11</v>
      </c>
      <c r="GZ68" s="24" t="n">
        <f aca="false">DX68</f>
        <v>71.32</v>
      </c>
      <c r="HA68" s="2017" t="n">
        <v>79.39</v>
      </c>
      <c r="HB68" s="2017" t="n">
        <v>57.34</v>
      </c>
      <c r="HC68" s="2017" t="n">
        <f aca="false">HA68-HB68</f>
        <v>22.05</v>
      </c>
      <c r="HD68" s="24" t="n">
        <f aca="false">DE68</f>
        <v>66.59</v>
      </c>
      <c r="HE68" s="2017" t="n">
        <v>64.68</v>
      </c>
      <c r="HF68" s="2017" t="n">
        <v>85.13</v>
      </c>
      <c r="HG68" s="1478" t="n">
        <f aca="false">HF68-HE68</f>
        <v>20.45</v>
      </c>
      <c r="HH68" s="1478" t="n">
        <f aca="false">AJ68</f>
        <v>17.83</v>
      </c>
      <c r="HI68" s="24" t="n">
        <f aca="false">HG68-HH68</f>
        <v>2.61999999999999</v>
      </c>
      <c r="HJ68" s="158" t="n">
        <f aca="false">DE68/DataDE2!AR69</f>
        <v>0.042478948711406</v>
      </c>
      <c r="HK68" s="387" t="n">
        <f aca="false">HF68/DataDE2!AR69</f>
        <v>0.0543059453942332</v>
      </c>
    </row>
    <row r="69" customFormat="false" ht="12" hidden="false" customHeight="false" outlineLevel="0" collapsed="false">
      <c r="A69" s="31" t="n">
        <f aca="false">A68+1</f>
        <v>2008</v>
      </c>
      <c r="B69" s="1994" t="n">
        <f aca="false">E69+F69</f>
        <v>2139.41</v>
      </c>
      <c r="C69" s="381" t="n">
        <f aca="false">B69+CR69</f>
        <v>2107.68</v>
      </c>
      <c r="D69" s="1995" t="n">
        <f aca="false">B69-I69</f>
        <v>1897.49</v>
      </c>
      <c r="E69" s="1996" t="n">
        <f aca="false">CH69</f>
        <v>31.7</v>
      </c>
      <c r="F69" s="1994" t="n">
        <f aca="false">J69+AC69+AV69+BM69</f>
        <v>2107.71</v>
      </c>
      <c r="G69" s="1478" t="n">
        <f aca="false">J69+X69+BN69</f>
        <v>2473.8</v>
      </c>
      <c r="H69" s="1478" t="n">
        <f aca="false">AG69+BA69+BP69</f>
        <v>366.09</v>
      </c>
      <c r="I69" s="1998" t="n">
        <f aca="false">K69+L69+CO69</f>
        <v>241.92</v>
      </c>
      <c r="J69" s="395" t="n">
        <f aca="false">K69+L69</f>
        <v>244.19</v>
      </c>
      <c r="K69" s="1479" t="n">
        <v>256.8</v>
      </c>
      <c r="L69" s="1478" t="n">
        <f aca="false">M69+N69+O69+P69+Q69</f>
        <v>-12.61</v>
      </c>
      <c r="M69" s="1479" t="n">
        <v>6.28</v>
      </c>
      <c r="N69" s="1479" t="n">
        <v>-15.67</v>
      </c>
      <c r="O69" s="1479" t="n">
        <v>0.36</v>
      </c>
      <c r="P69" s="1479" t="n">
        <v>-0.3</v>
      </c>
      <c r="Q69" s="2015" t="n">
        <v>-3.28000000000002</v>
      </c>
      <c r="R69" s="1479" t="n">
        <v>1387.7</v>
      </c>
      <c r="S69" s="1479" t="n">
        <v>452.61</v>
      </c>
      <c r="T69" s="1479" t="n">
        <v>479.32</v>
      </c>
      <c r="U69" s="1479" t="n">
        <v>1189.15</v>
      </c>
      <c r="V69" s="2015" t="n">
        <v>1034.98</v>
      </c>
      <c r="W69" s="2096" t="n">
        <f aca="false">AC69+AV69</f>
        <v>1681.19</v>
      </c>
      <c r="X69" s="1479" t="n">
        <f aca="false">W69+AA69</f>
        <v>2005.67</v>
      </c>
      <c r="Y69" s="1479" t="n">
        <f aca="false">AE69+AZ69</f>
        <v>1047.11</v>
      </c>
      <c r="Z69" s="1479" t="n">
        <f aca="false">W69-Y69</f>
        <v>634.08</v>
      </c>
      <c r="AA69" s="1479" t="n">
        <f aca="false">AG69+BA69</f>
        <v>324.48</v>
      </c>
      <c r="AB69" s="1319" t="n">
        <f aca="false">AA69/X69</f>
        <v>0.16178134987311</v>
      </c>
      <c r="AC69" s="1509" t="n">
        <f aca="false">AF69+AE69</f>
        <v>409.55</v>
      </c>
      <c r="AD69" s="1509" t="n">
        <f aca="false">AF69+AG69+AE69</f>
        <v>518.63</v>
      </c>
      <c r="AE69" s="1509" t="n">
        <f aca="false">AS69</f>
        <v>180.11</v>
      </c>
      <c r="AF69" s="1509" t="n">
        <f aca="false">AI69+AQ69</f>
        <v>229.44</v>
      </c>
      <c r="AG69" s="2097" t="n">
        <v>109.08</v>
      </c>
      <c r="AH69" s="1319" t="n">
        <f aca="false">AG69/AD69</f>
        <v>0.210323351907911</v>
      </c>
      <c r="AI69" s="2097" t="n">
        <v>59.74</v>
      </c>
      <c r="AJ69" s="2097" t="n">
        <v>15.27</v>
      </c>
      <c r="AK69" s="0" t="n">
        <v>109.17</v>
      </c>
      <c r="AL69" s="1478" t="n">
        <f aca="false">AK69-AI69</f>
        <v>49.43</v>
      </c>
      <c r="AM69" s="821" t="n">
        <f aca="false">AL69/AK69</f>
        <v>0.45278006778419</v>
      </c>
      <c r="AN69" s="2030" t="n">
        <f aca="false">AL69/DataDE2!AD70</f>
        <v>0.0105774260037986</v>
      </c>
      <c r="AO69" s="79" t="n">
        <f aca="false">AQ69+AS69</f>
        <v>349.81</v>
      </c>
      <c r="AP69" s="2004" t="n">
        <f aca="false">AO69+AT69</f>
        <v>409.46</v>
      </c>
      <c r="AQ69" s="2097" t="n">
        <v>169.7</v>
      </c>
      <c r="AR69" s="1478" t="n">
        <f aca="false">AQ69+AT69</f>
        <v>229.35</v>
      </c>
      <c r="AS69" s="2097" t="n">
        <v>180.11</v>
      </c>
      <c r="AT69" s="1478" t="n">
        <f aca="false">AG69-AL69</f>
        <v>59.65</v>
      </c>
      <c r="AU69" s="2005" t="n">
        <f aca="false">AT69/AP69</f>
        <v>0.145679675670395</v>
      </c>
      <c r="AV69" s="2001" t="n">
        <f aca="false">AW69-BA69</f>
        <v>1271.64</v>
      </c>
      <c r="AW69" s="2004" t="n">
        <f aca="false">AY69+AZ69</f>
        <v>1487.04</v>
      </c>
      <c r="AX69" s="2004" t="n">
        <f aca="false">BD69+BI69</f>
        <v>404.64</v>
      </c>
      <c r="AY69" s="1932" t="n">
        <f aca="false">AX69+BA69</f>
        <v>620.04</v>
      </c>
      <c r="AZ69" s="1478" t="n">
        <f aca="false">BF69+BK69</f>
        <v>867</v>
      </c>
      <c r="BA69" s="1478" t="n">
        <f aca="false">BG69+BL69</f>
        <v>215.4</v>
      </c>
      <c r="BB69" s="821" t="n">
        <f aca="false">BA69/AW69</f>
        <v>0.144851517107812</v>
      </c>
      <c r="BC69" s="1478" t="n">
        <f aca="false">BE69+BF69</f>
        <v>1409.36</v>
      </c>
      <c r="BD69" s="2097" t="n">
        <v>396.66</v>
      </c>
      <c r="BE69" s="1509" t="n">
        <f aca="false">BD69+BG69</f>
        <v>604.57</v>
      </c>
      <c r="BF69" s="2097" t="n">
        <v>804.79</v>
      </c>
      <c r="BG69" s="2097" t="n">
        <v>207.91</v>
      </c>
      <c r="BH69" s="1478" t="n">
        <f aca="false">BJ69+BK69</f>
        <v>77.68</v>
      </c>
      <c r="BI69" s="2097" t="n">
        <v>7.98</v>
      </c>
      <c r="BJ69" s="1509" t="n">
        <f aca="false">BI69+BL69</f>
        <v>15.47</v>
      </c>
      <c r="BK69" s="2097" t="n">
        <v>62.21</v>
      </c>
      <c r="BL69" s="2097" t="n">
        <v>7.49</v>
      </c>
      <c r="BM69" s="2001" t="n">
        <f aca="false">BN69-BP69</f>
        <v>182.33</v>
      </c>
      <c r="BN69" s="2004" t="n">
        <f aca="false">BO69+BP69</f>
        <v>223.94</v>
      </c>
      <c r="BO69" s="2097" t="n">
        <v>182.33</v>
      </c>
      <c r="BP69" s="2097" t="n">
        <v>41.61</v>
      </c>
      <c r="BQ69" s="2005" t="n">
        <f aca="false">BP69/BN69</f>
        <v>0.185808698758596</v>
      </c>
      <c r="BR69" s="1509" t="n">
        <f aca="false">AY69-BA69</f>
        <v>404.64</v>
      </c>
      <c r="BS69" s="1509" t="n">
        <f aca="false">BX69+CC69</f>
        <v>66.23</v>
      </c>
      <c r="BT69" s="1509" t="n">
        <f aca="false">BY69-BZ69+CD69-CE69</f>
        <v>274.9</v>
      </c>
      <c r="BU69" s="1509" t="n">
        <f aca="false">BR69-BS69-BT69-BW69</f>
        <v>95.2700000000001</v>
      </c>
      <c r="BV69" s="1509" t="n">
        <f aca="false">CA69+CF69</f>
        <v>28.66</v>
      </c>
      <c r="BW69" s="1509" t="n">
        <f aca="false">CB69+CG69</f>
        <v>-31.76</v>
      </c>
      <c r="BX69" s="2097" t="n">
        <v>61.6</v>
      </c>
      <c r="BY69" s="2023" t="n">
        <v>407.17</v>
      </c>
      <c r="BZ69" s="2097" t="n">
        <v>128.14</v>
      </c>
      <c r="CA69" s="2097" t="n">
        <v>2.9</v>
      </c>
      <c r="CB69" s="1509" t="n">
        <v>-4.62</v>
      </c>
      <c r="CC69" s="2097" t="n">
        <v>4.63</v>
      </c>
      <c r="CD69" s="2023" t="n">
        <v>432.51</v>
      </c>
      <c r="CE69" s="2099" t="n">
        <v>436.64</v>
      </c>
      <c r="CF69" s="2097" t="n">
        <v>25.76</v>
      </c>
      <c r="CG69" s="1509" t="n">
        <v>-27.14</v>
      </c>
      <c r="CH69" s="1482" t="n">
        <f aca="false">CI69+CL69+CO69</f>
        <v>31.7</v>
      </c>
      <c r="CI69" s="1479" t="n">
        <f aca="false">CJ69-CK69</f>
        <v>33.61</v>
      </c>
      <c r="CJ69" s="2017" t="n">
        <v>187.51</v>
      </c>
      <c r="CK69" s="2017" t="n">
        <v>153.9</v>
      </c>
      <c r="CL69" s="1479" t="n">
        <f aca="false">CM69-CN69</f>
        <v>0.36</v>
      </c>
      <c r="CM69" s="2017" t="n">
        <v>8.22</v>
      </c>
      <c r="CN69" s="2017" t="n">
        <v>7.86</v>
      </c>
      <c r="CO69" s="2023" t="n">
        <f aca="false">CP69-CQ69</f>
        <v>-2.27</v>
      </c>
      <c r="CP69" s="2017" t="n">
        <v>5.86</v>
      </c>
      <c r="CQ69" s="2017" t="n">
        <v>8.13</v>
      </c>
      <c r="CR69" s="1478" t="n">
        <f aca="false">CS69-CT69</f>
        <v>-31.73</v>
      </c>
      <c r="CS69" s="1478" t="n">
        <v>13.36</v>
      </c>
      <c r="CT69" s="1478" t="n">
        <v>45.09</v>
      </c>
      <c r="CU69" s="1478" t="n">
        <f aca="false">CV69-CW69</f>
        <v>-0.839999999999999</v>
      </c>
      <c r="CV69" s="2017" t="n">
        <v>3.18</v>
      </c>
      <c r="CW69" s="2017" t="n">
        <v>4.02</v>
      </c>
      <c r="CX69" s="1998" t="n">
        <f aca="false">CZ69+DA69+DB69+DC69+DD69</f>
        <v>657.640684155893</v>
      </c>
      <c r="CY69" s="2007" t="n">
        <f aca="false">CZ69+DA69+DB69</f>
        <v>575.690684155893</v>
      </c>
      <c r="CZ69" s="1509" t="n">
        <f aca="false">BR69</f>
        <v>404.64</v>
      </c>
      <c r="DA69" s="1509" t="n">
        <f aca="false">AI69</f>
        <v>59.74</v>
      </c>
      <c r="DB69" s="2009" t="n">
        <f aca="false">AO69*AX69/AV69</f>
        <v>111.310684155893</v>
      </c>
      <c r="DC69" s="2017" t="n">
        <f aca="false">CI69</f>
        <v>33.61</v>
      </c>
      <c r="DD69" s="1479" t="n">
        <v>48.34</v>
      </c>
      <c r="DE69" s="2023" t="n">
        <v>67.9</v>
      </c>
      <c r="DF69" s="2007" t="n">
        <f aca="false">DI69+DL69+DM69+DU69</f>
        <v>1288.18931584411</v>
      </c>
      <c r="DG69" s="2010" t="n">
        <f aca="false">DH69+DU69</f>
        <v>1229.8</v>
      </c>
      <c r="DH69" s="2010" t="n">
        <f aca="false">DJ69+DL69+AE69</f>
        <v>1229.44</v>
      </c>
      <c r="DI69" s="2010" t="n">
        <f aca="false">Y69</f>
        <v>1047.11</v>
      </c>
      <c r="DJ69" s="2035" t="n">
        <f aca="false">AZ69</f>
        <v>867</v>
      </c>
      <c r="DK69" s="2035" t="n">
        <f aca="false">AS69</f>
        <v>180.11</v>
      </c>
      <c r="DL69" s="1509" t="n">
        <f aca="false">BM69</f>
        <v>182.33</v>
      </c>
      <c r="DM69" s="2009" t="n">
        <f aca="false">AO69*AZ69/AV69-DK69</f>
        <v>58.3893158441069</v>
      </c>
      <c r="DN69" s="514" t="n">
        <f aca="false">(DM69/GK69)/(DH69/GJ69)</f>
        <v>0.38030140461446</v>
      </c>
      <c r="DO69" s="2009" t="n">
        <f aca="false">2/3*AR69</f>
        <v>152.9</v>
      </c>
      <c r="DP69" s="2009" t="n">
        <f aca="false">GK69*DH69/GJ69</f>
        <v>153.534315507723</v>
      </c>
      <c r="DQ69" s="2009" t="n">
        <f aca="false">2/3*DP69</f>
        <v>102.356210338482</v>
      </c>
      <c r="DR69" s="2009" t="n">
        <f aca="false">DS69*(DH69/GJ69)*GK69</f>
        <v>191.917894384654</v>
      </c>
      <c r="DS69" s="2102" t="n">
        <v>1.25</v>
      </c>
      <c r="DT69" s="2012"/>
      <c r="DU69" s="2015" t="n">
        <f aca="false">CL69</f>
        <v>0.36</v>
      </c>
      <c r="DV69" s="2007" t="n">
        <f aca="false">DW69+DX69+DY69+EB69</f>
        <v>952.42</v>
      </c>
      <c r="DW69" s="1509" t="n">
        <f aca="false">I69</f>
        <v>241.92</v>
      </c>
      <c r="DX69" s="2017" t="n">
        <f aca="false">BS69</f>
        <v>66.23</v>
      </c>
      <c r="DY69" s="2017" t="n">
        <f aca="false">EE69+EF69</f>
        <v>235.51</v>
      </c>
      <c r="DZ69" s="2018" t="n">
        <f aca="false">EF69+EE69-EA69</f>
        <v>54.041066495406</v>
      </c>
      <c r="EA69" s="2018" t="n">
        <f aca="false">EE69*(DF69-EB69+EH69)/(0.5*CX69+DF69-EB69+EH69)</f>
        <v>181.468933504594</v>
      </c>
      <c r="EB69" s="2017" t="n">
        <v>408.76</v>
      </c>
      <c r="EC69" s="2018" t="n">
        <f aca="false">DX69+DZ69</f>
        <v>120.271066495406</v>
      </c>
      <c r="ED69" s="2018" t="n">
        <f aca="false">EA69+EB69</f>
        <v>590.228933504594</v>
      </c>
      <c r="EE69" s="2023" t="n">
        <v>230.74</v>
      </c>
      <c r="EF69" s="2017" t="n">
        <v>4.77</v>
      </c>
      <c r="EG69" s="2017" t="n">
        <v>404.44</v>
      </c>
      <c r="EH69" s="2023" t="n">
        <v>331.64</v>
      </c>
      <c r="EI69" s="1479" t="n">
        <v>72.8</v>
      </c>
      <c r="EJ69" s="1479" t="n">
        <v>185.83</v>
      </c>
      <c r="EK69" s="2015" t="n">
        <v>30.81</v>
      </c>
      <c r="EL69" s="1479" t="n">
        <v>5.77</v>
      </c>
      <c r="EM69" s="2017" t="n">
        <f aca="false">DV69-EF69+EL69</f>
        <v>953.42</v>
      </c>
      <c r="EN69" s="2023" t="n">
        <v>30.81</v>
      </c>
      <c r="EO69" s="2019" t="n">
        <f aca="false">EM69-EG69-EN69-DD69</f>
        <v>469.83</v>
      </c>
      <c r="EP69" s="2019" t="n">
        <f aca="false">EO69-S69</f>
        <v>17.22</v>
      </c>
      <c r="EQ69" s="2023" t="n">
        <v>-22.75</v>
      </c>
      <c r="ER69" s="2023" t="n">
        <f aca="false">EP69+EQ69</f>
        <v>-5.52999999999997</v>
      </c>
      <c r="ES69" s="1479" t="n">
        <v>38.85</v>
      </c>
      <c r="ET69" s="1479" t="n">
        <v>-1.38</v>
      </c>
      <c r="EU69" s="2023" t="n">
        <f aca="false">ER69-ES69-ET69+BP69</f>
        <v>-1.38999999999997</v>
      </c>
      <c r="EV69" s="2024" t="n">
        <f aca="false">B69-DV69+EH69+DD69-CO69</f>
        <v>1569.24</v>
      </c>
      <c r="EW69" s="1478" t="n">
        <f aca="false">CX69-EC69</f>
        <v>537.369617660487</v>
      </c>
      <c r="EX69" s="1478" t="n">
        <f aca="false">($DF69-$EB69)-$EA69*($DF69-$EB69)/($DF69-$EB69+$EH69)</f>
        <v>747.653951749714</v>
      </c>
      <c r="EY69" s="1478" t="n">
        <f aca="false">$EH69-$EA69*$EH69/($DF69-$EB69+$EH69)</f>
        <v>281.946430589799</v>
      </c>
      <c r="EZ69" s="1478" t="n">
        <f aca="false">EV69+EI69</f>
        <v>1642.04</v>
      </c>
      <c r="FA69" s="2017" t="n">
        <v>1637.85</v>
      </c>
      <c r="FB69" s="2017" t="n">
        <v>183.54</v>
      </c>
      <c r="FC69" s="1478" t="n">
        <f aca="false">FB69+AG69</f>
        <v>292.62</v>
      </c>
      <c r="FD69" s="1997" t="n">
        <f aca="false">FB69+BU69-BV69</f>
        <v>250.15</v>
      </c>
      <c r="FE69" s="1479" t="n">
        <v>-6.62</v>
      </c>
      <c r="FF69" s="1479" t="n">
        <v>28.53</v>
      </c>
      <c r="FG69" s="1479" t="n">
        <f aca="false">FE69+FF69</f>
        <v>21.91</v>
      </c>
      <c r="FH69" s="514" t="n">
        <f aca="false">FG69/FD69</f>
        <v>0.0875874475314811</v>
      </c>
      <c r="FI69" s="1994" t="n">
        <f aca="false">FB69+FE69</f>
        <v>176.92</v>
      </c>
      <c r="FJ69" s="1994" t="n">
        <f aca="false">BU69-BV69+FF69</f>
        <v>95.1400000000001</v>
      </c>
      <c r="FK69" s="2025" t="n">
        <f aca="false">FI69+FJ69</f>
        <v>272.06</v>
      </c>
      <c r="FL69" s="1994" t="n">
        <f aca="false">FO69+FP69+FS69</f>
        <v>176.92</v>
      </c>
      <c r="FM69" s="2017" t="n">
        <v>147.68</v>
      </c>
      <c r="FN69" s="2017" t="n">
        <v>145.5</v>
      </c>
      <c r="FO69" s="1995" t="n">
        <f aca="false">FN69-AG69</f>
        <v>36.42</v>
      </c>
      <c r="FP69" s="2017" t="n">
        <v>3.1</v>
      </c>
      <c r="FQ69" s="1478" t="n">
        <f aca="false">FI69-FO69-FP69</f>
        <v>137.4</v>
      </c>
      <c r="FR69" s="1997" t="n">
        <v>0</v>
      </c>
      <c r="FS69" s="1478" t="n">
        <f aca="false">FQ69+FR69</f>
        <v>137.4</v>
      </c>
      <c r="FT69" s="1478" t="n">
        <v>122.4</v>
      </c>
      <c r="FU69" s="1478" t="n">
        <v>-40.6</v>
      </c>
      <c r="FV69" s="1478" t="n">
        <v>28.1</v>
      </c>
      <c r="FW69" s="2003" t="n">
        <v>-14.6</v>
      </c>
      <c r="FX69" s="2026" t="n">
        <f aca="false">FY69+FZ69</f>
        <v>292.79</v>
      </c>
      <c r="FY69" s="2023" t="n">
        <v>286.64</v>
      </c>
      <c r="FZ69" s="2032" t="n">
        <v>6.15</v>
      </c>
      <c r="GA69" s="2015" t="n">
        <v>0</v>
      </c>
      <c r="GB69" s="402" t="n">
        <v>0.0259865255052933</v>
      </c>
      <c r="GC69" s="387" t="n">
        <v>0.0259865255052933</v>
      </c>
      <c r="GD69" s="387" t="n">
        <f aca="false">(G69/G68)/(1+GE69)-1</f>
        <v>0.00773766488309269</v>
      </c>
      <c r="GE69" s="387" t="n">
        <v>0.0108320104584929</v>
      </c>
      <c r="GF69" s="387" t="n">
        <v>0.0165869840960093</v>
      </c>
      <c r="GG69" s="2033" t="n">
        <v>115.24</v>
      </c>
      <c r="GH69" s="465" t="n">
        <v>82110.0965</v>
      </c>
      <c r="GI69" s="465" t="n">
        <f aca="false">GJ69+GK69</f>
        <v>40345</v>
      </c>
      <c r="GJ69" s="465" t="n">
        <v>35866</v>
      </c>
      <c r="GK69" s="465" t="n">
        <v>4479</v>
      </c>
      <c r="GL69" s="25" t="n">
        <v>0.190466917804167</v>
      </c>
      <c r="GM69" s="25" t="n">
        <f aca="false">GK69/GI69</f>
        <v>0.111017474284298</v>
      </c>
      <c r="GN69" s="2101" t="n">
        <v>67451.7814145918</v>
      </c>
      <c r="GO69" s="1932" t="n">
        <f aca="false">CX69</f>
        <v>657.640684155893</v>
      </c>
      <c r="GP69" s="1932" t="n">
        <f aca="false">BU69</f>
        <v>95.2700000000001</v>
      </c>
      <c r="GQ69" s="1932" t="n">
        <f aca="false">BW69</f>
        <v>-31.76</v>
      </c>
      <c r="GR69" s="1932" t="n">
        <f aca="false">DB69</f>
        <v>111.310684155893</v>
      </c>
      <c r="GS69" s="1509" t="n">
        <f aca="false">GO69-GP69-GQ69-GR69</f>
        <v>482.82</v>
      </c>
      <c r="GT69" s="1932" t="n">
        <f aca="false">GU69+GV69+GW69+GX69+HA69-HD69</f>
        <v>482.82</v>
      </c>
      <c r="GU69" s="2017" t="n">
        <v>50.61</v>
      </c>
      <c r="GV69" s="2017" t="n">
        <f aca="false">AI69</f>
        <v>59.74</v>
      </c>
      <c r="GW69" s="2017" t="n">
        <v>1.85</v>
      </c>
      <c r="GX69" s="1509" t="n">
        <f aca="false">GY69+GZ69</f>
        <v>353.5</v>
      </c>
      <c r="GY69" s="2017" t="n">
        <v>287.27</v>
      </c>
      <c r="GZ69" s="24" t="n">
        <f aca="false">DX69</f>
        <v>66.23</v>
      </c>
      <c r="HA69" s="2017" t="n">
        <v>85.02</v>
      </c>
      <c r="HB69" s="2017" t="n">
        <v>65.16</v>
      </c>
      <c r="HC69" s="2017" t="n">
        <f aca="false">HA69-HB69</f>
        <v>19.86</v>
      </c>
      <c r="HD69" s="24" t="n">
        <f aca="false">DE69</f>
        <v>67.9</v>
      </c>
      <c r="HE69" s="2017" t="n">
        <v>65.88</v>
      </c>
      <c r="HF69" s="2017" t="n">
        <v>83.93</v>
      </c>
      <c r="HG69" s="1478" t="n">
        <f aca="false">HF69-HE69</f>
        <v>18.05</v>
      </c>
      <c r="HH69" s="1478" t="n">
        <f aca="false">AJ69</f>
        <v>15.27</v>
      </c>
      <c r="HI69" s="24" t="n">
        <f aca="false">HG69-HH69</f>
        <v>2.78000000000001</v>
      </c>
      <c r="HJ69" s="158" t="n">
        <f aca="false">DE69/DataDE2!AR70</f>
        <v>0.0438942400930894</v>
      </c>
      <c r="HK69" s="387" t="n">
        <f aca="false">HF69/DataDE2!AR70</f>
        <v>0.0542569008985713</v>
      </c>
    </row>
    <row r="70" customFormat="false" ht="12" hidden="false" customHeight="false" outlineLevel="0" collapsed="false">
      <c r="A70" s="31" t="n">
        <f aca="false">A69+1</f>
        <v>2009</v>
      </c>
      <c r="B70" s="1994" t="n">
        <f aca="false">E70+F70</f>
        <v>2051.36</v>
      </c>
      <c r="C70" s="381" t="n">
        <f aca="false">B70+CR70</f>
        <v>2019.16</v>
      </c>
      <c r="D70" s="1995" t="n">
        <f aca="false">B70-I70</f>
        <v>1810.29</v>
      </c>
      <c r="E70" s="1996" t="n">
        <f aca="false">CH70</f>
        <v>50.35</v>
      </c>
      <c r="F70" s="1994" t="n">
        <f aca="false">J70+AC70+AV70+BM70</f>
        <v>2001.01</v>
      </c>
      <c r="G70" s="1478" t="n">
        <f aca="false">J70+X70+BN70</f>
        <v>2374.5</v>
      </c>
      <c r="H70" s="1478" t="n">
        <f aca="false">AG70+BA70+BP70</f>
        <v>373.49</v>
      </c>
      <c r="I70" s="1998" t="n">
        <f aca="false">K70+L70+CO70</f>
        <v>241.07</v>
      </c>
      <c r="J70" s="395" t="n">
        <f aca="false">K70+L70</f>
        <v>240.31</v>
      </c>
      <c r="K70" s="1479" t="n">
        <v>257.29</v>
      </c>
      <c r="L70" s="1478" t="n">
        <f aca="false">M70+N70+O70+P70+Q70</f>
        <v>-16.9800000000001</v>
      </c>
      <c r="M70" s="1479" t="n">
        <v>5.36</v>
      </c>
      <c r="N70" s="1479" t="n">
        <v>-18.07</v>
      </c>
      <c r="O70" s="1479" t="n">
        <v>0.36</v>
      </c>
      <c r="P70" s="1479" t="n">
        <v>-0.49</v>
      </c>
      <c r="Q70" s="2015" t="n">
        <v>-4.1400000000001</v>
      </c>
      <c r="R70" s="1479" t="n">
        <v>1387.43</v>
      </c>
      <c r="S70" s="1479" t="n">
        <v>475.81</v>
      </c>
      <c r="T70" s="1479" t="n">
        <v>392.75</v>
      </c>
      <c r="U70" s="1479" t="n">
        <v>995.92</v>
      </c>
      <c r="V70" s="2015" t="n">
        <v>877.41</v>
      </c>
      <c r="W70" s="2096" t="n">
        <f aca="false">AC70+AV70</f>
        <v>1570.99</v>
      </c>
      <c r="X70" s="1479" t="n">
        <f aca="false">W70+AA70</f>
        <v>1902.1</v>
      </c>
      <c r="Y70" s="1479" t="n">
        <f aca="false">AE70+AZ70</f>
        <v>1040.85</v>
      </c>
      <c r="Z70" s="1479" t="n">
        <f aca="false">W70-Y70</f>
        <v>530.14</v>
      </c>
      <c r="AA70" s="1479" t="n">
        <f aca="false">AG70+BA70</f>
        <v>331.11</v>
      </c>
      <c r="AB70" s="1319" t="n">
        <f aca="false">AA70/X70</f>
        <v>0.174076021239682</v>
      </c>
      <c r="AC70" s="1509" t="n">
        <f aca="false">AF70+AE70</f>
        <v>389.41</v>
      </c>
      <c r="AD70" s="1509" t="n">
        <f aca="false">AF70+AG70+AE70</f>
        <v>501.49</v>
      </c>
      <c r="AE70" s="1509" t="n">
        <f aca="false">AS70</f>
        <v>185.99</v>
      </c>
      <c r="AF70" s="1509" t="n">
        <f aca="false">AI70+AQ70</f>
        <v>203.42</v>
      </c>
      <c r="AG70" s="2097" t="n">
        <v>112.08</v>
      </c>
      <c r="AH70" s="1319" t="n">
        <f aca="false">AG70/AD70</f>
        <v>0.22349398791601</v>
      </c>
      <c r="AI70" s="2097" t="n">
        <v>54.3</v>
      </c>
      <c r="AJ70" s="2097" t="n">
        <v>26.47</v>
      </c>
      <c r="AK70" s="0" t="n">
        <v>105.13</v>
      </c>
      <c r="AL70" s="1478" t="n">
        <f aca="false">AK70-AI70</f>
        <v>50.83</v>
      </c>
      <c r="AM70" s="821" t="n">
        <f aca="false">AL70/AK70</f>
        <v>0.483496623228384</v>
      </c>
      <c r="AN70" s="2030" t="n">
        <f aca="false">AL70/DataDE2!AD71</f>
        <v>0.0104650088609066</v>
      </c>
      <c r="AO70" s="79" t="n">
        <f aca="false">AQ70+AS70</f>
        <v>335.11</v>
      </c>
      <c r="AP70" s="2004" t="n">
        <f aca="false">AO70+AT70</f>
        <v>396.36</v>
      </c>
      <c r="AQ70" s="2097" t="n">
        <v>149.12</v>
      </c>
      <c r="AR70" s="1478" t="n">
        <f aca="false">AQ70+AT70</f>
        <v>210.37</v>
      </c>
      <c r="AS70" s="2097" t="n">
        <v>185.99</v>
      </c>
      <c r="AT70" s="1478" t="n">
        <f aca="false">AG70-AL70</f>
        <v>61.25</v>
      </c>
      <c r="AU70" s="2005" t="n">
        <f aca="false">AT70/AP70</f>
        <v>0.154531234231507</v>
      </c>
      <c r="AV70" s="2001" t="n">
        <f aca="false">AW70-BA70</f>
        <v>1181.58</v>
      </c>
      <c r="AW70" s="2004" t="n">
        <f aca="false">AY70+AZ70</f>
        <v>1400.61</v>
      </c>
      <c r="AX70" s="2004" t="n">
        <f aca="false">BD70+BI70</f>
        <v>326.72</v>
      </c>
      <c r="AY70" s="1932" t="n">
        <f aca="false">AX70+BA70</f>
        <v>545.75</v>
      </c>
      <c r="AZ70" s="1478" t="n">
        <f aca="false">BF70+BK70</f>
        <v>854.86</v>
      </c>
      <c r="BA70" s="1478" t="n">
        <f aca="false">BG70+BL70</f>
        <v>219.03</v>
      </c>
      <c r="BB70" s="821" t="n">
        <f aca="false">BA70/AW70</f>
        <v>0.156381862188618</v>
      </c>
      <c r="BC70" s="1478" t="n">
        <f aca="false">BE70+BF70</f>
        <v>1301.73</v>
      </c>
      <c r="BD70" s="2097" t="n">
        <v>298.36</v>
      </c>
      <c r="BE70" s="1509" t="n">
        <f aca="false">BD70+BG70</f>
        <v>509.79</v>
      </c>
      <c r="BF70" s="2097" t="n">
        <v>791.94</v>
      </c>
      <c r="BG70" s="2097" t="n">
        <v>211.43</v>
      </c>
      <c r="BH70" s="1478" t="n">
        <f aca="false">BJ70+BK70</f>
        <v>98.88</v>
      </c>
      <c r="BI70" s="2097" t="n">
        <v>28.36</v>
      </c>
      <c r="BJ70" s="1509" t="n">
        <f aca="false">BI70+BL70</f>
        <v>35.96</v>
      </c>
      <c r="BK70" s="2097" t="n">
        <v>62.92</v>
      </c>
      <c r="BL70" s="2097" t="n">
        <v>7.6</v>
      </c>
      <c r="BM70" s="2001" t="n">
        <f aca="false">BN70-BP70</f>
        <v>189.71</v>
      </c>
      <c r="BN70" s="2004" t="n">
        <f aca="false">BO70+BP70</f>
        <v>232.09</v>
      </c>
      <c r="BO70" s="2097" t="n">
        <v>189.71</v>
      </c>
      <c r="BP70" s="2097" t="n">
        <v>42.38</v>
      </c>
      <c r="BQ70" s="2005" t="n">
        <f aca="false">BP70/BN70</f>
        <v>0.18260157697445</v>
      </c>
      <c r="BR70" s="1509" t="n">
        <f aca="false">AY70-BA70</f>
        <v>326.72</v>
      </c>
      <c r="BS70" s="1509" t="n">
        <f aca="false">BX70+CC70</f>
        <v>47.19</v>
      </c>
      <c r="BT70" s="1509" t="n">
        <f aca="false">BY70-BZ70+CD70-CE70</f>
        <v>245.65</v>
      </c>
      <c r="BU70" s="1509" t="n">
        <f aca="false">BR70-BS70-BT70-BW70</f>
        <v>68.0296854944362</v>
      </c>
      <c r="BV70" s="1509" t="n">
        <f aca="false">CA70+CF70</f>
        <v>29.3896854944362</v>
      </c>
      <c r="BW70" s="1509" t="n">
        <f aca="false">CB70+CG70</f>
        <v>-34.1496854944362</v>
      </c>
      <c r="BX70" s="2097" t="n">
        <v>39.76</v>
      </c>
      <c r="BY70" s="2023" t="n">
        <v>365.05</v>
      </c>
      <c r="BZ70" s="2097" t="n">
        <v>128.92</v>
      </c>
      <c r="CA70" s="2097" t="n">
        <v>4.8</v>
      </c>
      <c r="CB70" s="1509" t="n">
        <v>-5.31</v>
      </c>
      <c r="CC70" s="2097" t="n">
        <v>7.43</v>
      </c>
      <c r="CD70" s="2023" t="n">
        <v>337.61</v>
      </c>
      <c r="CE70" s="2099" t="n">
        <v>328.09</v>
      </c>
      <c r="CF70" s="2097" t="n">
        <v>24.5896854944362</v>
      </c>
      <c r="CG70" s="1509" t="n">
        <v>-28.8396854944362</v>
      </c>
      <c r="CH70" s="1482" t="n">
        <f aca="false">CI70+CL70+CO70</f>
        <v>50.35</v>
      </c>
      <c r="CI70" s="1479" t="n">
        <f aca="false">CJ70-CK70</f>
        <v>48.67</v>
      </c>
      <c r="CJ70" s="2017" t="n">
        <v>171.5</v>
      </c>
      <c r="CK70" s="2017" t="n">
        <v>122.83</v>
      </c>
      <c r="CL70" s="1479" t="n">
        <f aca="false">CM70-CN70</f>
        <v>0.919999999999999</v>
      </c>
      <c r="CM70" s="2017" t="n">
        <v>8.87</v>
      </c>
      <c r="CN70" s="2017" t="n">
        <v>7.95</v>
      </c>
      <c r="CO70" s="2023" t="n">
        <f aca="false">CP70-CQ70</f>
        <v>0.76</v>
      </c>
      <c r="CP70" s="2017" t="n">
        <v>6.41</v>
      </c>
      <c r="CQ70" s="2017" t="n">
        <v>5.65</v>
      </c>
      <c r="CR70" s="1478" t="n">
        <f aca="false">CS70-CT70</f>
        <v>-32.2</v>
      </c>
      <c r="CS70" s="1478" t="n">
        <v>11.1</v>
      </c>
      <c r="CT70" s="1478" t="n">
        <v>43.3</v>
      </c>
      <c r="CU70" s="1478" t="n">
        <f aca="false">CV70-CW70</f>
        <v>0.0100000000000002</v>
      </c>
      <c r="CV70" s="2017" t="n">
        <v>3.45</v>
      </c>
      <c r="CW70" s="2017" t="n">
        <v>3.44</v>
      </c>
      <c r="CX70" s="1998" t="n">
        <f aca="false">CZ70+DA70+DB70+DC70+DD70</f>
        <v>564.831638822594</v>
      </c>
      <c r="CY70" s="2007" t="n">
        <f aca="false">CZ70+DA70+DB70</f>
        <v>473.681638822594</v>
      </c>
      <c r="CZ70" s="1509" t="n">
        <f aca="false">BR70</f>
        <v>326.72</v>
      </c>
      <c r="DA70" s="1509" t="n">
        <f aca="false">AI70</f>
        <v>54.3</v>
      </c>
      <c r="DB70" s="2009" t="n">
        <f aca="false">AO70*AX70/AV70</f>
        <v>92.6616388225935</v>
      </c>
      <c r="DC70" s="2017" t="n">
        <f aca="false">CI70</f>
        <v>48.67</v>
      </c>
      <c r="DD70" s="1479" t="n">
        <v>42.48</v>
      </c>
      <c r="DE70" s="2023" t="n">
        <v>51.89</v>
      </c>
      <c r="DF70" s="2007" t="n">
        <f aca="false">DI70+DL70+DM70+DU70</f>
        <v>1287.93836117741</v>
      </c>
      <c r="DG70" s="2010" t="n">
        <f aca="false">DH70+DU70</f>
        <v>1231.48</v>
      </c>
      <c r="DH70" s="2010" t="n">
        <f aca="false">DJ70+DL70+AE70</f>
        <v>1230.56</v>
      </c>
      <c r="DI70" s="2010" t="n">
        <f aca="false">Y70</f>
        <v>1040.85</v>
      </c>
      <c r="DJ70" s="2035" t="n">
        <f aca="false">AZ70</f>
        <v>854.86</v>
      </c>
      <c r="DK70" s="2035" t="n">
        <f aca="false">AS70</f>
        <v>185.99</v>
      </c>
      <c r="DL70" s="1509" t="n">
        <f aca="false">BM70</f>
        <v>189.71</v>
      </c>
      <c r="DM70" s="2009" t="n">
        <f aca="false">AO70*AZ70/AV70-DK70</f>
        <v>56.4583611774065</v>
      </c>
      <c r="DN70" s="514" t="n">
        <f aca="false">(DM70/GK70)/(DH70/GJ70)</f>
        <v>0.368582038553254</v>
      </c>
      <c r="DO70" s="2009" t="n">
        <f aca="false">2/3*AR70</f>
        <v>140.246666666667</v>
      </c>
      <c r="DP70" s="2009" t="n">
        <f aca="false">GK70*DH70/GJ70</f>
        <v>153.177190616816</v>
      </c>
      <c r="DQ70" s="2009" t="n">
        <f aca="false">2/3*DP70</f>
        <v>102.118127077877</v>
      </c>
      <c r="DR70" s="2009" t="n">
        <f aca="false">DS70*(DH70/GJ70)*GK70</f>
        <v>191.47148827102</v>
      </c>
      <c r="DS70" s="2102" t="n">
        <v>1.25</v>
      </c>
      <c r="DT70" s="2012"/>
      <c r="DU70" s="2015" t="n">
        <f aca="false">CL70</f>
        <v>0.919999999999999</v>
      </c>
      <c r="DV70" s="2007" t="n">
        <f aca="false">DW70+DX70+DY70+EB70</f>
        <v>925.27</v>
      </c>
      <c r="DW70" s="1509" t="n">
        <f aca="false">I70</f>
        <v>241.07</v>
      </c>
      <c r="DX70" s="2017" t="n">
        <f aca="false">BS70</f>
        <v>47.19</v>
      </c>
      <c r="DY70" s="2017" t="n">
        <f aca="false">EE70+EF70</f>
        <v>227.26</v>
      </c>
      <c r="DZ70" s="2018" t="n">
        <f aca="false">EF70+EE70-EA70</f>
        <v>46.2353213272975</v>
      </c>
      <c r="EA70" s="2018" t="n">
        <f aca="false">EE70*(DF70-EB70+EH70)/(0.5*CX70+DF70-EB70+EH70)</f>
        <v>181.024678672702</v>
      </c>
      <c r="EB70" s="2017" t="n">
        <v>409.75</v>
      </c>
      <c r="EC70" s="2018" t="n">
        <f aca="false">DX70+DZ70</f>
        <v>93.4253213272975</v>
      </c>
      <c r="ED70" s="2018" t="n">
        <f aca="false">EA70+EB70</f>
        <v>590.774678672703</v>
      </c>
      <c r="EE70" s="2023" t="n">
        <v>222.72</v>
      </c>
      <c r="EF70" s="2017" t="n">
        <v>4.54</v>
      </c>
      <c r="EG70" s="2017" t="n">
        <v>425.68</v>
      </c>
      <c r="EH70" s="2023" t="n">
        <v>347.95</v>
      </c>
      <c r="EI70" s="1479" t="n">
        <v>77.73</v>
      </c>
      <c r="EJ70" s="1479" t="n">
        <v>196.9</v>
      </c>
      <c r="EK70" s="2015" t="n">
        <v>36.6</v>
      </c>
      <c r="EL70" s="1479" t="n">
        <v>4.07</v>
      </c>
      <c r="EM70" s="2017" t="n">
        <f aca="false">DV70-EF70+EL70</f>
        <v>924.8</v>
      </c>
      <c r="EN70" s="2023" t="n">
        <v>36.6</v>
      </c>
      <c r="EO70" s="2019" t="n">
        <f aca="false">EM70-EG70-EN70-DD70</f>
        <v>420.04</v>
      </c>
      <c r="EP70" s="2019" t="n">
        <f aca="false">EO70-S70</f>
        <v>-55.77</v>
      </c>
      <c r="EQ70" s="2023" t="n">
        <v>-22.73</v>
      </c>
      <c r="ER70" s="2023" t="n">
        <f aca="false">EP70+EQ70</f>
        <v>-78.5</v>
      </c>
      <c r="ES70" s="1479" t="n">
        <v>41.37</v>
      </c>
      <c r="ET70" s="1479" t="n">
        <v>-1.38</v>
      </c>
      <c r="EU70" s="2023" t="n">
        <f aca="false">ER70-ES70-ET70+BP70</f>
        <v>-76.11</v>
      </c>
      <c r="EV70" s="2024" t="n">
        <f aca="false">B70-DV70+EH70+DD70-CO70</f>
        <v>1515.76</v>
      </c>
      <c r="EW70" s="1478" t="n">
        <f aca="false">CX70-EC70</f>
        <v>471.406317495296</v>
      </c>
      <c r="EX70" s="1478" t="n">
        <f aca="false">($DF70-$EB70)-$EA70*($DF70-$EB70)/($DF70-$EB70+$EH70)</f>
        <v>748.534342569269</v>
      </c>
      <c r="EY70" s="1478" t="n">
        <f aca="false">$EH70-$EA70*$EH70/($DF70-$EB70+$EH70)</f>
        <v>296.579339935435</v>
      </c>
      <c r="EZ70" s="1478" t="n">
        <f aca="false">EV70+EI70</f>
        <v>1593.49</v>
      </c>
      <c r="FA70" s="2017" t="n">
        <v>1599.12</v>
      </c>
      <c r="FB70" s="2017" t="n">
        <v>173.05</v>
      </c>
      <c r="FC70" s="1478" t="n">
        <f aca="false">FB70+AG70</f>
        <v>285.13</v>
      </c>
      <c r="FD70" s="1997" t="n">
        <f aca="false">FB70+BU70-BV70</f>
        <v>211.69</v>
      </c>
      <c r="FE70" s="1479" t="n">
        <v>7.55</v>
      </c>
      <c r="FF70" s="1479" t="n">
        <v>15.19</v>
      </c>
      <c r="FG70" s="1479" t="n">
        <f aca="false">FE70+FF70</f>
        <v>22.74</v>
      </c>
      <c r="FH70" s="514" t="n">
        <f aca="false">FG70/FD70</f>
        <v>0.107421229155841</v>
      </c>
      <c r="FI70" s="1994" t="n">
        <f aca="false">FB70+FE70</f>
        <v>180.6</v>
      </c>
      <c r="FJ70" s="1994" t="n">
        <f aca="false">BU70-BV70+FF70</f>
        <v>53.83</v>
      </c>
      <c r="FK70" s="2025" t="n">
        <f aca="false">FI70+FJ70</f>
        <v>234.43</v>
      </c>
      <c r="FL70" s="1994" t="n">
        <f aca="false">FO70+FP70+FS70</f>
        <v>180.6</v>
      </c>
      <c r="FM70" s="2017" t="n">
        <v>139.86</v>
      </c>
      <c r="FN70" s="2017" t="n">
        <v>138.27</v>
      </c>
      <c r="FO70" s="1995" t="n">
        <f aca="false">FN70-AG70</f>
        <v>26.19</v>
      </c>
      <c r="FP70" s="2017" t="n">
        <v>2.51</v>
      </c>
      <c r="FQ70" s="1478" t="n">
        <f aca="false">FI70-FO70-FP70</f>
        <v>151.9</v>
      </c>
      <c r="FR70" s="1997" t="n">
        <v>0</v>
      </c>
      <c r="FS70" s="1478" t="n">
        <f aca="false">FQ70+FR70</f>
        <v>151.9</v>
      </c>
      <c r="FT70" s="1478" t="n">
        <v>144.8</v>
      </c>
      <c r="FU70" s="1478" t="n">
        <v>18.2</v>
      </c>
      <c r="FV70" s="1478" t="n">
        <v>62.5</v>
      </c>
      <c r="FW70" s="2003" t="n">
        <v>-6.6</v>
      </c>
      <c r="FX70" s="2026" t="n">
        <f aca="false">FY70+FZ70</f>
        <v>211.52</v>
      </c>
      <c r="FY70" s="2023" t="n">
        <v>205.31</v>
      </c>
      <c r="FZ70" s="2032" t="n">
        <v>6.21</v>
      </c>
      <c r="GA70" s="2015" t="n">
        <v>0</v>
      </c>
      <c r="GB70" s="402" t="n">
        <v>0.00375234521575996</v>
      </c>
      <c r="GC70" s="387" t="n">
        <v>0.00375234521575996</v>
      </c>
      <c r="GD70" s="387" t="n">
        <f aca="false">(G70/G69)/(1+GE70)-1</f>
        <v>0.0117309835508459</v>
      </c>
      <c r="GE70" s="387" t="n">
        <v>-0.0512702078521939</v>
      </c>
      <c r="GF70" s="387" t="n">
        <v>0.000575871004894868</v>
      </c>
      <c r="GG70" s="2033" t="n">
        <v>102.09</v>
      </c>
      <c r="GH70" s="465" t="n">
        <v>81902.328</v>
      </c>
      <c r="GI70" s="465" t="n">
        <f aca="false">GJ70+GK70</f>
        <v>40362</v>
      </c>
      <c r="GJ70" s="465" t="n">
        <v>35894</v>
      </c>
      <c r="GK70" s="465" t="n">
        <v>4468</v>
      </c>
      <c r="GL70" s="25" t="n">
        <v>0.188</v>
      </c>
      <c r="GM70" s="25" t="n">
        <f aca="false">GK70/GI70</f>
        <v>0.110698181457807</v>
      </c>
      <c r="GN70" s="2101" t="n">
        <v>67327.2313228467</v>
      </c>
      <c r="GO70" s="1932" t="n">
        <f aca="false">CX70</f>
        <v>564.831638822594</v>
      </c>
      <c r="GP70" s="1932" t="n">
        <f aca="false">BU70</f>
        <v>68.0296854944362</v>
      </c>
      <c r="GQ70" s="1932" t="n">
        <f aca="false">BW70</f>
        <v>-34.1496854944362</v>
      </c>
      <c r="GR70" s="1932" t="n">
        <f aca="false">DB70</f>
        <v>92.6616388225935</v>
      </c>
      <c r="GS70" s="1509" t="n">
        <f aca="false">GO70-GP70-GQ70-GR70</f>
        <v>438.29</v>
      </c>
      <c r="GT70" s="1932" t="n">
        <f aca="false">GU70+GV70+GW70+GX70+HA70-HD70</f>
        <v>438.29</v>
      </c>
      <c r="GU70" s="2017" t="n">
        <v>48.2</v>
      </c>
      <c r="GV70" s="2017" t="n">
        <f aca="false">AI70</f>
        <v>54.3</v>
      </c>
      <c r="GW70" s="2017" t="n">
        <v>1.85</v>
      </c>
      <c r="GX70" s="1509" t="n">
        <f aca="false">GY70+GZ70</f>
        <v>315.61</v>
      </c>
      <c r="GY70" s="2017" t="n">
        <v>268.42</v>
      </c>
      <c r="GZ70" s="24" t="n">
        <f aca="false">DX70</f>
        <v>47.19</v>
      </c>
      <c r="HA70" s="2017" t="n">
        <v>70.22</v>
      </c>
      <c r="HB70" s="2017" t="n">
        <v>56.14</v>
      </c>
      <c r="HC70" s="2017" t="n">
        <f aca="false">HA70-HB70</f>
        <v>14.08</v>
      </c>
      <c r="HD70" s="24" t="n">
        <f aca="false">DE70</f>
        <v>51.89</v>
      </c>
      <c r="HE70" s="2017" t="n">
        <v>49.95</v>
      </c>
      <c r="HF70" s="2017" t="n">
        <v>80.72</v>
      </c>
      <c r="HG70" s="1478" t="n">
        <f aca="false">HF70-HE70</f>
        <v>30.77</v>
      </c>
      <c r="HH70" s="1478" t="n">
        <f aca="false">AJ70</f>
        <v>26.47</v>
      </c>
      <c r="HI70" s="24" t="n">
        <f aca="false">HG70-HH70</f>
        <v>4.3</v>
      </c>
      <c r="HJ70" s="158" t="n">
        <f aca="false">DE70/DataDE2!AR71</f>
        <v>0.0338641258239248</v>
      </c>
      <c r="HK70" s="387" t="n">
        <f aca="false">HF70/DataDE2!AR71</f>
        <v>0.0526789793121451</v>
      </c>
    </row>
    <row r="71" customFormat="false" ht="12" hidden="false" customHeight="false" outlineLevel="0" collapsed="false">
      <c r="A71" s="31" t="n">
        <f aca="false">A70+1</f>
        <v>2010</v>
      </c>
      <c r="B71" s="1994" t="n">
        <f aca="false">E71+F71</f>
        <v>2146.06</v>
      </c>
      <c r="C71" s="381" t="n">
        <f aca="false">B71+CR71</f>
        <v>2108.21</v>
      </c>
      <c r="D71" s="1995" t="n">
        <f aca="false">B71-I71</f>
        <v>1902.17</v>
      </c>
      <c r="E71" s="2103" t="n">
        <f aca="false">CH71</f>
        <v>45.95</v>
      </c>
      <c r="F71" s="1994" t="n">
        <f aca="false">J71+AC71+AV71+BM71</f>
        <v>2100.11</v>
      </c>
      <c r="G71" s="1478" t="n">
        <f aca="false">J71+X71+BN71</f>
        <v>2476.8</v>
      </c>
      <c r="H71" s="1478" t="n">
        <f aca="false">AG71+BA71+BP71</f>
        <v>376.69</v>
      </c>
      <c r="I71" s="1998" t="n">
        <f aca="false">K71+L71+CO71</f>
        <v>243.89</v>
      </c>
      <c r="J71" s="395" t="n">
        <f aca="false">K71+L71</f>
        <v>243.99</v>
      </c>
      <c r="K71" s="1479" t="n">
        <v>259.99</v>
      </c>
      <c r="L71" s="1478" t="n">
        <f aca="false">M71+N71+O71+P71+Q71</f>
        <v>-16</v>
      </c>
      <c r="M71" s="1479" t="n">
        <v>5.74</v>
      </c>
      <c r="N71" s="1479" t="n">
        <v>-17.24</v>
      </c>
      <c r="O71" s="1479" t="n">
        <v>0.38</v>
      </c>
      <c r="P71" s="1479" t="n">
        <v>-0.55</v>
      </c>
      <c r="Q71" s="2015" t="n">
        <v>-4.32999999999996</v>
      </c>
      <c r="R71" s="1479" t="n">
        <v>1423.02</v>
      </c>
      <c r="S71" s="1479" t="n">
        <v>488.77</v>
      </c>
      <c r="T71" s="1479" t="n">
        <v>429.56</v>
      </c>
      <c r="U71" s="1479" t="n">
        <v>1159.8</v>
      </c>
      <c r="V71" s="2015" t="n">
        <v>1024.35</v>
      </c>
      <c r="W71" s="2096" t="n">
        <f aca="false">AC71+AV71</f>
        <v>1661.58</v>
      </c>
      <c r="X71" s="1479" t="n">
        <f aca="false">W71+AA71</f>
        <v>1995.32</v>
      </c>
      <c r="Y71" s="1479" t="n">
        <f aca="false">AE71+AZ71</f>
        <v>1066.84</v>
      </c>
      <c r="Z71" s="1479" t="n">
        <f aca="false">W71-Y71</f>
        <v>594.74</v>
      </c>
      <c r="AA71" s="1479" t="n">
        <f aca="false">AG71+BA71</f>
        <v>333.74</v>
      </c>
      <c r="AB71" s="1319" t="n">
        <f aca="false">AA71/X71</f>
        <v>0.167261391656476</v>
      </c>
      <c r="AC71" s="1509" t="n">
        <f aca="false">AF71+AE71</f>
        <v>401.56</v>
      </c>
      <c r="AD71" s="1509" t="n">
        <f aca="false">AF71+AG71+AE71</f>
        <v>513.22</v>
      </c>
      <c r="AE71" s="1509" t="n">
        <f aca="false">AS71</f>
        <v>191.73</v>
      </c>
      <c r="AF71" s="1509" t="n">
        <f aca="false">AI71+AQ71</f>
        <v>209.83</v>
      </c>
      <c r="AG71" s="2097" t="n">
        <v>111.66</v>
      </c>
      <c r="AH71" s="1319" t="n">
        <f aca="false">AG71/AD71</f>
        <v>0.217567514905888</v>
      </c>
      <c r="AI71" s="2097" t="n">
        <v>53.2</v>
      </c>
      <c r="AJ71" s="2097" t="n">
        <v>27.36</v>
      </c>
      <c r="AK71" s="0" t="n">
        <v>104.91</v>
      </c>
      <c r="AL71" s="1478" t="n">
        <f aca="false">AK71-AI71</f>
        <v>51.71</v>
      </c>
      <c r="AM71" s="821" t="n">
        <f aca="false">AL71/AK71</f>
        <v>0.492898675054809</v>
      </c>
      <c r="AN71" s="2030" t="n">
        <f aca="false">AL71/DataDE2!AD72</f>
        <v>0.0103822340627784</v>
      </c>
      <c r="AO71" s="79" t="n">
        <f aca="false">AQ71+AS71</f>
        <v>348.36</v>
      </c>
      <c r="AP71" s="2004" t="n">
        <f aca="false">AO71+AT71</f>
        <v>408.31</v>
      </c>
      <c r="AQ71" s="2097" t="n">
        <v>156.63</v>
      </c>
      <c r="AR71" s="1478" t="n">
        <f aca="false">AQ71+AT71</f>
        <v>216.58</v>
      </c>
      <c r="AS71" s="2097" t="n">
        <v>191.73</v>
      </c>
      <c r="AT71" s="1478" t="n">
        <f aca="false">AG71-AL71</f>
        <v>59.95</v>
      </c>
      <c r="AU71" s="2005" t="n">
        <f aca="false">AT71/AP71</f>
        <v>0.146824716514413</v>
      </c>
      <c r="AV71" s="2001" t="n">
        <f aca="false">AW71-BA71</f>
        <v>1260.02</v>
      </c>
      <c r="AW71" s="2004" t="n">
        <f aca="false">AY71+AZ71</f>
        <v>1482.1</v>
      </c>
      <c r="AX71" s="2004" t="n">
        <f aca="false">BD71+BI71</f>
        <v>384.91</v>
      </c>
      <c r="AY71" s="1932" t="n">
        <f aca="false">AX71+BA71</f>
        <v>606.99</v>
      </c>
      <c r="AZ71" s="1478" t="n">
        <f aca="false">BF71+BK71</f>
        <v>875.11</v>
      </c>
      <c r="BA71" s="1478" t="n">
        <f aca="false">BG71+BL71</f>
        <v>222.08</v>
      </c>
      <c r="BB71" s="821" t="n">
        <f aca="false">BA71/AW71</f>
        <v>0.1498414411983</v>
      </c>
      <c r="BC71" s="1478" t="n">
        <f aca="false">BE71+BF71</f>
        <v>1370.83</v>
      </c>
      <c r="BD71" s="2097" t="n">
        <v>344.72</v>
      </c>
      <c r="BE71" s="1509" t="n">
        <f aca="false">BD71+BG71</f>
        <v>559.09</v>
      </c>
      <c r="BF71" s="2097" t="n">
        <v>811.74</v>
      </c>
      <c r="BG71" s="2097" t="n">
        <v>214.37</v>
      </c>
      <c r="BH71" s="1478" t="n">
        <f aca="false">BJ71+BK71</f>
        <v>111.27</v>
      </c>
      <c r="BI71" s="2097" t="n">
        <v>40.19</v>
      </c>
      <c r="BJ71" s="1509" t="n">
        <f aca="false">BI71+BL71</f>
        <v>47.9</v>
      </c>
      <c r="BK71" s="2097" t="n">
        <v>63.37</v>
      </c>
      <c r="BL71" s="2097" t="n">
        <v>7.71</v>
      </c>
      <c r="BM71" s="2001" t="n">
        <f aca="false">BN71-BP71</f>
        <v>194.54</v>
      </c>
      <c r="BN71" s="2004" t="n">
        <f aca="false">BO71+BP71</f>
        <v>237.49</v>
      </c>
      <c r="BO71" s="2097" t="n">
        <v>194.54</v>
      </c>
      <c r="BP71" s="2097" t="n">
        <v>42.95</v>
      </c>
      <c r="BQ71" s="2005" t="n">
        <f aca="false">BP71/BN71</f>
        <v>0.18084971998821</v>
      </c>
      <c r="BR71" s="1509" t="n">
        <f aca="false">AY71-BA71</f>
        <v>384.91</v>
      </c>
      <c r="BS71" s="1509" t="n">
        <f aca="false">BX71+CC71</f>
        <v>54.78</v>
      </c>
      <c r="BT71" s="1509" t="n">
        <f aca="false">BY71-BZ71+CD71-CE71</f>
        <v>255.86</v>
      </c>
      <c r="BU71" s="1509" t="n">
        <f aca="false">BR71-BS71-BT71-BW71</f>
        <v>106.230555645158</v>
      </c>
      <c r="BV71" s="1509" t="n">
        <f aca="false">CA71+CF71</f>
        <v>27.9805556451576</v>
      </c>
      <c r="BW71" s="1509" t="n">
        <f aca="false">CB71+CG71</f>
        <v>-31.9605556451576</v>
      </c>
      <c r="BX71" s="2097" t="n">
        <v>46.17</v>
      </c>
      <c r="BY71" s="2023" t="n">
        <v>391.87</v>
      </c>
      <c r="BZ71" s="2097" t="n">
        <v>147.59</v>
      </c>
      <c r="CA71" s="2097" t="n">
        <v>2.62</v>
      </c>
      <c r="CB71" s="1509" t="n">
        <v>-2.82</v>
      </c>
      <c r="CC71" s="2097" t="n">
        <v>8.61</v>
      </c>
      <c r="CD71" s="2023" t="n">
        <v>324.95</v>
      </c>
      <c r="CE71" s="2099" t="n">
        <v>313.37</v>
      </c>
      <c r="CF71" s="2097" t="n">
        <v>25.3605556451576</v>
      </c>
      <c r="CG71" s="1509" t="n">
        <v>-29.1405556451576</v>
      </c>
      <c r="CH71" s="1482" t="n">
        <f aca="false">CI71+CL71+CO71</f>
        <v>45.95</v>
      </c>
      <c r="CI71" s="1479" t="n">
        <f aca="false">CJ71-CK71</f>
        <v>44.56</v>
      </c>
      <c r="CJ71" s="2017" t="n">
        <v>168.4</v>
      </c>
      <c r="CK71" s="2017" t="n">
        <v>123.84</v>
      </c>
      <c r="CL71" s="1479" t="n">
        <f aca="false">CM71-CN71</f>
        <v>1.49</v>
      </c>
      <c r="CM71" s="2017" t="n">
        <v>9.49</v>
      </c>
      <c r="CN71" s="2017" t="n">
        <v>8</v>
      </c>
      <c r="CO71" s="2023" t="n">
        <f aca="false">CP71-CQ71</f>
        <v>-0.100000000000001</v>
      </c>
      <c r="CP71" s="2017" t="n">
        <v>5.64</v>
      </c>
      <c r="CQ71" s="2017" t="n">
        <v>5.74</v>
      </c>
      <c r="CR71" s="1478" t="n">
        <f aca="false">CS71-CT71</f>
        <v>-37.85</v>
      </c>
      <c r="CS71" s="1478" t="n">
        <v>11.15</v>
      </c>
      <c r="CT71" s="1478" t="n">
        <v>49</v>
      </c>
      <c r="CU71" s="1478" t="n">
        <f aca="false">CV71-CW71</f>
        <v>-0.31</v>
      </c>
      <c r="CV71" s="2017" t="n">
        <v>3.51</v>
      </c>
      <c r="CW71" s="2017" t="n">
        <v>3.82</v>
      </c>
      <c r="CX71" s="1998" t="n">
        <f aca="false">CZ71+DA71+DB71+DC71+DD71</f>
        <v>631.406761321249</v>
      </c>
      <c r="CY71" s="2007" t="n">
        <f aca="false">CZ71+DA71+DB71</f>
        <v>544.526761321249</v>
      </c>
      <c r="CZ71" s="1509" t="n">
        <f aca="false">BR71</f>
        <v>384.91</v>
      </c>
      <c r="DA71" s="1509" t="n">
        <f aca="false">AI71</f>
        <v>53.2</v>
      </c>
      <c r="DB71" s="2009" t="n">
        <f aca="false">AO71*AX71/AV71</f>
        <v>106.416761321249</v>
      </c>
      <c r="DC71" s="2017" t="n">
        <f aca="false">CI71</f>
        <v>44.56</v>
      </c>
      <c r="DD71" s="1479" t="n">
        <v>42.32</v>
      </c>
      <c r="DE71" s="2023" t="n">
        <v>50.11</v>
      </c>
      <c r="DF71" s="2007" t="n">
        <f aca="false">DI71+DL71+DM71+DU71</f>
        <v>1313.08323867875</v>
      </c>
      <c r="DG71" s="2010" t="n">
        <f aca="false">DH71+DU71</f>
        <v>1262.87</v>
      </c>
      <c r="DH71" s="2010" t="n">
        <f aca="false">DJ71+DL71+AE71</f>
        <v>1261.38</v>
      </c>
      <c r="DI71" s="2010" t="n">
        <f aca="false">Y71</f>
        <v>1066.84</v>
      </c>
      <c r="DJ71" s="2035" t="n">
        <f aca="false">AZ71</f>
        <v>875.11</v>
      </c>
      <c r="DK71" s="2035" t="n">
        <f aca="false">AS71</f>
        <v>191.73</v>
      </c>
      <c r="DL71" s="1509" t="n">
        <f aca="false">BM71</f>
        <v>194.54</v>
      </c>
      <c r="DM71" s="2009" t="n">
        <f aca="false">AO71*AZ71/AV71-DK71</f>
        <v>50.2132386787511</v>
      </c>
      <c r="DN71" s="514" t="n">
        <f aca="false">(DM71/GK71)/(DH71/GJ71)</f>
        <v>0.319893474646243</v>
      </c>
      <c r="DO71" s="2009" t="n">
        <f aca="false">2/3*AR71</f>
        <v>144.386666666667</v>
      </c>
      <c r="DP71" s="2009" t="n">
        <f aca="false">GK71*DH71/GJ71</f>
        <v>156.968624428116</v>
      </c>
      <c r="DQ71" s="2009" t="n">
        <f aca="false">2/3*DP71</f>
        <v>104.645749618744</v>
      </c>
      <c r="DR71" s="2009" t="n">
        <f aca="false">DS71*(DH71/GJ71)*GK71</f>
        <v>196.210780535145</v>
      </c>
      <c r="DS71" s="2102" t="n">
        <v>1.25</v>
      </c>
      <c r="DT71" s="2012"/>
      <c r="DU71" s="2015" t="n">
        <f aca="false">CL71</f>
        <v>1.49</v>
      </c>
      <c r="DV71" s="2007" t="n">
        <f aca="false">DW71+DX71+DY71+EB71</f>
        <v>936.81</v>
      </c>
      <c r="DW71" s="1509" t="n">
        <f aca="false">I71</f>
        <v>243.89</v>
      </c>
      <c r="DX71" s="2017" t="n">
        <f aca="false">BS71</f>
        <v>54.78</v>
      </c>
      <c r="DY71" s="2017" t="n">
        <f aca="false">EE71+EF71</f>
        <v>219.46</v>
      </c>
      <c r="DZ71" s="2018" t="n">
        <f aca="false">EF71+EE71-EA71</f>
        <v>47.909701469675</v>
      </c>
      <c r="EA71" s="2018" t="n">
        <f aca="false">EE71*(DF71-EB71+EH71)/(0.5*CX71+DF71-EB71+EH71)</f>
        <v>171.550298530325</v>
      </c>
      <c r="EB71" s="2017" t="n">
        <v>418.68</v>
      </c>
      <c r="EC71" s="2018" t="n">
        <f aca="false">DX71+DZ71</f>
        <v>102.689701469675</v>
      </c>
      <c r="ED71" s="2018" t="n">
        <f aca="false">EA71+EB71</f>
        <v>590.230298530325</v>
      </c>
      <c r="EE71" s="2023" t="n">
        <v>215.05</v>
      </c>
      <c r="EF71" s="2017" t="n">
        <v>4.41</v>
      </c>
      <c r="EG71" s="2017" t="n">
        <v>429.33</v>
      </c>
      <c r="EH71" s="2023" t="n">
        <v>350.64</v>
      </c>
      <c r="EI71" s="1479" t="n">
        <v>78.69</v>
      </c>
      <c r="EJ71" s="1479" t="n">
        <v>202.95</v>
      </c>
      <c r="EK71" s="2015" t="n">
        <v>38.27</v>
      </c>
      <c r="EL71" s="1479" t="n">
        <v>3.65</v>
      </c>
      <c r="EM71" s="2017" t="n">
        <f aca="false">DV71-EF71+EL71</f>
        <v>936.05</v>
      </c>
      <c r="EN71" s="2023" t="n">
        <v>38.27</v>
      </c>
      <c r="EO71" s="2019" t="n">
        <f aca="false">EM71-EG71-EN71-DD71</f>
        <v>426.13</v>
      </c>
      <c r="EP71" s="2019" t="n">
        <f aca="false">EO71-S71</f>
        <v>-62.64</v>
      </c>
      <c r="EQ71" s="2023" t="n">
        <v>-51.3</v>
      </c>
      <c r="ER71" s="2023" t="n">
        <f aca="false">EP71+EQ71</f>
        <v>-113.94</v>
      </c>
      <c r="ES71" s="1479" t="n">
        <v>40.77</v>
      </c>
      <c r="ET71" s="1479" t="n">
        <v>-5.76</v>
      </c>
      <c r="EU71" s="2023" t="n">
        <f aca="false">ER71-ES71-ET71+BP71</f>
        <v>-106</v>
      </c>
      <c r="EV71" s="2024" t="n">
        <f aca="false">B71-DV71+EH71+DD71-CO71</f>
        <v>1602.31</v>
      </c>
      <c r="EW71" s="1478" t="n">
        <f aca="false">CX71-EC71</f>
        <v>528.717059851574</v>
      </c>
      <c r="EX71" s="1478" t="n">
        <f aca="false">($DF71-$EB71)-$EA71*($DF71-$EB71)/($DF71-$EB71+$EH71)</f>
        <v>771.166440280765</v>
      </c>
      <c r="EY71" s="1478" t="n">
        <f aca="false">$EH71-$EA71*$EH71/($DF71-$EB71+$EH71)</f>
        <v>302.326499867661</v>
      </c>
      <c r="EZ71" s="1478" t="n">
        <f aca="false">EV71+EI71</f>
        <v>1681</v>
      </c>
      <c r="FA71" s="2017" t="n">
        <v>1682.08</v>
      </c>
      <c r="FB71" s="2017" t="n">
        <v>180.81</v>
      </c>
      <c r="FC71" s="1478" t="n">
        <f aca="false">FB71+AG71</f>
        <v>292.47</v>
      </c>
      <c r="FD71" s="1997" t="n">
        <f aca="false">FB71+BU71-BV71</f>
        <v>259.06</v>
      </c>
      <c r="FE71" s="1479" t="n">
        <v>6.3</v>
      </c>
      <c r="FF71" s="1479" t="n">
        <v>44.69</v>
      </c>
      <c r="FG71" s="1479" t="n">
        <f aca="false">FE71+FF71</f>
        <v>50.99</v>
      </c>
      <c r="FH71" s="514" t="n">
        <f aca="false">FG71/FD71</f>
        <v>0.196826989886513</v>
      </c>
      <c r="FI71" s="1994" t="n">
        <f aca="false">FB71+FE71</f>
        <v>187.11</v>
      </c>
      <c r="FJ71" s="1994" t="n">
        <f aca="false">BU71-BV71+FF71</f>
        <v>122.94</v>
      </c>
      <c r="FK71" s="2025" t="n">
        <f aca="false">FI71+FJ71</f>
        <v>310.05</v>
      </c>
      <c r="FL71" s="1994" t="n">
        <f aca="false">FO71+FP71+FS71</f>
        <v>187.11</v>
      </c>
      <c r="FM71" s="2017" t="n">
        <v>148.45</v>
      </c>
      <c r="FN71" s="2017" t="n">
        <v>145.59</v>
      </c>
      <c r="FO71" s="2104" t="n">
        <f aca="false">FN71-AG71</f>
        <v>33.93</v>
      </c>
      <c r="FP71" s="2017" t="n">
        <v>3.78</v>
      </c>
      <c r="FQ71" s="1478" t="n">
        <f aca="false">FI71-FO71-FP71</f>
        <v>149.4</v>
      </c>
      <c r="FR71" s="1997" t="n">
        <v>0</v>
      </c>
      <c r="FS71" s="1478" t="n">
        <f aca="false">FQ71+FR71</f>
        <v>149.4</v>
      </c>
      <c r="FT71" s="1478" t="n">
        <v>154.9</v>
      </c>
      <c r="FU71" s="1478" t="n">
        <v>26.2</v>
      </c>
      <c r="FV71" s="1478" t="n">
        <v>60.4</v>
      </c>
      <c r="FW71" s="2003" t="n">
        <v>5</v>
      </c>
      <c r="FX71" s="2026" t="n">
        <f aca="false">FY71+FZ71</f>
        <v>240.34</v>
      </c>
      <c r="FY71" s="2023" t="n">
        <v>233.71</v>
      </c>
      <c r="FZ71" s="2032" t="n">
        <v>6.63</v>
      </c>
      <c r="GA71" s="2015" t="n">
        <v>0</v>
      </c>
      <c r="GB71" s="402" t="n">
        <v>0.0112149532710282</v>
      </c>
      <c r="GC71" s="387" t="n">
        <v>0.0112149532710282</v>
      </c>
      <c r="GD71" s="387" t="n">
        <f aca="false">(G71/G70)/(1+GE71)-1</f>
        <v>0.00595923432170653</v>
      </c>
      <c r="GE71" s="387" t="n">
        <v>0.0369036027263874</v>
      </c>
      <c r="GF71" s="387" t="n">
        <v>0.0194724220623501</v>
      </c>
      <c r="GG71" s="2033" t="n">
        <v>107.72</v>
      </c>
      <c r="GH71" s="465" t="n">
        <v>81776.951</v>
      </c>
      <c r="GI71" s="465" t="n">
        <f aca="false">GJ71+GK71</f>
        <v>40553</v>
      </c>
      <c r="GJ71" s="466" t="n">
        <v>36065</v>
      </c>
      <c r="GK71" s="466" t="n">
        <v>4488</v>
      </c>
      <c r="GL71" s="25" t="n">
        <v>0.184480727362382</v>
      </c>
      <c r="GM71" s="25" t="n">
        <f aca="false">GK71/GI71</f>
        <v>0.110669987423865</v>
      </c>
      <c r="GN71" s="2101" t="n">
        <v>67267.7884096822</v>
      </c>
      <c r="GO71" s="1932" t="n">
        <f aca="false">CX71</f>
        <v>631.406761321249</v>
      </c>
      <c r="GP71" s="1932" t="n">
        <f aca="false">BU71</f>
        <v>106.230555645158</v>
      </c>
      <c r="GQ71" s="1932" t="n">
        <f aca="false">BW71</f>
        <v>-31.9605556451576</v>
      </c>
      <c r="GR71" s="1932" t="n">
        <f aca="false">DB71</f>
        <v>106.416761321249</v>
      </c>
      <c r="GS71" s="1509" t="n">
        <f aca="false">GO71-GP71-GQ71-GR71</f>
        <v>450.72</v>
      </c>
      <c r="GT71" s="1932" t="n">
        <f aca="false">GU71+GV71+GW71+GX71+HA71-HD71</f>
        <v>450.72</v>
      </c>
      <c r="GU71" s="2017" t="n">
        <v>47.32</v>
      </c>
      <c r="GV71" s="2017" t="n">
        <f aca="false">AI71</f>
        <v>53.2</v>
      </c>
      <c r="GW71" s="2017" t="n">
        <v>1.86</v>
      </c>
      <c r="GX71" s="1509" t="n">
        <f aca="false">GY71+GZ71</f>
        <v>329.27</v>
      </c>
      <c r="GY71" s="2017" t="n">
        <v>274.49</v>
      </c>
      <c r="GZ71" s="24" t="n">
        <f aca="false">DX71</f>
        <v>54.78</v>
      </c>
      <c r="HA71" s="2017" t="n">
        <v>69.18</v>
      </c>
      <c r="HB71" s="2017" t="n">
        <v>42.69</v>
      </c>
      <c r="HC71" s="2017" t="n">
        <f aca="false">HA71-HB71</f>
        <v>26.49</v>
      </c>
      <c r="HD71" s="24" t="n">
        <f aca="false">DE71</f>
        <v>50.11</v>
      </c>
      <c r="HE71" s="2017" t="n">
        <v>48.3</v>
      </c>
      <c r="HF71" s="2017" t="n">
        <v>78.7</v>
      </c>
      <c r="HG71" s="1478" t="n">
        <f aca="false">HF71-HE71</f>
        <v>30.4</v>
      </c>
      <c r="HH71" s="1478" t="n">
        <f aca="false">AJ71</f>
        <v>27.36</v>
      </c>
      <c r="HI71" s="24" t="n">
        <f aca="false">HG71-HH71</f>
        <v>3.04000000000001</v>
      </c>
      <c r="HJ71" s="158" t="n">
        <f aca="false">DE71/DataDE2!AR72</f>
        <v>0.032758057135386</v>
      </c>
      <c r="HK71" s="387" t="n">
        <f aca="false">HF71/DataDE2!AR72</f>
        <v>0.0514479963391515</v>
      </c>
    </row>
    <row r="72" customFormat="false" ht="12" hidden="false" customHeight="false" outlineLevel="0" collapsed="false">
      <c r="A72" s="31" t="n">
        <f aca="false">A71+1</f>
        <v>2011</v>
      </c>
      <c r="B72" s="1994" t="n">
        <f aca="false">E72+F72</f>
        <v>2228.7</v>
      </c>
      <c r="C72" s="381" t="n">
        <f aca="false">B72+CR72</f>
        <v>2191.13</v>
      </c>
      <c r="D72" s="1995" t="n">
        <f aca="false">B72-I72</f>
        <v>1966.34</v>
      </c>
      <c r="E72" s="2103" t="n">
        <f aca="false">CH72</f>
        <v>41.62</v>
      </c>
      <c r="F72" s="1994" t="n">
        <f aca="false">J72+AC72+AV72+BM72</f>
        <v>2187.08</v>
      </c>
      <c r="G72" s="1478" t="n">
        <f aca="false">J72+X72+BN72</f>
        <v>2570.8</v>
      </c>
      <c r="H72" s="2044" t="n">
        <f aca="false">AG72+BA72+BP72</f>
        <v>383.72</v>
      </c>
      <c r="I72" s="1998" t="n">
        <f aca="false">K72+L72+CO72</f>
        <v>262.36</v>
      </c>
      <c r="J72" s="395" t="n">
        <f aca="false">K72+L72</f>
        <v>263.02</v>
      </c>
      <c r="K72" s="1479" t="n">
        <v>274.95</v>
      </c>
      <c r="L72" s="1478" t="n">
        <f aca="false">M72+N72+O72+P72+Q72</f>
        <v>-11.93</v>
      </c>
      <c r="M72" s="1479" t="n">
        <v>6.92</v>
      </c>
      <c r="N72" s="1479" t="n">
        <v>-15.89</v>
      </c>
      <c r="O72" s="1479" t="n">
        <v>0.98</v>
      </c>
      <c r="P72" s="1479" t="n">
        <v>-0.33</v>
      </c>
      <c r="Q72" s="2015" t="n">
        <v>-3.60999999999998</v>
      </c>
      <c r="R72" s="1479" t="n">
        <v>1474.42</v>
      </c>
      <c r="S72" s="1479" t="n">
        <v>502.92</v>
      </c>
      <c r="T72" s="1479" t="n">
        <v>462.04</v>
      </c>
      <c r="U72" s="1479" t="n">
        <v>1289.16</v>
      </c>
      <c r="V72" s="2015" t="n">
        <v>1157.74</v>
      </c>
      <c r="W72" s="2096" t="n">
        <f aca="false">AC72+AV72</f>
        <v>1724.24</v>
      </c>
      <c r="X72" s="1479" t="n">
        <f aca="false">W72+AA72</f>
        <v>2063.81</v>
      </c>
      <c r="Y72" s="1479" t="n">
        <f aca="false">AE72+AZ72</f>
        <v>1117.28</v>
      </c>
      <c r="Z72" s="1479" t="n">
        <f aca="false">W72-Y72</f>
        <v>606.96</v>
      </c>
      <c r="AA72" s="1479" t="n">
        <f aca="false">AG72+BA72</f>
        <v>339.57</v>
      </c>
      <c r="AB72" s="1319" t="n">
        <f aca="false">AA72/X72</f>
        <v>0.164535495031035</v>
      </c>
      <c r="AC72" s="1509" t="n">
        <f aca="false">AF72+AE72</f>
        <v>412.39</v>
      </c>
      <c r="AD72" s="1509" t="n">
        <f aca="false">AF72+AG72+AE72</f>
        <v>526.4</v>
      </c>
      <c r="AE72" s="1509" t="n">
        <f aca="false">AS72</f>
        <v>200.12</v>
      </c>
      <c r="AF72" s="1509" t="n">
        <f aca="false">AI72+AQ72</f>
        <v>212.27</v>
      </c>
      <c r="AG72" s="2097" t="n">
        <v>114.01</v>
      </c>
      <c r="AH72" s="1319" t="n">
        <f aca="false">AG72/AD72</f>
        <v>0.216584346504559</v>
      </c>
      <c r="AI72" s="2097" t="n">
        <v>53.05</v>
      </c>
      <c r="AJ72" s="2097" t="n">
        <v>24.49</v>
      </c>
      <c r="AL72" s="1932"/>
      <c r="AM72" s="1932"/>
      <c r="AN72" s="1932"/>
      <c r="AO72" s="79" t="n">
        <f aca="false">AQ72+AS72</f>
        <v>359.34</v>
      </c>
      <c r="AP72" s="2004"/>
      <c r="AQ72" s="2097" t="n">
        <v>159.22</v>
      </c>
      <c r="AR72" s="2039" t="n">
        <f aca="false">AR71*AQ72/AQ71</f>
        <v>220.161320309009</v>
      </c>
      <c r="AS72" s="2097" t="n">
        <v>200.12</v>
      </c>
      <c r="AT72" s="1478"/>
      <c r="AU72" s="2005"/>
      <c r="AV72" s="2001" t="n">
        <f aca="false">AW72-BA72</f>
        <v>1311.85</v>
      </c>
      <c r="AW72" s="2004" t="n">
        <f aca="false">AY72+AZ72</f>
        <v>1537.41</v>
      </c>
      <c r="AX72" s="2004" t="n">
        <f aca="false">BD72+BI72</f>
        <v>394.69</v>
      </c>
      <c r="AY72" s="1932" t="n">
        <f aca="false">AX72+BA72</f>
        <v>620.25</v>
      </c>
      <c r="AZ72" s="1478" t="n">
        <f aca="false">BF72+BK72</f>
        <v>917.16</v>
      </c>
      <c r="BA72" s="1478" t="n">
        <f aca="false">BG72+BL72</f>
        <v>225.56</v>
      </c>
      <c r="BB72" s="821" t="n">
        <f aca="false">BA72/AW72</f>
        <v>0.14671427920984</v>
      </c>
      <c r="BC72" s="1478" t="n">
        <f aca="false">BE72+BF72</f>
        <v>1426.12</v>
      </c>
      <c r="BD72" s="2097" t="n">
        <v>356.04</v>
      </c>
      <c r="BE72" s="1509" t="n">
        <f aca="false">BD72+BG72</f>
        <v>573.65</v>
      </c>
      <c r="BF72" s="2097" t="n">
        <v>852.47</v>
      </c>
      <c r="BG72" s="2097" t="n">
        <v>217.61</v>
      </c>
      <c r="BH72" s="1478" t="n">
        <f aca="false">BJ72+BK72</f>
        <v>111.29</v>
      </c>
      <c r="BI72" s="2097" t="n">
        <v>38.65</v>
      </c>
      <c r="BJ72" s="1509" t="n">
        <f aca="false">BI72+BL72</f>
        <v>46.6</v>
      </c>
      <c r="BK72" s="2097" t="n">
        <v>64.69</v>
      </c>
      <c r="BL72" s="2097" t="n">
        <v>7.95</v>
      </c>
      <c r="BM72" s="2001" t="n">
        <f aca="false">BN72-BP72</f>
        <v>199.82</v>
      </c>
      <c r="BN72" s="2004" t="n">
        <f aca="false">BO72+BP72</f>
        <v>243.97</v>
      </c>
      <c r="BO72" s="2097" t="n">
        <v>199.82</v>
      </c>
      <c r="BP72" s="2097" t="n">
        <v>44.15</v>
      </c>
      <c r="BQ72" s="2005" t="n">
        <f aca="false">BP72/BN72</f>
        <v>0.180964872730254</v>
      </c>
      <c r="BR72" s="1509" t="n">
        <f aca="false">AY72-BA72</f>
        <v>394.69</v>
      </c>
      <c r="BS72" s="1509" t="n">
        <f aca="false">BX72+CC72</f>
        <v>66.3</v>
      </c>
      <c r="BT72" s="1509" t="n">
        <f aca="false">BY72-BZ72+CD72-CE72</f>
        <v>290.1</v>
      </c>
      <c r="BU72" s="1509" t="n">
        <f aca="false">BR72-BS72-BT72-BW72</f>
        <v>73.7</v>
      </c>
      <c r="BV72" s="1509" t="n">
        <f aca="false">CA72+CF72</f>
        <v>29.11</v>
      </c>
      <c r="BW72" s="1509" t="n">
        <f aca="false">CB72+CG72</f>
        <v>-35.41</v>
      </c>
      <c r="BX72" s="2097" t="n">
        <v>56.49</v>
      </c>
      <c r="BY72" s="2023" t="n">
        <v>424.62</v>
      </c>
      <c r="BZ72" s="2097" t="n">
        <v>143.78</v>
      </c>
      <c r="CA72" s="2097" t="n">
        <v>2.62</v>
      </c>
      <c r="CB72" s="1509" t="n">
        <v>-3.24</v>
      </c>
      <c r="CC72" s="2097" t="n">
        <v>9.81</v>
      </c>
      <c r="CD72" s="2023" t="n">
        <v>326.42</v>
      </c>
      <c r="CE72" s="2099" t="n">
        <v>317.16</v>
      </c>
      <c r="CF72" s="2097" t="n">
        <v>26.49</v>
      </c>
      <c r="CG72" s="1509" t="n">
        <v>-32.17</v>
      </c>
      <c r="CH72" s="1482" t="n">
        <f aca="false">CI72+CL72+CO72</f>
        <v>41.62</v>
      </c>
      <c r="CI72" s="1479" t="n">
        <f aca="false">CJ72-CK72</f>
        <v>41.06</v>
      </c>
      <c r="CJ72" s="2017" t="n">
        <v>182.03</v>
      </c>
      <c r="CK72" s="2017" t="n">
        <v>140.97</v>
      </c>
      <c r="CL72" s="1479" t="n">
        <f aca="false">CM72-CN72</f>
        <v>1.22</v>
      </c>
      <c r="CM72" s="2017" t="n">
        <v>9.91</v>
      </c>
      <c r="CN72" s="2017" t="n">
        <v>8.69</v>
      </c>
      <c r="CO72" s="2105" t="n">
        <f aca="false">CP72-CQ72</f>
        <v>-0.66</v>
      </c>
      <c r="CP72" s="2017" t="n">
        <v>5.62</v>
      </c>
      <c r="CQ72" s="2017" t="n">
        <v>6.28</v>
      </c>
      <c r="CR72" s="1478" t="n">
        <f aca="false">CS72-CT72</f>
        <v>-37.57</v>
      </c>
      <c r="CS72" s="1478" t="n">
        <v>11.73</v>
      </c>
      <c r="CT72" s="1478" t="n">
        <v>49.3</v>
      </c>
      <c r="CU72" s="1478" t="n">
        <f aca="false">CV72-CW72</f>
        <v>-0.48</v>
      </c>
      <c r="CV72" s="2017" t="n">
        <v>3.66</v>
      </c>
      <c r="CW72" s="2017" t="n">
        <v>4.14</v>
      </c>
      <c r="CX72" s="1998" t="n">
        <f aca="false">CZ72+DA72+DB72+DC72+DD72</f>
        <v>638.062897511148</v>
      </c>
      <c r="CY72" s="2007" t="n">
        <f aca="false">CZ72+DA72+DB72</f>
        <v>555.852897511148</v>
      </c>
      <c r="CZ72" s="1509" t="n">
        <f aca="false">BR72</f>
        <v>394.69</v>
      </c>
      <c r="DA72" s="1509" t="n">
        <f aca="false">AI72</f>
        <v>53.05</v>
      </c>
      <c r="DB72" s="2009" t="n">
        <f aca="false">AO72*AX72/AV72</f>
        <v>108.112897511148</v>
      </c>
      <c r="DC72" s="2017" t="n">
        <f aca="false">CI72</f>
        <v>41.06</v>
      </c>
      <c r="DD72" s="1479" t="n">
        <v>41.15</v>
      </c>
      <c r="DE72" s="2023" t="n">
        <v>52.28</v>
      </c>
      <c r="DF72" s="2007" t="n">
        <f aca="false">DI72+DL72+DM72+DU72</f>
        <v>1369.42710248885</v>
      </c>
      <c r="DG72" s="1478" t="n">
        <f aca="false">DH72+DU72</f>
        <v>1318.32</v>
      </c>
      <c r="DH72" s="1478" t="n">
        <f aca="false">DJ72+DL72+AE72</f>
        <v>1317.1</v>
      </c>
      <c r="DI72" s="1478" t="n">
        <f aca="false">Y72</f>
        <v>1117.28</v>
      </c>
      <c r="DJ72" s="2035" t="n">
        <f aca="false">AZ72</f>
        <v>917.16</v>
      </c>
      <c r="DK72" s="2035" t="n">
        <f aca="false">AS72</f>
        <v>200.12</v>
      </c>
      <c r="DL72" s="1509" t="n">
        <f aca="false">BM72</f>
        <v>199.82</v>
      </c>
      <c r="DM72" s="2009" t="n">
        <f aca="false">AO72*AZ72/AV72-DK72</f>
        <v>51.1071024888516</v>
      </c>
      <c r="DN72" s="514" t="n">
        <f aca="false">(DM72/GK72)/(DH72/GJ72)</f>
        <v>0.312001226969503</v>
      </c>
      <c r="DO72" s="2009" t="n">
        <f aca="false">2/3*AR72</f>
        <v>146.774213539339</v>
      </c>
      <c r="DP72" s="2009" t="n">
        <f aca="false">GK72*DH72/GJ72</f>
        <v>163.804171494002</v>
      </c>
      <c r="DQ72" s="2009" t="n">
        <f aca="false">2/3*DP72</f>
        <v>109.202780996001</v>
      </c>
      <c r="DR72" s="2009" t="n">
        <f aca="false">DS72*(DH72/GJ72)*GK72</f>
        <v>204.755214367503</v>
      </c>
      <c r="DS72" s="2102" t="n">
        <v>1.25</v>
      </c>
      <c r="DT72" s="2012"/>
      <c r="DU72" s="2015" t="n">
        <f aca="false">CL72</f>
        <v>1.22</v>
      </c>
      <c r="DV72" s="2007" t="n">
        <f aca="false">DW72+DX72+DY72+EB72</f>
        <v>993.99</v>
      </c>
      <c r="DW72" s="1509" t="n">
        <f aca="false">I72</f>
        <v>262.36</v>
      </c>
      <c r="DX72" s="2017" t="n">
        <f aca="false">BS72</f>
        <v>66.3</v>
      </c>
      <c r="DY72" s="2017" t="n">
        <f aca="false">EE72+EF72</f>
        <v>230.06</v>
      </c>
      <c r="DZ72" s="2018" t="n">
        <f aca="false">EF72+EE72-EA72</f>
        <v>49.2542521590863</v>
      </c>
      <c r="EA72" s="2018" t="n">
        <f aca="false">EE72*(DF72-EB72+EH72)/(0.5*CX72+DF72-EB72+EH72)</f>
        <v>180.805747840914</v>
      </c>
      <c r="EB72" s="2017" t="n">
        <v>435.27</v>
      </c>
      <c r="EC72" s="2018" t="n">
        <f aca="false">DX72+DZ72</f>
        <v>115.554252159086</v>
      </c>
      <c r="ED72" s="2018" t="n">
        <f aca="false">EA72+EB72</f>
        <v>616.075747840914</v>
      </c>
      <c r="EE72" s="2023" t="n">
        <v>225.81</v>
      </c>
      <c r="EF72" s="2017" t="n">
        <v>4.25</v>
      </c>
      <c r="EG72" s="2017" t="n">
        <v>423.46</v>
      </c>
      <c r="EH72" s="2023" t="n">
        <v>347.56</v>
      </c>
      <c r="EI72" s="1479" t="n">
        <v>75.9</v>
      </c>
      <c r="EJ72" s="1479" t="n">
        <v>207.44</v>
      </c>
      <c r="EK72" s="2015" t="n">
        <v>37.96</v>
      </c>
      <c r="EL72" s="1479" t="n">
        <v>3.59</v>
      </c>
      <c r="EM72" s="2017" t="n">
        <f aca="false">DV72-EF72+EL72</f>
        <v>993.33</v>
      </c>
      <c r="EN72" s="2023" t="n">
        <v>37.96</v>
      </c>
      <c r="EO72" s="2019" t="n">
        <f aca="false">EM72-EG72-EN72-DD72</f>
        <v>490.76</v>
      </c>
      <c r="EP72" s="2019" t="n">
        <f aca="false">EO72-S72</f>
        <v>-12.1599999999999</v>
      </c>
      <c r="EQ72" s="2023" t="n">
        <v>-16.44</v>
      </c>
      <c r="ER72" s="2023" t="n">
        <f aca="false">EP72+EQ72</f>
        <v>-28.5999999999999</v>
      </c>
      <c r="ES72" s="1479" t="n">
        <v>42.25</v>
      </c>
      <c r="ET72" s="1479" t="n">
        <v>-1.39</v>
      </c>
      <c r="EU72" s="2023" t="n">
        <f aca="false">ER72-ES72-ET72+BP72</f>
        <v>-25.3099999999999</v>
      </c>
      <c r="EV72" s="2024" t="n">
        <f aca="false">B72-DV72+EH72+DD72-CO72</f>
        <v>1624.08</v>
      </c>
      <c r="EW72" s="1478" t="n">
        <f aca="false">CX72-EC72</f>
        <v>522.508645352062</v>
      </c>
      <c r="EX72" s="1478" t="n">
        <f aca="false">($DF72-$EB72)-$EA72*($DF72-$EB72)/($DF72-$EB72+$EH72)</f>
        <v>802.379994117259</v>
      </c>
      <c r="EY72" s="1478" t="n">
        <f aca="false">$EH72-$EA72*$EH72/($DF72-$EB72+$EH72)</f>
        <v>298.53136053068</v>
      </c>
      <c r="EZ72" s="1478" t="n">
        <f aca="false">EV72+EI72</f>
        <v>1699.98</v>
      </c>
      <c r="FA72" s="2017" t="n">
        <v>1700.37</v>
      </c>
      <c r="FB72" s="2017" t="n">
        <v>181.360000000001</v>
      </c>
      <c r="FC72" s="1478" t="n">
        <f aca="false">FB72+AG72</f>
        <v>295.370000000001</v>
      </c>
      <c r="FD72" s="1997" t="n">
        <f aca="false">FB72+BU72-BV72</f>
        <v>225.950000000001</v>
      </c>
      <c r="FE72" s="1479" t="n">
        <v>5.33</v>
      </c>
      <c r="FF72" s="1479" t="n">
        <v>10.63</v>
      </c>
      <c r="FG72" s="1479" t="n">
        <f aca="false">FE72+FF72</f>
        <v>15.96</v>
      </c>
      <c r="FH72" s="514" t="n">
        <f aca="false">FG72/FD72</f>
        <v>0.0706350962602344</v>
      </c>
      <c r="FI72" s="1994" t="n">
        <f aca="false">FB72+FE72</f>
        <v>186.690000000001</v>
      </c>
      <c r="FJ72" s="1994" t="n">
        <f aca="false">BU72-BV72+FF72</f>
        <v>55.22</v>
      </c>
      <c r="FK72" s="2025" t="n">
        <f aca="false">FI72+FJ72</f>
        <v>241.910000000001</v>
      </c>
      <c r="FL72" s="1994" t="n">
        <f aca="false">FO72+FP72+FS72</f>
        <v>186.690000000001</v>
      </c>
      <c r="FM72" s="2017" t="n">
        <v>161.77</v>
      </c>
      <c r="FN72" s="2017" t="n">
        <v>159.1</v>
      </c>
      <c r="FO72" s="485" t="n">
        <f aca="false">FN72-AG72</f>
        <v>45.09</v>
      </c>
      <c r="FP72" s="2017" t="n">
        <v>3.6</v>
      </c>
      <c r="FQ72" s="1478" t="n">
        <f aca="false">FI72-FO72-FP72</f>
        <v>138.000000000001</v>
      </c>
      <c r="FR72" s="1997" t="n">
        <v>0</v>
      </c>
      <c r="FS72" s="1478" t="n">
        <f aca="false">FQ72+FR72</f>
        <v>138.000000000001</v>
      </c>
      <c r="FX72" s="2026" t="n">
        <f aca="false">FY72+FZ72</f>
        <v>258.02</v>
      </c>
      <c r="FY72" s="2023" t="n">
        <v>251.34</v>
      </c>
      <c r="FZ72" s="2032" t="n">
        <v>6.68</v>
      </c>
      <c r="GA72" s="2106" t="n">
        <v>0</v>
      </c>
      <c r="GB72" s="402" t="n">
        <v>0.0231053604436229</v>
      </c>
      <c r="GC72" s="2107"/>
      <c r="GD72" s="387" t="n">
        <f aca="false">(G72/G71)/(1+GE72)-1</f>
        <v>0.00776376178669636</v>
      </c>
      <c r="GE72" s="387" t="n">
        <v>0.0299558644004132</v>
      </c>
      <c r="GF72" s="387" t="n">
        <v>0.0208882197967633</v>
      </c>
      <c r="GG72" s="2033" t="n">
        <v>114.62</v>
      </c>
      <c r="GH72" s="2108" t="n">
        <f aca="false">GH71</f>
        <v>81776.951</v>
      </c>
      <c r="GI72" s="465" t="n">
        <f aca="false">GJ72+GK72</f>
        <v>41077.78</v>
      </c>
      <c r="GJ72" s="2109" t="n">
        <v>36534.129</v>
      </c>
      <c r="GK72" s="2109" t="n">
        <v>4543.651</v>
      </c>
      <c r="GL72" s="2110" t="n">
        <f aca="false">GL71</f>
        <v>0.184480727362382</v>
      </c>
      <c r="GM72" s="25" t="n">
        <f aca="false">GK72/GI72</f>
        <v>0.110610919090564</v>
      </c>
      <c r="GN72" s="2101"/>
      <c r="GO72" s="1932" t="n">
        <f aca="false">CX72</f>
        <v>638.062897511148</v>
      </c>
      <c r="GP72" s="1932" t="n">
        <f aca="false">BU72</f>
        <v>73.7</v>
      </c>
      <c r="GQ72" s="1932" t="n">
        <f aca="false">BW72</f>
        <v>-35.41</v>
      </c>
      <c r="GR72" s="1932" t="n">
        <f aca="false">DB72</f>
        <v>108.112897511148</v>
      </c>
      <c r="GS72" s="1509" t="n">
        <f aca="false">GO72-GP72-GQ72-GR72</f>
        <v>491.66</v>
      </c>
      <c r="GT72" s="1932" t="n">
        <f aca="false">GU72+GV72+GW72+GX72+HA72-HD72</f>
        <v>491.66</v>
      </c>
      <c r="GU72" s="2017" t="n">
        <v>47.56</v>
      </c>
      <c r="GV72" s="2017" t="n">
        <f aca="false">AI72</f>
        <v>53.05</v>
      </c>
      <c r="GW72" s="2017" t="n">
        <v>1.93</v>
      </c>
      <c r="GX72" s="1509" t="n">
        <f aca="false">GY72+GZ72</f>
        <v>368.64</v>
      </c>
      <c r="GY72" s="2017" t="n">
        <v>302.34</v>
      </c>
      <c r="GZ72" s="24" t="n">
        <f aca="false">DX72</f>
        <v>66.3</v>
      </c>
      <c r="HA72" s="2017" t="n">
        <v>72.76</v>
      </c>
      <c r="HB72" s="2017" t="n">
        <v>43.6</v>
      </c>
      <c r="HC72" s="2017" t="n">
        <f aca="false">HA72-HB72</f>
        <v>29.16</v>
      </c>
      <c r="HD72" s="24" t="n">
        <f aca="false">DE72</f>
        <v>52.28</v>
      </c>
      <c r="HE72" s="2017" t="n">
        <v>50.34</v>
      </c>
      <c r="HF72" s="2017" t="n">
        <v>77.14</v>
      </c>
      <c r="HG72" s="1478" t="n">
        <f aca="false">HF72-HE72</f>
        <v>26.8</v>
      </c>
      <c r="HH72" s="1478" t="n">
        <f aca="false">AJ72</f>
        <v>24.49</v>
      </c>
      <c r="HI72" s="24" t="n">
        <f aca="false">HG72-HH72</f>
        <v>2.31</v>
      </c>
      <c r="HJ72" s="158" t="n">
        <f aca="false">DE72/DataDE2!AR73</f>
        <v>0.0340675094487163</v>
      </c>
      <c r="HK72" s="387" t="n">
        <f aca="false">HF72/DataDE2!AR73</f>
        <v>0.0502671705982015</v>
      </c>
    </row>
    <row r="73" customFormat="false" ht="12" hidden="false" customHeight="false" outlineLevel="0" collapsed="false">
      <c r="C73" s="1932"/>
      <c r="I73" s="1932"/>
      <c r="J73" s="1932"/>
      <c r="K73" s="1932"/>
      <c r="L73" s="1932"/>
      <c r="M73" s="1932"/>
      <c r="N73" s="1932"/>
      <c r="O73" s="1932"/>
      <c r="P73" s="1932"/>
      <c r="Q73" s="1932"/>
      <c r="R73" s="1932"/>
      <c r="S73" s="1932"/>
      <c r="T73" s="1932"/>
      <c r="U73" s="1932"/>
      <c r="V73" s="1932"/>
      <c r="W73" s="1932"/>
      <c r="X73" s="1932"/>
      <c r="Y73" s="1932"/>
      <c r="Z73" s="1932"/>
      <c r="AA73" s="1932"/>
      <c r="AB73" s="1932"/>
      <c r="AC73" s="1932"/>
      <c r="AD73" s="1932"/>
      <c r="AE73" s="1932"/>
      <c r="AF73" s="1932"/>
      <c r="AG73" s="1932"/>
      <c r="AH73" s="1932"/>
      <c r="AI73" s="1932"/>
      <c r="AJ73" s="1932"/>
      <c r="AK73" s="1932"/>
      <c r="AL73" s="1932"/>
      <c r="AM73" s="1932"/>
      <c r="AN73" s="1932"/>
      <c r="AO73" s="1932"/>
      <c r="AP73" s="1932"/>
      <c r="AQ73" s="1932"/>
      <c r="AR73" s="1932"/>
      <c r="AS73" s="1932"/>
      <c r="AT73" s="1932"/>
      <c r="AU73" s="1932"/>
      <c r="AV73" s="1932"/>
      <c r="AW73" s="1932"/>
      <c r="AX73" s="1932"/>
      <c r="AY73" s="1932"/>
      <c r="AZ73" s="1932"/>
      <c r="BA73" s="1932"/>
      <c r="BB73" s="1932"/>
      <c r="BC73" s="1932"/>
      <c r="BD73" s="1932"/>
      <c r="BE73" s="1932"/>
      <c r="BF73" s="1932"/>
      <c r="BG73" s="1932"/>
      <c r="BH73" s="1932"/>
      <c r="BI73" s="1932"/>
      <c r="BJ73" s="1932"/>
      <c r="BK73" s="1932"/>
      <c r="BL73" s="1932"/>
      <c r="BM73" s="1932"/>
      <c r="BN73" s="1932"/>
      <c r="BO73" s="1932"/>
      <c r="BP73" s="1932"/>
      <c r="BQ73" s="1932"/>
      <c r="BR73" s="1932"/>
      <c r="BS73" s="1932"/>
      <c r="BT73" s="1932"/>
      <c r="BU73" s="1932"/>
      <c r="BV73" s="1932"/>
      <c r="BW73" s="1932"/>
      <c r="BX73" s="1932"/>
      <c r="BY73" s="1932"/>
      <c r="BZ73" s="1932"/>
      <c r="CA73" s="1932"/>
      <c r="CB73" s="1932"/>
      <c r="CC73" s="1932"/>
      <c r="CD73" s="1932"/>
      <c r="CE73" s="960"/>
      <c r="CF73" s="960"/>
      <c r="CG73" s="1932"/>
      <c r="CH73" s="1932"/>
      <c r="CI73" s="1932"/>
      <c r="CJ73" s="1478"/>
      <c r="CK73" s="1932"/>
      <c r="CL73" s="1932"/>
      <c r="CM73" s="1932"/>
      <c r="CN73" s="1932"/>
      <c r="CO73" s="1932"/>
      <c r="CP73" s="1932"/>
      <c r="CQ73" s="1932"/>
      <c r="CR73" s="1932"/>
      <c r="CS73" s="1478"/>
      <c r="CT73" s="1478"/>
      <c r="CU73" s="1478"/>
      <c r="CV73" s="1478"/>
      <c r="CW73" s="1478"/>
      <c r="CX73" s="1421"/>
      <c r="DB73" s="20"/>
      <c r="DO73" s="2009"/>
      <c r="DP73" s="2009"/>
      <c r="FK73" s="2025"/>
      <c r="GB73" s="1421"/>
      <c r="GC73" s="29"/>
      <c r="GD73" s="29"/>
      <c r="GE73" s="29"/>
      <c r="GF73" s="29"/>
      <c r="GG73" s="29"/>
      <c r="GH73" s="465"/>
      <c r="GI73" s="465" t="n">
        <f aca="false">GJ73+GK73</f>
        <v>41245.52</v>
      </c>
      <c r="GJ73" s="465" t="n">
        <v>36683.694</v>
      </c>
      <c r="GK73" s="465" t="n">
        <v>4561.826</v>
      </c>
      <c r="GL73" s="158"/>
      <c r="GM73" s="25" t="n">
        <f aca="false">GK73/GI73</f>
        <v>0.110601733230664</v>
      </c>
      <c r="GN73" s="2101"/>
      <c r="GO73" s="1932"/>
      <c r="GP73" s="1932"/>
      <c r="GQ73" s="1932"/>
      <c r="GR73" s="1932"/>
    </row>
    <row r="74" customFormat="false" ht="12" hidden="false" customHeight="false" outlineLevel="0" collapsed="false">
      <c r="C74" s="1932"/>
      <c r="I74" s="1932"/>
      <c r="J74" s="1932"/>
      <c r="K74" s="1932"/>
      <c r="L74" s="1932"/>
      <c r="M74" s="1932"/>
      <c r="N74" s="1932"/>
      <c r="O74" s="1932"/>
      <c r="P74" s="1932"/>
      <c r="Q74" s="1932"/>
      <c r="R74" s="1932"/>
      <c r="S74" s="1932"/>
      <c r="T74" s="1932"/>
      <c r="U74" s="1932"/>
      <c r="V74" s="1932"/>
      <c r="W74" s="1932"/>
      <c r="X74" s="1932"/>
      <c r="Y74" s="1932"/>
      <c r="Z74" s="1932"/>
      <c r="AA74" s="1932"/>
      <c r="AB74" s="1932"/>
      <c r="AC74" s="1932"/>
      <c r="AD74" s="1932"/>
      <c r="AE74" s="1932"/>
      <c r="AF74" s="1932"/>
      <c r="AG74" s="1932"/>
      <c r="AH74" s="1932"/>
      <c r="AI74" s="1932"/>
      <c r="AJ74" s="1932"/>
      <c r="AK74" s="1932"/>
      <c r="AL74" s="1932"/>
      <c r="AM74" s="1932"/>
      <c r="AN74" s="1932"/>
      <c r="AO74" s="1932"/>
      <c r="AP74" s="1932"/>
      <c r="AQ74" s="1932"/>
      <c r="AR74" s="1932"/>
      <c r="AS74" s="1932"/>
      <c r="AT74" s="1932"/>
      <c r="AU74" s="1932"/>
      <c r="AV74" s="1932"/>
      <c r="AW74" s="1932"/>
      <c r="AX74" s="1932"/>
      <c r="AY74" s="1932"/>
      <c r="AZ74" s="1932"/>
      <c r="BA74" s="1932"/>
      <c r="BB74" s="1932"/>
      <c r="BC74" s="1932"/>
      <c r="BD74" s="1932"/>
      <c r="BE74" s="1932"/>
      <c r="BF74" s="1932"/>
      <c r="BG74" s="1932"/>
      <c r="BH74" s="1932"/>
      <c r="BI74" s="1932"/>
      <c r="BJ74" s="1932"/>
      <c r="BK74" s="1932"/>
      <c r="BL74" s="1932"/>
      <c r="BM74" s="1932"/>
      <c r="BN74" s="1932"/>
      <c r="BO74" s="1932"/>
      <c r="BP74" s="1932"/>
      <c r="BQ74" s="1932"/>
      <c r="BR74" s="1932"/>
      <c r="BS74" s="1932"/>
      <c r="BT74" s="1932"/>
      <c r="BU74" s="1932"/>
      <c r="BV74" s="1932"/>
      <c r="BW74" s="1932"/>
      <c r="BX74" s="1932"/>
      <c r="BY74" s="1932"/>
      <c r="BZ74" s="1932"/>
      <c r="CA74" s="1932"/>
      <c r="CB74" s="1932"/>
      <c r="CC74" s="1932"/>
      <c r="CD74" s="1932"/>
      <c r="CE74" s="960"/>
      <c r="CF74" s="960"/>
      <c r="CG74" s="1932"/>
      <c r="CH74" s="1932"/>
      <c r="CI74" s="1932"/>
      <c r="CJ74" s="1478"/>
      <c r="CK74" s="1932"/>
      <c r="CL74" s="1932"/>
      <c r="CM74" s="1932"/>
      <c r="CN74" s="1932"/>
      <c r="CO74" s="1932"/>
      <c r="CP74" s="1932"/>
      <c r="CQ74" s="1932"/>
      <c r="CR74" s="1932"/>
      <c r="DO74" s="2009"/>
      <c r="DP74" s="2009"/>
      <c r="GB74" s="1421"/>
      <c r="GC74" s="29"/>
      <c r="GD74" s="29"/>
      <c r="GE74" s="29"/>
      <c r="GF74" s="29"/>
      <c r="GG74" s="29"/>
      <c r="GH74" s="465"/>
      <c r="GI74" s="465" t="n">
        <f aca="false">GJ74+GK74</f>
        <v>41339.65</v>
      </c>
      <c r="GJ74" s="465" t="n">
        <v>36768.701</v>
      </c>
      <c r="GK74" s="465" t="n">
        <v>4570.949</v>
      </c>
      <c r="GL74" s="158"/>
      <c r="GM74" s="25" t="n">
        <f aca="false">GK74/GI74</f>
        <v>0.110570578125359</v>
      </c>
      <c r="GN74" s="2101"/>
      <c r="GO74" s="1932"/>
      <c r="GP74" s="1932"/>
      <c r="GQ74" s="1932"/>
      <c r="GR74" s="1932"/>
    </row>
    <row r="75" customFormat="false" ht="12" hidden="false" customHeight="false" outlineLevel="0" collapsed="false">
      <c r="C75" s="1932"/>
      <c r="F75" s="2111"/>
      <c r="I75" s="2111"/>
      <c r="J75" s="2111"/>
      <c r="K75" s="1932"/>
      <c r="L75" s="1932"/>
      <c r="M75" s="1932"/>
      <c r="N75" s="1932"/>
      <c r="O75" s="1932"/>
      <c r="P75" s="1932"/>
      <c r="Q75" s="1932"/>
      <c r="R75" s="1932"/>
      <c r="S75" s="1932"/>
      <c r="T75" s="1932"/>
      <c r="U75" s="1932"/>
      <c r="V75" s="1932"/>
      <c r="W75" s="1932"/>
      <c r="X75" s="1932"/>
      <c r="Y75" s="1932"/>
      <c r="Z75" s="1932"/>
      <c r="AA75" s="1932"/>
      <c r="AB75" s="1932"/>
      <c r="AC75" s="1932"/>
      <c r="AD75" s="1932"/>
      <c r="AE75" s="1932"/>
      <c r="AF75" s="1932"/>
      <c r="AG75" s="1932"/>
      <c r="AH75" s="1932"/>
      <c r="AI75" s="1932"/>
      <c r="AJ75" s="1932"/>
      <c r="AK75" s="1932"/>
      <c r="AL75" s="1932"/>
      <c r="AM75" s="1932"/>
      <c r="AN75" s="1932"/>
      <c r="AO75" s="2111"/>
      <c r="AP75" s="1932"/>
      <c r="AQ75" s="1932"/>
      <c r="AR75" s="1932"/>
      <c r="AS75" s="1932"/>
      <c r="AT75" s="1932"/>
      <c r="AU75" s="1932"/>
      <c r="AV75" s="1932"/>
      <c r="AW75" s="1932"/>
      <c r="AX75" s="1932"/>
      <c r="AY75" s="1932"/>
      <c r="AZ75" s="1932"/>
      <c r="BA75" s="1932"/>
      <c r="BB75" s="1932"/>
      <c r="BC75" s="1932"/>
      <c r="BD75" s="1932"/>
      <c r="BE75" s="1932"/>
      <c r="BF75" s="1932"/>
      <c r="BG75" s="1932"/>
      <c r="BH75" s="1932"/>
      <c r="BI75" s="1932"/>
      <c r="BJ75" s="1932"/>
      <c r="BK75" s="1932"/>
      <c r="BL75" s="1932"/>
      <c r="BM75" s="1932"/>
      <c r="BN75" s="1932"/>
      <c r="BO75" s="1932"/>
      <c r="BP75" s="1932"/>
      <c r="BQ75" s="1932"/>
      <c r="BR75" s="1932"/>
      <c r="BS75" s="1932"/>
      <c r="BT75" s="1932"/>
      <c r="BU75" s="1932"/>
      <c r="BV75" s="1932"/>
      <c r="BW75" s="1932"/>
      <c r="BX75" s="1932"/>
      <c r="BY75" s="1932"/>
      <c r="BZ75" s="1932"/>
      <c r="CA75" s="1932"/>
      <c r="CB75" s="1932"/>
      <c r="CC75" s="1932"/>
      <c r="CD75" s="1932"/>
      <c r="CE75" s="960"/>
      <c r="CF75" s="960"/>
      <c r="CG75" s="1932"/>
      <c r="CH75" s="1932"/>
      <c r="CI75" s="1932"/>
      <c r="CJ75" s="1478"/>
      <c r="CK75" s="1932"/>
      <c r="CM75" s="1932"/>
      <c r="CN75" s="1932"/>
      <c r="CO75" s="1932"/>
      <c r="CP75" s="1932"/>
      <c r="CQ75" s="1932"/>
      <c r="CR75" s="1932"/>
      <c r="DO75" s="2009"/>
      <c r="DP75" s="2009"/>
      <c r="DW75" s="24"/>
      <c r="EL75" s="1509"/>
      <c r="EM75" s="485"/>
      <c r="GB75" s="1421"/>
      <c r="GC75" s="29"/>
      <c r="GD75" s="29"/>
      <c r="GE75" s="29"/>
      <c r="GF75" s="29"/>
      <c r="GG75" s="387"/>
      <c r="GH75" s="465"/>
      <c r="GI75" s="465"/>
      <c r="GJ75" s="465"/>
      <c r="GK75" s="465"/>
      <c r="GL75" s="158"/>
      <c r="GM75" s="25"/>
      <c r="GN75" s="2101"/>
      <c r="GO75" s="1932"/>
      <c r="GP75" s="1932"/>
      <c r="GQ75" s="1932"/>
      <c r="GR75" s="1932"/>
    </row>
    <row r="76" customFormat="false" ht="12" hidden="false" customHeight="false" outlineLevel="0" collapsed="false">
      <c r="C76" s="1932"/>
      <c r="F76" s="617"/>
      <c r="G76" s="617"/>
      <c r="I76" s="1932"/>
      <c r="J76" s="1932"/>
      <c r="K76" s="1932"/>
      <c r="L76" s="1932"/>
      <c r="M76" s="1932"/>
      <c r="N76" s="1932"/>
      <c r="O76" s="1932"/>
      <c r="P76" s="1932"/>
      <c r="Q76" s="1932"/>
      <c r="R76" s="1932"/>
      <c r="S76" s="1932"/>
      <c r="T76" s="1932"/>
      <c r="U76" s="1932"/>
      <c r="V76" s="1932"/>
      <c r="W76" s="1932"/>
      <c r="X76" s="1932"/>
      <c r="Y76" s="1932"/>
      <c r="Z76" s="1932"/>
      <c r="AA76" s="1932"/>
      <c r="AB76" s="1932"/>
      <c r="AC76" s="1932"/>
      <c r="AD76" s="1932"/>
      <c r="AE76" s="1932"/>
      <c r="AF76" s="1932"/>
      <c r="AG76" s="1932"/>
      <c r="AH76" s="1932"/>
      <c r="AI76" s="1932"/>
      <c r="AJ76" s="1932"/>
      <c r="AK76" s="1932"/>
      <c r="AL76" s="1932"/>
      <c r="AM76" s="1932"/>
      <c r="AN76" s="1932"/>
      <c r="AO76" s="1932"/>
      <c r="AP76" s="1932"/>
      <c r="AQ76" s="25"/>
      <c r="AR76" s="1932"/>
      <c r="AS76" s="1932"/>
      <c r="AT76" s="1932"/>
      <c r="AU76" s="1932"/>
      <c r="AV76" s="1932"/>
      <c r="AW76" s="1932"/>
      <c r="AX76" s="1932"/>
      <c r="AY76" s="1932"/>
      <c r="AZ76" s="1932"/>
      <c r="BA76" s="1932"/>
      <c r="BB76" s="1932"/>
      <c r="BC76" s="1932"/>
      <c r="BD76" s="1932"/>
      <c r="BE76" s="1932"/>
      <c r="BF76" s="1932"/>
      <c r="BG76" s="1932"/>
      <c r="BH76" s="1932"/>
      <c r="BI76" s="1932"/>
      <c r="BJ76" s="1932"/>
      <c r="BK76" s="1932"/>
      <c r="BL76" s="1932"/>
      <c r="BM76" s="1932"/>
      <c r="BN76" s="1932"/>
      <c r="BO76" s="1932"/>
      <c r="BP76" s="1932"/>
      <c r="BQ76" s="1932"/>
      <c r="BR76" s="1932"/>
      <c r="BS76" s="1932"/>
      <c r="BT76" s="1932"/>
      <c r="BU76" s="1932"/>
      <c r="BV76" s="1932"/>
      <c r="BW76" s="1932"/>
      <c r="BX76" s="1932"/>
      <c r="BY76" s="1932"/>
      <c r="BZ76" s="1932"/>
      <c r="CA76" s="1932"/>
      <c r="CB76" s="1932"/>
      <c r="CC76" s="1932"/>
      <c r="CD76" s="1932"/>
      <c r="CE76" s="960"/>
      <c r="CF76" s="960"/>
      <c r="CG76" s="1932"/>
      <c r="CH76" s="1932"/>
      <c r="CI76" s="1932"/>
      <c r="CJ76" s="1478"/>
      <c r="CK76" s="1932"/>
      <c r="CL76" s="1932"/>
      <c r="CM76" s="1932"/>
      <c r="CN76" s="1932"/>
      <c r="CO76" s="1932"/>
      <c r="CP76" s="1932"/>
      <c r="CQ76" s="1932"/>
      <c r="CR76" s="1932"/>
      <c r="DO76" s="2009"/>
      <c r="DP76" s="2009"/>
      <c r="EE76" s="1510"/>
      <c r="GB76" s="1421"/>
      <c r="GC76" s="29"/>
      <c r="GD76" s="29"/>
      <c r="GE76" s="29"/>
      <c r="GF76" s="29"/>
      <c r="GG76" s="29"/>
      <c r="GH76" s="465"/>
      <c r="GI76" s="465"/>
      <c r="GJ76" s="465"/>
      <c r="GK76" s="158"/>
      <c r="GL76" s="158"/>
      <c r="GM76" s="158"/>
      <c r="GN76" s="2112"/>
      <c r="GO76" s="1932"/>
      <c r="GP76" s="1932"/>
      <c r="GQ76" s="1932"/>
      <c r="GR76" s="1932"/>
    </row>
    <row r="77" customFormat="false" ht="12" hidden="false" customHeight="false" outlineLevel="0" collapsed="false">
      <c r="B77" s="25"/>
      <c r="C77" s="25"/>
      <c r="D77" s="25"/>
      <c r="E77" s="25"/>
      <c r="F77" s="25"/>
      <c r="G77" s="25"/>
      <c r="H77" s="25"/>
      <c r="I77" s="1932"/>
      <c r="J77" s="1932"/>
      <c r="K77" s="1932"/>
      <c r="L77" s="1932"/>
      <c r="M77" s="1932"/>
      <c r="N77" s="1932"/>
      <c r="O77" s="1932"/>
      <c r="P77" s="1932"/>
      <c r="Q77" s="1932"/>
      <c r="R77" s="1932"/>
      <c r="S77" s="1932"/>
      <c r="T77" s="1932"/>
      <c r="U77" s="1932"/>
      <c r="V77" s="1932"/>
      <c r="W77" s="1932"/>
      <c r="X77" s="1932"/>
      <c r="Y77" s="1932"/>
      <c r="Z77" s="1932"/>
      <c r="AA77" s="1932"/>
      <c r="AB77" s="1932"/>
      <c r="AC77" s="1932"/>
      <c r="AD77" s="1932"/>
      <c r="AE77" s="1932"/>
      <c r="AF77" s="2097"/>
      <c r="AG77" s="1932"/>
      <c r="AH77" s="1932"/>
      <c r="AI77" s="1932"/>
      <c r="AJ77" s="1932"/>
      <c r="AK77" s="1932"/>
      <c r="AL77" s="1932"/>
      <c r="AM77" s="1932"/>
      <c r="AN77" s="1932"/>
      <c r="AO77" s="1932"/>
      <c r="AP77" s="1932"/>
      <c r="AQ77" s="25"/>
      <c r="AR77" s="1932"/>
      <c r="AS77" s="1932"/>
      <c r="AT77" s="1932"/>
      <c r="AU77" s="1932"/>
      <c r="AV77" s="1932"/>
      <c r="AW77" s="1932"/>
      <c r="AX77" s="1932"/>
      <c r="AY77" s="1932"/>
      <c r="AZ77" s="1932"/>
      <c r="BA77" s="1932"/>
      <c r="BB77" s="1932"/>
      <c r="BC77" s="1932"/>
      <c r="BD77" s="1932"/>
      <c r="BE77" s="1932"/>
      <c r="BF77" s="1932"/>
      <c r="BG77" s="1932"/>
      <c r="BH77" s="1932"/>
      <c r="BI77" s="1932"/>
      <c r="BJ77" s="1932"/>
      <c r="BK77" s="1932"/>
      <c r="BL77" s="1932"/>
      <c r="BM77" s="1932"/>
      <c r="BN77" s="1932"/>
      <c r="BO77" s="1932"/>
      <c r="BP77" s="1932"/>
      <c r="BQ77" s="1932"/>
      <c r="BR77" s="1932"/>
      <c r="BS77" s="1932"/>
      <c r="BT77" s="1932"/>
      <c r="BU77" s="1932"/>
      <c r="BV77" s="1932"/>
      <c r="BW77" s="1932"/>
      <c r="BX77" s="1932"/>
      <c r="BY77" s="1932"/>
      <c r="BZ77" s="1932"/>
      <c r="CA77" s="1932"/>
      <c r="CB77" s="1932"/>
      <c r="CC77" s="1932"/>
      <c r="CD77" s="1932"/>
      <c r="CE77" s="960"/>
      <c r="CF77" s="960"/>
      <c r="CG77" s="1932"/>
      <c r="CH77" s="1932"/>
      <c r="CI77" s="1932"/>
      <c r="CJ77" s="1932"/>
      <c r="CK77" s="1932"/>
      <c r="CL77" s="1932"/>
      <c r="CM77" s="1932"/>
      <c r="CN77" s="1932"/>
      <c r="CO77" s="1932"/>
      <c r="CP77" s="1932"/>
      <c r="CQ77" s="1932"/>
      <c r="CR77" s="1932"/>
      <c r="DO77" s="2009"/>
      <c r="DP77" s="2009"/>
      <c r="GB77" s="1421"/>
      <c r="GC77" s="29"/>
      <c r="GD77" s="29"/>
      <c r="GE77" s="29"/>
      <c r="GF77" s="29"/>
      <c r="GG77" s="29"/>
      <c r="GH77" s="465"/>
      <c r="GI77" s="465"/>
      <c r="GJ77" s="465"/>
      <c r="GK77" s="158"/>
      <c r="GL77" s="158"/>
      <c r="GM77" s="158"/>
      <c r="GN77" s="2112"/>
      <c r="GO77" s="1932"/>
      <c r="GP77" s="1932"/>
      <c r="GQ77" s="1932"/>
      <c r="GR77" s="1932"/>
    </row>
    <row r="78" customFormat="false" ht="12" hidden="false" customHeight="false" outlineLevel="0" collapsed="false">
      <c r="C78" s="1932"/>
      <c r="I78" s="1932"/>
      <c r="J78" s="1932"/>
      <c r="K78" s="1932"/>
      <c r="L78" s="1932"/>
      <c r="M78" s="1932"/>
      <c r="N78" s="1932"/>
      <c r="O78" s="1932"/>
      <c r="P78" s="1932"/>
      <c r="Q78" s="1932"/>
      <c r="R78" s="1932"/>
      <c r="S78" s="1932"/>
      <c r="T78" s="1932"/>
      <c r="U78" s="1932"/>
      <c r="V78" s="1932"/>
      <c r="W78" s="1932"/>
      <c r="X78" s="1932"/>
      <c r="Y78" s="1932"/>
      <c r="Z78" s="1932"/>
      <c r="AA78" s="1932"/>
      <c r="AB78" s="1932"/>
      <c r="AC78" s="1932"/>
      <c r="AD78" s="1932"/>
      <c r="AE78" s="1932"/>
      <c r="AF78" s="2097"/>
      <c r="AG78" s="1932"/>
      <c r="AH78" s="1932"/>
      <c r="AI78" s="1932"/>
      <c r="AJ78" s="1932"/>
      <c r="AK78" s="1932"/>
      <c r="AL78" s="1932"/>
      <c r="AM78" s="1932"/>
      <c r="AN78" s="1932"/>
      <c r="AO78" s="1932"/>
      <c r="AP78" s="1932"/>
      <c r="AQ78" s="1932"/>
      <c r="AR78" s="1932"/>
      <c r="AS78" s="1932"/>
      <c r="AT78" s="1932"/>
      <c r="AU78" s="1932"/>
      <c r="AV78" s="1932"/>
      <c r="AW78" s="1932"/>
      <c r="AX78" s="1932"/>
      <c r="AY78" s="1932"/>
      <c r="AZ78" s="1932"/>
      <c r="BA78" s="1932"/>
      <c r="BB78" s="1932"/>
      <c r="BC78" s="1932"/>
      <c r="BD78" s="1932"/>
      <c r="BE78" s="1932"/>
      <c r="BF78" s="1932"/>
      <c r="BG78" s="1932"/>
      <c r="BH78" s="1932"/>
      <c r="BI78" s="1932"/>
      <c r="BJ78" s="1932"/>
      <c r="BK78" s="1932"/>
      <c r="BL78" s="1932"/>
      <c r="BM78" s="1932"/>
      <c r="BN78" s="1932"/>
      <c r="BO78" s="1932"/>
      <c r="BP78" s="1932"/>
      <c r="BQ78" s="1932"/>
      <c r="BR78" s="1932"/>
      <c r="BS78" s="1932"/>
      <c r="BT78" s="1932"/>
      <c r="BU78" s="1932"/>
      <c r="BV78" s="1932"/>
      <c r="BW78" s="1932"/>
      <c r="BX78" s="1932"/>
      <c r="BY78" s="1932"/>
      <c r="BZ78" s="1932"/>
      <c r="CA78" s="1932"/>
      <c r="CB78" s="1932"/>
      <c r="CC78" s="1932"/>
      <c r="CD78" s="1932"/>
      <c r="CE78" s="960"/>
      <c r="CF78" s="960"/>
      <c r="CG78" s="1932"/>
      <c r="CH78" s="1932"/>
      <c r="CI78" s="1932"/>
      <c r="CJ78" s="1932"/>
      <c r="CK78" s="1932"/>
      <c r="CL78" s="1932"/>
      <c r="CM78" s="1932"/>
      <c r="CN78" s="1932"/>
      <c r="CO78" s="1932"/>
      <c r="CP78" s="1932"/>
      <c r="CQ78" s="1932"/>
      <c r="CR78" s="1932"/>
      <c r="DO78" s="2009"/>
      <c r="DP78" s="2009"/>
      <c r="EE78" s="1510"/>
      <c r="FO78" s="1932"/>
      <c r="GB78" s="1421"/>
      <c r="GC78" s="29"/>
      <c r="GD78" s="29"/>
      <c r="GE78" s="29"/>
      <c r="GF78" s="29"/>
      <c r="GG78" s="29"/>
      <c r="GH78" s="465"/>
      <c r="GI78" s="465"/>
      <c r="GJ78" s="465"/>
      <c r="GK78" s="465"/>
      <c r="GL78" s="158"/>
      <c r="GM78" s="158"/>
      <c r="GN78" s="2112"/>
      <c r="GO78" s="1932"/>
      <c r="GP78" s="1932"/>
      <c r="GQ78" s="1932"/>
      <c r="GR78" s="1932"/>
    </row>
    <row r="79" customFormat="false" ht="12" hidden="false" customHeight="false" outlineLevel="0" collapsed="false">
      <c r="C79" s="1932"/>
      <c r="I79" s="1510"/>
      <c r="J79" s="1932"/>
      <c r="K79" s="1932"/>
      <c r="L79" s="1932"/>
      <c r="M79" s="1932"/>
      <c r="N79" s="1932"/>
      <c r="O79" s="1932"/>
      <c r="P79" s="1932"/>
      <c r="Q79" s="1932"/>
      <c r="R79" s="1932"/>
      <c r="S79" s="1932"/>
      <c r="T79" s="1932"/>
      <c r="U79" s="1932"/>
      <c r="V79" s="1932"/>
      <c r="W79" s="1932"/>
      <c r="X79" s="1932"/>
      <c r="Y79" s="1932"/>
      <c r="Z79" s="1932"/>
      <c r="AA79" s="1932"/>
      <c r="AB79" s="1932"/>
      <c r="AC79" s="1932"/>
      <c r="AD79" s="1932"/>
      <c r="AE79" s="1932"/>
      <c r="AF79" s="2097"/>
      <c r="AG79" s="1932"/>
      <c r="AH79" s="1932"/>
      <c r="AI79" s="1932"/>
      <c r="AJ79" s="1932"/>
      <c r="AK79" s="1932"/>
      <c r="AL79" s="1932"/>
      <c r="AM79" s="1932"/>
      <c r="AN79" s="1932"/>
      <c r="AO79" s="1932"/>
      <c r="AP79" s="1932"/>
      <c r="AQ79" s="1932"/>
      <c r="AR79" s="1932"/>
      <c r="AS79" s="1932"/>
      <c r="AT79" s="1932"/>
      <c r="AU79" s="1932"/>
      <c r="AV79" s="1932"/>
      <c r="AW79" s="1932"/>
      <c r="AX79" s="1932"/>
      <c r="AY79" s="1932"/>
      <c r="AZ79" s="1932"/>
      <c r="BA79" s="1932"/>
      <c r="BB79" s="1932"/>
      <c r="BC79" s="1932"/>
      <c r="BD79" s="1932"/>
      <c r="BE79" s="1932"/>
      <c r="BF79" s="1932"/>
      <c r="BG79" s="1932"/>
      <c r="BH79" s="1932"/>
      <c r="BI79" s="1932"/>
      <c r="BJ79" s="1932"/>
      <c r="BK79" s="1932"/>
      <c r="BL79" s="1932"/>
      <c r="BM79" s="1932"/>
      <c r="BN79" s="1932"/>
      <c r="BO79" s="1932"/>
      <c r="BP79" s="1932"/>
      <c r="BQ79" s="1932"/>
      <c r="BR79" s="1932"/>
      <c r="BS79" s="1932"/>
      <c r="BT79" s="1932"/>
      <c r="BU79" s="1932"/>
      <c r="BV79" s="1932"/>
      <c r="BW79" s="1932"/>
      <c r="BX79" s="1932"/>
      <c r="BY79" s="1932"/>
      <c r="BZ79" s="1932"/>
      <c r="CA79" s="1932"/>
      <c r="CB79" s="1932"/>
      <c r="CC79" s="1932"/>
      <c r="CD79" s="1932"/>
      <c r="CE79" s="960"/>
      <c r="CF79" s="960"/>
      <c r="CG79" s="1932"/>
      <c r="CH79" s="1932"/>
      <c r="CI79" s="1932"/>
      <c r="CJ79" s="1932"/>
      <c r="CK79" s="1932"/>
      <c r="CL79" s="1932"/>
      <c r="CM79" s="1932"/>
      <c r="CN79" s="1932"/>
      <c r="CO79" s="1932"/>
      <c r="CP79" s="1932"/>
      <c r="CQ79" s="1932"/>
      <c r="CR79" s="1932"/>
      <c r="GB79" s="1421"/>
      <c r="GC79" s="29"/>
      <c r="GD79" s="29"/>
      <c r="GE79" s="29"/>
      <c r="GF79" s="29"/>
      <c r="GG79" s="29"/>
      <c r="GH79" s="465"/>
      <c r="GI79" s="465"/>
      <c r="GJ79" s="465"/>
      <c r="GK79" s="465"/>
      <c r="GL79" s="158"/>
      <c r="GM79" s="158"/>
      <c r="GN79" s="2112"/>
      <c r="GO79" s="1932"/>
      <c r="GP79" s="1932"/>
      <c r="GQ79" s="1932"/>
      <c r="GR79" s="1932"/>
    </row>
    <row r="80" customFormat="false" ht="12" hidden="false" customHeight="false" outlineLevel="0" collapsed="false">
      <c r="C80" s="1932"/>
      <c r="I80" s="1932"/>
      <c r="J80" s="1932"/>
      <c r="K80" s="1932"/>
      <c r="L80" s="1932"/>
      <c r="M80" s="1932"/>
      <c r="N80" s="1932"/>
      <c r="O80" s="1932"/>
      <c r="P80" s="1932"/>
      <c r="Q80" s="1932"/>
      <c r="R80" s="1932"/>
      <c r="S80" s="1932"/>
      <c r="T80" s="1932"/>
      <c r="U80" s="1932"/>
      <c r="V80" s="1932"/>
      <c r="W80" s="1932"/>
      <c r="X80" s="1932"/>
      <c r="Y80" s="1932"/>
      <c r="Z80" s="1932"/>
      <c r="AA80" s="1932"/>
      <c r="AB80" s="1932"/>
      <c r="AC80" s="1932"/>
      <c r="AD80" s="1932"/>
      <c r="AE80" s="1932"/>
      <c r="AF80" s="2097"/>
      <c r="AG80" s="1932"/>
      <c r="AH80" s="1932"/>
      <c r="AI80" s="1932"/>
      <c r="AJ80" s="1932"/>
      <c r="AK80" s="1932"/>
      <c r="AL80" s="1932"/>
      <c r="AM80" s="1932"/>
      <c r="AN80" s="1932"/>
      <c r="AO80" s="1932"/>
      <c r="AP80" s="1932"/>
      <c r="AQ80" s="1932"/>
      <c r="AR80" s="1932"/>
      <c r="AS80" s="1932"/>
      <c r="AT80" s="1932"/>
      <c r="AU80" s="1932"/>
      <c r="AV80" s="1932"/>
      <c r="AW80" s="1932"/>
      <c r="AX80" s="1932"/>
      <c r="AY80" s="1932"/>
      <c r="AZ80" s="1932"/>
      <c r="BA80" s="1932"/>
      <c r="BB80" s="1932"/>
      <c r="BC80" s="1932"/>
      <c r="BD80" s="1932"/>
      <c r="BE80" s="1932"/>
      <c r="BF80" s="1932"/>
      <c r="BG80" s="1932"/>
      <c r="BH80" s="1932"/>
      <c r="BI80" s="1932"/>
      <c r="BJ80" s="1932"/>
      <c r="BK80" s="1932"/>
      <c r="BL80" s="1932"/>
      <c r="BM80" s="1932"/>
      <c r="BN80" s="1932"/>
      <c r="BO80" s="1932"/>
      <c r="BP80" s="1932"/>
      <c r="BQ80" s="1932"/>
      <c r="BR80" s="1932"/>
      <c r="BS80" s="1932"/>
      <c r="BT80" s="1932"/>
      <c r="BU80" s="1932"/>
      <c r="BV80" s="1932"/>
      <c r="BW80" s="1932"/>
      <c r="BX80" s="1932"/>
      <c r="BY80" s="1932"/>
      <c r="BZ80" s="1932"/>
      <c r="CA80" s="1932"/>
      <c r="CB80" s="1932"/>
      <c r="CC80" s="1932"/>
      <c r="CD80" s="1932"/>
      <c r="CE80" s="960"/>
      <c r="CF80" s="960"/>
      <c r="CG80" s="1932"/>
      <c r="CH80" s="1932"/>
      <c r="CI80" s="1932"/>
      <c r="CJ80" s="1932"/>
      <c r="CK80" s="1932"/>
      <c r="CL80" s="1932"/>
      <c r="CM80" s="1932"/>
      <c r="CN80" s="1932"/>
      <c r="CO80" s="1932"/>
      <c r="CP80" s="1932"/>
      <c r="CQ80" s="1932"/>
      <c r="CR80" s="1932"/>
      <c r="FO80" s="1932"/>
      <c r="GB80" s="1421"/>
      <c r="GC80" s="29"/>
      <c r="GD80" s="29"/>
      <c r="GE80" s="29"/>
      <c r="GF80" s="29"/>
      <c r="GG80" s="29"/>
      <c r="GH80" s="465"/>
      <c r="GI80" s="465"/>
      <c r="GJ80" s="465"/>
      <c r="GK80" s="465"/>
      <c r="GL80" s="158"/>
      <c r="GM80" s="158"/>
      <c r="GN80" s="2112"/>
      <c r="GO80" s="1932"/>
      <c r="GP80" s="1932"/>
      <c r="GQ80" s="1932"/>
      <c r="GR80" s="1932"/>
    </row>
    <row r="81" customFormat="false" ht="12" hidden="false" customHeight="false" outlineLevel="0" collapsed="false">
      <c r="C81" s="1932"/>
      <c r="I81" s="1932"/>
      <c r="J81" s="1932"/>
      <c r="K81" s="1932"/>
      <c r="L81" s="1932"/>
      <c r="M81" s="1932"/>
      <c r="N81" s="1932"/>
      <c r="O81" s="1932"/>
      <c r="P81" s="1932"/>
      <c r="Q81" s="1932"/>
      <c r="R81" s="1932"/>
      <c r="S81" s="1932"/>
      <c r="T81" s="1932"/>
      <c r="U81" s="1932"/>
      <c r="V81" s="1932"/>
      <c r="W81" s="1932"/>
      <c r="X81" s="1932"/>
      <c r="Y81" s="1932"/>
      <c r="Z81" s="1932"/>
      <c r="AA81" s="1932"/>
      <c r="AB81" s="1932"/>
      <c r="AC81" s="1932"/>
      <c r="AD81" s="1932"/>
      <c r="AE81" s="1932"/>
      <c r="AF81" s="2097"/>
      <c r="AG81" s="1932"/>
      <c r="AH81" s="1932"/>
      <c r="AI81" s="1932"/>
      <c r="AJ81" s="1932"/>
      <c r="AK81" s="1932"/>
      <c r="AL81" s="1932"/>
      <c r="AM81" s="1932"/>
      <c r="AN81" s="1932"/>
      <c r="AO81" s="1932"/>
      <c r="AP81" s="1932"/>
      <c r="AQ81" s="1932"/>
      <c r="AR81" s="1932"/>
      <c r="AS81" s="1932"/>
      <c r="AT81" s="1932"/>
      <c r="AU81" s="1932"/>
      <c r="AV81" s="1932"/>
      <c r="AW81" s="1932"/>
      <c r="AX81" s="1932"/>
      <c r="AY81" s="1932"/>
      <c r="AZ81" s="1932"/>
      <c r="BA81" s="1932"/>
      <c r="BB81" s="1932"/>
      <c r="BC81" s="1932"/>
      <c r="BD81" s="1932"/>
      <c r="BE81" s="1932"/>
      <c r="BF81" s="1932"/>
      <c r="BG81" s="1932"/>
      <c r="BH81" s="1932"/>
      <c r="BI81" s="1932"/>
      <c r="BJ81" s="1932"/>
      <c r="BK81" s="1932"/>
      <c r="BL81" s="1932"/>
      <c r="BM81" s="1932"/>
      <c r="BN81" s="1932"/>
      <c r="BO81" s="1932"/>
      <c r="BP81" s="1932"/>
      <c r="BQ81" s="1932"/>
      <c r="BR81" s="1932"/>
      <c r="BS81" s="1932"/>
      <c r="BT81" s="1932"/>
      <c r="BU81" s="1932"/>
      <c r="BV81" s="1932"/>
      <c r="BW81" s="1932"/>
      <c r="BX81" s="1932"/>
      <c r="BY81" s="1932"/>
      <c r="BZ81" s="1932"/>
      <c r="CA81" s="1932"/>
      <c r="CB81" s="1932"/>
      <c r="CC81" s="1932"/>
      <c r="CD81" s="1932"/>
      <c r="CE81" s="960"/>
      <c r="CF81" s="960"/>
      <c r="CG81" s="1932"/>
      <c r="CH81" s="1932"/>
      <c r="CI81" s="1932"/>
      <c r="CJ81" s="1932"/>
      <c r="CK81" s="1932"/>
      <c r="CL81" s="1932"/>
      <c r="CM81" s="1932"/>
      <c r="CN81" s="1932"/>
      <c r="CO81" s="1932"/>
      <c r="CP81" s="1932"/>
      <c r="CQ81" s="1932"/>
      <c r="CR81" s="1932"/>
      <c r="GB81" s="1421"/>
      <c r="GC81" s="29"/>
      <c r="GD81" s="29"/>
      <c r="GE81" s="29"/>
      <c r="GF81" s="29"/>
      <c r="GG81" s="29"/>
      <c r="GH81" s="465"/>
      <c r="GI81" s="465"/>
      <c r="GJ81" s="465"/>
      <c r="GK81" s="465"/>
      <c r="GL81" s="158"/>
      <c r="GM81" s="158"/>
      <c r="GN81" s="2112"/>
      <c r="GO81" s="1932"/>
      <c r="GP81" s="1932"/>
      <c r="GQ81" s="1932"/>
      <c r="GR81" s="1932"/>
    </row>
    <row r="82" customFormat="false" ht="12" hidden="false" customHeight="false" outlineLevel="0" collapsed="false">
      <c r="C82" s="1932"/>
      <c r="I82" s="1932"/>
      <c r="J82" s="1932"/>
      <c r="K82" s="1932"/>
      <c r="L82" s="1932"/>
      <c r="M82" s="1932"/>
      <c r="N82" s="1932"/>
      <c r="O82" s="1932"/>
      <c r="P82" s="1932"/>
      <c r="Q82" s="1932"/>
      <c r="R82" s="1932"/>
      <c r="S82" s="1932"/>
      <c r="T82" s="1932"/>
      <c r="U82" s="1932"/>
      <c r="V82" s="1932"/>
      <c r="W82" s="1932"/>
      <c r="X82" s="1932"/>
      <c r="Y82" s="1932"/>
      <c r="Z82" s="1932"/>
      <c r="AA82" s="1932"/>
      <c r="AB82" s="1932"/>
      <c r="AC82" s="1932"/>
      <c r="AD82" s="1932"/>
      <c r="AE82" s="1932"/>
      <c r="AF82" s="2097"/>
      <c r="AG82" s="1932"/>
      <c r="AH82" s="1932"/>
      <c r="AI82" s="1932"/>
      <c r="AJ82" s="1932"/>
      <c r="AK82" s="1932"/>
      <c r="AL82" s="1932"/>
      <c r="AM82" s="1932"/>
      <c r="AN82" s="1932"/>
      <c r="AO82" s="1932"/>
      <c r="AP82" s="1932"/>
      <c r="AQ82" s="1932"/>
      <c r="AR82" s="1932"/>
      <c r="AS82" s="1932"/>
      <c r="AT82" s="1932"/>
      <c r="AU82" s="1932"/>
      <c r="AV82" s="1932"/>
      <c r="AW82" s="1932"/>
      <c r="AX82" s="1932"/>
      <c r="AY82" s="1932"/>
      <c r="AZ82" s="1932"/>
      <c r="BA82" s="1932"/>
      <c r="BB82" s="1932"/>
      <c r="BC82" s="1932"/>
      <c r="BD82" s="1932"/>
      <c r="BE82" s="1932"/>
      <c r="BF82" s="1932"/>
      <c r="BG82" s="1932"/>
      <c r="BH82" s="1932"/>
      <c r="BI82" s="1932"/>
      <c r="BJ82" s="1932"/>
      <c r="BK82" s="1932"/>
      <c r="BL82" s="1932"/>
      <c r="BM82" s="1932"/>
      <c r="BN82" s="1932"/>
      <c r="BO82" s="1932"/>
      <c r="BP82" s="1932"/>
      <c r="BQ82" s="1932"/>
      <c r="BR82" s="1932"/>
      <c r="BS82" s="1932"/>
      <c r="BT82" s="1932"/>
      <c r="BU82" s="1932"/>
      <c r="BV82" s="1932"/>
      <c r="BW82" s="1932"/>
      <c r="BX82" s="1932"/>
      <c r="BY82" s="1932"/>
      <c r="BZ82" s="1932"/>
      <c r="CA82" s="1932"/>
      <c r="CB82" s="1932"/>
      <c r="CC82" s="1932"/>
      <c r="CD82" s="1932"/>
      <c r="CE82" s="960"/>
      <c r="CF82" s="960"/>
      <c r="CG82" s="1932"/>
      <c r="CH82" s="1932"/>
      <c r="CI82" s="1932"/>
      <c r="CJ82" s="1932"/>
      <c r="CK82" s="1932"/>
      <c r="CL82" s="1932"/>
      <c r="CM82" s="1932"/>
      <c r="CN82" s="1932"/>
      <c r="CO82" s="1932"/>
      <c r="CP82" s="1932"/>
      <c r="CQ82" s="1932"/>
      <c r="CR82" s="1932"/>
      <c r="GB82" s="1421"/>
      <c r="GC82" s="29"/>
      <c r="GD82" s="29"/>
      <c r="GE82" s="29"/>
      <c r="GF82" s="29"/>
      <c r="GG82" s="29"/>
      <c r="GH82" s="465"/>
      <c r="GI82" s="465"/>
      <c r="GJ82" s="465"/>
      <c r="GK82" s="465"/>
      <c r="GL82" s="158"/>
      <c r="GM82" s="158"/>
      <c r="GN82" s="2112"/>
      <c r="GO82" s="1932"/>
      <c r="GP82" s="1932"/>
      <c r="GQ82" s="1932"/>
      <c r="GR82" s="1932"/>
    </row>
    <row r="83" customFormat="false" ht="12" hidden="false" customHeight="false" outlineLevel="0" collapsed="false">
      <c r="C83" s="1932"/>
      <c r="I83" s="1932"/>
      <c r="J83" s="1932"/>
      <c r="K83" s="1932"/>
      <c r="L83" s="1932"/>
      <c r="M83" s="1932"/>
      <c r="N83" s="1932"/>
      <c r="O83" s="1932"/>
      <c r="P83" s="1932"/>
      <c r="Q83" s="1932"/>
      <c r="R83" s="1932"/>
      <c r="S83" s="1932"/>
      <c r="T83" s="1932"/>
      <c r="U83" s="1932"/>
      <c r="V83" s="1932"/>
      <c r="W83" s="1932"/>
      <c r="X83" s="1932"/>
      <c r="Y83" s="1932"/>
      <c r="Z83" s="1932"/>
      <c r="AA83" s="1932"/>
      <c r="AB83" s="1932"/>
      <c r="AC83" s="1932"/>
      <c r="AD83" s="1932"/>
      <c r="AE83" s="1932"/>
      <c r="AF83" s="2097"/>
      <c r="AG83" s="1932"/>
      <c r="AH83" s="1932"/>
      <c r="AI83" s="1932"/>
      <c r="AJ83" s="1932"/>
      <c r="AK83" s="1932"/>
      <c r="AL83" s="1932"/>
      <c r="AM83" s="1932"/>
      <c r="AN83" s="1932"/>
      <c r="AO83" s="1932"/>
      <c r="AP83" s="1932"/>
      <c r="AQ83" s="1932"/>
      <c r="AR83" s="1932"/>
      <c r="AS83" s="1932"/>
      <c r="AT83" s="1932"/>
      <c r="AU83" s="1932"/>
      <c r="AV83" s="1932"/>
      <c r="AW83" s="1932"/>
      <c r="AX83" s="1932"/>
      <c r="AY83" s="1932"/>
      <c r="AZ83" s="1932"/>
      <c r="BA83" s="1932"/>
      <c r="BB83" s="1932"/>
      <c r="BC83" s="1932"/>
      <c r="BD83" s="1932"/>
      <c r="BE83" s="1932"/>
      <c r="BF83" s="1932"/>
      <c r="BG83" s="1932"/>
      <c r="BH83" s="1932"/>
      <c r="BI83" s="1932"/>
      <c r="BJ83" s="1932"/>
      <c r="BK83" s="1932"/>
      <c r="BL83" s="1932"/>
      <c r="BM83" s="1932"/>
      <c r="BN83" s="1932"/>
      <c r="BO83" s="1932"/>
      <c r="BP83" s="1932"/>
      <c r="BQ83" s="1932"/>
      <c r="BR83" s="1932"/>
      <c r="BS83" s="1932"/>
      <c r="BT83" s="1932"/>
      <c r="BU83" s="1932"/>
      <c r="BV83" s="1932"/>
      <c r="BW83" s="1932"/>
      <c r="BX83" s="1932"/>
      <c r="BY83" s="1932"/>
      <c r="BZ83" s="1932"/>
      <c r="CA83" s="1932"/>
      <c r="CB83" s="1932"/>
      <c r="CC83" s="1932"/>
      <c r="CD83" s="1932"/>
      <c r="CE83" s="960"/>
      <c r="CF83" s="960"/>
      <c r="CG83" s="1932"/>
      <c r="CH83" s="1932"/>
      <c r="CI83" s="1932"/>
      <c r="CJ83" s="1932"/>
      <c r="CK83" s="1932"/>
      <c r="CL83" s="1932"/>
      <c r="CM83" s="1932"/>
      <c r="CN83" s="1932"/>
      <c r="CO83" s="1932"/>
      <c r="CP83" s="1932"/>
      <c r="CQ83" s="1932"/>
      <c r="CR83" s="1932"/>
      <c r="GB83" s="1421"/>
      <c r="GC83" s="29"/>
      <c r="GD83" s="29"/>
      <c r="GE83" s="29"/>
      <c r="GF83" s="29"/>
      <c r="GG83" s="29"/>
      <c r="GH83" s="465"/>
      <c r="GI83" s="465"/>
      <c r="GJ83" s="465"/>
      <c r="GK83" s="465"/>
      <c r="GL83" s="158"/>
      <c r="GM83" s="158"/>
      <c r="GN83" s="2112"/>
      <c r="GO83" s="1932"/>
      <c r="GP83" s="1932"/>
      <c r="GQ83" s="1932"/>
      <c r="GR83" s="1932"/>
    </row>
    <row r="84" customFormat="false" ht="12" hidden="false" customHeight="false" outlineLevel="0" collapsed="false">
      <c r="C84" s="1932"/>
      <c r="I84" s="1932"/>
      <c r="J84" s="1932"/>
      <c r="K84" s="1932"/>
      <c r="L84" s="1932"/>
      <c r="M84" s="1932"/>
      <c r="N84" s="1932"/>
      <c r="O84" s="1932"/>
      <c r="P84" s="1932"/>
      <c r="Q84" s="1932"/>
      <c r="R84" s="1932"/>
      <c r="S84" s="1932"/>
      <c r="T84" s="1932"/>
      <c r="U84" s="1932"/>
      <c r="V84" s="1932"/>
      <c r="W84" s="1932"/>
      <c r="X84" s="1932"/>
      <c r="Y84" s="1932"/>
      <c r="Z84" s="1932"/>
      <c r="AA84" s="1932"/>
      <c r="AB84" s="1932"/>
      <c r="AC84" s="1932"/>
      <c r="AD84" s="1932"/>
      <c r="AE84" s="1932"/>
      <c r="AF84" s="2097"/>
      <c r="AG84" s="1932"/>
      <c r="AH84" s="1932"/>
      <c r="AI84" s="1932"/>
      <c r="AJ84" s="1932"/>
      <c r="AK84" s="1932"/>
      <c r="AL84" s="1932"/>
      <c r="AM84" s="1932"/>
      <c r="AN84" s="1932"/>
      <c r="AO84" s="1932"/>
      <c r="AP84" s="1932"/>
      <c r="AQ84" s="1932"/>
      <c r="AR84" s="1932"/>
      <c r="AS84" s="1932"/>
      <c r="AT84" s="1932"/>
      <c r="AU84" s="1932"/>
      <c r="AV84" s="1932"/>
      <c r="AW84" s="1932"/>
      <c r="AX84" s="1932"/>
      <c r="AY84" s="1932"/>
      <c r="AZ84" s="1932"/>
      <c r="BA84" s="1932"/>
      <c r="BB84" s="1932"/>
      <c r="BC84" s="1932"/>
      <c r="BD84" s="1932"/>
      <c r="BE84" s="1932"/>
      <c r="BF84" s="1932"/>
      <c r="BG84" s="1932"/>
      <c r="BH84" s="1932"/>
      <c r="BI84" s="1932"/>
      <c r="BJ84" s="1932"/>
      <c r="BK84" s="1932"/>
      <c r="BL84" s="1932"/>
      <c r="BM84" s="1932"/>
      <c r="BN84" s="1932"/>
      <c r="BO84" s="1932"/>
      <c r="BP84" s="1932"/>
      <c r="BQ84" s="1932"/>
      <c r="BR84" s="1932"/>
      <c r="BS84" s="1932"/>
      <c r="BT84" s="1932"/>
      <c r="BU84" s="1932"/>
      <c r="BV84" s="1932"/>
      <c r="BW84" s="1932"/>
      <c r="BX84" s="1932"/>
      <c r="BY84" s="1932"/>
      <c r="BZ84" s="1932"/>
      <c r="CA84" s="1932"/>
      <c r="CB84" s="1932"/>
      <c r="CC84" s="1932"/>
      <c r="CD84" s="1932"/>
      <c r="CE84" s="960"/>
      <c r="CF84" s="960"/>
      <c r="CG84" s="1932"/>
      <c r="CH84" s="1932"/>
      <c r="CI84" s="1932"/>
      <c r="CJ84" s="1932"/>
      <c r="CK84" s="1932"/>
      <c r="CL84" s="1932"/>
      <c r="CM84" s="1932"/>
      <c r="CN84" s="1932"/>
      <c r="CO84" s="1932"/>
      <c r="CP84" s="1932"/>
      <c r="CQ84" s="1932"/>
      <c r="CR84" s="1932"/>
      <c r="GB84" s="1421"/>
      <c r="GC84" s="29"/>
      <c r="GD84" s="29"/>
      <c r="GE84" s="29"/>
      <c r="GF84" s="29"/>
      <c r="GG84" s="29"/>
      <c r="GH84" s="465"/>
      <c r="GI84" s="465"/>
      <c r="GJ84" s="465"/>
      <c r="GK84" s="465"/>
      <c r="GL84" s="158"/>
      <c r="GM84" s="158"/>
      <c r="GN84" s="2112"/>
      <c r="GO84" s="1932"/>
      <c r="GP84" s="1932"/>
      <c r="GQ84" s="1932"/>
      <c r="GR84" s="1932"/>
    </row>
    <row r="85" customFormat="false" ht="12" hidden="false" customHeight="false" outlineLevel="0" collapsed="false">
      <c r="C85" s="1932"/>
      <c r="I85" s="1932"/>
      <c r="J85" s="1932"/>
      <c r="K85" s="1932"/>
      <c r="L85" s="1932"/>
      <c r="M85" s="1932"/>
      <c r="N85" s="1932"/>
      <c r="O85" s="1932"/>
      <c r="P85" s="1932"/>
      <c r="Q85" s="1932"/>
      <c r="R85" s="1932"/>
      <c r="S85" s="1932"/>
      <c r="T85" s="1932"/>
      <c r="U85" s="1932"/>
      <c r="V85" s="1932"/>
      <c r="W85" s="1932"/>
      <c r="X85" s="1932"/>
      <c r="Y85" s="1932"/>
      <c r="Z85" s="1932"/>
      <c r="AA85" s="1932"/>
      <c r="AB85" s="1932"/>
      <c r="AC85" s="1932"/>
      <c r="AD85" s="1932"/>
      <c r="AE85" s="1932"/>
      <c r="AF85" s="2097"/>
      <c r="AG85" s="1932"/>
      <c r="AH85" s="1932"/>
      <c r="AI85" s="1932"/>
      <c r="AJ85" s="1932"/>
      <c r="AK85" s="1932"/>
      <c r="AL85" s="1932"/>
      <c r="AM85" s="1932"/>
      <c r="AN85" s="1932"/>
      <c r="AO85" s="1932"/>
      <c r="AP85" s="1932"/>
      <c r="AQ85" s="1932"/>
      <c r="AR85" s="1932"/>
      <c r="AS85" s="1932"/>
      <c r="AT85" s="1932"/>
      <c r="AU85" s="1932"/>
      <c r="AV85" s="1932"/>
      <c r="AW85" s="1932"/>
      <c r="AX85" s="1932"/>
      <c r="AY85" s="1932"/>
      <c r="AZ85" s="1932"/>
      <c r="BA85" s="1932"/>
      <c r="BB85" s="1932"/>
      <c r="BC85" s="1932"/>
      <c r="BD85" s="1932"/>
      <c r="BE85" s="1932"/>
      <c r="BF85" s="1932"/>
      <c r="BG85" s="1932"/>
      <c r="BH85" s="1932"/>
      <c r="BI85" s="1932"/>
      <c r="BJ85" s="1932"/>
      <c r="BK85" s="1932"/>
      <c r="BL85" s="1932"/>
      <c r="BM85" s="1932"/>
      <c r="BN85" s="1932"/>
      <c r="BO85" s="1932"/>
      <c r="BP85" s="1932"/>
      <c r="BQ85" s="1932"/>
      <c r="BR85" s="1932"/>
      <c r="BS85" s="1932"/>
      <c r="BT85" s="1932"/>
      <c r="BU85" s="1932"/>
      <c r="BV85" s="1932"/>
      <c r="BW85" s="1932"/>
      <c r="BX85" s="1932"/>
      <c r="BY85" s="1932"/>
      <c r="BZ85" s="1932"/>
      <c r="CA85" s="1932"/>
      <c r="CB85" s="1932"/>
      <c r="CC85" s="1932"/>
      <c r="CD85" s="1932"/>
      <c r="CE85" s="960"/>
      <c r="CF85" s="960"/>
      <c r="CG85" s="1932"/>
      <c r="CH85" s="1932"/>
      <c r="CI85" s="1932"/>
      <c r="CJ85" s="1932"/>
      <c r="CK85" s="1932"/>
      <c r="CL85" s="1932"/>
      <c r="CM85" s="1932"/>
      <c r="CN85" s="1932"/>
      <c r="CO85" s="1932"/>
      <c r="CP85" s="1932"/>
      <c r="CQ85" s="1932"/>
      <c r="CR85" s="1932"/>
      <c r="GB85" s="1421"/>
      <c r="GC85" s="29"/>
      <c r="GD85" s="29"/>
      <c r="GE85" s="29"/>
      <c r="GF85" s="29"/>
      <c r="GG85" s="29"/>
      <c r="GH85" s="465"/>
      <c r="GI85" s="465"/>
      <c r="GJ85" s="465"/>
      <c r="GK85" s="465"/>
      <c r="GL85" s="158"/>
      <c r="GM85" s="158"/>
      <c r="GN85" s="2112"/>
      <c r="GO85" s="1932"/>
      <c r="GP85" s="1932"/>
      <c r="GQ85" s="1932"/>
      <c r="GR85" s="1932"/>
    </row>
    <row r="86" customFormat="false" ht="12" hidden="false" customHeight="false" outlineLevel="0" collapsed="false">
      <c r="C86" s="1932"/>
      <c r="I86" s="1932"/>
      <c r="J86" s="1932"/>
      <c r="K86" s="1932"/>
      <c r="L86" s="1932"/>
      <c r="M86" s="1932"/>
      <c r="N86" s="1932"/>
      <c r="O86" s="1932"/>
      <c r="P86" s="1932"/>
      <c r="Q86" s="1932"/>
      <c r="R86" s="1932"/>
      <c r="S86" s="1932"/>
      <c r="T86" s="1932"/>
      <c r="U86" s="1932"/>
      <c r="V86" s="1932"/>
      <c r="W86" s="1932"/>
      <c r="X86" s="1932"/>
      <c r="Y86" s="1932"/>
      <c r="Z86" s="1932"/>
      <c r="AA86" s="1932"/>
      <c r="AB86" s="1932"/>
      <c r="AC86" s="1932"/>
      <c r="AD86" s="1932"/>
      <c r="AE86" s="1932"/>
      <c r="AF86" s="2097"/>
      <c r="AG86" s="1932"/>
      <c r="AH86" s="1932"/>
      <c r="AI86" s="1932"/>
      <c r="AJ86" s="1932"/>
      <c r="AK86" s="1932"/>
      <c r="AL86" s="1932"/>
      <c r="AM86" s="1932"/>
      <c r="AN86" s="1932"/>
      <c r="AO86" s="1932"/>
      <c r="AP86" s="1932"/>
      <c r="AQ86" s="1932"/>
      <c r="AR86" s="1932"/>
      <c r="AS86" s="1932"/>
      <c r="AT86" s="1932"/>
      <c r="AU86" s="1932"/>
      <c r="AV86" s="1932"/>
      <c r="AW86" s="1932"/>
      <c r="AX86" s="1932"/>
      <c r="AY86" s="1932"/>
      <c r="AZ86" s="1932"/>
      <c r="BA86" s="1932"/>
      <c r="BB86" s="1932"/>
      <c r="BC86" s="1932"/>
      <c r="BD86" s="1932"/>
      <c r="BE86" s="1932"/>
      <c r="BF86" s="1932"/>
      <c r="BG86" s="1932"/>
      <c r="BH86" s="1932"/>
      <c r="BI86" s="1932"/>
      <c r="BJ86" s="1932"/>
      <c r="BK86" s="1932"/>
      <c r="BL86" s="1932"/>
      <c r="BM86" s="1932"/>
      <c r="BN86" s="1932"/>
      <c r="BO86" s="1932"/>
      <c r="BP86" s="1932"/>
      <c r="BQ86" s="1932"/>
      <c r="BR86" s="1932"/>
      <c r="BS86" s="1932"/>
      <c r="BT86" s="1932"/>
      <c r="BU86" s="1932"/>
      <c r="BV86" s="1932"/>
      <c r="BW86" s="1932"/>
      <c r="BX86" s="1932"/>
      <c r="BY86" s="1932"/>
      <c r="BZ86" s="1932"/>
      <c r="CA86" s="1932"/>
      <c r="CB86" s="1932"/>
      <c r="CC86" s="1932"/>
      <c r="CD86" s="1932"/>
      <c r="CE86" s="960"/>
      <c r="CF86" s="960"/>
      <c r="CG86" s="1932"/>
      <c r="CH86" s="1932"/>
      <c r="CI86" s="1932"/>
      <c r="CJ86" s="1932"/>
      <c r="CK86" s="1932"/>
      <c r="CL86" s="1932"/>
      <c r="CM86" s="1932"/>
      <c r="CN86" s="1932"/>
      <c r="CO86" s="1932"/>
      <c r="CP86" s="1932"/>
      <c r="CQ86" s="1932"/>
      <c r="CR86" s="1932"/>
      <c r="GB86" s="1421"/>
      <c r="GC86" s="29"/>
      <c r="GD86" s="29"/>
      <c r="GE86" s="29"/>
      <c r="GF86" s="29"/>
      <c r="GG86" s="29"/>
      <c r="GH86" s="465"/>
      <c r="GI86" s="465"/>
      <c r="GJ86" s="465"/>
      <c r="GK86" s="465"/>
      <c r="GL86" s="158"/>
      <c r="GM86" s="158"/>
      <c r="GN86" s="2112"/>
      <c r="GO86" s="1932"/>
      <c r="GP86" s="1932"/>
      <c r="GQ86" s="1932"/>
      <c r="GR86" s="1932"/>
    </row>
    <row r="87" customFormat="false" ht="12" hidden="false" customHeight="false" outlineLevel="0" collapsed="false">
      <c r="C87" s="1932"/>
      <c r="I87" s="1932"/>
      <c r="J87" s="1932"/>
      <c r="K87" s="1932"/>
      <c r="L87" s="1932"/>
      <c r="M87" s="1932"/>
      <c r="N87" s="1932"/>
      <c r="O87" s="1932"/>
      <c r="P87" s="1932"/>
      <c r="Q87" s="1932"/>
      <c r="R87" s="1932"/>
      <c r="S87" s="1932"/>
      <c r="T87" s="1932"/>
      <c r="U87" s="1932"/>
      <c r="V87" s="1932"/>
      <c r="W87" s="1932"/>
      <c r="X87" s="1932"/>
      <c r="Y87" s="1932"/>
      <c r="Z87" s="1932"/>
      <c r="AA87" s="1932"/>
      <c r="AB87" s="1932"/>
      <c r="AC87" s="1932"/>
      <c r="AD87" s="1932"/>
      <c r="AE87" s="1932"/>
      <c r="AF87" s="2097"/>
      <c r="AG87" s="1932"/>
      <c r="AH87" s="1932"/>
      <c r="AI87" s="1932"/>
      <c r="AJ87" s="1932"/>
      <c r="AK87" s="1932"/>
      <c r="AL87" s="1932"/>
      <c r="AM87" s="1932"/>
      <c r="AN87" s="1932"/>
      <c r="AO87" s="1932"/>
      <c r="AP87" s="1932"/>
      <c r="AQ87" s="1932"/>
      <c r="AR87" s="1932"/>
      <c r="AS87" s="1932"/>
      <c r="AT87" s="1932"/>
      <c r="AU87" s="1932"/>
      <c r="AV87" s="1932"/>
      <c r="AW87" s="1932"/>
      <c r="AX87" s="1932"/>
      <c r="AY87" s="1932"/>
      <c r="AZ87" s="1932"/>
      <c r="BA87" s="1932"/>
      <c r="BB87" s="1932"/>
      <c r="BC87" s="1932"/>
      <c r="BD87" s="1932"/>
      <c r="BE87" s="1932"/>
      <c r="BF87" s="1932"/>
      <c r="BG87" s="1932"/>
      <c r="BH87" s="1932"/>
      <c r="BI87" s="1932"/>
      <c r="BJ87" s="1932"/>
      <c r="BK87" s="1932"/>
      <c r="BL87" s="1932"/>
      <c r="BM87" s="1932"/>
      <c r="BN87" s="1932"/>
      <c r="BO87" s="1932"/>
      <c r="BP87" s="1932"/>
      <c r="BQ87" s="1932"/>
      <c r="BR87" s="1932"/>
      <c r="BS87" s="1932"/>
      <c r="BT87" s="1932"/>
      <c r="BU87" s="1932"/>
      <c r="BV87" s="1932"/>
      <c r="BW87" s="1932"/>
      <c r="BX87" s="1932"/>
      <c r="BY87" s="1932"/>
      <c r="BZ87" s="1932"/>
      <c r="CA87" s="1932"/>
      <c r="CB87" s="1932"/>
      <c r="CC87" s="1932"/>
      <c r="CD87" s="1932"/>
      <c r="CE87" s="960"/>
      <c r="CF87" s="960"/>
      <c r="CG87" s="1932"/>
      <c r="CH87" s="1932"/>
      <c r="CI87" s="1932"/>
      <c r="CJ87" s="1932"/>
      <c r="CK87" s="1932"/>
      <c r="CL87" s="1932"/>
      <c r="CM87" s="1932"/>
      <c r="CN87" s="1932"/>
      <c r="CO87" s="1932"/>
      <c r="CP87" s="1932"/>
      <c r="CQ87" s="1932"/>
      <c r="CR87" s="1932"/>
      <c r="GB87" s="1421"/>
      <c r="GC87" s="29"/>
      <c r="GD87" s="29"/>
      <c r="GE87" s="29"/>
      <c r="GF87" s="29"/>
      <c r="GG87" s="29"/>
      <c r="GH87" s="465"/>
      <c r="GI87" s="465"/>
      <c r="GJ87" s="465"/>
      <c r="GK87" s="465"/>
      <c r="GL87" s="158"/>
      <c r="GM87" s="158"/>
      <c r="GN87" s="2112"/>
      <c r="GO87" s="1932"/>
      <c r="GP87" s="1932"/>
      <c r="GQ87" s="1932"/>
      <c r="GR87" s="1932"/>
    </row>
    <row r="88" customFormat="false" ht="12" hidden="false" customHeight="false" outlineLevel="0" collapsed="false">
      <c r="C88" s="1932"/>
      <c r="I88" s="1932"/>
      <c r="J88" s="1932"/>
      <c r="K88" s="1932"/>
      <c r="L88" s="1932"/>
      <c r="M88" s="1932"/>
      <c r="N88" s="1932"/>
      <c r="O88" s="1932"/>
      <c r="P88" s="1932"/>
      <c r="Q88" s="1932"/>
      <c r="R88" s="1932"/>
      <c r="S88" s="1932"/>
      <c r="T88" s="1932"/>
      <c r="U88" s="1932"/>
      <c r="V88" s="1932"/>
      <c r="W88" s="1932"/>
      <c r="X88" s="1932"/>
      <c r="Y88" s="1932"/>
      <c r="Z88" s="1932"/>
      <c r="AA88" s="1932"/>
      <c r="AB88" s="1932"/>
      <c r="AC88" s="1932"/>
      <c r="AD88" s="1932"/>
      <c r="AE88" s="1932"/>
      <c r="AF88" s="2097"/>
      <c r="AG88" s="1932"/>
      <c r="AH88" s="1932"/>
      <c r="AI88" s="1932"/>
      <c r="AJ88" s="1932"/>
      <c r="AK88" s="1932"/>
      <c r="AL88" s="1932"/>
      <c r="AM88" s="1932"/>
      <c r="AN88" s="1932"/>
      <c r="AO88" s="1932"/>
      <c r="AP88" s="1932"/>
      <c r="AQ88" s="1932"/>
      <c r="AR88" s="1932"/>
      <c r="AS88" s="1932"/>
      <c r="AT88" s="1932"/>
      <c r="AU88" s="1932"/>
      <c r="AV88" s="1932"/>
      <c r="AW88" s="1932"/>
      <c r="AX88" s="1932"/>
      <c r="AY88" s="1932"/>
      <c r="AZ88" s="1932"/>
      <c r="BA88" s="1932"/>
      <c r="BB88" s="1932"/>
      <c r="BC88" s="1932"/>
      <c r="BD88" s="1932"/>
      <c r="BE88" s="1932"/>
      <c r="BF88" s="1932"/>
      <c r="BG88" s="1932"/>
      <c r="BH88" s="1932"/>
      <c r="BI88" s="1932"/>
      <c r="BJ88" s="1932"/>
      <c r="BK88" s="1932"/>
      <c r="BL88" s="1932"/>
      <c r="BM88" s="1932"/>
      <c r="BN88" s="1932"/>
      <c r="BO88" s="1932"/>
      <c r="BP88" s="1932"/>
      <c r="BQ88" s="1932"/>
      <c r="BR88" s="1932"/>
      <c r="BS88" s="1932"/>
      <c r="BT88" s="1932"/>
      <c r="BU88" s="1932"/>
      <c r="BV88" s="1932"/>
      <c r="BW88" s="1932"/>
      <c r="BX88" s="1932"/>
      <c r="BY88" s="1932"/>
      <c r="BZ88" s="1932"/>
      <c r="CA88" s="1932"/>
      <c r="CB88" s="1932"/>
      <c r="CC88" s="1932"/>
      <c r="CD88" s="1932"/>
      <c r="CE88" s="960"/>
      <c r="CF88" s="960"/>
      <c r="CG88" s="1932"/>
      <c r="CH88" s="1932"/>
      <c r="CI88" s="1932"/>
      <c r="CJ88" s="1932"/>
      <c r="CK88" s="1932"/>
      <c r="CL88" s="1932"/>
      <c r="CM88" s="1932"/>
      <c r="CN88" s="1932"/>
      <c r="CO88" s="1932"/>
      <c r="CP88" s="1932"/>
      <c r="CQ88" s="1932"/>
      <c r="CR88" s="1932"/>
    </row>
    <row r="89" customFormat="false" ht="12" hidden="false" customHeight="false" outlineLevel="0" collapsed="false">
      <c r="C89" s="1932"/>
      <c r="I89" s="1932"/>
      <c r="J89" s="1932"/>
      <c r="K89" s="1932"/>
      <c r="L89" s="1932"/>
      <c r="M89" s="1932"/>
      <c r="N89" s="1932"/>
      <c r="O89" s="1932"/>
      <c r="P89" s="1932"/>
      <c r="Q89" s="1932"/>
      <c r="R89" s="1932"/>
      <c r="S89" s="1932"/>
      <c r="T89" s="1932"/>
      <c r="U89" s="1932"/>
      <c r="V89" s="1932"/>
      <c r="W89" s="1932"/>
      <c r="X89" s="1932"/>
      <c r="Y89" s="1932"/>
      <c r="Z89" s="1932"/>
      <c r="AA89" s="1932"/>
      <c r="AB89" s="1932"/>
      <c r="AC89" s="1932"/>
      <c r="AD89" s="1932"/>
      <c r="AE89" s="1932"/>
      <c r="AF89" s="2097"/>
      <c r="AG89" s="1932"/>
      <c r="AH89" s="1932"/>
      <c r="AI89" s="1932"/>
      <c r="AJ89" s="1932"/>
      <c r="AK89" s="1932"/>
      <c r="AL89" s="1932"/>
      <c r="AM89" s="1932"/>
      <c r="AN89" s="1932"/>
      <c r="AO89" s="1932"/>
      <c r="AP89" s="1932"/>
      <c r="AQ89" s="1932"/>
      <c r="AR89" s="1932"/>
      <c r="AS89" s="1932"/>
      <c r="AT89" s="1932"/>
      <c r="AU89" s="1932"/>
      <c r="AV89" s="1932"/>
      <c r="AW89" s="1932"/>
      <c r="AX89" s="1932"/>
      <c r="AY89" s="1932"/>
      <c r="AZ89" s="1932"/>
      <c r="BA89" s="1932"/>
      <c r="BB89" s="1932"/>
      <c r="BC89" s="1932"/>
      <c r="BD89" s="1932"/>
      <c r="BE89" s="1932"/>
      <c r="BF89" s="1932"/>
      <c r="BG89" s="1932"/>
      <c r="BH89" s="1932"/>
      <c r="BI89" s="1932"/>
      <c r="BJ89" s="1932"/>
      <c r="BK89" s="1932"/>
      <c r="BL89" s="1932"/>
      <c r="BM89" s="1932"/>
      <c r="BN89" s="1932"/>
      <c r="BO89" s="1932"/>
      <c r="BP89" s="1932"/>
      <c r="BQ89" s="1932"/>
      <c r="BR89" s="1932"/>
      <c r="BS89" s="1932"/>
      <c r="BT89" s="1932"/>
      <c r="BU89" s="1932"/>
      <c r="BV89" s="1932"/>
      <c r="BW89" s="1932"/>
      <c r="BX89" s="1932"/>
      <c r="BY89" s="1932"/>
      <c r="BZ89" s="1932"/>
      <c r="CA89" s="1932"/>
      <c r="CB89" s="1932"/>
      <c r="CC89" s="1932"/>
      <c r="CD89" s="1932"/>
      <c r="CE89" s="960"/>
      <c r="CF89" s="960"/>
      <c r="CG89" s="1932"/>
      <c r="CH89" s="1932"/>
      <c r="CI89" s="1932"/>
      <c r="CJ89" s="1932"/>
      <c r="CK89" s="1932"/>
      <c r="CL89" s="1932"/>
      <c r="CM89" s="1932"/>
      <c r="CN89" s="1932"/>
      <c r="CO89" s="1932"/>
      <c r="CP89" s="1932"/>
      <c r="CQ89" s="1932"/>
      <c r="CR89" s="1932"/>
    </row>
    <row r="90" customFormat="false" ht="12" hidden="false" customHeight="false" outlineLevel="0" collapsed="false">
      <c r="C90" s="1932"/>
      <c r="I90" s="1932"/>
      <c r="J90" s="1932"/>
      <c r="K90" s="1932"/>
      <c r="L90" s="1932"/>
      <c r="M90" s="1932"/>
      <c r="N90" s="1932"/>
      <c r="O90" s="1932"/>
      <c r="P90" s="1932"/>
      <c r="Q90" s="1932"/>
      <c r="R90" s="1932"/>
      <c r="S90" s="1932"/>
      <c r="T90" s="1932"/>
      <c r="U90" s="1932"/>
      <c r="V90" s="1932"/>
      <c r="W90" s="1932"/>
      <c r="X90" s="1932"/>
      <c r="Y90" s="1932"/>
      <c r="Z90" s="1932"/>
      <c r="AA90" s="1932"/>
      <c r="AB90" s="1932"/>
      <c r="AC90" s="1932"/>
      <c r="AD90" s="1932"/>
      <c r="AE90" s="1932"/>
      <c r="AF90" s="2097"/>
      <c r="AG90" s="1932"/>
      <c r="AH90" s="1932"/>
      <c r="AI90" s="1932"/>
      <c r="AJ90" s="1932"/>
      <c r="AK90" s="1932"/>
      <c r="AL90" s="1932"/>
      <c r="AM90" s="1932"/>
      <c r="AN90" s="1932"/>
      <c r="AO90" s="1932"/>
      <c r="AP90" s="1932"/>
      <c r="AQ90" s="1932"/>
      <c r="AR90" s="1932"/>
      <c r="AS90" s="1932"/>
      <c r="AT90" s="1932"/>
      <c r="AU90" s="1932"/>
      <c r="AV90" s="1932"/>
      <c r="AW90" s="1932"/>
      <c r="AX90" s="1932"/>
      <c r="AY90" s="1932"/>
      <c r="AZ90" s="1932"/>
      <c r="BA90" s="1932"/>
      <c r="BB90" s="1932"/>
      <c r="BC90" s="1932"/>
      <c r="BD90" s="1932"/>
      <c r="BE90" s="1932"/>
      <c r="BF90" s="1932"/>
      <c r="BG90" s="1932"/>
      <c r="BH90" s="1932"/>
      <c r="BI90" s="1932"/>
      <c r="BJ90" s="1932"/>
      <c r="BK90" s="1932"/>
      <c r="BL90" s="1932"/>
      <c r="BM90" s="1932"/>
      <c r="BN90" s="1932"/>
      <c r="BO90" s="1932"/>
      <c r="BP90" s="1932"/>
      <c r="BQ90" s="1932"/>
      <c r="BR90" s="1932"/>
      <c r="BS90" s="1932"/>
      <c r="BT90" s="1932"/>
      <c r="BU90" s="1932"/>
      <c r="BV90" s="1932"/>
      <c r="BW90" s="1932"/>
      <c r="BX90" s="1932"/>
      <c r="BY90" s="1932"/>
      <c r="BZ90" s="1932"/>
      <c r="CA90" s="1932"/>
      <c r="CB90" s="1932"/>
      <c r="CC90" s="1932"/>
      <c r="CD90" s="1932"/>
      <c r="CE90" s="960"/>
      <c r="CF90" s="960"/>
      <c r="CG90" s="1932"/>
      <c r="CH90" s="1932"/>
      <c r="CI90" s="1932"/>
      <c r="CJ90" s="1932"/>
      <c r="CK90" s="1932"/>
      <c r="CL90" s="1932"/>
      <c r="CM90" s="1932"/>
      <c r="CN90" s="1932"/>
      <c r="CO90" s="1932"/>
      <c r="CP90" s="1932"/>
      <c r="CQ90" s="1932"/>
      <c r="CR90" s="1932"/>
    </row>
    <row r="91" customFormat="false" ht="12" hidden="false" customHeight="false" outlineLevel="0" collapsed="false">
      <c r="C91" s="1932"/>
      <c r="I91" s="1932"/>
      <c r="J91" s="1932"/>
      <c r="K91" s="1932"/>
      <c r="L91" s="1932"/>
      <c r="M91" s="1932"/>
      <c r="N91" s="1932"/>
      <c r="O91" s="1932"/>
      <c r="P91" s="1932"/>
      <c r="Q91" s="1932"/>
      <c r="R91" s="1932"/>
      <c r="S91" s="1932"/>
      <c r="T91" s="1932"/>
      <c r="U91" s="1932"/>
      <c r="V91" s="1932"/>
      <c r="W91" s="1932"/>
      <c r="X91" s="1932"/>
      <c r="Y91" s="1932"/>
      <c r="Z91" s="1932"/>
      <c r="AA91" s="1932"/>
      <c r="AB91" s="1932"/>
      <c r="AC91" s="1932"/>
      <c r="AD91" s="1932"/>
      <c r="AE91" s="1932"/>
      <c r="AF91" s="2097"/>
      <c r="AG91" s="1932"/>
      <c r="AH91" s="1932"/>
      <c r="AI91" s="1932"/>
      <c r="AJ91" s="1932"/>
      <c r="AK91" s="1932"/>
      <c r="AL91" s="1932"/>
      <c r="AM91" s="1932"/>
      <c r="AN91" s="1932"/>
      <c r="AO91" s="1932"/>
      <c r="AP91" s="1932"/>
      <c r="AQ91" s="1932"/>
      <c r="AR91" s="1932"/>
      <c r="AS91" s="1932"/>
      <c r="AT91" s="1932"/>
      <c r="AU91" s="1932"/>
      <c r="AV91" s="1932"/>
      <c r="AW91" s="1932"/>
      <c r="AX91" s="1932"/>
      <c r="AY91" s="1932"/>
      <c r="AZ91" s="1932"/>
      <c r="BA91" s="1932"/>
      <c r="BB91" s="1932"/>
      <c r="BC91" s="1932"/>
      <c r="BD91" s="1932"/>
      <c r="BE91" s="1932"/>
      <c r="BF91" s="1932"/>
      <c r="BG91" s="1932"/>
      <c r="BH91" s="1932"/>
      <c r="BI91" s="1932"/>
      <c r="BJ91" s="1932"/>
      <c r="BK91" s="1932"/>
      <c r="BL91" s="1932"/>
      <c r="BM91" s="1932"/>
      <c r="BN91" s="1932"/>
      <c r="BO91" s="1932"/>
      <c r="BP91" s="1932"/>
      <c r="BQ91" s="1932"/>
      <c r="BR91" s="1932"/>
      <c r="BS91" s="1932"/>
      <c r="BT91" s="1932"/>
      <c r="BU91" s="1932"/>
      <c r="BV91" s="1932"/>
      <c r="BW91" s="1932"/>
      <c r="BX91" s="1932"/>
      <c r="BY91" s="1932"/>
      <c r="BZ91" s="1932"/>
      <c r="CA91" s="1932"/>
      <c r="CB91" s="1932"/>
      <c r="CC91" s="1932"/>
      <c r="CD91" s="1932"/>
      <c r="CE91" s="960"/>
      <c r="CF91" s="960"/>
      <c r="CG91" s="1932"/>
      <c r="CH91" s="1932"/>
      <c r="CI91" s="1932"/>
      <c r="CJ91" s="1932"/>
      <c r="CK91" s="1932"/>
      <c r="CL91" s="1932"/>
      <c r="CM91" s="1932"/>
      <c r="CN91" s="1932"/>
      <c r="CO91" s="1932"/>
      <c r="CP91" s="1932"/>
      <c r="CQ91" s="1932"/>
      <c r="CR91" s="1932"/>
    </row>
    <row r="92" customFormat="false" ht="12" hidden="false" customHeight="false" outlineLevel="0" collapsed="false">
      <c r="C92" s="1932"/>
      <c r="I92" s="1932"/>
      <c r="J92" s="1932"/>
      <c r="K92" s="1932"/>
      <c r="L92" s="1932"/>
      <c r="M92" s="1932"/>
      <c r="N92" s="1932"/>
      <c r="O92" s="1932"/>
      <c r="P92" s="1932"/>
      <c r="Q92" s="1932"/>
      <c r="R92" s="1932"/>
      <c r="S92" s="1932"/>
      <c r="T92" s="1932"/>
      <c r="U92" s="1932"/>
      <c r="V92" s="1932"/>
      <c r="W92" s="1932"/>
      <c r="X92" s="1932"/>
      <c r="Y92" s="1932"/>
      <c r="Z92" s="1932"/>
      <c r="AA92" s="1932"/>
      <c r="AB92" s="1932"/>
      <c r="AC92" s="1932"/>
      <c r="AD92" s="1932"/>
      <c r="AE92" s="1932"/>
      <c r="AF92" s="2097"/>
      <c r="AG92" s="1932"/>
      <c r="AH92" s="1932"/>
      <c r="AI92" s="1932"/>
      <c r="AJ92" s="1932"/>
      <c r="AK92" s="1932"/>
      <c r="AL92" s="1932"/>
      <c r="AM92" s="1932"/>
      <c r="AN92" s="1932"/>
      <c r="AO92" s="1932"/>
      <c r="AP92" s="1932"/>
      <c r="AQ92" s="1932"/>
      <c r="AR92" s="1932"/>
      <c r="AS92" s="1932"/>
      <c r="AT92" s="1932"/>
      <c r="AU92" s="1932"/>
      <c r="AV92" s="1932"/>
      <c r="AW92" s="1932"/>
      <c r="AX92" s="1932"/>
      <c r="AY92" s="1932"/>
      <c r="AZ92" s="1932"/>
      <c r="BA92" s="1932"/>
      <c r="BB92" s="1932"/>
      <c r="BC92" s="1932"/>
      <c r="BD92" s="1932"/>
      <c r="BE92" s="1932"/>
      <c r="BF92" s="1932"/>
      <c r="BG92" s="1932"/>
      <c r="BH92" s="1932"/>
      <c r="BI92" s="1932"/>
      <c r="BJ92" s="1932"/>
      <c r="BK92" s="1932"/>
      <c r="BL92" s="1932"/>
      <c r="BM92" s="1932"/>
      <c r="BN92" s="1932"/>
      <c r="BO92" s="1932"/>
      <c r="BP92" s="1932"/>
      <c r="BQ92" s="1932"/>
      <c r="BR92" s="1932"/>
      <c r="BS92" s="1932"/>
      <c r="BT92" s="1932"/>
      <c r="BU92" s="1932"/>
      <c r="BV92" s="1932"/>
      <c r="BW92" s="1932"/>
      <c r="BX92" s="1932"/>
      <c r="BY92" s="1932"/>
      <c r="BZ92" s="1932"/>
      <c r="CA92" s="1932"/>
      <c r="CB92" s="1932"/>
      <c r="CC92" s="1932"/>
      <c r="CD92" s="1932"/>
      <c r="CE92" s="960"/>
      <c r="CF92" s="960"/>
      <c r="CG92" s="1932"/>
      <c r="CH92" s="1932"/>
      <c r="CI92" s="1932"/>
      <c r="CJ92" s="1932"/>
      <c r="CK92" s="1932"/>
      <c r="CL92" s="1932"/>
      <c r="CM92" s="1932"/>
      <c r="CN92" s="1932"/>
      <c r="CO92" s="1932"/>
      <c r="CP92" s="1932"/>
      <c r="CQ92" s="1932"/>
      <c r="CR92" s="1932"/>
    </row>
    <row r="93" customFormat="false" ht="12" hidden="false" customHeight="false" outlineLevel="0" collapsed="false">
      <c r="C93" s="1932"/>
      <c r="I93" s="1932"/>
      <c r="J93" s="1932"/>
      <c r="K93" s="1932"/>
      <c r="L93" s="1932"/>
      <c r="M93" s="1932"/>
      <c r="N93" s="1932"/>
      <c r="O93" s="1932"/>
      <c r="P93" s="1932"/>
      <c r="Q93" s="1932"/>
      <c r="R93" s="1932"/>
      <c r="S93" s="1932"/>
      <c r="T93" s="1932"/>
      <c r="U93" s="1932"/>
      <c r="V93" s="1932"/>
      <c r="W93" s="1932"/>
      <c r="X93" s="1932"/>
      <c r="Y93" s="1932"/>
      <c r="Z93" s="1932"/>
      <c r="AA93" s="1932"/>
      <c r="AB93" s="1932"/>
      <c r="AC93" s="1932"/>
      <c r="AD93" s="1932"/>
      <c r="AE93" s="1932"/>
      <c r="AF93" s="2097"/>
      <c r="AG93" s="1932"/>
      <c r="AH93" s="1932"/>
      <c r="AI93" s="1932"/>
      <c r="AJ93" s="1932"/>
      <c r="AK93" s="1932"/>
      <c r="AL93" s="1932"/>
      <c r="AM93" s="1932"/>
      <c r="AN93" s="1932"/>
      <c r="AO93" s="1932"/>
      <c r="AP93" s="1932"/>
      <c r="AQ93" s="1932"/>
      <c r="AR93" s="1932"/>
      <c r="AS93" s="1932"/>
      <c r="AT93" s="1932"/>
      <c r="AU93" s="1932"/>
      <c r="AV93" s="1932"/>
      <c r="AW93" s="1932"/>
      <c r="AX93" s="1932"/>
      <c r="AY93" s="1932"/>
      <c r="AZ93" s="1932"/>
      <c r="BA93" s="1932"/>
      <c r="BB93" s="1932"/>
      <c r="BC93" s="1932"/>
      <c r="BD93" s="1932"/>
      <c r="BE93" s="1932"/>
      <c r="BF93" s="1932"/>
      <c r="BG93" s="1932"/>
      <c r="BH93" s="1932"/>
      <c r="BI93" s="1932"/>
      <c r="BJ93" s="1932"/>
      <c r="BK93" s="1932"/>
      <c r="BL93" s="1932"/>
      <c r="BM93" s="1932"/>
      <c r="BN93" s="1932"/>
      <c r="BO93" s="1932"/>
      <c r="BP93" s="1932"/>
      <c r="BQ93" s="1932"/>
      <c r="BR93" s="1932"/>
      <c r="BS93" s="1932"/>
      <c r="BT93" s="1932"/>
      <c r="BU93" s="1932"/>
      <c r="BV93" s="1932"/>
      <c r="BW93" s="1932"/>
      <c r="BX93" s="1932"/>
      <c r="BY93" s="1932"/>
      <c r="BZ93" s="1932"/>
      <c r="CA93" s="1932"/>
      <c r="CB93" s="1932"/>
      <c r="CC93" s="1932"/>
      <c r="CD93" s="1932"/>
      <c r="CE93" s="960"/>
      <c r="CF93" s="960"/>
      <c r="CG93" s="1932"/>
      <c r="CH93" s="1932"/>
      <c r="CI93" s="1932"/>
      <c r="CJ93" s="1932"/>
      <c r="CK93" s="1932"/>
      <c r="CL93" s="1932"/>
      <c r="CM93" s="1932"/>
      <c r="CN93" s="1932"/>
      <c r="CO93" s="1932"/>
      <c r="CP93" s="1932"/>
      <c r="CQ93" s="1932"/>
      <c r="CR93" s="1932"/>
    </row>
    <row r="94" customFormat="false" ht="12" hidden="false" customHeight="false" outlineLevel="0" collapsed="false">
      <c r="C94" s="1932"/>
      <c r="I94" s="1932"/>
      <c r="J94" s="1932"/>
      <c r="K94" s="1932"/>
      <c r="L94" s="1932"/>
      <c r="M94" s="1932"/>
      <c r="N94" s="1932"/>
      <c r="O94" s="1932"/>
      <c r="P94" s="1932"/>
      <c r="Q94" s="1932"/>
      <c r="R94" s="1932"/>
      <c r="S94" s="1932"/>
      <c r="T94" s="1932"/>
      <c r="U94" s="1932"/>
      <c r="V94" s="1932"/>
      <c r="W94" s="1932"/>
      <c r="X94" s="1932"/>
      <c r="Y94" s="1932"/>
      <c r="Z94" s="1932"/>
      <c r="AA94" s="1932"/>
      <c r="AB94" s="1932"/>
      <c r="AC94" s="1932"/>
      <c r="AD94" s="1932"/>
      <c r="AE94" s="1932"/>
      <c r="AF94" s="2097"/>
      <c r="AG94" s="1932"/>
      <c r="AH94" s="1932"/>
      <c r="AI94" s="1932"/>
      <c r="AJ94" s="1932"/>
      <c r="AK94" s="1932"/>
      <c r="AL94" s="1932"/>
      <c r="AM94" s="1932"/>
      <c r="AN94" s="1932"/>
      <c r="AO94" s="1932"/>
      <c r="AP94" s="1932"/>
      <c r="AQ94" s="1932"/>
      <c r="AR94" s="1932"/>
      <c r="AS94" s="1932"/>
      <c r="AT94" s="1932"/>
      <c r="AU94" s="1932"/>
      <c r="AV94" s="1932"/>
      <c r="AW94" s="1932"/>
      <c r="AX94" s="1932"/>
      <c r="AY94" s="1932"/>
      <c r="AZ94" s="1932"/>
      <c r="BA94" s="1932"/>
      <c r="BB94" s="1932"/>
      <c r="BC94" s="1932"/>
      <c r="BD94" s="1932"/>
      <c r="BE94" s="1932"/>
      <c r="BF94" s="1932"/>
      <c r="BG94" s="1932"/>
      <c r="BH94" s="1932"/>
      <c r="BI94" s="1932"/>
      <c r="BJ94" s="1932"/>
      <c r="BK94" s="1932"/>
      <c r="BL94" s="1932"/>
      <c r="BM94" s="1932"/>
      <c r="BN94" s="1932"/>
      <c r="BO94" s="1932"/>
      <c r="BP94" s="1932"/>
      <c r="BQ94" s="1932"/>
      <c r="BR94" s="1932"/>
      <c r="BS94" s="1932"/>
      <c r="BT94" s="1932"/>
      <c r="BU94" s="1932"/>
      <c r="BV94" s="1932"/>
      <c r="BW94" s="1932"/>
      <c r="BX94" s="1932"/>
      <c r="BY94" s="1932"/>
      <c r="BZ94" s="1932"/>
      <c r="CA94" s="1932"/>
      <c r="CB94" s="1932"/>
      <c r="CC94" s="1932"/>
      <c r="CD94" s="1932"/>
      <c r="CE94" s="960"/>
      <c r="CF94" s="960"/>
      <c r="CG94" s="1932"/>
      <c r="CH94" s="1932"/>
      <c r="CI94" s="1932"/>
      <c r="CJ94" s="1932"/>
      <c r="CK94" s="1932"/>
      <c r="CL94" s="1932"/>
      <c r="CM94" s="1932"/>
      <c r="CN94" s="1932"/>
      <c r="CO94" s="1932"/>
      <c r="CP94" s="1932"/>
      <c r="CQ94" s="1932"/>
      <c r="CR94" s="1932"/>
    </row>
    <row r="95" customFormat="false" ht="12" hidden="false" customHeight="false" outlineLevel="0" collapsed="false">
      <c r="C95" s="1932"/>
      <c r="I95" s="1932"/>
      <c r="J95" s="1932"/>
      <c r="K95" s="1932"/>
      <c r="L95" s="1932"/>
      <c r="M95" s="1932"/>
      <c r="N95" s="1932"/>
      <c r="O95" s="1932"/>
      <c r="P95" s="1932"/>
      <c r="Q95" s="1932"/>
      <c r="R95" s="1932"/>
      <c r="S95" s="1932"/>
      <c r="T95" s="1932"/>
      <c r="U95" s="1932"/>
      <c r="V95" s="1932"/>
      <c r="W95" s="1932"/>
      <c r="X95" s="1932"/>
      <c r="Y95" s="1932"/>
      <c r="Z95" s="1932"/>
      <c r="AA95" s="1932"/>
      <c r="AB95" s="1932"/>
      <c r="AC95" s="1932"/>
      <c r="AD95" s="1932"/>
      <c r="AE95" s="1932"/>
      <c r="AF95" s="2097"/>
      <c r="AG95" s="1932"/>
      <c r="AH95" s="1932"/>
      <c r="AI95" s="1932"/>
      <c r="AJ95" s="1932"/>
      <c r="AK95" s="1932"/>
      <c r="AL95" s="1932"/>
      <c r="AM95" s="1932"/>
      <c r="AN95" s="1932"/>
      <c r="AO95" s="1932"/>
      <c r="AP95" s="1932"/>
      <c r="AQ95" s="1932"/>
      <c r="AR95" s="1932"/>
      <c r="AS95" s="1932"/>
      <c r="AT95" s="1932"/>
      <c r="AU95" s="1932"/>
      <c r="AV95" s="1932"/>
      <c r="AW95" s="1932"/>
      <c r="AX95" s="1932"/>
      <c r="AY95" s="1932"/>
      <c r="AZ95" s="1932"/>
      <c r="BA95" s="1932"/>
      <c r="BB95" s="1932"/>
      <c r="BC95" s="1932"/>
      <c r="BD95" s="1932"/>
      <c r="BE95" s="1932"/>
      <c r="BF95" s="1932"/>
      <c r="BG95" s="1932"/>
      <c r="BH95" s="1932"/>
      <c r="BI95" s="1932"/>
      <c r="BJ95" s="1932"/>
      <c r="BK95" s="1932"/>
      <c r="BL95" s="1932"/>
      <c r="BM95" s="1932"/>
      <c r="BN95" s="1932"/>
      <c r="BO95" s="1932"/>
      <c r="BP95" s="1932"/>
      <c r="BQ95" s="1932"/>
      <c r="BR95" s="1932"/>
      <c r="BS95" s="1932"/>
      <c r="BT95" s="1932"/>
      <c r="BU95" s="1932"/>
      <c r="BV95" s="1932"/>
      <c r="BW95" s="1932"/>
      <c r="BX95" s="1932"/>
      <c r="BY95" s="1932"/>
      <c r="BZ95" s="1932"/>
      <c r="CA95" s="1932"/>
      <c r="CB95" s="1932"/>
      <c r="CC95" s="1932"/>
      <c r="CD95" s="1932"/>
      <c r="CE95" s="960"/>
      <c r="CF95" s="960"/>
      <c r="CG95" s="1932"/>
      <c r="CH95" s="1932"/>
      <c r="CI95" s="1932"/>
      <c r="CJ95" s="1932"/>
      <c r="CK95" s="1932"/>
      <c r="CL95" s="1932"/>
      <c r="CM95" s="1932"/>
      <c r="CN95" s="1932"/>
      <c r="CO95" s="1932"/>
      <c r="CP95" s="1932"/>
      <c r="CQ95" s="1932"/>
      <c r="CR95" s="1932"/>
    </row>
    <row r="96" customFormat="false" ht="12" hidden="false" customHeight="false" outlineLevel="0" collapsed="false">
      <c r="C96" s="1932"/>
      <c r="I96" s="1932"/>
      <c r="J96" s="1932"/>
      <c r="K96" s="1932"/>
      <c r="L96" s="1932"/>
      <c r="M96" s="1932"/>
      <c r="N96" s="1932"/>
      <c r="O96" s="1932"/>
      <c r="P96" s="1932"/>
      <c r="Q96" s="1932"/>
      <c r="R96" s="1932"/>
      <c r="S96" s="1932"/>
      <c r="T96" s="1932"/>
      <c r="U96" s="1932"/>
      <c r="V96" s="1932"/>
      <c r="W96" s="1932"/>
      <c r="X96" s="1932"/>
      <c r="Y96" s="1932"/>
      <c r="Z96" s="1932"/>
      <c r="AA96" s="1932"/>
      <c r="AB96" s="1932"/>
      <c r="AC96" s="1932"/>
      <c r="AD96" s="1932"/>
      <c r="AE96" s="1932"/>
      <c r="AF96" s="2097"/>
      <c r="AG96" s="1932"/>
      <c r="AH96" s="1932"/>
      <c r="AI96" s="1932"/>
      <c r="AJ96" s="1932"/>
      <c r="AK96" s="1932"/>
      <c r="AL96" s="1932"/>
      <c r="AM96" s="1932"/>
      <c r="AN96" s="1932"/>
      <c r="AO96" s="1932"/>
      <c r="AP96" s="1932"/>
      <c r="AQ96" s="1932"/>
      <c r="AR96" s="1932"/>
      <c r="AS96" s="1932"/>
      <c r="AT96" s="1932"/>
      <c r="AU96" s="1932"/>
      <c r="AV96" s="1932"/>
      <c r="AW96" s="1932"/>
      <c r="AX96" s="1932"/>
      <c r="AY96" s="1932"/>
      <c r="AZ96" s="1932"/>
      <c r="BA96" s="1932"/>
      <c r="BB96" s="1932"/>
      <c r="BC96" s="1932"/>
      <c r="BD96" s="1932"/>
      <c r="BE96" s="1932"/>
      <c r="BF96" s="1932"/>
      <c r="BG96" s="1932"/>
      <c r="BH96" s="1932"/>
      <c r="BI96" s="1932"/>
      <c r="BJ96" s="1932"/>
      <c r="BK96" s="1932"/>
      <c r="BL96" s="1932"/>
      <c r="BM96" s="1932"/>
      <c r="BN96" s="1932"/>
      <c r="BO96" s="1932"/>
      <c r="BP96" s="1932"/>
      <c r="BQ96" s="1932"/>
      <c r="BR96" s="1932"/>
      <c r="BS96" s="1932"/>
      <c r="BT96" s="1932"/>
      <c r="BU96" s="1932"/>
      <c r="BV96" s="1932"/>
      <c r="BW96" s="1932"/>
      <c r="BX96" s="1932"/>
      <c r="BY96" s="1932"/>
      <c r="BZ96" s="1932"/>
      <c r="CA96" s="1932"/>
      <c r="CB96" s="1932"/>
      <c r="CC96" s="1932"/>
      <c r="CD96" s="1932"/>
      <c r="CE96" s="960"/>
      <c r="CF96" s="960"/>
      <c r="CG96" s="1932"/>
      <c r="CH96" s="1932"/>
      <c r="CI96" s="1932"/>
      <c r="CJ96" s="1932"/>
      <c r="CK96" s="1932"/>
      <c r="CL96" s="1932"/>
      <c r="CM96" s="1932"/>
      <c r="CN96" s="1932"/>
      <c r="CO96" s="1932"/>
      <c r="CP96" s="1932"/>
      <c r="CQ96" s="1932"/>
      <c r="CR96" s="1932"/>
    </row>
    <row r="97" customFormat="false" ht="12" hidden="false" customHeight="false" outlineLevel="0" collapsed="false">
      <c r="C97" s="1932"/>
      <c r="I97" s="1932"/>
      <c r="J97" s="1932"/>
      <c r="K97" s="1932"/>
      <c r="L97" s="1932"/>
      <c r="M97" s="1932"/>
      <c r="N97" s="1932"/>
      <c r="O97" s="1932"/>
      <c r="P97" s="1932"/>
      <c r="Q97" s="1932"/>
      <c r="R97" s="1932"/>
      <c r="S97" s="1932"/>
      <c r="T97" s="1932"/>
      <c r="U97" s="1932"/>
      <c r="V97" s="1932"/>
      <c r="W97" s="1932"/>
      <c r="X97" s="1932"/>
      <c r="Y97" s="1932"/>
      <c r="Z97" s="1932"/>
      <c r="AA97" s="1932"/>
      <c r="AB97" s="1932"/>
      <c r="AC97" s="1932"/>
      <c r="AD97" s="1932"/>
      <c r="AE97" s="1932"/>
      <c r="AF97" s="2097"/>
      <c r="AG97" s="1932"/>
      <c r="AH97" s="1932"/>
      <c r="AI97" s="1932"/>
      <c r="AJ97" s="1932"/>
      <c r="AK97" s="1932"/>
      <c r="AL97" s="1932"/>
      <c r="AM97" s="1932"/>
      <c r="AN97" s="1932"/>
      <c r="AO97" s="1932"/>
      <c r="AP97" s="1932"/>
      <c r="AQ97" s="1932"/>
      <c r="AR97" s="1932"/>
      <c r="AS97" s="1932"/>
      <c r="AT97" s="1932"/>
      <c r="AU97" s="1932"/>
      <c r="AV97" s="1932"/>
      <c r="AW97" s="1932"/>
      <c r="AX97" s="1932"/>
      <c r="AY97" s="1932"/>
      <c r="AZ97" s="1932"/>
      <c r="BA97" s="1932"/>
      <c r="BB97" s="1932"/>
      <c r="BC97" s="1932"/>
      <c r="BD97" s="1932"/>
      <c r="BE97" s="1932"/>
      <c r="BF97" s="1932"/>
      <c r="BG97" s="1932"/>
      <c r="BH97" s="1932"/>
      <c r="BI97" s="1932"/>
      <c r="BJ97" s="1932"/>
      <c r="BK97" s="1932"/>
      <c r="BL97" s="1932"/>
      <c r="BM97" s="1932"/>
      <c r="BN97" s="1932"/>
      <c r="BO97" s="1932"/>
      <c r="BP97" s="1932"/>
      <c r="BQ97" s="1932"/>
      <c r="BR97" s="1932"/>
      <c r="BS97" s="1932"/>
      <c r="BT97" s="1932"/>
      <c r="BU97" s="1932"/>
      <c r="BV97" s="1932"/>
      <c r="BW97" s="1932"/>
      <c r="BX97" s="1932"/>
      <c r="BY97" s="1932"/>
      <c r="BZ97" s="1932"/>
      <c r="CA97" s="1932"/>
      <c r="CB97" s="1932"/>
      <c r="CC97" s="1932"/>
      <c r="CD97" s="1932"/>
      <c r="CE97" s="960"/>
      <c r="CF97" s="960"/>
      <c r="CG97" s="1932"/>
      <c r="CH97" s="1932"/>
      <c r="CI97" s="1932"/>
      <c r="CJ97" s="1932"/>
      <c r="CK97" s="1932"/>
      <c r="CL97" s="1932"/>
      <c r="CM97" s="1932"/>
      <c r="CN97" s="1932"/>
      <c r="CO97" s="1932"/>
      <c r="CP97" s="1932"/>
      <c r="CQ97" s="1932"/>
      <c r="CR97" s="1932"/>
    </row>
    <row r="98" customFormat="false" ht="12" hidden="false" customHeight="false" outlineLevel="0" collapsed="false">
      <c r="C98" s="1932"/>
      <c r="I98" s="1932"/>
      <c r="J98" s="1932"/>
      <c r="K98" s="1932"/>
      <c r="L98" s="1932"/>
      <c r="M98" s="1932"/>
      <c r="N98" s="1932"/>
      <c r="O98" s="1932"/>
      <c r="P98" s="1932"/>
      <c r="Q98" s="1932"/>
      <c r="R98" s="1932"/>
      <c r="S98" s="1932"/>
      <c r="T98" s="1932"/>
      <c r="U98" s="1932"/>
      <c r="V98" s="1932"/>
      <c r="W98" s="1932"/>
      <c r="X98" s="1932"/>
      <c r="Y98" s="1932"/>
      <c r="Z98" s="1932"/>
      <c r="AA98" s="1932"/>
      <c r="AB98" s="1932"/>
      <c r="AC98" s="1932"/>
      <c r="AD98" s="1932"/>
      <c r="AE98" s="1932"/>
      <c r="AF98" s="1932"/>
      <c r="AG98" s="1932"/>
      <c r="AH98" s="1932"/>
      <c r="AI98" s="1932"/>
      <c r="AJ98" s="1932"/>
      <c r="AK98" s="1932"/>
      <c r="AL98" s="1932"/>
      <c r="AM98" s="1932"/>
      <c r="AN98" s="1932"/>
      <c r="AO98" s="1932"/>
      <c r="AP98" s="1932"/>
      <c r="AQ98" s="1932"/>
      <c r="AR98" s="1932"/>
      <c r="AS98" s="1932"/>
      <c r="AT98" s="1932"/>
      <c r="AU98" s="1932"/>
      <c r="AV98" s="1932"/>
      <c r="AW98" s="1932"/>
      <c r="AX98" s="1932"/>
      <c r="AY98" s="1932"/>
      <c r="AZ98" s="1932"/>
      <c r="BA98" s="1932"/>
      <c r="BB98" s="1932"/>
      <c r="BC98" s="1932"/>
      <c r="BD98" s="1932"/>
      <c r="BE98" s="1932"/>
      <c r="BF98" s="1932"/>
      <c r="BG98" s="1932"/>
      <c r="BH98" s="1932"/>
      <c r="BI98" s="1932"/>
      <c r="BJ98" s="1932"/>
      <c r="BK98" s="1932"/>
      <c r="BL98" s="1932"/>
      <c r="BM98" s="1932"/>
      <c r="BN98" s="1932"/>
      <c r="BO98" s="1932"/>
      <c r="BP98" s="1932"/>
      <c r="BQ98" s="1932"/>
      <c r="BR98" s="1932"/>
      <c r="BS98" s="1932"/>
      <c r="BT98" s="1932"/>
      <c r="BU98" s="1932"/>
      <c r="BV98" s="1932"/>
      <c r="BW98" s="1932"/>
      <c r="BX98" s="1932"/>
      <c r="BY98" s="1932"/>
      <c r="BZ98" s="1932"/>
      <c r="CA98" s="1932"/>
      <c r="CB98" s="1932"/>
      <c r="CC98" s="1932"/>
      <c r="CD98" s="1932"/>
      <c r="CE98" s="960"/>
      <c r="CF98" s="960"/>
      <c r="CG98" s="1932"/>
      <c r="CH98" s="1932"/>
      <c r="CI98" s="1932"/>
      <c r="CJ98" s="1932"/>
      <c r="CK98" s="1932"/>
      <c r="CL98" s="1932"/>
      <c r="CM98" s="1932"/>
      <c r="CN98" s="1932"/>
      <c r="CO98" s="1932"/>
      <c r="CP98" s="1932"/>
      <c r="CQ98" s="1932"/>
      <c r="CR98" s="1932"/>
    </row>
    <row r="99" customFormat="false" ht="12" hidden="false" customHeight="false" outlineLevel="0" collapsed="false">
      <c r="C99" s="1932"/>
      <c r="I99" s="1932"/>
      <c r="J99" s="1932"/>
      <c r="K99" s="1932"/>
      <c r="L99" s="1932"/>
      <c r="M99" s="1932"/>
      <c r="N99" s="1932"/>
      <c r="O99" s="1932"/>
      <c r="P99" s="1932"/>
      <c r="Q99" s="1932"/>
      <c r="R99" s="1932"/>
      <c r="S99" s="1932"/>
      <c r="T99" s="1932"/>
      <c r="U99" s="1932"/>
      <c r="V99" s="1932"/>
      <c r="W99" s="1932"/>
      <c r="X99" s="1932"/>
      <c r="Y99" s="1932"/>
      <c r="Z99" s="1932"/>
      <c r="AA99" s="1932"/>
      <c r="AB99" s="1932"/>
      <c r="AC99" s="1932"/>
      <c r="AD99" s="1932"/>
      <c r="AE99" s="1932"/>
      <c r="AF99" s="1932"/>
      <c r="AG99" s="1932"/>
      <c r="AH99" s="1932"/>
      <c r="AI99" s="1932"/>
      <c r="AJ99" s="1932"/>
      <c r="AK99" s="1932"/>
      <c r="AL99" s="1932"/>
      <c r="AM99" s="1932"/>
      <c r="AN99" s="1932"/>
      <c r="AO99" s="1932"/>
      <c r="AP99" s="1932"/>
      <c r="AQ99" s="1932"/>
      <c r="AR99" s="1932"/>
      <c r="AS99" s="1932"/>
      <c r="AT99" s="1932"/>
      <c r="AU99" s="1932"/>
      <c r="AV99" s="1932"/>
      <c r="AW99" s="1932"/>
      <c r="AX99" s="1932"/>
      <c r="AY99" s="1932"/>
      <c r="AZ99" s="1932"/>
      <c r="BA99" s="1932"/>
      <c r="BB99" s="1932"/>
      <c r="BC99" s="1932"/>
      <c r="BD99" s="1932"/>
      <c r="BE99" s="1932"/>
      <c r="BF99" s="1932"/>
      <c r="BG99" s="1932"/>
      <c r="BH99" s="1932"/>
      <c r="BI99" s="1932"/>
      <c r="BJ99" s="1932"/>
      <c r="BK99" s="1932"/>
      <c r="BL99" s="1932"/>
      <c r="BM99" s="1932"/>
      <c r="BN99" s="1932"/>
      <c r="BO99" s="1932"/>
      <c r="BP99" s="1932"/>
      <c r="BQ99" s="1932"/>
      <c r="BR99" s="1932"/>
      <c r="BS99" s="1932"/>
      <c r="BT99" s="1932"/>
      <c r="BU99" s="1932"/>
      <c r="BV99" s="1932"/>
      <c r="BW99" s="1932"/>
      <c r="BX99" s="1932"/>
      <c r="BY99" s="1932"/>
      <c r="BZ99" s="1932"/>
      <c r="CA99" s="1932"/>
      <c r="CB99" s="1932"/>
      <c r="CC99" s="1932"/>
      <c r="CD99" s="1932"/>
      <c r="CE99" s="960"/>
      <c r="CF99" s="960"/>
      <c r="CG99" s="1932"/>
      <c r="CH99" s="1932"/>
      <c r="CI99" s="1932"/>
      <c r="CJ99" s="1932"/>
      <c r="CK99" s="1932"/>
      <c r="CL99" s="1932"/>
      <c r="CM99" s="1932"/>
      <c r="CN99" s="1932"/>
      <c r="CO99" s="1932"/>
      <c r="CP99" s="1932"/>
      <c r="CQ99" s="1932"/>
      <c r="CR99" s="1932"/>
    </row>
  </sheetData>
  <mergeCells count="22">
    <mergeCell ref="I6:Q6"/>
    <mergeCell ref="R6:V6"/>
    <mergeCell ref="W6:AB6"/>
    <mergeCell ref="AC6:AF6"/>
    <mergeCell ref="AI6:AL6"/>
    <mergeCell ref="AO6:AT6"/>
    <mergeCell ref="AV6:BA6"/>
    <mergeCell ref="BC6:BG6"/>
    <mergeCell ref="BH6:BL6"/>
    <mergeCell ref="GB6:GL6"/>
    <mergeCell ref="R7:S7"/>
    <mergeCell ref="DO7:DR7"/>
    <mergeCell ref="DA41:DB41"/>
    <mergeCell ref="DA42:DB42"/>
    <mergeCell ref="DA43:DB43"/>
    <mergeCell ref="DA44:DB44"/>
    <mergeCell ref="DA45:DB45"/>
    <mergeCell ref="DA46:DB46"/>
    <mergeCell ref="DA47:DB47"/>
    <mergeCell ref="DA48:DB48"/>
    <mergeCell ref="DA49:DB49"/>
    <mergeCell ref="DA50:DB50"/>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CG12" activePane="bottomRight" state="frozen"/>
      <selection pane="topLeft" activeCell="A1" activeCellId="0" sqref="A1"/>
      <selection pane="topRight" activeCell="CG1" activeCellId="0" sqref="CG1"/>
      <selection pane="bottomLeft" activeCell="A12" activeCellId="0" sqref="A12"/>
      <selection pane="bottomRight" activeCell="CV15" activeCellId="0" sqref="CV15"/>
    </sheetView>
  </sheetViews>
  <sheetFormatPr defaultColWidth="10.82421875" defaultRowHeight="12" zeroHeight="false" outlineLevelRow="0" outlineLevelCol="0"/>
  <cols>
    <col collapsed="false" customWidth="false" hidden="false" outlineLevel="0" max="1" min="1" style="29" width="10.82"/>
    <col collapsed="false" customWidth="false" hidden="false" outlineLevel="0" max="10" min="2" style="31" width="10.82"/>
    <col collapsed="false" customWidth="true" hidden="false" outlineLevel="0" max="11" min="11" style="31" width="13.33"/>
    <col collapsed="false" customWidth="false" hidden="false" outlineLevel="0" max="43" min="12" style="31" width="10.82"/>
    <col collapsed="false" customWidth="true" hidden="false" outlineLevel="0" max="44" min="44" style="31" width="12.66"/>
    <col collapsed="false" customWidth="false" hidden="false" outlineLevel="0" max="80" min="45" style="31" width="10.82"/>
    <col collapsed="false" customWidth="false" hidden="false" outlineLevel="0" max="81" min="81" style="32" width="10.82"/>
    <col collapsed="false" customWidth="false" hidden="false" outlineLevel="0" max="110" min="82" style="31" width="10.82"/>
    <col collapsed="false" customWidth="false" hidden="false" outlineLevel="0" max="111" min="111" style="32" width="10.82"/>
    <col collapsed="false" customWidth="false" hidden="false" outlineLevel="0" max="114" min="112" style="31" width="10.82"/>
    <col collapsed="false" customWidth="false" hidden="false" outlineLevel="0" max="115" min="115" style="32" width="10.82"/>
    <col collapsed="false" customWidth="false" hidden="false" outlineLevel="0" max="257" min="116" style="31" width="10.82"/>
  </cols>
  <sheetData>
    <row r="1" customFormat="false" ht="12" hidden="false" customHeight="false" outlineLevel="0" collapsed="false">
      <c r="A1" s="198" t="s">
        <v>966</v>
      </c>
      <c r="B1" s="198"/>
      <c r="C1" s="198"/>
      <c r="D1" s="0"/>
      <c r="E1" s="198"/>
      <c r="F1" s="198"/>
      <c r="G1" s="198"/>
      <c r="H1" s="198"/>
      <c r="I1" s="0"/>
      <c r="J1" s="0"/>
      <c r="K1" s="0"/>
      <c r="L1" s="0"/>
      <c r="M1" s="0"/>
      <c r="N1" s="0"/>
      <c r="O1" s="0"/>
      <c r="P1" s="0"/>
      <c r="Q1" s="0"/>
      <c r="R1" s="0"/>
      <c r="S1" s="0"/>
      <c r="T1" s="0"/>
      <c r="U1" s="0"/>
      <c r="V1" s="0"/>
      <c r="W1" s="0"/>
      <c r="X1" s="0"/>
      <c r="Y1" s="0"/>
      <c r="Z1" s="0"/>
      <c r="AA1" s="0"/>
      <c r="AB1" s="0"/>
      <c r="AC1" s="0"/>
      <c r="AD1" s="0"/>
      <c r="AE1" s="0"/>
      <c r="AF1" s="0"/>
      <c r="AG1" s="0"/>
      <c r="AH1" s="0"/>
      <c r="AI1" s="0"/>
      <c r="AJ1" s="0"/>
      <c r="AK1" s="0"/>
      <c r="AL1" s="0"/>
      <c r="AM1" s="0"/>
      <c r="AN1" s="0"/>
      <c r="AO1" s="0"/>
      <c r="AP1" s="0"/>
      <c r="AQ1" s="0"/>
      <c r="AR1" s="0"/>
      <c r="AS1" s="0"/>
      <c r="AT1" s="0"/>
      <c r="AU1" s="0"/>
      <c r="AV1" s="0"/>
      <c r="AW1" s="0"/>
      <c r="AX1" s="0"/>
      <c r="AY1" s="0"/>
      <c r="AZ1" s="0"/>
      <c r="BA1" s="0"/>
      <c r="BB1" s="0"/>
      <c r="BC1" s="0"/>
      <c r="BD1" s="0"/>
      <c r="BE1" s="0"/>
      <c r="BF1" s="0"/>
      <c r="BG1" s="0"/>
      <c r="BH1" s="0"/>
      <c r="BI1" s="0"/>
      <c r="BJ1" s="0"/>
      <c r="BK1" s="0"/>
      <c r="BL1" s="0"/>
      <c r="BM1" s="0"/>
      <c r="BN1" s="0"/>
      <c r="BO1" s="0"/>
      <c r="BP1" s="0"/>
      <c r="BQ1" s="0"/>
      <c r="BR1" s="0"/>
      <c r="BS1" s="0"/>
      <c r="BT1" s="0"/>
      <c r="BU1" s="0"/>
      <c r="BV1" s="0"/>
      <c r="BW1" s="0"/>
      <c r="BX1" s="0"/>
      <c r="BY1" s="0"/>
      <c r="BZ1" s="0"/>
      <c r="CA1" s="0"/>
      <c r="CB1" s="0"/>
      <c r="CC1" s="20"/>
      <c r="CD1" s="0"/>
      <c r="CE1" s="0"/>
      <c r="CF1" s="0"/>
      <c r="CG1" s="0"/>
      <c r="CH1" s="0"/>
      <c r="CI1" s="0"/>
      <c r="CJ1" s="0"/>
      <c r="CK1" s="0"/>
      <c r="CL1" s="0"/>
      <c r="CM1" s="0"/>
      <c r="CN1" s="0"/>
      <c r="CO1" s="0"/>
      <c r="CP1" s="0"/>
      <c r="CQ1" s="0"/>
      <c r="CR1" s="0"/>
      <c r="CS1" s="0"/>
      <c r="CT1" s="0"/>
      <c r="CU1" s="0"/>
      <c r="CV1" s="0"/>
      <c r="CW1" s="0"/>
      <c r="CX1" s="0"/>
      <c r="CY1" s="0"/>
      <c r="CZ1" s="0"/>
      <c r="DA1" s="0"/>
      <c r="DB1" s="0"/>
      <c r="DC1" s="0"/>
      <c r="DD1" s="0"/>
      <c r="DE1" s="0"/>
      <c r="DF1" s="0"/>
      <c r="DG1" s="20"/>
      <c r="DH1" s="0"/>
      <c r="DI1" s="0"/>
      <c r="DJ1" s="0"/>
      <c r="DK1" s="20"/>
      <c r="DL1" s="0"/>
      <c r="DM1" s="0"/>
      <c r="DN1" s="0"/>
      <c r="DO1" s="0"/>
      <c r="DP1" s="0"/>
      <c r="DQ1" s="0"/>
      <c r="DR1" s="0"/>
      <c r="DS1" s="0"/>
      <c r="DT1" s="0"/>
      <c r="DU1" s="0"/>
      <c r="DV1" s="0"/>
      <c r="DW1" s="0"/>
      <c r="DX1" s="0"/>
      <c r="DY1" s="0"/>
      <c r="DZ1" s="0"/>
      <c r="EA1" s="0"/>
      <c r="EB1" s="0"/>
      <c r="EC1" s="0"/>
      <c r="ED1" s="0"/>
      <c r="EE1" s="0"/>
      <c r="EF1" s="0"/>
      <c r="EG1" s="0"/>
      <c r="EH1" s="0"/>
      <c r="EI1" s="0"/>
      <c r="EJ1" s="0"/>
      <c r="EK1" s="0"/>
      <c r="EL1" s="0"/>
      <c r="EM1" s="0"/>
      <c r="EN1" s="0"/>
      <c r="EO1" s="0"/>
      <c r="EP1" s="0"/>
      <c r="EQ1" s="0"/>
      <c r="ER1" s="0"/>
      <c r="ES1" s="0"/>
      <c r="ET1" s="0"/>
      <c r="EU1" s="0"/>
      <c r="EV1" s="0"/>
      <c r="EW1" s="0"/>
      <c r="EX1" s="0"/>
      <c r="EY1" s="0"/>
      <c r="EZ1" s="0"/>
      <c r="FA1" s="0"/>
      <c r="FB1" s="0"/>
      <c r="FC1" s="0"/>
      <c r="FD1" s="0"/>
      <c r="FE1" s="0"/>
      <c r="FF1" s="0"/>
      <c r="FG1" s="0"/>
      <c r="FH1" s="0"/>
      <c r="FI1" s="0"/>
      <c r="FJ1" s="0"/>
      <c r="FK1" s="0"/>
      <c r="FL1" s="0"/>
      <c r="FM1" s="0"/>
      <c r="FN1" s="0"/>
      <c r="FO1" s="0"/>
      <c r="FP1" s="0"/>
      <c r="FQ1" s="0"/>
      <c r="FR1" s="0"/>
      <c r="FS1" s="0"/>
      <c r="FT1" s="0"/>
      <c r="FU1" s="0"/>
      <c r="FV1" s="0"/>
      <c r="FW1" s="0"/>
      <c r="FX1" s="0"/>
      <c r="FY1" s="0"/>
      <c r="FZ1" s="0"/>
      <c r="GA1" s="0"/>
      <c r="GB1" s="0"/>
      <c r="GC1" s="0"/>
      <c r="GD1" s="0"/>
      <c r="GE1" s="0"/>
      <c r="GF1" s="0"/>
      <c r="GG1" s="0"/>
      <c r="GH1" s="0"/>
      <c r="GI1" s="0"/>
      <c r="GJ1" s="0"/>
      <c r="GK1" s="0"/>
      <c r="GL1" s="0"/>
      <c r="GM1" s="0"/>
      <c r="GN1" s="0"/>
      <c r="GO1" s="0"/>
      <c r="GP1" s="0"/>
      <c r="GQ1" s="0"/>
      <c r="GR1" s="0"/>
      <c r="GS1" s="0"/>
      <c r="GT1" s="0"/>
      <c r="GU1" s="0"/>
      <c r="GV1" s="0"/>
      <c r="GW1" s="0"/>
      <c r="GX1" s="0"/>
      <c r="GY1" s="0"/>
      <c r="GZ1" s="0"/>
      <c r="HA1" s="0"/>
      <c r="HB1" s="0"/>
      <c r="HC1" s="0"/>
      <c r="HD1" s="0"/>
      <c r="HE1" s="0"/>
      <c r="HF1" s="0"/>
      <c r="HG1" s="0"/>
      <c r="HH1" s="0"/>
      <c r="HI1" s="0"/>
      <c r="HJ1" s="0"/>
      <c r="HK1" s="0"/>
      <c r="HL1" s="0"/>
      <c r="HM1" s="0"/>
      <c r="HN1" s="0"/>
      <c r="HO1" s="0"/>
      <c r="HP1" s="0"/>
      <c r="HQ1" s="0"/>
      <c r="HR1" s="0"/>
      <c r="HS1" s="0"/>
      <c r="HT1" s="0"/>
      <c r="HU1" s="0"/>
      <c r="HV1" s="0"/>
      <c r="HW1" s="0"/>
      <c r="HX1" s="0"/>
      <c r="HY1" s="0"/>
      <c r="HZ1" s="0"/>
      <c r="IA1" s="0"/>
      <c r="IB1" s="0"/>
      <c r="IC1" s="0"/>
      <c r="ID1" s="0"/>
      <c r="IE1" s="0"/>
      <c r="IF1" s="0"/>
      <c r="IG1" s="0"/>
      <c r="IH1" s="0"/>
      <c r="II1" s="0"/>
      <c r="IJ1" s="0"/>
      <c r="IK1" s="0"/>
      <c r="IL1" s="0"/>
      <c r="IM1" s="0"/>
      <c r="IN1" s="0"/>
      <c r="IO1" s="0"/>
      <c r="IP1" s="0"/>
      <c r="IQ1" s="0"/>
      <c r="IR1" s="0"/>
      <c r="IS1" s="0"/>
      <c r="IT1" s="0"/>
      <c r="IU1" s="0"/>
      <c r="IV1" s="0"/>
      <c r="IW1" s="0"/>
    </row>
    <row r="2" customFormat="false" ht="12" hidden="false" customHeight="false" outlineLevel="0" collapsed="false">
      <c r="A2" s="0" t="s">
        <v>967</v>
      </c>
      <c r="B2" s="0"/>
      <c r="C2" s="0"/>
      <c r="D2" s="0"/>
      <c r="E2" s="0"/>
      <c r="F2" s="0"/>
      <c r="G2" s="0"/>
      <c r="H2" s="0"/>
      <c r="I2" s="0"/>
      <c r="J2" s="0"/>
      <c r="K2" s="0"/>
      <c r="L2" s="0"/>
      <c r="M2" s="0"/>
      <c r="N2" s="0"/>
      <c r="O2" s="0"/>
      <c r="P2" s="0"/>
      <c r="Q2" s="0"/>
      <c r="R2" s="0"/>
      <c r="S2" s="0"/>
      <c r="T2" s="0"/>
      <c r="U2" s="0"/>
      <c r="V2" s="0"/>
      <c r="W2" s="0"/>
      <c r="X2" s="0"/>
      <c r="Y2" s="0"/>
      <c r="Z2" s="0"/>
      <c r="AA2" s="0"/>
      <c r="AB2" s="0"/>
      <c r="AC2" s="0"/>
      <c r="AD2" s="0"/>
      <c r="AE2" s="0"/>
      <c r="AF2" s="0"/>
      <c r="AG2" s="0"/>
      <c r="AH2" s="0"/>
      <c r="AI2" s="0"/>
      <c r="AJ2" s="0"/>
      <c r="AK2" s="0"/>
      <c r="AL2" s="0"/>
      <c r="AM2" s="0"/>
      <c r="AN2" s="0"/>
      <c r="AO2" s="0"/>
      <c r="AP2" s="0"/>
      <c r="AQ2" s="0"/>
      <c r="AR2" s="0"/>
      <c r="AS2" s="0"/>
      <c r="AT2" s="0"/>
      <c r="AU2" s="0"/>
      <c r="AV2" s="0"/>
      <c r="AW2" s="0"/>
      <c r="AX2" s="0"/>
      <c r="AY2" s="0"/>
      <c r="AZ2" s="0"/>
      <c r="BA2" s="0"/>
      <c r="BB2" s="0"/>
      <c r="BC2" s="0"/>
      <c r="BD2" s="0"/>
      <c r="BE2" s="0"/>
      <c r="BF2" s="0"/>
      <c r="BG2" s="0"/>
      <c r="BH2" s="617"/>
      <c r="BI2" s="617"/>
      <c r="BJ2" s="617"/>
      <c r="BK2" s="0"/>
      <c r="BL2" s="0"/>
      <c r="BM2" s="0"/>
      <c r="BN2" s="0"/>
      <c r="BO2" s="0"/>
      <c r="BP2" s="0"/>
      <c r="BQ2" s="0"/>
      <c r="BR2" s="0"/>
      <c r="BS2" s="0"/>
      <c r="BT2" s="0"/>
      <c r="BU2" s="0"/>
      <c r="BV2" s="0"/>
      <c r="BW2" s="0"/>
      <c r="BX2" s="0"/>
      <c r="BY2" s="0"/>
      <c r="BZ2" s="0"/>
      <c r="CA2" s="0"/>
      <c r="CB2" s="0"/>
      <c r="CC2" s="2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20"/>
      <c r="DH2" s="0"/>
      <c r="DI2" s="0"/>
      <c r="DJ2" s="0"/>
      <c r="DK2" s="20"/>
      <c r="DL2" s="0"/>
      <c r="DM2" s="0"/>
      <c r="DN2" s="0"/>
      <c r="DO2" s="0"/>
      <c r="DP2" s="0"/>
      <c r="DQ2" s="0"/>
      <c r="DR2" s="0"/>
      <c r="DS2" s="0"/>
      <c r="DT2" s="0"/>
      <c r="DU2" s="0"/>
      <c r="DV2" s="0"/>
      <c r="DW2" s="0"/>
      <c r="DX2" s="0"/>
      <c r="DY2" s="0"/>
      <c r="DZ2" s="0"/>
      <c r="EA2" s="0"/>
      <c r="EB2" s="0"/>
      <c r="EC2" s="0"/>
      <c r="ED2" s="0"/>
      <c r="EE2" s="0"/>
      <c r="EF2" s="0"/>
      <c r="EG2" s="0"/>
      <c r="EH2" s="0"/>
      <c r="EI2" s="0"/>
      <c r="EJ2" s="0"/>
      <c r="EK2" s="0"/>
      <c r="EL2" s="0"/>
      <c r="EM2" s="0"/>
      <c r="EN2" s="0"/>
      <c r="EO2" s="0"/>
      <c r="EP2" s="0"/>
      <c r="EQ2" s="0"/>
      <c r="ER2" s="0"/>
      <c r="ES2" s="0"/>
      <c r="ET2" s="0"/>
      <c r="EU2" s="0"/>
      <c r="EV2" s="0"/>
      <c r="EW2" s="0"/>
      <c r="EX2" s="0"/>
      <c r="EY2" s="0"/>
      <c r="EZ2" s="0"/>
      <c r="FA2" s="0"/>
      <c r="FB2" s="0"/>
      <c r="FC2" s="0"/>
      <c r="FD2" s="0"/>
      <c r="FE2" s="0"/>
      <c r="FF2" s="0"/>
      <c r="FG2" s="0"/>
      <c r="FH2" s="0"/>
      <c r="FI2" s="0"/>
      <c r="FJ2" s="0"/>
      <c r="FK2" s="0"/>
      <c r="FL2" s="0"/>
      <c r="FM2" s="0"/>
      <c r="FN2" s="0"/>
      <c r="FO2" s="0"/>
      <c r="FP2" s="0"/>
      <c r="FQ2" s="0"/>
      <c r="FR2" s="0"/>
      <c r="FS2" s="0"/>
      <c r="FT2" s="0"/>
      <c r="FU2" s="0"/>
      <c r="FV2" s="0"/>
      <c r="FW2" s="0"/>
      <c r="FX2" s="0"/>
      <c r="FY2" s="0"/>
      <c r="FZ2" s="0"/>
      <c r="GA2" s="0"/>
      <c r="GB2" s="0"/>
      <c r="GC2" s="0"/>
      <c r="GD2" s="0"/>
      <c r="GE2" s="0"/>
      <c r="GF2" s="0"/>
      <c r="GG2" s="0"/>
      <c r="GH2" s="0"/>
      <c r="GI2" s="0"/>
      <c r="GJ2" s="0"/>
      <c r="GK2" s="0"/>
      <c r="GL2" s="0"/>
      <c r="GM2" s="0"/>
      <c r="GN2" s="0"/>
      <c r="GO2" s="0"/>
      <c r="GP2" s="0"/>
      <c r="GQ2" s="0"/>
      <c r="GR2" s="0"/>
      <c r="GS2" s="0"/>
      <c r="GT2" s="0"/>
      <c r="GU2" s="0"/>
      <c r="GV2" s="0"/>
      <c r="GW2" s="0"/>
      <c r="GX2" s="0"/>
      <c r="GY2" s="0"/>
      <c r="GZ2" s="0"/>
      <c r="HA2" s="0"/>
      <c r="HB2" s="0"/>
      <c r="HC2" s="0"/>
      <c r="HD2" s="0"/>
      <c r="HE2" s="0"/>
      <c r="HF2" s="0"/>
      <c r="HG2" s="0"/>
      <c r="HH2" s="0"/>
      <c r="HI2" s="0"/>
      <c r="HJ2" s="0"/>
      <c r="HK2" s="0"/>
      <c r="HL2" s="0"/>
      <c r="HM2" s="0"/>
      <c r="HN2" s="0"/>
      <c r="HO2" s="0"/>
      <c r="HP2" s="0"/>
      <c r="HQ2" s="0"/>
      <c r="HR2" s="0"/>
      <c r="HS2" s="0"/>
      <c r="HT2" s="0"/>
      <c r="HU2" s="0"/>
      <c r="HV2" s="0"/>
      <c r="HW2" s="0"/>
      <c r="HX2" s="0"/>
      <c r="HY2" s="0"/>
      <c r="HZ2" s="0"/>
      <c r="IA2" s="0"/>
      <c r="IB2" s="0"/>
      <c r="IC2" s="0"/>
      <c r="ID2" s="0"/>
      <c r="IE2" s="0"/>
      <c r="IF2" s="0"/>
      <c r="IG2" s="0"/>
      <c r="IH2" s="0"/>
      <c r="II2" s="0"/>
      <c r="IJ2" s="0"/>
      <c r="IK2" s="0"/>
      <c r="IL2" s="0"/>
      <c r="IM2" s="0"/>
      <c r="IN2" s="0"/>
      <c r="IO2" s="0"/>
      <c r="IP2" s="0"/>
      <c r="IQ2" s="0"/>
      <c r="IR2" s="0"/>
      <c r="IS2" s="0"/>
      <c r="IT2" s="0"/>
      <c r="IU2" s="0"/>
      <c r="IV2" s="0"/>
      <c r="IW2" s="0"/>
    </row>
    <row r="3" customFormat="false" ht="12" hidden="false" customHeight="false" outlineLevel="0" collapsed="false">
      <c r="A3" s="0" t="s">
        <v>968</v>
      </c>
      <c r="B3" s="0"/>
      <c r="C3" s="0"/>
      <c r="D3" s="0"/>
      <c r="E3" s="0"/>
      <c r="F3" s="0"/>
      <c r="G3" s="0"/>
      <c r="L3" s="0"/>
      <c r="M3" s="0"/>
      <c r="N3" s="0"/>
      <c r="O3" s="0"/>
      <c r="P3" s="0"/>
      <c r="Q3" s="0"/>
      <c r="R3" s="0"/>
      <c r="S3" s="0"/>
      <c r="T3" s="0"/>
      <c r="U3" s="0"/>
      <c r="V3" s="0"/>
      <c r="W3" s="0"/>
      <c r="X3" s="0"/>
      <c r="Y3" s="0"/>
      <c r="Z3" s="0"/>
      <c r="AA3" s="0"/>
      <c r="AB3" s="0"/>
      <c r="AC3" s="0"/>
      <c r="AD3" s="0"/>
      <c r="AE3" s="0"/>
      <c r="AF3" s="0"/>
      <c r="AG3" s="0"/>
      <c r="AH3" s="0"/>
      <c r="AI3" s="0"/>
      <c r="AJ3" s="0"/>
      <c r="AK3" s="0"/>
      <c r="AL3" s="0"/>
      <c r="AM3" s="0"/>
      <c r="AN3" s="0"/>
      <c r="AO3" s="0"/>
      <c r="AP3" s="0"/>
      <c r="AQ3" s="0"/>
      <c r="AR3" s="0"/>
      <c r="AS3" s="0"/>
      <c r="AT3" s="0"/>
      <c r="AU3" s="0"/>
      <c r="AV3" s="0"/>
      <c r="AW3" s="0"/>
      <c r="AX3" s="0"/>
      <c r="AY3" s="0"/>
      <c r="AZ3" s="0"/>
      <c r="BA3" s="0"/>
      <c r="BB3" s="0"/>
      <c r="BC3" s="0"/>
      <c r="BD3" s="0"/>
      <c r="BE3" s="0"/>
      <c r="BF3" s="0"/>
      <c r="BG3" s="0"/>
      <c r="BH3" s="0"/>
      <c r="BI3" s="0"/>
      <c r="BJ3" s="0"/>
      <c r="BK3" s="0"/>
      <c r="BL3" s="0"/>
      <c r="BM3" s="0"/>
      <c r="BN3" s="0"/>
      <c r="BO3" s="0"/>
      <c r="BP3" s="0"/>
      <c r="BQ3" s="0"/>
      <c r="BR3" s="0"/>
      <c r="BS3" s="0"/>
      <c r="BT3" s="0"/>
      <c r="BU3" s="0"/>
      <c r="BV3" s="0"/>
      <c r="BW3" s="0"/>
      <c r="BX3" s="0"/>
      <c r="BY3" s="0"/>
      <c r="BZ3" s="0"/>
      <c r="CA3" s="0"/>
      <c r="CB3" s="0"/>
      <c r="CC3" s="20"/>
      <c r="CD3" s="0"/>
      <c r="CE3" s="0"/>
      <c r="CF3" s="0"/>
      <c r="CG3" s="0"/>
      <c r="CH3" s="0"/>
      <c r="CI3" s="0"/>
      <c r="CJ3" s="0"/>
      <c r="CK3" s="0"/>
      <c r="CL3" s="0"/>
      <c r="CM3" s="0"/>
      <c r="CN3" s="0"/>
      <c r="CO3" s="0"/>
      <c r="CP3" s="0"/>
      <c r="CQ3" s="0"/>
      <c r="CR3" s="0"/>
      <c r="CS3" s="0"/>
      <c r="CT3" s="0"/>
      <c r="CU3" s="0"/>
      <c r="CV3" s="0"/>
      <c r="CW3" s="0"/>
      <c r="CX3" s="0"/>
      <c r="CY3" s="0"/>
      <c r="CZ3" s="0"/>
      <c r="DA3" s="198"/>
      <c r="DB3" s="0"/>
      <c r="DC3" s="0"/>
      <c r="DD3" s="0"/>
      <c r="DE3" s="0"/>
      <c r="DF3" s="0"/>
      <c r="DG3" s="20"/>
      <c r="DH3" s="0"/>
      <c r="DI3" s="0"/>
      <c r="DJ3" s="0"/>
      <c r="DK3" s="20"/>
      <c r="DL3" s="0"/>
      <c r="DM3" s="0"/>
      <c r="DN3" s="0"/>
      <c r="DO3" s="0"/>
      <c r="DP3" s="0"/>
      <c r="DQ3" s="0"/>
      <c r="DR3" s="0"/>
      <c r="DS3" s="0"/>
      <c r="DT3" s="0"/>
      <c r="DU3" s="0"/>
      <c r="DV3" s="0"/>
      <c r="DW3" s="0"/>
      <c r="DX3" s="0"/>
      <c r="DY3" s="0"/>
      <c r="DZ3" s="0"/>
      <c r="EA3" s="0"/>
      <c r="EB3" s="0"/>
      <c r="EC3" s="0"/>
      <c r="ED3" s="0"/>
      <c r="EE3" s="0"/>
      <c r="EF3" s="0"/>
      <c r="EG3" s="0"/>
      <c r="EH3" s="0"/>
      <c r="EI3" s="0"/>
      <c r="EJ3" s="0"/>
      <c r="EK3" s="0"/>
      <c r="EL3" s="0"/>
      <c r="EM3" s="0"/>
      <c r="EN3" s="0"/>
      <c r="EO3" s="0"/>
      <c r="EP3" s="0"/>
      <c r="EQ3" s="0"/>
      <c r="ER3" s="0"/>
      <c r="ES3" s="0"/>
      <c r="ET3" s="0"/>
      <c r="EU3" s="0"/>
      <c r="EV3" s="0"/>
      <c r="EW3" s="0"/>
      <c r="EX3" s="0"/>
      <c r="EY3" s="0"/>
      <c r="EZ3" s="0"/>
      <c r="FA3" s="0"/>
      <c r="FB3" s="0"/>
      <c r="FC3" s="0"/>
      <c r="FD3" s="0"/>
      <c r="FE3" s="0"/>
      <c r="FF3" s="0"/>
      <c r="FG3" s="0"/>
      <c r="FH3" s="0"/>
      <c r="FI3" s="0"/>
      <c r="FJ3" s="0"/>
      <c r="FK3" s="0"/>
      <c r="FL3" s="0"/>
      <c r="FM3" s="0"/>
      <c r="FN3" s="0"/>
      <c r="FO3" s="0"/>
      <c r="FP3" s="0"/>
      <c r="FQ3" s="0"/>
      <c r="FR3" s="0"/>
      <c r="FS3" s="0"/>
      <c r="FT3" s="0"/>
      <c r="FU3" s="0"/>
      <c r="FV3" s="0"/>
      <c r="FW3" s="0"/>
      <c r="FX3" s="0"/>
      <c r="FY3" s="0"/>
      <c r="FZ3" s="0"/>
      <c r="GA3" s="0"/>
      <c r="GB3" s="0"/>
      <c r="GC3" s="0"/>
      <c r="GD3" s="0"/>
      <c r="GE3" s="0"/>
      <c r="GF3" s="0"/>
      <c r="GG3" s="0"/>
      <c r="GH3" s="0"/>
      <c r="GI3" s="0"/>
      <c r="GJ3" s="0"/>
      <c r="GK3" s="0"/>
      <c r="GL3" s="0"/>
      <c r="GM3" s="0"/>
      <c r="GN3" s="0"/>
      <c r="GO3" s="0"/>
      <c r="GP3" s="0"/>
      <c r="GQ3" s="0"/>
      <c r="GR3" s="0"/>
      <c r="GS3" s="0"/>
      <c r="GT3" s="0"/>
      <c r="GU3" s="0"/>
      <c r="GV3" s="0"/>
      <c r="GW3" s="0"/>
      <c r="GX3" s="0"/>
      <c r="GY3" s="0"/>
      <c r="GZ3" s="0"/>
      <c r="HA3" s="0"/>
      <c r="HB3" s="0"/>
      <c r="HC3" s="0"/>
      <c r="HD3" s="0"/>
      <c r="HE3" s="0"/>
      <c r="HF3" s="0"/>
      <c r="HG3" s="0"/>
      <c r="HH3" s="0"/>
      <c r="HI3" s="0"/>
      <c r="HJ3" s="0"/>
      <c r="HK3" s="0"/>
      <c r="HL3" s="0"/>
      <c r="HM3" s="0"/>
      <c r="HN3" s="0"/>
      <c r="HO3" s="0"/>
      <c r="HP3" s="0"/>
      <c r="HQ3" s="0"/>
      <c r="HR3" s="0"/>
      <c r="HS3" s="0"/>
      <c r="HT3" s="0"/>
      <c r="HU3" s="0"/>
      <c r="HV3" s="0"/>
      <c r="HW3" s="0"/>
      <c r="HX3" s="0"/>
      <c r="HY3" s="0"/>
      <c r="HZ3" s="0"/>
      <c r="IA3" s="0"/>
      <c r="IB3" s="0"/>
      <c r="IC3" s="0"/>
      <c r="ID3" s="0"/>
      <c r="IE3" s="0"/>
      <c r="IF3" s="0"/>
      <c r="IG3" s="0"/>
      <c r="IH3" s="0"/>
      <c r="II3" s="0"/>
      <c r="IJ3" s="0"/>
      <c r="IK3" s="0"/>
      <c r="IL3" s="0"/>
      <c r="IM3" s="0"/>
      <c r="IN3" s="0"/>
      <c r="IO3" s="0"/>
      <c r="IP3" s="0"/>
      <c r="IQ3" s="0"/>
      <c r="IR3" s="0"/>
      <c r="IS3" s="0"/>
      <c r="IT3" s="0"/>
      <c r="IU3" s="0"/>
      <c r="IV3" s="0"/>
      <c r="IW3" s="0"/>
    </row>
    <row r="4" customFormat="false" ht="12" hidden="false" customHeight="false" outlineLevel="0" collapsed="false">
      <c r="A4" s="0" t="s">
        <v>969</v>
      </c>
      <c r="B4" s="0"/>
      <c r="C4" s="0"/>
      <c r="D4" s="0"/>
      <c r="E4" s="0"/>
      <c r="F4" s="0"/>
      <c r="G4" s="0"/>
      <c r="H4" s="0"/>
      <c r="I4" s="0"/>
      <c r="J4" s="0"/>
      <c r="K4" s="0"/>
      <c r="L4" s="0"/>
      <c r="M4" s="0"/>
      <c r="N4" s="0"/>
      <c r="O4" s="0"/>
      <c r="P4" s="0"/>
      <c r="Q4" s="0"/>
      <c r="R4" s="0"/>
      <c r="S4" s="0"/>
      <c r="T4" s="0"/>
      <c r="U4" s="0"/>
      <c r="V4" s="0"/>
      <c r="W4" s="0"/>
      <c r="X4" s="0"/>
      <c r="Y4" s="0"/>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c r="BY4" s="0"/>
      <c r="BZ4" s="0"/>
      <c r="CA4" s="0"/>
      <c r="CB4" s="0"/>
      <c r="CC4" s="20"/>
      <c r="CD4" s="0"/>
      <c r="CE4" s="0"/>
      <c r="CF4" s="0"/>
      <c r="CG4" s="0"/>
      <c r="CH4" s="0"/>
      <c r="CI4" s="0"/>
      <c r="CJ4" s="0"/>
      <c r="CK4" s="0"/>
      <c r="CL4" s="0"/>
      <c r="CM4" s="0"/>
      <c r="CN4" s="0"/>
      <c r="CO4" s="0"/>
      <c r="CP4" s="0"/>
      <c r="CQ4" s="0"/>
      <c r="CR4" s="0"/>
      <c r="CS4" s="0"/>
      <c r="CT4" s="0"/>
      <c r="CU4" s="0"/>
      <c r="CV4" s="0"/>
      <c r="CW4" s="0"/>
      <c r="CX4" s="0"/>
      <c r="CY4" s="0"/>
      <c r="CZ4" s="0"/>
      <c r="DA4" s="0"/>
      <c r="DB4" s="0"/>
      <c r="DC4" s="0"/>
      <c r="DD4" s="0"/>
      <c r="DE4" s="0"/>
      <c r="DF4" s="0"/>
      <c r="DG4" s="20"/>
      <c r="DH4" s="0"/>
      <c r="DI4" s="0"/>
      <c r="DJ4" s="0"/>
      <c r="DK4" s="20"/>
      <c r="DL4" s="0"/>
      <c r="DM4" s="0"/>
      <c r="DN4" s="0"/>
      <c r="DO4" s="0"/>
      <c r="DP4" s="0"/>
      <c r="DQ4" s="0"/>
      <c r="DR4" s="0"/>
      <c r="DS4" s="0"/>
      <c r="DT4" s="0"/>
      <c r="DU4" s="0"/>
      <c r="DV4" s="0"/>
      <c r="DW4" s="0"/>
      <c r="DX4" s="0"/>
      <c r="DY4" s="0"/>
      <c r="DZ4" s="0"/>
      <c r="EA4" s="0"/>
      <c r="EB4" s="0"/>
      <c r="EC4" s="0"/>
      <c r="ED4" s="0"/>
      <c r="EE4" s="0"/>
      <c r="EF4" s="0"/>
      <c r="EG4" s="0"/>
      <c r="EH4" s="0"/>
      <c r="EI4" s="0"/>
      <c r="EJ4" s="0"/>
      <c r="EK4" s="0"/>
      <c r="EL4" s="0"/>
      <c r="EM4" s="0"/>
      <c r="EN4" s="0"/>
      <c r="EO4" s="0"/>
      <c r="EP4" s="0"/>
      <c r="EQ4" s="0"/>
      <c r="ER4" s="0"/>
      <c r="ES4" s="0"/>
      <c r="ET4" s="0"/>
      <c r="EU4" s="0"/>
      <c r="EV4" s="0"/>
      <c r="EW4" s="0"/>
      <c r="EX4" s="0"/>
      <c r="EY4" s="0"/>
      <c r="EZ4" s="0"/>
      <c r="FA4" s="0"/>
      <c r="FB4" s="0"/>
      <c r="FC4" s="0"/>
      <c r="FD4" s="0"/>
      <c r="FE4" s="0"/>
      <c r="FF4" s="0"/>
      <c r="FG4" s="0"/>
      <c r="FH4" s="0"/>
      <c r="FI4" s="0"/>
      <c r="FJ4" s="0"/>
      <c r="FK4" s="0"/>
      <c r="FL4" s="0"/>
      <c r="FM4" s="0"/>
      <c r="FN4" s="0"/>
      <c r="FO4" s="0"/>
      <c r="FP4" s="0"/>
      <c r="FQ4" s="0"/>
      <c r="FR4" s="0"/>
      <c r="FS4" s="0"/>
      <c r="FT4" s="0"/>
      <c r="FU4" s="0"/>
      <c r="FV4" s="0"/>
      <c r="FW4" s="0"/>
      <c r="FX4" s="0"/>
      <c r="FY4" s="0"/>
      <c r="FZ4" s="0"/>
      <c r="GA4" s="0"/>
      <c r="GB4" s="0"/>
      <c r="GC4" s="0"/>
      <c r="GD4" s="0"/>
      <c r="GE4" s="0"/>
      <c r="GF4" s="0"/>
      <c r="GG4" s="0"/>
      <c r="GH4" s="0"/>
      <c r="GI4" s="0"/>
      <c r="GJ4" s="0"/>
      <c r="GK4" s="0"/>
      <c r="GL4" s="0"/>
      <c r="GM4" s="0"/>
      <c r="GN4" s="0"/>
      <c r="GO4" s="0"/>
      <c r="GP4" s="0"/>
      <c r="GQ4" s="0"/>
      <c r="GR4" s="0"/>
      <c r="GS4" s="0"/>
      <c r="GT4" s="0"/>
      <c r="GU4" s="0"/>
      <c r="GV4" s="0"/>
      <c r="GW4" s="0"/>
      <c r="GX4" s="0"/>
      <c r="GY4" s="0"/>
      <c r="GZ4" s="0"/>
      <c r="HA4" s="0"/>
      <c r="HB4" s="0"/>
      <c r="HC4" s="0"/>
      <c r="HD4" s="0"/>
      <c r="HE4" s="0"/>
      <c r="HF4" s="0"/>
      <c r="HG4" s="0"/>
      <c r="HH4" s="0"/>
      <c r="HI4" s="0"/>
      <c r="HJ4" s="0"/>
      <c r="HK4" s="0"/>
      <c r="HL4" s="0"/>
      <c r="HM4" s="0"/>
      <c r="HN4" s="0"/>
      <c r="HO4" s="0"/>
      <c r="HP4" s="0"/>
      <c r="HQ4" s="0"/>
      <c r="HR4" s="0"/>
      <c r="HS4" s="0"/>
      <c r="HT4" s="0"/>
      <c r="HU4" s="0"/>
      <c r="HV4" s="0"/>
      <c r="HW4" s="0"/>
      <c r="HX4" s="0"/>
      <c r="HY4" s="0"/>
      <c r="HZ4" s="0"/>
      <c r="IA4" s="0"/>
      <c r="IB4" s="0"/>
      <c r="IC4" s="0"/>
      <c r="ID4" s="0"/>
      <c r="IE4" s="0"/>
      <c r="IF4" s="0"/>
      <c r="IG4" s="0"/>
      <c r="IH4" s="0"/>
      <c r="II4" s="0"/>
      <c r="IJ4" s="0"/>
      <c r="IK4" s="0"/>
      <c r="IL4" s="0"/>
      <c r="IM4" s="0"/>
      <c r="IN4" s="0"/>
      <c r="IO4" s="0"/>
      <c r="IP4" s="0"/>
      <c r="IQ4" s="0"/>
      <c r="IR4" s="0"/>
      <c r="IS4" s="0"/>
      <c r="IT4" s="0"/>
      <c r="IU4" s="0"/>
      <c r="IV4" s="0"/>
      <c r="IW4" s="0"/>
    </row>
    <row r="5" customFormat="false" ht="12" hidden="false" customHeight="false" outlineLevel="0" collapsed="false">
      <c r="A5" s="2113" t="s">
        <v>664</v>
      </c>
      <c r="B5" s="0" t="n">
        <v>1.95583</v>
      </c>
      <c r="C5" s="0" t="s">
        <v>451</v>
      </c>
      <c r="E5" s="0"/>
      <c r="F5" s="0"/>
      <c r="G5" s="0"/>
      <c r="H5" s="0"/>
      <c r="I5" s="0"/>
      <c r="J5" s="0"/>
      <c r="K5" s="0"/>
      <c r="L5" s="0"/>
      <c r="M5" s="0"/>
      <c r="N5" s="0"/>
      <c r="O5" s="0"/>
      <c r="P5" s="0"/>
      <c r="Q5" s="0"/>
      <c r="R5" s="0"/>
      <c r="S5" s="0"/>
      <c r="T5" s="0"/>
      <c r="U5" s="0"/>
      <c r="V5" s="0"/>
      <c r="W5" s="0"/>
      <c r="X5" s="0"/>
      <c r="Y5" s="0"/>
      <c r="Z5" s="0"/>
      <c r="AA5" s="0" t="s">
        <v>970</v>
      </c>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c r="BY5" s="0"/>
      <c r="BZ5" s="0"/>
      <c r="CA5" s="0"/>
      <c r="CB5" s="0"/>
      <c r="CC5" s="2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20"/>
      <c r="DH5" s="0"/>
      <c r="DI5" s="0"/>
      <c r="DJ5" s="0"/>
      <c r="DK5" s="20"/>
      <c r="DL5" s="830"/>
      <c r="DM5" s="0"/>
      <c r="DN5" s="0"/>
      <c r="DO5" s="0"/>
      <c r="DP5" s="0"/>
      <c r="DQ5" s="0"/>
      <c r="DR5" s="0"/>
      <c r="DS5" s="0"/>
      <c r="DT5" s="0"/>
      <c r="DU5" s="0"/>
      <c r="DV5" s="0"/>
      <c r="DW5" s="0"/>
      <c r="DX5" s="0"/>
      <c r="DY5" s="0"/>
      <c r="DZ5" s="0"/>
      <c r="EA5" s="0"/>
      <c r="EB5" s="0"/>
      <c r="EC5" s="0"/>
      <c r="ED5" s="0"/>
      <c r="EE5" s="0"/>
      <c r="EF5" s="0"/>
      <c r="EG5" s="0"/>
      <c r="EH5" s="0"/>
      <c r="EI5" s="0"/>
      <c r="EJ5" s="0"/>
      <c r="EK5" s="0"/>
      <c r="EL5" s="0"/>
      <c r="EM5" s="0"/>
      <c r="EN5" s="0"/>
      <c r="EO5" s="0"/>
      <c r="EP5" s="0"/>
      <c r="EQ5" s="0"/>
      <c r="ER5" s="0"/>
      <c r="ES5" s="0"/>
      <c r="ET5" s="0"/>
      <c r="EU5" s="0"/>
      <c r="EV5" s="0"/>
      <c r="EW5" s="0"/>
      <c r="EX5" s="0"/>
      <c r="EY5" s="0"/>
      <c r="EZ5" s="0"/>
      <c r="FA5" s="0"/>
      <c r="FB5" s="0"/>
      <c r="FC5" s="0"/>
      <c r="FD5" s="0"/>
      <c r="FE5" s="0"/>
      <c r="FF5" s="0"/>
      <c r="FG5" s="0"/>
      <c r="FH5" s="0"/>
      <c r="FI5" s="0"/>
      <c r="FJ5" s="0"/>
      <c r="FK5" s="0"/>
      <c r="FL5" s="0"/>
      <c r="FM5" s="0"/>
      <c r="FN5" s="0"/>
      <c r="FO5" s="0"/>
      <c r="FP5" s="0"/>
      <c r="FQ5" s="0"/>
      <c r="FR5" s="0"/>
      <c r="FS5" s="0"/>
      <c r="FT5" s="0"/>
      <c r="FU5" s="0"/>
      <c r="FV5" s="0"/>
      <c r="FW5" s="0"/>
      <c r="FX5" s="0"/>
      <c r="FY5" s="0"/>
      <c r="FZ5" s="0"/>
      <c r="GA5" s="0"/>
      <c r="GB5" s="0"/>
      <c r="GC5" s="0"/>
      <c r="GD5" s="0"/>
      <c r="GE5" s="0"/>
      <c r="GF5" s="0"/>
      <c r="GG5" s="0"/>
      <c r="GH5" s="0"/>
      <c r="GI5" s="0"/>
      <c r="GJ5" s="0"/>
      <c r="GK5" s="0"/>
      <c r="GL5" s="0"/>
      <c r="GM5" s="0"/>
      <c r="GN5" s="0"/>
      <c r="GO5" s="0"/>
      <c r="GP5" s="0"/>
      <c r="GQ5" s="0"/>
      <c r="GR5" s="0"/>
      <c r="GS5" s="0"/>
      <c r="GT5" s="0"/>
      <c r="GU5" s="0"/>
      <c r="GV5" s="0"/>
      <c r="GW5" s="0"/>
      <c r="GX5" s="0"/>
      <c r="GY5" s="0"/>
      <c r="GZ5" s="0"/>
      <c r="HA5" s="0"/>
      <c r="HB5" s="0"/>
      <c r="HC5" s="0"/>
      <c r="HD5" s="0"/>
      <c r="HE5" s="0"/>
      <c r="HF5" s="0"/>
      <c r="HG5" s="0"/>
      <c r="HH5" s="0"/>
      <c r="HI5" s="0"/>
      <c r="HJ5" s="0"/>
      <c r="HK5" s="0"/>
      <c r="HL5" s="0"/>
      <c r="HM5" s="0"/>
      <c r="HN5" s="0"/>
      <c r="HO5" s="0"/>
      <c r="HP5" s="0"/>
      <c r="HQ5" s="0"/>
      <c r="HR5" s="0"/>
      <c r="HS5" s="0"/>
      <c r="HT5" s="0"/>
      <c r="HU5" s="0"/>
      <c r="HV5" s="0"/>
      <c r="HW5" s="0"/>
      <c r="HX5" s="0"/>
      <c r="HY5" s="0"/>
      <c r="HZ5" s="0"/>
      <c r="IA5" s="0"/>
      <c r="IB5" s="0"/>
      <c r="IC5" s="0"/>
      <c r="ID5" s="0"/>
      <c r="IE5" s="0"/>
      <c r="IF5" s="0"/>
      <c r="IG5" s="0"/>
      <c r="IH5" s="0"/>
      <c r="II5" s="0"/>
      <c r="IJ5" s="0"/>
      <c r="IK5" s="0"/>
      <c r="IL5" s="0"/>
      <c r="IM5" s="0"/>
      <c r="IN5" s="0"/>
      <c r="IO5" s="0"/>
      <c r="IP5" s="0"/>
      <c r="IQ5" s="0"/>
      <c r="IR5" s="0"/>
      <c r="IS5" s="0"/>
      <c r="IT5" s="0"/>
      <c r="IU5" s="0"/>
      <c r="IV5" s="0"/>
      <c r="IW5" s="0"/>
    </row>
    <row r="6" customFormat="false" ht="12" hidden="false" customHeight="false" outlineLevel="0" collapsed="false">
      <c r="B6" s="29"/>
      <c r="C6" s="29"/>
      <c r="D6" s="0"/>
      <c r="E6" s="29"/>
      <c r="F6" s="29"/>
      <c r="G6" s="29"/>
      <c r="H6" s="29"/>
      <c r="I6" s="29"/>
      <c r="J6" s="29"/>
      <c r="K6" s="2114" t="s">
        <v>665</v>
      </c>
      <c r="L6" s="2114" t="s">
        <v>666</v>
      </c>
      <c r="M6" s="1940"/>
      <c r="N6" s="1940"/>
      <c r="O6" s="1940"/>
      <c r="P6" s="1940"/>
      <c r="Q6" s="1940"/>
      <c r="R6" s="1940"/>
      <c r="S6" s="1940"/>
      <c r="T6" s="1940"/>
      <c r="U6" s="2114" t="s">
        <v>667</v>
      </c>
      <c r="V6" s="1940"/>
      <c r="W6" s="1940"/>
      <c r="X6" s="1940"/>
      <c r="Y6" s="1940"/>
      <c r="Z6" s="1952"/>
      <c r="AA6" s="1939" t="s">
        <v>971</v>
      </c>
      <c r="AB6" s="1939"/>
      <c r="AC6" s="1939"/>
      <c r="AD6" s="1940"/>
      <c r="AE6" s="1940"/>
      <c r="AF6" s="1939" t="s">
        <v>671</v>
      </c>
      <c r="AG6" s="1939"/>
      <c r="AH6" s="1939"/>
      <c r="AI6" s="1939"/>
      <c r="AJ6" s="1939"/>
      <c r="AK6" s="1939"/>
      <c r="AL6" s="913"/>
      <c r="AM6" s="1944" t="s">
        <v>674</v>
      </c>
      <c r="AN6" s="29"/>
      <c r="AO6" s="29"/>
      <c r="AP6" s="29"/>
      <c r="AQ6" s="29"/>
      <c r="AR6" s="198" t="s">
        <v>675</v>
      </c>
      <c r="AS6" s="0"/>
      <c r="AT6" s="0"/>
      <c r="AU6" s="0"/>
      <c r="AV6" s="0"/>
      <c r="AW6" s="0"/>
      <c r="AX6" s="0"/>
      <c r="AY6" s="0"/>
      <c r="AZ6" s="830"/>
      <c r="BA6" s="1939" t="s">
        <v>676</v>
      </c>
      <c r="BB6" s="913"/>
      <c r="BC6" s="913"/>
      <c r="BD6" s="913"/>
      <c r="BE6" s="913"/>
      <c r="BF6" s="913"/>
      <c r="BG6" s="913"/>
      <c r="BH6" s="913"/>
      <c r="BI6" s="913"/>
      <c r="BJ6" s="913"/>
      <c r="BK6" s="913"/>
      <c r="BL6" s="913"/>
      <c r="BM6" s="913"/>
      <c r="BN6" s="913"/>
      <c r="BO6" s="913"/>
      <c r="BP6" s="1098"/>
      <c r="BQ6" s="1937" t="s">
        <v>677</v>
      </c>
      <c r="BR6" s="913"/>
      <c r="BS6" s="913"/>
      <c r="BT6" s="913"/>
      <c r="BU6" s="913"/>
      <c r="BV6" s="913"/>
      <c r="BW6" s="913"/>
      <c r="BX6" s="913"/>
      <c r="BY6" s="913"/>
      <c r="BZ6" s="913"/>
      <c r="CA6" s="913"/>
      <c r="CB6" s="913"/>
      <c r="CC6" s="948"/>
      <c r="CD6" s="913"/>
      <c r="CE6" s="1937" t="s">
        <v>678</v>
      </c>
      <c r="CF6" s="913"/>
      <c r="CG6" s="913"/>
      <c r="CH6" s="913"/>
      <c r="CI6" s="913"/>
      <c r="CJ6" s="913"/>
      <c r="CK6" s="913"/>
      <c r="CL6" s="913"/>
      <c r="CM6" s="913"/>
      <c r="CN6" s="913"/>
      <c r="CO6" s="913"/>
      <c r="CP6" s="0"/>
      <c r="CQ6" s="0"/>
      <c r="CR6" s="0"/>
      <c r="CS6" s="830"/>
      <c r="CT6" s="1937" t="s">
        <v>679</v>
      </c>
      <c r="CU6" s="0"/>
      <c r="CV6" s="0"/>
      <c r="CW6" s="0"/>
      <c r="CX6" s="0"/>
      <c r="CY6" s="0"/>
      <c r="CZ6" s="0"/>
      <c r="DA6" s="1939" t="s">
        <v>972</v>
      </c>
      <c r="DB6" s="913"/>
      <c r="DC6" s="913"/>
      <c r="DD6" s="913"/>
      <c r="DE6" s="913"/>
      <c r="DF6" s="0"/>
      <c r="DG6" s="948"/>
      <c r="DH6" s="913"/>
      <c r="DI6" s="913"/>
      <c r="DJ6" s="913"/>
      <c r="DK6" s="948"/>
      <c r="DL6" s="1098"/>
      <c r="DM6" s="1948" t="s">
        <v>973</v>
      </c>
      <c r="DN6" s="1948"/>
      <c r="DO6" s="1948"/>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row>
    <row r="7" customFormat="false" ht="19.75" hidden="false" customHeight="true" outlineLevel="0" collapsed="false">
      <c r="A7" s="29" t="s">
        <v>684</v>
      </c>
      <c r="B7" s="1354" t="s">
        <v>411</v>
      </c>
      <c r="C7" s="1354"/>
      <c r="D7" s="1354" t="s">
        <v>685</v>
      </c>
      <c r="E7" s="1354" t="s">
        <v>686</v>
      </c>
      <c r="F7" s="802" t="s">
        <v>470</v>
      </c>
      <c r="G7" s="1354" t="s">
        <v>687</v>
      </c>
      <c r="H7" s="802" t="s">
        <v>471</v>
      </c>
      <c r="I7" s="802" t="s">
        <v>472</v>
      </c>
      <c r="J7" s="802"/>
      <c r="K7" s="1353" t="s">
        <v>688</v>
      </c>
      <c r="L7" s="803" t="s">
        <v>573</v>
      </c>
      <c r="M7" s="803"/>
      <c r="N7" s="801" t="s">
        <v>575</v>
      </c>
      <c r="O7" s="0"/>
      <c r="P7" s="0"/>
      <c r="Q7" s="801" t="s">
        <v>578</v>
      </c>
      <c r="R7" s="801" t="s">
        <v>579</v>
      </c>
      <c r="S7" s="801" t="s">
        <v>578</v>
      </c>
      <c r="T7" s="801" t="s">
        <v>579</v>
      </c>
      <c r="U7" s="803"/>
      <c r="V7" s="801"/>
      <c r="W7" s="801"/>
      <c r="X7" s="801"/>
      <c r="Y7" s="801"/>
      <c r="Z7" s="800"/>
      <c r="AA7" s="1940"/>
      <c r="AB7" s="1940"/>
      <c r="AC7" s="1940"/>
      <c r="AD7" s="1940"/>
      <c r="AE7" s="1940"/>
      <c r="AF7" s="1353" t="s">
        <v>691</v>
      </c>
      <c r="AG7" s="913"/>
      <c r="AH7" s="913"/>
      <c r="AI7" s="913"/>
      <c r="AJ7" s="913"/>
      <c r="AK7" s="913"/>
      <c r="AL7" s="913"/>
      <c r="AM7" s="1353" t="s">
        <v>692</v>
      </c>
      <c r="AN7" s="29"/>
      <c r="AO7" s="29"/>
      <c r="AP7" s="29"/>
      <c r="AQ7" s="29"/>
      <c r="AR7" s="1353" t="s">
        <v>506</v>
      </c>
      <c r="AS7" s="0"/>
      <c r="AT7" s="0"/>
      <c r="AU7" s="0"/>
      <c r="AV7" s="0"/>
      <c r="AW7" s="0"/>
      <c r="AX7" s="0"/>
      <c r="AY7" s="0"/>
      <c r="AZ7" s="830"/>
      <c r="BA7" s="1955" t="s">
        <v>693</v>
      </c>
      <c r="BB7" s="963" t="s">
        <v>694</v>
      </c>
      <c r="BC7" s="913"/>
      <c r="BD7" s="913"/>
      <c r="BE7" s="963" t="s">
        <v>695</v>
      </c>
      <c r="BF7" s="913"/>
      <c r="BG7" s="913"/>
      <c r="BH7" s="913"/>
      <c r="BI7" s="913"/>
      <c r="BJ7" s="913"/>
      <c r="BK7" s="963" t="s">
        <v>696</v>
      </c>
      <c r="BL7" s="913"/>
      <c r="BM7" s="913"/>
      <c r="BN7" s="913"/>
      <c r="BO7" s="913"/>
      <c r="BP7" s="1098"/>
      <c r="BQ7" s="1354" t="s">
        <v>523</v>
      </c>
      <c r="BR7" s="802" t="s">
        <v>524</v>
      </c>
      <c r="BS7" s="802" t="s">
        <v>486</v>
      </c>
      <c r="BT7" s="802" t="s">
        <v>525</v>
      </c>
      <c r="BU7" s="368" t="s">
        <v>697</v>
      </c>
      <c r="BV7" s="802" t="s">
        <v>527</v>
      </c>
      <c r="BW7" s="1250" t="s">
        <v>698</v>
      </c>
      <c r="BX7" s="1354" t="s">
        <v>528</v>
      </c>
      <c r="BY7" s="0"/>
      <c r="BZ7" s="0"/>
      <c r="CA7" s="802" t="s">
        <v>529</v>
      </c>
      <c r="CB7" s="802" t="s">
        <v>490</v>
      </c>
      <c r="CC7" s="801" t="s">
        <v>530</v>
      </c>
      <c r="CD7" s="368" t="s">
        <v>702</v>
      </c>
      <c r="CE7" s="1354" t="s">
        <v>629</v>
      </c>
      <c r="CF7" s="0"/>
      <c r="CG7" s="802" t="s">
        <v>491</v>
      </c>
      <c r="CH7" s="802" t="s">
        <v>630</v>
      </c>
      <c r="CI7" s="802" t="s">
        <v>631</v>
      </c>
      <c r="CJ7" s="1250"/>
      <c r="CK7" s="1250"/>
      <c r="CL7" s="802" t="s">
        <v>632</v>
      </c>
      <c r="CM7" s="1250" t="s">
        <v>703</v>
      </c>
      <c r="CN7" s="1250" t="s">
        <v>704</v>
      </c>
      <c r="CO7" s="802"/>
      <c r="CP7" s="913"/>
      <c r="CQ7" s="1354" t="s">
        <v>705</v>
      </c>
      <c r="CR7" s="0"/>
      <c r="CS7" s="830"/>
      <c r="CT7" s="0"/>
      <c r="CU7" s="0"/>
      <c r="CV7" s="0"/>
      <c r="CW7" s="0"/>
      <c r="CX7" s="0"/>
      <c r="CY7" s="0"/>
      <c r="CZ7" s="0"/>
      <c r="DA7" s="1353"/>
      <c r="DB7" s="1354"/>
      <c r="DC7" s="802"/>
      <c r="DD7" s="802"/>
      <c r="DE7" s="802"/>
      <c r="DF7" s="802"/>
      <c r="DG7" s="801"/>
      <c r="DH7" s="1354" t="s">
        <v>706</v>
      </c>
      <c r="DI7" s="1354"/>
      <c r="DJ7" s="1354"/>
      <c r="DK7" s="1959"/>
      <c r="DL7" s="1563" t="s">
        <v>707</v>
      </c>
      <c r="DM7" s="29"/>
      <c r="DN7" s="29"/>
      <c r="DO7" s="29"/>
      <c r="DP7" s="0"/>
      <c r="DQ7" s="0"/>
      <c r="DR7" s="0"/>
      <c r="DS7" s="0"/>
      <c r="DT7" s="0"/>
      <c r="DU7" s="0"/>
      <c r="DV7" s="0"/>
      <c r="DW7" s="0"/>
      <c r="DX7" s="0"/>
      <c r="DY7" s="0"/>
      <c r="DZ7" s="0"/>
      <c r="EA7" s="0"/>
      <c r="EB7" s="0"/>
      <c r="EC7" s="0"/>
      <c r="ED7" s="0"/>
      <c r="EE7" s="0"/>
      <c r="EF7" s="0"/>
      <c r="EG7" s="0"/>
      <c r="EH7" s="0"/>
      <c r="EI7" s="0"/>
      <c r="EJ7" s="0"/>
      <c r="EK7" s="0"/>
      <c r="EL7" s="0"/>
      <c r="EM7" s="0"/>
      <c r="EN7" s="0"/>
      <c r="EO7" s="0"/>
      <c r="EP7" s="0"/>
      <c r="EQ7" s="0"/>
      <c r="ER7" s="0"/>
      <c r="ES7" s="0"/>
      <c r="ET7" s="0"/>
      <c r="EU7" s="0"/>
      <c r="EV7" s="0"/>
      <c r="EW7" s="0"/>
      <c r="EX7" s="0"/>
      <c r="EY7" s="0"/>
      <c r="EZ7" s="0"/>
      <c r="FA7" s="0"/>
      <c r="FB7" s="0"/>
      <c r="FC7" s="0"/>
      <c r="FD7" s="0"/>
      <c r="FE7" s="0"/>
      <c r="FF7" s="0"/>
      <c r="FG7" s="0"/>
      <c r="FH7" s="0"/>
      <c r="FI7" s="0"/>
      <c r="FJ7" s="0"/>
      <c r="FK7" s="0"/>
      <c r="FL7" s="0"/>
      <c r="FM7" s="0"/>
      <c r="FN7" s="0"/>
      <c r="FO7" s="0"/>
      <c r="FP7" s="0"/>
      <c r="FQ7" s="0"/>
      <c r="FR7" s="0"/>
      <c r="FS7" s="0"/>
      <c r="FT7" s="0"/>
      <c r="FU7" s="0"/>
      <c r="FV7" s="0"/>
      <c r="FW7" s="0"/>
      <c r="FX7" s="0"/>
      <c r="FY7" s="0"/>
      <c r="FZ7" s="0"/>
      <c r="GA7" s="0"/>
      <c r="GB7" s="0"/>
      <c r="GC7" s="0"/>
      <c r="GD7" s="0"/>
      <c r="GE7" s="0"/>
      <c r="GF7" s="0"/>
      <c r="GG7" s="0"/>
      <c r="GH7" s="0"/>
      <c r="GI7" s="0"/>
      <c r="GJ7" s="0"/>
      <c r="GK7" s="0"/>
      <c r="GL7" s="0"/>
      <c r="GM7" s="0"/>
      <c r="GN7" s="0"/>
      <c r="GO7" s="0"/>
      <c r="GP7" s="0"/>
      <c r="GQ7" s="0"/>
      <c r="GR7" s="0"/>
      <c r="GS7" s="0"/>
      <c r="GT7" s="0"/>
      <c r="GU7" s="0"/>
      <c r="GV7" s="0"/>
      <c r="GW7" s="0"/>
      <c r="GX7" s="0"/>
      <c r="GY7" s="0"/>
      <c r="GZ7" s="0"/>
      <c r="HA7" s="0"/>
      <c r="HB7" s="0"/>
      <c r="HC7" s="0"/>
      <c r="HD7" s="0"/>
      <c r="HE7" s="0"/>
      <c r="HF7" s="0"/>
      <c r="HG7" s="0"/>
      <c r="HH7" s="0"/>
      <c r="HI7" s="0"/>
      <c r="HJ7" s="0"/>
      <c r="HK7" s="0"/>
      <c r="HL7" s="0"/>
      <c r="HM7" s="0"/>
      <c r="HN7" s="0"/>
      <c r="HO7" s="0"/>
      <c r="HP7" s="0"/>
      <c r="HQ7" s="0"/>
      <c r="HR7" s="0"/>
      <c r="HS7" s="0"/>
      <c r="HT7" s="0"/>
      <c r="HU7" s="0"/>
      <c r="HV7" s="0"/>
      <c r="HW7" s="0"/>
      <c r="HX7" s="0"/>
      <c r="HY7" s="0"/>
      <c r="HZ7" s="0"/>
      <c r="IA7" s="0"/>
      <c r="IB7" s="0"/>
      <c r="IC7" s="0"/>
      <c r="ID7" s="0"/>
      <c r="IE7" s="0"/>
      <c r="IF7" s="0"/>
      <c r="IG7" s="0"/>
      <c r="IH7" s="0"/>
      <c r="II7" s="0"/>
      <c r="IJ7" s="0"/>
      <c r="IK7" s="0"/>
      <c r="IL7" s="0"/>
      <c r="IM7" s="0"/>
      <c r="IN7" s="0"/>
      <c r="IO7" s="0"/>
      <c r="IP7" s="0"/>
      <c r="IQ7" s="0"/>
      <c r="IR7" s="0"/>
      <c r="IS7" s="0"/>
      <c r="IT7" s="0"/>
      <c r="IU7" s="0"/>
      <c r="IV7" s="0"/>
      <c r="IW7" s="0"/>
    </row>
    <row r="8" s="20" customFormat="true" ht="132" hidden="false" customHeight="false" outlineLevel="0" collapsed="false">
      <c r="A8" s="788"/>
      <c r="B8" s="1959" t="s">
        <v>404</v>
      </c>
      <c r="C8" s="1959" t="s">
        <v>974</v>
      </c>
      <c r="D8" s="1959" t="s">
        <v>711</v>
      </c>
      <c r="E8" s="801" t="s">
        <v>712</v>
      </c>
      <c r="F8" s="801" t="s">
        <v>975</v>
      </c>
      <c r="G8" s="1959" t="s">
        <v>454</v>
      </c>
      <c r="H8" s="801" t="s">
        <v>464</v>
      </c>
      <c r="I8" s="801" t="s">
        <v>713</v>
      </c>
      <c r="J8" s="800" t="s">
        <v>976</v>
      </c>
      <c r="K8" s="1959" t="s">
        <v>977</v>
      </c>
      <c r="L8" s="803" t="s">
        <v>723</v>
      </c>
      <c r="M8" s="801" t="s">
        <v>724</v>
      </c>
      <c r="N8" s="801" t="s">
        <v>725</v>
      </c>
      <c r="O8" s="1961" t="s">
        <v>978</v>
      </c>
      <c r="P8" s="801" t="s">
        <v>979</v>
      </c>
      <c r="Q8" s="801" t="s">
        <v>726</v>
      </c>
      <c r="R8" s="801" t="s">
        <v>569</v>
      </c>
      <c r="S8" s="801" t="s">
        <v>980</v>
      </c>
      <c r="T8" s="801" t="s">
        <v>981</v>
      </c>
      <c r="U8" s="1960" t="s">
        <v>727</v>
      </c>
      <c r="V8" s="801" t="s">
        <v>728</v>
      </c>
      <c r="W8" s="1963" t="s">
        <v>729</v>
      </c>
      <c r="X8" s="1963" t="s">
        <v>730</v>
      </c>
      <c r="Y8" s="801" t="s">
        <v>731</v>
      </c>
      <c r="Z8" s="1964" t="s">
        <v>732</v>
      </c>
      <c r="AA8" s="1965" t="s">
        <v>982</v>
      </c>
      <c r="AB8" s="1963" t="s">
        <v>983</v>
      </c>
      <c r="AC8" s="1963" t="s">
        <v>984</v>
      </c>
      <c r="AD8" s="1963" t="s">
        <v>985</v>
      </c>
      <c r="AE8" s="1963" t="s">
        <v>732</v>
      </c>
      <c r="AF8" s="1960" t="s">
        <v>748</v>
      </c>
      <c r="AG8" s="801" t="s">
        <v>749</v>
      </c>
      <c r="AH8" s="801" t="s">
        <v>503</v>
      </c>
      <c r="AI8" s="801" t="s">
        <v>750</v>
      </c>
      <c r="AJ8" s="801" t="s">
        <v>751</v>
      </c>
      <c r="AK8" s="801" t="s">
        <v>752</v>
      </c>
      <c r="AL8" s="800" t="s">
        <v>732</v>
      </c>
      <c r="AM8" s="1960" t="s">
        <v>757</v>
      </c>
      <c r="AN8" s="801" t="s">
        <v>758</v>
      </c>
      <c r="AO8" s="801" t="s">
        <v>759</v>
      </c>
      <c r="AP8" s="801" t="s">
        <v>760</v>
      </c>
      <c r="AQ8" s="800" t="s">
        <v>732</v>
      </c>
      <c r="AR8" s="1960" t="s">
        <v>761</v>
      </c>
      <c r="AS8" s="801" t="s">
        <v>986</v>
      </c>
      <c r="AT8" s="801" t="s">
        <v>763</v>
      </c>
      <c r="AU8" s="1961" t="s">
        <v>768</v>
      </c>
      <c r="AV8" s="1961" t="s">
        <v>767</v>
      </c>
      <c r="AW8" s="801" t="s">
        <v>764</v>
      </c>
      <c r="AX8" s="1961" t="s">
        <v>987</v>
      </c>
      <c r="AY8" s="1961" t="s">
        <v>988</v>
      </c>
      <c r="AZ8" s="800" t="s">
        <v>766</v>
      </c>
      <c r="BA8" s="803" t="s">
        <v>975</v>
      </c>
      <c r="BB8" s="801" t="s">
        <v>769</v>
      </c>
      <c r="BC8" s="801" t="s">
        <v>770</v>
      </c>
      <c r="BD8" s="801" t="s">
        <v>771</v>
      </c>
      <c r="BE8" s="801" t="s">
        <v>772</v>
      </c>
      <c r="BF8" s="801" t="s">
        <v>773</v>
      </c>
      <c r="BG8" s="801" t="s">
        <v>774</v>
      </c>
      <c r="BH8" s="801" t="s">
        <v>775</v>
      </c>
      <c r="BI8" s="801" t="s">
        <v>776</v>
      </c>
      <c r="BJ8" s="801" t="s">
        <v>777</v>
      </c>
      <c r="BK8" s="1959" t="s">
        <v>989</v>
      </c>
      <c r="BL8" s="801" t="s">
        <v>990</v>
      </c>
      <c r="BM8" s="801" t="s">
        <v>991</v>
      </c>
      <c r="BN8" s="1959" t="s">
        <v>992</v>
      </c>
      <c r="BO8" s="801" t="s">
        <v>993</v>
      </c>
      <c r="BP8" s="800" t="s">
        <v>994</v>
      </c>
      <c r="BQ8" s="1959" t="s">
        <v>509</v>
      </c>
      <c r="BR8" s="801" t="s">
        <v>785</v>
      </c>
      <c r="BS8" s="801" t="s">
        <v>786</v>
      </c>
      <c r="BT8" s="801" t="s">
        <v>995</v>
      </c>
      <c r="BU8" s="801" t="s">
        <v>788</v>
      </c>
      <c r="BV8" s="801" t="s">
        <v>789</v>
      </c>
      <c r="BW8" s="1961" t="s">
        <v>790</v>
      </c>
      <c r="BX8" s="1959" t="s">
        <v>516</v>
      </c>
      <c r="BY8" s="1961" t="s">
        <v>996</v>
      </c>
      <c r="BZ8" s="1961" t="s">
        <v>997</v>
      </c>
      <c r="CA8" s="801" t="s">
        <v>751</v>
      </c>
      <c r="CB8" s="801" t="s">
        <v>759</v>
      </c>
      <c r="CC8" s="801" t="s">
        <v>998</v>
      </c>
      <c r="CD8" s="801" t="s">
        <v>772</v>
      </c>
      <c r="CE8" s="1960" t="s">
        <v>615</v>
      </c>
      <c r="CF8" s="1959" t="s">
        <v>999</v>
      </c>
      <c r="CG8" s="801" t="s">
        <v>665</v>
      </c>
      <c r="CH8" s="801" t="s">
        <v>762</v>
      </c>
      <c r="CI8" s="801" t="s">
        <v>803</v>
      </c>
      <c r="CJ8" s="1961" t="s">
        <v>804</v>
      </c>
      <c r="CK8" s="1961" t="s">
        <v>805</v>
      </c>
      <c r="CL8" s="801" t="s">
        <v>806</v>
      </c>
      <c r="CM8" s="1961" t="s">
        <v>807</v>
      </c>
      <c r="CN8" s="1961" t="s">
        <v>808</v>
      </c>
      <c r="CO8" s="801" t="s">
        <v>809</v>
      </c>
      <c r="CP8" s="801" t="s">
        <v>810</v>
      </c>
      <c r="CQ8" s="1959" t="s">
        <v>811</v>
      </c>
      <c r="CR8" s="801" t="s">
        <v>812</v>
      </c>
      <c r="CS8" s="800" t="s">
        <v>813</v>
      </c>
      <c r="CT8" s="801" t="s">
        <v>819</v>
      </c>
      <c r="CU8" s="1959" t="s">
        <v>820</v>
      </c>
      <c r="CV8" s="801" t="s">
        <v>821</v>
      </c>
      <c r="CW8" s="1959" t="s">
        <v>822</v>
      </c>
      <c r="CX8" s="801" t="s">
        <v>725</v>
      </c>
      <c r="CY8" s="801" t="s">
        <v>823</v>
      </c>
      <c r="CZ8" s="1959" t="s">
        <v>824</v>
      </c>
      <c r="DA8" s="803" t="s">
        <v>825</v>
      </c>
      <c r="DB8" s="1968" t="s">
        <v>1000</v>
      </c>
      <c r="DC8" s="1959" t="s">
        <v>831</v>
      </c>
      <c r="DD8" s="1959" t="s">
        <v>831</v>
      </c>
      <c r="DE8" s="1959" t="s">
        <v>1001</v>
      </c>
      <c r="DF8" s="801" t="s">
        <v>832</v>
      </c>
      <c r="DG8" s="1969" t="s">
        <v>834</v>
      </c>
      <c r="DH8" s="1959" t="s">
        <v>837</v>
      </c>
      <c r="DI8" s="801" t="s">
        <v>1002</v>
      </c>
      <c r="DJ8" s="801" t="s">
        <v>1003</v>
      </c>
      <c r="DK8" s="1969" t="s">
        <v>835</v>
      </c>
      <c r="DL8" s="1967" t="s">
        <v>839</v>
      </c>
      <c r="DM8" s="1978" t="s">
        <v>41</v>
      </c>
      <c r="DN8" s="1975" t="s">
        <v>859</v>
      </c>
      <c r="DO8" s="1975" t="s">
        <v>1004</v>
      </c>
    </row>
    <row r="9" s="2116" customFormat="true" ht="12" hidden="false" customHeight="false" outlineLevel="0" collapsed="false">
      <c r="A9" s="1594" t="s">
        <v>403</v>
      </c>
      <c r="B9" s="1594" t="s">
        <v>1005</v>
      </c>
      <c r="C9" s="1594" t="s">
        <v>1006</v>
      </c>
      <c r="D9" s="1594"/>
      <c r="E9" s="1594" t="s">
        <v>1007</v>
      </c>
      <c r="F9" s="1594" t="s">
        <v>1008</v>
      </c>
      <c r="G9" s="2115"/>
      <c r="H9" s="1594" t="s">
        <v>1009</v>
      </c>
      <c r="I9" s="1594" t="s">
        <v>1010</v>
      </c>
      <c r="J9" s="1982"/>
      <c r="K9" s="1594" t="s">
        <v>1011</v>
      </c>
      <c r="L9" s="799" t="s">
        <v>1012</v>
      </c>
      <c r="M9" s="1594" t="s">
        <v>1013</v>
      </c>
      <c r="N9" s="1594" t="s">
        <v>1014</v>
      </c>
      <c r="O9" s="1594" t="s">
        <v>1015</v>
      </c>
      <c r="Q9" s="1594"/>
      <c r="R9" s="1594"/>
      <c r="S9" s="1594" t="s">
        <v>1016</v>
      </c>
      <c r="T9" s="1594" t="s">
        <v>1017</v>
      </c>
      <c r="U9" s="803"/>
      <c r="V9" s="801"/>
      <c r="W9" s="801"/>
      <c r="X9" s="801"/>
      <c r="Y9" s="801"/>
      <c r="Z9" s="800"/>
      <c r="AA9" s="1594" t="s">
        <v>1018</v>
      </c>
      <c r="AB9" s="1594" t="s">
        <v>1019</v>
      </c>
      <c r="AC9" s="799" t="s">
        <v>1020</v>
      </c>
      <c r="AD9" s="1594"/>
      <c r="AE9" s="1594"/>
      <c r="AF9" s="799" t="s">
        <v>1021</v>
      </c>
      <c r="AG9" s="1594"/>
      <c r="AH9" s="1594" t="s">
        <v>1022</v>
      </c>
      <c r="AI9" s="1594"/>
      <c r="AJ9" s="1594" t="s">
        <v>1023</v>
      </c>
      <c r="AK9" s="1594"/>
      <c r="AL9" s="1594"/>
      <c r="AM9" s="799" t="s">
        <v>1024</v>
      </c>
      <c r="AN9" s="1594" t="s">
        <v>1025</v>
      </c>
      <c r="AO9" s="799" t="s">
        <v>1026</v>
      </c>
      <c r="AP9" s="1594"/>
      <c r="AQ9" s="1982"/>
      <c r="AR9" s="2115"/>
      <c r="AS9" s="1594" t="s">
        <v>1027</v>
      </c>
      <c r="AU9" s="1594"/>
      <c r="AV9" s="1594" t="s">
        <v>1028</v>
      </c>
      <c r="AW9" s="1594" t="s">
        <v>1029</v>
      </c>
      <c r="AX9" s="1594" t="s">
        <v>1030</v>
      </c>
      <c r="AY9" s="1594" t="s">
        <v>1031</v>
      </c>
      <c r="AZ9" s="1982"/>
      <c r="BA9" s="799"/>
      <c r="BB9" s="1594"/>
      <c r="BC9" s="1594" t="s">
        <v>1032</v>
      </c>
      <c r="BD9" s="1594" t="s">
        <v>1033</v>
      </c>
      <c r="BE9" s="1594"/>
      <c r="BF9" s="1594" t="s">
        <v>1034</v>
      </c>
      <c r="BG9" s="1594" t="s">
        <v>1035</v>
      </c>
      <c r="BH9" s="1594"/>
      <c r="BI9" s="1594"/>
      <c r="BJ9" s="1594"/>
      <c r="BK9" s="1594" t="s">
        <v>1036</v>
      </c>
      <c r="BL9" s="1594"/>
      <c r="BM9" s="1594"/>
      <c r="BN9" s="1594" t="s">
        <v>1037</v>
      </c>
      <c r="BO9" s="1594"/>
      <c r="BP9" s="1982"/>
      <c r="BQ9" s="2115"/>
      <c r="BR9" s="1594"/>
      <c r="BS9" s="1594"/>
      <c r="BT9" s="1594"/>
      <c r="BU9" s="1594"/>
      <c r="BV9" s="1594" t="s">
        <v>1038</v>
      </c>
      <c r="BW9" s="1986"/>
      <c r="BX9" s="2115"/>
      <c r="BY9" s="1594" t="s">
        <v>1039</v>
      </c>
      <c r="BZ9" s="1594" t="s">
        <v>1040</v>
      </c>
      <c r="CA9" s="1594"/>
      <c r="CB9" s="1594"/>
      <c r="CC9" s="1594"/>
      <c r="CD9" s="1982"/>
      <c r="CE9" s="1594" t="s">
        <v>1041</v>
      </c>
      <c r="CF9" s="1594" t="s">
        <v>1042</v>
      </c>
      <c r="CG9" s="1594"/>
      <c r="CH9" s="1594"/>
      <c r="CI9" s="1594"/>
      <c r="CJ9" s="1986"/>
      <c r="CK9" s="1986"/>
      <c r="CL9" s="1594" t="s">
        <v>1043</v>
      </c>
      <c r="CM9" s="1986"/>
      <c r="CN9" s="1986"/>
      <c r="CO9" s="1594"/>
      <c r="CP9" s="1594"/>
      <c r="CQ9" s="1594" t="s">
        <v>1044</v>
      </c>
      <c r="CR9" s="2115"/>
      <c r="CS9" s="2117"/>
      <c r="CT9" s="1594" t="s">
        <v>1045</v>
      </c>
      <c r="CU9" s="2115"/>
      <c r="CV9" s="1594" t="s">
        <v>1046</v>
      </c>
      <c r="CW9" s="2115"/>
      <c r="CX9" s="1594" t="s">
        <v>1047</v>
      </c>
      <c r="CY9" s="2115"/>
      <c r="CZ9" s="2115"/>
      <c r="DA9" s="799"/>
      <c r="DB9" s="2118" t="s">
        <v>1048</v>
      </c>
      <c r="DC9" s="1594" t="s">
        <v>1049</v>
      </c>
      <c r="DD9" s="1594"/>
      <c r="DE9" s="1594" t="s">
        <v>1050</v>
      </c>
      <c r="DG9" s="1933" t="s">
        <v>1051</v>
      </c>
      <c r="DH9" s="2115"/>
      <c r="DI9" s="2115"/>
      <c r="DJ9" s="2115"/>
      <c r="DK9" s="1933" t="s">
        <v>1052</v>
      </c>
      <c r="DL9" s="2117"/>
      <c r="DM9" s="2119" t="s">
        <v>1053</v>
      </c>
      <c r="DN9" s="2119"/>
      <c r="DO9" s="2119" t="s">
        <v>1054</v>
      </c>
    </row>
    <row r="10" s="2116" customFormat="true" ht="18" hidden="false" customHeight="true" outlineLevel="0" collapsed="false">
      <c r="A10" s="1594" t="s">
        <v>1055</v>
      </c>
      <c r="B10" s="1594" t="s">
        <v>1056</v>
      </c>
      <c r="C10" s="1594" t="s">
        <v>1057</v>
      </c>
      <c r="D10" s="1594"/>
      <c r="E10" s="1594" t="s">
        <v>1058</v>
      </c>
      <c r="F10" s="1594"/>
      <c r="G10" s="2115"/>
      <c r="H10" s="1594" t="s">
        <v>1059</v>
      </c>
      <c r="I10" s="1594" t="s">
        <v>1060</v>
      </c>
      <c r="J10" s="1982"/>
      <c r="K10" s="1594" t="s">
        <v>1061</v>
      </c>
      <c r="L10" s="799"/>
      <c r="M10" s="1594"/>
      <c r="N10" s="1594"/>
      <c r="Q10" s="1594"/>
      <c r="R10" s="1594"/>
      <c r="S10" s="1594"/>
      <c r="T10" s="1594"/>
      <c r="U10" s="799"/>
      <c r="V10" s="1514"/>
      <c r="W10" s="1514"/>
      <c r="X10" s="1514"/>
      <c r="Y10" s="1514"/>
      <c r="Z10" s="1516"/>
      <c r="AA10" s="1594" t="s">
        <v>1062</v>
      </c>
      <c r="AB10" s="1594"/>
      <c r="AC10" s="1594"/>
      <c r="AD10" s="1594"/>
      <c r="AE10" s="1594"/>
      <c r="AF10" s="799" t="s">
        <v>1062</v>
      </c>
      <c r="AG10" s="1594"/>
      <c r="AH10" s="1594" t="s">
        <v>1063</v>
      </c>
      <c r="AI10" s="1594"/>
      <c r="AJ10" s="1594" t="s">
        <v>1064</v>
      </c>
      <c r="AK10" s="1594"/>
      <c r="AL10" s="1594"/>
      <c r="AM10" s="799" t="s">
        <v>1062</v>
      </c>
      <c r="AN10" s="1594"/>
      <c r="AO10" s="1594" t="s">
        <v>1064</v>
      </c>
      <c r="AP10" s="1594"/>
      <c r="AQ10" s="1982"/>
      <c r="AR10" s="2115"/>
      <c r="AS10" s="1594"/>
      <c r="AT10" s="1594"/>
      <c r="AU10" s="1594"/>
      <c r="AV10" s="1594" t="s">
        <v>1063</v>
      </c>
      <c r="AW10" s="1594" t="s">
        <v>1065</v>
      </c>
      <c r="AX10" s="1594" t="s">
        <v>1066</v>
      </c>
      <c r="AY10" s="1594" t="s">
        <v>1067</v>
      </c>
      <c r="AZ10" s="1982"/>
      <c r="BA10" s="799"/>
      <c r="BB10" s="1594"/>
      <c r="BC10" s="1594"/>
      <c r="BD10" s="1594"/>
      <c r="BE10" s="1594"/>
      <c r="BF10" s="1594"/>
      <c r="BG10" s="1594"/>
      <c r="BH10" s="1594"/>
      <c r="BI10" s="1594"/>
      <c r="BJ10" s="1594"/>
      <c r="BK10" s="1594" t="s">
        <v>1068</v>
      </c>
      <c r="BL10" s="1594"/>
      <c r="BM10" s="1594"/>
      <c r="BN10" s="1594" t="s">
        <v>1069</v>
      </c>
      <c r="BO10" s="1594"/>
      <c r="BP10" s="1982"/>
      <c r="BQ10" s="2115"/>
      <c r="BR10" s="1594"/>
      <c r="BS10" s="1594"/>
      <c r="BT10" s="1594"/>
      <c r="BU10" s="1594"/>
      <c r="BV10" s="1594"/>
      <c r="BW10" s="1986"/>
      <c r="BX10" s="2115"/>
      <c r="BY10" s="1594" t="s">
        <v>1064</v>
      </c>
      <c r="CA10" s="1594"/>
      <c r="CB10" s="1594"/>
      <c r="CC10" s="1594"/>
      <c r="CD10" s="1982"/>
      <c r="CE10" s="1594"/>
      <c r="CF10" s="1594" t="s">
        <v>1070</v>
      </c>
      <c r="CG10" s="1594"/>
      <c r="CH10" s="1594"/>
      <c r="CI10" s="1594"/>
      <c r="CJ10" s="1986"/>
      <c r="CK10" s="1986"/>
      <c r="CL10" s="1594" t="s">
        <v>1071</v>
      </c>
      <c r="CM10" s="1986"/>
      <c r="CN10" s="1986"/>
      <c r="CO10" s="1594"/>
      <c r="CP10" s="1594"/>
      <c r="CQ10" s="1594" t="s">
        <v>1072</v>
      </c>
      <c r="CR10" s="2115"/>
      <c r="CS10" s="2117"/>
      <c r="CT10" s="1594" t="s">
        <v>1065</v>
      </c>
      <c r="CU10" s="2115"/>
      <c r="CV10" s="2115"/>
      <c r="CW10" s="2115"/>
      <c r="CX10" s="1594" t="s">
        <v>1073</v>
      </c>
      <c r="CY10" s="2115"/>
      <c r="CZ10" s="2115"/>
      <c r="DA10" s="799"/>
      <c r="DB10" s="1594" t="s">
        <v>1065</v>
      </c>
      <c r="DC10" s="2115"/>
      <c r="DD10" s="2115"/>
      <c r="DE10" s="2115"/>
      <c r="DF10" s="1594"/>
      <c r="DG10" s="1933"/>
      <c r="DH10" s="2115"/>
      <c r="DI10" s="2115"/>
      <c r="DJ10" s="2115"/>
      <c r="DK10" s="1933"/>
      <c r="DL10" s="2117"/>
      <c r="DM10" s="2119"/>
      <c r="DN10" s="2119"/>
      <c r="DO10" s="2119"/>
    </row>
    <row r="11" s="20" customFormat="true" ht="24" hidden="false" customHeight="false" outlineLevel="0" collapsed="false">
      <c r="A11" s="802" t="s">
        <v>886</v>
      </c>
      <c r="B11" s="802"/>
      <c r="C11" s="802"/>
      <c r="D11" s="1514" t="s">
        <v>888</v>
      </c>
      <c r="E11" s="802"/>
      <c r="F11" s="801"/>
      <c r="G11" s="1514" t="s">
        <v>889</v>
      </c>
      <c r="H11" s="1514" t="s">
        <v>890</v>
      </c>
      <c r="I11" s="1514" t="s">
        <v>891</v>
      </c>
      <c r="J11" s="1516"/>
      <c r="K11" s="1514" t="s">
        <v>892</v>
      </c>
      <c r="L11" s="1983" t="s">
        <v>896</v>
      </c>
      <c r="M11" s="1514" t="s">
        <v>896</v>
      </c>
      <c r="N11" s="1514" t="s">
        <v>897</v>
      </c>
      <c r="O11" s="1594" t="s">
        <v>951</v>
      </c>
      <c r="P11" s="1594" t="s">
        <v>1074</v>
      </c>
      <c r="Q11" s="1514" t="s">
        <v>898</v>
      </c>
      <c r="R11" s="1514" t="s">
        <v>898</v>
      </c>
      <c r="S11" s="1514"/>
      <c r="T11" s="1514"/>
      <c r="U11" s="1983"/>
      <c r="V11" s="1514"/>
      <c r="W11" s="1514"/>
      <c r="X11" s="1514"/>
      <c r="Y11" s="1514"/>
      <c r="Z11" s="1516"/>
      <c r="AA11" s="1514"/>
      <c r="AB11" s="1514"/>
      <c r="AC11" s="1514"/>
      <c r="AD11" s="1514"/>
      <c r="AE11" s="1514"/>
      <c r="AF11" s="1983" t="s">
        <v>910</v>
      </c>
      <c r="AG11" s="1514" t="s">
        <v>911</v>
      </c>
      <c r="AH11" s="1514" t="s">
        <v>895</v>
      </c>
      <c r="AI11" s="1514" t="s">
        <v>900</v>
      </c>
      <c r="AJ11" s="1514" t="s">
        <v>901</v>
      </c>
      <c r="AK11" s="1514" t="s">
        <v>891</v>
      </c>
      <c r="AL11" s="1514"/>
      <c r="AM11" s="799" t="s">
        <v>901</v>
      </c>
      <c r="AN11" s="1514" t="s">
        <v>912</v>
      </c>
      <c r="AO11" s="1594" t="s">
        <v>901</v>
      </c>
      <c r="AP11" s="1594" t="s">
        <v>891</v>
      </c>
      <c r="AQ11" s="1982"/>
      <c r="AR11" s="801"/>
      <c r="AS11" s="1984"/>
      <c r="AT11" s="1984" t="s">
        <v>914</v>
      </c>
      <c r="AU11" s="1984" t="s">
        <v>920</v>
      </c>
      <c r="AV11" s="1984" t="s">
        <v>920</v>
      </c>
      <c r="AW11" s="1594" t="s">
        <v>915</v>
      </c>
      <c r="AX11" s="1594"/>
      <c r="AY11" s="1594"/>
      <c r="AZ11" s="1982" t="s">
        <v>917</v>
      </c>
      <c r="BA11" s="1983" t="s">
        <v>1075</v>
      </c>
      <c r="BB11" s="1514" t="s">
        <v>914</v>
      </c>
      <c r="BC11" s="1594" t="s">
        <v>920</v>
      </c>
      <c r="BD11" s="1594" t="s">
        <v>920</v>
      </c>
      <c r="BE11" s="1594" t="s">
        <v>921</v>
      </c>
      <c r="BF11" s="1594" t="s">
        <v>901</v>
      </c>
      <c r="BG11" s="1594" t="s">
        <v>901</v>
      </c>
      <c r="BH11" s="1594" t="s">
        <v>922</v>
      </c>
      <c r="BI11" s="1594" t="s">
        <v>923</v>
      </c>
      <c r="BJ11" s="1594" t="s">
        <v>924</v>
      </c>
      <c r="BK11" s="1985" t="s">
        <v>925</v>
      </c>
      <c r="BL11" s="1985" t="s">
        <v>926</v>
      </c>
      <c r="BM11" s="1985" t="s">
        <v>926</v>
      </c>
      <c r="BN11" s="1985" t="s">
        <v>1076</v>
      </c>
      <c r="BO11" s="1985" t="s">
        <v>927</v>
      </c>
      <c r="BP11" s="2120" t="s">
        <v>928</v>
      </c>
      <c r="BQ11" s="1594"/>
      <c r="BR11" s="1594"/>
      <c r="BS11" s="1594"/>
      <c r="BT11" s="1594"/>
      <c r="BU11" s="1594"/>
      <c r="BV11" s="1594" t="s">
        <v>914</v>
      </c>
      <c r="BW11" s="1986" t="s">
        <v>929</v>
      </c>
      <c r="BX11" s="1594"/>
      <c r="BY11" s="1986" t="s">
        <v>901</v>
      </c>
      <c r="BZ11" s="1514" t="s">
        <v>901</v>
      </c>
      <c r="CA11" s="1594"/>
      <c r="CB11" s="1987"/>
      <c r="CC11" s="1987"/>
      <c r="CD11" s="1988"/>
      <c r="CE11" s="1987"/>
      <c r="CG11" s="1594" t="s">
        <v>892</v>
      </c>
      <c r="CH11" s="1989" t="s">
        <v>931</v>
      </c>
      <c r="CI11" s="1989" t="s">
        <v>932</v>
      </c>
      <c r="CL11" s="1984" t="s">
        <v>933</v>
      </c>
      <c r="CO11" s="1989" t="s">
        <v>934</v>
      </c>
      <c r="CP11" s="1990" t="s">
        <v>935</v>
      </c>
      <c r="CQ11" s="1989" t="s">
        <v>1077</v>
      </c>
      <c r="CR11" s="1989" t="s">
        <v>937</v>
      </c>
      <c r="CS11" s="1988" t="s">
        <v>938</v>
      </c>
      <c r="CT11" s="1989" t="s">
        <v>942</v>
      </c>
      <c r="CU11" s="1989" t="s">
        <v>943</v>
      </c>
      <c r="CV11" s="1989" t="s">
        <v>944</v>
      </c>
      <c r="CW11" s="1989" t="s">
        <v>945</v>
      </c>
      <c r="CX11" s="1989" t="s">
        <v>897</v>
      </c>
      <c r="CY11" s="1989" t="s">
        <v>946</v>
      </c>
      <c r="CZ11" s="1989" t="s">
        <v>947</v>
      </c>
      <c r="DA11" s="1421"/>
      <c r="DB11" s="1991" t="s">
        <v>942</v>
      </c>
      <c r="DC11" s="1987" t="s">
        <v>943</v>
      </c>
      <c r="DD11" s="1987"/>
      <c r="DE11" s="1987"/>
      <c r="DF11" s="1987" t="s">
        <v>948</v>
      </c>
      <c r="DG11" s="1933" t="s">
        <v>949</v>
      </c>
      <c r="DH11" s="1987" t="s">
        <v>950</v>
      </c>
      <c r="DI11" s="1987"/>
      <c r="DJ11" s="1987"/>
      <c r="DK11" s="1987"/>
      <c r="DL11" s="1988"/>
      <c r="DM11" s="2121"/>
      <c r="DN11" s="2121"/>
      <c r="DO11" s="2121"/>
    </row>
    <row r="12" s="485" customFormat="true" ht="12" hidden="false" customHeight="false" outlineLevel="0" collapsed="false">
      <c r="A12" s="31" t="n">
        <v>1950</v>
      </c>
      <c r="B12" s="1994" t="n">
        <f aca="false">C12-I12</f>
        <v>90.72</v>
      </c>
      <c r="C12" s="384" t="n">
        <f aca="false">H12+F12</f>
        <v>98.6</v>
      </c>
      <c r="D12" s="1509" t="n">
        <f aca="false">B12+BK12+BN12</f>
        <v>86.12</v>
      </c>
      <c r="E12" s="1995" t="n">
        <f aca="false">B12-K12</f>
        <v>78.51</v>
      </c>
      <c r="F12" s="1995" t="n">
        <f aca="false">BA12</f>
        <v>1.42</v>
      </c>
      <c r="G12" s="1994" t="n">
        <f aca="false">H12-I12</f>
        <v>89.3</v>
      </c>
      <c r="H12" s="1478" t="n">
        <v>97.18</v>
      </c>
      <c r="I12" s="1478" t="n">
        <v>7.88</v>
      </c>
      <c r="J12" s="1478"/>
      <c r="K12" s="2122" t="n">
        <v>12.21</v>
      </c>
      <c r="L12" s="2000" t="n">
        <v>63.21</v>
      </c>
      <c r="M12" s="1997" t="n">
        <v>10.16</v>
      </c>
      <c r="N12" s="1997" t="n">
        <v>22.87</v>
      </c>
      <c r="O12" s="1997" t="n">
        <v>18.77</v>
      </c>
      <c r="P12" s="1997" t="n">
        <f aca="false">N12-O12</f>
        <v>4.1</v>
      </c>
      <c r="Q12" s="1997" t="n">
        <f aca="false">S12-BC12-BF12</f>
        <v>13.33</v>
      </c>
      <c r="R12" s="2052" t="n">
        <f aca="false">T12-BD12-BG12</f>
        <v>12.39</v>
      </c>
      <c r="S12" s="1997" t="n">
        <v>14.84</v>
      </c>
      <c r="T12" s="1997" t="n">
        <v>12.48</v>
      </c>
      <c r="U12" s="2000" t="n">
        <f aca="false">AA12+AF12</f>
        <v>71.42</v>
      </c>
      <c r="V12" s="1997" t="n">
        <f aca="false">U12+Y12</f>
        <v>78.84</v>
      </c>
      <c r="W12" s="1997" t="n">
        <f aca="false">AC12+AJ12</f>
        <v>38.59</v>
      </c>
      <c r="X12" s="1997" t="n">
        <f aca="false">U12-W12</f>
        <v>32.83</v>
      </c>
      <c r="Y12" s="1997" t="n">
        <f aca="false">AD12+AK12</f>
        <v>7.42</v>
      </c>
      <c r="Z12" s="1319" t="n">
        <f aca="false">Y12/V12</f>
        <v>0.0941146626078133</v>
      </c>
      <c r="AA12" s="1997" t="n">
        <v>1.61</v>
      </c>
      <c r="AB12" s="1997" t="n">
        <v>1.7</v>
      </c>
      <c r="AC12" s="1997" t="n">
        <f aca="false">AA12</f>
        <v>1.61</v>
      </c>
      <c r="AD12" s="1997" t="n">
        <f aca="false">AB12-AA12</f>
        <v>0.0899999999999999</v>
      </c>
      <c r="AE12" s="514" t="n">
        <f aca="false">AD12/AB12</f>
        <v>0.0529411764705882</v>
      </c>
      <c r="AF12" s="2123" t="n">
        <v>69.81</v>
      </c>
      <c r="AG12" s="2124" t="n">
        <f aca="false">AI12+AJ12</f>
        <v>77.14</v>
      </c>
      <c r="AH12" s="2125" t="n">
        <f aca="false">AF12-AJ12</f>
        <v>32.83</v>
      </c>
      <c r="AI12" s="1509" t="n">
        <f aca="false">AH12+AK12</f>
        <v>40.16</v>
      </c>
      <c r="AJ12" s="1478" t="n">
        <v>36.98</v>
      </c>
      <c r="AK12" s="2044" t="n">
        <f aca="false">I12-AD12-AP12</f>
        <v>7.33</v>
      </c>
      <c r="AL12" s="2126" t="n">
        <f aca="false">AK12/AG12</f>
        <v>0.0950220378532538</v>
      </c>
      <c r="AM12" s="2127" t="n">
        <v>5.67</v>
      </c>
      <c r="AN12" s="2124" t="n">
        <v>6.13</v>
      </c>
      <c r="AO12" s="1478" t="n">
        <f aca="false">AM12</f>
        <v>5.67</v>
      </c>
      <c r="AP12" s="1478" t="n">
        <f aca="false">AN12-AM12</f>
        <v>0.46</v>
      </c>
      <c r="AQ12" s="2128" t="n">
        <f aca="false">AP12/AN12</f>
        <v>0.0750407830342578</v>
      </c>
      <c r="AR12" s="1509" t="n">
        <f aca="false">AH12</f>
        <v>32.83</v>
      </c>
      <c r="AS12" s="1509" t="n">
        <f aca="false">AR12-AT12-AW12</f>
        <v>6.12000000000001</v>
      </c>
      <c r="AT12" s="1509" t="n">
        <f aca="false">AY12-BB12</f>
        <v>18.84</v>
      </c>
      <c r="AU12" s="1509" t="n">
        <f aca="false">AV12-AT12</f>
        <v>9.23</v>
      </c>
      <c r="AV12" s="1509" t="n">
        <v>28.07</v>
      </c>
      <c r="AW12" s="1509" t="n">
        <v>7.87</v>
      </c>
      <c r="AX12" s="1509" t="n">
        <v>5.24</v>
      </c>
      <c r="AY12" s="1509" t="n">
        <v>18.81</v>
      </c>
      <c r="AZ12" s="2003"/>
      <c r="BA12" s="1482" t="n">
        <f aca="false">BB12+BE12</f>
        <v>1.42</v>
      </c>
      <c r="BB12" s="2129" t="n">
        <f aca="false">BC12-BD12</f>
        <v>-0.03</v>
      </c>
      <c r="BC12" s="1478" t="n">
        <v>0.05</v>
      </c>
      <c r="BD12" s="1478" t="n">
        <v>0.08</v>
      </c>
      <c r="BE12" s="485" t="n">
        <f aca="false">BF12-BG12</f>
        <v>1.45</v>
      </c>
      <c r="BF12" s="1479" t="n">
        <v>1.46</v>
      </c>
      <c r="BG12" s="1478" t="n">
        <v>0.01</v>
      </c>
      <c r="BH12" s="1997"/>
      <c r="BI12" s="1997"/>
      <c r="BJ12" s="1997"/>
      <c r="BK12" s="1478" t="n">
        <v>-4.4</v>
      </c>
      <c r="BL12" s="1478"/>
      <c r="BM12" s="1478"/>
      <c r="BN12" s="1478" t="n">
        <v>-0.2</v>
      </c>
      <c r="BO12" s="1478"/>
      <c r="BP12" s="2003"/>
      <c r="BQ12" s="2007"/>
      <c r="BR12" s="2008"/>
      <c r="BS12" s="2008"/>
      <c r="BT12" s="2009"/>
      <c r="BU12" s="2009" t="n">
        <f aca="false">BB12</f>
        <v>-0.03</v>
      </c>
      <c r="BV12" s="1478" t="n">
        <v>-0.39</v>
      </c>
      <c r="BW12" s="1478"/>
      <c r="BX12" s="2007"/>
      <c r="BY12" s="1478" t="n">
        <f aca="false">CA12+CB12+AC12</f>
        <v>44.26</v>
      </c>
      <c r="BZ12" s="1509" t="n">
        <f aca="false">BY12+CD12</f>
        <v>45.71</v>
      </c>
      <c r="CA12" s="1509" t="n">
        <f aca="false">AJ12</f>
        <v>36.98</v>
      </c>
      <c r="CB12" s="1509" t="n">
        <f aca="false">AO12</f>
        <v>5.67</v>
      </c>
      <c r="CC12" s="2009"/>
      <c r="CD12" s="2015" t="n">
        <f aca="false">BE12</f>
        <v>1.45</v>
      </c>
      <c r="CE12" s="1479" t="n">
        <f aca="false">CF12+CL12</f>
        <v>29.11</v>
      </c>
      <c r="CF12" s="2007" t="n">
        <v>20.7</v>
      </c>
      <c r="CG12" s="1499" t="n">
        <f aca="false">K12</f>
        <v>12.21</v>
      </c>
      <c r="CH12" s="2017"/>
      <c r="CI12" s="2017"/>
      <c r="CJ12" s="2018"/>
      <c r="CK12" s="2018"/>
      <c r="CL12" s="1478" t="n">
        <v>8.41</v>
      </c>
      <c r="CM12" s="2018"/>
      <c r="CN12" s="2018"/>
      <c r="CO12" s="1997"/>
      <c r="CP12" s="2017"/>
      <c r="CQ12" s="2037" t="n">
        <v>12.34</v>
      </c>
      <c r="CR12" s="2017"/>
      <c r="CS12" s="2015"/>
      <c r="CT12" s="2017" t="n">
        <v>13.18</v>
      </c>
      <c r="CU12" s="2036" t="n">
        <f aca="false">CT12-M12</f>
        <v>3.02</v>
      </c>
      <c r="CV12" s="2017" t="n">
        <v>-0.81</v>
      </c>
      <c r="CW12" s="2017"/>
      <c r="CX12" s="2017" t="n">
        <v>2.04</v>
      </c>
      <c r="CY12" s="2017"/>
      <c r="CZ12" s="2017"/>
      <c r="DA12" s="2024"/>
      <c r="DB12" s="1478" t="n">
        <v>65.27</v>
      </c>
      <c r="DC12" s="1997" t="n">
        <v>2.06</v>
      </c>
      <c r="DD12" s="1997" t="n">
        <f aca="false">DC12+DJ12</f>
        <v>7.3</v>
      </c>
      <c r="DE12" s="1997" t="n">
        <v>2.86</v>
      </c>
      <c r="DF12" s="1478"/>
      <c r="DG12" s="1997" t="n">
        <v>0.69</v>
      </c>
      <c r="DH12" s="1994"/>
      <c r="DI12" s="1995" t="n">
        <f aca="false">DC12+AW12</f>
        <v>9.93</v>
      </c>
      <c r="DJ12" s="1995" t="n">
        <f aca="false">AX12</f>
        <v>5.24</v>
      </c>
      <c r="DK12" s="1997" t="n">
        <v>-0.08</v>
      </c>
      <c r="DL12" s="2130"/>
      <c r="DM12" s="111" t="n">
        <v>19570</v>
      </c>
      <c r="DN12" s="111" t="n">
        <f aca="false">DM12-DO12</f>
        <v>13247</v>
      </c>
      <c r="DO12" s="111" t="n">
        <v>6323</v>
      </c>
      <c r="DP12" s="514" t="n">
        <f aca="false">DO12/DM12</f>
        <v>0.323096576392437</v>
      </c>
    </row>
    <row r="13" s="485" customFormat="true" ht="12" hidden="false" customHeight="false" outlineLevel="0" collapsed="false">
      <c r="A13" s="31" t="n">
        <f aca="false">A12+1</f>
        <v>1951</v>
      </c>
      <c r="B13" s="1994" t="n">
        <f aca="false">C13-I13</f>
        <v>111.22</v>
      </c>
      <c r="C13" s="384" t="n">
        <f aca="false">H13+F13</f>
        <v>120.7</v>
      </c>
      <c r="D13" s="1509" t="n">
        <f aca="false">B13+BK13+BN13</f>
        <v>105.86</v>
      </c>
      <c r="E13" s="1995" t="n">
        <f aca="false">B13-K13</f>
        <v>95.3</v>
      </c>
      <c r="F13" s="1995" t="n">
        <f aca="false">BA13</f>
        <v>1.4</v>
      </c>
      <c r="G13" s="1994" t="n">
        <f aca="false">H13-I13</f>
        <v>109.82</v>
      </c>
      <c r="H13" s="1478" t="n">
        <v>119.3</v>
      </c>
      <c r="I13" s="1478" t="n">
        <v>9.48</v>
      </c>
      <c r="J13" s="1478"/>
      <c r="K13" s="2122" t="n">
        <v>15.92</v>
      </c>
      <c r="L13" s="2000" t="n">
        <v>73.26</v>
      </c>
      <c r="M13" s="1997" t="n">
        <v>12.59</v>
      </c>
      <c r="N13" s="1997" t="n">
        <v>28.22</v>
      </c>
      <c r="O13" s="1997" t="n">
        <v>22.82</v>
      </c>
      <c r="P13" s="1997" t="n">
        <f aca="false">N13-O13</f>
        <v>5.4</v>
      </c>
      <c r="Q13" s="1997" t="n">
        <f aca="false">S13-BC13-BF13</f>
        <v>21.43</v>
      </c>
      <c r="R13" s="2052" t="n">
        <f aca="false">T13-BD13-BG13</f>
        <v>16.2</v>
      </c>
      <c r="S13" s="1997" t="n">
        <v>23.09</v>
      </c>
      <c r="T13" s="1997" t="n">
        <v>16.46</v>
      </c>
      <c r="U13" s="2000" t="n">
        <f aca="false">AA13+AF13</f>
        <v>87.23</v>
      </c>
      <c r="V13" s="1997" t="n">
        <f aca="false">U13+Y13</f>
        <v>96.17</v>
      </c>
      <c r="W13" s="1997" t="n">
        <f aca="false">AC13+AJ13</f>
        <v>47.08</v>
      </c>
      <c r="X13" s="1997" t="n">
        <f aca="false">U13-W13</f>
        <v>40.15</v>
      </c>
      <c r="Y13" s="1997" t="n">
        <f aca="false">AD13+AK13</f>
        <v>8.94</v>
      </c>
      <c r="Z13" s="1319" t="n">
        <f aca="false">Y13/V13</f>
        <v>0.0929603826557139</v>
      </c>
      <c r="AA13" s="1997" t="n">
        <v>1.87</v>
      </c>
      <c r="AB13" s="1997" t="n">
        <v>1.98</v>
      </c>
      <c r="AC13" s="1997" t="n">
        <f aca="false">AA13</f>
        <v>1.87</v>
      </c>
      <c r="AD13" s="1997" t="n">
        <f aca="false">AB13-AA13</f>
        <v>0.11</v>
      </c>
      <c r="AE13" s="514" t="n">
        <f aca="false">AD13/AB13</f>
        <v>0.0555555555555555</v>
      </c>
      <c r="AF13" s="2123" t="n">
        <v>85.36</v>
      </c>
      <c r="AG13" s="2124" t="n">
        <f aca="false">AI13+AJ13</f>
        <v>94.19</v>
      </c>
      <c r="AH13" s="2125" t="n">
        <f aca="false">AF13-AJ13</f>
        <v>40.15</v>
      </c>
      <c r="AI13" s="1509" t="n">
        <f aca="false">AH13+AK13</f>
        <v>48.98</v>
      </c>
      <c r="AJ13" s="1478" t="n">
        <v>45.21</v>
      </c>
      <c r="AK13" s="2044" t="n">
        <f aca="false">I13-AD13-AP13</f>
        <v>8.83</v>
      </c>
      <c r="AL13" s="2126" t="n">
        <f aca="false">AK13/AG13</f>
        <v>0.0937466822380295</v>
      </c>
      <c r="AM13" s="2127" t="n">
        <v>6.67</v>
      </c>
      <c r="AN13" s="2124" t="n">
        <v>7.21</v>
      </c>
      <c r="AO13" s="1478" t="n">
        <f aca="false">AM13</f>
        <v>6.67</v>
      </c>
      <c r="AP13" s="1478" t="n">
        <f aca="false">AN13-AM13</f>
        <v>0.54</v>
      </c>
      <c r="AQ13" s="2128" t="n">
        <f aca="false">AP13/AN13</f>
        <v>0.0748959778085992</v>
      </c>
      <c r="AR13" s="1509" t="n">
        <f aca="false">AH13</f>
        <v>40.15</v>
      </c>
      <c r="AS13" s="1509" t="n">
        <f aca="false">AR13-AT13-AW13</f>
        <v>7.2</v>
      </c>
      <c r="AT13" s="1509" t="n">
        <f aca="false">AY13-BB13</f>
        <v>21.49</v>
      </c>
      <c r="AU13" s="1509" t="n">
        <f aca="false">AV13-AT13</f>
        <v>13.09</v>
      </c>
      <c r="AV13" s="1509" t="n">
        <v>34.58</v>
      </c>
      <c r="AW13" s="1509" t="n">
        <v>11.46</v>
      </c>
      <c r="AX13" s="1509" t="n">
        <v>8.59</v>
      </c>
      <c r="AY13" s="1509" t="n">
        <v>21.35</v>
      </c>
      <c r="AZ13" s="2003"/>
      <c r="BA13" s="1482" t="n">
        <f aca="false">BB13+BE13</f>
        <v>1.4</v>
      </c>
      <c r="BB13" s="1479" t="n">
        <f aca="false">BC13-BD13</f>
        <v>-0.14</v>
      </c>
      <c r="BC13" s="1478" t="n">
        <v>0.11</v>
      </c>
      <c r="BD13" s="1478" t="n">
        <v>0.25</v>
      </c>
      <c r="BE13" s="485" t="n">
        <f aca="false">BF13-BG13</f>
        <v>1.54</v>
      </c>
      <c r="BF13" s="1479" t="n">
        <v>1.55</v>
      </c>
      <c r="BG13" s="1478" t="n">
        <v>0.01</v>
      </c>
      <c r="BH13" s="1997"/>
      <c r="BI13" s="1997"/>
      <c r="BJ13" s="1997"/>
      <c r="BK13" s="1478" t="n">
        <v>-5.46</v>
      </c>
      <c r="BL13" s="1478"/>
      <c r="BM13" s="1478"/>
      <c r="BN13" s="1478" t="n">
        <v>0.1</v>
      </c>
      <c r="BO13" s="1478"/>
      <c r="BP13" s="2003"/>
      <c r="BQ13" s="2007"/>
      <c r="BR13" s="2008"/>
      <c r="BS13" s="2008"/>
      <c r="BT13" s="2009"/>
      <c r="BU13" s="2017" t="n">
        <f aca="false">BB13</f>
        <v>-0.14</v>
      </c>
      <c r="BV13" s="1478" t="n">
        <v>-0.63</v>
      </c>
      <c r="BW13" s="1478"/>
      <c r="BX13" s="2007"/>
      <c r="BY13" s="1478" t="n">
        <f aca="false">CA13+CB13+AC13</f>
        <v>53.75</v>
      </c>
      <c r="BZ13" s="1509" t="n">
        <f aca="false">BY13+CD13</f>
        <v>55.29</v>
      </c>
      <c r="CA13" s="1509" t="n">
        <f aca="false">AJ13</f>
        <v>45.21</v>
      </c>
      <c r="CB13" s="1509" t="n">
        <f aca="false">AO13</f>
        <v>6.67</v>
      </c>
      <c r="CC13" s="2009"/>
      <c r="CD13" s="2015" t="n">
        <f aca="false">BE13</f>
        <v>1.54</v>
      </c>
      <c r="CE13" s="1479" t="n">
        <f aca="false">CF13+CL13</f>
        <v>37.07</v>
      </c>
      <c r="CF13" s="2007" t="n">
        <v>26.95</v>
      </c>
      <c r="CG13" s="1499" t="n">
        <f aca="false">K13</f>
        <v>15.92</v>
      </c>
      <c r="CH13" s="2017"/>
      <c r="CI13" s="2017"/>
      <c r="CJ13" s="2018"/>
      <c r="CK13" s="2018"/>
      <c r="CL13" s="1478" t="n">
        <v>10.12</v>
      </c>
      <c r="CM13" s="2018"/>
      <c r="CN13" s="2018"/>
      <c r="CO13" s="1997"/>
      <c r="CP13" s="2017"/>
      <c r="CQ13" s="2037" t="n">
        <v>13.74</v>
      </c>
      <c r="CR13" s="2017"/>
      <c r="CS13" s="2015"/>
      <c r="CT13" s="2017" t="n">
        <v>18.71</v>
      </c>
      <c r="CU13" s="2036" t="n">
        <f aca="false">CT13-M13</f>
        <v>6.12</v>
      </c>
      <c r="CV13" s="2017" t="n">
        <v>-0.61</v>
      </c>
      <c r="CW13" s="2017"/>
      <c r="CX13" s="2017" t="n">
        <v>2.36</v>
      </c>
      <c r="CY13" s="2017"/>
      <c r="CZ13" s="2017"/>
      <c r="DA13" s="2024"/>
      <c r="DB13" s="1478" t="n">
        <v>75.59</v>
      </c>
      <c r="DC13" s="1478" t="n">
        <v>2.33</v>
      </c>
      <c r="DD13" s="1997" t="n">
        <f aca="false">DC13+DJ13</f>
        <v>10.92</v>
      </c>
      <c r="DE13" s="1478" t="n">
        <v>3.13</v>
      </c>
      <c r="DF13" s="1478"/>
      <c r="DG13" s="1997" t="n">
        <v>0.64</v>
      </c>
      <c r="DH13" s="1994"/>
      <c r="DI13" s="1995" t="n">
        <f aca="false">DC13+AW13</f>
        <v>13.79</v>
      </c>
      <c r="DJ13" s="1995" t="n">
        <f aca="false">AX13</f>
        <v>8.59</v>
      </c>
      <c r="DK13" s="1997" t="n">
        <v>0.07</v>
      </c>
      <c r="DL13" s="2025"/>
      <c r="DM13" s="111" t="n">
        <v>20091</v>
      </c>
      <c r="DN13" s="111" t="n">
        <f aca="false">DM13-DO13</f>
        <v>13857</v>
      </c>
      <c r="DO13" s="111" t="n">
        <v>6234</v>
      </c>
      <c r="DP13" s="514" t="n">
        <f aca="false">DO13/DM13</f>
        <v>0.310288188741227</v>
      </c>
    </row>
    <row r="14" s="485" customFormat="true" ht="12" hidden="false" customHeight="false" outlineLevel="0" collapsed="false">
      <c r="A14" s="31" t="n">
        <f aca="false">A13+1</f>
        <v>1952</v>
      </c>
      <c r="B14" s="1994" t="n">
        <f aca="false">C14-I14</f>
        <v>127.13</v>
      </c>
      <c r="C14" s="384" t="n">
        <f aca="false">H14+F14</f>
        <v>137.9</v>
      </c>
      <c r="D14" s="1509" t="n">
        <f aca="false">B14+BK14+BN14</f>
        <v>120.93</v>
      </c>
      <c r="E14" s="1995" t="n">
        <f aca="false">B14-K14</f>
        <v>108.25</v>
      </c>
      <c r="F14" s="1995" t="n">
        <f aca="false">BA14</f>
        <v>1.48</v>
      </c>
      <c r="G14" s="1994" t="n">
        <f aca="false">H14-I14</f>
        <v>125.65</v>
      </c>
      <c r="H14" s="1478" t="n">
        <v>136.42</v>
      </c>
      <c r="I14" s="1478" t="n">
        <v>10.77</v>
      </c>
      <c r="J14" s="1478"/>
      <c r="K14" s="2122" t="n">
        <v>18.88</v>
      </c>
      <c r="L14" s="2000" t="n">
        <v>80.82</v>
      </c>
      <c r="M14" s="1997" t="n">
        <v>14.8</v>
      </c>
      <c r="N14" s="1997" t="n">
        <v>33.72</v>
      </c>
      <c r="O14" s="1997" t="n">
        <v>26.82</v>
      </c>
      <c r="P14" s="1997" t="n">
        <f aca="false">N14-O14</f>
        <v>6.9</v>
      </c>
      <c r="Q14" s="1997" t="n">
        <f aca="false">S14-BC14-BF14</f>
        <v>25.54</v>
      </c>
      <c r="R14" s="2052" t="n">
        <f aca="false">T14-BD14-BG14</f>
        <v>18.46</v>
      </c>
      <c r="S14" s="1997" t="n">
        <v>27.4</v>
      </c>
      <c r="T14" s="1997" t="n">
        <v>18.84</v>
      </c>
      <c r="U14" s="2000" t="n">
        <f aca="false">AA14+AF14</f>
        <v>98.91</v>
      </c>
      <c r="V14" s="1997" t="n">
        <f aca="false">U14+Y14</f>
        <v>109.07</v>
      </c>
      <c r="W14" s="1997" t="n">
        <f aca="false">AC14+AJ14</f>
        <v>52.29</v>
      </c>
      <c r="X14" s="1997" t="n">
        <f aca="false">U14-W14</f>
        <v>46.62</v>
      </c>
      <c r="Y14" s="1997" t="n">
        <f aca="false">AD14+AK14</f>
        <v>10.16</v>
      </c>
      <c r="Z14" s="1319" t="n">
        <f aca="false">Y14/V14</f>
        <v>0.0931511873109013</v>
      </c>
      <c r="AA14" s="1997" t="n">
        <v>2.16</v>
      </c>
      <c r="AB14" s="1997" t="n">
        <v>2.28</v>
      </c>
      <c r="AC14" s="1997" t="n">
        <f aca="false">AA14</f>
        <v>2.16</v>
      </c>
      <c r="AD14" s="1997" t="n">
        <f aca="false">AB14-AA14</f>
        <v>0.12</v>
      </c>
      <c r="AE14" s="514" t="n">
        <f aca="false">AD14/AB14</f>
        <v>0.0526315789473683</v>
      </c>
      <c r="AF14" s="2123" t="n">
        <v>96.75</v>
      </c>
      <c r="AG14" s="2124" t="n">
        <f aca="false">AI14+AJ14</f>
        <v>106.79</v>
      </c>
      <c r="AH14" s="2125" t="n">
        <f aca="false">AF14-AJ14</f>
        <v>46.62</v>
      </c>
      <c r="AI14" s="1509" t="n">
        <f aca="false">AH14+AK14</f>
        <v>56.66</v>
      </c>
      <c r="AJ14" s="1478" t="n">
        <v>50.13</v>
      </c>
      <c r="AK14" s="2044" t="n">
        <f aca="false">I14-AD14-AP14</f>
        <v>10.04</v>
      </c>
      <c r="AL14" s="2126" t="n">
        <f aca="false">AK14/AG14</f>
        <v>0.0940162936604551</v>
      </c>
      <c r="AM14" s="2127" t="n">
        <v>7.86</v>
      </c>
      <c r="AN14" s="2124" t="n">
        <v>8.47</v>
      </c>
      <c r="AO14" s="1478" t="n">
        <f aca="false">AM14</f>
        <v>7.86</v>
      </c>
      <c r="AP14" s="1478" t="n">
        <f aca="false">AN14-AM14</f>
        <v>0.61</v>
      </c>
      <c r="AQ14" s="2128" t="n">
        <f aca="false">AP14/AN14</f>
        <v>0.0720188902007084</v>
      </c>
      <c r="AR14" s="1509" t="n">
        <f aca="false">AH14</f>
        <v>46.62</v>
      </c>
      <c r="AS14" s="1509" t="n">
        <f aca="false">AR14-AT14-AW14</f>
        <v>9.22</v>
      </c>
      <c r="AT14" s="1509" t="n">
        <f aca="false">AY14-BB14</f>
        <v>25.39</v>
      </c>
      <c r="AU14" s="1509" t="n">
        <f aca="false">AV14-AT14</f>
        <v>15.43</v>
      </c>
      <c r="AV14" s="1509" t="n">
        <v>40.82</v>
      </c>
      <c r="AW14" s="1509" t="n">
        <v>12.01</v>
      </c>
      <c r="AX14" s="1509" t="n">
        <v>9.29</v>
      </c>
      <c r="AY14" s="1509" t="n">
        <v>25.19</v>
      </c>
      <c r="AZ14" s="2003"/>
      <c r="BA14" s="1482" t="n">
        <f aca="false">BB14+BE14</f>
        <v>1.48</v>
      </c>
      <c r="BB14" s="1479" t="n">
        <f aca="false">BC14-BD14</f>
        <v>-0.2</v>
      </c>
      <c r="BC14" s="1478" t="n">
        <v>0.16</v>
      </c>
      <c r="BD14" s="1478" t="n">
        <v>0.36</v>
      </c>
      <c r="BE14" s="485" t="n">
        <f aca="false">BF14-BG14</f>
        <v>1.68</v>
      </c>
      <c r="BF14" s="1479" t="n">
        <v>1.7</v>
      </c>
      <c r="BG14" s="1478" t="n">
        <v>0.02</v>
      </c>
      <c r="BH14" s="1997"/>
      <c r="BI14" s="1997"/>
      <c r="BJ14" s="1997"/>
      <c r="BK14" s="1478" t="n">
        <v>-6.59</v>
      </c>
      <c r="BL14" s="1478"/>
      <c r="BM14" s="1478"/>
      <c r="BN14" s="1478" t="n">
        <v>0.39</v>
      </c>
      <c r="BO14" s="1478"/>
      <c r="BP14" s="2003"/>
      <c r="BQ14" s="2007"/>
      <c r="BR14" s="2008"/>
      <c r="BS14" s="2008"/>
      <c r="BT14" s="2009"/>
      <c r="BU14" s="2017" t="n">
        <f aca="false">BB14</f>
        <v>-0.2</v>
      </c>
      <c r="BV14" s="1478" t="n">
        <v>-1.11</v>
      </c>
      <c r="BW14" s="1478"/>
      <c r="BX14" s="2007"/>
      <c r="BY14" s="1478" t="n">
        <f aca="false">CA14+CB14+AC14</f>
        <v>60.15</v>
      </c>
      <c r="BZ14" s="1509" t="n">
        <f aca="false">BY14+CD14</f>
        <v>61.83</v>
      </c>
      <c r="CA14" s="1509" t="n">
        <f aca="false">AJ14</f>
        <v>50.13</v>
      </c>
      <c r="CB14" s="1509" t="n">
        <f aca="false">AO14</f>
        <v>7.86</v>
      </c>
      <c r="CC14" s="2009"/>
      <c r="CD14" s="2015" t="n">
        <f aca="false">BE14</f>
        <v>1.68</v>
      </c>
      <c r="CE14" s="1479" t="n">
        <f aca="false">CF14+CL14</f>
        <v>44.14</v>
      </c>
      <c r="CF14" s="2007" t="n">
        <v>32.75</v>
      </c>
      <c r="CG14" s="1499" t="n">
        <f aca="false">K14</f>
        <v>18.88</v>
      </c>
      <c r="CH14" s="2017"/>
      <c r="CI14" s="2017"/>
      <c r="CJ14" s="2018"/>
      <c r="CK14" s="2018"/>
      <c r="CL14" s="1478" t="n">
        <v>11.39</v>
      </c>
      <c r="CM14" s="2018"/>
      <c r="CN14" s="2018"/>
      <c r="CO14" s="1478"/>
      <c r="CP14" s="2017"/>
      <c r="CQ14" s="2037" t="n">
        <v>16.15</v>
      </c>
      <c r="CR14" s="2017"/>
      <c r="CS14" s="2015"/>
      <c r="CT14" s="2017" t="n">
        <v>22.83</v>
      </c>
      <c r="CU14" s="2036" t="n">
        <f aca="false">CT14-M14</f>
        <v>8.03</v>
      </c>
      <c r="CV14" s="2017" t="n">
        <v>-0.54</v>
      </c>
      <c r="CW14" s="2017"/>
      <c r="CX14" s="2017" t="n">
        <v>2.54</v>
      </c>
      <c r="CY14" s="2017"/>
      <c r="CZ14" s="2017"/>
      <c r="DA14" s="2024"/>
      <c r="DB14" s="1478" t="n">
        <v>85.7</v>
      </c>
      <c r="DC14" s="1478" t="n">
        <v>4.88</v>
      </c>
      <c r="DD14" s="1997" t="n">
        <f aca="false">DC14+DJ14</f>
        <v>14.17</v>
      </c>
      <c r="DE14" s="1478" t="n">
        <v>5.87</v>
      </c>
      <c r="DF14" s="1478"/>
      <c r="DG14" s="1997" t="n">
        <v>0.76</v>
      </c>
      <c r="DH14" s="1994"/>
      <c r="DI14" s="1995" t="n">
        <f aca="false">DC14+AW14</f>
        <v>16.89</v>
      </c>
      <c r="DJ14" s="1995" t="n">
        <f aca="false">AX14</f>
        <v>9.29</v>
      </c>
      <c r="DK14" s="1997" t="n">
        <v>0.17</v>
      </c>
      <c r="DL14" s="2025"/>
      <c r="DM14" s="111" t="n">
        <v>20522</v>
      </c>
      <c r="DN14" s="111" t="n">
        <f aca="false">DM14-DO14</f>
        <v>14366</v>
      </c>
      <c r="DO14" s="111" t="n">
        <v>6156</v>
      </c>
      <c r="DP14" s="514" t="n">
        <f aca="false">DO14/DM14</f>
        <v>0.29997076308352</v>
      </c>
    </row>
    <row r="15" s="485" customFormat="true" ht="12" hidden="false" customHeight="false" outlineLevel="0" collapsed="false">
      <c r="A15" s="31" t="n">
        <f aca="false">A14+1</f>
        <v>1953</v>
      </c>
      <c r="B15" s="1994" t="n">
        <f aca="false">C15-I15</f>
        <v>136.78</v>
      </c>
      <c r="C15" s="384" t="n">
        <f aca="false">H15+F15</f>
        <v>147.9</v>
      </c>
      <c r="D15" s="1509" t="n">
        <f aca="false">B15+BK15+BN15</f>
        <v>139.87</v>
      </c>
      <c r="E15" s="1995" t="n">
        <f aca="false">B15-K15</f>
        <v>115.87</v>
      </c>
      <c r="F15" s="1995" t="n">
        <f aca="false">BA15</f>
        <v>1.37</v>
      </c>
      <c r="G15" s="1994" t="n">
        <f aca="false">H15-I15</f>
        <v>135.41</v>
      </c>
      <c r="H15" s="1478" t="n">
        <v>146.53</v>
      </c>
      <c r="I15" s="1478" t="n">
        <v>11.12</v>
      </c>
      <c r="J15" s="1478"/>
      <c r="K15" s="2122" t="n">
        <v>20.91</v>
      </c>
      <c r="L15" s="2000" t="n">
        <v>88.33</v>
      </c>
      <c r="M15" s="1997" t="n">
        <v>16.24</v>
      </c>
      <c r="N15" s="1997" t="n">
        <v>33.4</v>
      </c>
      <c r="O15" s="1997" t="n">
        <v>30.6</v>
      </c>
      <c r="P15" s="1997" t="n">
        <f aca="false">N15-O15</f>
        <v>2.8</v>
      </c>
      <c r="Q15" s="1997" t="n">
        <f aca="false">S15-BC15-BF15</f>
        <v>27.78</v>
      </c>
      <c r="R15" s="2052" t="n">
        <f aca="false">T15-BD15-BG15</f>
        <v>19.22</v>
      </c>
      <c r="S15" s="1997" t="n">
        <v>29.62</v>
      </c>
      <c r="T15" s="1997" t="n">
        <v>19.69</v>
      </c>
      <c r="U15" s="2000" t="n">
        <f aca="false">AA15+AF15</f>
        <v>105.66</v>
      </c>
      <c r="V15" s="1997" t="n">
        <f aca="false">U15+Y15</f>
        <v>116.16</v>
      </c>
      <c r="W15" s="1997" t="n">
        <f aca="false">AC15+AJ15</f>
        <v>57.73</v>
      </c>
      <c r="X15" s="1997" t="n">
        <f aca="false">U15-W15</f>
        <v>47.93</v>
      </c>
      <c r="Y15" s="1997" t="n">
        <f aca="false">AD15+AK15</f>
        <v>10.5</v>
      </c>
      <c r="Z15" s="1319" t="n">
        <f aca="false">Y15/V15</f>
        <v>0.0903925619834711</v>
      </c>
      <c r="AA15" s="1997" t="n">
        <v>2.52</v>
      </c>
      <c r="AB15" s="1997" t="n">
        <v>2.65</v>
      </c>
      <c r="AC15" s="1997" t="n">
        <f aca="false">AA15</f>
        <v>2.52</v>
      </c>
      <c r="AD15" s="1997" t="n">
        <f aca="false">AB15-AA15</f>
        <v>0.13</v>
      </c>
      <c r="AE15" s="514" t="n">
        <f aca="false">AD15/AB15</f>
        <v>0.0490566037735849</v>
      </c>
      <c r="AF15" s="2123" t="n">
        <v>103.14</v>
      </c>
      <c r="AG15" s="2124" t="n">
        <f aca="false">AI15+AJ15</f>
        <v>113.51</v>
      </c>
      <c r="AH15" s="2125" t="n">
        <f aca="false">AF15-AJ15</f>
        <v>47.93</v>
      </c>
      <c r="AI15" s="1509" t="n">
        <f aca="false">AH15+AK15</f>
        <v>58.3</v>
      </c>
      <c r="AJ15" s="1478" t="n">
        <v>55.21</v>
      </c>
      <c r="AK15" s="2044" t="n">
        <f aca="false">I15-AD15-AP15</f>
        <v>10.37</v>
      </c>
      <c r="AL15" s="2126" t="n">
        <f aca="false">AK15/AG15</f>
        <v>0.0913575896396793</v>
      </c>
      <c r="AM15" s="2131" t="n">
        <v>8.84</v>
      </c>
      <c r="AN15" s="2124" t="n">
        <v>9.46</v>
      </c>
      <c r="AO15" s="1478" t="n">
        <f aca="false">AM15</f>
        <v>8.84</v>
      </c>
      <c r="AP15" s="1478" t="n">
        <f aca="false">AN15-AM15</f>
        <v>0.620000000000001</v>
      </c>
      <c r="AQ15" s="2128" t="n">
        <f aca="false">AP15/AN15</f>
        <v>0.0655391120507401</v>
      </c>
      <c r="AR15" s="1509" t="n">
        <f aca="false">AH15</f>
        <v>47.93</v>
      </c>
      <c r="AS15" s="1509" t="n">
        <f aca="false">AR15-AT15-AW15</f>
        <v>10.88</v>
      </c>
      <c r="AT15" s="1509" t="n">
        <f aca="false">AY15-BB15</f>
        <v>27.89</v>
      </c>
      <c r="AU15" s="1509" t="n">
        <f aca="false">AV15-AT15</f>
        <v>14.03</v>
      </c>
      <c r="AV15" s="1509" t="n">
        <v>41.92</v>
      </c>
      <c r="AW15" s="1509" t="n">
        <v>9.16</v>
      </c>
      <c r="AX15" s="1509" t="n">
        <v>6.67</v>
      </c>
      <c r="AY15" s="1509" t="n">
        <v>27.74</v>
      </c>
      <c r="AZ15" s="2003"/>
      <c r="BA15" s="1482" t="n">
        <f aca="false">BB15+BE15</f>
        <v>1.37</v>
      </c>
      <c r="BB15" s="1479" t="n">
        <f aca="false">BC15-BD15</f>
        <v>-0.15</v>
      </c>
      <c r="BC15" s="1478" t="n">
        <v>0.29</v>
      </c>
      <c r="BD15" s="1478" t="n">
        <v>0.44</v>
      </c>
      <c r="BE15" s="485" t="n">
        <f aca="false">BF15-BG15</f>
        <v>1.52</v>
      </c>
      <c r="BF15" s="1479" t="n">
        <v>1.55</v>
      </c>
      <c r="BG15" s="1478" t="n">
        <v>0.03</v>
      </c>
      <c r="BH15" s="1997"/>
      <c r="BI15" s="1997"/>
      <c r="BJ15" s="1997"/>
      <c r="BK15" s="1478" t="n">
        <v>-6.21</v>
      </c>
      <c r="BL15" s="1478"/>
      <c r="BM15" s="1478"/>
      <c r="BN15" s="1478" t="n">
        <v>9.3</v>
      </c>
      <c r="BO15" s="1478"/>
      <c r="BP15" s="2003"/>
      <c r="BQ15" s="2007"/>
      <c r="BR15" s="2008"/>
      <c r="BS15" s="2008"/>
      <c r="BT15" s="2009"/>
      <c r="BU15" s="2017" t="n">
        <f aca="false">BB15</f>
        <v>-0.15</v>
      </c>
      <c r="BV15" s="1478" t="n">
        <v>-1.15</v>
      </c>
      <c r="BW15" s="1478"/>
      <c r="BX15" s="2007"/>
      <c r="BY15" s="1478" t="n">
        <f aca="false">CA15+CB15+AC15</f>
        <v>66.57</v>
      </c>
      <c r="BZ15" s="1509" t="n">
        <f aca="false">BY15+CD15</f>
        <v>68.09</v>
      </c>
      <c r="CA15" s="1509" t="n">
        <f aca="false">AJ15</f>
        <v>55.21</v>
      </c>
      <c r="CB15" s="1509" t="n">
        <f aca="false">AO15</f>
        <v>8.84</v>
      </c>
      <c r="CC15" s="2009"/>
      <c r="CD15" s="2015" t="n">
        <f aca="false">BE15</f>
        <v>1.52</v>
      </c>
      <c r="CE15" s="1479" t="n">
        <f aca="false">CF15+CL15</f>
        <v>48.59</v>
      </c>
      <c r="CF15" s="2007" t="n">
        <v>35.89</v>
      </c>
      <c r="CG15" s="1499" t="n">
        <f aca="false">K15</f>
        <v>20.91</v>
      </c>
      <c r="CH15" s="2017"/>
      <c r="CI15" s="2017"/>
      <c r="CJ15" s="2018"/>
      <c r="CK15" s="2018"/>
      <c r="CL15" s="1478" t="n">
        <v>12.7</v>
      </c>
      <c r="CM15" s="2018"/>
      <c r="CN15" s="2018"/>
      <c r="CO15" s="1478"/>
      <c r="CP15" s="2017"/>
      <c r="CQ15" s="2037" t="n">
        <v>17.81</v>
      </c>
      <c r="CR15" s="2017"/>
      <c r="CS15" s="2015"/>
      <c r="CT15" s="2017" t="n">
        <v>26.62</v>
      </c>
      <c r="CU15" s="2036" t="n">
        <f aca="false">CT15-M15</f>
        <v>10.38</v>
      </c>
      <c r="CV15" s="2017" t="n">
        <v>8.14</v>
      </c>
      <c r="CW15" s="2017"/>
      <c r="CX15" s="2017" t="n">
        <v>3.06</v>
      </c>
      <c r="CY15" s="2017"/>
      <c r="CZ15" s="2017"/>
      <c r="DA15" s="2024"/>
      <c r="DB15" s="1478" t="n">
        <v>94.79</v>
      </c>
      <c r="DC15" s="1478" t="n">
        <v>6.46</v>
      </c>
      <c r="DD15" s="1997" t="n">
        <f aca="false">DC15+DJ15</f>
        <v>13.13</v>
      </c>
      <c r="DE15" s="1478" t="n">
        <v>7.47</v>
      </c>
      <c r="DF15" s="1478"/>
      <c r="DG15" s="1997" t="n">
        <v>1.29</v>
      </c>
      <c r="DH15" s="1994"/>
      <c r="DI15" s="1995" t="n">
        <f aca="false">DC15+AW15</f>
        <v>15.62</v>
      </c>
      <c r="DJ15" s="1995" t="n">
        <f aca="false">AX15</f>
        <v>6.67</v>
      </c>
      <c r="DK15" s="1997" t="n">
        <v>-0.13</v>
      </c>
      <c r="DL15" s="2025"/>
      <c r="DM15" s="111" t="n">
        <v>21074</v>
      </c>
      <c r="DN15" s="111" t="n">
        <f aca="false">DM15-DO15</f>
        <v>14993</v>
      </c>
      <c r="DO15" s="111" t="n">
        <v>6081</v>
      </c>
      <c r="DP15" s="514" t="n">
        <f aca="false">DO15/DM15</f>
        <v>0.28855461706368</v>
      </c>
    </row>
    <row r="16" s="485" customFormat="true" ht="12" hidden="false" customHeight="false" outlineLevel="0" collapsed="false">
      <c r="A16" s="31" t="n">
        <f aca="false">A15+1</f>
        <v>1954</v>
      </c>
      <c r="B16" s="1994" t="n">
        <f aca="false">C16-I16</f>
        <v>146.39</v>
      </c>
      <c r="C16" s="384" t="n">
        <f aca="false">H16+F16</f>
        <v>158.1</v>
      </c>
      <c r="D16" s="1509" t="n">
        <f aca="false">B16+BK16+BN16</f>
        <v>140.58</v>
      </c>
      <c r="E16" s="1995" t="n">
        <f aca="false">B16-K16</f>
        <v>123.91</v>
      </c>
      <c r="F16" s="1995" t="n">
        <f aca="false">BA16</f>
        <v>0.83</v>
      </c>
      <c r="G16" s="1994" t="n">
        <f aca="false">H16-I16</f>
        <v>145.56</v>
      </c>
      <c r="H16" s="1478" t="n">
        <v>157.27</v>
      </c>
      <c r="I16" s="1478" t="n">
        <v>11.71</v>
      </c>
      <c r="J16" s="514" t="n">
        <f aca="false">I16/H16</f>
        <v>0.0744579385769695</v>
      </c>
      <c r="K16" s="2122" t="n">
        <v>22.48</v>
      </c>
      <c r="L16" s="2000" t="n">
        <v>94.2</v>
      </c>
      <c r="M16" s="1997" t="n">
        <v>17.37</v>
      </c>
      <c r="N16" s="1997" t="n">
        <v>37.13</v>
      </c>
      <c r="O16" s="1997" t="n">
        <v>34.03</v>
      </c>
      <c r="P16" s="1997" t="n">
        <f aca="false">N16-O16</f>
        <v>3.1</v>
      </c>
      <c r="Q16" s="1997" t="n">
        <f aca="false">S16-BC16-BF16</f>
        <v>32.5</v>
      </c>
      <c r="R16" s="2052" t="n">
        <f aca="false">T16-BD16-BG16</f>
        <v>23.93</v>
      </c>
      <c r="S16" s="1997" t="n">
        <v>34.39</v>
      </c>
      <c r="T16" s="1997" t="n">
        <v>24.99</v>
      </c>
      <c r="U16" s="2000" t="n">
        <f aca="false">AA16+AF16</f>
        <v>113.45</v>
      </c>
      <c r="V16" s="1997" t="n">
        <f aca="false">U16+Y16</f>
        <v>124.5</v>
      </c>
      <c r="W16" s="1997" t="n">
        <f aca="false">AC16+AJ16</f>
        <v>63.33</v>
      </c>
      <c r="X16" s="1997" t="n">
        <f aca="false">U16-W16</f>
        <v>50.12</v>
      </c>
      <c r="Y16" s="1997" t="n">
        <f aca="false">AD16+AK16</f>
        <v>11.05</v>
      </c>
      <c r="Z16" s="1319" t="n">
        <f aca="false">Y16/V16</f>
        <v>0.0887550200803213</v>
      </c>
      <c r="AA16" s="1997" t="n">
        <v>2.72</v>
      </c>
      <c r="AB16" s="1997" t="n">
        <v>2.86</v>
      </c>
      <c r="AC16" s="1997" t="n">
        <f aca="false">AA16</f>
        <v>2.72</v>
      </c>
      <c r="AD16" s="1997" t="n">
        <f aca="false">AB16-AA16</f>
        <v>0.14</v>
      </c>
      <c r="AE16" s="514" t="n">
        <f aca="false">AD16/AB16</f>
        <v>0.0489510489510488</v>
      </c>
      <c r="AF16" s="2123" t="n">
        <v>110.73</v>
      </c>
      <c r="AG16" s="2124" t="n">
        <f aca="false">AI16+AJ16</f>
        <v>121.64</v>
      </c>
      <c r="AH16" s="2125" t="n">
        <f aca="false">AF16-AJ16</f>
        <v>50.12</v>
      </c>
      <c r="AI16" s="1509" t="n">
        <f aca="false">AH16+AK16</f>
        <v>61.03</v>
      </c>
      <c r="AJ16" s="1478" t="n">
        <v>60.61</v>
      </c>
      <c r="AK16" s="2044" t="n">
        <f aca="false">I16-AD16-AP16</f>
        <v>10.91</v>
      </c>
      <c r="AL16" s="2126" t="n">
        <f aca="false">AK16/AG16</f>
        <v>0.0896908911542256</v>
      </c>
      <c r="AM16" s="2127" t="n">
        <v>9.63</v>
      </c>
      <c r="AN16" s="2124" t="n">
        <v>10.29</v>
      </c>
      <c r="AO16" s="1478" t="n">
        <f aca="false">AM16</f>
        <v>9.63</v>
      </c>
      <c r="AP16" s="1478" t="n">
        <f aca="false">AN16-AM16</f>
        <v>0.659999999999998</v>
      </c>
      <c r="AQ16" s="2128" t="n">
        <f aca="false">AP16/AN16</f>
        <v>0.064139941690962</v>
      </c>
      <c r="AR16" s="1509" t="n">
        <f aca="false">AH16</f>
        <v>50.12</v>
      </c>
      <c r="AS16" s="1509" t="n">
        <f aca="false">AR16-AT16-AW16</f>
        <v>11.11</v>
      </c>
      <c r="AT16" s="1509" t="n">
        <f aca="false">AY16-BB16</f>
        <v>29.23</v>
      </c>
      <c r="AU16" s="1509" t="n">
        <f aca="false">AV16-AT16</f>
        <v>14.33</v>
      </c>
      <c r="AV16" s="1509" t="n">
        <v>43.56</v>
      </c>
      <c r="AW16" s="1509" t="n">
        <v>9.78</v>
      </c>
      <c r="AX16" s="1509" t="n">
        <v>6.88</v>
      </c>
      <c r="AY16" s="1509" t="n">
        <v>28.58</v>
      </c>
      <c r="AZ16" s="2003"/>
      <c r="BA16" s="1482" t="n">
        <f aca="false">BB16+BE16</f>
        <v>0.83</v>
      </c>
      <c r="BB16" s="1479" t="n">
        <f aca="false">BC16-BD16</f>
        <v>-0.65</v>
      </c>
      <c r="BC16" s="1478" t="n">
        <v>0.37</v>
      </c>
      <c r="BD16" s="1478" t="n">
        <v>1.02</v>
      </c>
      <c r="BE16" s="485" t="n">
        <f aca="false">BF16-BG16</f>
        <v>1.48</v>
      </c>
      <c r="BF16" s="1479" t="n">
        <v>1.52</v>
      </c>
      <c r="BG16" s="1478" t="n">
        <v>0.04</v>
      </c>
      <c r="BH16" s="1997"/>
      <c r="BI16" s="1997"/>
      <c r="BJ16" s="1997"/>
      <c r="BK16" s="1478" t="n">
        <v>-6.02</v>
      </c>
      <c r="BL16" s="1478"/>
      <c r="BM16" s="1478"/>
      <c r="BN16" s="1478" t="n">
        <v>0.21</v>
      </c>
      <c r="BO16" s="1478"/>
      <c r="BP16" s="2003"/>
      <c r="BQ16" s="2007"/>
      <c r="BR16" s="2008"/>
      <c r="BS16" s="2008"/>
      <c r="BT16" s="2009"/>
      <c r="BU16" s="2017" t="n">
        <f aca="false">BB16</f>
        <v>-0.65</v>
      </c>
      <c r="BV16" s="1478" t="n">
        <v>-1.06</v>
      </c>
      <c r="BW16" s="1478"/>
      <c r="BX16" s="2007"/>
      <c r="BY16" s="1478" t="n">
        <f aca="false">CA16+CB16+AC16</f>
        <v>72.96</v>
      </c>
      <c r="BZ16" s="1509" t="n">
        <f aca="false">BY16+CD16</f>
        <v>74.44</v>
      </c>
      <c r="CA16" s="1509" t="n">
        <f aca="false">AJ16</f>
        <v>60.61</v>
      </c>
      <c r="CB16" s="1509" t="n">
        <f aca="false">AO16</f>
        <v>9.63</v>
      </c>
      <c r="CC16" s="2009"/>
      <c r="CD16" s="2015" t="n">
        <f aca="false">BE16</f>
        <v>1.48</v>
      </c>
      <c r="CE16" s="1479" t="n">
        <f aca="false">CF16+CL16</f>
        <v>51.49</v>
      </c>
      <c r="CF16" s="2007" t="n">
        <v>37.78</v>
      </c>
      <c r="CG16" s="1499" t="n">
        <f aca="false">K16</f>
        <v>22.48</v>
      </c>
      <c r="CH16" s="2017"/>
      <c r="CI16" s="2017"/>
      <c r="CJ16" s="2018"/>
      <c r="CK16" s="2018"/>
      <c r="CL16" s="1478" t="n">
        <v>13.71</v>
      </c>
      <c r="CM16" s="2018"/>
      <c r="CN16" s="2018"/>
      <c r="CO16" s="1478"/>
      <c r="CP16" s="2017"/>
      <c r="CQ16" s="2037" t="n">
        <v>18.82</v>
      </c>
      <c r="CR16" s="2017"/>
      <c r="CS16" s="2015"/>
      <c r="CT16" s="2017" t="n">
        <v>28.9</v>
      </c>
      <c r="CU16" s="2036" t="n">
        <f aca="false">CT16-M16</f>
        <v>11.53</v>
      </c>
      <c r="CV16" s="2017" t="n">
        <v>-1.57</v>
      </c>
      <c r="CW16" s="2017"/>
      <c r="CX16" s="2017" t="n">
        <v>3.63</v>
      </c>
      <c r="CY16" s="2017"/>
      <c r="CZ16" s="2017"/>
      <c r="DA16" s="2024"/>
      <c r="DB16" s="1478" t="n">
        <v>101.69</v>
      </c>
      <c r="DC16" s="1478" t="n">
        <v>7.49</v>
      </c>
      <c r="DD16" s="1997" t="n">
        <f aca="false">DC16+DJ16</f>
        <v>14.37</v>
      </c>
      <c r="DE16" s="1478" t="n">
        <v>8.61</v>
      </c>
      <c r="DF16" s="1478"/>
      <c r="DG16" s="1997" t="n">
        <v>1.94</v>
      </c>
      <c r="DH16" s="1994"/>
      <c r="DI16" s="1995" t="n">
        <f aca="false">DC16+AW16</f>
        <v>17.27</v>
      </c>
      <c r="DJ16" s="1995" t="n">
        <f aca="false">AX16</f>
        <v>6.88</v>
      </c>
      <c r="DK16" s="1997" t="n">
        <v>-0.16</v>
      </c>
      <c r="DL16" s="2025"/>
      <c r="DM16" s="218" t="n">
        <v>21671</v>
      </c>
      <c r="DN16" s="111" t="n">
        <f aca="false">DM16-DO16</f>
        <v>15644</v>
      </c>
      <c r="DO16" s="111" t="n">
        <v>6027</v>
      </c>
      <c r="DP16" s="514" t="n">
        <f aca="false">DO16/DM16</f>
        <v>0.278113608047621</v>
      </c>
    </row>
    <row r="17" s="485" customFormat="true" ht="12" hidden="false" customHeight="false" outlineLevel="0" collapsed="false">
      <c r="A17" s="31" t="n">
        <f aca="false">A16+1</f>
        <v>1955</v>
      </c>
      <c r="B17" s="1994" t="n">
        <f aca="false">C17-I17</f>
        <v>167.53</v>
      </c>
      <c r="C17" s="384" t="n">
        <f aca="false">H17+F17</f>
        <v>180.5</v>
      </c>
      <c r="D17" s="1509" t="n">
        <f aca="false">B17+BK17+BN17</f>
        <v>161.03</v>
      </c>
      <c r="E17" s="1995" t="n">
        <f aca="false">B17-K17</f>
        <v>142.15</v>
      </c>
      <c r="F17" s="1995" t="n">
        <f aca="false">BA17</f>
        <v>0.77</v>
      </c>
      <c r="G17" s="1994" t="n">
        <f aca="false">H17-I17</f>
        <v>166.76</v>
      </c>
      <c r="H17" s="1478" t="n">
        <v>179.73</v>
      </c>
      <c r="I17" s="1478" t="n">
        <v>12.97</v>
      </c>
      <c r="J17" s="514" t="n">
        <f aca="false">I17/H17</f>
        <v>0.0721638012574417</v>
      </c>
      <c r="K17" s="2122" t="n">
        <v>25.38</v>
      </c>
      <c r="L17" s="2000" t="n">
        <v>105.28</v>
      </c>
      <c r="M17" s="1997" t="n">
        <v>19.03</v>
      </c>
      <c r="N17" s="1997" t="n">
        <v>47.63</v>
      </c>
      <c r="O17" s="1997" t="n">
        <v>42.53</v>
      </c>
      <c r="P17" s="1997" t="n">
        <f aca="false">N17-O17</f>
        <v>5.1</v>
      </c>
      <c r="Q17" s="1997" t="n">
        <f aca="false">S17-BC17-BF17</f>
        <v>37.93</v>
      </c>
      <c r="R17" s="2052" t="n">
        <f aca="false">T17-BD17-BG17</f>
        <v>30.14</v>
      </c>
      <c r="S17" s="1997" t="n">
        <v>40.09</v>
      </c>
      <c r="T17" s="1997" t="n">
        <v>31.53</v>
      </c>
      <c r="U17" s="2000" t="n">
        <f aca="false">AA17+AF17</f>
        <v>130.77</v>
      </c>
      <c r="V17" s="1997" t="n">
        <f aca="false">U17+Y17</f>
        <v>143.04</v>
      </c>
      <c r="W17" s="1997" t="n">
        <f aca="false">AC17+AJ17</f>
        <v>72.66</v>
      </c>
      <c r="X17" s="1997" t="n">
        <f aca="false">U17-W17</f>
        <v>58.11</v>
      </c>
      <c r="Y17" s="1997" t="n">
        <f aca="false">AD17+AK17</f>
        <v>12.27</v>
      </c>
      <c r="Z17" s="1319" t="n">
        <f aca="false">Y17/V17</f>
        <v>0.0857802013422819</v>
      </c>
      <c r="AA17" s="1997" t="n">
        <v>2.98</v>
      </c>
      <c r="AB17" s="1997" t="n">
        <v>3.14</v>
      </c>
      <c r="AC17" s="1997" t="n">
        <f aca="false">AA17</f>
        <v>2.98</v>
      </c>
      <c r="AD17" s="1997" t="n">
        <f aca="false">AB17-AA17</f>
        <v>0.16</v>
      </c>
      <c r="AE17" s="514" t="n">
        <f aca="false">AD17/AB17</f>
        <v>0.0509554140127389</v>
      </c>
      <c r="AF17" s="2123" t="n">
        <v>127.79</v>
      </c>
      <c r="AG17" s="2124" t="n">
        <f aca="false">AI17+AJ17</f>
        <v>139.9</v>
      </c>
      <c r="AH17" s="2125" t="n">
        <f aca="false">AF17-AJ17</f>
        <v>58.11</v>
      </c>
      <c r="AI17" s="1509" t="n">
        <f aca="false">AH17+AK17</f>
        <v>70.22</v>
      </c>
      <c r="AJ17" s="1478" t="n">
        <v>69.68</v>
      </c>
      <c r="AK17" s="2044" t="n">
        <f aca="false">I17-AD17-AP17</f>
        <v>12.11</v>
      </c>
      <c r="AL17" s="2126" t="n">
        <f aca="false">AK17/AG17</f>
        <v>0.0865618298784846</v>
      </c>
      <c r="AM17" s="2127" t="n">
        <v>10.61</v>
      </c>
      <c r="AN17" s="2124" t="n">
        <v>11.31</v>
      </c>
      <c r="AO17" s="1478" t="n">
        <f aca="false">AM17</f>
        <v>10.61</v>
      </c>
      <c r="AP17" s="1478" t="n">
        <f aca="false">AN17-AM17</f>
        <v>0.700000000000001</v>
      </c>
      <c r="AQ17" s="2128" t="n">
        <f aca="false">AP17/AN17</f>
        <v>0.0618921308576482</v>
      </c>
      <c r="AR17" s="1509" t="n">
        <f aca="false">AH17</f>
        <v>58.11</v>
      </c>
      <c r="AS17" s="1509" t="n">
        <f aca="false">AR17-AT17-AW17</f>
        <v>10.91</v>
      </c>
      <c r="AT17" s="1509" t="n">
        <f aca="false">AY17-BB17</f>
        <v>31.15</v>
      </c>
      <c r="AU17" s="1509" t="n">
        <f aca="false">AV17-AT17</f>
        <v>19.32</v>
      </c>
      <c r="AV17" s="1509" t="n">
        <v>50.47</v>
      </c>
      <c r="AW17" s="1509" t="n">
        <v>16.05</v>
      </c>
      <c r="AX17" s="1509" t="n">
        <v>11.89</v>
      </c>
      <c r="AY17" s="1509" t="n">
        <v>30.31</v>
      </c>
      <c r="AZ17" s="2003"/>
      <c r="BA17" s="1482" t="n">
        <f aca="false">BB17+BE17</f>
        <v>0.77</v>
      </c>
      <c r="BB17" s="1479" t="n">
        <f aca="false">BC17-BD17</f>
        <v>-0.84</v>
      </c>
      <c r="BC17" s="1478" t="n">
        <v>0.48</v>
      </c>
      <c r="BD17" s="1478" t="n">
        <v>1.32</v>
      </c>
      <c r="BE17" s="485" t="n">
        <f aca="false">BF17-BG17</f>
        <v>1.61</v>
      </c>
      <c r="BF17" s="1479" t="n">
        <v>1.68</v>
      </c>
      <c r="BG17" s="1478" t="n">
        <v>0.07</v>
      </c>
      <c r="BH17" s="1997"/>
      <c r="BI17" s="1997"/>
      <c r="BJ17" s="1997"/>
      <c r="BK17" s="1478" t="n">
        <v>-6.48</v>
      </c>
      <c r="BL17" s="1478"/>
      <c r="BM17" s="1478"/>
      <c r="BN17" s="1478" t="n">
        <v>-0.02</v>
      </c>
      <c r="BO17" s="1478"/>
      <c r="BP17" s="2003"/>
      <c r="BQ17" s="2007"/>
      <c r="BR17" s="2008"/>
      <c r="BS17" s="2008"/>
      <c r="BT17" s="2009"/>
      <c r="BU17" s="2017" t="n">
        <f aca="false">BB17</f>
        <v>-0.84</v>
      </c>
      <c r="BV17" s="1478" t="n">
        <v>-1.61</v>
      </c>
      <c r="BW17" s="1478"/>
      <c r="BX17" s="2007"/>
      <c r="BY17" s="1478" t="n">
        <f aca="false">CA17+CB17+AC17</f>
        <v>83.27</v>
      </c>
      <c r="BZ17" s="1509" t="n">
        <f aca="false">BY17+CD17</f>
        <v>84.88</v>
      </c>
      <c r="CA17" s="1509" t="n">
        <f aca="false">AJ17</f>
        <v>69.68</v>
      </c>
      <c r="CB17" s="1509" t="n">
        <f aca="false">AO17</f>
        <v>10.61</v>
      </c>
      <c r="CC17" s="2009"/>
      <c r="CD17" s="2015" t="n">
        <f aca="false">BE17</f>
        <v>1.61</v>
      </c>
      <c r="CE17" s="1479" t="n">
        <f aca="false">CF17+CL17</f>
        <v>57.08</v>
      </c>
      <c r="CF17" s="2007" t="n">
        <v>41.47</v>
      </c>
      <c r="CG17" s="1499" t="n">
        <f aca="false">K17</f>
        <v>25.38</v>
      </c>
      <c r="CH17" s="2017"/>
      <c r="CI17" s="2017"/>
      <c r="CJ17" s="2018"/>
      <c r="CK17" s="2018"/>
      <c r="CL17" s="1478" t="n">
        <v>15.61</v>
      </c>
      <c r="CM17" s="2018"/>
      <c r="CN17" s="2018"/>
      <c r="CO17" s="1478"/>
      <c r="CP17" s="2017"/>
      <c r="CQ17" s="2037" t="n">
        <v>21.17</v>
      </c>
      <c r="CR17" s="2017"/>
      <c r="CS17" s="2015"/>
      <c r="CT17" s="2017" t="n">
        <v>32.34</v>
      </c>
      <c r="CU17" s="2036" t="n">
        <f aca="false">CT17-M17</f>
        <v>13.31</v>
      </c>
      <c r="CV17" s="2017" t="n">
        <v>-0.66</v>
      </c>
      <c r="CW17" s="2017"/>
      <c r="CX17" s="2017" t="n">
        <v>4.87</v>
      </c>
      <c r="CY17" s="2017"/>
      <c r="CZ17" s="2017"/>
      <c r="DA17" s="2024"/>
      <c r="DB17" s="1478" t="n">
        <v>112.66</v>
      </c>
      <c r="DC17" s="1478" t="n">
        <v>7.38</v>
      </c>
      <c r="DD17" s="1997" t="n">
        <f aca="false">DC17+DJ17</f>
        <v>19.27</v>
      </c>
      <c r="DE17" s="1478" t="n">
        <v>8.67</v>
      </c>
      <c r="DF17" s="1478"/>
      <c r="DG17" s="1997" t="n">
        <v>1.06</v>
      </c>
      <c r="DH17" s="1994"/>
      <c r="DI17" s="1995" t="n">
        <f aca="false">DC17+AW17</f>
        <v>23.43</v>
      </c>
      <c r="DJ17" s="1995" t="n">
        <f aca="false">AX17</f>
        <v>11.89</v>
      </c>
      <c r="DK17" s="1997" t="n">
        <v>-0.42</v>
      </c>
      <c r="DL17" s="2025"/>
      <c r="DM17" s="111" t="n">
        <v>22500</v>
      </c>
      <c r="DN17" s="111" t="n">
        <f aca="false">DM17-DO17</f>
        <v>16510</v>
      </c>
      <c r="DO17" s="111" t="n">
        <v>5990</v>
      </c>
      <c r="DP17" s="514" t="n">
        <f aca="false">DO17/DM17</f>
        <v>0.266222222222222</v>
      </c>
    </row>
    <row r="18" s="485" customFormat="true" ht="12" hidden="false" customHeight="false" outlineLevel="0" collapsed="false">
      <c r="A18" s="31" t="n">
        <f aca="false">A17+1</f>
        <v>1956</v>
      </c>
      <c r="B18" s="1994" t="n">
        <f aca="false">C18-I18</f>
        <v>184.93</v>
      </c>
      <c r="C18" s="384" t="n">
        <f aca="false">H18+F18</f>
        <v>199.5</v>
      </c>
      <c r="D18" s="1509" t="n">
        <f aca="false">B18+BK18+BN18</f>
        <v>179.42</v>
      </c>
      <c r="E18" s="1995" t="n">
        <f aca="false">B18-K18</f>
        <v>157.83</v>
      </c>
      <c r="F18" s="1995" t="n">
        <f aca="false">BA18</f>
        <v>0.82</v>
      </c>
      <c r="G18" s="1994" t="n">
        <f aca="false">H18-I18</f>
        <v>184.11</v>
      </c>
      <c r="H18" s="1478" t="n">
        <v>198.68</v>
      </c>
      <c r="I18" s="1478" t="n">
        <v>14.57</v>
      </c>
      <c r="J18" s="514" t="n">
        <f aca="false">I18/H18</f>
        <v>0.0733340044292329</v>
      </c>
      <c r="K18" s="2122" t="n">
        <v>27.1</v>
      </c>
      <c r="L18" s="2000" t="n">
        <v>116.62</v>
      </c>
      <c r="M18" s="1997" t="n">
        <v>22.06</v>
      </c>
      <c r="N18" s="1997" t="n">
        <v>51.15</v>
      </c>
      <c r="O18" s="1997" t="n">
        <v>47.45</v>
      </c>
      <c r="P18" s="1997" t="n">
        <f aca="false">N18-O18</f>
        <v>3.7</v>
      </c>
      <c r="Q18" s="1997" t="n">
        <f aca="false">S18-BC18-BF18</f>
        <v>43.69</v>
      </c>
      <c r="R18" s="2052" t="n">
        <f aca="false">T18-BD18-BG18</f>
        <v>34.84</v>
      </c>
      <c r="S18" s="1997" t="n">
        <v>45.89</v>
      </c>
      <c r="T18" s="1997" t="n">
        <v>36.22</v>
      </c>
      <c r="U18" s="2000" t="n">
        <f aca="false">AA18+AF18</f>
        <v>144.79</v>
      </c>
      <c r="V18" s="1997" t="n">
        <f aca="false">U18+Y18</f>
        <v>158.59</v>
      </c>
      <c r="W18" s="1997" t="n">
        <f aca="false">AC18+AJ18</f>
        <v>81.5</v>
      </c>
      <c r="X18" s="1997" t="n">
        <f aca="false">U18-W18</f>
        <v>63.29</v>
      </c>
      <c r="Y18" s="1997" t="n">
        <f aca="false">AD18+AK18</f>
        <v>13.8</v>
      </c>
      <c r="Z18" s="1319" t="n">
        <f aca="false">Y18/V18</f>
        <v>0.0870168358660697</v>
      </c>
      <c r="AA18" s="1997" t="n">
        <v>3.32</v>
      </c>
      <c r="AB18" s="1997" t="n">
        <v>3.5</v>
      </c>
      <c r="AC18" s="1997" t="n">
        <f aca="false">AA18</f>
        <v>3.32</v>
      </c>
      <c r="AD18" s="1997" t="n">
        <f aca="false">AB18-AA18</f>
        <v>0.18</v>
      </c>
      <c r="AE18" s="514" t="n">
        <f aca="false">AD18/AB18</f>
        <v>0.0514285714285715</v>
      </c>
      <c r="AF18" s="2123" t="n">
        <v>141.47</v>
      </c>
      <c r="AG18" s="2124" t="n">
        <f aca="false">AI18+AJ18</f>
        <v>155.09</v>
      </c>
      <c r="AH18" s="2125" t="n">
        <f aca="false">AF18-AJ18</f>
        <v>63.29</v>
      </c>
      <c r="AI18" s="1509" t="n">
        <f aca="false">AH18+AK18</f>
        <v>76.91</v>
      </c>
      <c r="AJ18" s="1478" t="n">
        <v>78.18</v>
      </c>
      <c r="AK18" s="2044" t="n">
        <f aca="false">I18-AD18-AP18</f>
        <v>13.62</v>
      </c>
      <c r="AL18" s="2126" t="n">
        <f aca="false">AK18/AG18</f>
        <v>0.0878199754980979</v>
      </c>
      <c r="AM18" s="2127" t="n">
        <v>12.22</v>
      </c>
      <c r="AN18" s="2124" t="n">
        <v>12.99</v>
      </c>
      <c r="AO18" s="1478" t="n">
        <f aca="false">AM18</f>
        <v>12.22</v>
      </c>
      <c r="AP18" s="1478" t="n">
        <f aca="false">AN18-AM18</f>
        <v>0.77</v>
      </c>
      <c r="AQ18" s="2128" t="n">
        <f aca="false">AP18/AN18</f>
        <v>0.0592763664357198</v>
      </c>
      <c r="AR18" s="1509" t="n">
        <f aca="false">AH18</f>
        <v>63.29</v>
      </c>
      <c r="AS18" s="1509" t="n">
        <f aca="false">AR18-AT18-AW18</f>
        <v>11.89</v>
      </c>
      <c r="AT18" s="1509" t="n">
        <f aca="false">AY18-BB18</f>
        <v>32.22</v>
      </c>
      <c r="AU18" s="1509" t="n">
        <f aca="false">AV18-AT18</f>
        <v>22.13</v>
      </c>
      <c r="AV18" s="1509" t="n">
        <v>54.35</v>
      </c>
      <c r="AW18" s="1509" t="n">
        <v>19.18</v>
      </c>
      <c r="AX18" s="1509" t="n">
        <v>14.02</v>
      </c>
      <c r="AY18" s="1509" t="n">
        <v>31.56</v>
      </c>
      <c r="AZ18" s="2003"/>
      <c r="BA18" s="1482" t="n">
        <f aca="false">BB18+BE18</f>
        <v>0.82</v>
      </c>
      <c r="BB18" s="1479" t="n">
        <f aca="false">BC18-BD18</f>
        <v>-0.66</v>
      </c>
      <c r="BC18" s="1478" t="n">
        <v>0.63</v>
      </c>
      <c r="BD18" s="1478" t="n">
        <v>1.29</v>
      </c>
      <c r="BE18" s="485" t="n">
        <f aca="false">BF18-BG18</f>
        <v>1.48</v>
      </c>
      <c r="BF18" s="1479" t="n">
        <v>1.57</v>
      </c>
      <c r="BG18" s="1478" t="n">
        <v>0.09</v>
      </c>
      <c r="BH18" s="1997"/>
      <c r="BI18" s="1997"/>
      <c r="BJ18" s="1997"/>
      <c r="BK18" s="1478" t="n">
        <v>-5.24</v>
      </c>
      <c r="BL18" s="1478"/>
      <c r="BM18" s="1478"/>
      <c r="BN18" s="1478" t="n">
        <v>-0.27</v>
      </c>
      <c r="BO18" s="1478"/>
      <c r="BP18" s="2003"/>
      <c r="BQ18" s="2007"/>
      <c r="BR18" s="2008"/>
      <c r="BS18" s="2008"/>
      <c r="BT18" s="2009"/>
      <c r="BU18" s="2017" t="n">
        <f aca="false">BB18</f>
        <v>-0.66</v>
      </c>
      <c r="BV18" s="1478" t="n">
        <v>-1.57</v>
      </c>
      <c r="BW18" s="1478"/>
      <c r="BX18" s="2007"/>
      <c r="BY18" s="1478" t="n">
        <f aca="false">CA18+CB18+AC18</f>
        <v>93.72</v>
      </c>
      <c r="BZ18" s="1509" t="n">
        <f aca="false">BY18+CD18</f>
        <v>95.2</v>
      </c>
      <c r="CA18" s="1509" t="n">
        <f aca="false">AJ18</f>
        <v>78.18</v>
      </c>
      <c r="CB18" s="1509" t="n">
        <f aca="false">AO18</f>
        <v>12.22</v>
      </c>
      <c r="CC18" s="2009"/>
      <c r="CD18" s="2015" t="n">
        <f aca="false">BE18</f>
        <v>1.48</v>
      </c>
      <c r="CE18" s="1479" t="n">
        <f aca="false">CF18+CL18</f>
        <v>63.29</v>
      </c>
      <c r="CF18" s="2007" t="n">
        <v>45.88</v>
      </c>
      <c r="CG18" s="1499" t="n">
        <f aca="false">K18</f>
        <v>27.1</v>
      </c>
      <c r="CH18" s="2017"/>
      <c r="CI18" s="2017"/>
      <c r="CJ18" s="2018"/>
      <c r="CK18" s="2018"/>
      <c r="CL18" s="1478" t="n">
        <v>17.41</v>
      </c>
      <c r="CM18" s="2018"/>
      <c r="CN18" s="2018"/>
      <c r="CO18" s="1478"/>
      <c r="CP18" s="2017"/>
      <c r="CQ18" s="2037" t="n">
        <v>23.59</v>
      </c>
      <c r="CR18" s="2017"/>
      <c r="CS18" s="2015"/>
      <c r="CT18" s="2017" t="n">
        <v>36.91</v>
      </c>
      <c r="CU18" s="2036" t="n">
        <f aca="false">CT18-M18</f>
        <v>14.85</v>
      </c>
      <c r="CV18" s="2017" t="n">
        <v>-0.61</v>
      </c>
      <c r="CW18" s="2017"/>
      <c r="CX18" s="2017" t="n">
        <v>5.64</v>
      </c>
      <c r="CY18" s="2017"/>
      <c r="CZ18" s="2017"/>
      <c r="DA18" s="2024"/>
      <c r="DB18" s="1478" t="n">
        <v>123.6</v>
      </c>
      <c r="DC18" s="1478" t="n">
        <v>6.98</v>
      </c>
      <c r="DD18" s="1997" t="n">
        <f aca="false">DC18+DJ18</f>
        <v>21</v>
      </c>
      <c r="DE18" s="1478" t="n">
        <v>8.51</v>
      </c>
      <c r="DF18" s="1478"/>
      <c r="DG18" s="1997" t="n">
        <v>0.81</v>
      </c>
      <c r="DH18" s="1994"/>
      <c r="DI18" s="1995" t="n">
        <f aca="false">DC18+AW18</f>
        <v>26.16</v>
      </c>
      <c r="DJ18" s="1995" t="n">
        <f aca="false">AX18</f>
        <v>14.02</v>
      </c>
      <c r="DK18" s="1997" t="n">
        <v>-0.47</v>
      </c>
      <c r="DL18" s="2025"/>
      <c r="DM18" s="111" t="n">
        <v>23154</v>
      </c>
      <c r="DN18" s="111" t="n">
        <f aca="false">DM18-DO18</f>
        <v>17202</v>
      </c>
      <c r="DO18" s="111" t="n">
        <v>5952</v>
      </c>
      <c r="DP18" s="514" t="n">
        <f aca="false">DO18/DM18</f>
        <v>0.25706141487432</v>
      </c>
    </row>
    <row r="19" s="485" customFormat="true" ht="12" hidden="false" customHeight="false" outlineLevel="0" collapsed="false">
      <c r="A19" s="31" t="n">
        <f aca="false">A18+1</f>
        <v>1957</v>
      </c>
      <c r="B19" s="1994" t="n">
        <f aca="false">C19-I19</f>
        <v>201.12</v>
      </c>
      <c r="C19" s="384" t="n">
        <f aca="false">H19+F19</f>
        <v>217.4</v>
      </c>
      <c r="D19" s="1509" t="n">
        <f aca="false">B19+BK19+BN19</f>
        <v>196.09</v>
      </c>
      <c r="E19" s="1995" t="n">
        <f aca="false">B19-K19</f>
        <v>173</v>
      </c>
      <c r="F19" s="1995" t="n">
        <f aca="false">BA19</f>
        <v>0.86</v>
      </c>
      <c r="G19" s="1994" t="n">
        <f aca="false">H19-I19</f>
        <v>200.26</v>
      </c>
      <c r="H19" s="1478" t="n">
        <v>216.54</v>
      </c>
      <c r="I19" s="1478" t="n">
        <v>16.28</v>
      </c>
      <c r="J19" s="514" t="n">
        <f aca="false">I19/H19</f>
        <v>0.075182414334534</v>
      </c>
      <c r="K19" s="1998" t="n">
        <v>28.12</v>
      </c>
      <c r="L19" s="2000" t="n">
        <v>126.72</v>
      </c>
      <c r="M19" s="1997" t="n">
        <v>25.52</v>
      </c>
      <c r="N19" s="1997" t="n">
        <v>54.45</v>
      </c>
      <c r="O19" s="1997" t="n">
        <v>49.05</v>
      </c>
      <c r="P19" s="1997" t="n">
        <f aca="false">N19-O19</f>
        <v>5.40000000000001</v>
      </c>
      <c r="Q19" s="1997" t="n">
        <f aca="false">S19-BC19-BF19</f>
        <v>49.99</v>
      </c>
      <c r="R19" s="2052" t="n">
        <f aca="false">T19-BD19-BG19</f>
        <v>40.14</v>
      </c>
      <c r="S19" s="1997" t="n">
        <v>52.37</v>
      </c>
      <c r="T19" s="1997" t="n">
        <v>41.66</v>
      </c>
      <c r="U19" s="2000" t="n">
        <f aca="false">AA19+AF19</f>
        <v>158.25</v>
      </c>
      <c r="V19" s="1997" t="n">
        <f aca="false">U19+Y19</f>
        <v>173.7</v>
      </c>
      <c r="W19" s="1997" t="n">
        <f aca="false">AC19+AJ19</f>
        <v>89.08</v>
      </c>
      <c r="X19" s="1997" t="n">
        <f aca="false">U19-W19</f>
        <v>69.17</v>
      </c>
      <c r="Y19" s="1997" t="n">
        <f aca="false">AD19+AK19</f>
        <v>15.45</v>
      </c>
      <c r="Z19" s="1319" t="n">
        <f aca="false">Y19/V19</f>
        <v>0.0889464594127807</v>
      </c>
      <c r="AA19" s="1997" t="n">
        <v>3.62</v>
      </c>
      <c r="AB19" s="1997" t="n">
        <v>3.82</v>
      </c>
      <c r="AC19" s="1997" t="n">
        <f aca="false">AA19</f>
        <v>3.62</v>
      </c>
      <c r="AD19" s="1997" t="n">
        <f aca="false">AB19-AA19</f>
        <v>0.2</v>
      </c>
      <c r="AE19" s="514" t="n">
        <f aca="false">AD19/AB19</f>
        <v>0.0523560209424083</v>
      </c>
      <c r="AF19" s="2123" t="n">
        <v>154.63</v>
      </c>
      <c r="AG19" s="2124" t="n">
        <f aca="false">AI19+AJ19</f>
        <v>169.88</v>
      </c>
      <c r="AH19" s="2125" t="n">
        <f aca="false">AF19-AJ19</f>
        <v>69.17</v>
      </c>
      <c r="AI19" s="1509" t="n">
        <f aca="false">AH19+AK19</f>
        <v>84.42</v>
      </c>
      <c r="AJ19" s="1478" t="n">
        <v>85.46</v>
      </c>
      <c r="AK19" s="2044" t="n">
        <f aca="false">I19-AD19-AP19</f>
        <v>15.25</v>
      </c>
      <c r="AL19" s="2126" t="n">
        <f aca="false">AK19/AG19</f>
        <v>0.0897692488815635</v>
      </c>
      <c r="AM19" s="2127" t="n">
        <v>13.89</v>
      </c>
      <c r="AN19" s="2124" t="n">
        <v>14.72</v>
      </c>
      <c r="AO19" s="1478" t="n">
        <f aca="false">AM19</f>
        <v>13.89</v>
      </c>
      <c r="AP19" s="1478" t="n">
        <f aca="false">AN19-AM19</f>
        <v>0.83</v>
      </c>
      <c r="AQ19" s="2128" t="n">
        <f aca="false">AP19/AN19</f>
        <v>0.0563858695652174</v>
      </c>
      <c r="AR19" s="1509" t="n">
        <f aca="false">AH19</f>
        <v>69.17</v>
      </c>
      <c r="AS19" s="1509" t="n">
        <f aca="false">AR19-AT19-AW19</f>
        <v>13.49</v>
      </c>
      <c r="AT19" s="1509" t="n">
        <f aca="false">AY19-BB19</f>
        <v>35.71</v>
      </c>
      <c r="AU19" s="1509" t="n">
        <f aca="false">AV19-AT19</f>
        <v>24.19</v>
      </c>
      <c r="AV19" s="1509" t="n">
        <v>59.9</v>
      </c>
      <c r="AW19" s="1509" t="n">
        <v>19.97</v>
      </c>
      <c r="AX19" s="1509" t="n">
        <v>14.67</v>
      </c>
      <c r="AY19" s="1509" t="n">
        <v>35.12</v>
      </c>
      <c r="AZ19" s="2003"/>
      <c r="BA19" s="1482" t="n">
        <f aca="false">BB19+BE19</f>
        <v>0.86</v>
      </c>
      <c r="BB19" s="1479" t="n">
        <f aca="false">BC19-BD19</f>
        <v>-0.59</v>
      </c>
      <c r="BC19" s="1478" t="n">
        <v>0.83</v>
      </c>
      <c r="BD19" s="1478" t="n">
        <v>1.42</v>
      </c>
      <c r="BE19" s="485" t="n">
        <f aca="false">BF19-BG19</f>
        <v>1.45</v>
      </c>
      <c r="BF19" s="1479" t="n">
        <v>1.55</v>
      </c>
      <c r="BG19" s="1478" t="n">
        <v>0.1</v>
      </c>
      <c r="BH19" s="1997"/>
      <c r="BI19" s="1997"/>
      <c r="BJ19" s="1997"/>
      <c r="BK19" s="1478" t="n">
        <v>-4.48</v>
      </c>
      <c r="BL19" s="1478"/>
      <c r="BM19" s="1478"/>
      <c r="BN19" s="1478" t="n">
        <v>-0.55</v>
      </c>
      <c r="BO19" s="1478"/>
      <c r="BP19" s="2003"/>
      <c r="BQ19" s="2007"/>
      <c r="BR19" s="2008"/>
      <c r="BS19" s="2008"/>
      <c r="BT19" s="2009"/>
      <c r="BU19" s="2017" t="n">
        <f aca="false">BB19</f>
        <v>-0.59</v>
      </c>
      <c r="BV19" s="1478" t="n">
        <v>-2.02</v>
      </c>
      <c r="BW19" s="1478"/>
      <c r="BX19" s="2007"/>
      <c r="BY19" s="1478" t="n">
        <f aca="false">CA19+CB19+AC19</f>
        <v>102.97</v>
      </c>
      <c r="BZ19" s="1509" t="n">
        <f aca="false">BY19+CD19</f>
        <v>104.42</v>
      </c>
      <c r="CA19" s="1509" t="n">
        <f aca="false">AJ19</f>
        <v>85.46</v>
      </c>
      <c r="CB19" s="1509" t="n">
        <f aca="false">AO19</f>
        <v>13.89</v>
      </c>
      <c r="CC19" s="2009"/>
      <c r="CD19" s="2015" t="n">
        <f aca="false">BE19</f>
        <v>1.45</v>
      </c>
      <c r="CE19" s="1479" t="n">
        <f aca="false">CF19+CL19</f>
        <v>70.36</v>
      </c>
      <c r="CF19" s="2007" t="n">
        <v>49.1</v>
      </c>
      <c r="CG19" s="1499" t="n">
        <f aca="false">K19</f>
        <v>28.12</v>
      </c>
      <c r="CH19" s="2017"/>
      <c r="CI19" s="2017"/>
      <c r="CJ19" s="2018"/>
      <c r="CK19" s="2018"/>
      <c r="CL19" s="1478" t="n">
        <v>21.26</v>
      </c>
      <c r="CM19" s="2018"/>
      <c r="CN19" s="2018"/>
      <c r="CO19" s="1478"/>
      <c r="CP19" s="2017"/>
      <c r="CQ19" s="2037" t="n">
        <v>28.55</v>
      </c>
      <c r="CR19" s="2017"/>
      <c r="CS19" s="2015"/>
      <c r="CT19" s="2017" t="n">
        <v>38.92</v>
      </c>
      <c r="CU19" s="2036" t="n">
        <f aca="false">CT19-M19</f>
        <v>13.4</v>
      </c>
      <c r="CV19" s="2017" t="n">
        <v>-1.16</v>
      </c>
      <c r="CW19" s="2017"/>
      <c r="CX19" s="2017" t="n">
        <v>5.93</v>
      </c>
      <c r="CY19" s="2017"/>
      <c r="CZ19" s="2017"/>
      <c r="DA19" s="2024"/>
      <c r="DB19" s="1478" t="n">
        <v>137.75</v>
      </c>
      <c r="DC19" s="1478" t="n">
        <v>11.03</v>
      </c>
      <c r="DD19" s="1997" t="n">
        <f aca="false">DC19+DJ19</f>
        <v>25.7</v>
      </c>
      <c r="DE19" s="1478" t="n">
        <v>12.6</v>
      </c>
      <c r="DF19" s="1478"/>
      <c r="DG19" s="1997" t="n">
        <v>0.44</v>
      </c>
      <c r="DH19" s="1994"/>
      <c r="DI19" s="1995" t="n">
        <f aca="false">DC19+AW19</f>
        <v>31</v>
      </c>
      <c r="DJ19" s="1995" t="n">
        <f aca="false">AX19</f>
        <v>14.67</v>
      </c>
      <c r="DK19" s="1997" t="n">
        <v>0.17</v>
      </c>
      <c r="DL19" s="2025"/>
      <c r="DM19" s="111" t="n">
        <v>23683</v>
      </c>
      <c r="DN19" s="111" t="n">
        <f aca="false">DM19-DO19</f>
        <v>17735</v>
      </c>
      <c r="DO19" s="111" t="n">
        <v>5948</v>
      </c>
      <c r="DP19" s="514" t="n">
        <f aca="false">DO19/DM19</f>
        <v>0.251150614364734</v>
      </c>
    </row>
    <row r="20" s="485" customFormat="true" ht="12" hidden="false" customHeight="false" outlineLevel="0" collapsed="false">
      <c r="A20" s="31" t="n">
        <f aca="false">A19+1</f>
        <v>1958</v>
      </c>
      <c r="B20" s="1994" t="n">
        <f aca="false">C20-I20</f>
        <v>215.2</v>
      </c>
      <c r="C20" s="384" t="n">
        <f aca="false">H20+F20</f>
        <v>233.2</v>
      </c>
      <c r="D20" s="1509" t="n">
        <f aca="false">B20+BK20+BN20</f>
        <v>211.19</v>
      </c>
      <c r="E20" s="1995" t="n">
        <f aca="false">B20-K20</f>
        <v>185.27</v>
      </c>
      <c r="F20" s="1995" t="n">
        <f aca="false">BA20</f>
        <v>0.55</v>
      </c>
      <c r="G20" s="1994" t="n">
        <f aca="false">H20-I20</f>
        <v>214.65</v>
      </c>
      <c r="H20" s="1478" t="n">
        <v>232.65</v>
      </c>
      <c r="I20" s="1478" t="n">
        <v>18</v>
      </c>
      <c r="J20" s="514" t="n">
        <f aca="false">I20/H20</f>
        <v>0.0773694390715667</v>
      </c>
      <c r="K20" s="1998" t="n">
        <v>29.93</v>
      </c>
      <c r="L20" s="2000" t="n">
        <v>136.79</v>
      </c>
      <c r="M20" s="1997" t="n">
        <v>30.33</v>
      </c>
      <c r="N20" s="1997" t="n">
        <v>56.45</v>
      </c>
      <c r="O20" s="1997" t="n">
        <v>53.05</v>
      </c>
      <c r="P20" s="1997" t="n">
        <f aca="false">N20-O20</f>
        <v>3.40000000000001</v>
      </c>
      <c r="Q20" s="1997" t="n">
        <f aca="false">S20-BC20-BF20</f>
        <v>50.72</v>
      </c>
      <c r="R20" s="2052" t="n">
        <f aca="false">T20-BD20-BG20</f>
        <v>41.64</v>
      </c>
      <c r="S20" s="1997" t="n">
        <v>53.11</v>
      </c>
      <c r="T20" s="1997" t="n">
        <v>43.48</v>
      </c>
      <c r="U20" s="2000" t="n">
        <f aca="false">AA20+AF20</f>
        <v>168.78</v>
      </c>
      <c r="V20" s="1997" t="n">
        <f aca="false">U20+Y20</f>
        <v>185.88</v>
      </c>
      <c r="W20" s="1997" t="n">
        <f aca="false">AC20+AJ20</f>
        <v>95.53</v>
      </c>
      <c r="X20" s="1997" t="n">
        <f aca="false">U20-W20</f>
        <v>73.25</v>
      </c>
      <c r="Y20" s="1997" t="n">
        <f aca="false">AD20+AK20</f>
        <v>17.1</v>
      </c>
      <c r="Z20" s="1319" t="n">
        <f aca="false">Y20/V20</f>
        <v>0.091994835377663</v>
      </c>
      <c r="AA20" s="1997" t="n">
        <v>3.96</v>
      </c>
      <c r="AB20" s="1997" t="n">
        <v>4.18</v>
      </c>
      <c r="AC20" s="1997" t="n">
        <f aca="false">AA20</f>
        <v>3.96</v>
      </c>
      <c r="AD20" s="1997" t="n">
        <f aca="false">AB20-AA20</f>
        <v>0.22</v>
      </c>
      <c r="AE20" s="514" t="n">
        <f aca="false">AD20/AB20</f>
        <v>0.0526315789473684</v>
      </c>
      <c r="AF20" s="2123" t="n">
        <v>164.82</v>
      </c>
      <c r="AG20" s="2124" t="n">
        <f aca="false">AI20+AJ20</f>
        <v>181.7</v>
      </c>
      <c r="AH20" s="2125" t="n">
        <f aca="false">AF20-AJ20</f>
        <v>73.25</v>
      </c>
      <c r="AI20" s="1509" t="n">
        <f aca="false">AH20+AK20</f>
        <v>90.13</v>
      </c>
      <c r="AJ20" s="1478" t="n">
        <v>91.57</v>
      </c>
      <c r="AK20" s="2044" t="n">
        <f aca="false">I20-AD20-AP20</f>
        <v>16.88</v>
      </c>
      <c r="AL20" s="2126" t="n">
        <f aca="false">AK20/AG20</f>
        <v>0.0929003852504128</v>
      </c>
      <c r="AM20" s="2127" t="n">
        <v>15.94</v>
      </c>
      <c r="AN20" s="2124" t="n">
        <v>16.84</v>
      </c>
      <c r="AO20" s="1478" t="n">
        <f aca="false">AM20</f>
        <v>15.94</v>
      </c>
      <c r="AP20" s="1478" t="n">
        <f aca="false">AN20-AM20</f>
        <v>0.9</v>
      </c>
      <c r="AQ20" s="2128" t="n">
        <f aca="false">AP20/AN20</f>
        <v>0.0534441805225653</v>
      </c>
      <c r="AR20" s="1509" t="n">
        <f aca="false">AH20</f>
        <v>73.25</v>
      </c>
      <c r="AS20" s="1509" t="n">
        <f aca="false">AR20-AT20-AW20</f>
        <v>14.08</v>
      </c>
      <c r="AT20" s="1509" t="n">
        <f aca="false">AY20-BB20</f>
        <v>39.2</v>
      </c>
      <c r="AU20" s="1509" t="n">
        <f aca="false">AV20-AT20</f>
        <v>26.62</v>
      </c>
      <c r="AV20" s="1509" t="n">
        <v>65.82</v>
      </c>
      <c r="AW20" s="1509" t="n">
        <v>19.97</v>
      </c>
      <c r="AX20" s="1509" t="n">
        <v>17.21</v>
      </c>
      <c r="AY20" s="1509" t="n">
        <v>38.4</v>
      </c>
      <c r="AZ20" s="2003"/>
      <c r="BA20" s="1482" t="n">
        <f aca="false">BB20+BE20</f>
        <v>0.55</v>
      </c>
      <c r="BB20" s="1479" t="n">
        <f aca="false">BC20-BD20</f>
        <v>-0.8</v>
      </c>
      <c r="BC20" s="1478" t="n">
        <v>0.91</v>
      </c>
      <c r="BD20" s="1478" t="n">
        <v>1.71</v>
      </c>
      <c r="BE20" s="485" t="n">
        <f aca="false">BF20-BG20</f>
        <v>1.35</v>
      </c>
      <c r="BF20" s="1479" t="n">
        <v>1.48</v>
      </c>
      <c r="BG20" s="1478" t="n">
        <v>0.13</v>
      </c>
      <c r="BH20" s="1997"/>
      <c r="BI20" s="1997"/>
      <c r="BJ20" s="1997"/>
      <c r="BK20" s="1478" t="n">
        <v>-3.49</v>
      </c>
      <c r="BL20" s="1478"/>
      <c r="BM20" s="1478"/>
      <c r="BN20" s="1478" t="n">
        <v>-0.52</v>
      </c>
      <c r="BO20" s="1478"/>
      <c r="BP20" s="2003"/>
      <c r="BQ20" s="2007"/>
      <c r="BR20" s="2008"/>
      <c r="BS20" s="2008"/>
      <c r="BT20" s="2009"/>
      <c r="BU20" s="2017" t="n">
        <f aca="false">BB20</f>
        <v>-0.8</v>
      </c>
      <c r="BV20" s="1478" t="n">
        <v>-1.91</v>
      </c>
      <c r="BW20" s="1478"/>
      <c r="BX20" s="2007"/>
      <c r="BY20" s="1478" t="n">
        <f aca="false">CA20+CB20+AC20</f>
        <v>111.47</v>
      </c>
      <c r="BZ20" s="1509" t="n">
        <f aca="false">BY20+CD20</f>
        <v>112.82</v>
      </c>
      <c r="CA20" s="1509" t="n">
        <f aca="false">AJ20</f>
        <v>91.57</v>
      </c>
      <c r="CB20" s="1509" t="n">
        <f aca="false">AO20</f>
        <v>15.94</v>
      </c>
      <c r="CC20" s="2009"/>
      <c r="CD20" s="2015" t="n">
        <f aca="false">BE20</f>
        <v>1.35</v>
      </c>
      <c r="CE20" s="1479" t="n">
        <f aca="false">CF20+CL20</f>
        <v>75.85</v>
      </c>
      <c r="CF20" s="2007" t="n">
        <v>51.26</v>
      </c>
      <c r="CG20" s="1499" t="n">
        <f aca="false">K20</f>
        <v>29.93</v>
      </c>
      <c r="CH20" s="2017"/>
      <c r="CI20" s="2017"/>
      <c r="CJ20" s="2018"/>
      <c r="CK20" s="2018"/>
      <c r="CL20" s="1478" t="n">
        <v>24.59</v>
      </c>
      <c r="CM20" s="2018"/>
      <c r="CN20" s="2018"/>
      <c r="CO20" s="1478"/>
      <c r="CP20" s="2017"/>
      <c r="CQ20" s="2037" t="n">
        <v>32.15</v>
      </c>
      <c r="CR20" s="2017"/>
      <c r="CS20" s="2015"/>
      <c r="CT20" s="2017" t="n">
        <v>41.91</v>
      </c>
      <c r="CU20" s="2036" t="n">
        <f aca="false">CT20-M20</f>
        <v>11.58</v>
      </c>
      <c r="CV20" s="2017" t="n">
        <v>-2.83</v>
      </c>
      <c r="CW20" s="2017"/>
      <c r="CX20" s="2017" t="n">
        <v>6.23</v>
      </c>
      <c r="CY20" s="2017"/>
      <c r="CZ20" s="2017"/>
      <c r="DA20" s="2024"/>
      <c r="DB20" s="1478" t="n">
        <v>149.83</v>
      </c>
      <c r="DC20" s="1478" t="n">
        <v>13.04</v>
      </c>
      <c r="DD20" s="1997" t="n">
        <f aca="false">DC20+DJ20</f>
        <v>30.25</v>
      </c>
      <c r="DE20" s="1478" t="n">
        <v>14.17</v>
      </c>
      <c r="DF20" s="1478"/>
      <c r="DG20" s="1997" t="n">
        <v>0.06</v>
      </c>
      <c r="DH20" s="1994"/>
      <c r="DI20" s="1995" t="n">
        <f aca="false">DC20+AW20</f>
        <v>33.01</v>
      </c>
      <c r="DJ20" s="1995" t="n">
        <f aca="false">AX20</f>
        <v>17.21</v>
      </c>
      <c r="DK20" s="1997" t="n">
        <v>2.25</v>
      </c>
      <c r="DL20" s="2025"/>
      <c r="DM20" s="111" t="n">
        <v>23895</v>
      </c>
      <c r="DN20" s="111" t="n">
        <f aca="false">DM20-DO20</f>
        <v>17959</v>
      </c>
      <c r="DO20" s="111" t="n">
        <v>5936</v>
      </c>
      <c r="DP20" s="514" t="n">
        <f aca="false">DO20/DM20</f>
        <v>0.248420171584013</v>
      </c>
    </row>
    <row r="21" s="485" customFormat="true" ht="12" hidden="false" customHeight="false" outlineLevel="0" collapsed="false">
      <c r="A21" s="31" t="n">
        <f aca="false">A20+1</f>
        <v>1959</v>
      </c>
      <c r="B21" s="1994" t="n">
        <f aca="false">C21-I21</f>
        <v>235.18</v>
      </c>
      <c r="C21" s="384" t="n">
        <f aca="false">H21+F21</f>
        <v>254.9</v>
      </c>
      <c r="D21" s="1509" t="n">
        <f aca="false">B21+BK21+BN21</f>
        <v>230.18</v>
      </c>
      <c r="E21" s="1995" t="n">
        <f aca="false">B21-K21</f>
        <v>201.56</v>
      </c>
      <c r="F21" s="1995" t="n">
        <f aca="false">BA21</f>
        <v>0.0399999999999998</v>
      </c>
      <c r="G21" s="1994" t="n">
        <f aca="false">H21-I21</f>
        <v>235.14</v>
      </c>
      <c r="H21" s="1478" t="n">
        <v>254.86</v>
      </c>
      <c r="I21" s="1478" t="n">
        <v>19.72</v>
      </c>
      <c r="J21" s="514" t="n">
        <f aca="false">I21/H21</f>
        <v>0.0773758141724869</v>
      </c>
      <c r="K21" s="1998" t="n">
        <v>33.62</v>
      </c>
      <c r="L21" s="2000" t="n">
        <v>146.28</v>
      </c>
      <c r="M21" s="1997" t="n">
        <v>33.56</v>
      </c>
      <c r="N21" s="1997" t="n">
        <v>65.38</v>
      </c>
      <c r="O21" s="1997" t="n">
        <v>61.38</v>
      </c>
      <c r="P21" s="1997" t="n">
        <f aca="false">N21-O21</f>
        <v>3.99999999999999</v>
      </c>
      <c r="Q21" s="1997" t="n">
        <f aca="false">S21-BC21-BF21</f>
        <v>55.94</v>
      </c>
      <c r="R21" s="2052" t="n">
        <f aca="false">T21-BD21-BG21</f>
        <v>46.3</v>
      </c>
      <c r="S21" s="1997" t="n">
        <v>58.6</v>
      </c>
      <c r="T21" s="1997" t="n">
        <v>48.92</v>
      </c>
      <c r="U21" s="2000" t="n">
        <f aca="false">AA21+AF21</f>
        <v>184.77</v>
      </c>
      <c r="V21" s="1997" t="n">
        <f aca="false">U21+Y21</f>
        <v>203.51</v>
      </c>
      <c r="W21" s="1997" t="n">
        <f aca="false">AC21+AJ21</f>
        <v>103.22</v>
      </c>
      <c r="X21" s="1997" t="n">
        <f aca="false">U21-W21</f>
        <v>81.55</v>
      </c>
      <c r="Y21" s="1997" t="n">
        <f aca="false">AD21+AK21</f>
        <v>18.74</v>
      </c>
      <c r="Z21" s="1319" t="n">
        <f aca="false">Y21/V21</f>
        <v>0.0920839270797504</v>
      </c>
      <c r="AA21" s="1997" t="n">
        <v>4.18</v>
      </c>
      <c r="AB21" s="1997" t="n">
        <v>4.42</v>
      </c>
      <c r="AC21" s="1997" t="n">
        <f aca="false">AA21</f>
        <v>4.18</v>
      </c>
      <c r="AD21" s="1997" t="n">
        <f aca="false">AB21-AA21</f>
        <v>0.24</v>
      </c>
      <c r="AE21" s="514" t="n">
        <f aca="false">AD21/AB21</f>
        <v>0.0542986425339367</v>
      </c>
      <c r="AF21" s="2123" t="n">
        <v>180.59</v>
      </c>
      <c r="AG21" s="2124" t="n">
        <f aca="false">AI21+AJ21</f>
        <v>199.09</v>
      </c>
      <c r="AH21" s="2125" t="n">
        <f aca="false">AF21-AJ21</f>
        <v>81.55</v>
      </c>
      <c r="AI21" s="1509" t="n">
        <f aca="false">AH21+AK21</f>
        <v>100.05</v>
      </c>
      <c r="AJ21" s="1478" t="n">
        <v>99.04</v>
      </c>
      <c r="AK21" s="2044" t="n">
        <f aca="false">I21-AD21-AP21</f>
        <v>18.5</v>
      </c>
      <c r="AL21" s="2126" t="n">
        <f aca="false">AK21/AG21</f>
        <v>0.0929227987342408</v>
      </c>
      <c r="AM21" s="2127" t="n">
        <v>16.75</v>
      </c>
      <c r="AN21" s="2124" t="n">
        <v>17.73</v>
      </c>
      <c r="AO21" s="1478" t="n">
        <f aca="false">AM21</f>
        <v>16.75</v>
      </c>
      <c r="AP21" s="1478" t="n">
        <f aca="false">AN21-AM21</f>
        <v>0.98</v>
      </c>
      <c r="AQ21" s="2128" t="n">
        <f aca="false">AP21/AN21</f>
        <v>0.0552735476593345</v>
      </c>
      <c r="AR21" s="1509" t="n">
        <f aca="false">AH21</f>
        <v>81.55</v>
      </c>
      <c r="AS21" s="1509" t="n">
        <f aca="false">AR21-AT21-AW21</f>
        <v>16.12</v>
      </c>
      <c r="AT21" s="1509" t="n">
        <f aca="false">AY21-BB21</f>
        <v>42.65</v>
      </c>
      <c r="AU21" s="1509" t="n">
        <f aca="false">AV21-AT21</f>
        <v>29.35</v>
      </c>
      <c r="AV21" s="1509" t="n">
        <v>72</v>
      </c>
      <c r="AW21" s="1509" t="n">
        <v>22.78</v>
      </c>
      <c r="AX21" s="1509" t="n">
        <v>17.69</v>
      </c>
      <c r="AY21" s="1509" t="n">
        <v>41.39</v>
      </c>
      <c r="AZ21" s="2003"/>
      <c r="BA21" s="1482" t="n">
        <f aca="false">BB21+BE21</f>
        <v>0.0399999999999998</v>
      </c>
      <c r="BB21" s="1479" t="n">
        <f aca="false">BC21-BD21</f>
        <v>-1.26</v>
      </c>
      <c r="BC21" s="1478" t="n">
        <v>1.21</v>
      </c>
      <c r="BD21" s="1478" t="n">
        <v>2.47</v>
      </c>
      <c r="BE21" s="485" t="n">
        <f aca="false">BF21-BG21</f>
        <v>1.3</v>
      </c>
      <c r="BF21" s="1479" t="n">
        <v>1.45</v>
      </c>
      <c r="BG21" s="1478" t="n">
        <v>0.15</v>
      </c>
      <c r="BH21" s="1997"/>
      <c r="BI21" s="1997"/>
      <c r="BJ21" s="1997"/>
      <c r="BK21" s="1478" t="n">
        <v>-3.86</v>
      </c>
      <c r="BL21" s="1478"/>
      <c r="BM21" s="1478"/>
      <c r="BN21" s="1478" t="n">
        <v>-1.14</v>
      </c>
      <c r="BO21" s="1478"/>
      <c r="BP21" s="2003"/>
      <c r="BQ21" s="2007"/>
      <c r="BR21" s="2008"/>
      <c r="BS21" s="2008"/>
      <c r="BT21" s="2009"/>
      <c r="BU21" s="2017" t="n">
        <f aca="false">BB21</f>
        <v>-1.26</v>
      </c>
      <c r="BV21" s="1478" t="n">
        <v>-1.55</v>
      </c>
      <c r="BW21" s="1478"/>
      <c r="BX21" s="2007"/>
      <c r="BY21" s="1478" t="n">
        <f aca="false">CA21+CB21+AC21</f>
        <v>119.97</v>
      </c>
      <c r="BZ21" s="1509" t="n">
        <f aca="false">BY21+CD21</f>
        <v>121.27</v>
      </c>
      <c r="CA21" s="1509" t="n">
        <f aca="false">AJ21</f>
        <v>99.04</v>
      </c>
      <c r="CB21" s="1509" t="n">
        <f aca="false">AO21</f>
        <v>16.75</v>
      </c>
      <c r="CC21" s="2009"/>
      <c r="CD21" s="2015" t="n">
        <f aca="false">BE21</f>
        <v>1.3</v>
      </c>
      <c r="CE21" s="1479" t="n">
        <f aca="false">CF21+CL21</f>
        <v>83.8</v>
      </c>
      <c r="CF21" s="2007" t="n">
        <v>57.51</v>
      </c>
      <c r="CG21" s="1499" t="n">
        <f aca="false">K21</f>
        <v>33.62</v>
      </c>
      <c r="CH21" s="2017"/>
      <c r="CI21" s="2017"/>
      <c r="CJ21" s="2018"/>
      <c r="CK21" s="2018"/>
      <c r="CL21" s="1478" t="n">
        <v>26.29</v>
      </c>
      <c r="CM21" s="2018"/>
      <c r="CN21" s="2018"/>
      <c r="CO21" s="1478"/>
      <c r="CP21" s="2017"/>
      <c r="CQ21" s="2037" t="n">
        <v>33.32</v>
      </c>
      <c r="CR21" s="2017"/>
      <c r="CS21" s="2015"/>
      <c r="CT21" s="2017" t="n">
        <v>48.17</v>
      </c>
      <c r="CU21" s="2036" t="n">
        <f aca="false">CT21-M21</f>
        <v>14.61</v>
      </c>
      <c r="CV21" s="2017" t="n">
        <v>-2.82</v>
      </c>
      <c r="CW21" s="2017"/>
      <c r="CX21" s="2017" t="n">
        <v>8.05</v>
      </c>
      <c r="CY21" s="2017"/>
      <c r="CZ21" s="2017"/>
      <c r="DA21" s="2024"/>
      <c r="DB21" s="1478" t="n">
        <v>160.37</v>
      </c>
      <c r="DC21" s="1478" t="n">
        <v>14.09</v>
      </c>
      <c r="DD21" s="1997" t="n">
        <f aca="false">DC21+DJ21</f>
        <v>31.78</v>
      </c>
      <c r="DE21" s="1478" t="n">
        <v>15.62</v>
      </c>
      <c r="DF21" s="1478"/>
      <c r="DG21" s="1997" t="n">
        <v>0.22</v>
      </c>
      <c r="DH21" s="1994"/>
      <c r="DI21" s="1995" t="n">
        <f aca="false">DC21+AW21</f>
        <v>36.87</v>
      </c>
      <c r="DJ21" s="1995" t="n">
        <f aca="false">AX21</f>
        <v>17.69</v>
      </c>
      <c r="DK21" s="1997" t="n">
        <v>1.46</v>
      </c>
      <c r="DL21" s="2025"/>
      <c r="DM21" s="111" t="n">
        <v>24171</v>
      </c>
      <c r="DN21" s="111" t="n">
        <f aca="false">DM21-DO21</f>
        <v>18297</v>
      </c>
      <c r="DO21" s="111" t="n">
        <v>5874</v>
      </c>
      <c r="DP21" s="514" t="n">
        <f aca="false">DO21/DM21</f>
        <v>0.243018493235696</v>
      </c>
    </row>
    <row r="22" s="553" customFormat="true" ht="12" hidden="false" customHeight="false" outlineLevel="0" collapsed="false">
      <c r="A22" s="553" t="n">
        <f aca="false">A21+1</f>
        <v>1960</v>
      </c>
      <c r="B22" s="2049" t="n">
        <f aca="false">C22-I22</f>
        <v>263.81</v>
      </c>
      <c r="C22" s="2132" t="n">
        <f aca="false">H22+F22</f>
        <v>286</v>
      </c>
      <c r="D22" s="2041" t="n">
        <f aca="false">B22+BK22+BN22</f>
        <v>259.22</v>
      </c>
      <c r="E22" s="2133" t="n">
        <f aca="false">B22-K22</f>
        <v>227.15</v>
      </c>
      <c r="F22" s="2133" t="n">
        <f aca="false">BA22</f>
        <v>0.37</v>
      </c>
      <c r="G22" s="2049" t="n">
        <f aca="false">H22-I22</f>
        <v>263.44</v>
      </c>
      <c r="H22" s="2041" t="n">
        <v>285.63</v>
      </c>
      <c r="I22" s="2041" t="n">
        <v>22.19</v>
      </c>
      <c r="J22" s="1425" t="n">
        <f aca="false">I22/H22</f>
        <v>0.0776879179357911</v>
      </c>
      <c r="K22" s="2134" t="n">
        <v>36.66</v>
      </c>
      <c r="L22" s="2135" t="n">
        <v>160.83</v>
      </c>
      <c r="M22" s="2034" t="n">
        <v>37.7</v>
      </c>
      <c r="N22" s="2034" t="n">
        <v>78.55</v>
      </c>
      <c r="O22" s="2034" t="n">
        <v>69.65</v>
      </c>
      <c r="P22" s="2034" t="n">
        <f aca="false">N22-O22</f>
        <v>8.89999999999999</v>
      </c>
      <c r="Q22" s="2034" t="n">
        <f aca="false">S22-BC22-BF22</f>
        <v>64.28</v>
      </c>
      <c r="R22" s="2136" t="n">
        <f aca="false">T22-BD22-BG22</f>
        <v>55.73</v>
      </c>
      <c r="S22" s="2034" t="n">
        <v>67.49</v>
      </c>
      <c r="T22" s="2034" t="n">
        <v>58.57</v>
      </c>
      <c r="U22" s="2135" t="n">
        <f aca="false">AA22+AF22</f>
        <v>207.91</v>
      </c>
      <c r="V22" s="2034" t="n">
        <f aca="false">U22+Y22</f>
        <v>228.99</v>
      </c>
      <c r="W22" s="2034" t="n">
        <f aca="false">AC22+AJ22</f>
        <v>115.55</v>
      </c>
      <c r="X22" s="2034" t="n">
        <f aca="false">U22-W22</f>
        <v>92.36</v>
      </c>
      <c r="Y22" s="2034" t="n">
        <f aca="false">AD22+AK22</f>
        <v>21.08</v>
      </c>
      <c r="Z22" s="2137" t="n">
        <f aca="false">Y22/V22</f>
        <v>0.0920564216778025</v>
      </c>
      <c r="AA22" s="2034" t="n">
        <v>4.5</v>
      </c>
      <c r="AB22" s="2034" t="n">
        <v>4.78</v>
      </c>
      <c r="AC22" s="2034" t="n">
        <f aca="false">AA22</f>
        <v>4.5</v>
      </c>
      <c r="AD22" s="2034" t="n">
        <f aca="false">AB22-AA22</f>
        <v>0.28</v>
      </c>
      <c r="AE22" s="1425" t="n">
        <f aca="false">AD22/AB22</f>
        <v>0.0585774058577406</v>
      </c>
      <c r="AF22" s="2138" t="n">
        <v>203.41</v>
      </c>
      <c r="AG22" s="2139" t="n">
        <f aca="false">AI22+AJ22</f>
        <v>224.21</v>
      </c>
      <c r="AH22" s="2140" t="n">
        <f aca="false">AF22-AJ22</f>
        <v>92.36</v>
      </c>
      <c r="AI22" s="2041" t="n">
        <f aca="false">AH22+AK22</f>
        <v>113.16</v>
      </c>
      <c r="AJ22" s="2041" t="n">
        <v>111.05</v>
      </c>
      <c r="AK22" s="2141" t="n">
        <f aca="false">I22-AD22-AP22</f>
        <v>20.8</v>
      </c>
      <c r="AL22" s="2142" t="n">
        <f aca="false">AK22/AG22</f>
        <v>0.0927701708219973</v>
      </c>
      <c r="AM22" s="2143" t="n">
        <v>18.87</v>
      </c>
      <c r="AN22" s="2139" t="n">
        <v>19.98</v>
      </c>
      <c r="AO22" s="2041" t="n">
        <f aca="false">AM22</f>
        <v>18.87</v>
      </c>
      <c r="AP22" s="2041" t="n">
        <f aca="false">AN22-AM22</f>
        <v>1.11</v>
      </c>
      <c r="AQ22" s="2144" t="n">
        <f aca="false">AP22/AN22</f>
        <v>0.0555555555555555</v>
      </c>
      <c r="AR22" s="2145" t="n">
        <f aca="false">AH22</f>
        <v>92.36</v>
      </c>
      <c r="AS22" s="2041" t="n">
        <f aca="false">AR22-AT22-AW22</f>
        <v>18.9</v>
      </c>
      <c r="AT22" s="2041" t="n">
        <f aca="false">AY22-BB22</f>
        <v>48.08</v>
      </c>
      <c r="AU22" s="2041" t="n">
        <f aca="false">AV22-AT22</f>
        <v>34.99</v>
      </c>
      <c r="AV22" s="2041" t="n">
        <v>83.07</v>
      </c>
      <c r="AW22" s="2041" t="n">
        <v>25.38</v>
      </c>
      <c r="AX22" s="2041" t="n">
        <v>21.18</v>
      </c>
      <c r="AY22" s="2041" t="n">
        <v>47.16</v>
      </c>
      <c r="AZ22" s="2146"/>
      <c r="BA22" s="2147" t="n">
        <f aca="false">BB22+BE22</f>
        <v>0.37</v>
      </c>
      <c r="BB22" s="2046" t="n">
        <f aca="false">BC22-BD22</f>
        <v>-0.92</v>
      </c>
      <c r="BC22" s="2041" t="n">
        <v>1.73</v>
      </c>
      <c r="BD22" s="2041" t="n">
        <v>2.65</v>
      </c>
      <c r="BE22" s="553" t="n">
        <f aca="false">BF22-BG22</f>
        <v>1.29</v>
      </c>
      <c r="BF22" s="2046" t="n">
        <v>1.48</v>
      </c>
      <c r="BG22" s="2041" t="n">
        <v>0.19</v>
      </c>
      <c r="BH22" s="2034"/>
      <c r="BI22" s="2034"/>
      <c r="BJ22" s="2034"/>
      <c r="BK22" s="2041" t="n">
        <v>-3.47</v>
      </c>
      <c r="BL22" s="2041"/>
      <c r="BM22" s="2041"/>
      <c r="BN22" s="2041" t="n">
        <v>-1.12</v>
      </c>
      <c r="BO22" s="2041"/>
      <c r="BP22" s="2146"/>
      <c r="BQ22" s="2049"/>
      <c r="BR22" s="2034"/>
      <c r="BS22" s="2034"/>
      <c r="BT22" s="2043"/>
      <c r="BU22" s="2046" t="n">
        <f aca="false">BB22</f>
        <v>-0.92</v>
      </c>
      <c r="BV22" s="2041" t="n">
        <v>-1.97</v>
      </c>
      <c r="BW22" s="2041"/>
      <c r="BX22" s="2049"/>
      <c r="BY22" s="2041" t="n">
        <f aca="false">CA22+CB22+AC22</f>
        <v>134.42</v>
      </c>
      <c r="BZ22" s="2041" t="n">
        <f aca="false">BY22+CD22</f>
        <v>135.71</v>
      </c>
      <c r="CA22" s="2041" t="n">
        <f aca="false">AJ22</f>
        <v>111.05</v>
      </c>
      <c r="CB22" s="2041" t="n">
        <f aca="false">AO22</f>
        <v>18.87</v>
      </c>
      <c r="CC22" s="2043"/>
      <c r="CD22" s="2148" t="n">
        <f aca="false">BE22</f>
        <v>1.29</v>
      </c>
      <c r="CE22" s="2147" t="n">
        <f aca="false">CF22+CL22</f>
        <v>94.8</v>
      </c>
      <c r="CF22" s="2049" t="n">
        <v>65.63</v>
      </c>
      <c r="CG22" s="2141" t="n">
        <f aca="false">K22</f>
        <v>36.66</v>
      </c>
      <c r="CH22" s="2046"/>
      <c r="CI22" s="2046"/>
      <c r="CJ22" s="2149"/>
      <c r="CK22" s="2149"/>
      <c r="CL22" s="2041" t="n">
        <v>29.17</v>
      </c>
      <c r="CM22" s="2149"/>
      <c r="CN22" s="2149"/>
      <c r="CO22" s="2041"/>
      <c r="CP22" s="2046"/>
      <c r="CQ22" s="2150" t="n">
        <v>34.73</v>
      </c>
      <c r="CR22" s="2046"/>
      <c r="CS22" s="2148"/>
      <c r="CT22" s="2046" t="n">
        <v>58.51</v>
      </c>
      <c r="CU22" s="2047" t="n">
        <f aca="false">CT22-M22</f>
        <v>20.81</v>
      </c>
      <c r="CV22" s="2046" t="n">
        <v>-3.34</v>
      </c>
      <c r="CW22" s="2046"/>
      <c r="CX22" s="2046" t="n">
        <v>9.24</v>
      </c>
      <c r="CY22" s="2046"/>
      <c r="CZ22" s="2046"/>
      <c r="DA22" s="2145"/>
      <c r="DB22" s="2041" t="n">
        <v>176.45</v>
      </c>
      <c r="DC22" s="2041" t="n">
        <v>15.62</v>
      </c>
      <c r="DD22" s="2034" t="n">
        <f aca="false">DC22+DJ22</f>
        <v>36.8</v>
      </c>
      <c r="DE22" s="2041" t="n">
        <v>16.94</v>
      </c>
      <c r="DF22" s="2041"/>
      <c r="DG22" s="2034" t="n">
        <v>-0.2</v>
      </c>
      <c r="DH22" s="2049"/>
      <c r="DI22" s="2133" t="n">
        <f aca="false">DC22+AW22</f>
        <v>41</v>
      </c>
      <c r="DJ22" s="2133" t="n">
        <f aca="false">AX22</f>
        <v>21.18</v>
      </c>
      <c r="DK22" s="2034" t="n">
        <v>2.42</v>
      </c>
      <c r="DL22" s="2151"/>
      <c r="DM22" s="2152" t="n">
        <v>24599</v>
      </c>
      <c r="DN22" s="2153" t="n">
        <f aca="false">DM22-DO22</f>
        <v>18810</v>
      </c>
      <c r="DO22" s="2153" t="n">
        <v>5789</v>
      </c>
      <c r="DP22" s="1425" t="n">
        <f aca="false">DO22/DM22</f>
        <v>0.235334769706086</v>
      </c>
    </row>
    <row r="23" customFormat="false" ht="12" hidden="false" customHeight="false" outlineLevel="0" collapsed="false">
      <c r="A23" s="31" t="n">
        <v>1960</v>
      </c>
      <c r="B23" s="1994" t="n">
        <f aca="false">C23-I23</f>
        <v>279.37</v>
      </c>
      <c r="C23" s="384" t="n">
        <f aca="false">H23+F23</f>
        <v>303</v>
      </c>
      <c r="D23" s="1478" t="n">
        <f aca="false">B23+BK23+BN23</f>
        <v>275.41</v>
      </c>
      <c r="E23" s="1995" t="n">
        <f aca="false">B23-K23</f>
        <v>240.11</v>
      </c>
      <c r="F23" s="1995" t="n">
        <f aca="false">BA23</f>
        <v>0.29</v>
      </c>
      <c r="G23" s="1994" t="n">
        <f aca="false">H23-I23</f>
        <v>279.08</v>
      </c>
      <c r="H23" s="1478" t="n">
        <v>302.71</v>
      </c>
      <c r="I23" s="1478" t="n">
        <v>23.63</v>
      </c>
      <c r="J23" s="514" t="n">
        <f aca="false">I23/H23</f>
        <v>0.0780615110171451</v>
      </c>
      <c r="K23" s="1998" t="n">
        <v>39.26</v>
      </c>
      <c r="L23" s="2000" t="n">
        <v>171.84</v>
      </c>
      <c r="M23" s="1997" t="n">
        <v>40.45</v>
      </c>
      <c r="N23" s="1997" t="n">
        <v>82.78</v>
      </c>
      <c r="O23" s="1997" t="n">
        <v>73.58</v>
      </c>
      <c r="P23" s="1997" t="n">
        <f aca="false">N23-O23</f>
        <v>9.2</v>
      </c>
      <c r="Q23" s="1997" t="n">
        <f aca="false">S23-BC23-BF23</f>
        <v>57.49</v>
      </c>
      <c r="R23" s="2052" t="n">
        <f aca="false">T23-BD23-BG23</f>
        <v>49.85</v>
      </c>
      <c r="S23" s="1997" t="n">
        <v>60.68</v>
      </c>
      <c r="T23" s="1997" t="n">
        <v>52.75</v>
      </c>
      <c r="U23" s="2000" t="n">
        <f aca="false">AA23+AF23</f>
        <v>219.38</v>
      </c>
      <c r="V23" s="1997" t="n">
        <f aca="false">U23+Y23</f>
        <v>241.84</v>
      </c>
      <c r="W23" s="1997" t="n">
        <f aca="false">AC23+AJ23</f>
        <v>122.72</v>
      </c>
      <c r="X23" s="1997" t="n">
        <f aca="false">U23-W23</f>
        <v>96.66</v>
      </c>
      <c r="Y23" s="1997" t="n">
        <f aca="false">AD23+AK23</f>
        <v>22.46</v>
      </c>
      <c r="Z23" s="1319" t="n">
        <f aca="false">Y23/V23</f>
        <v>0.092871319880913</v>
      </c>
      <c r="AA23" s="2052" t="n">
        <v>4.75</v>
      </c>
      <c r="AB23" s="1997" t="n">
        <v>5.04</v>
      </c>
      <c r="AC23" s="1997" t="n">
        <f aca="false">AA23</f>
        <v>4.75</v>
      </c>
      <c r="AD23" s="1997" t="n">
        <f aca="false">AB23-AA23</f>
        <v>0.29</v>
      </c>
      <c r="AE23" s="514" t="n">
        <f aca="false">AD23/AB23</f>
        <v>0.0575396825396825</v>
      </c>
      <c r="AF23" s="2123" t="n">
        <v>214.63</v>
      </c>
      <c r="AG23" s="2124" t="n">
        <f aca="false">AI23+AJ23</f>
        <v>236.8</v>
      </c>
      <c r="AH23" s="2125" t="n">
        <f aca="false">AF23-AJ23</f>
        <v>96.66</v>
      </c>
      <c r="AI23" s="1478" t="n">
        <f aca="false">AH23+AK23</f>
        <v>118.83</v>
      </c>
      <c r="AJ23" s="1478" t="n">
        <v>117.97</v>
      </c>
      <c r="AK23" s="2044" t="n">
        <f aca="false">I23-AD23-AP23</f>
        <v>22.17</v>
      </c>
      <c r="AL23" s="2126" t="n">
        <f aca="false">AK23/AG23</f>
        <v>0.0936233108108108</v>
      </c>
      <c r="AM23" s="2127" t="n">
        <v>20.44</v>
      </c>
      <c r="AN23" s="2124" t="n">
        <v>21.61</v>
      </c>
      <c r="AO23" s="1478" t="n">
        <f aca="false">AM23</f>
        <v>20.44</v>
      </c>
      <c r="AP23" s="1478" t="n">
        <f aca="false">AN23-AM23</f>
        <v>1.17</v>
      </c>
      <c r="AQ23" s="2128" t="n">
        <f aca="false">AP23/AN23</f>
        <v>0.0541416011105969</v>
      </c>
      <c r="AR23" s="1509" t="n">
        <f aca="false">AH23</f>
        <v>96.66</v>
      </c>
      <c r="AS23" s="1509" t="n">
        <f aca="false">AR23-AT23-AW23</f>
        <v>20.28</v>
      </c>
      <c r="AT23" s="1509" t="n">
        <f aca="false">AY23-BB23</f>
        <v>49.72</v>
      </c>
      <c r="AU23" s="1509" t="n">
        <f aca="false">AV23-AT23</f>
        <v>51.49</v>
      </c>
      <c r="AV23" s="1478" t="n">
        <v>101.21</v>
      </c>
      <c r="AW23" s="1478" t="n">
        <v>26.66</v>
      </c>
      <c r="AX23" s="1478" t="n">
        <v>22.42</v>
      </c>
      <c r="AY23" s="1478" t="n">
        <v>48.78</v>
      </c>
      <c r="AZ23" s="2003"/>
      <c r="BA23" s="2154" t="n">
        <f aca="false">BB23+BE23</f>
        <v>0.29</v>
      </c>
      <c r="BB23" s="1479" t="n">
        <f aca="false">BC23-BD23</f>
        <v>-0.94</v>
      </c>
      <c r="BC23" s="2044" t="n">
        <v>1.66</v>
      </c>
      <c r="BD23" s="1478" t="n">
        <v>2.6</v>
      </c>
      <c r="BE23" s="1479" t="n">
        <f aca="false">BF23-BG23</f>
        <v>1.23</v>
      </c>
      <c r="BF23" s="1478" t="n">
        <v>1.53</v>
      </c>
      <c r="BG23" s="1478" t="n">
        <v>0.3</v>
      </c>
      <c r="BH23" s="1997"/>
      <c r="BI23" s="1997"/>
      <c r="BJ23" s="1997"/>
      <c r="BK23" s="1478" t="n">
        <v>-3.18</v>
      </c>
      <c r="BL23" s="1478"/>
      <c r="BM23" s="1478"/>
      <c r="BN23" s="1478" t="n">
        <v>-0.78</v>
      </c>
      <c r="BO23" s="1478"/>
      <c r="BP23" s="2003"/>
      <c r="BQ23" s="1994"/>
      <c r="BR23" s="1997"/>
      <c r="BS23" s="1997"/>
      <c r="BT23" s="2023"/>
      <c r="BU23" s="1479" t="n">
        <f aca="false">BB23</f>
        <v>-0.94</v>
      </c>
      <c r="BV23" s="1478" t="n">
        <v>-2.07</v>
      </c>
      <c r="BW23" s="1478"/>
      <c r="BX23" s="1994"/>
      <c r="BY23" s="1478" t="n">
        <f aca="false">CA23+CB23+AC23</f>
        <v>143.16</v>
      </c>
      <c r="BZ23" s="1509" t="n">
        <f aca="false">BY23+CD23</f>
        <v>144.39</v>
      </c>
      <c r="CA23" s="1478" t="n">
        <f aca="false">AJ23</f>
        <v>117.97</v>
      </c>
      <c r="CB23" s="1478" t="n">
        <f aca="false">AO23</f>
        <v>20.44</v>
      </c>
      <c r="CC23" s="2023"/>
      <c r="CD23" s="2015" t="n">
        <f aca="false">BE23</f>
        <v>1.23</v>
      </c>
      <c r="CE23" s="1479" t="n">
        <f aca="false">CF23+CL23</f>
        <v>100.98</v>
      </c>
      <c r="CF23" s="1994" t="n">
        <v>69.77</v>
      </c>
      <c r="CG23" s="1499" t="n">
        <f aca="false">K23</f>
        <v>39.26</v>
      </c>
      <c r="CH23" s="1479"/>
      <c r="CI23" s="1479"/>
      <c r="CJ23" s="2155"/>
      <c r="CK23" s="2155"/>
      <c r="CL23" s="1478" t="n">
        <v>31.21</v>
      </c>
      <c r="CM23" s="2155"/>
      <c r="CN23" s="2155"/>
      <c r="CO23" s="1478"/>
      <c r="CP23" s="1479"/>
      <c r="CQ23" s="2103" t="n">
        <v>38.36</v>
      </c>
      <c r="CR23" s="1479"/>
      <c r="CS23" s="2015"/>
      <c r="CT23" s="1479" t="n">
        <v>61.57</v>
      </c>
      <c r="CU23" s="2036" t="n">
        <f aca="false">CT23-M23</f>
        <v>21.12</v>
      </c>
      <c r="CV23" s="1479" t="n">
        <v>-3.31</v>
      </c>
      <c r="CW23" s="1479"/>
      <c r="CX23" s="1479" t="n">
        <v>9.72</v>
      </c>
      <c r="CY23" s="1479"/>
      <c r="CZ23" s="1479"/>
      <c r="DA23" s="2024"/>
      <c r="DB23" s="1478" t="n">
        <v>187.96</v>
      </c>
      <c r="DC23" s="1478" t="n">
        <v>16.12</v>
      </c>
      <c r="DD23" s="1997" t="n">
        <f aca="false">DC23+DJ23</f>
        <v>38.54</v>
      </c>
      <c r="DE23" s="1478" t="n">
        <v>17.5</v>
      </c>
      <c r="DF23" s="1478"/>
      <c r="DG23" s="1997" t="n">
        <v>-0.01</v>
      </c>
      <c r="DH23" s="1994"/>
      <c r="DI23" s="1995" t="n">
        <f aca="false">DC23+AW23</f>
        <v>42.78</v>
      </c>
      <c r="DJ23" s="1995" t="n">
        <f aca="false">AX23</f>
        <v>22.42</v>
      </c>
      <c r="DK23" s="1997" t="n">
        <v>2.54</v>
      </c>
      <c r="DL23" s="2025"/>
      <c r="DM23" s="111" t="n">
        <v>26063</v>
      </c>
      <c r="DN23" s="111" t="n">
        <f aca="false">DM23-DO23</f>
        <v>20073</v>
      </c>
      <c r="DO23" s="111" t="n">
        <v>5990</v>
      </c>
      <c r="DP23" s="514" t="n">
        <f aca="false">DO23/DM23</f>
        <v>0.229827725127576</v>
      </c>
    </row>
    <row r="24" s="485" customFormat="true" ht="12" hidden="false" customHeight="false" outlineLevel="0" collapsed="false">
      <c r="A24" s="31" t="n">
        <f aca="false">A22+1</f>
        <v>1961</v>
      </c>
      <c r="B24" s="1994" t="n">
        <f aca="false">C24-I24</f>
        <v>304.28</v>
      </c>
      <c r="C24" s="384" t="n">
        <f aca="false">H24+F24</f>
        <v>331.4</v>
      </c>
      <c r="D24" s="1509" t="n">
        <f aca="false">B24+BK24+BN24</f>
        <v>299.48</v>
      </c>
      <c r="E24" s="1995" t="n">
        <f aca="false">B24-K24</f>
        <v>260.75</v>
      </c>
      <c r="F24" s="1995" t="n">
        <f aca="false">BA24</f>
        <v>-0.31</v>
      </c>
      <c r="G24" s="1994" t="n">
        <f aca="false">H24-I24</f>
        <v>304.59</v>
      </c>
      <c r="H24" s="1478" t="n">
        <v>331.71</v>
      </c>
      <c r="I24" s="1478" t="n">
        <v>27.12</v>
      </c>
      <c r="J24" s="514" t="n">
        <f aca="false">I24/H24</f>
        <v>0.0817581622501583</v>
      </c>
      <c r="K24" s="1998" t="n">
        <v>43.53</v>
      </c>
      <c r="L24" s="2000" t="n">
        <v>188.33</v>
      </c>
      <c r="M24" s="1997" t="n">
        <v>45.78</v>
      </c>
      <c r="N24" s="1997" t="n">
        <v>90.16</v>
      </c>
      <c r="O24" s="1997" t="n">
        <v>83.46</v>
      </c>
      <c r="P24" s="1997" t="n">
        <f aca="false">N24-O24</f>
        <v>6.7</v>
      </c>
      <c r="Q24" s="1997" t="n">
        <f aca="false">S24-BC24-BF24</f>
        <v>59.84</v>
      </c>
      <c r="R24" s="2052" t="n">
        <f aca="false">T24-BD24-BG24</f>
        <v>52.4</v>
      </c>
      <c r="S24" s="1997" t="n">
        <v>63.2</v>
      </c>
      <c r="T24" s="1997" t="n">
        <v>56.07</v>
      </c>
      <c r="U24" s="2000" t="n">
        <f aca="false">AA24+AF24</f>
        <v>237.62</v>
      </c>
      <c r="V24" s="1997" t="n">
        <f aca="false">U24+Y24</f>
        <v>263.45</v>
      </c>
      <c r="W24" s="1997" t="n">
        <f aca="false">AC24+AJ24</f>
        <v>138.2</v>
      </c>
      <c r="X24" s="1997" t="n">
        <f aca="false">U24-W24</f>
        <v>99.42</v>
      </c>
      <c r="Y24" s="1997" t="n">
        <f aca="false">AD24+AK24</f>
        <v>25.83</v>
      </c>
      <c r="Z24" s="1319" t="n">
        <f aca="false">Y24/V24</f>
        <v>0.0980451698614538</v>
      </c>
      <c r="AA24" s="2052" t="n">
        <v>4.97</v>
      </c>
      <c r="AB24" s="1997" t="n">
        <v>5.3</v>
      </c>
      <c r="AC24" s="1997" t="n">
        <f aca="false">AA24</f>
        <v>4.97</v>
      </c>
      <c r="AD24" s="1997" t="n">
        <f aca="false">AB24-AA24</f>
        <v>0.33</v>
      </c>
      <c r="AE24" s="514" t="n">
        <f aca="false">AD24/AB24</f>
        <v>0.0622641509433962</v>
      </c>
      <c r="AF24" s="2123" t="n">
        <v>232.65</v>
      </c>
      <c r="AG24" s="2124" t="n">
        <f aca="false">AI24+AJ24</f>
        <v>258.15</v>
      </c>
      <c r="AH24" s="2125" t="n">
        <f aca="false">AF24-AJ24</f>
        <v>99.42</v>
      </c>
      <c r="AI24" s="1509" t="n">
        <f aca="false">AH24+AK24</f>
        <v>124.92</v>
      </c>
      <c r="AJ24" s="1478" t="n">
        <v>133.23</v>
      </c>
      <c r="AK24" s="2044" t="n">
        <f aca="false">I24-AD24-AP24</f>
        <v>25.5</v>
      </c>
      <c r="AL24" s="2126" t="n">
        <f aca="false">AK24/AG24</f>
        <v>0.0987797791981406</v>
      </c>
      <c r="AM24" s="2127" t="n">
        <v>23.44</v>
      </c>
      <c r="AN24" s="2124" t="n">
        <v>24.73</v>
      </c>
      <c r="AO24" s="1478" t="n">
        <f aca="false">AM24</f>
        <v>23.44</v>
      </c>
      <c r="AP24" s="1478" t="n">
        <f aca="false">AN24-AM24</f>
        <v>1.29</v>
      </c>
      <c r="AQ24" s="2128" t="n">
        <f aca="false">AP24/AN24</f>
        <v>0.052163364334816</v>
      </c>
      <c r="AR24" s="1509" t="n">
        <f aca="false">AH24</f>
        <v>99.42</v>
      </c>
      <c r="AS24" s="1509" t="n">
        <f aca="false">AR24-AT24-AW24</f>
        <v>22.82</v>
      </c>
      <c r="AT24" s="1509" t="n">
        <f aca="false">AY24-BB24</f>
        <v>54.51</v>
      </c>
      <c r="AU24" s="1509" t="n">
        <f aca="false">AV24-AT24</f>
        <v>50.09</v>
      </c>
      <c r="AV24" s="1509" t="n">
        <v>104.6</v>
      </c>
      <c r="AW24" s="1509" t="n">
        <v>22.09</v>
      </c>
      <c r="AX24" s="1509" t="n">
        <v>17.71</v>
      </c>
      <c r="AY24" s="1509" t="n">
        <v>53.03</v>
      </c>
      <c r="AZ24" s="2003"/>
      <c r="BA24" s="2154" t="n">
        <f aca="false">BB24+BE24</f>
        <v>-0.31</v>
      </c>
      <c r="BB24" s="1479" t="n">
        <f aca="false">BC24-BD24</f>
        <v>-1.48</v>
      </c>
      <c r="BC24" s="2044" t="n">
        <v>1.8</v>
      </c>
      <c r="BD24" s="1478" t="n">
        <v>3.28</v>
      </c>
      <c r="BE24" s="1479" t="n">
        <f aca="false">BF24-BG24</f>
        <v>1.17</v>
      </c>
      <c r="BF24" s="1478" t="n">
        <v>1.56</v>
      </c>
      <c r="BG24" s="1478" t="n">
        <v>0.39</v>
      </c>
      <c r="BH24" s="1997"/>
      <c r="BI24" s="1997"/>
      <c r="BJ24" s="1997"/>
      <c r="BK24" s="1478" t="n">
        <v>-3.87</v>
      </c>
      <c r="BL24" s="1478"/>
      <c r="BM24" s="1478"/>
      <c r="BN24" s="1478" t="n">
        <v>-0.93</v>
      </c>
      <c r="BO24" s="1478"/>
      <c r="BP24" s="2003"/>
      <c r="BQ24" s="2007"/>
      <c r="BR24" s="2008"/>
      <c r="BS24" s="2008"/>
      <c r="BT24" s="2009"/>
      <c r="BU24" s="2017" t="n">
        <f aca="false">BB24</f>
        <v>-1.48</v>
      </c>
      <c r="BV24" s="1478" t="n">
        <v>-2.5</v>
      </c>
      <c r="BW24" s="1478"/>
      <c r="BX24" s="2007"/>
      <c r="BY24" s="1478" t="n">
        <f aca="false">CA24+CB24+AC24</f>
        <v>161.64</v>
      </c>
      <c r="BZ24" s="1509" t="n">
        <f aca="false">BY24+CD24</f>
        <v>162.81</v>
      </c>
      <c r="CA24" s="1509" t="n">
        <f aca="false">AJ24</f>
        <v>133.23</v>
      </c>
      <c r="CB24" s="1509" t="n">
        <f aca="false">AO24</f>
        <v>23.44</v>
      </c>
      <c r="CC24" s="2009"/>
      <c r="CD24" s="2015" t="n">
        <f aca="false">BE24</f>
        <v>1.17</v>
      </c>
      <c r="CE24" s="1479" t="n">
        <f aca="false">CF24+CL24</f>
        <v>114.39</v>
      </c>
      <c r="CF24" s="2007" t="n">
        <v>79.97</v>
      </c>
      <c r="CG24" s="1499" t="n">
        <f aca="false">K24</f>
        <v>43.53</v>
      </c>
      <c r="CH24" s="2017"/>
      <c r="CI24" s="2017"/>
      <c r="CJ24" s="2018"/>
      <c r="CK24" s="2018"/>
      <c r="CL24" s="1478" t="n">
        <v>34.42</v>
      </c>
      <c r="CM24" s="2018"/>
      <c r="CN24" s="2018"/>
      <c r="CO24" s="1478"/>
      <c r="CP24" s="2017"/>
      <c r="CQ24" s="2037" t="n">
        <v>41.64</v>
      </c>
      <c r="CR24" s="2017"/>
      <c r="CS24" s="2015"/>
      <c r="CT24" s="2017" t="n">
        <v>71.23</v>
      </c>
      <c r="CU24" s="2036" t="n">
        <f aca="false">CT24-M24</f>
        <v>25.45</v>
      </c>
      <c r="CV24" s="2017" t="n">
        <v>-6</v>
      </c>
      <c r="CW24" s="2017"/>
      <c r="CX24" s="2017" t="n">
        <v>11.44</v>
      </c>
      <c r="CY24" s="2017"/>
      <c r="CZ24" s="2017"/>
      <c r="DA24" s="2024"/>
      <c r="DB24" s="1478" t="n">
        <v>207.09</v>
      </c>
      <c r="DC24" s="1478" t="n">
        <v>18.76</v>
      </c>
      <c r="DD24" s="1997" t="n">
        <f aca="false">DC24+DJ24</f>
        <v>36.47</v>
      </c>
      <c r="DE24" s="1478" t="n">
        <v>20.7</v>
      </c>
      <c r="DF24" s="1478"/>
      <c r="DG24" s="1997" t="n">
        <v>0.33</v>
      </c>
      <c r="DH24" s="1994"/>
      <c r="DI24" s="1995" t="n">
        <f aca="false">DC24+AW24</f>
        <v>40.85</v>
      </c>
      <c r="DJ24" s="1995" t="n">
        <f aca="false">AX24</f>
        <v>17.71</v>
      </c>
      <c r="DK24" s="1997" t="n">
        <v>4.74</v>
      </c>
      <c r="DL24" s="2025"/>
      <c r="DM24" s="111" t="n">
        <v>26423</v>
      </c>
      <c r="DN24" s="111" t="n">
        <f aca="false">DM24-DO24</f>
        <v>20562</v>
      </c>
      <c r="DO24" s="111" t="n">
        <v>5861</v>
      </c>
      <c r="DP24" s="514" t="n">
        <f aca="false">DO24/DM24</f>
        <v>0.221814328425993</v>
      </c>
    </row>
    <row r="25" s="485" customFormat="true" ht="12" hidden="false" customHeight="false" outlineLevel="0" collapsed="false">
      <c r="A25" s="31" t="n">
        <f aca="false">A24+1</f>
        <v>1962</v>
      </c>
      <c r="B25" s="1994" t="n">
        <f aca="false">C25-I25</f>
        <v>329.27</v>
      </c>
      <c r="C25" s="384" t="n">
        <f aca="false">H25+F25</f>
        <v>360.5</v>
      </c>
      <c r="D25" s="1509" t="n">
        <f aca="false">B25+BK25+BN25</f>
        <v>323.67</v>
      </c>
      <c r="E25" s="1995" t="n">
        <f aca="false">B25-K25</f>
        <v>282.11</v>
      </c>
      <c r="F25" s="1995" t="n">
        <f aca="false">BA25</f>
        <v>-0.28</v>
      </c>
      <c r="G25" s="1994" t="n">
        <f aca="false">H25-I25</f>
        <v>329.55</v>
      </c>
      <c r="H25" s="1478" t="n">
        <v>360.78</v>
      </c>
      <c r="I25" s="1478" t="n">
        <v>31.23</v>
      </c>
      <c r="J25" s="514" t="n">
        <f aca="false">I25/H25</f>
        <v>0.0865624480292699</v>
      </c>
      <c r="K25" s="1998" t="n">
        <v>47.16</v>
      </c>
      <c r="L25" s="2000" t="n">
        <v>204.79</v>
      </c>
      <c r="M25" s="1997" t="n">
        <v>52.83</v>
      </c>
      <c r="N25" s="1997" t="n">
        <v>98.58</v>
      </c>
      <c r="O25" s="1997" t="n">
        <v>92.88</v>
      </c>
      <c r="P25" s="1997" t="n">
        <f aca="false">N25-O25</f>
        <v>5.7</v>
      </c>
      <c r="Q25" s="1997" t="n">
        <f aca="false">S25-BC25-BF25</f>
        <v>62.66</v>
      </c>
      <c r="R25" s="2052" t="n">
        <f aca="false">T25-BD25-BG25</f>
        <v>58.08</v>
      </c>
      <c r="S25" s="1997" t="n">
        <v>66.26</v>
      </c>
      <c r="T25" s="1997" t="n">
        <v>61.96</v>
      </c>
      <c r="U25" s="2000" t="n">
        <f aca="false">AA25+AF25</f>
        <v>256.8</v>
      </c>
      <c r="V25" s="1997" t="n">
        <f aca="false">U25+Y25</f>
        <v>286.58</v>
      </c>
      <c r="W25" s="1997" t="n">
        <f aca="false">AC25+AJ25</f>
        <v>153.25</v>
      </c>
      <c r="X25" s="1997" t="n">
        <f aca="false">U25-W25</f>
        <v>103.55</v>
      </c>
      <c r="Y25" s="1997" t="n">
        <f aca="false">AD25+AK25</f>
        <v>29.78</v>
      </c>
      <c r="Z25" s="1319" t="n">
        <f aca="false">Y25/V25</f>
        <v>0.103915137134483</v>
      </c>
      <c r="AA25" s="2052" t="n">
        <v>5</v>
      </c>
      <c r="AB25" s="1997" t="n">
        <v>5.38</v>
      </c>
      <c r="AC25" s="1997" t="n">
        <f aca="false">AA25</f>
        <v>5</v>
      </c>
      <c r="AD25" s="1997" t="n">
        <f aca="false">AB25-AA25</f>
        <v>0.38</v>
      </c>
      <c r="AE25" s="514" t="n">
        <f aca="false">AD25/AB25</f>
        <v>0.070631970260223</v>
      </c>
      <c r="AF25" s="2123" t="n">
        <v>251.8</v>
      </c>
      <c r="AG25" s="2124" t="n">
        <f aca="false">AI25+AJ25</f>
        <v>281.2</v>
      </c>
      <c r="AH25" s="2125" t="n">
        <f aca="false">AF25-AJ25</f>
        <v>103.55</v>
      </c>
      <c r="AI25" s="1509" t="n">
        <f aca="false">AH25+AK25</f>
        <v>132.95</v>
      </c>
      <c r="AJ25" s="1478" t="n">
        <v>148.25</v>
      </c>
      <c r="AK25" s="2044" t="n">
        <f aca="false">I25-AD25-AP25</f>
        <v>29.4</v>
      </c>
      <c r="AL25" s="2126" t="n">
        <f aca="false">AK25/AG25</f>
        <v>0.104551920341394</v>
      </c>
      <c r="AM25" s="2127" t="n">
        <v>25.59</v>
      </c>
      <c r="AN25" s="2124" t="n">
        <v>27.04</v>
      </c>
      <c r="AO25" s="1478" t="n">
        <f aca="false">AM25</f>
        <v>25.59</v>
      </c>
      <c r="AP25" s="1478" t="n">
        <f aca="false">AN25-AM25</f>
        <v>1.45</v>
      </c>
      <c r="AQ25" s="2128" t="n">
        <f aca="false">AP25/AN25</f>
        <v>0.0536242603550296</v>
      </c>
      <c r="AR25" s="1509" t="n">
        <f aca="false">AH25</f>
        <v>103.55</v>
      </c>
      <c r="AS25" s="1509" t="n">
        <f aca="false">AR25-AT25-AW25</f>
        <v>24.97</v>
      </c>
      <c r="AT25" s="1509" t="n">
        <f aca="false">AY25-BB25</f>
        <v>56.56</v>
      </c>
      <c r="AU25" s="1509" t="n">
        <f aca="false">AV25-AT25</f>
        <v>55.16</v>
      </c>
      <c r="AV25" s="1509" t="n">
        <v>111.72</v>
      </c>
      <c r="AW25" s="1509" t="n">
        <v>22.02</v>
      </c>
      <c r="AX25" s="1509" t="n">
        <v>18.29</v>
      </c>
      <c r="AY25" s="1509" t="n">
        <v>54.99</v>
      </c>
      <c r="AZ25" s="2003"/>
      <c r="BA25" s="2154" t="n">
        <f aca="false">BB25+BE25</f>
        <v>-0.28</v>
      </c>
      <c r="BB25" s="1479" t="n">
        <f aca="false">BC25-BD25</f>
        <v>-1.57</v>
      </c>
      <c r="BC25" s="2044" t="n">
        <v>1.96</v>
      </c>
      <c r="BD25" s="1478" t="n">
        <v>3.53</v>
      </c>
      <c r="BE25" s="1479" t="n">
        <f aca="false">BF25-BG25</f>
        <v>1.29</v>
      </c>
      <c r="BF25" s="1478" t="n">
        <v>1.64</v>
      </c>
      <c r="BG25" s="1478" t="n">
        <v>0.35</v>
      </c>
      <c r="BH25" s="1997"/>
      <c r="BI25" s="1997"/>
      <c r="BJ25" s="1997"/>
      <c r="BK25" s="1478" t="n">
        <v>-4.53</v>
      </c>
      <c r="BL25" s="1478"/>
      <c r="BM25" s="1478"/>
      <c r="BN25" s="1478" t="n">
        <v>-1.07</v>
      </c>
      <c r="BO25" s="1478"/>
      <c r="BP25" s="2003"/>
      <c r="BQ25" s="2007"/>
      <c r="BR25" s="2008"/>
      <c r="BS25" s="2008"/>
      <c r="BT25" s="2009"/>
      <c r="BU25" s="2017" t="n">
        <f aca="false">BB25</f>
        <v>-1.57</v>
      </c>
      <c r="BV25" s="1478" t="n">
        <v>-2.42</v>
      </c>
      <c r="BW25" s="1478"/>
      <c r="BX25" s="2007"/>
      <c r="BY25" s="1478" t="n">
        <f aca="false">CA25+CB25+AC25</f>
        <v>178.84</v>
      </c>
      <c r="BZ25" s="1509" t="n">
        <f aca="false">BY25+CD25</f>
        <v>180.13</v>
      </c>
      <c r="CA25" s="1509" t="n">
        <f aca="false">AJ25</f>
        <v>148.25</v>
      </c>
      <c r="CB25" s="1509" t="n">
        <f aca="false">AO25</f>
        <v>25.59</v>
      </c>
      <c r="CC25" s="2009"/>
      <c r="CD25" s="2015" t="n">
        <f aca="false">BE25</f>
        <v>1.29</v>
      </c>
      <c r="CE25" s="1479" t="n">
        <f aca="false">CF25+CL25</f>
        <v>126.01</v>
      </c>
      <c r="CF25" s="2007" t="n">
        <v>87.89</v>
      </c>
      <c r="CG25" s="1499" t="n">
        <f aca="false">K25</f>
        <v>47.16</v>
      </c>
      <c r="CH25" s="2017"/>
      <c r="CI25" s="2017"/>
      <c r="CJ25" s="2018"/>
      <c r="CK25" s="2018"/>
      <c r="CL25" s="1478" t="n">
        <v>38.12</v>
      </c>
      <c r="CM25" s="2018"/>
      <c r="CN25" s="2018"/>
      <c r="CO25" s="1478"/>
      <c r="CP25" s="2017"/>
      <c r="CQ25" s="2037" t="n">
        <v>45.33</v>
      </c>
      <c r="CR25" s="2017"/>
      <c r="CS25" s="2015"/>
      <c r="CT25" s="2017" t="n">
        <v>78.62</v>
      </c>
      <c r="CU25" s="2036" t="n">
        <f aca="false">CT25-M25</f>
        <v>25.79</v>
      </c>
      <c r="CV25" s="2017" t="n">
        <v>-7.73</v>
      </c>
      <c r="CW25" s="2017"/>
      <c r="CX25" s="2017" t="n">
        <v>14.28</v>
      </c>
      <c r="CY25" s="2017"/>
      <c r="CZ25" s="2017"/>
      <c r="DA25" s="2024"/>
      <c r="DB25" s="1478" t="n">
        <v>224.1</v>
      </c>
      <c r="DC25" s="1478" t="n">
        <v>19.31</v>
      </c>
      <c r="DD25" s="1997" t="n">
        <f aca="false">DC25+DJ25</f>
        <v>37.6</v>
      </c>
      <c r="DE25" s="1478" t="n">
        <v>21.4</v>
      </c>
      <c r="DF25" s="1478"/>
      <c r="DG25" s="1997" t="n">
        <v>0.01</v>
      </c>
      <c r="DH25" s="1994"/>
      <c r="DI25" s="1995" t="n">
        <f aca="false">DC25+AW25</f>
        <v>41.33</v>
      </c>
      <c r="DJ25" s="1995" t="n">
        <f aca="false">AX25</f>
        <v>18.29</v>
      </c>
      <c r="DK25" s="1997" t="n">
        <v>6.65</v>
      </c>
      <c r="DL25" s="2025"/>
      <c r="DM25" s="111" t="n">
        <v>26518</v>
      </c>
      <c r="DN25" s="111" t="n">
        <f aca="false">DM25-DO25</f>
        <v>20860</v>
      </c>
      <c r="DO25" s="111" t="n">
        <v>5658</v>
      </c>
      <c r="DP25" s="514" t="n">
        <f aca="false">DO25/DM25</f>
        <v>0.213364507127234</v>
      </c>
    </row>
    <row r="26" s="485" customFormat="true" ht="12" hidden="false" customHeight="false" outlineLevel="0" collapsed="false">
      <c r="A26" s="31" t="n">
        <f aca="false">A25+1</f>
        <v>1963</v>
      </c>
      <c r="B26" s="1994" t="n">
        <f aca="false">C26-I26</f>
        <v>347.11</v>
      </c>
      <c r="C26" s="384" t="n">
        <f aca="false">H26+F26</f>
        <v>382.1</v>
      </c>
      <c r="D26" s="1509" t="n">
        <f aca="false">B26+BK26+BN26</f>
        <v>341.67</v>
      </c>
      <c r="E26" s="1995" t="n">
        <f aca="false">B26-K26</f>
        <v>297.8</v>
      </c>
      <c r="F26" s="1995" t="n">
        <f aca="false">BA26</f>
        <v>-0.27</v>
      </c>
      <c r="G26" s="1994" t="n">
        <f aca="false">H26-I26</f>
        <v>347.38</v>
      </c>
      <c r="H26" s="1478" t="n">
        <v>382.37</v>
      </c>
      <c r="I26" s="1478" t="n">
        <v>34.99</v>
      </c>
      <c r="J26" s="514" t="n">
        <f aca="false">I26/H26</f>
        <v>0.0915082250176531</v>
      </c>
      <c r="K26" s="1998" t="n">
        <v>49.31</v>
      </c>
      <c r="L26" s="2000" t="n">
        <v>216.79</v>
      </c>
      <c r="M26" s="1997" t="n">
        <v>59.39</v>
      </c>
      <c r="N26" s="1997" t="n">
        <v>100.31</v>
      </c>
      <c r="O26" s="1997" t="n">
        <v>97.71</v>
      </c>
      <c r="P26" s="1997" t="n">
        <f aca="false">N26-O26</f>
        <v>2.60000000000001</v>
      </c>
      <c r="Q26" s="1997" t="n">
        <f aca="false">S26-BC26-BF26</f>
        <v>68.25</v>
      </c>
      <c r="R26" s="2052" t="n">
        <f aca="false">T26-BD26-BG26</f>
        <v>62.37</v>
      </c>
      <c r="S26" s="1997" t="n">
        <v>72.03</v>
      </c>
      <c r="T26" s="1997" t="n">
        <v>66.42</v>
      </c>
      <c r="U26" s="2000" t="n">
        <f aca="false">AA26+AF26</f>
        <v>269.69</v>
      </c>
      <c r="V26" s="1997" t="n">
        <f aca="false">U26+Y26</f>
        <v>303.06</v>
      </c>
      <c r="W26" s="1997" t="n">
        <f aca="false">AC26+AJ26</f>
        <v>161.98</v>
      </c>
      <c r="X26" s="1997" t="n">
        <f aca="false">U26-W26</f>
        <v>107.71</v>
      </c>
      <c r="Y26" s="1997" t="n">
        <f aca="false">AD26+AK26</f>
        <v>33.37</v>
      </c>
      <c r="Z26" s="1319" t="n">
        <f aca="false">Y26/V26</f>
        <v>0.110110209199498</v>
      </c>
      <c r="AA26" s="2052" t="n">
        <v>5.37</v>
      </c>
      <c r="AB26" s="1997" t="n">
        <v>5.8</v>
      </c>
      <c r="AC26" s="1997" t="n">
        <f aca="false">AA26</f>
        <v>5.37</v>
      </c>
      <c r="AD26" s="1997" t="n">
        <f aca="false">AB26-AA26</f>
        <v>0.43</v>
      </c>
      <c r="AE26" s="514" t="n">
        <f aca="false">AD26/AB26</f>
        <v>0.0741379310344827</v>
      </c>
      <c r="AF26" s="2127" t="n">
        <v>264.32</v>
      </c>
      <c r="AG26" s="2124" t="n">
        <f aca="false">AI26+AJ26</f>
        <v>297.26</v>
      </c>
      <c r="AH26" s="2125" t="n">
        <f aca="false">AF26-AJ26</f>
        <v>107.71</v>
      </c>
      <c r="AI26" s="1509" t="n">
        <f aca="false">AH26+AK26</f>
        <v>140.65</v>
      </c>
      <c r="AJ26" s="2044" t="n">
        <v>156.61</v>
      </c>
      <c r="AK26" s="2044" t="n">
        <f aca="false">I26-AD26-AP26</f>
        <v>32.94</v>
      </c>
      <c r="AL26" s="2126" t="n">
        <f aca="false">AK26/AG26</f>
        <v>0.110812083697773</v>
      </c>
      <c r="AM26" s="2127" t="n">
        <v>28.38</v>
      </c>
      <c r="AN26" s="2124" t="n">
        <v>30</v>
      </c>
      <c r="AO26" s="1478" t="n">
        <f aca="false">AM26</f>
        <v>28.38</v>
      </c>
      <c r="AP26" s="1478" t="n">
        <f aca="false">AN26-AM26</f>
        <v>1.62</v>
      </c>
      <c r="AQ26" s="2128" t="n">
        <f aca="false">AP26/AN26</f>
        <v>0.054</v>
      </c>
      <c r="AR26" s="1509" t="n">
        <f aca="false">AH26</f>
        <v>107.71</v>
      </c>
      <c r="AS26" s="1509" t="n">
        <f aca="false">AR26-AT26-AW26</f>
        <v>27.63</v>
      </c>
      <c r="AT26" s="1509" t="n">
        <f aca="false">AY26-BB26</f>
        <v>61.88</v>
      </c>
      <c r="AU26" s="1509" t="n">
        <f aca="false">AV26-AT26</f>
        <v>54.54</v>
      </c>
      <c r="AV26" s="1509" t="n">
        <v>116.42</v>
      </c>
      <c r="AW26" s="1509" t="n">
        <v>18.2</v>
      </c>
      <c r="AX26" s="1509" t="n">
        <v>14.39</v>
      </c>
      <c r="AY26" s="1509" t="n">
        <v>60.32</v>
      </c>
      <c r="AZ26" s="2003"/>
      <c r="BA26" s="2154" t="n">
        <f aca="false">BB26+BE26</f>
        <v>-0.27</v>
      </c>
      <c r="BB26" s="1479" t="n">
        <f aca="false">BC26-BD26</f>
        <v>-1.56</v>
      </c>
      <c r="BC26" s="1478" t="n">
        <v>2.08</v>
      </c>
      <c r="BD26" s="1478" t="n">
        <v>3.64</v>
      </c>
      <c r="BE26" s="1479" t="n">
        <f aca="false">BF26-BG26</f>
        <v>1.29</v>
      </c>
      <c r="BF26" s="1478" t="n">
        <v>1.7</v>
      </c>
      <c r="BG26" s="1478" t="n">
        <v>0.41</v>
      </c>
      <c r="BH26" s="1997"/>
      <c r="BI26" s="1997"/>
      <c r="BJ26" s="1997"/>
      <c r="BK26" s="1478" t="n">
        <v>-4.82</v>
      </c>
      <c r="BL26" s="1478"/>
      <c r="BM26" s="1478"/>
      <c r="BN26" s="1478" t="n">
        <v>-0.62</v>
      </c>
      <c r="BO26" s="1478"/>
      <c r="BP26" s="2003"/>
      <c r="BQ26" s="2007"/>
      <c r="BR26" s="2008"/>
      <c r="BS26" s="2008"/>
      <c r="BT26" s="2009"/>
      <c r="BU26" s="2017" t="n">
        <f aca="false">BB26</f>
        <v>-1.56</v>
      </c>
      <c r="BV26" s="1478" t="n">
        <v>-2.61</v>
      </c>
      <c r="BW26" s="1478"/>
      <c r="BX26" s="2007"/>
      <c r="BY26" s="1478" t="n">
        <f aca="false">CA26+CB26+AC26</f>
        <v>190.36</v>
      </c>
      <c r="BZ26" s="1509" t="n">
        <f aca="false">BY26+CD26</f>
        <v>191.65</v>
      </c>
      <c r="CA26" s="1509" t="n">
        <f aca="false">AJ26</f>
        <v>156.61</v>
      </c>
      <c r="CB26" s="1509" t="n">
        <f aca="false">AO26</f>
        <v>28.38</v>
      </c>
      <c r="CC26" s="2009"/>
      <c r="CD26" s="2015" t="n">
        <f aca="false">BE26</f>
        <v>1.29</v>
      </c>
      <c r="CE26" s="1479" t="n">
        <f aca="false">CF26+CL26</f>
        <v>134.43</v>
      </c>
      <c r="CF26" s="2007" t="n">
        <v>93.27</v>
      </c>
      <c r="CG26" s="1499" t="n">
        <f aca="false">K26</f>
        <v>49.31</v>
      </c>
      <c r="CH26" s="2017"/>
      <c r="CI26" s="2017"/>
      <c r="CJ26" s="2018"/>
      <c r="CK26" s="2018"/>
      <c r="CL26" s="1478" t="n">
        <v>41.16</v>
      </c>
      <c r="CM26" s="2018"/>
      <c r="CN26" s="2018"/>
      <c r="CO26" s="1478"/>
      <c r="CP26" s="2017"/>
      <c r="CQ26" s="2037" t="n">
        <v>48.51</v>
      </c>
      <c r="CR26" s="2017"/>
      <c r="CS26" s="2015"/>
      <c r="CT26" s="2017" t="n">
        <v>83.51</v>
      </c>
      <c r="CU26" s="2036" t="n">
        <f aca="false">CT26-M26</f>
        <v>24.12</v>
      </c>
      <c r="CV26" s="2017" t="n">
        <v>-5.17</v>
      </c>
      <c r="CW26" s="2017"/>
      <c r="CX26" s="2017" t="n">
        <v>17.11</v>
      </c>
      <c r="CY26" s="2017"/>
      <c r="CZ26" s="2017"/>
      <c r="DA26" s="2024"/>
      <c r="DB26" s="1478" t="n">
        <v>240.58</v>
      </c>
      <c r="DC26" s="1478" t="n">
        <v>23.79</v>
      </c>
      <c r="DD26" s="1997" t="n">
        <f aca="false">DC26+DJ26</f>
        <v>38.18</v>
      </c>
      <c r="DE26" s="1478" t="n">
        <v>25.9</v>
      </c>
      <c r="DF26" s="1478"/>
      <c r="DG26" s="1997" t="n">
        <v>-0.79</v>
      </c>
      <c r="DH26" s="1994"/>
      <c r="DI26" s="1995" t="n">
        <f aca="false">DC26+AW26</f>
        <v>41.99</v>
      </c>
      <c r="DJ26" s="1995" t="n">
        <f aca="false">AX26</f>
        <v>14.39</v>
      </c>
      <c r="DK26" s="1997" t="n">
        <v>5.34</v>
      </c>
      <c r="DL26" s="2025"/>
      <c r="DM26" s="111"/>
      <c r="DN26" s="111"/>
      <c r="DO26" s="111"/>
    </row>
    <row r="27" s="485" customFormat="true" ht="12" hidden="false" customHeight="false" outlineLevel="0" collapsed="false">
      <c r="A27" s="31" t="n">
        <f aca="false">A26+1</f>
        <v>1964</v>
      </c>
      <c r="B27" s="1994" t="n">
        <f aca="false">C27-I27</f>
        <v>380.64</v>
      </c>
      <c r="C27" s="384" t="n">
        <f aca="false">H27+F27</f>
        <v>419.6</v>
      </c>
      <c r="D27" s="1509" t="n">
        <f aca="false">B27+BK27+BN27</f>
        <v>374.89</v>
      </c>
      <c r="E27" s="1995" t="n">
        <f aca="false">B27-K27</f>
        <v>327.25</v>
      </c>
      <c r="F27" s="1995" t="n">
        <f aca="false">BA27</f>
        <v>-0.58</v>
      </c>
      <c r="G27" s="1994" t="n">
        <f aca="false">H27-I27</f>
        <v>381.22</v>
      </c>
      <c r="H27" s="1478" t="n">
        <v>420.18</v>
      </c>
      <c r="I27" s="1478" t="n">
        <v>38.96</v>
      </c>
      <c r="J27" s="514" t="n">
        <f aca="false">I27/H27</f>
        <v>0.092722166690466</v>
      </c>
      <c r="K27" s="1998" t="n">
        <v>53.39</v>
      </c>
      <c r="L27" s="2000" t="n">
        <v>233.5</v>
      </c>
      <c r="M27" s="1997" t="n">
        <v>62.1</v>
      </c>
      <c r="N27" s="1997" t="n">
        <v>118.1</v>
      </c>
      <c r="O27" s="1997" t="n">
        <v>111.7</v>
      </c>
      <c r="P27" s="1997" t="n">
        <f aca="false">N27-O27</f>
        <v>6.39999999999999</v>
      </c>
      <c r="Q27" s="1997" t="n">
        <f aca="false">S27-BC27-BF27</f>
        <v>75.86</v>
      </c>
      <c r="R27" s="2052" t="n">
        <f aca="false">T27-BD27-BG27</f>
        <v>69.38</v>
      </c>
      <c r="S27" s="1997" t="n">
        <v>79.86</v>
      </c>
      <c r="T27" s="1997" t="n">
        <v>73.96</v>
      </c>
      <c r="U27" s="2000" t="n">
        <f aca="false">AA27+AF27</f>
        <v>296.84</v>
      </c>
      <c r="V27" s="1997" t="n">
        <f aca="false">U27+Y27</f>
        <v>334</v>
      </c>
      <c r="W27" s="1997" t="n">
        <f aca="false">AC27+AJ27</f>
        <v>178.94</v>
      </c>
      <c r="X27" s="1997" t="n">
        <f aca="false">U27-W27</f>
        <v>117.9</v>
      </c>
      <c r="Y27" s="1997" t="n">
        <f aca="false">AD27+AK27</f>
        <v>37.16</v>
      </c>
      <c r="Z27" s="1319" t="n">
        <f aca="false">Y27/V27</f>
        <v>0.11125748502994</v>
      </c>
      <c r="AA27" s="2052" t="n">
        <v>5.66</v>
      </c>
      <c r="AB27" s="1997" t="n">
        <v>6.16</v>
      </c>
      <c r="AC27" s="1997" t="n">
        <f aca="false">AA27</f>
        <v>5.66</v>
      </c>
      <c r="AD27" s="1997" t="n">
        <f aca="false">AB27-AA27</f>
        <v>0.5</v>
      </c>
      <c r="AE27" s="514" t="n">
        <f aca="false">AD27/AB27</f>
        <v>0.0811688311688312</v>
      </c>
      <c r="AF27" s="2123" t="n">
        <v>291.18</v>
      </c>
      <c r="AG27" s="2124" t="n">
        <f aca="false">AI27+AJ27</f>
        <v>327.84</v>
      </c>
      <c r="AH27" s="2125" t="n">
        <f aca="false">AF27-AJ27</f>
        <v>117.9</v>
      </c>
      <c r="AI27" s="1509" t="n">
        <f aca="false">AH27+AK27</f>
        <v>154.56</v>
      </c>
      <c r="AJ27" s="1478" t="n">
        <v>173.28</v>
      </c>
      <c r="AK27" s="2044" t="n">
        <f aca="false">I27-AD27-AP27</f>
        <v>36.66</v>
      </c>
      <c r="AL27" s="2126" t="n">
        <f aca="false">AK27/AG27</f>
        <v>0.111822840409956</v>
      </c>
      <c r="AM27" s="2127" t="n">
        <v>30.99</v>
      </c>
      <c r="AN27" s="2124" t="n">
        <v>32.79</v>
      </c>
      <c r="AO27" s="1478" t="n">
        <f aca="false">AM27</f>
        <v>30.99</v>
      </c>
      <c r="AP27" s="1478" t="n">
        <f aca="false">AN27-AM27</f>
        <v>1.8</v>
      </c>
      <c r="AQ27" s="2128" t="n">
        <f aca="false">AP27/AN27</f>
        <v>0.0548947849954255</v>
      </c>
      <c r="AR27" s="1509" t="n">
        <f aca="false">AH27</f>
        <v>117.9</v>
      </c>
      <c r="AS27" s="1509" t="n">
        <f aca="false">AR27-AT27-AW27</f>
        <v>27.94</v>
      </c>
      <c r="AT27" s="1509" t="n">
        <f aca="false">AY27-BB27</f>
        <v>67.76</v>
      </c>
      <c r="AU27" s="1509" t="n">
        <f aca="false">AV27-AT27</f>
        <v>61.96</v>
      </c>
      <c r="AV27" s="1509" t="n">
        <v>129.72</v>
      </c>
      <c r="AW27" s="1509" t="n">
        <v>22.2</v>
      </c>
      <c r="AX27" s="1509" t="n">
        <v>17.67</v>
      </c>
      <c r="AY27" s="1509" t="n">
        <v>65.94</v>
      </c>
      <c r="AZ27" s="2003"/>
      <c r="BA27" s="2154" t="n">
        <f aca="false">BB27+BE27</f>
        <v>-0.58</v>
      </c>
      <c r="BB27" s="1479" t="n">
        <f aca="false">BC27-BD27</f>
        <v>-1.82</v>
      </c>
      <c r="BC27" s="1478" t="n">
        <v>2.3</v>
      </c>
      <c r="BD27" s="1478" t="n">
        <v>4.12</v>
      </c>
      <c r="BE27" s="1479" t="n">
        <f aca="false">BF27-BG27</f>
        <v>1.24</v>
      </c>
      <c r="BF27" s="1478" t="n">
        <v>1.7</v>
      </c>
      <c r="BG27" s="1478" t="n">
        <v>0.46</v>
      </c>
      <c r="BH27" s="1997"/>
      <c r="BI27" s="1997"/>
      <c r="BJ27" s="1997"/>
      <c r="BK27" s="1478" t="n">
        <v>-5.2</v>
      </c>
      <c r="BL27" s="1478"/>
      <c r="BM27" s="1478"/>
      <c r="BN27" s="1478" t="n">
        <v>-0.55</v>
      </c>
      <c r="BO27" s="1478"/>
      <c r="BP27" s="2003"/>
      <c r="BQ27" s="2007"/>
      <c r="BR27" s="2008"/>
      <c r="BS27" s="2008"/>
      <c r="BT27" s="2009"/>
      <c r="BU27" s="2017" t="n">
        <f aca="false">BB27</f>
        <v>-1.82</v>
      </c>
      <c r="BV27" s="1478" t="n">
        <v>-2.64</v>
      </c>
      <c r="BW27" s="1478"/>
      <c r="BX27" s="2007"/>
      <c r="BY27" s="1478" t="n">
        <f aca="false">CA27+CB27+AC27</f>
        <v>209.93</v>
      </c>
      <c r="BZ27" s="1509" t="n">
        <f aca="false">BY27+CD27</f>
        <v>211.17</v>
      </c>
      <c r="CA27" s="1509" t="n">
        <f aca="false">AJ27</f>
        <v>173.28</v>
      </c>
      <c r="CB27" s="1509" t="n">
        <f aca="false">AO27</f>
        <v>30.99</v>
      </c>
      <c r="CC27" s="2009"/>
      <c r="CD27" s="2015" t="n">
        <f aca="false">BE27</f>
        <v>1.24</v>
      </c>
      <c r="CE27" s="1479" t="n">
        <f aca="false">CF27+CL27</f>
        <v>145.78</v>
      </c>
      <c r="CF27" s="2007" t="n">
        <v>101.95</v>
      </c>
      <c r="CG27" s="1499" t="n">
        <f aca="false">K27</f>
        <v>53.39</v>
      </c>
      <c r="CH27" s="2017"/>
      <c r="CI27" s="2017"/>
      <c r="CJ27" s="2018"/>
      <c r="CK27" s="2018"/>
      <c r="CL27" s="1478" t="n">
        <v>43.83</v>
      </c>
      <c r="CM27" s="2018"/>
      <c r="CN27" s="2018"/>
      <c r="CO27" s="1478"/>
      <c r="CP27" s="2017"/>
      <c r="CQ27" s="2037" t="n">
        <v>53.18</v>
      </c>
      <c r="CR27" s="2017"/>
      <c r="CS27" s="2015"/>
      <c r="CT27" s="2017" t="n">
        <v>90.07</v>
      </c>
      <c r="CU27" s="2036" t="n">
        <f aca="false">CT27-M27</f>
        <v>27.97</v>
      </c>
      <c r="CV27" s="2017" t="n">
        <v>-5.82</v>
      </c>
      <c r="CW27" s="2017"/>
      <c r="CX27" s="2017" t="n">
        <v>20.88</v>
      </c>
      <c r="CY27" s="2017"/>
      <c r="CZ27" s="2017"/>
      <c r="DA27" s="2024"/>
      <c r="DB27" s="1478" t="n">
        <v>263.17</v>
      </c>
      <c r="DC27" s="1478" t="n">
        <v>29.67</v>
      </c>
      <c r="DD27" s="1997" t="n">
        <f aca="false">DC27+DJ27</f>
        <v>47.34</v>
      </c>
      <c r="DE27" s="1478" t="n">
        <v>31.3</v>
      </c>
      <c r="DF27" s="1478"/>
      <c r="DG27" s="1997" t="n">
        <v>-1.28</v>
      </c>
      <c r="DH27" s="1994"/>
      <c r="DI27" s="1995" t="n">
        <f aca="false">DC27+AW27</f>
        <v>51.87</v>
      </c>
      <c r="DJ27" s="1995" t="n">
        <f aca="false">AX27</f>
        <v>17.67</v>
      </c>
      <c r="DK27" s="1997" t="n">
        <v>6.55</v>
      </c>
      <c r="DL27" s="2025"/>
      <c r="DM27" s="111"/>
      <c r="DN27" s="111"/>
      <c r="DO27" s="111"/>
    </row>
    <row r="28" s="485" customFormat="true" ht="12" hidden="false" customHeight="false" outlineLevel="0" collapsed="false">
      <c r="A28" s="31" t="n">
        <f aca="false">A27+1</f>
        <v>1965</v>
      </c>
      <c r="B28" s="1994" t="n">
        <f aca="false">C28-I28</f>
        <v>414.89</v>
      </c>
      <c r="C28" s="384" t="n">
        <f aca="false">H28+F28</f>
        <v>458.2</v>
      </c>
      <c r="D28" s="1509" t="n">
        <f aca="false">B28+BK28+BN28</f>
        <v>407.98</v>
      </c>
      <c r="E28" s="1995" t="n">
        <f aca="false">B28-K28</f>
        <v>358.45</v>
      </c>
      <c r="F28" s="1995" t="n">
        <f aca="false">BA28</f>
        <v>-0.970000000000001</v>
      </c>
      <c r="G28" s="1994" t="n">
        <f aca="false">H28-I28</f>
        <v>415.86</v>
      </c>
      <c r="H28" s="1478" t="n">
        <v>459.17</v>
      </c>
      <c r="I28" s="1478" t="n">
        <v>43.31</v>
      </c>
      <c r="J28" s="514" t="n">
        <f aca="false">I28/H28</f>
        <v>0.0943223642659582</v>
      </c>
      <c r="K28" s="1998" t="n">
        <v>56.44</v>
      </c>
      <c r="L28" s="2000" t="n">
        <v>257.62</v>
      </c>
      <c r="M28" s="1997" t="n">
        <v>69.65</v>
      </c>
      <c r="N28" s="1997" t="n">
        <v>130.6</v>
      </c>
      <c r="O28" s="1997" t="n">
        <v>119.9</v>
      </c>
      <c r="P28" s="1997" t="n">
        <f aca="false">N28-O28</f>
        <v>10.7</v>
      </c>
      <c r="Q28" s="1997" t="n">
        <f aca="false">S28-BC28-BF28</f>
        <v>82.88</v>
      </c>
      <c r="R28" s="2052" t="n">
        <f aca="false">T28-BD28-BG28</f>
        <v>81.58</v>
      </c>
      <c r="S28" s="1997" t="n">
        <v>87.19</v>
      </c>
      <c r="T28" s="1997" t="n">
        <v>86.86</v>
      </c>
      <c r="U28" s="2000" t="n">
        <f aca="false">AA28+AF28</f>
        <v>324.15</v>
      </c>
      <c r="V28" s="1997" t="n">
        <f aca="false">U28+Y28</f>
        <v>365.46</v>
      </c>
      <c r="W28" s="1997" t="n">
        <f aca="false">AC28+AJ28</f>
        <v>197.69</v>
      </c>
      <c r="X28" s="1997" t="n">
        <f aca="false">U28-W28</f>
        <v>126.46</v>
      </c>
      <c r="Y28" s="1997" t="n">
        <f aca="false">AD28+AK28</f>
        <v>41.31</v>
      </c>
      <c r="Z28" s="1319" t="n">
        <f aca="false">Y28/V28</f>
        <v>0.113035626333935</v>
      </c>
      <c r="AA28" s="2052" t="n">
        <v>6.15</v>
      </c>
      <c r="AB28" s="1997" t="n">
        <v>6.71</v>
      </c>
      <c r="AC28" s="1997" t="n">
        <f aca="false">AA28</f>
        <v>6.15</v>
      </c>
      <c r="AD28" s="1997" t="n">
        <f aca="false">AB28-AA28</f>
        <v>0.56</v>
      </c>
      <c r="AE28" s="514" t="n">
        <f aca="false">AD28/AB28</f>
        <v>0.0834575260804768</v>
      </c>
      <c r="AF28" s="2123" t="n">
        <v>318</v>
      </c>
      <c r="AG28" s="2124" t="n">
        <f aca="false">AI28+AJ28</f>
        <v>358.75</v>
      </c>
      <c r="AH28" s="2125" t="n">
        <f aca="false">AF28-AJ28</f>
        <v>126.46</v>
      </c>
      <c r="AI28" s="1509" t="n">
        <f aca="false">AH28+AK28</f>
        <v>167.21</v>
      </c>
      <c r="AJ28" s="1478" t="n">
        <v>191.54</v>
      </c>
      <c r="AK28" s="2044" t="n">
        <f aca="false">I28-AD28-AP28</f>
        <v>40.75</v>
      </c>
      <c r="AL28" s="2126" t="n">
        <f aca="false">AK28/AG28</f>
        <v>0.113588850174216</v>
      </c>
      <c r="AM28" s="2127" t="n">
        <v>35.27</v>
      </c>
      <c r="AN28" s="2124" t="n">
        <v>37.27</v>
      </c>
      <c r="AO28" s="1478" t="n">
        <f aca="false">AM28</f>
        <v>35.27</v>
      </c>
      <c r="AP28" s="1478" t="n">
        <f aca="false">AN28-AM28</f>
        <v>2</v>
      </c>
      <c r="AQ28" s="2128" t="n">
        <f aca="false">AP28/AN28</f>
        <v>0.0536624631070566</v>
      </c>
      <c r="AR28" s="1509" t="n">
        <f aca="false">AH28</f>
        <v>126.46</v>
      </c>
      <c r="AS28" s="1509" t="n">
        <f aca="false">AR28-AT28-AW28</f>
        <v>27.59</v>
      </c>
      <c r="AT28" s="1509" t="n">
        <f aca="false">AY28-BB28</f>
        <v>75.63</v>
      </c>
      <c r="AU28" s="1509" t="n">
        <f aca="false">AV28-AT28</f>
        <v>65.86</v>
      </c>
      <c r="AV28" s="1509" t="n">
        <v>141.49</v>
      </c>
      <c r="AW28" s="1509" t="n">
        <v>23.24</v>
      </c>
      <c r="AX28" s="1509" t="n">
        <v>16.59</v>
      </c>
      <c r="AY28" s="1509" t="n">
        <v>73.49</v>
      </c>
      <c r="AZ28" s="2003"/>
      <c r="BA28" s="2154" t="n">
        <f aca="false">BB28+BE28</f>
        <v>-0.970000000000001</v>
      </c>
      <c r="BB28" s="1479" t="n">
        <f aca="false">BC28-BD28</f>
        <v>-2.14</v>
      </c>
      <c r="BC28" s="1478" t="n">
        <v>2.59</v>
      </c>
      <c r="BD28" s="1478" t="n">
        <v>4.73</v>
      </c>
      <c r="BE28" s="1479" t="n">
        <f aca="false">BF28-BG28</f>
        <v>1.17</v>
      </c>
      <c r="BF28" s="1478" t="n">
        <v>1.72</v>
      </c>
      <c r="BG28" s="1478" t="n">
        <v>0.55</v>
      </c>
      <c r="BH28" s="1997"/>
      <c r="BI28" s="1997"/>
      <c r="BJ28" s="1997"/>
      <c r="BK28" s="1478" t="n">
        <v>-6.18</v>
      </c>
      <c r="BL28" s="1478"/>
      <c r="BM28" s="1478"/>
      <c r="BN28" s="1478" t="n">
        <v>-0.73</v>
      </c>
      <c r="BO28" s="1478"/>
      <c r="BP28" s="2003"/>
      <c r="BQ28" s="2007"/>
      <c r="BR28" s="2008"/>
      <c r="BS28" s="2008"/>
      <c r="BT28" s="2009"/>
      <c r="BU28" s="2017" t="n">
        <f aca="false">BB28</f>
        <v>-2.14</v>
      </c>
      <c r="BV28" s="1478" t="n">
        <v>-2.59</v>
      </c>
      <c r="BW28" s="1478"/>
      <c r="BX28" s="2007"/>
      <c r="BY28" s="1478" t="n">
        <f aca="false">CA28+CB28+AC28</f>
        <v>232.96</v>
      </c>
      <c r="BZ28" s="1509" t="n">
        <f aca="false">BY28+CD28</f>
        <v>234.13</v>
      </c>
      <c r="CA28" s="1509" t="n">
        <f aca="false">AJ28</f>
        <v>191.54</v>
      </c>
      <c r="CB28" s="1509" t="n">
        <f aca="false">AO28</f>
        <v>35.27</v>
      </c>
      <c r="CC28" s="2009"/>
      <c r="CD28" s="2015" t="n">
        <f aca="false">BE28</f>
        <v>1.17</v>
      </c>
      <c r="CE28" s="1479" t="n">
        <f aca="false">CF28+CL28</f>
        <v>154.36</v>
      </c>
      <c r="CF28" s="2007" t="n">
        <v>107.84</v>
      </c>
      <c r="CG28" s="1499" t="n">
        <f aca="false">K28</f>
        <v>56.44</v>
      </c>
      <c r="CH28" s="2017"/>
      <c r="CI28" s="2017"/>
      <c r="CJ28" s="2018"/>
      <c r="CK28" s="2018"/>
      <c r="CL28" s="1478" t="n">
        <v>46.52</v>
      </c>
      <c r="CM28" s="2018"/>
      <c r="CN28" s="2018"/>
      <c r="CO28" s="1478"/>
      <c r="CP28" s="2017"/>
      <c r="CQ28" s="2037" t="n">
        <v>59.74</v>
      </c>
      <c r="CR28" s="2017"/>
      <c r="CS28" s="2015"/>
      <c r="CT28" s="2017" t="n">
        <v>92.03</v>
      </c>
      <c r="CU28" s="2036" t="n">
        <f aca="false">CT28-M28</f>
        <v>22.38</v>
      </c>
      <c r="CV28" s="2017" t="n">
        <v>-6.22</v>
      </c>
      <c r="CW28" s="2017"/>
      <c r="CX28" s="2017" t="n">
        <v>20.86</v>
      </c>
      <c r="CY28" s="2017"/>
      <c r="CZ28" s="2017"/>
      <c r="DA28" s="2024"/>
      <c r="DB28" s="1478" t="n">
        <v>293.44</v>
      </c>
      <c r="DC28" s="1478" t="n">
        <v>35.82</v>
      </c>
      <c r="DD28" s="1997" t="n">
        <f aca="false">DC28+DJ28</f>
        <v>52.41</v>
      </c>
      <c r="DE28" s="1478" t="n">
        <v>38.1</v>
      </c>
      <c r="DF28" s="1478"/>
      <c r="DG28" s="1997" t="n">
        <v>-1.38</v>
      </c>
      <c r="DH28" s="1994"/>
      <c r="DI28" s="1995" t="n">
        <f aca="false">DC28+AW28</f>
        <v>59.06</v>
      </c>
      <c r="DJ28" s="1995" t="n">
        <f aca="false">AX28</f>
        <v>16.59</v>
      </c>
      <c r="DK28" s="1997" t="n">
        <v>6.87</v>
      </c>
      <c r="DL28" s="2025"/>
      <c r="DM28" s="111"/>
      <c r="DN28" s="111"/>
      <c r="DO28" s="111"/>
    </row>
    <row r="29" s="485" customFormat="true" ht="12" hidden="false" customHeight="false" outlineLevel="0" collapsed="false">
      <c r="A29" s="31" t="n">
        <f aca="false">A28+1</f>
        <v>1966</v>
      </c>
      <c r="B29" s="1994" t="n">
        <f aca="false">C29-I29</f>
        <v>439.63</v>
      </c>
      <c r="C29" s="384" t="n">
        <f aca="false">H29+F29</f>
        <v>487.4</v>
      </c>
      <c r="D29" s="1509" t="n">
        <f aca="false">B29+BK29+BN29</f>
        <v>432.76</v>
      </c>
      <c r="E29" s="1995" t="n">
        <f aca="false">B29-K29</f>
        <v>379.78</v>
      </c>
      <c r="F29" s="1995" t="n">
        <f aca="false">BA29</f>
        <v>-0.83</v>
      </c>
      <c r="G29" s="1994" t="n">
        <f aca="false">H29-I29</f>
        <v>440.46</v>
      </c>
      <c r="H29" s="1478" t="n">
        <v>488.23</v>
      </c>
      <c r="I29" s="1478" t="n">
        <v>47.77</v>
      </c>
      <c r="J29" s="514" t="n">
        <f aca="false">I29/H29</f>
        <v>0.0978432296253815</v>
      </c>
      <c r="K29" s="1998" t="n">
        <v>59.85</v>
      </c>
      <c r="L29" s="2000" t="n">
        <v>275.06</v>
      </c>
      <c r="M29" s="1997" t="n">
        <v>75.45</v>
      </c>
      <c r="N29" s="1997" t="n">
        <v>129.47</v>
      </c>
      <c r="O29" s="1997" t="n">
        <v>124.17</v>
      </c>
      <c r="P29" s="1997" t="n">
        <f aca="false">N29-O29</f>
        <v>5.3</v>
      </c>
      <c r="Q29" s="1997" t="n">
        <f aca="false">S29-BC29-BF29</f>
        <v>93.54</v>
      </c>
      <c r="R29" s="2052" t="n">
        <f aca="false">T29-BD29-BG29</f>
        <v>85.29</v>
      </c>
      <c r="S29" s="1997" t="n">
        <v>98.42</v>
      </c>
      <c r="T29" s="1997" t="n">
        <v>91</v>
      </c>
      <c r="U29" s="2000" t="n">
        <f aca="false">AA29+AF29</f>
        <v>341.22</v>
      </c>
      <c r="V29" s="1997" t="n">
        <f aca="false">U29+Y29</f>
        <v>386.77</v>
      </c>
      <c r="W29" s="1997" t="n">
        <f aca="false">AC29+AJ29</f>
        <v>211.44</v>
      </c>
      <c r="X29" s="1997" t="n">
        <f aca="false">U29-W29</f>
        <v>129.78</v>
      </c>
      <c r="Y29" s="1997" t="n">
        <f aca="false">AD29+AK29</f>
        <v>45.55</v>
      </c>
      <c r="Z29" s="1319" t="n">
        <f aca="false">Y29/V29</f>
        <v>0.117770251053598</v>
      </c>
      <c r="AA29" s="2052" t="n">
        <v>6.6</v>
      </c>
      <c r="AB29" s="1997" t="n">
        <v>7.23</v>
      </c>
      <c r="AC29" s="1997" t="n">
        <f aca="false">AA29</f>
        <v>6.6</v>
      </c>
      <c r="AD29" s="1997" t="n">
        <f aca="false">AB29-AA29</f>
        <v>0.630000000000001</v>
      </c>
      <c r="AE29" s="514" t="n">
        <f aca="false">AD29/AB29</f>
        <v>0.087136929460581</v>
      </c>
      <c r="AF29" s="2123" t="n">
        <v>334.62</v>
      </c>
      <c r="AG29" s="2124" t="n">
        <f aca="false">AI29+AJ29</f>
        <v>379.54</v>
      </c>
      <c r="AH29" s="2125" t="n">
        <f aca="false">AF29-AJ29</f>
        <v>129.78</v>
      </c>
      <c r="AI29" s="1509" t="n">
        <f aca="false">AH29+AK29</f>
        <v>174.7</v>
      </c>
      <c r="AJ29" s="1478" t="n">
        <v>204.84</v>
      </c>
      <c r="AK29" s="2044" t="n">
        <f aca="false">I29-AD29-AP29</f>
        <v>44.92</v>
      </c>
      <c r="AL29" s="2126" t="n">
        <f aca="false">AK29/AG29</f>
        <v>0.11835379670127</v>
      </c>
      <c r="AM29" s="2127" t="n">
        <v>39.39</v>
      </c>
      <c r="AN29" s="2124" t="n">
        <v>41.61</v>
      </c>
      <c r="AO29" s="1478" t="n">
        <f aca="false">AM29</f>
        <v>39.39</v>
      </c>
      <c r="AP29" s="1478" t="n">
        <f aca="false">AN29-AM29</f>
        <v>2.22</v>
      </c>
      <c r="AQ29" s="2128" t="n">
        <f aca="false">AP29/AN29</f>
        <v>0.053352559480894</v>
      </c>
      <c r="AR29" s="1509" t="n">
        <f aca="false">AH29</f>
        <v>129.78</v>
      </c>
      <c r="AS29" s="1509" t="n">
        <f aca="false">AR29-AT29-AW29</f>
        <v>28.61</v>
      </c>
      <c r="AT29" s="1509" t="n">
        <f aca="false">AY29-BB29</f>
        <v>78.27</v>
      </c>
      <c r="AU29" s="1509" t="n">
        <f aca="false">AV29-AT29</f>
        <v>72.82</v>
      </c>
      <c r="AV29" s="1509" t="n">
        <v>151.09</v>
      </c>
      <c r="AW29" s="1509" t="n">
        <v>22.9</v>
      </c>
      <c r="AX29" s="1509" t="n">
        <v>16.56</v>
      </c>
      <c r="AY29" s="1509" t="n">
        <v>76.21</v>
      </c>
      <c r="AZ29" s="2003"/>
      <c r="BA29" s="2154" t="n">
        <f aca="false">BB29+BE29</f>
        <v>-0.83</v>
      </c>
      <c r="BB29" s="1479" t="n">
        <f aca="false">BC29-BD29</f>
        <v>-2.06</v>
      </c>
      <c r="BC29" s="1478" t="n">
        <v>3.06</v>
      </c>
      <c r="BD29" s="1478" t="n">
        <v>5.12</v>
      </c>
      <c r="BE29" s="1479" t="n">
        <f aca="false">BF29-BG29</f>
        <v>1.23</v>
      </c>
      <c r="BF29" s="1478" t="n">
        <v>1.82</v>
      </c>
      <c r="BG29" s="1478" t="n">
        <v>0.59</v>
      </c>
      <c r="BH29" s="1997"/>
      <c r="BI29" s="1997"/>
      <c r="BJ29" s="1997"/>
      <c r="BK29" s="1478" t="n">
        <v>-6.2</v>
      </c>
      <c r="BL29" s="1478"/>
      <c r="BM29" s="1478"/>
      <c r="BN29" s="1478" t="n">
        <v>-0.67</v>
      </c>
      <c r="BO29" s="1478"/>
      <c r="BP29" s="2003"/>
      <c r="BQ29" s="2007"/>
      <c r="BR29" s="2008"/>
      <c r="BS29" s="2008"/>
      <c r="BT29" s="2009"/>
      <c r="BU29" s="2017" t="n">
        <f aca="false">BB29</f>
        <v>-2.06</v>
      </c>
      <c r="BV29" s="1478" t="n">
        <v>-2.3</v>
      </c>
      <c r="BW29" s="1478"/>
      <c r="BX29" s="2007"/>
      <c r="BY29" s="1478" t="n">
        <f aca="false">CA29+CB29+AC29</f>
        <v>250.83</v>
      </c>
      <c r="BZ29" s="1509" t="n">
        <f aca="false">BY29+CD29</f>
        <v>252.06</v>
      </c>
      <c r="CA29" s="1509" t="n">
        <f aca="false">AJ29</f>
        <v>204.84</v>
      </c>
      <c r="CB29" s="1509" t="n">
        <f aca="false">AO29</f>
        <v>39.39</v>
      </c>
      <c r="CC29" s="2009"/>
      <c r="CD29" s="2015" t="n">
        <f aca="false">BE29</f>
        <v>1.23</v>
      </c>
      <c r="CE29" s="1479" t="n">
        <f aca="false">CF29+CL29</f>
        <v>168.71</v>
      </c>
      <c r="CF29" s="2007" t="n">
        <v>114.89</v>
      </c>
      <c r="CG29" s="1499" t="n">
        <f aca="false">K29</f>
        <v>59.85</v>
      </c>
      <c r="CH29" s="2017"/>
      <c r="CI29" s="2017"/>
      <c r="CJ29" s="2018"/>
      <c r="CK29" s="2018"/>
      <c r="CL29" s="1478" t="n">
        <v>53.82</v>
      </c>
      <c r="CM29" s="2018"/>
      <c r="CN29" s="2018"/>
      <c r="CO29" s="1478"/>
      <c r="CP29" s="2017"/>
      <c r="CQ29" s="2037" t="n">
        <v>65.43</v>
      </c>
      <c r="CR29" s="2017"/>
      <c r="CS29" s="2015"/>
      <c r="CT29" s="2017" t="n">
        <v>99.4</v>
      </c>
      <c r="CU29" s="2036" t="n">
        <f aca="false">CT29-M29</f>
        <v>23.95</v>
      </c>
      <c r="CV29" s="2017" t="n">
        <v>-5.77</v>
      </c>
      <c r="CW29" s="2017"/>
      <c r="CX29" s="2017" t="n">
        <v>21.2</v>
      </c>
      <c r="CY29" s="2017"/>
      <c r="CZ29" s="2017"/>
      <c r="DA29" s="2024"/>
      <c r="DB29" s="1478" t="n">
        <v>311.13</v>
      </c>
      <c r="DC29" s="1478" t="n">
        <v>36.07</v>
      </c>
      <c r="DD29" s="1997" t="n">
        <f aca="false">DC29+DJ29</f>
        <v>52.63</v>
      </c>
      <c r="DE29" s="1478" t="n">
        <v>38.7</v>
      </c>
      <c r="DF29" s="1478"/>
      <c r="DG29" s="1997" t="n">
        <v>-2.16</v>
      </c>
      <c r="DH29" s="1994"/>
      <c r="DI29" s="1995" t="n">
        <f aca="false">DC29+AW29</f>
        <v>58.97</v>
      </c>
      <c r="DJ29" s="1995" t="n">
        <f aca="false">AX29</f>
        <v>16.56</v>
      </c>
      <c r="DK29" s="1997" t="n">
        <v>7.26</v>
      </c>
      <c r="DL29" s="2025"/>
      <c r="DM29" s="111"/>
      <c r="DN29" s="111"/>
      <c r="DO29" s="111"/>
    </row>
    <row r="30" s="485" customFormat="true" ht="12" hidden="false" customHeight="false" outlineLevel="0" collapsed="false">
      <c r="A30" s="31" t="n">
        <f aca="false">A29+1</f>
        <v>1967</v>
      </c>
      <c r="B30" s="1994" t="n">
        <f aca="false">C30-I30</f>
        <v>443.18</v>
      </c>
      <c r="C30" s="384" t="n">
        <f aca="false">H30+F30</f>
        <v>493.7</v>
      </c>
      <c r="D30" s="1509" t="n">
        <f aca="false">B30+BK30+BN30</f>
        <v>436.16</v>
      </c>
      <c r="E30" s="1995" t="n">
        <f aca="false">B30-K30</f>
        <v>380.74</v>
      </c>
      <c r="F30" s="1995" t="n">
        <f aca="false">BA30</f>
        <v>-0.65</v>
      </c>
      <c r="G30" s="1994" t="n">
        <f aca="false">H30-I30</f>
        <v>443.83</v>
      </c>
      <c r="H30" s="1478" t="n">
        <v>494.35</v>
      </c>
      <c r="I30" s="1478" t="n">
        <v>50.52</v>
      </c>
      <c r="J30" s="514" t="n">
        <f aca="false">I30/H30</f>
        <v>0.102194801254172</v>
      </c>
      <c r="K30" s="1998" t="n">
        <v>62.44</v>
      </c>
      <c r="L30" s="2000" t="n">
        <v>282.63</v>
      </c>
      <c r="M30" s="1997" t="n">
        <v>80.05</v>
      </c>
      <c r="N30" s="1997" t="n">
        <v>113.68</v>
      </c>
      <c r="O30" s="1997" t="n">
        <v>114.18</v>
      </c>
      <c r="P30" s="1997" t="n">
        <f aca="false">N30-O30</f>
        <v>-0.5</v>
      </c>
      <c r="Q30" s="1997" t="n">
        <f aca="false">S30-BC30-BF30</f>
        <v>101.01</v>
      </c>
      <c r="R30" s="2052" t="n">
        <f aca="false">T30-BD30-BG30</f>
        <v>83.02</v>
      </c>
      <c r="S30" s="1997" t="n">
        <v>106.41</v>
      </c>
      <c r="T30" s="1997" t="n">
        <v>89.07</v>
      </c>
      <c r="U30" s="2000" t="n">
        <f aca="false">AA30+AF30</f>
        <v>339.61</v>
      </c>
      <c r="V30" s="1997" t="n">
        <f aca="false">U30+Y30</f>
        <v>387.79</v>
      </c>
      <c r="W30" s="1997" t="n">
        <f aca="false">AC30+AJ30</f>
        <v>208.57</v>
      </c>
      <c r="X30" s="1997" t="n">
        <f aca="false">U30-W30</f>
        <v>131.04</v>
      </c>
      <c r="Y30" s="1997" t="n">
        <f aca="false">AD30+AK30</f>
        <v>48.18</v>
      </c>
      <c r="Z30" s="1319" t="n">
        <f aca="false">Y30/V30</f>
        <v>0.124242502385312</v>
      </c>
      <c r="AA30" s="2052" t="n">
        <v>7</v>
      </c>
      <c r="AB30" s="1997" t="n">
        <v>7.66</v>
      </c>
      <c r="AC30" s="1997" t="n">
        <f aca="false">AA30</f>
        <v>7</v>
      </c>
      <c r="AD30" s="1997" t="n">
        <f aca="false">AB30-AA30</f>
        <v>0.66</v>
      </c>
      <c r="AE30" s="514" t="n">
        <f aca="false">AD30/AB30</f>
        <v>0.0861618798955614</v>
      </c>
      <c r="AF30" s="2123" t="n">
        <v>332.61</v>
      </c>
      <c r="AG30" s="2124" t="n">
        <f aca="false">AI30+AJ30</f>
        <v>380.13</v>
      </c>
      <c r="AH30" s="2125" t="n">
        <f aca="false">AF30-AJ30</f>
        <v>131.04</v>
      </c>
      <c r="AI30" s="1509" t="n">
        <f aca="false">AH30+AK30</f>
        <v>178.56</v>
      </c>
      <c r="AJ30" s="1478" t="n">
        <v>201.57</v>
      </c>
      <c r="AK30" s="2044" t="n">
        <f aca="false">I30-AD30-AP30</f>
        <v>47.52</v>
      </c>
      <c r="AL30" s="2126" t="n">
        <f aca="false">AK30/AG30</f>
        <v>0.125009865046168</v>
      </c>
      <c r="AM30" s="2127" t="n">
        <v>41.78</v>
      </c>
      <c r="AN30" s="2124" t="n">
        <v>44.12</v>
      </c>
      <c r="AO30" s="1478" t="n">
        <f aca="false">AM30</f>
        <v>41.78</v>
      </c>
      <c r="AP30" s="1478" t="n">
        <f aca="false">AN30-AM30</f>
        <v>2.34</v>
      </c>
      <c r="AQ30" s="2128" t="n">
        <f aca="false">AP30/AN30</f>
        <v>0.0530371713508612</v>
      </c>
      <c r="AR30" s="1509" t="n">
        <f aca="false">AH30</f>
        <v>131.04</v>
      </c>
      <c r="AS30" s="1509" t="n">
        <f aca="false">AR30-AT30-AW30</f>
        <v>29.09</v>
      </c>
      <c r="AT30" s="1509" t="n">
        <f aca="false">AY30-BB30</f>
        <v>79.16</v>
      </c>
      <c r="AU30" s="1509" t="n">
        <f aca="false">AV30-AT30</f>
        <v>76.38</v>
      </c>
      <c r="AV30" s="1509" t="n">
        <v>155.54</v>
      </c>
      <c r="AW30" s="1509" t="n">
        <v>22.79</v>
      </c>
      <c r="AX30" s="1509" t="n">
        <v>17.77</v>
      </c>
      <c r="AY30" s="1509" t="n">
        <v>77.02</v>
      </c>
      <c r="AZ30" s="2003"/>
      <c r="BA30" s="2154" t="n">
        <f aca="false">BB30+BE30</f>
        <v>-0.65</v>
      </c>
      <c r="BB30" s="1479" t="n">
        <f aca="false">BC30-BD30</f>
        <v>-2.14</v>
      </c>
      <c r="BC30" s="1478" t="n">
        <v>3.49</v>
      </c>
      <c r="BD30" s="1478" t="n">
        <v>5.63</v>
      </c>
      <c r="BE30" s="1479" t="n">
        <f aca="false">BF30-BG30</f>
        <v>1.49</v>
      </c>
      <c r="BF30" s="1478" t="n">
        <v>1.91</v>
      </c>
      <c r="BG30" s="1478" t="n">
        <v>0.42</v>
      </c>
      <c r="BH30" s="1997"/>
      <c r="BI30" s="1997"/>
      <c r="BJ30" s="1997"/>
      <c r="BK30" s="1478" t="n">
        <v>-6.43</v>
      </c>
      <c r="BL30" s="1478"/>
      <c r="BM30" s="1478"/>
      <c r="BN30" s="1478" t="n">
        <v>-0.59</v>
      </c>
      <c r="BO30" s="1478"/>
      <c r="BP30" s="2003"/>
      <c r="BQ30" s="2007"/>
      <c r="BR30" s="2008"/>
      <c r="BS30" s="2008"/>
      <c r="BT30" s="2009"/>
      <c r="BU30" s="2017" t="n">
        <f aca="false">BB30</f>
        <v>-2.14</v>
      </c>
      <c r="BV30" s="1478" t="n">
        <v>-1.59</v>
      </c>
      <c r="BW30" s="1478"/>
      <c r="BX30" s="2007"/>
      <c r="BY30" s="1478" t="n">
        <f aca="false">CA30+CB30+AC30</f>
        <v>250.35</v>
      </c>
      <c r="BZ30" s="1509" t="n">
        <f aca="false">BY30+CD30</f>
        <v>251.84</v>
      </c>
      <c r="CA30" s="1509" t="n">
        <f aca="false">AJ30</f>
        <v>201.57</v>
      </c>
      <c r="CB30" s="1509" t="n">
        <f aca="false">AO30</f>
        <v>41.78</v>
      </c>
      <c r="CC30" s="2009"/>
      <c r="CD30" s="2015" t="n">
        <f aca="false">BE30</f>
        <v>1.49</v>
      </c>
      <c r="CE30" s="1479" t="n">
        <f aca="false">CF30+CL30</f>
        <v>173.8</v>
      </c>
      <c r="CF30" s="2007" t="n">
        <v>117.38</v>
      </c>
      <c r="CG30" s="1499" t="n">
        <f aca="false">K30</f>
        <v>62.44</v>
      </c>
      <c r="CH30" s="2017"/>
      <c r="CI30" s="2017"/>
      <c r="CJ30" s="2018"/>
      <c r="CK30" s="2018"/>
      <c r="CL30" s="1478" t="n">
        <v>56.42</v>
      </c>
      <c r="CM30" s="2018"/>
      <c r="CN30" s="2018"/>
      <c r="CO30" s="1478"/>
      <c r="CP30" s="2017"/>
      <c r="CQ30" s="2037" t="n">
        <v>71.83</v>
      </c>
      <c r="CR30" s="2017"/>
      <c r="CS30" s="2015"/>
      <c r="CT30" s="2017" t="n">
        <v>95.83</v>
      </c>
      <c r="CU30" s="2036" t="n">
        <f aca="false">CT30-M30</f>
        <v>15.78</v>
      </c>
      <c r="CV30" s="2017" t="n">
        <v>-6.18</v>
      </c>
      <c r="CW30" s="2017"/>
      <c r="CX30" s="2017" t="n">
        <v>18.87</v>
      </c>
      <c r="CY30" s="2017"/>
      <c r="CZ30" s="2017"/>
      <c r="DA30" s="2024"/>
      <c r="DB30" s="1478" t="n">
        <v>318.13</v>
      </c>
      <c r="DC30" s="1478" t="n">
        <v>35.5</v>
      </c>
      <c r="DD30" s="1997" t="n">
        <f aca="false">DC30+DJ30</f>
        <v>53.27</v>
      </c>
      <c r="DE30" s="1478" t="n">
        <v>37.7</v>
      </c>
      <c r="DF30" s="1478"/>
      <c r="DG30" s="1997" t="n">
        <v>-3.57</v>
      </c>
      <c r="DH30" s="1994"/>
      <c r="DI30" s="1995" t="n">
        <f aca="false">DC30+AW30</f>
        <v>58.29</v>
      </c>
      <c r="DJ30" s="1995" t="n">
        <f aca="false">AX30</f>
        <v>17.77</v>
      </c>
      <c r="DK30" s="1997" t="n">
        <v>9.16</v>
      </c>
      <c r="DL30" s="2025"/>
      <c r="DM30" s="111"/>
      <c r="DN30" s="111"/>
      <c r="DO30" s="111"/>
    </row>
    <row r="31" s="485" customFormat="true" ht="12" hidden="false" customHeight="false" outlineLevel="0" collapsed="false">
      <c r="A31" s="31" t="n">
        <f aca="false">A30+1</f>
        <v>1968</v>
      </c>
      <c r="B31" s="1994" t="n">
        <f aca="false">C31-I31</f>
        <v>480.05</v>
      </c>
      <c r="C31" s="384" t="n">
        <f aca="false">H31+F31</f>
        <v>533.7</v>
      </c>
      <c r="D31" s="1509" t="n">
        <f aca="false">B31+BK31+BN31</f>
        <v>471.99</v>
      </c>
      <c r="E31" s="1995" t="n">
        <f aca="false">B31-K31</f>
        <v>418.09</v>
      </c>
      <c r="F31" s="1995" t="n">
        <f aca="false">BA31</f>
        <v>0.42</v>
      </c>
      <c r="G31" s="1994" t="n">
        <f aca="false">H31-I31</f>
        <v>479.63</v>
      </c>
      <c r="H31" s="1478" t="n">
        <v>533.28</v>
      </c>
      <c r="I31" s="1478" t="n">
        <v>53.65</v>
      </c>
      <c r="J31" s="514" t="n">
        <f aca="false">I31/H31</f>
        <v>0.100603810381038</v>
      </c>
      <c r="K31" s="1998" t="n">
        <v>61.96</v>
      </c>
      <c r="L31" s="2000" t="n">
        <v>300.74</v>
      </c>
      <c r="M31" s="1997" t="n">
        <v>82.73</v>
      </c>
      <c r="N31" s="1997" t="n">
        <v>130.49</v>
      </c>
      <c r="O31" s="1997" t="n">
        <v>119.39</v>
      </c>
      <c r="P31" s="1997" t="n">
        <f aca="false">N31-O31</f>
        <v>11.1</v>
      </c>
      <c r="Q31" s="1997" t="n">
        <f aca="false">S31-BC31-BF31</f>
        <v>113.89</v>
      </c>
      <c r="R31" s="2052" t="n">
        <f aca="false">T31-BD31-BG31</f>
        <v>94.57</v>
      </c>
      <c r="S31" s="1997" t="n">
        <v>120.21</v>
      </c>
      <c r="T31" s="1997" t="n">
        <v>100.47</v>
      </c>
      <c r="U31" s="2000" t="n">
        <f aca="false">AA31+AF31</f>
        <v>373.16</v>
      </c>
      <c r="V31" s="1997" t="n">
        <f aca="false">U31+Y31</f>
        <v>424.26</v>
      </c>
      <c r="W31" s="1997" t="n">
        <f aca="false">AC31+AJ31</f>
        <v>224.33</v>
      </c>
      <c r="X31" s="1997" t="n">
        <f aca="false">U31-W31</f>
        <v>148.83</v>
      </c>
      <c r="Y31" s="1997" t="n">
        <f aca="false">AD31+AK31</f>
        <v>51.1</v>
      </c>
      <c r="Z31" s="1319" t="n">
        <f aca="false">Y31/V31</f>
        <v>0.120445010135294</v>
      </c>
      <c r="AA31" s="2052" t="n">
        <v>7.36</v>
      </c>
      <c r="AB31" s="1997" t="n">
        <v>8.07</v>
      </c>
      <c r="AC31" s="1997" t="n">
        <f aca="false">AA31</f>
        <v>7.36</v>
      </c>
      <c r="AD31" s="1997" t="n">
        <f aca="false">AB31-AA31</f>
        <v>0.71</v>
      </c>
      <c r="AE31" s="514" t="n">
        <f aca="false">AD31/AB31</f>
        <v>0.0879801734820322</v>
      </c>
      <c r="AF31" s="2123" t="n">
        <v>365.8</v>
      </c>
      <c r="AG31" s="2124" t="n">
        <f aca="false">AI31+AJ31</f>
        <v>416.19</v>
      </c>
      <c r="AH31" s="2125" t="n">
        <f aca="false">AF31-AJ31</f>
        <v>148.83</v>
      </c>
      <c r="AI31" s="1509" t="n">
        <f aca="false">AH31+AK31</f>
        <v>199.22</v>
      </c>
      <c r="AJ31" s="1478" t="n">
        <v>216.97</v>
      </c>
      <c r="AK31" s="2044" t="n">
        <f aca="false">I31-AD31-AP31</f>
        <v>50.39</v>
      </c>
      <c r="AL31" s="2126" t="n">
        <f aca="false">AK31/AG31</f>
        <v>0.121074509238569</v>
      </c>
      <c r="AM31" s="2127" t="n">
        <v>44.51</v>
      </c>
      <c r="AN31" s="2124" t="n">
        <v>47.06</v>
      </c>
      <c r="AO31" s="1478" t="n">
        <f aca="false">AM31</f>
        <v>44.51</v>
      </c>
      <c r="AP31" s="1478" t="n">
        <f aca="false">AN31-AM31</f>
        <v>2.55</v>
      </c>
      <c r="AQ31" s="2128" t="n">
        <f aca="false">AP31/AN31</f>
        <v>0.0541861453463664</v>
      </c>
      <c r="AR31" s="1509" t="n">
        <f aca="false">AH31</f>
        <v>148.83</v>
      </c>
      <c r="AS31" s="1509" t="n">
        <f aca="false">AR31-AT31-AW31</f>
        <v>31.6</v>
      </c>
      <c r="AT31" s="1509" t="n">
        <f aca="false">AY31-BB31</f>
        <v>91.31</v>
      </c>
      <c r="AU31" s="1509" t="n">
        <f aca="false">AV31-AT31</f>
        <v>82.1</v>
      </c>
      <c r="AV31" s="1509" t="n">
        <v>173.41</v>
      </c>
      <c r="AW31" s="1509" t="n">
        <v>25.92</v>
      </c>
      <c r="AX31" s="1509" t="n">
        <v>18.14</v>
      </c>
      <c r="AY31" s="1509" t="n">
        <v>90.19</v>
      </c>
      <c r="AZ31" s="2003"/>
      <c r="BA31" s="2154" t="n">
        <f aca="false">BB31+BE31</f>
        <v>0.42</v>
      </c>
      <c r="BB31" s="1479" t="n">
        <f aca="false">BC31-BD31</f>
        <v>-1.12</v>
      </c>
      <c r="BC31" s="1478" t="n">
        <v>4.33</v>
      </c>
      <c r="BD31" s="1478" t="n">
        <v>5.45</v>
      </c>
      <c r="BE31" s="1479" t="n">
        <f aca="false">BF31-BG31</f>
        <v>1.54</v>
      </c>
      <c r="BF31" s="1478" t="n">
        <v>1.99</v>
      </c>
      <c r="BG31" s="1478" t="n">
        <v>0.45</v>
      </c>
      <c r="BH31" s="1997"/>
      <c r="BI31" s="1997"/>
      <c r="BJ31" s="1997"/>
      <c r="BK31" s="1478" t="n">
        <v>-7.45</v>
      </c>
      <c r="BL31" s="1478"/>
      <c r="BM31" s="1478"/>
      <c r="BN31" s="1478" t="n">
        <v>-0.61</v>
      </c>
      <c r="BO31" s="1478"/>
      <c r="BP31" s="2003"/>
      <c r="BQ31" s="2007"/>
      <c r="BR31" s="2008"/>
      <c r="BS31" s="2008"/>
      <c r="BT31" s="2009"/>
      <c r="BU31" s="2017" t="n">
        <f aca="false">BB31</f>
        <v>-1.12</v>
      </c>
      <c r="BV31" s="1478" t="n">
        <v>-2.07</v>
      </c>
      <c r="BW31" s="1478"/>
      <c r="BX31" s="2007"/>
      <c r="BY31" s="1478" t="n">
        <f aca="false">CA31+CB31+AC31</f>
        <v>268.84</v>
      </c>
      <c r="BZ31" s="1509" t="n">
        <f aca="false">BY31+CD31</f>
        <v>270.38</v>
      </c>
      <c r="CA31" s="1509" t="n">
        <f aca="false">AJ31</f>
        <v>216.97</v>
      </c>
      <c r="CB31" s="1509" t="n">
        <f aca="false">AO31</f>
        <v>44.51</v>
      </c>
      <c r="CC31" s="2009"/>
      <c r="CD31" s="2015" t="n">
        <f aca="false">BE31</f>
        <v>1.54</v>
      </c>
      <c r="CE31" s="1479" t="n">
        <f aca="false">CF31+CL31</f>
        <v>192</v>
      </c>
      <c r="CF31" s="2007" t="n">
        <v>129.8</v>
      </c>
      <c r="CG31" s="1499" t="n">
        <f aca="false">K31</f>
        <v>61.96</v>
      </c>
      <c r="CH31" s="2017"/>
      <c r="CI31" s="2017"/>
      <c r="CJ31" s="2018"/>
      <c r="CK31" s="2018"/>
      <c r="CL31" s="1478" t="n">
        <v>62.2</v>
      </c>
      <c r="CM31" s="2018"/>
      <c r="CN31" s="2018"/>
      <c r="CO31" s="1478"/>
      <c r="CP31" s="2017"/>
      <c r="CQ31" s="2037" t="n">
        <v>75.15</v>
      </c>
      <c r="CR31" s="2017"/>
      <c r="CS31" s="2015"/>
      <c r="CT31" s="2017" t="n">
        <v>102.81</v>
      </c>
      <c r="CU31" s="2036" t="n">
        <f aca="false">CT31-M31</f>
        <v>20.08</v>
      </c>
      <c r="CV31" s="2017" t="n">
        <v>-6.19</v>
      </c>
      <c r="CW31" s="2017"/>
      <c r="CX31" s="2017" t="n">
        <v>20.68</v>
      </c>
      <c r="CY31" s="2017"/>
      <c r="CZ31" s="2017"/>
      <c r="DA31" s="2024"/>
      <c r="DB31" s="1478" t="n">
        <v>343.87</v>
      </c>
      <c r="DC31" s="1478" t="n">
        <v>43.13</v>
      </c>
      <c r="DD31" s="1997" t="n">
        <f aca="false">DC31+DJ31</f>
        <v>61.27</v>
      </c>
      <c r="DE31" s="1478" t="n">
        <v>45.5</v>
      </c>
      <c r="DF31" s="1478"/>
      <c r="DG31" s="1997" t="n">
        <v>-4.49</v>
      </c>
      <c r="DH31" s="1994"/>
      <c r="DI31" s="1995" t="n">
        <f aca="false">DC31+AW31</f>
        <v>69.05</v>
      </c>
      <c r="DJ31" s="1995" t="n">
        <f aca="false">AX31</f>
        <v>18.14</v>
      </c>
      <c r="DK31" s="1997" t="n">
        <v>10.07</v>
      </c>
      <c r="DL31" s="2025"/>
      <c r="DM31" s="111"/>
      <c r="DN31" s="111"/>
      <c r="DO31" s="111"/>
    </row>
    <row r="32" s="485" customFormat="true" ht="12" hidden="false" customHeight="false" outlineLevel="0" collapsed="false">
      <c r="A32" s="31" t="n">
        <f aca="false">A31+1</f>
        <v>1969</v>
      </c>
      <c r="B32" s="1994" t="n">
        <f aca="false">C32-I32</f>
        <v>539.6</v>
      </c>
      <c r="C32" s="384" t="n">
        <f aca="false">H32+F32</f>
        <v>597.8</v>
      </c>
      <c r="D32" s="1509" t="n">
        <f aca="false">B32+BK32+BN32</f>
        <v>529.94</v>
      </c>
      <c r="E32" s="1995" t="n">
        <f aca="false">B32-K32</f>
        <v>462.94</v>
      </c>
      <c r="F32" s="1995" t="n">
        <f aca="false">BA32</f>
        <v>0.85</v>
      </c>
      <c r="G32" s="1994" t="n">
        <f aca="false">H32-I32</f>
        <v>538.75</v>
      </c>
      <c r="H32" s="1478" t="n">
        <v>596.95</v>
      </c>
      <c r="I32" s="1478" t="n">
        <v>58.2</v>
      </c>
      <c r="J32" s="514" t="n">
        <f aca="false">I32/H32</f>
        <v>0.0974956026467878</v>
      </c>
      <c r="K32" s="1998" t="n">
        <v>76.66</v>
      </c>
      <c r="L32" s="2000" t="n">
        <v>330.9</v>
      </c>
      <c r="M32" s="1997" t="n">
        <v>93.12</v>
      </c>
      <c r="N32" s="1997" t="n">
        <v>156.2</v>
      </c>
      <c r="O32" s="1997" t="n">
        <v>138.9</v>
      </c>
      <c r="P32" s="1997" t="n">
        <f aca="false">N32-O32</f>
        <v>17.3</v>
      </c>
      <c r="Q32" s="1997" t="n">
        <f aca="false">S32-BC32-BF32</f>
        <v>129.46</v>
      </c>
      <c r="R32" s="2052" t="n">
        <f aca="false">T32-BD32-BG32</f>
        <v>112.73</v>
      </c>
      <c r="S32" s="1997" t="n">
        <v>137.34</v>
      </c>
      <c r="T32" s="1997" t="n">
        <v>119.76</v>
      </c>
      <c r="U32" s="2000" t="n">
        <f aca="false">AA32+AF32</f>
        <v>411.64</v>
      </c>
      <c r="V32" s="1997" t="n">
        <f aca="false">U32+Y32</f>
        <v>467.01</v>
      </c>
      <c r="W32" s="1997" t="n">
        <f aca="false">AC32+AJ32</f>
        <v>252.17</v>
      </c>
      <c r="X32" s="1997" t="n">
        <f aca="false">U32-W32</f>
        <v>159.47</v>
      </c>
      <c r="Y32" s="1997" t="n">
        <f aca="false">AD32+AK32</f>
        <v>55.37</v>
      </c>
      <c r="Z32" s="1319" t="n">
        <f aca="false">Y32/V32</f>
        <v>0.118562771675125</v>
      </c>
      <c r="AA32" s="2052" t="n">
        <v>8.19</v>
      </c>
      <c r="AB32" s="1997" t="n">
        <v>8.98</v>
      </c>
      <c r="AC32" s="2017" t="n">
        <f aca="false">AA32</f>
        <v>8.19</v>
      </c>
      <c r="AD32" s="1997" t="n">
        <f aca="false">AB32-AA32</f>
        <v>0.790000000000001</v>
      </c>
      <c r="AE32" s="514" t="n">
        <f aca="false">AD32/AB32</f>
        <v>0.0879732739420936</v>
      </c>
      <c r="AF32" s="2123" t="n">
        <v>403.45</v>
      </c>
      <c r="AG32" s="2124" t="n">
        <f aca="false">AI32+AJ32</f>
        <v>458.03</v>
      </c>
      <c r="AH32" s="2125" t="n">
        <f aca="false">AF32-AJ32</f>
        <v>159.47</v>
      </c>
      <c r="AI32" s="1509" t="n">
        <f aca="false">AH32+AK32</f>
        <v>214.05</v>
      </c>
      <c r="AJ32" s="1478" t="n">
        <v>243.98</v>
      </c>
      <c r="AK32" s="2044" t="n">
        <f aca="false">I32-AD32-AP32</f>
        <v>54.58</v>
      </c>
      <c r="AL32" s="2126" t="n">
        <f aca="false">AK32/AG32</f>
        <v>0.119162500272908</v>
      </c>
      <c r="AM32" s="2127" t="n">
        <v>50.45</v>
      </c>
      <c r="AN32" s="2124" t="n">
        <v>53.28</v>
      </c>
      <c r="AO32" s="1478" t="n">
        <f aca="false">AM32</f>
        <v>50.45</v>
      </c>
      <c r="AP32" s="1478" t="n">
        <f aca="false">AN32-AM32</f>
        <v>2.83</v>
      </c>
      <c r="AQ32" s="2128" t="n">
        <f aca="false">AP32/AN32</f>
        <v>0.0531156156156156</v>
      </c>
      <c r="AR32" s="1509" t="n">
        <f aca="false">AH32</f>
        <v>159.47</v>
      </c>
      <c r="AS32" s="1509" t="n">
        <f aca="false">AR32-AT32-AW32</f>
        <v>35.51</v>
      </c>
      <c r="AT32" s="1509" t="n">
        <f aca="false">AY32-BB32</f>
        <v>104.32</v>
      </c>
      <c r="AU32" s="1509" t="n">
        <f aca="false">AV32-AT32</f>
        <v>86.76</v>
      </c>
      <c r="AV32" s="1509" t="n">
        <v>191.08</v>
      </c>
      <c r="AW32" s="1509" t="n">
        <v>19.64</v>
      </c>
      <c r="AX32" s="1509" t="n">
        <v>10.43</v>
      </c>
      <c r="AY32" s="1509" t="n">
        <v>103.72</v>
      </c>
      <c r="AZ32" s="2003"/>
      <c r="BA32" s="2154" t="n">
        <f aca="false">BB32+BE32</f>
        <v>0.85</v>
      </c>
      <c r="BB32" s="1479" t="n">
        <f aca="false">BC32-BD32</f>
        <v>-0.6</v>
      </c>
      <c r="BC32" s="1478" t="n">
        <v>5.83</v>
      </c>
      <c r="BD32" s="1478" t="n">
        <v>6.43</v>
      </c>
      <c r="BE32" s="1479" t="n">
        <f aca="false">BF32-BG32</f>
        <v>1.45</v>
      </c>
      <c r="BF32" s="1478" t="n">
        <v>2.05</v>
      </c>
      <c r="BG32" s="1478" t="n">
        <v>0.6</v>
      </c>
      <c r="BH32" s="2023"/>
      <c r="BI32" s="2023"/>
      <c r="BJ32" s="2023"/>
      <c r="BK32" s="1478" t="n">
        <v>-9.07</v>
      </c>
      <c r="BL32" s="1478"/>
      <c r="BM32" s="1478"/>
      <c r="BN32" s="1478" t="n">
        <v>-0.59</v>
      </c>
      <c r="BO32" s="1478"/>
      <c r="BP32" s="2003"/>
      <c r="BQ32" s="2007"/>
      <c r="BR32" s="2008"/>
      <c r="BS32" s="2008"/>
      <c r="BT32" s="2009"/>
      <c r="BU32" s="2017" t="n">
        <f aca="false">BB32</f>
        <v>-0.6</v>
      </c>
      <c r="BV32" s="1478" t="n">
        <v>-2.1</v>
      </c>
      <c r="BW32" s="1478"/>
      <c r="BX32" s="2007"/>
      <c r="BY32" s="1478" t="n">
        <f aca="false">CA32+CB32+AC32</f>
        <v>302.62</v>
      </c>
      <c r="BZ32" s="1509" t="n">
        <f aca="false">BY32+CD32</f>
        <v>304.07</v>
      </c>
      <c r="CA32" s="1509" t="n">
        <f aca="false">AJ32</f>
        <v>243.98</v>
      </c>
      <c r="CB32" s="1509" t="n">
        <f aca="false">AO32</f>
        <v>50.45</v>
      </c>
      <c r="CC32" s="2009"/>
      <c r="CD32" s="2015" t="n">
        <f aca="false">BE32</f>
        <v>1.45</v>
      </c>
      <c r="CE32" s="1479" t="n">
        <f aca="false">CF32+CL32</f>
        <v>223.59</v>
      </c>
      <c r="CF32" s="2007" t="n">
        <v>152.16</v>
      </c>
      <c r="CG32" s="1499" t="n">
        <f aca="false">K32</f>
        <v>76.66</v>
      </c>
      <c r="CH32" s="2017"/>
      <c r="CI32" s="2017"/>
      <c r="CJ32" s="2018"/>
      <c r="CK32" s="2018"/>
      <c r="CL32" s="1478" t="n">
        <v>71.43</v>
      </c>
      <c r="CM32" s="2018"/>
      <c r="CN32" s="2018"/>
      <c r="CO32" s="1478"/>
      <c r="CP32" s="2017"/>
      <c r="CQ32" s="2037" t="n">
        <v>81.41</v>
      </c>
      <c r="CR32" s="2017"/>
      <c r="CS32" s="2015"/>
      <c r="CT32" s="2017" t="n">
        <v>129.35</v>
      </c>
      <c r="CU32" s="2036" t="n">
        <f aca="false">CT32-M32</f>
        <v>36.23</v>
      </c>
      <c r="CV32" s="2017" t="n">
        <v>-8.72</v>
      </c>
      <c r="CW32" s="2017"/>
      <c r="CX32" s="2017" t="n">
        <v>23.73</v>
      </c>
      <c r="CY32" s="2017"/>
      <c r="CZ32" s="2017"/>
      <c r="DA32" s="2024"/>
      <c r="DB32" s="1478" t="n">
        <v>381.54</v>
      </c>
      <c r="DC32" s="1478" t="n">
        <v>50.64</v>
      </c>
      <c r="DD32" s="1997" t="n">
        <f aca="false">DC32+DJ32</f>
        <v>61.07</v>
      </c>
      <c r="DE32" s="1478" t="n">
        <v>52.9</v>
      </c>
      <c r="DF32" s="1478"/>
      <c r="DG32" s="1997" t="n">
        <v>-5.18</v>
      </c>
      <c r="DH32" s="1994"/>
      <c r="DI32" s="1995" t="n">
        <f aca="false">DC32+AW32</f>
        <v>70.28</v>
      </c>
      <c r="DJ32" s="1995" t="n">
        <f aca="false">AX32</f>
        <v>10.43</v>
      </c>
      <c r="DK32" s="1997" t="n">
        <v>13.31</v>
      </c>
      <c r="DL32" s="2025"/>
      <c r="DM32" s="111"/>
      <c r="DN32" s="111"/>
      <c r="DO32" s="111"/>
    </row>
    <row r="33" s="485" customFormat="true" ht="12" hidden="false" customHeight="false" outlineLevel="0" collapsed="false">
      <c r="A33" s="31" t="n">
        <f aca="false">A32+1</f>
        <v>1970</v>
      </c>
      <c r="B33" s="1994" t="n">
        <f aca="false">C33-I33</f>
        <v>607.67</v>
      </c>
      <c r="C33" s="384" t="n">
        <f aca="false">H33+F33</f>
        <v>675.7</v>
      </c>
      <c r="D33" s="1509" t="n">
        <f aca="false">B33+BK33+BN33</f>
        <v>596.68</v>
      </c>
      <c r="E33" s="384" t="n">
        <f aca="false">B33-K33</f>
        <v>530.4</v>
      </c>
      <c r="F33" s="1995" t="n">
        <f aca="false">BA33</f>
        <v>0.400000000000001</v>
      </c>
      <c r="G33" s="395" t="n">
        <f aca="false">H33-I33</f>
        <v>607.27</v>
      </c>
      <c r="H33" s="1997" t="n">
        <v>675.3</v>
      </c>
      <c r="I33" s="1997" t="n">
        <v>68.03</v>
      </c>
      <c r="J33" s="514" t="n">
        <f aca="false">I33/H33</f>
        <v>0.100740411668888</v>
      </c>
      <c r="K33" s="853" t="n">
        <v>77.27</v>
      </c>
      <c r="L33" s="2000" t="n">
        <v>368.85</v>
      </c>
      <c r="M33" s="1997" t="n">
        <v>106.47</v>
      </c>
      <c r="N33" s="1997" t="n">
        <v>186.25</v>
      </c>
      <c r="O33" s="1997" t="n">
        <v>172.05</v>
      </c>
      <c r="P33" s="1997" t="n">
        <f aca="false">N33-O33</f>
        <v>14.2</v>
      </c>
      <c r="Q33" s="1997" t="n">
        <f aca="false">S33-BC33-BF33</f>
        <v>143</v>
      </c>
      <c r="R33" s="2052" t="n">
        <f aca="false">T33-BD33-BG33</f>
        <v>129.27</v>
      </c>
      <c r="S33" s="1997" t="n">
        <v>152.93</v>
      </c>
      <c r="T33" s="1997" t="n">
        <v>138.8</v>
      </c>
      <c r="U33" s="2000" t="n">
        <f aca="false">AA33+AF33</f>
        <v>470.8</v>
      </c>
      <c r="V33" s="1997" t="n">
        <f aca="false">U33+Y33</f>
        <v>535.47</v>
      </c>
      <c r="W33" s="1997" t="n">
        <f aca="false">AC33+AJ33</f>
        <v>300.09</v>
      </c>
      <c r="X33" s="1997" t="n">
        <f aca="false">U33-W33</f>
        <v>170.71</v>
      </c>
      <c r="Y33" s="1997" t="n">
        <f aca="false">AD33+AK33</f>
        <v>64.67</v>
      </c>
      <c r="Z33" s="1319" t="n">
        <f aca="false">Y33/V33</f>
        <v>0.120772405550264</v>
      </c>
      <c r="AA33" s="2052" t="n">
        <v>9.04</v>
      </c>
      <c r="AB33" s="1997" t="n">
        <v>9.99</v>
      </c>
      <c r="AC33" s="2017" t="n">
        <f aca="false">AA33</f>
        <v>9.04</v>
      </c>
      <c r="AD33" s="1997" t="n">
        <f aca="false">AB33-AA33</f>
        <v>0.950000000000001</v>
      </c>
      <c r="AE33" s="514" t="n">
        <f aca="false">AD33/AB33</f>
        <v>0.0950950950950952</v>
      </c>
      <c r="AF33" s="2123" t="n">
        <v>461.76</v>
      </c>
      <c r="AG33" s="2124" t="n">
        <f aca="false">AI33+AJ33</f>
        <v>525.48</v>
      </c>
      <c r="AH33" s="2125" t="n">
        <f aca="false">AF33-AJ33</f>
        <v>170.71</v>
      </c>
      <c r="AI33" s="1509" t="n">
        <f aca="false">AH33+AK33</f>
        <v>234.43</v>
      </c>
      <c r="AJ33" s="1478" t="n">
        <v>291.05</v>
      </c>
      <c r="AK33" s="2044" t="n">
        <f aca="false">I33-AD33-AP33</f>
        <v>63.72</v>
      </c>
      <c r="AL33" s="2126" t="n">
        <f aca="false">AK33/AG33</f>
        <v>0.121260561772094</v>
      </c>
      <c r="AM33" s="2127" t="n">
        <v>59.2</v>
      </c>
      <c r="AN33" s="2124" t="n">
        <v>62.56</v>
      </c>
      <c r="AO33" s="1478" t="n">
        <f aca="false">AM33</f>
        <v>59.2</v>
      </c>
      <c r="AP33" s="1478" t="n">
        <f aca="false">AN33-AM33</f>
        <v>3.36</v>
      </c>
      <c r="AQ33" s="2128" t="n">
        <f aca="false">AP33/AN33</f>
        <v>0.0537084398976982</v>
      </c>
      <c r="AR33" s="1509" t="n">
        <f aca="false">AH33</f>
        <v>170.71</v>
      </c>
      <c r="AS33" s="1509" t="n">
        <f aca="false">AR33-AT33-AW33</f>
        <v>32.48</v>
      </c>
      <c r="AT33" s="1509" t="n">
        <f aca="false">AY33-BB33</f>
        <v>114.76</v>
      </c>
      <c r="AU33" s="1509" t="n">
        <f aca="false">AV33-AT33</f>
        <v>111.24</v>
      </c>
      <c r="AV33" s="1509" t="n">
        <v>226</v>
      </c>
      <c r="AW33" s="1509" t="n">
        <v>23.47</v>
      </c>
      <c r="AX33" s="1509" t="n">
        <v>18.23</v>
      </c>
      <c r="AY33" s="1509" t="n">
        <v>113.81</v>
      </c>
      <c r="AZ33" s="2003"/>
      <c r="BA33" s="2154" t="n">
        <f aca="false">BB33+BE33</f>
        <v>0.400000000000001</v>
      </c>
      <c r="BB33" s="1479" t="n">
        <f aca="false">BC33-BD33</f>
        <v>-0.949999999999999</v>
      </c>
      <c r="BC33" s="2023" t="n">
        <v>7.74</v>
      </c>
      <c r="BD33" s="2023" t="n">
        <v>8.69</v>
      </c>
      <c r="BE33" s="1479" t="n">
        <f aca="false">BF33-BG33</f>
        <v>1.35</v>
      </c>
      <c r="BF33" s="2023" t="n">
        <v>2.19</v>
      </c>
      <c r="BG33" s="2023" t="n">
        <v>0.84</v>
      </c>
      <c r="BH33" s="2023"/>
      <c r="BI33" s="2023"/>
      <c r="BJ33" s="2023"/>
      <c r="BK33" s="1478" t="n">
        <v>-10.35</v>
      </c>
      <c r="BL33" s="1478"/>
      <c r="BM33" s="1478"/>
      <c r="BN33" s="1478" t="n">
        <v>-0.64</v>
      </c>
      <c r="BP33" s="1478"/>
      <c r="BQ33" s="2007"/>
      <c r="BR33" s="2008"/>
      <c r="BS33" s="2008"/>
      <c r="BT33" s="2009"/>
      <c r="BU33" s="2017" t="n">
        <f aca="false">BB33</f>
        <v>-0.949999999999999</v>
      </c>
      <c r="BV33" s="1478" t="n">
        <v>-2.21</v>
      </c>
      <c r="BW33" s="1478"/>
      <c r="BX33" s="2007"/>
      <c r="BY33" s="1478" t="n">
        <f aca="false">CA33+CB33+AC33</f>
        <v>359.29</v>
      </c>
      <c r="BZ33" s="1509" t="n">
        <f aca="false">BY33+CD33</f>
        <v>360.64</v>
      </c>
      <c r="CA33" s="2008" t="n">
        <f aca="false">AJ33</f>
        <v>291.05</v>
      </c>
      <c r="CB33" s="1509" t="n">
        <f aca="false">AO33</f>
        <v>59.2</v>
      </c>
      <c r="CC33" s="2009"/>
      <c r="CD33" s="2015" t="n">
        <f aca="false">BE33</f>
        <v>1.35</v>
      </c>
      <c r="CE33" s="1479" t="n">
        <f aca="false">CF33+CL33</f>
        <v>246.83</v>
      </c>
      <c r="CF33" s="2007" t="n">
        <v>161.89</v>
      </c>
      <c r="CG33" s="1499" t="n">
        <f aca="false">K33</f>
        <v>77.27</v>
      </c>
      <c r="CH33" s="2017"/>
      <c r="CI33" s="2017"/>
      <c r="CJ33" s="2018"/>
      <c r="CK33" s="2018"/>
      <c r="CL33" s="1478" t="n">
        <v>84.94</v>
      </c>
      <c r="CM33" s="2018"/>
      <c r="CN33" s="2018"/>
      <c r="CO33" s="1478"/>
      <c r="CP33" s="2017"/>
      <c r="CQ33" s="2103" t="n">
        <v>88.1</v>
      </c>
      <c r="CR33" s="2017"/>
      <c r="CS33" s="2015"/>
      <c r="CT33" s="2019" t="n">
        <v>145.88</v>
      </c>
      <c r="CU33" s="2036" t="n">
        <f aca="false">CT33-M33</f>
        <v>39.41</v>
      </c>
      <c r="CV33" s="2017" t="n">
        <v>-10.04</v>
      </c>
      <c r="CW33" s="2023"/>
      <c r="CX33" s="2023" t="n">
        <v>31.29</v>
      </c>
      <c r="CY33" s="2023"/>
      <c r="CZ33" s="2023"/>
      <c r="DA33" s="2024"/>
      <c r="DB33" s="1478" t="n">
        <v>427.97</v>
      </c>
      <c r="DC33" s="1478" t="n">
        <v>59.12</v>
      </c>
      <c r="DD33" s="1997" t="n">
        <f aca="false">DC33+DJ33</f>
        <v>77.35</v>
      </c>
      <c r="DE33" s="1478" t="n">
        <v>63.4</v>
      </c>
      <c r="DF33" s="1478"/>
      <c r="DG33" s="1997" t="n">
        <v>-4.45</v>
      </c>
      <c r="DH33" s="1994"/>
      <c r="DI33" s="1995" t="n">
        <f aca="false">DC33+AW33</f>
        <v>82.59</v>
      </c>
      <c r="DJ33" s="1995" t="n">
        <f aca="false">AX33</f>
        <v>18.23</v>
      </c>
      <c r="DK33" s="1997" t="n">
        <v>13.85</v>
      </c>
      <c r="DL33" s="2025"/>
      <c r="DM33" s="111"/>
      <c r="DN33" s="111"/>
      <c r="DO33" s="111"/>
    </row>
    <row r="34" s="485" customFormat="true" ht="12" hidden="false" customHeight="false" outlineLevel="0" collapsed="false">
      <c r="A34" s="31" t="n">
        <f aca="false">A33+1</f>
        <v>1971</v>
      </c>
      <c r="B34" s="1994" t="n">
        <f aca="false">C34-I34</f>
        <v>672.32</v>
      </c>
      <c r="C34" s="384" t="n">
        <f aca="false">H34+F34</f>
        <v>750.4</v>
      </c>
      <c r="D34" s="1509" t="n">
        <f aca="false">B34+BK34+BN34</f>
        <v>660.5</v>
      </c>
      <c r="E34" s="384" t="n">
        <f aca="false">B34-K34</f>
        <v>586.24</v>
      </c>
      <c r="F34" s="1995" t="n">
        <f aca="false">BA34</f>
        <v>0.65</v>
      </c>
      <c r="G34" s="395" t="n">
        <f aca="false">H34-I34</f>
        <v>671.67</v>
      </c>
      <c r="H34" s="1997" t="n">
        <v>749.75</v>
      </c>
      <c r="I34" s="1997" t="n">
        <v>78.08</v>
      </c>
      <c r="J34" s="514" t="n">
        <f aca="false">I34/H34</f>
        <v>0.104141380460153</v>
      </c>
      <c r="K34" s="853" t="n">
        <v>86.08</v>
      </c>
      <c r="L34" s="2156" t="n">
        <v>408.98</v>
      </c>
      <c r="M34" s="1997" t="n">
        <v>126.76</v>
      </c>
      <c r="N34" s="1997" t="n">
        <v>200.58</v>
      </c>
      <c r="O34" s="1997" t="n">
        <v>196.11</v>
      </c>
      <c r="P34" s="1997" t="n">
        <f aca="false">N34-O34</f>
        <v>4.47</v>
      </c>
      <c r="Q34" s="1997" t="n">
        <f aca="false">S34-BC34-BF34</f>
        <v>155.69</v>
      </c>
      <c r="R34" s="2052" t="n">
        <f aca="false">T34-BD34-BG34</f>
        <v>142.26</v>
      </c>
      <c r="S34" s="1997" t="n">
        <v>166.96</v>
      </c>
      <c r="T34" s="1997" t="n">
        <v>152.88</v>
      </c>
      <c r="U34" s="2000" t="n">
        <f aca="false">AA34+AF34</f>
        <v>514.89</v>
      </c>
      <c r="V34" s="1997" t="n">
        <f aca="false">U34+Y34</f>
        <v>589.11</v>
      </c>
      <c r="W34" s="1997" t="n">
        <f aca="false">AC34+AJ34</f>
        <v>336.12</v>
      </c>
      <c r="X34" s="1997" t="n">
        <f aca="false">U34-W34</f>
        <v>178.77</v>
      </c>
      <c r="Y34" s="1997" t="n">
        <f aca="false">AD34+AK34</f>
        <v>74.22</v>
      </c>
      <c r="Z34" s="1319" t="n">
        <f aca="false">Y34/V34</f>
        <v>0.125986657839792</v>
      </c>
      <c r="AA34" s="2052" t="n">
        <v>10.67</v>
      </c>
      <c r="AB34" s="1997" t="n">
        <v>11.75</v>
      </c>
      <c r="AC34" s="2017" t="n">
        <f aca="false">AA34</f>
        <v>10.67</v>
      </c>
      <c r="AD34" s="1997" t="n">
        <f aca="false">AB34-AA34</f>
        <v>1.08</v>
      </c>
      <c r="AE34" s="514" t="n">
        <f aca="false">AD34/AB34</f>
        <v>0.0919148936170213</v>
      </c>
      <c r="AF34" s="2123" t="n">
        <v>504.22</v>
      </c>
      <c r="AG34" s="2124" t="n">
        <f aca="false">AI34+AJ34</f>
        <v>577.36</v>
      </c>
      <c r="AH34" s="2125" t="n">
        <f aca="false">AF34-AJ34</f>
        <v>178.77</v>
      </c>
      <c r="AI34" s="1509" t="n">
        <f aca="false">AH34+AK34</f>
        <v>251.91</v>
      </c>
      <c r="AJ34" s="1478" t="n">
        <v>325.45</v>
      </c>
      <c r="AK34" s="2044" t="n">
        <f aca="false">I34-AD34-AP34</f>
        <v>73.14</v>
      </c>
      <c r="AL34" s="2126" t="n">
        <f aca="false">AK34/AG34</f>
        <v>0.126680060967161</v>
      </c>
      <c r="AM34" s="2127" t="n">
        <v>70.7</v>
      </c>
      <c r="AN34" s="2124" t="n">
        <v>74.56</v>
      </c>
      <c r="AO34" s="1478" t="n">
        <f aca="false">AM34</f>
        <v>70.7</v>
      </c>
      <c r="AP34" s="2044" t="n">
        <f aca="false">AN34-AM34</f>
        <v>3.86</v>
      </c>
      <c r="AQ34" s="2128" t="n">
        <f aca="false">AP34/AN34</f>
        <v>0.0517703862660944</v>
      </c>
      <c r="AR34" s="1509" t="n">
        <f aca="false">AH34</f>
        <v>178.77</v>
      </c>
      <c r="AS34" s="1509" t="n">
        <f aca="false">AR34-AT34-AW34</f>
        <v>34.41</v>
      </c>
      <c r="AT34" s="1509" t="n">
        <f aca="false">AY34-BB34</f>
        <v>124.67</v>
      </c>
      <c r="AU34" s="1509" t="n">
        <f aca="false">AV34-AT34</f>
        <v>115.7</v>
      </c>
      <c r="AV34" s="1509" t="n">
        <v>240.37</v>
      </c>
      <c r="AW34" s="1509" t="n">
        <v>19.69</v>
      </c>
      <c r="AX34" s="1509" t="n">
        <v>13.19</v>
      </c>
      <c r="AY34" s="1509" t="n">
        <v>123.4</v>
      </c>
      <c r="AZ34" s="2003"/>
      <c r="BA34" s="2154" t="n">
        <f aca="false">BB34+BE34</f>
        <v>0.65</v>
      </c>
      <c r="BB34" s="1479" t="n">
        <f aca="false">BC34-BD34</f>
        <v>-1.27</v>
      </c>
      <c r="BC34" s="2023" t="n">
        <v>8.41</v>
      </c>
      <c r="BD34" s="2023" t="n">
        <v>9.68</v>
      </c>
      <c r="BE34" s="1479" t="n">
        <f aca="false">BF34-BG34</f>
        <v>1.92</v>
      </c>
      <c r="BF34" s="2023" t="n">
        <v>2.86</v>
      </c>
      <c r="BG34" s="2023" t="n">
        <v>0.94</v>
      </c>
      <c r="BH34" s="2023"/>
      <c r="BI34" s="2023"/>
      <c r="BJ34" s="2023"/>
      <c r="BK34" s="1478" t="n">
        <v>-11.18</v>
      </c>
      <c r="BL34" s="1478"/>
      <c r="BM34" s="1478"/>
      <c r="BN34" s="1478" t="n">
        <v>-0.64</v>
      </c>
      <c r="BP34" s="1478"/>
      <c r="BQ34" s="2007"/>
      <c r="BR34" s="2008"/>
      <c r="BS34" s="2008"/>
      <c r="BT34" s="2009"/>
      <c r="BU34" s="2017" t="n">
        <f aca="false">BB34</f>
        <v>-1.27</v>
      </c>
      <c r="BV34" s="1478" t="n">
        <v>-1.93</v>
      </c>
      <c r="BW34" s="1478"/>
      <c r="BX34" s="2007"/>
      <c r="BY34" s="1478" t="n">
        <f aca="false">CA34+CB34+AC34</f>
        <v>406.82</v>
      </c>
      <c r="BZ34" s="1509" t="n">
        <f aca="false">BY34+CD34</f>
        <v>408.74</v>
      </c>
      <c r="CA34" s="2008" t="n">
        <f aca="false">AJ34</f>
        <v>325.45</v>
      </c>
      <c r="CB34" s="1509" t="n">
        <f aca="false">AO34</f>
        <v>70.7</v>
      </c>
      <c r="CC34" s="2009"/>
      <c r="CD34" s="2015" t="n">
        <f aca="false">BE34</f>
        <v>1.92</v>
      </c>
      <c r="CE34" s="1479" t="n">
        <f aca="false">CF34+CL34</f>
        <v>282.09</v>
      </c>
      <c r="CF34" s="2007" t="n">
        <v>183.65</v>
      </c>
      <c r="CG34" s="1499" t="n">
        <f aca="false">K34</f>
        <v>86.08</v>
      </c>
      <c r="CH34" s="2017"/>
      <c r="CI34" s="2017"/>
      <c r="CJ34" s="2018"/>
      <c r="CK34" s="2018"/>
      <c r="CL34" s="1478" t="n">
        <v>98.44</v>
      </c>
      <c r="CM34" s="2018"/>
      <c r="CN34" s="2018"/>
      <c r="CO34" s="1478"/>
      <c r="CP34" s="2017"/>
      <c r="CQ34" s="2103" t="n">
        <v>98.13</v>
      </c>
      <c r="CR34" s="2017"/>
      <c r="CS34" s="2015"/>
      <c r="CT34" s="2019" t="n">
        <v>168.55</v>
      </c>
      <c r="CU34" s="2036" t="n">
        <f aca="false">CT34-M34</f>
        <v>41.79</v>
      </c>
      <c r="CV34" s="2017" t="n">
        <v>-12.89</v>
      </c>
      <c r="CW34" s="2023"/>
      <c r="CX34" s="2023" t="n">
        <v>33.87</v>
      </c>
      <c r="CY34" s="2023"/>
      <c r="CZ34" s="2023"/>
      <c r="DA34" s="2024"/>
      <c r="DB34" s="1478" t="n">
        <v>472.9</v>
      </c>
      <c r="DC34" s="1478" t="n">
        <v>63.92</v>
      </c>
      <c r="DD34" s="1997" t="n">
        <f aca="false">DC34+DJ34</f>
        <v>77.11</v>
      </c>
      <c r="DE34" s="1478" t="n">
        <v>68.7</v>
      </c>
      <c r="DF34" s="1478"/>
      <c r="DG34" s="1997" t="n">
        <v>-4.05</v>
      </c>
      <c r="DH34" s="1994"/>
      <c r="DI34" s="1995" t="n">
        <f aca="false">DC34+AW34</f>
        <v>83.61</v>
      </c>
      <c r="DJ34" s="1995" t="n">
        <f aca="false">AX34</f>
        <v>13.19</v>
      </c>
      <c r="DK34" s="1997" t="n">
        <v>16.3</v>
      </c>
      <c r="DL34" s="2025"/>
      <c r="DM34" s="111"/>
      <c r="DN34" s="111"/>
      <c r="DO34" s="111"/>
    </row>
    <row r="35" s="485" customFormat="true" ht="12" hidden="false" customHeight="false" outlineLevel="0" collapsed="false">
      <c r="A35" s="31" t="n">
        <f aca="false">A34+1</f>
        <v>1972</v>
      </c>
      <c r="B35" s="395" t="n">
        <f aca="false">C35-I35</f>
        <v>737.87</v>
      </c>
      <c r="C35" s="384" t="n">
        <f aca="false">H35+F35</f>
        <v>824.6</v>
      </c>
      <c r="D35" s="2008" t="n">
        <f aca="false">B35+BK35+BN35</f>
        <v>723.98</v>
      </c>
      <c r="E35" s="384" t="n">
        <f aca="false">B35-K35</f>
        <v>643.47</v>
      </c>
      <c r="F35" s="384" t="n">
        <f aca="false">BA35</f>
        <v>1.48</v>
      </c>
      <c r="G35" s="395" t="n">
        <f aca="false">H35-I35</f>
        <v>736.39</v>
      </c>
      <c r="H35" s="1997" t="n">
        <v>823.12</v>
      </c>
      <c r="I35" s="1997" t="n">
        <v>86.73</v>
      </c>
      <c r="J35" s="514" t="n">
        <f aca="false">I35/H35</f>
        <v>0.105367382641656</v>
      </c>
      <c r="K35" s="853" t="n">
        <v>94.4</v>
      </c>
      <c r="L35" s="2000"/>
      <c r="M35" s="1997"/>
      <c r="N35" s="1997"/>
      <c r="O35" s="1997"/>
      <c r="P35" s="1997"/>
      <c r="Q35" s="1997"/>
      <c r="R35" s="1997"/>
      <c r="S35" s="1997"/>
      <c r="T35" s="1997"/>
      <c r="U35" s="2000" t="n">
        <f aca="false">AA35+AF35</f>
        <v>562.58</v>
      </c>
      <c r="V35" s="1997" t="n">
        <f aca="false">U35+Y35</f>
        <v>644.99</v>
      </c>
      <c r="W35" s="1997" t="n">
        <f aca="false">AC35+AJ35</f>
        <v>371.15</v>
      </c>
      <c r="X35" s="1997" t="n">
        <f aca="false">U35-W35</f>
        <v>191.43</v>
      </c>
      <c r="Y35" s="1997" t="n">
        <f aca="false">AD35+AK35</f>
        <v>82.41</v>
      </c>
      <c r="Z35" s="1319" t="n">
        <f aca="false">Y35/V35</f>
        <v>0.127769422781749</v>
      </c>
      <c r="AA35" s="2052" t="n">
        <v>12.47</v>
      </c>
      <c r="AB35" s="1997" t="n">
        <v>13.67</v>
      </c>
      <c r="AC35" s="2017" t="n">
        <f aca="false">AA35</f>
        <v>12.47</v>
      </c>
      <c r="AD35" s="1997" t="n">
        <f aca="false">AB35-AA35</f>
        <v>1.2</v>
      </c>
      <c r="AE35" s="514" t="n">
        <f aca="false">AD35/AB35</f>
        <v>0.0877834674469641</v>
      </c>
      <c r="AF35" s="2123" t="n">
        <v>550.11</v>
      </c>
      <c r="AG35" s="2124" t="n">
        <f aca="false">AI35+AJ35</f>
        <v>631.32</v>
      </c>
      <c r="AH35" s="2125" t="n">
        <f aca="false">AF35-AJ35</f>
        <v>191.43</v>
      </c>
      <c r="AI35" s="1509" t="n">
        <f aca="false">AH35+AK35</f>
        <v>272.64</v>
      </c>
      <c r="AJ35" s="1478" t="n">
        <v>358.68</v>
      </c>
      <c r="AK35" s="2044" t="n">
        <f aca="false">I35-AD35-AP35</f>
        <v>81.21</v>
      </c>
      <c r="AL35" s="2126" t="n">
        <f aca="false">AK35/AG35</f>
        <v>0.128635240448584</v>
      </c>
      <c r="AM35" s="2123" t="n">
        <v>79.41</v>
      </c>
      <c r="AN35" s="2124" t="n">
        <v>83.73</v>
      </c>
      <c r="AO35" s="1478" t="n">
        <f aca="false">AM35</f>
        <v>79.41</v>
      </c>
      <c r="AP35" s="1478" t="n">
        <f aca="false">AN35-AM35</f>
        <v>4.32000000000001</v>
      </c>
      <c r="AQ35" s="2128" t="n">
        <f aca="false">AP35/AN35</f>
        <v>0.0515944106055178</v>
      </c>
      <c r="AR35" s="1509" t="n">
        <f aca="false">AH35</f>
        <v>191.43</v>
      </c>
      <c r="AS35" s="1509" t="n">
        <f aca="false">AR35-AT35-AW35</f>
        <v>37.21</v>
      </c>
      <c r="AT35" s="1509" t="n">
        <f aca="false">AY35-BB35</f>
        <v>137.45</v>
      </c>
      <c r="AU35" s="1509" t="n">
        <f aca="false">AV35-AT35</f>
        <v>114.43</v>
      </c>
      <c r="AV35" s="1509" t="n">
        <v>251.88</v>
      </c>
      <c r="AW35" s="1509" t="n">
        <v>16.77</v>
      </c>
      <c r="AX35" s="1509" t="n">
        <v>2.13</v>
      </c>
      <c r="AY35" s="1509" t="n">
        <v>137.01</v>
      </c>
      <c r="AZ35" s="2003"/>
      <c r="BA35" s="2154" t="n">
        <f aca="false">BB35+BE35</f>
        <v>1.48</v>
      </c>
      <c r="BB35" s="1479" t="n">
        <f aca="false">BC35-BD35</f>
        <v>-0.44</v>
      </c>
      <c r="BC35" s="2023" t="n">
        <v>9.1</v>
      </c>
      <c r="BD35" s="2023" t="n">
        <v>9.54</v>
      </c>
      <c r="BE35" s="1479" t="n">
        <f aca="false">BF35-BG35</f>
        <v>1.92</v>
      </c>
      <c r="BF35" s="2023" t="n">
        <v>2.98</v>
      </c>
      <c r="BG35" s="2023" t="n">
        <v>1.06</v>
      </c>
      <c r="BH35" s="2023"/>
      <c r="BI35" s="2023"/>
      <c r="BJ35" s="2023"/>
      <c r="BK35" s="1478" t="n">
        <v>-13.27</v>
      </c>
      <c r="BL35" s="1478"/>
      <c r="BM35" s="1478"/>
      <c r="BN35" s="1478" t="n">
        <v>-0.62</v>
      </c>
      <c r="BP35" s="1478"/>
      <c r="BQ35" s="2007"/>
      <c r="BR35" s="2008"/>
      <c r="BS35" s="2008"/>
      <c r="BT35" s="2009"/>
      <c r="BU35" s="2017" t="n">
        <f aca="false">BB35</f>
        <v>-0.44</v>
      </c>
      <c r="BV35" s="1478" t="n">
        <v>-0.25</v>
      </c>
      <c r="BW35" s="1478"/>
      <c r="BX35" s="2007"/>
      <c r="BY35" s="1478" t="n">
        <v>450.56</v>
      </c>
      <c r="BZ35" s="1509" t="n">
        <f aca="false">BY35+CD35</f>
        <v>452.48</v>
      </c>
      <c r="CA35" s="2008" t="n">
        <f aca="false">AJ35</f>
        <v>358.68</v>
      </c>
      <c r="CB35" s="1509" t="n">
        <f aca="false">AO35</f>
        <v>79.41</v>
      </c>
      <c r="CC35" s="2009"/>
      <c r="CD35" s="2015" t="n">
        <f aca="false">BE35</f>
        <v>1.92</v>
      </c>
      <c r="CE35" s="1479" t="n">
        <f aca="false">CF35+CL35</f>
        <v>313.73</v>
      </c>
      <c r="CF35" s="2007" t="n">
        <v>201.25</v>
      </c>
      <c r="CG35" s="1499" t="n">
        <f aca="false">K35</f>
        <v>94.4</v>
      </c>
      <c r="CH35" s="2017"/>
      <c r="CI35" s="2017"/>
      <c r="CJ35" s="2018"/>
      <c r="CK35" s="2018"/>
      <c r="CL35" s="1478" t="n">
        <v>112.48</v>
      </c>
      <c r="CM35" s="2018"/>
      <c r="CN35" s="2018"/>
      <c r="CO35" s="1478"/>
      <c r="CP35" s="2017"/>
      <c r="CQ35" s="2103" t="n">
        <v>111.49</v>
      </c>
      <c r="CR35" s="2017"/>
      <c r="CS35" s="2015"/>
      <c r="CT35" s="2019" t="n">
        <v>179.77</v>
      </c>
      <c r="CU35" s="2017"/>
      <c r="CV35" s="2017" t="n">
        <v>-13.45</v>
      </c>
      <c r="CW35" s="2023"/>
      <c r="CX35" s="2023" t="n">
        <v>33.85</v>
      </c>
      <c r="CY35" s="2023"/>
      <c r="CZ35" s="2023"/>
      <c r="DA35" s="2024"/>
      <c r="DB35" s="1478" t="n">
        <v>528.06</v>
      </c>
      <c r="DC35" s="1478" t="n">
        <v>76.1</v>
      </c>
      <c r="DD35" s="1997" t="n">
        <f aca="false">DC35+DJ35</f>
        <v>78.23</v>
      </c>
      <c r="DE35" s="1478" t="n">
        <v>81.4</v>
      </c>
      <c r="DF35" s="1478"/>
      <c r="DG35" s="1997" t="n">
        <v>-6.68</v>
      </c>
      <c r="DH35" s="1994"/>
      <c r="DI35" s="1995" t="n">
        <f aca="false">DC35+AW35</f>
        <v>92.87</v>
      </c>
      <c r="DJ35" s="1995" t="n">
        <f aca="false">AX35</f>
        <v>2.13</v>
      </c>
      <c r="DK35" s="1997" t="n">
        <v>19.51</v>
      </c>
      <c r="DL35" s="2025"/>
      <c r="DM35" s="111"/>
      <c r="DN35" s="111"/>
      <c r="DO35" s="111"/>
    </row>
    <row r="36" s="485" customFormat="true" ht="12" hidden="false" customHeight="false" outlineLevel="0" collapsed="false">
      <c r="A36" s="31" t="n">
        <f aca="false">A35+1</f>
        <v>1973</v>
      </c>
      <c r="B36" s="395"/>
      <c r="C36" s="395"/>
      <c r="D36" s="432"/>
      <c r="E36" s="384"/>
      <c r="F36" s="2031"/>
      <c r="G36" s="395"/>
      <c r="H36" s="1997"/>
      <c r="I36" s="1997" t="n">
        <v>95.98</v>
      </c>
      <c r="J36" s="1997"/>
      <c r="K36" s="853"/>
      <c r="L36" s="2000"/>
      <c r="M36" s="1997"/>
      <c r="N36" s="1997"/>
      <c r="O36" s="1997"/>
      <c r="P36" s="1997"/>
      <c r="Q36" s="1997"/>
      <c r="R36" s="1997"/>
      <c r="S36" s="1997"/>
      <c r="T36" s="1997"/>
      <c r="U36" s="2000" t="n">
        <f aca="false">AA36+AF36</f>
        <v>626.37</v>
      </c>
      <c r="V36" s="1997" t="n">
        <f aca="false">U36+Y36</f>
        <v>717.5</v>
      </c>
      <c r="W36" s="1997" t="n">
        <f aca="false">AC36+AJ36</f>
        <v>420.15</v>
      </c>
      <c r="X36" s="1997" t="n">
        <f aca="false">U36-W36</f>
        <v>206.22</v>
      </c>
      <c r="Y36" s="1997" t="n">
        <f aca="false">AD36+AK36</f>
        <v>91.13</v>
      </c>
      <c r="Z36" s="1319" t="n">
        <f aca="false">Y36/V36</f>
        <v>0.127010452961673</v>
      </c>
      <c r="AA36" s="2052" t="n">
        <v>14.81</v>
      </c>
      <c r="AB36" s="1997" t="n">
        <v>16.14</v>
      </c>
      <c r="AC36" s="2017" t="n">
        <f aca="false">AA36</f>
        <v>14.81</v>
      </c>
      <c r="AD36" s="1997" t="n">
        <f aca="false">AB36-AA36</f>
        <v>1.33</v>
      </c>
      <c r="AE36" s="514" t="n">
        <f aca="false">AD36/AB36</f>
        <v>0.0824039653035936</v>
      </c>
      <c r="AF36" s="2123" t="n">
        <v>611.56</v>
      </c>
      <c r="AG36" s="2124" t="n">
        <f aca="false">AI36+AJ36</f>
        <v>701.36</v>
      </c>
      <c r="AH36" s="2125" t="n">
        <f aca="false">AF36-AJ36</f>
        <v>206.22</v>
      </c>
      <c r="AI36" s="1509" t="n">
        <f aca="false">AH36+AK36</f>
        <v>296.02</v>
      </c>
      <c r="AJ36" s="1478" t="n">
        <v>405.34</v>
      </c>
      <c r="AK36" s="2044" t="n">
        <f aca="false">I36-AD36-AP36</f>
        <v>89.8</v>
      </c>
      <c r="AL36" s="2126" t="n">
        <f aca="false">AK36/AG36</f>
        <v>0.128036956769705</v>
      </c>
      <c r="AM36" s="2123" t="n">
        <v>92.48</v>
      </c>
      <c r="AN36" s="2124" t="n">
        <v>97.33</v>
      </c>
      <c r="AO36" s="1478" t="n">
        <f aca="false">AM36</f>
        <v>92.48</v>
      </c>
      <c r="AP36" s="1478" t="n">
        <f aca="false">AN36-AM36</f>
        <v>4.84999999999999</v>
      </c>
      <c r="AQ36" s="2128" t="n">
        <f aca="false">AP36/AN36</f>
        <v>0.0498304736463577</v>
      </c>
      <c r="AR36" s="1509" t="n">
        <f aca="false">AH36</f>
        <v>206.22</v>
      </c>
      <c r="AS36" s="1509" t="n">
        <f aca="false">AR36-AT36-AW36</f>
        <v>46.98</v>
      </c>
      <c r="AT36" s="1509" t="n">
        <f aca="false">AY36-BB36</f>
        <v>145.92</v>
      </c>
      <c r="AU36" s="1509" t="n">
        <f aca="false">AV36-AT36</f>
        <v>149.64</v>
      </c>
      <c r="AV36" s="1509" t="n">
        <v>295.56</v>
      </c>
      <c r="AW36" s="1509" t="n">
        <v>13.32</v>
      </c>
      <c r="AX36" s="1509" t="n">
        <v>-0.82</v>
      </c>
      <c r="AY36" s="1509" t="n">
        <v>145.6</v>
      </c>
      <c r="AZ36" s="2003"/>
      <c r="BA36" s="2154" t="n">
        <f aca="false">BB36+BE36</f>
        <v>1.55</v>
      </c>
      <c r="BB36" s="1479" t="n">
        <f aca="false">BC36-BD36</f>
        <v>-0.32</v>
      </c>
      <c r="BC36" s="2023" t="n">
        <v>10.52</v>
      </c>
      <c r="BD36" s="2023" t="n">
        <v>10.84</v>
      </c>
      <c r="BE36" s="1479" t="n">
        <f aca="false">BF36-BG36</f>
        <v>1.87</v>
      </c>
      <c r="BF36" s="2023" t="n">
        <v>3.13</v>
      </c>
      <c r="BG36" s="2023" t="n">
        <v>1.26</v>
      </c>
      <c r="BH36" s="2023"/>
      <c r="BI36" s="2023"/>
      <c r="BJ36" s="2023"/>
      <c r="BK36" s="1478"/>
      <c r="BL36" s="1478"/>
      <c r="BM36" s="1478"/>
      <c r="BN36" s="1478"/>
      <c r="BP36" s="1478"/>
      <c r="BQ36" s="2007"/>
      <c r="BR36" s="2008"/>
      <c r="BS36" s="2008"/>
      <c r="BT36" s="2009"/>
      <c r="BU36" s="2017" t="n">
        <f aca="false">BB36</f>
        <v>-0.32</v>
      </c>
      <c r="BV36" s="1478" t="n">
        <v>-0.63</v>
      </c>
      <c r="BW36" s="1478"/>
      <c r="BX36" s="2007"/>
      <c r="BY36" s="1478" t="n">
        <v>512.63</v>
      </c>
      <c r="BZ36" s="1509" t="n">
        <f aca="false">BY36+CD36</f>
        <v>514.5</v>
      </c>
      <c r="CA36" s="2008" t="n">
        <f aca="false">AJ36</f>
        <v>405.34</v>
      </c>
      <c r="CB36" s="1509" t="n">
        <f aca="false">AO36</f>
        <v>92.48</v>
      </c>
      <c r="CC36" s="2009"/>
      <c r="CD36" s="2015" t="n">
        <f aca="false">BE36</f>
        <v>1.87</v>
      </c>
      <c r="CE36" s="1479" t="n">
        <f aca="false">CF36+CL36</f>
        <v>370.36</v>
      </c>
      <c r="CF36" s="2007" t="n">
        <v>236.88</v>
      </c>
      <c r="CG36" s="1499"/>
      <c r="CH36" s="2017"/>
      <c r="CI36" s="2017"/>
      <c r="CJ36" s="2018"/>
      <c r="CK36" s="2018"/>
      <c r="CL36" s="1478" t="n">
        <v>133.48</v>
      </c>
      <c r="CM36" s="2018"/>
      <c r="CN36" s="2018"/>
      <c r="CO36" s="1478"/>
      <c r="CP36" s="2017"/>
      <c r="CQ36" s="2103" t="n">
        <v>124.44</v>
      </c>
      <c r="CR36" s="2017"/>
      <c r="CS36" s="2015"/>
      <c r="CT36" s="2019" t="n">
        <v>218.99</v>
      </c>
      <c r="CU36" s="2017"/>
      <c r="CV36" s="2017" t="n">
        <v>-14.43</v>
      </c>
      <c r="CW36" s="2023"/>
      <c r="CX36" s="2023" t="n">
        <v>35.13</v>
      </c>
      <c r="CY36" s="2023"/>
      <c r="CZ36" s="2023"/>
      <c r="DA36" s="2024"/>
      <c r="DB36" s="1478" t="n">
        <v>575.43</v>
      </c>
      <c r="DC36" s="1478" t="n">
        <v>79.84</v>
      </c>
      <c r="DD36" s="1997" t="n">
        <f aca="false">DC36+DJ36</f>
        <v>79.02</v>
      </c>
      <c r="DE36" s="1478" t="n">
        <v>85.4</v>
      </c>
      <c r="DF36" s="1478"/>
      <c r="DG36" s="1997" t="n">
        <v>-7.79</v>
      </c>
      <c r="DH36" s="1994"/>
      <c r="DI36" s="1995" t="n">
        <f aca="false">DC36+AW36</f>
        <v>93.16</v>
      </c>
      <c r="DJ36" s="1995" t="n">
        <f aca="false">AX36</f>
        <v>-0.82</v>
      </c>
      <c r="DK36" s="1997" t="n">
        <v>21.61</v>
      </c>
      <c r="DL36" s="2025"/>
      <c r="DM36" s="111"/>
      <c r="DN36" s="111"/>
      <c r="DO36" s="111"/>
    </row>
    <row r="37" s="485" customFormat="true" ht="12" hidden="false" customHeight="false" outlineLevel="0" collapsed="false">
      <c r="A37" s="31" t="n">
        <f aca="false">A36+1</f>
        <v>1974</v>
      </c>
      <c r="B37" s="395"/>
      <c r="C37" s="395"/>
      <c r="D37" s="432"/>
      <c r="E37" s="384"/>
      <c r="F37" s="2031"/>
      <c r="G37" s="395"/>
      <c r="H37" s="1997"/>
      <c r="I37" s="1997" t="n">
        <v>107.78</v>
      </c>
      <c r="J37" s="1997"/>
      <c r="K37" s="853"/>
      <c r="L37" s="2000"/>
      <c r="M37" s="1997"/>
      <c r="N37" s="1997"/>
      <c r="O37" s="1997"/>
      <c r="P37" s="1997"/>
      <c r="Q37" s="1997"/>
      <c r="R37" s="1997"/>
      <c r="S37" s="1997"/>
      <c r="T37" s="1997"/>
      <c r="U37" s="2000" t="n">
        <f aca="false">AA37+AF37</f>
        <v>662.49</v>
      </c>
      <c r="V37" s="1997" t="n">
        <f aca="false">U37+Y37</f>
        <v>764.81</v>
      </c>
      <c r="W37" s="1997" t="n">
        <f aca="false">AC37+AJ37</f>
        <v>459.12</v>
      </c>
      <c r="X37" s="1997" t="n">
        <f aca="false">U37-W37</f>
        <v>203.37</v>
      </c>
      <c r="Y37" s="1997" t="n">
        <f aca="false">AD37+AK37</f>
        <v>102.32</v>
      </c>
      <c r="Z37" s="1319" t="n">
        <f aca="false">Y37/V37</f>
        <v>0.133784861599613</v>
      </c>
      <c r="AA37" s="2052" t="n">
        <v>16.62</v>
      </c>
      <c r="AB37" s="1997" t="n">
        <v>18.11</v>
      </c>
      <c r="AC37" s="2017" t="n">
        <f aca="false">AA37</f>
        <v>16.62</v>
      </c>
      <c r="AD37" s="1997" t="n">
        <f aca="false">AB37-AA37</f>
        <v>1.49</v>
      </c>
      <c r="AE37" s="514" t="n">
        <f aca="false">AD37/AB37</f>
        <v>0.082274986195472</v>
      </c>
      <c r="AF37" s="2123" t="n">
        <v>645.87</v>
      </c>
      <c r="AG37" s="2124" t="n">
        <f aca="false">AI37+AJ37</f>
        <v>746.7</v>
      </c>
      <c r="AH37" s="2125" t="n">
        <f aca="false">AF37-AJ37</f>
        <v>203.37</v>
      </c>
      <c r="AI37" s="1509" t="n">
        <f aca="false">AH37+AK37</f>
        <v>304.2</v>
      </c>
      <c r="AJ37" s="1478" t="n">
        <v>442.5</v>
      </c>
      <c r="AK37" s="2044" t="n">
        <f aca="false">I37-AD37-AP37</f>
        <v>100.83</v>
      </c>
      <c r="AL37" s="2126" t="n">
        <f aca="false">AK37/AG37</f>
        <v>0.135034150261149</v>
      </c>
      <c r="AM37" s="2123" t="n">
        <v>107.48</v>
      </c>
      <c r="AN37" s="2124" t="n">
        <v>112.94</v>
      </c>
      <c r="AO37" s="1478" t="n">
        <f aca="false">AM37</f>
        <v>107.48</v>
      </c>
      <c r="AP37" s="1478" t="n">
        <f aca="false">AN37-AM37</f>
        <v>5.45999999999999</v>
      </c>
      <c r="AQ37" s="2128" t="n">
        <f aca="false">AP37/AN37</f>
        <v>0.0483442535859748</v>
      </c>
      <c r="AR37" s="1509" t="n">
        <f aca="false">AH37</f>
        <v>203.37</v>
      </c>
      <c r="AS37" s="1509" t="n">
        <f aca="false">AR37-AT37-AW37</f>
        <v>46.79</v>
      </c>
      <c r="AT37" s="1509" t="n">
        <f aca="false">AY37-BB37</f>
        <v>150.78</v>
      </c>
      <c r="AU37" s="1509" t="n">
        <f aca="false">AV37-AT37</f>
        <v>163.89</v>
      </c>
      <c r="AV37" s="1509" t="n">
        <v>314.67</v>
      </c>
      <c r="AW37" s="1509" t="n">
        <v>5.8</v>
      </c>
      <c r="AX37" s="1509" t="n">
        <v>-11.39</v>
      </c>
      <c r="AY37" s="1509" t="n">
        <v>148.53</v>
      </c>
      <c r="AZ37" s="2003"/>
      <c r="BA37" s="1482"/>
      <c r="BB37" s="1479" t="n">
        <f aca="false">BC37-BD37</f>
        <v>-2.25</v>
      </c>
      <c r="BC37" s="2023" t="n">
        <v>12.5</v>
      </c>
      <c r="BD37" s="2023" t="n">
        <v>14.75</v>
      </c>
      <c r="BE37" s="1479"/>
      <c r="BF37" s="2023"/>
      <c r="BG37" s="2023"/>
      <c r="BH37" s="2023"/>
      <c r="BI37" s="2023"/>
      <c r="BJ37" s="2023"/>
      <c r="BK37" s="1478"/>
      <c r="BL37" s="1478"/>
      <c r="BM37" s="1478"/>
      <c r="BN37" s="1478"/>
      <c r="BP37" s="1478"/>
      <c r="BQ37" s="2007"/>
      <c r="BR37" s="2008"/>
      <c r="BS37" s="2008"/>
      <c r="BT37" s="2009"/>
      <c r="BU37" s="2017" t="n">
        <f aca="false">BB37</f>
        <v>-2.25</v>
      </c>
      <c r="BV37" s="1478" t="n">
        <v>1.39</v>
      </c>
      <c r="BW37" s="1478"/>
      <c r="BX37" s="2007"/>
      <c r="BY37" s="1478" t="n">
        <v>566.6</v>
      </c>
      <c r="BZ37" s="1509"/>
      <c r="CA37" s="2008" t="n">
        <f aca="false">AJ37</f>
        <v>442.5</v>
      </c>
      <c r="CB37" s="1509" t="n">
        <f aca="false">AO37</f>
        <v>107.48</v>
      </c>
      <c r="CC37" s="2009"/>
      <c r="CD37" s="2015"/>
      <c r="CE37" s="1479" t="n">
        <f aca="false">CF37+CL37</f>
        <v>402.98</v>
      </c>
      <c r="CF37" s="2007" t="n">
        <v>253.42</v>
      </c>
      <c r="CG37" s="1499"/>
      <c r="CH37" s="2017"/>
      <c r="CI37" s="2017"/>
      <c r="CJ37" s="2018"/>
      <c r="CK37" s="2018"/>
      <c r="CL37" s="1478" t="n">
        <v>149.56</v>
      </c>
      <c r="CM37" s="2018"/>
      <c r="CN37" s="2018"/>
      <c r="CO37" s="1478"/>
      <c r="CP37" s="2017"/>
      <c r="CQ37" s="2103" t="n">
        <v>142.91</v>
      </c>
      <c r="CR37" s="2017"/>
      <c r="CS37" s="2015"/>
      <c r="CT37" s="2019" t="n">
        <v>228.92</v>
      </c>
      <c r="CU37" s="2017"/>
      <c r="CV37" s="2017" t="n">
        <v>-16.7</v>
      </c>
      <c r="CW37" s="2023"/>
      <c r="CX37" s="2023" t="n">
        <v>40.13</v>
      </c>
      <c r="CY37" s="2023"/>
      <c r="CZ37" s="2023"/>
      <c r="DA37" s="2024"/>
      <c r="DB37" s="1478" t="n">
        <v>624.64</v>
      </c>
      <c r="DC37" s="1478" t="n">
        <v>91</v>
      </c>
      <c r="DD37" s="1997" t="n">
        <f aca="false">DC37+DJ37</f>
        <v>79.61</v>
      </c>
      <c r="DE37" s="1478" t="n">
        <v>98.9</v>
      </c>
      <c r="DF37" s="1478"/>
      <c r="DG37" s="1997" t="n">
        <v>-8.11</v>
      </c>
      <c r="DH37" s="1994"/>
      <c r="DI37" s="1995" t="n">
        <f aca="false">DC37+AW37</f>
        <v>96.8</v>
      </c>
      <c r="DJ37" s="1995" t="n">
        <f aca="false">AX37</f>
        <v>-11.39</v>
      </c>
      <c r="DK37" s="1997" t="n">
        <v>24.13</v>
      </c>
      <c r="DL37" s="2025"/>
      <c r="DM37" s="111"/>
      <c r="DN37" s="111"/>
      <c r="DO37" s="111"/>
    </row>
    <row r="38" s="485" customFormat="true" ht="12" hidden="false" customHeight="false" outlineLevel="0" collapsed="false">
      <c r="A38" s="31" t="n">
        <f aca="false">A37+1</f>
        <v>1975</v>
      </c>
      <c r="B38" s="395"/>
      <c r="C38" s="395"/>
      <c r="D38" s="432"/>
      <c r="E38" s="384"/>
      <c r="F38" s="2031"/>
      <c r="G38" s="395"/>
      <c r="H38" s="387"/>
      <c r="I38" s="1997" t="n">
        <v>117.24</v>
      </c>
      <c r="J38" s="1997"/>
      <c r="K38" s="853"/>
      <c r="L38" s="2000"/>
      <c r="M38" s="1997"/>
      <c r="N38" s="1997"/>
      <c r="O38" s="1997"/>
      <c r="P38" s="1997"/>
      <c r="Q38" s="1997"/>
      <c r="R38" s="1997"/>
      <c r="S38" s="1997"/>
      <c r="T38" s="1997"/>
      <c r="U38" s="2000" t="n">
        <f aca="false">AA38+AF38</f>
        <v>682.64</v>
      </c>
      <c r="V38" s="1997" t="n">
        <f aca="false">U38+Y38</f>
        <v>793.88</v>
      </c>
      <c r="W38" s="1997" t="n">
        <f aca="false">AC38+AJ38</f>
        <v>474.38</v>
      </c>
      <c r="X38" s="1997" t="n">
        <f aca="false">U38-W38</f>
        <v>208.26</v>
      </c>
      <c r="Y38" s="1997" t="n">
        <f aca="false">AD38+AK38</f>
        <v>111.24</v>
      </c>
      <c r="Z38" s="1319" t="n">
        <f aca="false">Y38/V38</f>
        <v>0.140121932785811</v>
      </c>
      <c r="AA38" s="1997" t="n">
        <v>18.1</v>
      </c>
      <c r="AB38" s="1997" t="n">
        <v>19.72</v>
      </c>
      <c r="AC38" s="2017" t="n">
        <f aca="false">AA38</f>
        <v>18.1</v>
      </c>
      <c r="AD38" s="1997" t="n">
        <f aca="false">AB38-AA38</f>
        <v>1.62</v>
      </c>
      <c r="AE38" s="514" t="n">
        <f aca="false">AD38/AB38</f>
        <v>0.0821501014198782</v>
      </c>
      <c r="AF38" s="2123" t="n">
        <v>664.54</v>
      </c>
      <c r="AG38" s="2124" t="n">
        <f aca="false">AI38+AJ38</f>
        <v>774.16</v>
      </c>
      <c r="AH38" s="2125" t="n">
        <f aca="false">AF38-AJ38</f>
        <v>208.26</v>
      </c>
      <c r="AI38" s="1509" t="n">
        <f aca="false">AH38+AK38</f>
        <v>317.88</v>
      </c>
      <c r="AJ38" s="1478" t="n">
        <v>456.28</v>
      </c>
      <c r="AK38" s="2044" t="n">
        <f aca="false">I38-AD38-AP38</f>
        <v>109.62</v>
      </c>
      <c r="AL38" s="2126" t="n">
        <f aca="false">AK38/AG38</f>
        <v>0.141598635940891</v>
      </c>
      <c r="AM38" s="2123" t="n">
        <v>116.86</v>
      </c>
      <c r="AN38" s="2124" t="n">
        <v>122.86</v>
      </c>
      <c r="AO38" s="1478" t="n">
        <f aca="false">AM38</f>
        <v>116.86</v>
      </c>
      <c r="AP38" s="1478" t="n">
        <f aca="false">AN38-AM38</f>
        <v>6</v>
      </c>
      <c r="AQ38" s="2128" t="n">
        <f aca="false">AP38/AN38</f>
        <v>0.0488360735796842</v>
      </c>
      <c r="AR38" s="1509" t="n">
        <f aca="false">AH38</f>
        <v>208.26</v>
      </c>
      <c r="AS38" s="1509" t="n">
        <f aca="false">AR38-AT38-AW38</f>
        <v>45</v>
      </c>
      <c r="AT38" s="1509" t="n">
        <f aca="false">AY38-BB38</f>
        <v>162.54</v>
      </c>
      <c r="AU38" s="1509" t="n">
        <f aca="false">AV38-AT38</f>
        <v>144.94</v>
      </c>
      <c r="AV38" s="1509" t="n">
        <v>307.48</v>
      </c>
      <c r="AW38" s="1509" t="n">
        <v>0.72</v>
      </c>
      <c r="AX38" s="1509" t="n">
        <v>-19.54</v>
      </c>
      <c r="AY38" s="1509" t="n">
        <v>161.26</v>
      </c>
      <c r="AZ38" s="2003"/>
      <c r="BA38" s="1482"/>
      <c r="BB38" s="1479" t="n">
        <f aca="false">BC38-BD38</f>
        <v>-1.28</v>
      </c>
      <c r="BC38" s="2023" t="n">
        <v>12.27</v>
      </c>
      <c r="BD38" s="2023" t="n">
        <v>13.55</v>
      </c>
      <c r="BE38" s="1479"/>
      <c r="BF38" s="2023"/>
      <c r="BG38" s="2023"/>
      <c r="BH38" s="2023"/>
      <c r="BI38" s="2023"/>
      <c r="BJ38" s="2023"/>
      <c r="BK38" s="1478"/>
      <c r="BL38" s="1478"/>
      <c r="BM38" s="1478"/>
      <c r="BN38" s="1478"/>
      <c r="BP38" s="1478"/>
      <c r="BQ38" s="2007"/>
      <c r="BR38" s="2008"/>
      <c r="BS38" s="2008"/>
      <c r="BT38" s="2009"/>
      <c r="BU38" s="2017" t="n">
        <f aca="false">BB38</f>
        <v>-1.28</v>
      </c>
      <c r="BV38" s="2044" t="n">
        <v>4.33</v>
      </c>
      <c r="BW38" s="1478"/>
      <c r="BX38" s="2007"/>
      <c r="BY38" s="1478" t="n">
        <v>591.24</v>
      </c>
      <c r="BZ38" s="1509"/>
      <c r="CA38" s="2008" t="n">
        <f aca="false">AJ38</f>
        <v>456.28</v>
      </c>
      <c r="CB38" s="1509" t="n">
        <f aca="false">AO38</f>
        <v>116.86</v>
      </c>
      <c r="CC38" s="2009"/>
      <c r="CD38" s="2015"/>
      <c r="CE38" s="1479" t="n">
        <f aca="false">CF38+CL38</f>
        <v>421.36</v>
      </c>
      <c r="CF38" s="2007" t="n">
        <v>254.1</v>
      </c>
      <c r="CG38" s="1499"/>
      <c r="CH38" s="2017"/>
      <c r="CI38" s="2017"/>
      <c r="CJ38" s="2018"/>
      <c r="CK38" s="2018"/>
      <c r="CL38" s="1478" t="n">
        <v>167.26</v>
      </c>
      <c r="CM38" s="2018"/>
      <c r="CN38" s="2018"/>
      <c r="CO38" s="1478"/>
      <c r="CP38" s="2017"/>
      <c r="CQ38" s="2103" t="n">
        <v>177.28</v>
      </c>
      <c r="CR38" s="2017"/>
      <c r="CS38" s="2015"/>
      <c r="CT38" s="2019" t="n">
        <v>203.53</v>
      </c>
      <c r="CU38" s="2017"/>
      <c r="CV38" s="2017" t="n">
        <v>-16.62</v>
      </c>
      <c r="CW38" s="2023"/>
      <c r="CX38" s="2023" t="n">
        <v>40.33</v>
      </c>
      <c r="CY38" s="2023"/>
      <c r="CZ38" s="2023"/>
      <c r="DA38" s="2024"/>
      <c r="DB38" s="1478" t="n">
        <v>687.49</v>
      </c>
      <c r="DC38" s="1478" t="n">
        <v>104.04</v>
      </c>
      <c r="DD38" s="1997" t="n">
        <f aca="false">DC38+DJ38</f>
        <v>84.5</v>
      </c>
      <c r="DE38" s="1478" t="n">
        <v>112.8</v>
      </c>
      <c r="DF38" s="1478"/>
      <c r="DG38" s="1997" t="n">
        <v>-8.09</v>
      </c>
      <c r="DH38" s="1994"/>
      <c r="DI38" s="1995" t="n">
        <f aca="false">DC38+AW38</f>
        <v>104.76</v>
      </c>
      <c r="DJ38" s="1995" t="n">
        <f aca="false">AX38</f>
        <v>-19.54</v>
      </c>
      <c r="DK38" s="1997" t="n">
        <v>23.91</v>
      </c>
      <c r="DL38" s="2025"/>
      <c r="DM38" s="111"/>
      <c r="DN38" s="111"/>
      <c r="DO38" s="111"/>
    </row>
    <row r="39" s="485" customFormat="true" ht="12" hidden="false" customHeight="false" outlineLevel="0" collapsed="false">
      <c r="A39" s="31" t="n">
        <f aca="false">A38+1</f>
        <v>1976</v>
      </c>
      <c r="B39" s="395"/>
      <c r="C39" s="395"/>
      <c r="D39" s="432"/>
      <c r="E39" s="384"/>
      <c r="F39" s="2031"/>
      <c r="G39" s="395"/>
      <c r="H39" s="1997"/>
      <c r="I39" s="1997" t="n">
        <v>125.77</v>
      </c>
      <c r="J39" s="1997"/>
      <c r="K39" s="853"/>
      <c r="L39" s="2000"/>
      <c r="M39" s="1997"/>
      <c r="N39" s="1997"/>
      <c r="O39" s="1997"/>
      <c r="P39" s="1997"/>
      <c r="Q39" s="1997"/>
      <c r="R39" s="1997"/>
      <c r="S39" s="1997"/>
      <c r="T39" s="1997"/>
      <c r="U39" s="2000" t="n">
        <f aca="false">AA39+AF39</f>
        <v>751.68</v>
      </c>
      <c r="V39" s="1997" t="n">
        <f aca="false">U39+Y39</f>
        <v>870.9</v>
      </c>
      <c r="W39" s="1997" t="n">
        <f aca="false">AC39+AJ39</f>
        <v>514.68</v>
      </c>
      <c r="X39" s="1997" t="n">
        <f aca="false">U39-W39</f>
        <v>237</v>
      </c>
      <c r="Y39" s="1997" t="n">
        <f aca="false">AD39+AK39</f>
        <v>119.22</v>
      </c>
      <c r="Z39" s="1319" t="n">
        <f aca="false">Y39/V39</f>
        <v>0.136892869445401</v>
      </c>
      <c r="AA39" s="1997" t="n">
        <v>19.98</v>
      </c>
      <c r="AB39" s="1997" t="n">
        <v>21.73</v>
      </c>
      <c r="AC39" s="2017" t="n">
        <f aca="false">AA39</f>
        <v>19.98</v>
      </c>
      <c r="AD39" s="1997" t="n">
        <f aca="false">AB39-AA39</f>
        <v>1.75</v>
      </c>
      <c r="AE39" s="514" t="n">
        <f aca="false">AD39/AB39</f>
        <v>0.0805338242061666</v>
      </c>
      <c r="AF39" s="2123" t="n">
        <v>731.7</v>
      </c>
      <c r="AG39" s="2124" t="n">
        <f aca="false">AI39+AJ39</f>
        <v>849.17</v>
      </c>
      <c r="AH39" s="2125" t="n">
        <f aca="false">AF39-AJ39</f>
        <v>237</v>
      </c>
      <c r="AI39" s="1509" t="n">
        <f aca="false">AH39+AK39</f>
        <v>354.47</v>
      </c>
      <c r="AJ39" s="1478" t="n">
        <v>494.7</v>
      </c>
      <c r="AK39" s="2044" t="n">
        <f aca="false">I39-AD39-AP39</f>
        <v>117.47</v>
      </c>
      <c r="AL39" s="2126" t="n">
        <f aca="false">AK39/AG39</f>
        <v>0.138335080137075</v>
      </c>
      <c r="AM39" s="2123" t="n">
        <v>123.26</v>
      </c>
      <c r="AN39" s="2124" t="n">
        <v>129.81</v>
      </c>
      <c r="AO39" s="1478" t="n">
        <f aca="false">AM39</f>
        <v>123.26</v>
      </c>
      <c r="AP39" s="1478" t="n">
        <f aca="false">AN39-AM39</f>
        <v>6.55</v>
      </c>
      <c r="AQ39" s="2128" t="n">
        <f aca="false">AP39/AN39</f>
        <v>0.0504583622217086</v>
      </c>
      <c r="AR39" s="1509" t="n">
        <f aca="false">AH39</f>
        <v>237</v>
      </c>
      <c r="AS39" s="1509" t="n">
        <f aca="false">AR39-AT39-AW39</f>
        <v>53</v>
      </c>
      <c r="AT39" s="1509" t="n">
        <f aca="false">AY39-BB39</f>
        <v>171.33</v>
      </c>
      <c r="AU39" s="1509" t="n">
        <f aca="false">AV39-AT39</f>
        <v>162.03</v>
      </c>
      <c r="AV39" s="1509" t="n">
        <v>333.36</v>
      </c>
      <c r="AW39" s="1509" t="n">
        <v>12.67</v>
      </c>
      <c r="AX39" s="1509" t="n">
        <v>-12.35</v>
      </c>
      <c r="AY39" s="1509" t="n">
        <v>172.02</v>
      </c>
      <c r="AZ39" s="2003"/>
      <c r="BA39" s="1482"/>
      <c r="BB39" s="1479" t="n">
        <f aca="false">BC39-BD39</f>
        <v>0.69</v>
      </c>
      <c r="BC39" s="2023" t="n">
        <v>14.68</v>
      </c>
      <c r="BD39" s="2023" t="n">
        <v>13.99</v>
      </c>
      <c r="BE39" s="1479"/>
      <c r="BF39" s="2023"/>
      <c r="BG39" s="2023"/>
      <c r="BH39" s="2023"/>
      <c r="BI39" s="2023"/>
      <c r="BJ39" s="2023"/>
      <c r="BK39" s="1478"/>
      <c r="BL39" s="1478"/>
      <c r="BM39" s="1478"/>
      <c r="BN39" s="1478"/>
      <c r="BP39" s="1478"/>
      <c r="BQ39" s="2007"/>
      <c r="BR39" s="2008"/>
      <c r="BS39" s="2008"/>
      <c r="BT39" s="2009"/>
      <c r="BU39" s="2017"/>
      <c r="BV39" s="1478"/>
      <c r="BW39" s="1478"/>
      <c r="BX39" s="2007"/>
      <c r="BY39" s="1478" t="n">
        <v>637.94</v>
      </c>
      <c r="BZ39" s="1509"/>
      <c r="CA39" s="2008" t="n">
        <f aca="false">AJ39</f>
        <v>494.7</v>
      </c>
      <c r="CB39" s="1509" t="n">
        <f aca="false">AO39</f>
        <v>123.26</v>
      </c>
      <c r="CC39" s="2009"/>
      <c r="CD39" s="2015"/>
      <c r="CE39" s="1479" t="n">
        <f aca="false">CF39+CL39</f>
        <v>473.72</v>
      </c>
      <c r="CF39" s="2007" t="n">
        <v>285.75</v>
      </c>
      <c r="CG39" s="1499"/>
      <c r="CH39" s="2017"/>
      <c r="CI39" s="2017"/>
      <c r="CJ39" s="2018"/>
      <c r="CK39" s="2018"/>
      <c r="CL39" s="1478" t="n">
        <v>187.97</v>
      </c>
      <c r="CM39" s="2018"/>
      <c r="CN39" s="2018"/>
      <c r="CO39" s="1478"/>
      <c r="CP39" s="2017"/>
      <c r="CQ39" s="2103"/>
      <c r="CR39" s="2017"/>
      <c r="CS39" s="2015"/>
      <c r="CT39" s="2019" t="n">
        <v>237.09</v>
      </c>
      <c r="CU39" s="2017"/>
      <c r="CV39" s="2017" t="n">
        <v>-20.35</v>
      </c>
      <c r="CW39" s="2023"/>
      <c r="CX39" s="2023"/>
      <c r="CY39" s="2023"/>
      <c r="CZ39" s="2023"/>
      <c r="DA39" s="2024"/>
      <c r="DB39" s="1478" t="n">
        <v>728.8</v>
      </c>
      <c r="DC39" s="1478" t="n">
        <v>96.93</v>
      </c>
      <c r="DD39" s="1997" t="n">
        <f aca="false">DC39+DJ39</f>
        <v>84.58</v>
      </c>
      <c r="DE39" s="1478" t="n">
        <v>107.1</v>
      </c>
      <c r="DF39" s="1478"/>
      <c r="DG39" s="1997" t="n">
        <v>-10.21</v>
      </c>
      <c r="DH39" s="1994"/>
      <c r="DI39" s="1995" t="n">
        <f aca="false">DC39+AW39</f>
        <v>109.6</v>
      </c>
      <c r="DJ39" s="1995" t="n">
        <f aca="false">AX39</f>
        <v>-12.35</v>
      </c>
      <c r="DK39" s="1997" t="n">
        <v>29.2</v>
      </c>
      <c r="DL39" s="2025"/>
      <c r="DM39" s="111"/>
      <c r="DN39" s="111"/>
      <c r="DO39" s="111"/>
    </row>
    <row r="40" s="485" customFormat="true" ht="12" hidden="false" customHeight="false" outlineLevel="0" collapsed="false">
      <c r="A40" s="31" t="n">
        <f aca="false">A39+1</f>
        <v>1977</v>
      </c>
      <c r="B40" s="395"/>
      <c r="C40" s="392"/>
      <c r="D40" s="432"/>
      <c r="E40" s="384"/>
      <c r="F40" s="2031"/>
      <c r="G40" s="395"/>
      <c r="H40" s="1997"/>
      <c r="I40" s="1997" t="n">
        <v>134.01</v>
      </c>
      <c r="J40" s="1997"/>
      <c r="K40" s="853"/>
      <c r="L40" s="2000"/>
      <c r="M40" s="1997"/>
      <c r="N40" s="1997"/>
      <c r="O40" s="1997"/>
      <c r="P40" s="1997"/>
      <c r="Q40" s="1997"/>
      <c r="R40" s="1997"/>
      <c r="S40" s="1997"/>
      <c r="T40" s="1997"/>
      <c r="U40" s="2000" t="n">
        <f aca="false">AA40+AF40</f>
        <v>801.8</v>
      </c>
      <c r="V40" s="1997" t="n">
        <f aca="false">U40+Y40</f>
        <v>928.65</v>
      </c>
      <c r="W40" s="1997" t="n">
        <f aca="false">AC40+AJ40</f>
        <v>553.82</v>
      </c>
      <c r="X40" s="1997" t="n">
        <f aca="false">U40-W40</f>
        <v>247.98</v>
      </c>
      <c r="Y40" s="1997" t="n">
        <f aca="false">AD40+AK40</f>
        <v>126.85</v>
      </c>
      <c r="Z40" s="1319" t="n">
        <f aca="false">Y40/V40</f>
        <v>0.136596134173262</v>
      </c>
      <c r="AA40" s="1997" t="n">
        <v>22.13</v>
      </c>
      <c r="AB40" s="1997" t="n">
        <v>24.03</v>
      </c>
      <c r="AC40" s="2017" t="n">
        <f aca="false">AA40</f>
        <v>22.13</v>
      </c>
      <c r="AD40" s="1997" t="n">
        <f aca="false">AB40-AA40</f>
        <v>1.9</v>
      </c>
      <c r="AE40" s="514" t="n">
        <f aca="false">AD40/AB40</f>
        <v>0.0790678318768207</v>
      </c>
      <c r="AF40" s="2123" t="n">
        <v>779.67</v>
      </c>
      <c r="AG40" s="2124" t="n">
        <f aca="false">AI40+AJ40</f>
        <v>904.62</v>
      </c>
      <c r="AH40" s="2125" t="n">
        <f aca="false">AF40-AJ40</f>
        <v>247.98</v>
      </c>
      <c r="AI40" s="1509" t="n">
        <f aca="false">AH40+AK40</f>
        <v>372.93</v>
      </c>
      <c r="AJ40" s="1478" t="n">
        <v>531.69</v>
      </c>
      <c r="AK40" s="2044" t="n">
        <f aca="false">I40-AD40-AP40</f>
        <v>124.95</v>
      </c>
      <c r="AL40" s="2126" t="n">
        <f aca="false">AK40/AG40</f>
        <v>0.138124295284208</v>
      </c>
      <c r="AM40" s="2123" t="n">
        <v>131.59</v>
      </c>
      <c r="AN40" s="2124" t="n">
        <v>138.75</v>
      </c>
      <c r="AO40" s="1478" t="n">
        <f aca="false">AM40</f>
        <v>131.59</v>
      </c>
      <c r="AP40" s="1478" t="n">
        <f aca="false">AN40-AM40</f>
        <v>7.16</v>
      </c>
      <c r="AQ40" s="2128" t="n">
        <f aca="false">AP40/AN40</f>
        <v>0.0516036036036036</v>
      </c>
      <c r="AR40" s="1509" t="n">
        <f aca="false">AH40</f>
        <v>247.98</v>
      </c>
      <c r="AS40" s="1509" t="n">
        <f aca="false">AR40-AT40-AW40</f>
        <v>64.5999999999999</v>
      </c>
      <c r="AT40" s="1509" t="n">
        <f aca="false">AY40-BB40</f>
        <v>179.7</v>
      </c>
      <c r="AU40" s="1509" t="n">
        <f aca="false">AV40-AT40</f>
        <v>174.89</v>
      </c>
      <c r="AV40" s="1509" t="n">
        <v>354.59</v>
      </c>
      <c r="AW40" s="1509" t="n">
        <v>3.68</v>
      </c>
      <c r="AX40" s="1509" t="n">
        <v>-16.1</v>
      </c>
      <c r="AY40" s="1509" t="n">
        <v>177.37</v>
      </c>
      <c r="AZ40" s="2003"/>
      <c r="BA40" s="1482"/>
      <c r="BB40" s="1479" t="n">
        <f aca="false">BC40-BD40</f>
        <v>-2.33</v>
      </c>
      <c r="BC40" s="2023" t="n">
        <v>15.82</v>
      </c>
      <c r="BD40" s="2023" t="n">
        <v>18.15</v>
      </c>
      <c r="BE40" s="1479"/>
      <c r="BF40" s="2023"/>
      <c r="BG40" s="2023"/>
      <c r="BH40" s="2023"/>
      <c r="BI40" s="2023"/>
      <c r="BJ40" s="2023"/>
      <c r="BK40" s="1478"/>
      <c r="BL40" s="1478"/>
      <c r="BM40" s="1478"/>
      <c r="BN40" s="1478"/>
      <c r="BP40" s="1478"/>
      <c r="BQ40" s="2007"/>
      <c r="BR40" s="2008"/>
      <c r="BS40" s="2008"/>
      <c r="BT40" s="2009"/>
      <c r="BU40" s="2017"/>
      <c r="BV40" s="1478"/>
      <c r="BW40" s="1478"/>
      <c r="BX40" s="2007"/>
      <c r="BY40" s="1478" t="n">
        <v>685.41</v>
      </c>
      <c r="BZ40" s="1509"/>
      <c r="CA40" s="2008" t="n">
        <f aca="false">AJ40</f>
        <v>531.69</v>
      </c>
      <c r="CB40" s="1509" t="n">
        <f aca="false">AO40</f>
        <v>131.59</v>
      </c>
      <c r="CC40" s="2009"/>
      <c r="CD40" s="2015"/>
      <c r="CE40" s="1479" t="n">
        <f aca="false">CF40+CL40</f>
        <v>517.4</v>
      </c>
      <c r="CF40" s="2007" t="n">
        <v>317.17</v>
      </c>
      <c r="CG40" s="1499"/>
      <c r="CH40" s="2017"/>
      <c r="CI40" s="2017"/>
      <c r="CJ40" s="2018"/>
      <c r="CK40" s="2018"/>
      <c r="CL40" s="1478" t="n">
        <v>200.23</v>
      </c>
      <c r="CM40" s="2018"/>
      <c r="CN40" s="2018"/>
      <c r="CO40" s="1478"/>
      <c r="CP40" s="2017"/>
      <c r="CQ40" s="2129"/>
      <c r="CR40" s="2017"/>
      <c r="CS40" s="2015"/>
      <c r="CT40" s="2019" t="n">
        <v>261.89</v>
      </c>
      <c r="CU40" s="2017"/>
      <c r="CV40" s="2017" t="n">
        <v>-23.37</v>
      </c>
      <c r="CW40" s="2023"/>
      <c r="CX40" s="2023"/>
      <c r="CY40" s="2023"/>
      <c r="CZ40" s="2023"/>
      <c r="DA40" s="2024"/>
      <c r="DB40" s="1478" t="n">
        <v>776.82</v>
      </c>
      <c r="DC40" s="1478" t="n">
        <v>94.69</v>
      </c>
      <c r="DD40" s="1997" t="n">
        <f aca="false">DC40+DJ40</f>
        <v>78.59</v>
      </c>
      <c r="DE40" s="1478" t="n">
        <v>103.9</v>
      </c>
      <c r="DF40" s="1478"/>
      <c r="DG40" s="1997" t="n">
        <v>-11.45</v>
      </c>
      <c r="DH40" s="1994"/>
      <c r="DI40" s="1995" t="n">
        <f aca="false">DC40+AW40</f>
        <v>98.37</v>
      </c>
      <c r="DJ40" s="1995" t="n">
        <f aca="false">AX40</f>
        <v>-16.1</v>
      </c>
      <c r="DK40" s="1997" t="n">
        <v>33.58</v>
      </c>
      <c r="DL40" s="2025"/>
      <c r="DM40" s="111"/>
      <c r="DN40" s="111"/>
      <c r="DO40" s="111"/>
    </row>
    <row r="41" s="485" customFormat="true" ht="12" hidden="false" customHeight="false" outlineLevel="0" collapsed="false">
      <c r="A41" s="31" t="n">
        <f aca="false">A40+1</f>
        <v>1978</v>
      </c>
      <c r="B41" s="395"/>
      <c r="C41" s="395"/>
      <c r="D41" s="432"/>
      <c r="E41" s="384"/>
      <c r="F41" s="2031"/>
      <c r="G41" s="395"/>
      <c r="H41" s="1997"/>
      <c r="I41" s="1997" t="n">
        <v>144.39</v>
      </c>
      <c r="J41" s="1997"/>
      <c r="K41" s="853"/>
      <c r="L41" s="2000"/>
      <c r="M41" s="1997"/>
      <c r="N41" s="1997"/>
      <c r="O41" s="1997"/>
      <c r="P41" s="1997"/>
      <c r="Q41" s="1997"/>
      <c r="R41" s="1997"/>
      <c r="S41" s="1997"/>
      <c r="T41" s="1997"/>
      <c r="U41" s="2000" t="n">
        <f aca="false">AA41+AF41</f>
        <v>860.96</v>
      </c>
      <c r="V41" s="1997" t="n">
        <f aca="false">U41+Y41</f>
        <v>997.47</v>
      </c>
      <c r="W41" s="1997" t="n">
        <f aca="false">AC41+AJ41</f>
        <v>591.4</v>
      </c>
      <c r="X41" s="1997" t="n">
        <f aca="false">U41-W41</f>
        <v>269.56</v>
      </c>
      <c r="Y41" s="1997" t="n">
        <f aca="false">AD41+AK41</f>
        <v>136.51</v>
      </c>
      <c r="Z41" s="1319" t="n">
        <f aca="false">Y41/V41</f>
        <v>0.136856246303147</v>
      </c>
      <c r="AA41" s="1997" t="n">
        <v>24.07</v>
      </c>
      <c r="AB41" s="1997" t="n">
        <v>26.14</v>
      </c>
      <c r="AC41" s="2017" t="n">
        <f aca="false">AA41</f>
        <v>24.07</v>
      </c>
      <c r="AD41" s="1997" t="n">
        <f aca="false">AB41-AA41</f>
        <v>2.07</v>
      </c>
      <c r="AE41" s="514" t="n">
        <f aca="false">AD41/AB41</f>
        <v>0.0791889824024484</v>
      </c>
      <c r="AF41" s="2123" t="n">
        <v>836.89</v>
      </c>
      <c r="AG41" s="2124" t="n">
        <f aca="false">AI41+AJ41</f>
        <v>971.33</v>
      </c>
      <c r="AH41" s="2125" t="n">
        <f aca="false">AF41-AJ41</f>
        <v>269.56</v>
      </c>
      <c r="AI41" s="1509" t="n">
        <f aca="false">AH41+AK41</f>
        <v>404</v>
      </c>
      <c r="AJ41" s="1478" t="n">
        <v>567.33</v>
      </c>
      <c r="AK41" s="2044" t="n">
        <f aca="false">I41-AD41-AP41</f>
        <v>134.44</v>
      </c>
      <c r="AL41" s="2126" t="n">
        <f aca="false">AK41/AG41</f>
        <v>0.138408162004674</v>
      </c>
      <c r="AM41" s="2123" t="n">
        <v>140.34</v>
      </c>
      <c r="AN41" s="2124" t="n">
        <v>148.22</v>
      </c>
      <c r="AO41" s="1478" t="n">
        <f aca="false">AM41</f>
        <v>140.34</v>
      </c>
      <c r="AP41" s="1478" t="n">
        <f aca="false">AN41-AM41</f>
        <v>7.88</v>
      </c>
      <c r="AQ41" s="2128" t="n">
        <f aca="false">AP41/AN41</f>
        <v>0.0531642153555525</v>
      </c>
      <c r="AR41" s="1509" t="n">
        <f aca="false">AH41</f>
        <v>269.56</v>
      </c>
      <c r="AS41" s="1509" t="n">
        <f aca="false">AR41-AT41-AW41</f>
        <v>64.6799999999999</v>
      </c>
      <c r="AT41" s="1509" t="n">
        <f aca="false">AY41-BB41</f>
        <v>183.76</v>
      </c>
      <c r="AU41" s="1509" t="n">
        <f aca="false">AV41-AT41</f>
        <v>193.59</v>
      </c>
      <c r="AV41" s="1509" t="n">
        <v>377.35</v>
      </c>
      <c r="AW41" s="1509" t="n">
        <v>21.12</v>
      </c>
      <c r="AX41" s="1509" t="n">
        <v>-8.98</v>
      </c>
      <c r="AY41" s="1509" t="n">
        <v>186.8</v>
      </c>
      <c r="AZ41" s="2003"/>
      <c r="BA41" s="1482"/>
      <c r="BB41" s="1479" t="n">
        <f aca="false">BC41-BD41</f>
        <v>3.04</v>
      </c>
      <c r="BC41" s="2023" t="n">
        <v>18.49</v>
      </c>
      <c r="BD41" s="2023" t="n">
        <v>15.45</v>
      </c>
      <c r="BE41" s="1479"/>
      <c r="BF41" s="2023"/>
      <c r="BG41" s="2023"/>
      <c r="BH41" s="2023"/>
      <c r="BI41" s="2023"/>
      <c r="BJ41" s="2023"/>
      <c r="BK41" s="1478"/>
      <c r="BL41" s="1478"/>
      <c r="BM41" s="1478"/>
      <c r="BN41" s="1478"/>
      <c r="BP41" s="1478"/>
      <c r="BQ41" s="2007"/>
      <c r="BR41" s="2008"/>
      <c r="BS41" s="2008"/>
      <c r="BT41" s="2009"/>
      <c r="BU41" s="2017"/>
      <c r="BV41" s="1478"/>
      <c r="BW41" s="1478"/>
      <c r="BX41" s="2007"/>
      <c r="BY41" s="1478" t="n">
        <v>731.74</v>
      </c>
      <c r="BZ41" s="1509"/>
      <c r="CA41" s="2008" t="n">
        <f aca="false">AJ41</f>
        <v>567.33</v>
      </c>
      <c r="CB41" s="1509" t="n">
        <f aca="false">AO41</f>
        <v>140.34</v>
      </c>
      <c r="CC41" s="2009"/>
      <c r="CD41" s="2015"/>
      <c r="CE41" s="1479" t="n">
        <f aca="false">CF41+CL41</f>
        <v>547.71</v>
      </c>
      <c r="CF41" s="2007" t="n">
        <v>335.05</v>
      </c>
      <c r="CG41" s="1499"/>
      <c r="CH41" s="2017"/>
      <c r="CI41" s="2017"/>
      <c r="CJ41" s="2018"/>
      <c r="CK41" s="2018"/>
      <c r="CL41" s="1478" t="n">
        <v>212.66</v>
      </c>
      <c r="CM41" s="2018"/>
      <c r="CN41" s="2018"/>
      <c r="CO41" s="1478"/>
      <c r="CP41" s="2017"/>
      <c r="CQ41" s="2129"/>
      <c r="CR41" s="2017"/>
      <c r="CS41" s="2015"/>
      <c r="CT41" s="2019" t="n">
        <v>278.13</v>
      </c>
      <c r="CU41" s="2017"/>
      <c r="CV41" s="2017" t="n">
        <v>-21.45</v>
      </c>
      <c r="CW41" s="2023"/>
      <c r="CX41" s="2023"/>
      <c r="CY41" s="2023"/>
      <c r="CZ41" s="2023"/>
      <c r="DA41" s="2024"/>
      <c r="DB41" s="1478" t="n">
        <v>825.74</v>
      </c>
      <c r="DC41" s="1478" t="n">
        <v>99.8</v>
      </c>
      <c r="DD41" s="1997" t="n">
        <f aca="false">DC41+DJ41</f>
        <v>90.82</v>
      </c>
      <c r="DE41" s="1478" t="n">
        <v>111.1</v>
      </c>
      <c r="DF41" s="1478"/>
      <c r="DG41" s="1997" t="n">
        <v>-13.95</v>
      </c>
      <c r="DH41" s="1994"/>
      <c r="DI41" s="1995" t="n">
        <f aca="false">DC41+AW41</f>
        <v>120.92</v>
      </c>
      <c r="DJ41" s="1995" t="n">
        <f aca="false">AX41</f>
        <v>-8.98</v>
      </c>
      <c r="DK41" s="1997" t="n">
        <v>34.26</v>
      </c>
      <c r="DL41" s="2025"/>
      <c r="DM41" s="111"/>
      <c r="DN41" s="111"/>
      <c r="DO41" s="111"/>
    </row>
    <row r="42" s="485" customFormat="true" ht="12" hidden="false" customHeight="false" outlineLevel="0" collapsed="false">
      <c r="A42" s="31" t="n">
        <f aca="false">A41+1</f>
        <v>1979</v>
      </c>
      <c r="B42" s="395"/>
      <c r="C42" s="395"/>
      <c r="D42" s="432"/>
      <c r="E42" s="384"/>
      <c r="F42" s="2031"/>
      <c r="G42" s="395"/>
      <c r="H42" s="1997"/>
      <c r="I42" s="1997" t="n">
        <v>157.8</v>
      </c>
      <c r="J42" s="1997"/>
      <c r="K42" s="853"/>
      <c r="L42" s="2000"/>
      <c r="M42" s="1997"/>
      <c r="N42" s="1997"/>
      <c r="O42" s="1997"/>
      <c r="P42" s="1997"/>
      <c r="Q42" s="1997"/>
      <c r="R42" s="1997"/>
      <c r="S42" s="1997"/>
      <c r="T42" s="1997"/>
      <c r="U42" s="2000" t="n">
        <f aca="false">AA42+AF42</f>
        <v>928.32</v>
      </c>
      <c r="V42" s="1997" t="n">
        <f aca="false">U42+Y42</f>
        <v>1077.37</v>
      </c>
      <c r="W42" s="1997" t="n">
        <f aca="false">AC42+AJ42</f>
        <v>641.34</v>
      </c>
      <c r="X42" s="1997" t="n">
        <f aca="false">U42-W42</f>
        <v>286.98</v>
      </c>
      <c r="Y42" s="1997" t="n">
        <f aca="false">AD42+AK42</f>
        <v>149.05</v>
      </c>
      <c r="Z42" s="1319" t="n">
        <f aca="false">Y42/V42</f>
        <v>0.138346157773096</v>
      </c>
      <c r="AA42" s="1997" t="n">
        <v>26.19</v>
      </c>
      <c r="AB42" s="1997" t="n">
        <v>28.49</v>
      </c>
      <c r="AC42" s="2017" t="n">
        <f aca="false">AA42</f>
        <v>26.19</v>
      </c>
      <c r="AD42" s="1997" t="n">
        <f aca="false">AB42-AA42</f>
        <v>2.3</v>
      </c>
      <c r="AE42" s="514" t="n">
        <f aca="false">AD42/AB42</f>
        <v>0.0807300807300806</v>
      </c>
      <c r="AF42" s="2123" t="n">
        <v>902.13</v>
      </c>
      <c r="AG42" s="2124" t="n">
        <f aca="false">AI42+AJ42</f>
        <v>1048.88</v>
      </c>
      <c r="AH42" s="2125" t="n">
        <f aca="false">AF42-AJ42</f>
        <v>286.98</v>
      </c>
      <c r="AI42" s="1509" t="n">
        <f aca="false">AH42+AK42</f>
        <v>433.73</v>
      </c>
      <c r="AJ42" s="1478" t="n">
        <v>615.15</v>
      </c>
      <c r="AK42" s="2044" t="n">
        <f aca="false">I42-AD42-AP42</f>
        <v>146.75</v>
      </c>
      <c r="AL42" s="2126" t="n">
        <f aca="false">AK42/AG42</f>
        <v>0.139911143314774</v>
      </c>
      <c r="AM42" s="2123" t="n">
        <v>150.32</v>
      </c>
      <c r="AN42" s="2124" t="n">
        <v>159.07</v>
      </c>
      <c r="AO42" s="1478" t="n">
        <f aca="false">AM42</f>
        <v>150.32</v>
      </c>
      <c r="AP42" s="1478" t="n">
        <f aca="false">AN42-AM42</f>
        <v>8.75</v>
      </c>
      <c r="AQ42" s="2128" t="n">
        <f aca="false">AP42/AN42</f>
        <v>0.0550072295215943</v>
      </c>
      <c r="AR42" s="1509" t="n">
        <f aca="false">AH42</f>
        <v>286.98</v>
      </c>
      <c r="AS42" s="1509" t="n">
        <f aca="false">AR42-AT42-AW42</f>
        <v>64.82</v>
      </c>
      <c r="AT42" s="1509" t="n">
        <f aca="false">AY42-BB42</f>
        <v>203.89</v>
      </c>
      <c r="AU42" s="1509" t="n">
        <f aca="false">AV42-AT42</f>
        <v>213.71</v>
      </c>
      <c r="AV42" s="1509" t="n">
        <v>417.6</v>
      </c>
      <c r="AW42" s="1509" t="n">
        <v>18.27</v>
      </c>
      <c r="AX42" s="1509" t="n">
        <v>-13.84</v>
      </c>
      <c r="AY42" s="1509" t="n">
        <v>206.33</v>
      </c>
      <c r="AZ42" s="2003"/>
      <c r="BA42" s="1482"/>
      <c r="BB42" s="1479" t="n">
        <f aca="false">BC42-BD42</f>
        <v>2.44</v>
      </c>
      <c r="BC42" s="2023" t="n">
        <v>21.68</v>
      </c>
      <c r="BD42" s="2023" t="n">
        <v>19.24</v>
      </c>
      <c r="BE42" s="1479"/>
      <c r="BF42" s="2023"/>
      <c r="BG42" s="2023"/>
      <c r="BH42" s="2023"/>
      <c r="BI42" s="2023"/>
      <c r="BJ42" s="2023"/>
      <c r="BK42" s="1478"/>
      <c r="BL42" s="1478"/>
      <c r="BM42" s="1478"/>
      <c r="BN42" s="1478"/>
      <c r="BP42" s="1478"/>
      <c r="BQ42" s="2007"/>
      <c r="BR42" s="2008"/>
      <c r="BS42" s="2008"/>
      <c r="BT42" s="2009"/>
      <c r="BU42" s="2017"/>
      <c r="BV42" s="1478"/>
      <c r="BW42" s="1478"/>
      <c r="BX42" s="2007"/>
      <c r="BY42" s="1478" t="n">
        <v>791.66</v>
      </c>
      <c r="BZ42" s="1509"/>
      <c r="CA42" s="2008" t="n">
        <f aca="false">AJ42</f>
        <v>615.15</v>
      </c>
      <c r="CB42" s="1509" t="n">
        <f aca="false">AO42</f>
        <v>150.32</v>
      </c>
      <c r="CC42" s="2009"/>
      <c r="CD42" s="2015"/>
      <c r="CE42" s="1479" t="n">
        <f aca="false">CF42+CL42</f>
        <v>588.71</v>
      </c>
      <c r="CF42" s="2007" t="n">
        <v>358.67</v>
      </c>
      <c r="CG42" s="1499"/>
      <c r="CH42" s="2017"/>
      <c r="CI42" s="2017"/>
      <c r="CJ42" s="2018"/>
      <c r="CK42" s="2018"/>
      <c r="CL42" s="1478" t="n">
        <v>230.04</v>
      </c>
      <c r="CM42" s="2018"/>
      <c r="CN42" s="2018"/>
      <c r="CO42" s="1478"/>
      <c r="CP42" s="2017"/>
      <c r="CQ42" s="1478"/>
      <c r="CR42" s="2017"/>
      <c r="CS42" s="2015"/>
      <c r="CT42" s="2019" t="n">
        <v>300.89</v>
      </c>
      <c r="CU42" s="2017"/>
      <c r="CV42" s="2017" t="n">
        <v>-23.72</v>
      </c>
      <c r="CW42" s="2023"/>
      <c r="CX42" s="2023"/>
      <c r="CY42" s="2023"/>
      <c r="CZ42" s="2023"/>
      <c r="DA42" s="2024"/>
      <c r="DB42" s="1478" t="n">
        <v>894.87</v>
      </c>
      <c r="DC42" s="1478" t="n">
        <v>113.56</v>
      </c>
      <c r="DD42" s="1997" t="n">
        <f aca="false">DC42+DJ42</f>
        <v>99.72</v>
      </c>
      <c r="DE42" s="1478" t="n">
        <v>126.2</v>
      </c>
      <c r="DF42" s="1478"/>
      <c r="DG42" s="1997" t="n">
        <v>-15.49</v>
      </c>
      <c r="DH42" s="1994"/>
      <c r="DI42" s="1995" t="n">
        <f aca="false">DC42+AW42</f>
        <v>131.83</v>
      </c>
      <c r="DJ42" s="1995" t="n">
        <f aca="false">AX42</f>
        <v>-13.84</v>
      </c>
      <c r="DK42" s="1997" t="n">
        <v>37.16</v>
      </c>
      <c r="DL42" s="2025"/>
      <c r="DM42" s="111"/>
      <c r="DN42" s="111"/>
      <c r="DO42" s="111"/>
    </row>
    <row r="43" s="485" customFormat="true" ht="12" hidden="false" customHeight="false" outlineLevel="0" collapsed="false">
      <c r="A43" s="31" t="n">
        <f aca="false">A42+1</f>
        <v>1980</v>
      </c>
      <c r="B43" s="2157"/>
      <c r="C43" s="2157"/>
      <c r="D43" s="432"/>
      <c r="E43" s="1995"/>
      <c r="F43" s="1996"/>
      <c r="G43" s="1994"/>
      <c r="H43" s="1478"/>
      <c r="I43" s="1997" t="n">
        <v>175</v>
      </c>
      <c r="J43" s="1997"/>
      <c r="K43" s="853"/>
      <c r="L43" s="2000"/>
      <c r="M43" s="1997"/>
      <c r="N43" s="1997"/>
      <c r="O43" s="1997"/>
      <c r="P43" s="1997"/>
      <c r="Q43" s="1997"/>
      <c r="R43" s="1997"/>
      <c r="S43" s="1997"/>
      <c r="T43" s="1997"/>
      <c r="U43" s="2000" t="n">
        <f aca="false">AA43+AF43</f>
        <v>971.77</v>
      </c>
      <c r="V43" s="1997" t="n">
        <f aca="false">U43+Y43</f>
        <v>1136.83</v>
      </c>
      <c r="W43" s="1997" t="n">
        <f aca="false">AC43+AJ43</f>
        <v>698.43</v>
      </c>
      <c r="X43" s="1997" t="n">
        <f aca="false">U43-W43</f>
        <v>273.34</v>
      </c>
      <c r="Y43" s="1997" t="n">
        <f aca="false">AD43+AK43</f>
        <v>165.06</v>
      </c>
      <c r="Z43" s="1319" t="n">
        <f aca="false">Y43/V43</f>
        <v>0.145193212705506</v>
      </c>
      <c r="AA43" s="1997" t="n">
        <v>28.72</v>
      </c>
      <c r="AB43" s="1509" t="n">
        <v>31.31</v>
      </c>
      <c r="AC43" s="1509" t="n">
        <f aca="false">AA43</f>
        <v>28.72</v>
      </c>
      <c r="AD43" s="1997" t="n">
        <f aca="false">AB43-AA43</f>
        <v>2.59</v>
      </c>
      <c r="AE43" s="514" t="n">
        <f aca="false">AD43/AB43</f>
        <v>0.0827211753433408</v>
      </c>
      <c r="AF43" s="2123" t="n">
        <v>943.05</v>
      </c>
      <c r="AG43" s="2124" t="n">
        <f aca="false">AI43+AJ43</f>
        <v>1105.52</v>
      </c>
      <c r="AH43" s="2125" t="n">
        <f aca="false">AF43-AJ43</f>
        <v>273.34</v>
      </c>
      <c r="AI43" s="1509" t="n">
        <f aca="false">AH43+AK43</f>
        <v>435.81</v>
      </c>
      <c r="AJ43" s="1478" t="n">
        <v>669.71</v>
      </c>
      <c r="AK43" s="2044" t="n">
        <f aca="false">I43-AD43-AP43</f>
        <v>162.47</v>
      </c>
      <c r="AL43" s="2126" t="n">
        <f aca="false">AK43/AG43</f>
        <v>0.146962515377379</v>
      </c>
      <c r="AM43" s="2123" t="n">
        <v>162.45</v>
      </c>
      <c r="AN43" s="2124" t="n">
        <v>172.39</v>
      </c>
      <c r="AO43" s="1478" t="n">
        <f aca="false">AM43</f>
        <v>162.45</v>
      </c>
      <c r="AP43" s="1997" t="n">
        <f aca="false">AN43-AM43</f>
        <v>9.94</v>
      </c>
      <c r="AQ43" s="2128" t="n">
        <f aca="false">AP43/AN43</f>
        <v>0.0576599570740762</v>
      </c>
      <c r="AR43" s="1509" t="n">
        <f aca="false">AH43</f>
        <v>273.34</v>
      </c>
      <c r="AS43" s="1509" t="n">
        <f aca="false">AR43-AT43-AW43</f>
        <v>60.9699999999999</v>
      </c>
      <c r="AT43" s="1509" t="n">
        <f aca="false">AY43-BB43</f>
        <v>217.73</v>
      </c>
      <c r="AU43" s="1509" t="n">
        <f aca="false">AV43-AT43</f>
        <v>235.67</v>
      </c>
      <c r="AV43" s="1509" t="n">
        <v>453.4</v>
      </c>
      <c r="AW43" s="1509" t="n">
        <v>-5.36</v>
      </c>
      <c r="AX43" s="1509" t="n">
        <v>-38.47</v>
      </c>
      <c r="AY43" s="1509" t="n">
        <v>220.09</v>
      </c>
      <c r="AZ43" s="2003"/>
      <c r="BA43" s="1482"/>
      <c r="BB43" s="1479" t="n">
        <f aca="false">BC43-BD43</f>
        <v>2.36</v>
      </c>
      <c r="BC43" s="2023" t="n">
        <v>26.48</v>
      </c>
      <c r="BD43" s="2023" t="n">
        <v>24.12</v>
      </c>
      <c r="BE43" s="1479"/>
      <c r="BF43" s="2023"/>
      <c r="BG43" s="2023"/>
      <c r="BH43" s="2023"/>
      <c r="BI43" s="2023"/>
      <c r="BJ43" s="2023"/>
      <c r="BK43" s="1478"/>
      <c r="BL43" s="1478"/>
      <c r="BM43" s="1478"/>
      <c r="BN43" s="1478"/>
      <c r="BP43" s="1478"/>
      <c r="BQ43" s="2007"/>
      <c r="BR43" s="2008"/>
      <c r="BS43" s="2008"/>
      <c r="BT43" s="2009"/>
      <c r="BU43" s="2017"/>
      <c r="BV43" s="1478"/>
      <c r="BW43" s="1997"/>
      <c r="BX43" s="2007"/>
      <c r="BY43" s="1478" t="n">
        <v>860.88</v>
      </c>
      <c r="BZ43" s="1509"/>
      <c r="CA43" s="2008" t="n">
        <f aca="false">AJ43</f>
        <v>669.71</v>
      </c>
      <c r="CB43" s="1509" t="n">
        <f aca="false">AO43</f>
        <v>162.45</v>
      </c>
      <c r="CC43" s="2009"/>
      <c r="CD43" s="2015"/>
      <c r="CE43" s="1479" t="n">
        <f aca="false">CF43+CL43</f>
        <v>629.71</v>
      </c>
      <c r="CF43" s="2007" t="n">
        <v>381.22</v>
      </c>
      <c r="CG43" s="1499"/>
      <c r="CH43" s="2017"/>
      <c r="CI43" s="2017"/>
      <c r="CJ43" s="2018"/>
      <c r="CK43" s="2018"/>
      <c r="CL43" s="1478" t="n">
        <v>248.49</v>
      </c>
      <c r="CM43" s="2018"/>
      <c r="CN43" s="2018"/>
      <c r="CO43" s="1478"/>
      <c r="CP43" s="2017"/>
      <c r="CQ43" s="1478"/>
      <c r="CR43" s="2017"/>
      <c r="CS43" s="2015"/>
      <c r="CT43" s="2019" t="n">
        <v>324.07</v>
      </c>
      <c r="CU43" s="2017"/>
      <c r="CV43" s="2017" t="n">
        <v>-25.19</v>
      </c>
      <c r="CW43" s="2023"/>
      <c r="CX43" s="2023"/>
      <c r="CY43" s="2023"/>
      <c r="CZ43" s="2023"/>
      <c r="DA43" s="2024"/>
      <c r="DB43" s="1478" t="n">
        <v>960.41</v>
      </c>
      <c r="DC43" s="1478" t="n">
        <v>123.39</v>
      </c>
      <c r="DD43" s="1997" t="n">
        <f aca="false">DC43+DJ43</f>
        <v>84.92</v>
      </c>
      <c r="DE43" s="1478" t="n">
        <v>138</v>
      </c>
      <c r="DF43" s="1478"/>
      <c r="DG43" s="1997" t="n">
        <v>-15.63</v>
      </c>
      <c r="DH43" s="1994"/>
      <c r="DI43" s="1995" t="n">
        <f aca="false">DC43+AW43</f>
        <v>118.03</v>
      </c>
      <c r="DJ43" s="1995" t="n">
        <f aca="false">AX43</f>
        <v>-38.47</v>
      </c>
      <c r="DK43" s="1997" t="n">
        <v>37.12</v>
      </c>
      <c r="DL43" s="2025"/>
      <c r="DM43" s="111"/>
      <c r="DN43" s="111"/>
      <c r="DO43" s="111"/>
    </row>
    <row r="44" s="485" customFormat="true" ht="12" hidden="false" customHeight="false" outlineLevel="0" collapsed="false">
      <c r="A44" s="31" t="n">
        <f aca="false">A43+1</f>
        <v>1981</v>
      </c>
      <c r="B44" s="1994"/>
      <c r="C44" s="1994"/>
      <c r="D44" s="432"/>
      <c r="E44" s="1995"/>
      <c r="F44" s="1996"/>
      <c r="G44" s="1994"/>
      <c r="H44" s="1478"/>
      <c r="I44" s="1478" t="n">
        <v>190.62</v>
      </c>
      <c r="J44" s="1478"/>
      <c r="K44" s="853"/>
      <c r="L44" s="2000"/>
      <c r="M44" s="1997"/>
      <c r="N44" s="1997"/>
      <c r="O44" s="1997"/>
      <c r="P44" s="1997"/>
      <c r="Q44" s="1997"/>
      <c r="R44" s="1997"/>
      <c r="S44" s="1997"/>
      <c r="T44" s="1997"/>
      <c r="U44" s="2000" t="n">
        <f aca="false">AA44+AF44</f>
        <v>1002.4</v>
      </c>
      <c r="V44" s="1997" t="n">
        <f aca="false">U44+Y44</f>
        <v>1182.11</v>
      </c>
      <c r="W44" s="1997" t="n">
        <f aca="false">AC44+AJ44</f>
        <v>729.77</v>
      </c>
      <c r="X44" s="1997" t="n">
        <f aca="false">U44-W44</f>
        <v>272.63</v>
      </c>
      <c r="Y44" s="1997" t="n">
        <f aca="false">AD44+AK44</f>
        <v>179.71</v>
      </c>
      <c r="Z44" s="1319" t="n">
        <f aca="false">Y44/V44</f>
        <v>0.152024769268511</v>
      </c>
      <c r="AA44" s="1509" t="n">
        <v>31.09</v>
      </c>
      <c r="AB44" s="1509" t="n">
        <v>33.91</v>
      </c>
      <c r="AC44" s="1509" t="n">
        <f aca="false">AA44</f>
        <v>31.09</v>
      </c>
      <c r="AD44" s="1997" t="n">
        <f aca="false">AB44-AA44</f>
        <v>2.82</v>
      </c>
      <c r="AE44" s="514" t="n">
        <f aca="false">AD44/AB44</f>
        <v>0.0831613093482748</v>
      </c>
      <c r="AF44" s="2123" t="n">
        <v>971.31</v>
      </c>
      <c r="AG44" s="2124" t="n">
        <f aca="false">AI44+AJ44</f>
        <v>1148.2</v>
      </c>
      <c r="AH44" s="2125" t="n">
        <f aca="false">AF44-AJ44</f>
        <v>272.63</v>
      </c>
      <c r="AI44" s="1509" t="n">
        <f aca="false">AH44+AK44</f>
        <v>449.52</v>
      </c>
      <c r="AJ44" s="1478" t="n">
        <v>698.68</v>
      </c>
      <c r="AK44" s="2044" t="n">
        <f aca="false">I44-AD44-AP44</f>
        <v>176.89</v>
      </c>
      <c r="AL44" s="2126" t="n">
        <f aca="false">AK44/AG44</f>
        <v>0.154058526389131</v>
      </c>
      <c r="AM44" s="2123" t="n">
        <v>172.78</v>
      </c>
      <c r="AN44" s="2124" t="n">
        <v>183.69</v>
      </c>
      <c r="AO44" s="1478" t="n">
        <f aca="false">AM44</f>
        <v>172.78</v>
      </c>
      <c r="AP44" s="1997" t="n">
        <f aca="false">AN44-AM44</f>
        <v>10.91</v>
      </c>
      <c r="AQ44" s="2128" t="n">
        <f aca="false">AP44/AN44</f>
        <v>0.0593935434699766</v>
      </c>
      <c r="AR44" s="1509" t="n">
        <f aca="false">AH44</f>
        <v>272.63</v>
      </c>
      <c r="AS44" s="1509" t="n">
        <f aca="false">AR44-AT44-AW44</f>
        <v>59.38</v>
      </c>
      <c r="AT44" s="1509" t="n">
        <f aca="false">AY44-BB44</f>
        <v>237.21</v>
      </c>
      <c r="AU44" s="1509" t="n">
        <f aca="false">AV44-AT44</f>
        <v>263.21</v>
      </c>
      <c r="AV44" s="1509" t="n">
        <v>500.42</v>
      </c>
      <c r="AW44" s="1509" t="n">
        <v>-23.96</v>
      </c>
      <c r="AX44" s="1509" t="n">
        <v>-60.53</v>
      </c>
      <c r="AY44" s="1509" t="n">
        <v>238.41</v>
      </c>
      <c r="AZ44" s="2003"/>
      <c r="BA44" s="1482"/>
      <c r="BB44" s="1479" t="n">
        <f aca="false">BC44-BD44</f>
        <v>1.2</v>
      </c>
      <c r="BC44" s="2023" t="n">
        <v>35</v>
      </c>
      <c r="BD44" s="2023" t="n">
        <v>33.8</v>
      </c>
      <c r="BE44" s="1479"/>
      <c r="BF44" s="2023"/>
      <c r="BG44" s="2023"/>
      <c r="BH44" s="2023"/>
      <c r="BI44" s="2023"/>
      <c r="BJ44" s="2023"/>
      <c r="BK44" s="1478"/>
      <c r="BL44" s="1478"/>
      <c r="BM44" s="1478"/>
      <c r="BN44" s="1478"/>
      <c r="BP44" s="1478"/>
      <c r="BQ44" s="2007"/>
      <c r="BR44" s="2008"/>
      <c r="BS44" s="2008"/>
      <c r="BT44" s="2009"/>
      <c r="BU44" s="2017"/>
      <c r="BV44" s="1478"/>
      <c r="BW44" s="1997"/>
      <c r="BX44" s="2007"/>
      <c r="BY44" s="1478" t="n">
        <v>902.55</v>
      </c>
      <c r="BZ44" s="1509"/>
      <c r="CA44" s="1509" t="n">
        <f aca="false">AJ44</f>
        <v>698.68</v>
      </c>
      <c r="CB44" s="1509" t="n">
        <f aca="false">AO44</f>
        <v>172.78</v>
      </c>
      <c r="CC44" s="2009"/>
      <c r="CD44" s="2015"/>
      <c r="CE44" s="1479" t="n">
        <f aca="false">CF44+CL44</f>
        <v>655.04</v>
      </c>
      <c r="CF44" s="2007" t="n">
        <v>386.4</v>
      </c>
      <c r="CG44" s="1499"/>
      <c r="CH44" s="2017"/>
      <c r="CI44" s="2017"/>
      <c r="CJ44" s="2018"/>
      <c r="CK44" s="2018"/>
      <c r="CL44" s="1478" t="n">
        <v>268.64</v>
      </c>
      <c r="CM44" s="2018"/>
      <c r="CN44" s="2018"/>
      <c r="CO44" s="1478"/>
      <c r="CP44" s="2017"/>
      <c r="CQ44" s="1478"/>
      <c r="CR44" s="2017"/>
      <c r="CS44" s="2015"/>
      <c r="CT44" s="2019"/>
      <c r="CU44" s="2017"/>
      <c r="CV44" s="2017" t="n">
        <v>-23.29</v>
      </c>
      <c r="CW44" s="2023"/>
      <c r="CX44" s="2023"/>
      <c r="CY44" s="2023"/>
      <c r="CZ44" s="2023"/>
      <c r="DA44" s="2024"/>
      <c r="DB44" s="1478" t="n">
        <v>1022.42</v>
      </c>
      <c r="DC44" s="1478" t="n">
        <v>138.9</v>
      </c>
      <c r="DD44" s="1997" t="n">
        <f aca="false">DC44+DJ44</f>
        <v>78.37</v>
      </c>
      <c r="DE44" s="1478" t="n">
        <v>152.1</v>
      </c>
      <c r="DF44" s="1478"/>
      <c r="DG44" s="1997" t="n">
        <v>-18.22</v>
      </c>
      <c r="DH44" s="1994"/>
      <c r="DI44" s="1995" t="n">
        <f aca="false">DC44+AW44</f>
        <v>114.94</v>
      </c>
      <c r="DJ44" s="1995" t="n">
        <f aca="false">AX44</f>
        <v>-60.53</v>
      </c>
      <c r="DK44" s="1997" t="n">
        <v>38.99</v>
      </c>
      <c r="DL44" s="2025"/>
      <c r="DM44" s="111"/>
      <c r="DN44" s="111"/>
      <c r="DO44" s="111"/>
    </row>
    <row r="45" s="485" customFormat="true" ht="12" hidden="false" customHeight="false" outlineLevel="0" collapsed="false">
      <c r="A45" s="31" t="n">
        <f aca="false">A44+1</f>
        <v>1982</v>
      </c>
      <c r="B45" s="1994"/>
      <c r="C45" s="1994"/>
      <c r="D45" s="432"/>
      <c r="E45" s="1995"/>
      <c r="F45" s="1996"/>
      <c r="G45" s="1994"/>
      <c r="H45" s="1478"/>
      <c r="I45" s="1478" t="n">
        <v>203.69</v>
      </c>
      <c r="J45" s="1478"/>
      <c r="K45" s="853"/>
      <c r="L45" s="2000"/>
      <c r="M45" s="1997"/>
      <c r="N45" s="1997"/>
      <c r="O45" s="1997"/>
      <c r="P45" s="1997"/>
      <c r="Q45" s="1997"/>
      <c r="R45" s="1997"/>
      <c r="S45" s="1997"/>
      <c r="T45" s="1997"/>
      <c r="U45" s="2000"/>
      <c r="V45" s="1997"/>
      <c r="W45" s="1997"/>
      <c r="X45" s="1997"/>
      <c r="Y45" s="1997"/>
      <c r="Z45" s="1999"/>
      <c r="AA45" s="1509"/>
      <c r="AB45" s="1509"/>
      <c r="AC45" s="1509"/>
      <c r="AD45" s="1997"/>
      <c r="AE45" s="514"/>
      <c r="AF45" s="2123"/>
      <c r="AG45" s="2124"/>
      <c r="AH45" s="2124"/>
      <c r="AI45" s="1509"/>
      <c r="AJ45" s="1478"/>
      <c r="AK45" s="1478"/>
      <c r="AL45" s="2126"/>
      <c r="AM45" s="2123" t="n">
        <v>177.84</v>
      </c>
      <c r="AN45" s="2124" t="n">
        <v>189.59</v>
      </c>
      <c r="AO45" s="1478" t="n">
        <f aca="false">AM45</f>
        <v>177.84</v>
      </c>
      <c r="AP45" s="1997" t="n">
        <f aca="false">AN45-AM45</f>
        <v>11.75</v>
      </c>
      <c r="AQ45" s="2128" t="n">
        <f aca="false">AP45/AN45</f>
        <v>0.0619758426077325</v>
      </c>
      <c r="AR45" s="1509"/>
      <c r="AS45" s="1509"/>
      <c r="AT45" s="1509"/>
      <c r="AU45" s="1509"/>
      <c r="AV45" s="1509"/>
      <c r="AW45" s="1509"/>
      <c r="AX45" s="1509" t="n">
        <v>-54.64</v>
      </c>
      <c r="AY45" s="1509"/>
      <c r="AZ45" s="2003"/>
      <c r="BA45" s="1482"/>
      <c r="BB45" s="1479"/>
      <c r="BC45" s="2023"/>
      <c r="BD45" s="2023"/>
      <c r="BE45" s="1479"/>
      <c r="BF45" s="2023"/>
      <c r="BG45" s="2023"/>
      <c r="BH45" s="2023"/>
      <c r="BI45" s="2023"/>
      <c r="BJ45" s="2023"/>
      <c r="BK45" s="1478"/>
      <c r="BL45" s="1478"/>
      <c r="BM45" s="1478"/>
      <c r="BN45" s="1478"/>
      <c r="BP45" s="1478"/>
      <c r="BQ45" s="2007"/>
      <c r="BR45" s="2008"/>
      <c r="BS45" s="2008"/>
      <c r="BT45" s="2009"/>
      <c r="BU45" s="2017"/>
      <c r="BV45" s="1478"/>
      <c r="BW45" s="1997"/>
      <c r="BX45" s="2007"/>
      <c r="BY45" s="2010"/>
      <c r="CA45" s="1509"/>
      <c r="CB45" s="1509" t="n">
        <f aca="false">AO45</f>
        <v>177.84</v>
      </c>
      <c r="CC45" s="2009"/>
      <c r="CD45" s="2015"/>
      <c r="CE45" s="1479" t="n">
        <f aca="false">CF45+CL45</f>
        <v>679.11</v>
      </c>
      <c r="CF45" s="2007" t="n">
        <v>394.86</v>
      </c>
      <c r="CG45" s="1499"/>
      <c r="CH45" s="2017"/>
      <c r="CI45" s="2017"/>
      <c r="CJ45" s="2018"/>
      <c r="CK45" s="2018"/>
      <c r="CL45" s="1478" t="n">
        <v>284.25</v>
      </c>
      <c r="CM45" s="2018"/>
      <c r="CN45" s="2018"/>
      <c r="CO45" s="1478"/>
      <c r="CP45" s="2017"/>
      <c r="CQ45" s="1478"/>
      <c r="CR45" s="2017"/>
      <c r="CS45" s="2015"/>
      <c r="CT45" s="2019"/>
      <c r="CU45" s="2019"/>
      <c r="CV45" s="2017"/>
      <c r="CW45" s="2023"/>
      <c r="CX45" s="2023"/>
      <c r="CY45" s="2023"/>
      <c r="CZ45" s="2023"/>
      <c r="DA45" s="2024"/>
      <c r="DB45" s="1478"/>
      <c r="DC45" s="1478"/>
      <c r="DD45" s="1478"/>
      <c r="DE45" s="1478" t="n">
        <v>148.8</v>
      </c>
      <c r="DF45" s="1478"/>
      <c r="DG45" s="1997" t="n">
        <v>-16.83</v>
      </c>
      <c r="DH45" s="1994"/>
      <c r="DI45" s="1994"/>
      <c r="DJ45" s="1994"/>
      <c r="DK45" s="1997"/>
      <c r="DL45" s="2025"/>
      <c r="DM45" s="111"/>
      <c r="DN45" s="111"/>
      <c r="DO45" s="111"/>
    </row>
    <row r="46" s="485" customFormat="true" ht="12" hidden="false" customHeight="false" outlineLevel="0" collapsed="false">
      <c r="A46" s="31" t="n">
        <f aca="false">A45+1</f>
        <v>1983</v>
      </c>
      <c r="B46" s="1994"/>
      <c r="C46" s="1994"/>
      <c r="D46" s="432"/>
      <c r="E46" s="1995"/>
      <c r="F46" s="1996"/>
      <c r="G46" s="1994"/>
      <c r="H46" s="1478"/>
      <c r="I46" s="1478"/>
      <c r="J46" s="1478"/>
      <c r="K46" s="853"/>
      <c r="L46" s="2000"/>
      <c r="M46" s="1997"/>
      <c r="N46" s="1997"/>
      <c r="O46" s="1997"/>
      <c r="P46" s="1997"/>
      <c r="Q46" s="1997"/>
      <c r="R46" s="1997"/>
      <c r="S46" s="1997"/>
      <c r="T46" s="1997"/>
      <c r="U46" s="2000"/>
      <c r="V46" s="1997"/>
      <c r="W46" s="1997"/>
      <c r="X46" s="1997"/>
      <c r="Y46" s="1997"/>
      <c r="Z46" s="1999"/>
      <c r="AA46" s="1509"/>
      <c r="AB46" s="1509"/>
      <c r="AC46" s="1509"/>
      <c r="AD46" s="1997"/>
      <c r="AE46" s="514"/>
      <c r="AF46" s="2123"/>
      <c r="AG46" s="2124"/>
      <c r="AH46" s="2124"/>
      <c r="AI46" s="1509"/>
      <c r="AJ46" s="1478"/>
      <c r="AK46" s="1478"/>
      <c r="AL46" s="2126"/>
      <c r="AM46" s="2123"/>
      <c r="AN46" s="2124"/>
      <c r="AO46" s="1478"/>
      <c r="AP46" s="1997"/>
      <c r="AQ46" s="2128"/>
      <c r="AR46" s="1509"/>
      <c r="AS46" s="1509"/>
      <c r="AT46" s="1509"/>
      <c r="AU46" s="1509"/>
      <c r="AV46" s="1509"/>
      <c r="AW46" s="1509"/>
      <c r="AX46" s="1509" t="n">
        <v>-40.57</v>
      </c>
      <c r="AY46" s="1509"/>
      <c r="AZ46" s="2003"/>
      <c r="BA46" s="1482"/>
      <c r="BB46" s="1479"/>
      <c r="BC46" s="2023"/>
      <c r="BD46" s="2023"/>
      <c r="BE46" s="1479"/>
      <c r="BF46" s="2023"/>
      <c r="BG46" s="2023"/>
      <c r="BH46" s="2023"/>
      <c r="BI46" s="2023"/>
      <c r="BJ46" s="2023"/>
      <c r="BK46" s="1478"/>
      <c r="BL46" s="1478"/>
      <c r="BM46" s="1478"/>
      <c r="BN46" s="1478"/>
      <c r="BP46" s="1478"/>
      <c r="BQ46" s="2007"/>
      <c r="BR46" s="2008"/>
      <c r="BS46" s="2008"/>
      <c r="BT46" s="2009"/>
      <c r="BU46" s="2017"/>
      <c r="BV46" s="1478"/>
      <c r="BW46" s="1997"/>
      <c r="BX46" s="2007"/>
      <c r="BY46" s="2010"/>
      <c r="BZ46" s="2011"/>
      <c r="CA46" s="1509"/>
      <c r="CB46" s="1509"/>
      <c r="CC46" s="2009"/>
      <c r="CD46" s="2015"/>
      <c r="CE46" s="1479" t="n">
        <f aca="false">CF46+CL46</f>
        <v>705.09</v>
      </c>
      <c r="CF46" s="2007" t="n">
        <v>414.75</v>
      </c>
      <c r="CG46" s="1499"/>
      <c r="CH46" s="2017"/>
      <c r="CI46" s="2017"/>
      <c r="CJ46" s="2018"/>
      <c r="CK46" s="2018"/>
      <c r="CL46" s="1478" t="n">
        <v>290.34</v>
      </c>
      <c r="CM46" s="2018"/>
      <c r="CN46" s="2018"/>
      <c r="CO46" s="1478"/>
      <c r="CP46" s="2017"/>
      <c r="CQ46" s="1478"/>
      <c r="CR46" s="2017"/>
      <c r="CS46" s="2015"/>
      <c r="CT46" s="2019"/>
      <c r="CU46" s="2019"/>
      <c r="CV46" s="2017"/>
      <c r="CW46" s="2023"/>
      <c r="CX46" s="2023"/>
      <c r="CY46" s="2023"/>
      <c r="CZ46" s="2023"/>
      <c r="DA46" s="2024"/>
      <c r="DB46" s="1478"/>
      <c r="DC46" s="1478"/>
      <c r="DD46" s="1478"/>
      <c r="DE46" s="1478" t="n">
        <v>134.4</v>
      </c>
      <c r="DF46" s="1478"/>
      <c r="DG46" s="1997" t="n">
        <v>-16.76</v>
      </c>
      <c r="DH46" s="1994"/>
      <c r="DI46" s="1994"/>
      <c r="DJ46" s="1994"/>
      <c r="DK46" s="1997"/>
      <c r="DL46" s="2025"/>
      <c r="DM46" s="111"/>
      <c r="DN46" s="111"/>
      <c r="DO46" s="111"/>
    </row>
    <row r="47" s="485" customFormat="true" ht="12" hidden="false" customHeight="false" outlineLevel="0" collapsed="false">
      <c r="A47" s="31" t="n">
        <f aca="false">A46+1</f>
        <v>1984</v>
      </c>
      <c r="B47" s="1994"/>
      <c r="C47" s="1994"/>
      <c r="D47" s="432"/>
      <c r="E47" s="1995"/>
      <c r="F47" s="1996"/>
      <c r="G47" s="1994"/>
      <c r="H47" s="1478"/>
      <c r="I47" s="1478"/>
      <c r="J47" s="1478"/>
      <c r="K47" s="853"/>
      <c r="L47" s="2000"/>
      <c r="M47" s="1997"/>
      <c r="N47" s="1997"/>
      <c r="O47" s="1997"/>
      <c r="P47" s="1997"/>
      <c r="Q47" s="1997"/>
      <c r="R47" s="1997"/>
      <c r="S47" s="1997"/>
      <c r="T47" s="1997"/>
      <c r="U47" s="2000"/>
      <c r="V47" s="1997"/>
      <c r="W47" s="1997"/>
      <c r="X47" s="1997"/>
      <c r="Y47" s="1997"/>
      <c r="Z47" s="1999"/>
      <c r="AA47" s="1509"/>
      <c r="AB47" s="1509"/>
      <c r="AC47" s="1509"/>
      <c r="AD47" s="1997"/>
      <c r="AE47" s="1319"/>
      <c r="AF47" s="2123"/>
      <c r="AG47" s="2124"/>
      <c r="AH47" s="2124"/>
      <c r="AI47" s="1509"/>
      <c r="AJ47" s="1478"/>
      <c r="AK47" s="1478"/>
      <c r="AL47" s="2126"/>
      <c r="AM47" s="2123"/>
      <c r="AN47" s="2124"/>
      <c r="AO47" s="1478"/>
      <c r="AP47" s="1997"/>
      <c r="AQ47" s="2128"/>
      <c r="AR47" s="1509"/>
      <c r="AS47" s="1509"/>
      <c r="AT47" s="1509"/>
      <c r="AU47" s="1509"/>
      <c r="AV47" s="1509"/>
      <c r="AW47" s="1509"/>
      <c r="AX47" s="1509" t="n">
        <v>-51.68</v>
      </c>
      <c r="AY47" s="1509"/>
      <c r="AZ47" s="1509"/>
      <c r="BA47" s="1482"/>
      <c r="BB47" s="1479"/>
      <c r="BC47" s="2023"/>
      <c r="BD47" s="2023"/>
      <c r="BE47" s="1479"/>
      <c r="BF47" s="2023"/>
      <c r="BG47" s="2023"/>
      <c r="BH47" s="2023"/>
      <c r="BI47" s="2023"/>
      <c r="BJ47" s="2023"/>
      <c r="BK47" s="1478"/>
      <c r="BL47" s="1478"/>
      <c r="BM47" s="1478"/>
      <c r="BN47" s="1478"/>
      <c r="BP47" s="1478"/>
      <c r="BQ47" s="2007"/>
      <c r="BR47" s="2008"/>
      <c r="BS47" s="2008"/>
      <c r="BT47" s="2009"/>
      <c r="BU47" s="2017"/>
      <c r="BV47" s="1478"/>
      <c r="BW47" s="1997"/>
      <c r="BX47" s="2007"/>
      <c r="BY47" s="2010"/>
      <c r="BZ47" s="2011"/>
      <c r="CA47" s="1509"/>
      <c r="CB47" s="1509"/>
      <c r="CC47" s="2009"/>
      <c r="CD47" s="2015"/>
      <c r="CE47" s="1479" t="n">
        <f aca="false">CF47+CL47</f>
        <v>743.73</v>
      </c>
      <c r="CF47" s="2007" t="n">
        <v>439.15</v>
      </c>
      <c r="CG47" s="1499"/>
      <c r="CH47" s="2017"/>
      <c r="CI47" s="2017"/>
      <c r="CJ47" s="2018"/>
      <c r="CK47" s="2018"/>
      <c r="CL47" s="1478" t="n">
        <v>304.58</v>
      </c>
      <c r="CM47" s="2018"/>
      <c r="CN47" s="2018"/>
      <c r="CO47" s="1478"/>
      <c r="CP47" s="2017"/>
      <c r="CQ47" s="1478"/>
      <c r="CR47" s="2017"/>
      <c r="CS47" s="2015"/>
      <c r="CT47" s="2019"/>
      <c r="CU47" s="2019"/>
      <c r="CV47" s="2017"/>
      <c r="CW47" s="2023"/>
      <c r="CX47" s="2023"/>
      <c r="CY47" s="2023"/>
      <c r="CZ47" s="2023"/>
      <c r="DA47" s="2024"/>
      <c r="DB47" s="1478"/>
      <c r="DC47" s="1478"/>
      <c r="DD47" s="1478"/>
      <c r="DE47" s="1478" t="n">
        <v>147.5</v>
      </c>
      <c r="DF47" s="1478"/>
      <c r="DG47" s="1997" t="n">
        <v>-18.32</v>
      </c>
      <c r="DH47" s="1994"/>
      <c r="DI47" s="1994"/>
      <c r="DJ47" s="1994"/>
      <c r="DK47" s="1997"/>
      <c r="DL47" s="2025"/>
      <c r="DM47" s="111"/>
      <c r="DN47" s="111"/>
      <c r="DO47" s="111"/>
    </row>
    <row r="48" s="485" customFormat="true" ht="12" hidden="false" customHeight="false" outlineLevel="0" collapsed="false">
      <c r="A48" s="31" t="n">
        <f aca="false">A47+1</f>
        <v>1985</v>
      </c>
      <c r="B48" s="1994"/>
      <c r="C48" s="1994"/>
      <c r="D48" s="432"/>
      <c r="E48" s="1995"/>
      <c r="F48" s="1996"/>
      <c r="G48" s="1994"/>
      <c r="H48" s="1478"/>
      <c r="I48" s="1478"/>
      <c r="J48" s="1478"/>
      <c r="K48" s="853"/>
      <c r="L48" s="2000"/>
      <c r="M48" s="1997"/>
      <c r="N48" s="1997"/>
      <c r="O48" s="1997"/>
      <c r="P48" s="1997"/>
      <c r="Q48" s="1997"/>
      <c r="R48" s="1997"/>
      <c r="S48" s="1997"/>
      <c r="T48" s="1997"/>
      <c r="U48" s="2000"/>
      <c r="V48" s="1997"/>
      <c r="W48" s="1997"/>
      <c r="X48" s="1997"/>
      <c r="Y48" s="1997"/>
      <c r="Z48" s="1999"/>
      <c r="AA48" s="1509"/>
      <c r="AB48" s="1509"/>
      <c r="AC48" s="1509"/>
      <c r="AD48" s="1997"/>
      <c r="AE48" s="1319"/>
      <c r="AF48" s="2123"/>
      <c r="AG48" s="2124"/>
      <c r="AH48" s="2124"/>
      <c r="AI48" s="1509"/>
      <c r="AJ48" s="1478"/>
      <c r="AK48" s="1478"/>
      <c r="AL48" s="2126"/>
      <c r="AM48" s="2123"/>
      <c r="AN48" s="2124"/>
      <c r="AO48" s="1478"/>
      <c r="AP48" s="1997"/>
      <c r="AQ48" s="2128"/>
      <c r="AR48" s="1509"/>
      <c r="AS48" s="1509"/>
      <c r="AT48" s="1509"/>
      <c r="AU48" s="1509"/>
      <c r="AV48" s="1509"/>
      <c r="AW48" s="1509"/>
      <c r="AX48" s="1509" t="n">
        <v>-50.18</v>
      </c>
      <c r="AY48" s="1509"/>
      <c r="AZ48" s="1509"/>
      <c r="BA48" s="1482"/>
      <c r="BB48" s="1479"/>
      <c r="BC48" s="2023"/>
      <c r="BD48" s="2023"/>
      <c r="BE48" s="1479"/>
      <c r="BF48" s="2023"/>
      <c r="BG48" s="2023"/>
      <c r="BH48" s="2023"/>
      <c r="BI48" s="2023"/>
      <c r="BJ48" s="2023"/>
      <c r="BK48" s="1478"/>
      <c r="BL48" s="1478"/>
      <c r="BM48" s="1478"/>
      <c r="BN48" s="1478"/>
      <c r="BP48" s="1478"/>
      <c r="BQ48" s="2007"/>
      <c r="BR48" s="2008"/>
      <c r="BS48" s="2008"/>
      <c r="BT48" s="2009"/>
      <c r="BU48" s="2017"/>
      <c r="BV48" s="1478"/>
      <c r="BW48" s="1997"/>
      <c r="BX48" s="2007"/>
      <c r="BY48" s="2010"/>
      <c r="BZ48" s="2011"/>
      <c r="CA48" s="1509"/>
      <c r="CB48" s="1509"/>
      <c r="CC48" s="2009"/>
      <c r="CD48" s="2015"/>
      <c r="CE48" s="1479" t="n">
        <f aca="false">CF48+CL48</f>
        <v>780.06</v>
      </c>
      <c r="CF48" s="2007" t="n">
        <v>459.95</v>
      </c>
      <c r="CG48" s="1499"/>
      <c r="CH48" s="2017"/>
      <c r="CI48" s="2017"/>
      <c r="CJ48" s="2018"/>
      <c r="CK48" s="2018"/>
      <c r="CL48" s="1478" t="n">
        <v>320.11</v>
      </c>
      <c r="CM48" s="2018"/>
      <c r="CN48" s="2018"/>
      <c r="CO48" s="1478"/>
      <c r="CP48" s="2017"/>
      <c r="CQ48" s="1478"/>
      <c r="CR48" s="2017"/>
      <c r="CS48" s="2015"/>
      <c r="CT48" s="2019"/>
      <c r="CU48" s="2019"/>
      <c r="CV48" s="2017"/>
      <c r="CW48" s="2023"/>
      <c r="CX48" s="2023"/>
      <c r="CY48" s="2023"/>
      <c r="CZ48" s="2023"/>
      <c r="DA48" s="2024"/>
      <c r="DB48" s="1478"/>
      <c r="DC48" s="1478"/>
      <c r="DD48" s="1478"/>
      <c r="DE48" s="1478" t="n">
        <v>151.3</v>
      </c>
      <c r="DF48" s="1478"/>
      <c r="DG48" s="1997"/>
      <c r="DH48" s="1994"/>
      <c r="DI48" s="1994"/>
      <c r="DJ48" s="1994"/>
      <c r="DK48" s="1997"/>
      <c r="DL48" s="2025"/>
      <c r="DM48" s="111"/>
      <c r="DN48" s="111"/>
      <c r="DO48" s="111"/>
    </row>
    <row r="49" s="485" customFormat="true" ht="12" hidden="false" customHeight="false" outlineLevel="0" collapsed="false">
      <c r="A49" s="31" t="n">
        <f aca="false">A48+1</f>
        <v>1986</v>
      </c>
      <c r="B49" s="1994"/>
      <c r="C49" s="1994"/>
      <c r="D49" s="432"/>
      <c r="E49" s="1995"/>
      <c r="F49" s="1996"/>
      <c r="G49" s="1994"/>
      <c r="H49" s="1478"/>
      <c r="I49" s="1478"/>
      <c r="J49" s="1478"/>
      <c r="K49" s="853"/>
      <c r="L49" s="2000"/>
      <c r="M49" s="1997"/>
      <c r="N49" s="1997"/>
      <c r="O49" s="1997"/>
      <c r="P49" s="1997"/>
      <c r="Q49" s="1997"/>
      <c r="R49" s="1997"/>
      <c r="S49" s="1997"/>
      <c r="T49" s="1997"/>
      <c r="U49" s="2000"/>
      <c r="V49" s="1997"/>
      <c r="W49" s="1997"/>
      <c r="X49" s="1997"/>
      <c r="Y49" s="1997"/>
      <c r="Z49" s="1999"/>
      <c r="AA49" s="1509"/>
      <c r="AB49" s="1509"/>
      <c r="AC49" s="1509"/>
      <c r="AD49" s="1997"/>
      <c r="AE49" s="1319"/>
      <c r="AF49" s="2123"/>
      <c r="AG49" s="2124"/>
      <c r="AH49" s="2124"/>
      <c r="AI49" s="1509"/>
      <c r="AJ49" s="1478"/>
      <c r="AK49" s="1478"/>
      <c r="AL49" s="2126"/>
      <c r="AM49" s="2123"/>
      <c r="AN49" s="2124"/>
      <c r="AO49" s="1478"/>
      <c r="AP49" s="1997"/>
      <c r="AQ49" s="2128"/>
      <c r="AR49" s="1509"/>
      <c r="AS49" s="1509"/>
      <c r="AT49" s="1509"/>
      <c r="AU49" s="1509"/>
      <c r="AV49" s="1509"/>
      <c r="AW49" s="1509"/>
      <c r="AX49" s="1509" t="n">
        <v>-16.29</v>
      </c>
      <c r="AY49" s="1509"/>
      <c r="AZ49" s="1509"/>
      <c r="BA49" s="1482"/>
      <c r="BB49" s="1479"/>
      <c r="BC49" s="2023"/>
      <c r="BD49" s="2023"/>
      <c r="BE49" s="1479"/>
      <c r="BF49" s="2023"/>
      <c r="BG49" s="2023"/>
      <c r="BH49" s="2023"/>
      <c r="BI49" s="2023"/>
      <c r="BJ49" s="2023"/>
      <c r="BK49" s="1478"/>
      <c r="BL49" s="1478"/>
      <c r="BM49" s="1478"/>
      <c r="BN49" s="1478"/>
      <c r="BP49" s="1478"/>
      <c r="BQ49" s="2007"/>
      <c r="BR49" s="2008"/>
      <c r="BS49" s="2008"/>
      <c r="BT49" s="2009"/>
      <c r="BU49" s="2017"/>
      <c r="BV49" s="1478"/>
      <c r="BW49" s="1997"/>
      <c r="BX49" s="2007"/>
      <c r="BY49" s="2010"/>
      <c r="BZ49" s="2011"/>
      <c r="CA49" s="1509"/>
      <c r="CB49" s="1509"/>
      <c r="CC49" s="2009"/>
      <c r="CD49" s="2015"/>
      <c r="CE49" s="1479" t="n">
        <f aca="false">CF49+CL49</f>
        <v>810.61</v>
      </c>
      <c r="CF49" s="2007" t="n">
        <v>473.21</v>
      </c>
      <c r="CG49" s="1499"/>
      <c r="CH49" s="2017"/>
      <c r="CI49" s="2017"/>
      <c r="CJ49" s="2018"/>
      <c r="CK49" s="2018"/>
      <c r="CL49" s="1478" t="n">
        <v>337.4</v>
      </c>
      <c r="CM49" s="2018"/>
      <c r="CN49" s="2018"/>
      <c r="CO49" s="1478"/>
      <c r="CP49" s="2017"/>
      <c r="CQ49" s="1478"/>
      <c r="CR49" s="2017"/>
      <c r="CS49" s="2015"/>
      <c r="CT49" s="2019"/>
      <c r="CU49" s="2019"/>
      <c r="CV49" s="2017"/>
      <c r="CW49" s="2023"/>
      <c r="CX49" s="2023"/>
      <c r="CY49" s="2023"/>
      <c r="CZ49" s="2023"/>
      <c r="DA49" s="2024"/>
      <c r="DB49" s="1478"/>
      <c r="DC49" s="1478"/>
      <c r="DD49" s="1478"/>
      <c r="DE49" s="1478" t="n">
        <v>166.9</v>
      </c>
      <c r="DF49" s="1478"/>
      <c r="DG49" s="1997"/>
      <c r="DH49" s="1994"/>
      <c r="DI49" s="1994"/>
      <c r="DJ49" s="1994"/>
      <c r="DK49" s="1997"/>
      <c r="DL49" s="2025"/>
      <c r="DM49" s="111"/>
      <c r="DN49" s="111"/>
      <c r="DO49" s="111"/>
    </row>
    <row r="50" s="485" customFormat="true" ht="12" hidden="false" customHeight="false" outlineLevel="0" collapsed="false">
      <c r="A50" s="31" t="n">
        <f aca="false">A49+1</f>
        <v>1987</v>
      </c>
      <c r="B50" s="1994"/>
      <c r="C50" s="1994"/>
      <c r="D50" s="432"/>
      <c r="E50" s="1995"/>
      <c r="F50" s="1996"/>
      <c r="G50" s="1994"/>
      <c r="H50" s="1478"/>
      <c r="I50" s="1478"/>
      <c r="J50" s="1478"/>
      <c r="K50" s="853"/>
      <c r="L50" s="2000"/>
      <c r="M50" s="1997"/>
      <c r="N50" s="1997"/>
      <c r="O50" s="1997"/>
      <c r="P50" s="1997"/>
      <c r="Q50" s="1997"/>
      <c r="R50" s="1997"/>
      <c r="S50" s="1997"/>
      <c r="T50" s="1997"/>
      <c r="U50" s="2000"/>
      <c r="V50" s="1997"/>
      <c r="W50" s="1997"/>
      <c r="X50" s="1997"/>
      <c r="Y50" s="1997"/>
      <c r="Z50" s="1999"/>
      <c r="AA50" s="1509"/>
      <c r="AB50" s="1509"/>
      <c r="AC50" s="1509"/>
      <c r="AD50" s="1997"/>
      <c r="AE50" s="1319"/>
      <c r="AF50" s="2123"/>
      <c r="AG50" s="2124"/>
      <c r="AH50" s="2124"/>
      <c r="AI50" s="1509"/>
      <c r="AJ50" s="1478"/>
      <c r="AK50" s="1478"/>
      <c r="AL50" s="2126"/>
      <c r="AM50" s="2123"/>
      <c r="AN50" s="2124"/>
      <c r="AO50" s="1478"/>
      <c r="AP50" s="1997"/>
      <c r="AQ50" s="2128"/>
      <c r="AR50" s="1509"/>
      <c r="AS50" s="1509"/>
      <c r="AT50" s="1509"/>
      <c r="AU50" s="1509"/>
      <c r="AV50" s="1509"/>
      <c r="AW50" s="1509"/>
      <c r="AX50" s="1509" t="n">
        <v>-27.02</v>
      </c>
      <c r="AY50" s="1509"/>
      <c r="AZ50" s="1509"/>
      <c r="BA50" s="1482"/>
      <c r="BB50" s="1479"/>
      <c r="BC50" s="2023"/>
      <c r="BD50" s="2023"/>
      <c r="BE50" s="1479"/>
      <c r="BF50" s="2023"/>
      <c r="BG50" s="2023"/>
      <c r="BH50" s="2023"/>
      <c r="BI50" s="2023"/>
      <c r="BJ50" s="2023"/>
      <c r="BK50" s="1478"/>
      <c r="BL50" s="1478"/>
      <c r="BM50" s="1478"/>
      <c r="BN50" s="1478"/>
      <c r="BP50" s="1478"/>
      <c r="BQ50" s="2007"/>
      <c r="BR50" s="2008"/>
      <c r="BS50" s="2008"/>
      <c r="BT50" s="2009"/>
      <c r="BU50" s="2017"/>
      <c r="BV50" s="1478"/>
      <c r="BW50" s="1997"/>
      <c r="BX50" s="2007"/>
      <c r="BY50" s="2010"/>
      <c r="BZ50" s="2011"/>
      <c r="CA50" s="1509"/>
      <c r="CB50" s="1509"/>
      <c r="CC50" s="2009"/>
      <c r="CD50" s="2015"/>
      <c r="CE50" s="1479" t="n">
        <f aca="false">CF50+CL50</f>
        <v>841.99</v>
      </c>
      <c r="CF50" s="2007" t="n">
        <v>491.44</v>
      </c>
      <c r="CG50" s="1499"/>
      <c r="CH50" s="2017"/>
      <c r="CI50" s="2017"/>
      <c r="CJ50" s="2018"/>
      <c r="CK50" s="2018"/>
      <c r="CL50" s="1478" t="n">
        <v>350.55</v>
      </c>
      <c r="CM50" s="2018"/>
      <c r="CN50" s="2018"/>
      <c r="CO50" s="1478"/>
      <c r="CP50" s="2017"/>
      <c r="CQ50" s="1478"/>
      <c r="CR50" s="2017"/>
      <c r="CS50" s="2015"/>
      <c r="CT50" s="2019"/>
      <c r="CU50" s="2019"/>
      <c r="CV50" s="2017"/>
      <c r="CW50" s="2023"/>
      <c r="CX50" s="2023"/>
      <c r="CY50" s="2023"/>
      <c r="CZ50" s="2023"/>
      <c r="DA50" s="2024"/>
      <c r="DB50" s="1478"/>
      <c r="DC50" s="1478"/>
      <c r="DD50" s="1478"/>
      <c r="DE50" s="1478" t="n">
        <v>175.2</v>
      </c>
      <c r="DF50" s="1478"/>
      <c r="DG50" s="1997"/>
      <c r="DH50" s="1994"/>
      <c r="DI50" s="1994"/>
      <c r="DJ50" s="1994"/>
      <c r="DK50" s="1997"/>
      <c r="DL50" s="2025"/>
      <c r="DM50" s="111"/>
      <c r="DN50" s="111"/>
      <c r="DO50" s="111"/>
    </row>
    <row r="51" s="485" customFormat="true" ht="12" hidden="false" customHeight="false" outlineLevel="0" collapsed="false">
      <c r="A51" s="31" t="n">
        <f aca="false">A50+1</f>
        <v>1988</v>
      </c>
      <c r="B51" s="1994"/>
      <c r="C51" s="1994"/>
      <c r="D51" s="432"/>
      <c r="E51" s="1995"/>
      <c r="F51" s="1996"/>
      <c r="G51" s="1994"/>
      <c r="H51" s="1478"/>
      <c r="I51" s="1478"/>
      <c r="J51" s="1478"/>
      <c r="K51" s="853"/>
      <c r="L51" s="2000"/>
      <c r="M51" s="1997"/>
      <c r="N51" s="1997"/>
      <c r="O51" s="1997"/>
      <c r="P51" s="1997"/>
      <c r="Q51" s="1997"/>
      <c r="R51" s="1997"/>
      <c r="S51" s="1997"/>
      <c r="T51" s="1997"/>
      <c r="U51" s="2000"/>
      <c r="V51" s="1997"/>
      <c r="W51" s="1997"/>
      <c r="X51" s="1997"/>
      <c r="Y51" s="1997"/>
      <c r="Z51" s="1999"/>
      <c r="AA51" s="1509"/>
      <c r="AB51" s="1509"/>
      <c r="AC51" s="1509"/>
      <c r="AD51" s="1997"/>
      <c r="AE51" s="1319"/>
      <c r="AF51" s="2123"/>
      <c r="AG51" s="2124"/>
      <c r="AH51" s="2124"/>
      <c r="AI51" s="1509"/>
      <c r="AJ51" s="1478"/>
      <c r="AK51" s="1478"/>
      <c r="AL51" s="2126"/>
      <c r="AM51" s="2123"/>
      <c r="AN51" s="2124"/>
      <c r="AO51" s="1478"/>
      <c r="AP51" s="1997"/>
      <c r="AQ51" s="2128"/>
      <c r="AR51" s="1509"/>
      <c r="AS51" s="1509"/>
      <c r="AT51" s="1509"/>
      <c r="AU51" s="1509"/>
      <c r="AV51" s="1509"/>
      <c r="AW51" s="1509"/>
      <c r="AX51" s="1509" t="n">
        <v>-5.45</v>
      </c>
      <c r="AY51" s="1509"/>
      <c r="AZ51" s="1509"/>
      <c r="BA51" s="1482"/>
      <c r="BB51" s="1479"/>
      <c r="BC51" s="2023"/>
      <c r="BD51" s="2023"/>
      <c r="BE51" s="1479"/>
      <c r="BF51" s="2023"/>
      <c r="BG51" s="2023"/>
      <c r="BH51" s="2023"/>
      <c r="BI51" s="2023"/>
      <c r="BJ51" s="2023"/>
      <c r="BK51" s="1478"/>
      <c r="BL51" s="1478"/>
      <c r="BM51" s="1478"/>
      <c r="BN51" s="1478"/>
      <c r="BP51" s="1478"/>
      <c r="BQ51" s="2007"/>
      <c r="BR51" s="2008"/>
      <c r="BS51" s="2008"/>
      <c r="BT51" s="2009"/>
      <c r="BU51" s="2017"/>
      <c r="BV51" s="1478"/>
      <c r="BW51" s="1997"/>
      <c r="BX51" s="2007"/>
      <c r="BY51" s="2010"/>
      <c r="BZ51" s="2011"/>
      <c r="CA51" s="1509"/>
      <c r="CB51" s="1509"/>
      <c r="CC51" s="2009"/>
      <c r="CD51" s="2015"/>
      <c r="CE51" s="1479" t="n">
        <f aca="false">CF51+CL51</f>
        <v>879.25</v>
      </c>
      <c r="CF51" s="2007" t="n">
        <v>512.52</v>
      </c>
      <c r="CG51" s="1499"/>
      <c r="CH51" s="2017"/>
      <c r="CI51" s="2017"/>
      <c r="CJ51" s="2018"/>
      <c r="CK51" s="2018"/>
      <c r="CL51" s="1478" t="n">
        <v>366.73</v>
      </c>
      <c r="CM51" s="2018"/>
      <c r="CN51" s="2018"/>
      <c r="CO51" s="1478"/>
      <c r="CP51" s="2017"/>
      <c r="CQ51" s="1478"/>
      <c r="CR51" s="2017"/>
      <c r="CS51" s="2015"/>
      <c r="CT51" s="2019"/>
      <c r="CU51" s="2019"/>
      <c r="CV51" s="2017"/>
      <c r="CW51" s="2023"/>
      <c r="CX51" s="2023"/>
      <c r="CY51" s="2023"/>
      <c r="CZ51" s="2023"/>
      <c r="DA51" s="2024"/>
      <c r="DB51" s="1478"/>
      <c r="DC51" s="1478"/>
      <c r="DD51" s="1478"/>
      <c r="DE51" s="1478" t="n">
        <v>186.2</v>
      </c>
      <c r="DF51" s="1478"/>
      <c r="DG51" s="1997"/>
      <c r="DH51" s="1994"/>
      <c r="DI51" s="1994"/>
      <c r="DJ51" s="1994"/>
      <c r="DK51" s="1997"/>
      <c r="DL51" s="2025"/>
      <c r="DM51" s="111"/>
      <c r="DN51" s="111"/>
      <c r="DO51" s="111"/>
    </row>
    <row r="52" s="485" customFormat="true" ht="12" hidden="false" customHeight="false" outlineLevel="0" collapsed="false">
      <c r="A52" s="31" t="n">
        <f aca="false">A51+1</f>
        <v>1989</v>
      </c>
      <c r="B52" s="1994"/>
      <c r="C52" s="1994"/>
      <c r="D52" s="432"/>
      <c r="E52" s="1995"/>
      <c r="F52" s="1996"/>
      <c r="G52" s="1994"/>
      <c r="H52" s="1478"/>
      <c r="I52" s="1478"/>
      <c r="J52" s="1478"/>
      <c r="K52" s="853"/>
      <c r="L52" s="2000"/>
      <c r="M52" s="1997"/>
      <c r="N52" s="1997"/>
      <c r="O52" s="1997"/>
      <c r="P52" s="1997"/>
      <c r="Q52" s="1997"/>
      <c r="R52" s="1997"/>
      <c r="S52" s="1997"/>
      <c r="T52" s="1997"/>
      <c r="U52" s="2000"/>
      <c r="V52" s="1997"/>
      <c r="W52" s="1997"/>
      <c r="X52" s="1997"/>
      <c r="Y52" s="1997"/>
      <c r="Z52" s="1999"/>
      <c r="AA52" s="1509"/>
      <c r="AB52" s="1509"/>
      <c r="AC52" s="1509"/>
      <c r="AD52" s="1997"/>
      <c r="AE52" s="1319"/>
      <c r="AF52" s="2123"/>
      <c r="AG52" s="2124"/>
      <c r="AH52" s="2124"/>
      <c r="AI52" s="1509"/>
      <c r="AJ52" s="1478"/>
      <c r="AK52" s="1478"/>
      <c r="AL52" s="2126"/>
      <c r="AM52" s="2123"/>
      <c r="AN52" s="2124"/>
      <c r="AO52" s="1478"/>
      <c r="AP52" s="1997"/>
      <c r="AQ52" s="2128"/>
      <c r="AR52" s="1509"/>
      <c r="AS52" s="1509"/>
      <c r="AT52" s="1509"/>
      <c r="AU52" s="1509"/>
      <c r="AV52" s="1509"/>
      <c r="AW52" s="1509"/>
      <c r="AX52" s="1509" t="n">
        <v>-4.43</v>
      </c>
      <c r="AY52" s="1509"/>
      <c r="AZ52" s="1509"/>
      <c r="BA52" s="1482"/>
      <c r="BB52" s="1479"/>
      <c r="BC52" s="2023"/>
      <c r="BD52" s="2023"/>
      <c r="BE52" s="1479"/>
      <c r="BF52" s="2023"/>
      <c r="BG52" s="2023"/>
      <c r="BH52" s="2023"/>
      <c r="BI52" s="2023"/>
      <c r="BJ52" s="2023"/>
      <c r="BK52" s="1478"/>
      <c r="BL52" s="1478"/>
      <c r="BM52" s="1478"/>
      <c r="BN52" s="1478"/>
      <c r="BP52" s="1478"/>
      <c r="BQ52" s="2007"/>
      <c r="BR52" s="2008"/>
      <c r="BS52" s="2008"/>
      <c r="BT52" s="2009"/>
      <c r="BU52" s="2017"/>
      <c r="BV52" s="1478"/>
      <c r="BW52" s="1997"/>
      <c r="BX52" s="2007"/>
      <c r="BY52" s="2010"/>
      <c r="BZ52" s="2011"/>
      <c r="CA52" s="1509"/>
      <c r="CB52" s="1509"/>
      <c r="CC52" s="2009"/>
      <c r="CD52" s="2015"/>
      <c r="CE52" s="1479" t="n">
        <f aca="false">CF52+CL52</f>
        <v>943.37</v>
      </c>
      <c r="CF52" s="2007" t="n">
        <v>559.98</v>
      </c>
      <c r="CG52" s="1499"/>
      <c r="CH52" s="2017"/>
      <c r="CI52" s="2017"/>
      <c r="CJ52" s="2018"/>
      <c r="CK52" s="2018"/>
      <c r="CL52" s="1478" t="n">
        <v>383.39</v>
      </c>
      <c r="CM52" s="2018"/>
      <c r="CN52" s="2018"/>
      <c r="CO52" s="1478"/>
      <c r="CP52" s="2017"/>
      <c r="CQ52" s="1478"/>
      <c r="CR52" s="2017"/>
      <c r="CS52" s="2015"/>
      <c r="CT52" s="2019"/>
      <c r="CU52" s="2019"/>
      <c r="CV52" s="2017"/>
      <c r="CW52" s="2023"/>
      <c r="CX52" s="2023"/>
      <c r="CY52" s="2023"/>
      <c r="CZ52" s="2023"/>
      <c r="DA52" s="2024"/>
      <c r="DB52" s="1478"/>
      <c r="DC52" s="1478"/>
      <c r="DD52" s="1478"/>
      <c r="DE52" s="1478" t="n">
        <v>188.5</v>
      </c>
      <c r="DF52" s="1478"/>
      <c r="DG52" s="1997"/>
      <c r="DH52" s="1994"/>
      <c r="DI52" s="1994"/>
      <c r="DJ52" s="1994"/>
      <c r="DK52" s="1997"/>
      <c r="DL52" s="2025"/>
      <c r="DM52" s="111"/>
      <c r="DN52" s="111"/>
      <c r="DO52" s="111"/>
    </row>
    <row r="53" s="485" customFormat="true" ht="12" hidden="false" customHeight="false" outlineLevel="0" collapsed="false">
      <c r="A53" s="31" t="n">
        <f aca="false">A52+1</f>
        <v>1990</v>
      </c>
      <c r="B53" s="1994"/>
      <c r="C53" s="1994"/>
      <c r="D53" s="432"/>
      <c r="E53" s="1995"/>
      <c r="F53" s="1996"/>
      <c r="G53" s="1994"/>
      <c r="H53" s="1478"/>
      <c r="I53" s="1478"/>
      <c r="J53" s="1478"/>
      <c r="K53" s="853"/>
      <c r="L53" s="2000"/>
      <c r="M53" s="1997"/>
      <c r="N53" s="1997"/>
      <c r="O53" s="1997"/>
      <c r="P53" s="1997"/>
      <c r="Q53" s="1997"/>
      <c r="R53" s="1997"/>
      <c r="S53" s="1997"/>
      <c r="T53" s="1997"/>
      <c r="U53" s="2000"/>
      <c r="V53" s="1997"/>
      <c r="W53" s="1997"/>
      <c r="X53" s="1997"/>
      <c r="Y53" s="1997"/>
      <c r="Z53" s="1999"/>
      <c r="AA53" s="1509"/>
      <c r="AB53" s="1509"/>
      <c r="AC53" s="1509"/>
      <c r="AD53" s="1997"/>
      <c r="AE53" s="1319"/>
      <c r="AF53" s="2123"/>
      <c r="AG53" s="2124"/>
      <c r="AH53" s="2124"/>
      <c r="AI53" s="1509"/>
      <c r="AJ53" s="1478"/>
      <c r="AK53" s="1478"/>
      <c r="AL53" s="2126"/>
      <c r="AM53" s="2123"/>
      <c r="AN53" s="2124"/>
      <c r="AO53" s="1478"/>
      <c r="AP53" s="1997"/>
      <c r="AQ53" s="2128"/>
      <c r="AR53" s="1509"/>
      <c r="AS53" s="1509"/>
      <c r="AT53" s="1509"/>
      <c r="AU53" s="1509"/>
      <c r="AV53" s="1509"/>
      <c r="AW53" s="1509"/>
      <c r="AX53" s="1509" t="n">
        <v>16.74</v>
      </c>
      <c r="AY53" s="1509"/>
      <c r="AZ53" s="1509"/>
      <c r="BA53" s="1482"/>
      <c r="BB53" s="1479"/>
      <c r="BC53" s="2023"/>
      <c r="BD53" s="2023"/>
      <c r="BE53" s="1479"/>
      <c r="BF53" s="2023"/>
      <c r="BG53" s="2023"/>
      <c r="BH53" s="2023"/>
      <c r="BI53" s="2023"/>
      <c r="BJ53" s="2023"/>
      <c r="BK53" s="1478"/>
      <c r="BL53" s="1478"/>
      <c r="BM53" s="1478"/>
      <c r="BN53" s="1478"/>
      <c r="BP53" s="1478"/>
      <c r="BQ53" s="2007"/>
      <c r="BR53" s="2008"/>
      <c r="BS53" s="2008"/>
      <c r="BT53" s="2009"/>
      <c r="BU53" s="2017"/>
      <c r="BV53" s="1478"/>
      <c r="BW53" s="1997"/>
      <c r="BX53" s="2007"/>
      <c r="BY53" s="2011"/>
      <c r="BZ53" s="2011"/>
      <c r="CA53" s="1509"/>
      <c r="CB53" s="1509"/>
      <c r="CC53" s="2009"/>
      <c r="CD53" s="2015"/>
      <c r="CE53" s="1479" t="n">
        <f aca="false">CF53+CL53</f>
        <v>983.71</v>
      </c>
      <c r="CF53" s="2007" t="n">
        <v>574.3</v>
      </c>
      <c r="CG53" s="1499"/>
      <c r="CH53" s="2017"/>
      <c r="CI53" s="2017"/>
      <c r="CJ53" s="2018"/>
      <c r="CK53" s="2018"/>
      <c r="CL53" s="1478" t="n">
        <v>409.41</v>
      </c>
      <c r="CM53" s="2018"/>
      <c r="CN53" s="2018"/>
      <c r="CO53" s="2044"/>
      <c r="CP53" s="2017"/>
      <c r="CQ53" s="1478"/>
      <c r="CR53" s="2017"/>
      <c r="CS53" s="2015"/>
      <c r="CT53" s="1996"/>
      <c r="CU53" s="1996"/>
      <c r="CV53" s="1479"/>
      <c r="CW53" s="2023"/>
      <c r="CX53" s="2023"/>
      <c r="CY53" s="2023"/>
      <c r="CZ53" s="2032"/>
      <c r="DA53" s="2024"/>
      <c r="DB53" s="1478"/>
      <c r="DC53" s="1478"/>
      <c r="DD53" s="1478"/>
      <c r="DE53" s="1478" t="n">
        <v>224.6</v>
      </c>
      <c r="DF53" s="1478"/>
      <c r="DG53" s="1997"/>
      <c r="DH53" s="1994"/>
      <c r="DI53" s="1994"/>
      <c r="DJ53" s="1994"/>
      <c r="DK53" s="1997"/>
      <c r="DL53" s="2025"/>
      <c r="DM53" s="111"/>
      <c r="DN53" s="111"/>
      <c r="DO53" s="111"/>
    </row>
    <row r="54" customFormat="false" ht="12" hidden="false" customHeight="false" outlineLevel="0" collapsed="false">
      <c r="A54" s="31"/>
      <c r="B54" s="1994"/>
      <c r="C54" s="1994"/>
      <c r="D54" s="381"/>
      <c r="E54" s="1995"/>
      <c r="F54" s="1996"/>
      <c r="G54" s="1994"/>
      <c r="H54" s="1478"/>
      <c r="I54" s="1478"/>
      <c r="J54" s="1478"/>
      <c r="K54" s="1994"/>
      <c r="L54" s="1479"/>
      <c r="M54" s="1479"/>
      <c r="N54" s="1479"/>
      <c r="O54" s="1479"/>
      <c r="P54" s="1479"/>
      <c r="Q54" s="1479"/>
      <c r="R54" s="1479"/>
      <c r="S54" s="1479"/>
      <c r="T54" s="1479"/>
      <c r="U54" s="1479"/>
      <c r="V54" s="1479"/>
      <c r="W54" s="1479"/>
      <c r="X54" s="1479"/>
      <c r="Y54" s="1479"/>
      <c r="Z54" s="1479"/>
      <c r="AA54" s="1478"/>
      <c r="AB54" s="1478"/>
      <c r="AC54" s="1478"/>
      <c r="AD54" s="2158"/>
      <c r="AE54" s="514"/>
      <c r="AF54" s="2159"/>
      <c r="AG54" s="2124"/>
      <c r="AH54" s="2124"/>
      <c r="AI54" s="1478"/>
      <c r="AJ54" s="1478"/>
      <c r="AK54" s="1478"/>
      <c r="AL54" s="2126"/>
      <c r="AM54" s="2159"/>
      <c r="AN54" s="2124"/>
      <c r="AO54" s="2158"/>
      <c r="AP54" s="2158"/>
      <c r="AQ54" s="2126"/>
      <c r="AR54" s="1478"/>
      <c r="AS54" s="1478"/>
      <c r="AT54" s="1478"/>
      <c r="AU54" s="1478"/>
      <c r="AV54" s="1478"/>
      <c r="AW54" s="1478"/>
      <c r="AX54" s="1478"/>
      <c r="AY54" s="1478"/>
      <c r="AZ54" s="1478"/>
      <c r="BA54" s="1479"/>
      <c r="BB54" s="1479"/>
      <c r="BC54" s="1479"/>
      <c r="BD54" s="1479"/>
      <c r="BE54" s="1479"/>
      <c r="BF54" s="1479"/>
      <c r="BG54" s="1479"/>
      <c r="BH54" s="2023"/>
      <c r="BI54" s="1479"/>
      <c r="BJ54" s="1479"/>
      <c r="BK54" s="1478"/>
      <c r="BL54" s="1478"/>
      <c r="BM54" s="1478"/>
      <c r="BN54" s="1478"/>
      <c r="BO54" s="1479"/>
      <c r="BP54" s="1479"/>
      <c r="BQ54" s="1994"/>
      <c r="BR54" s="1478"/>
      <c r="BS54" s="1478"/>
      <c r="BT54" s="1479"/>
      <c r="BU54" s="1479"/>
      <c r="BV54" s="1479"/>
      <c r="BW54" s="2023"/>
      <c r="BX54" s="1994"/>
      <c r="BY54" s="2010"/>
      <c r="BZ54" s="2010"/>
      <c r="CA54" s="1478"/>
      <c r="CB54" s="1478"/>
      <c r="CC54" s="2023"/>
      <c r="CD54" s="1479"/>
      <c r="CE54" s="1479"/>
      <c r="CF54" s="1994"/>
      <c r="CG54" s="1478"/>
      <c r="CH54" s="1479"/>
      <c r="CI54" s="1479"/>
      <c r="CJ54" s="2155"/>
      <c r="CK54" s="2155"/>
      <c r="CL54" s="1479"/>
      <c r="CM54" s="2155"/>
      <c r="CN54" s="2155"/>
      <c r="CO54" s="2023"/>
      <c r="CP54" s="1479"/>
      <c r="CQ54" s="1479"/>
      <c r="CR54" s="2023"/>
      <c r="CS54" s="1479"/>
      <c r="CT54" s="1996"/>
      <c r="CU54" s="1996"/>
      <c r="CV54" s="2023"/>
      <c r="CW54" s="2023"/>
      <c r="CX54" s="1479"/>
      <c r="CY54" s="1479"/>
      <c r="CZ54" s="2023"/>
      <c r="DA54" s="1478"/>
      <c r="DB54" s="1479"/>
      <c r="DC54" s="1479"/>
      <c r="DD54" s="1479"/>
      <c r="DE54" s="1479"/>
      <c r="DF54" s="1478"/>
      <c r="DG54" s="2023"/>
      <c r="DH54" s="1994"/>
      <c r="DI54" s="1994"/>
      <c r="DJ54" s="1994"/>
      <c r="DK54" s="2023"/>
      <c r="DL54" s="1994"/>
      <c r="DM54" s="111"/>
      <c r="DN54" s="111"/>
      <c r="DO54" s="111"/>
    </row>
    <row r="55" customFormat="false" ht="12" hidden="false" customHeight="false" outlineLevel="0" collapsed="false">
      <c r="A55" s="31"/>
      <c r="B55" s="1994"/>
      <c r="C55" s="1994"/>
      <c r="D55" s="381"/>
      <c r="E55" s="1995"/>
      <c r="F55" s="1996"/>
      <c r="G55" s="1994"/>
      <c r="H55" s="387"/>
      <c r="I55" s="1478"/>
      <c r="J55" s="1478"/>
      <c r="K55" s="1994"/>
      <c r="L55" s="1479"/>
      <c r="M55" s="1479"/>
      <c r="N55" s="1479"/>
      <c r="O55" s="1479"/>
      <c r="P55" s="1479"/>
      <c r="Q55" s="1479"/>
      <c r="R55" s="1479"/>
      <c r="S55" s="1479"/>
      <c r="T55" s="1479"/>
      <c r="U55" s="1479"/>
      <c r="V55" s="1479"/>
      <c r="W55" s="1479"/>
      <c r="X55" s="1479"/>
      <c r="Y55" s="1479"/>
      <c r="Z55" s="1479"/>
      <c r="AA55" s="1478"/>
      <c r="AB55" s="1478"/>
      <c r="AC55" s="1478"/>
      <c r="AD55" s="2158"/>
      <c r="AE55" s="514"/>
      <c r="AF55" s="2159"/>
      <c r="AG55" s="2124"/>
      <c r="AH55" s="2124"/>
      <c r="AI55" s="1478"/>
      <c r="AJ55" s="1478"/>
      <c r="AK55" s="1478"/>
      <c r="AL55" s="2126"/>
      <c r="AM55" s="2159"/>
      <c r="AN55" s="2124"/>
      <c r="AO55" s="2158"/>
      <c r="AP55" s="2158"/>
      <c r="AQ55" s="2126"/>
      <c r="AR55" s="1478"/>
      <c r="AS55" s="1478"/>
      <c r="AT55" s="1478"/>
      <c r="AU55" s="1478"/>
      <c r="AV55" s="1478"/>
      <c r="AW55" s="1478"/>
      <c r="AX55" s="1478"/>
      <c r="AY55" s="1478"/>
      <c r="AZ55" s="1478"/>
      <c r="BA55" s="1479"/>
      <c r="BB55" s="1479"/>
      <c r="BC55" s="1479"/>
      <c r="BD55" s="1479"/>
      <c r="BE55" s="1479"/>
      <c r="BF55" s="1479"/>
      <c r="BG55" s="1479"/>
      <c r="BH55" s="2023"/>
      <c r="BI55" s="1479"/>
      <c r="BJ55" s="1479"/>
      <c r="BK55" s="1478"/>
      <c r="BL55" s="1478"/>
      <c r="BM55" s="1478"/>
      <c r="BN55" s="1478"/>
      <c r="BO55" s="1479"/>
      <c r="BP55" s="1479"/>
      <c r="BQ55" s="1994"/>
      <c r="BR55" s="1478"/>
      <c r="BS55" s="1478"/>
      <c r="BT55" s="1479"/>
      <c r="BU55" s="1479"/>
      <c r="BV55" s="1479"/>
      <c r="BW55" s="2023"/>
      <c r="BX55" s="1994"/>
      <c r="BY55" s="2010"/>
      <c r="BZ55" s="2010"/>
      <c r="CA55" s="1478"/>
      <c r="CB55" s="1478"/>
      <c r="CC55" s="2023"/>
      <c r="CD55" s="1479"/>
      <c r="CE55" s="1479"/>
      <c r="CF55" s="1994"/>
      <c r="CG55" s="1478"/>
      <c r="CH55" s="1479"/>
      <c r="CI55" s="1479"/>
      <c r="CJ55" s="2155"/>
      <c r="CK55" s="2155"/>
      <c r="CL55" s="1479"/>
      <c r="CM55" s="2155"/>
      <c r="CN55" s="2155"/>
      <c r="CO55" s="2023"/>
      <c r="CP55" s="1479"/>
      <c r="CQ55" s="1479"/>
      <c r="CR55" s="2023"/>
      <c r="CS55" s="1479"/>
      <c r="CT55" s="1996"/>
      <c r="CU55" s="1996"/>
      <c r="CV55" s="2023"/>
      <c r="CW55" s="2023"/>
      <c r="CX55" s="1479"/>
      <c r="CY55" s="1479"/>
      <c r="CZ55" s="2023"/>
      <c r="DA55" s="1478"/>
      <c r="DB55" s="1479"/>
      <c r="DC55" s="1479"/>
      <c r="DD55" s="1479"/>
      <c r="DE55" s="1479"/>
      <c r="DF55" s="1478"/>
      <c r="DG55" s="2023"/>
      <c r="DH55" s="1994"/>
      <c r="DI55" s="1994"/>
      <c r="DJ55" s="1994"/>
      <c r="DK55" s="2023"/>
      <c r="DL55" s="1994"/>
      <c r="DM55" s="111"/>
      <c r="DN55" s="111"/>
      <c r="DO55" s="111"/>
    </row>
    <row r="56" customFormat="false" ht="12" hidden="false" customHeight="false" outlineLevel="0" collapsed="false">
      <c r="A56" s="31"/>
      <c r="B56" s="1994"/>
      <c r="C56" s="1994"/>
      <c r="D56" s="381"/>
      <c r="E56" s="1995"/>
      <c r="F56" s="1996"/>
      <c r="G56" s="1994"/>
      <c r="H56" s="1478"/>
      <c r="I56" s="1478"/>
      <c r="J56" s="1478"/>
      <c r="K56" s="1994"/>
      <c r="L56" s="1479"/>
      <c r="M56" s="1479"/>
      <c r="N56" s="1479"/>
      <c r="O56" s="1479"/>
      <c r="P56" s="1479"/>
      <c r="Q56" s="1479"/>
      <c r="R56" s="1479"/>
      <c r="S56" s="1479"/>
      <c r="T56" s="1479"/>
      <c r="U56" s="1479"/>
      <c r="V56" s="1479"/>
      <c r="W56" s="1479"/>
      <c r="X56" s="1479"/>
      <c r="Y56" s="1479"/>
      <c r="Z56" s="1479"/>
      <c r="AA56" s="1478"/>
      <c r="AB56" s="1478"/>
      <c r="AC56" s="1478"/>
      <c r="AD56" s="2158"/>
      <c r="AE56" s="514"/>
      <c r="AF56" s="2159"/>
      <c r="AG56" s="2124"/>
      <c r="AH56" s="2124"/>
      <c r="AI56" s="1478"/>
      <c r="AJ56" s="1478"/>
      <c r="AK56" s="1478"/>
      <c r="AL56" s="2126"/>
      <c r="AM56" s="2159"/>
      <c r="AN56" s="2124"/>
      <c r="AO56" s="2158"/>
      <c r="AP56" s="2158"/>
      <c r="AQ56" s="2126"/>
      <c r="AR56" s="1478"/>
      <c r="AS56" s="1478"/>
      <c r="AT56" s="1478"/>
      <c r="AU56" s="1478"/>
      <c r="AV56" s="1478"/>
      <c r="AW56" s="1478"/>
      <c r="AX56" s="1478"/>
      <c r="AY56" s="1478"/>
      <c r="AZ56" s="1478"/>
      <c r="BA56" s="1479"/>
      <c r="BB56" s="1479"/>
      <c r="BC56" s="1479"/>
      <c r="BD56" s="1479"/>
      <c r="BE56" s="1479"/>
      <c r="BF56" s="1479"/>
      <c r="BG56" s="1479"/>
      <c r="BH56" s="2023"/>
      <c r="BI56" s="1479"/>
      <c r="BJ56" s="1479"/>
      <c r="BK56" s="1478"/>
      <c r="BL56" s="1478"/>
      <c r="BM56" s="1478"/>
      <c r="BN56" s="1478"/>
      <c r="BO56" s="1479"/>
      <c r="BP56" s="1479"/>
      <c r="BQ56" s="1994"/>
      <c r="BR56" s="1478"/>
      <c r="BS56" s="1478"/>
      <c r="BT56" s="1479"/>
      <c r="BU56" s="1479"/>
      <c r="BV56" s="1479"/>
      <c r="BW56" s="2023"/>
      <c r="BX56" s="1994"/>
      <c r="BY56" s="2010"/>
      <c r="BZ56" s="2010"/>
      <c r="CA56" s="1478"/>
      <c r="CB56" s="1478"/>
      <c r="CC56" s="2023"/>
      <c r="CD56" s="1479"/>
      <c r="CE56" s="1479"/>
      <c r="CF56" s="1994"/>
      <c r="CG56" s="1478"/>
      <c r="CH56" s="1479"/>
      <c r="CI56" s="1479"/>
      <c r="CJ56" s="2155"/>
      <c r="CK56" s="2155"/>
      <c r="CL56" s="1479"/>
      <c r="CM56" s="2155"/>
      <c r="CN56" s="2155"/>
      <c r="CO56" s="2023"/>
      <c r="CP56" s="1479"/>
      <c r="CQ56" s="1479"/>
      <c r="CR56" s="2023"/>
      <c r="CS56" s="1479"/>
      <c r="CT56" s="1996"/>
      <c r="CU56" s="1996"/>
      <c r="CV56" s="2023"/>
      <c r="CW56" s="2023"/>
      <c r="CX56" s="1479"/>
      <c r="CY56" s="1479"/>
      <c r="CZ56" s="2023"/>
      <c r="DA56" s="1478"/>
      <c r="DB56" s="1479"/>
      <c r="DC56" s="1479"/>
      <c r="DD56" s="1479"/>
      <c r="DE56" s="1479"/>
      <c r="DF56" s="1478"/>
      <c r="DG56" s="2023"/>
      <c r="DH56" s="1994"/>
      <c r="DI56" s="1994"/>
      <c r="DJ56" s="1994"/>
      <c r="DK56" s="2023"/>
      <c r="DL56" s="1994"/>
      <c r="DM56" s="111"/>
      <c r="DN56" s="111"/>
      <c r="DO56" s="111"/>
    </row>
    <row r="57" customFormat="false" ht="12" hidden="false" customHeight="false" outlineLevel="0" collapsed="false">
      <c r="A57" s="31"/>
      <c r="B57" s="1994"/>
      <c r="C57" s="1994"/>
      <c r="D57" s="381"/>
      <c r="E57" s="1995"/>
      <c r="F57" s="1996"/>
      <c r="G57" s="1994"/>
      <c r="H57" s="1478"/>
      <c r="I57" s="1478"/>
      <c r="J57" s="1478"/>
      <c r="K57" s="1994"/>
      <c r="L57" s="1479"/>
      <c r="M57" s="1479"/>
      <c r="N57" s="1479"/>
      <c r="O57" s="1479"/>
      <c r="P57" s="1479"/>
      <c r="Q57" s="1479"/>
      <c r="R57" s="1479"/>
      <c r="S57" s="1479"/>
      <c r="T57" s="1479"/>
      <c r="U57" s="1479"/>
      <c r="V57" s="1479"/>
      <c r="W57" s="1479"/>
      <c r="X57" s="1479"/>
      <c r="Y57" s="1479"/>
      <c r="Z57" s="1479"/>
      <c r="AA57" s="1478"/>
      <c r="AB57" s="1478"/>
      <c r="AC57" s="1478"/>
      <c r="AD57" s="2158"/>
      <c r="AE57" s="514"/>
      <c r="AF57" s="2159"/>
      <c r="AG57" s="2124"/>
      <c r="AH57" s="2124"/>
      <c r="AI57" s="1478"/>
      <c r="AJ57" s="1478"/>
      <c r="AK57" s="1478"/>
      <c r="AL57" s="2126"/>
      <c r="AM57" s="2159"/>
      <c r="AN57" s="2124"/>
      <c r="AO57" s="2158"/>
      <c r="AP57" s="2158"/>
      <c r="AQ57" s="2126"/>
      <c r="AR57" s="1478"/>
      <c r="AS57" s="1478"/>
      <c r="AT57" s="1478"/>
      <c r="AU57" s="1478"/>
      <c r="AV57" s="1478"/>
      <c r="AW57" s="1478"/>
      <c r="AX57" s="1478"/>
      <c r="AY57" s="1478"/>
      <c r="AZ57" s="1478"/>
      <c r="BA57" s="1479"/>
      <c r="BB57" s="1479"/>
      <c r="BC57" s="1479"/>
      <c r="BD57" s="1479"/>
      <c r="BE57" s="1479"/>
      <c r="BF57" s="1479"/>
      <c r="BG57" s="1479"/>
      <c r="BH57" s="2023"/>
      <c r="BI57" s="1479"/>
      <c r="BJ57" s="1479"/>
      <c r="BK57" s="1478"/>
      <c r="BL57" s="1478"/>
      <c r="BM57" s="1478"/>
      <c r="BN57" s="1478"/>
      <c r="BO57" s="1479"/>
      <c r="BP57" s="1479"/>
      <c r="BQ57" s="1994"/>
      <c r="BR57" s="1478"/>
      <c r="BS57" s="1478"/>
      <c r="BT57" s="1479"/>
      <c r="BU57" s="1479"/>
      <c r="BV57" s="1479"/>
      <c r="BW57" s="2023"/>
      <c r="BX57" s="1994"/>
      <c r="BY57" s="2010"/>
      <c r="BZ57" s="2010"/>
      <c r="CA57" s="1478"/>
      <c r="CB57" s="1478"/>
      <c r="CC57" s="2023"/>
      <c r="CD57" s="1479"/>
      <c r="CE57" s="1479"/>
      <c r="CF57" s="1994"/>
      <c r="CG57" s="1478"/>
      <c r="CH57" s="1479"/>
      <c r="CI57" s="1479"/>
      <c r="CJ57" s="2155"/>
      <c r="CK57" s="2155"/>
      <c r="CL57" s="1479"/>
      <c r="CM57" s="2155"/>
      <c r="CN57" s="2155"/>
      <c r="CO57" s="2023"/>
      <c r="CP57" s="1479"/>
      <c r="CQ57" s="1479"/>
      <c r="CR57" s="2023"/>
      <c r="CS57" s="1479"/>
      <c r="CT57" s="1996"/>
      <c r="CU57" s="1996"/>
      <c r="CV57" s="2023"/>
      <c r="CW57" s="2023"/>
      <c r="CX57" s="1479"/>
      <c r="CY57" s="1479"/>
      <c r="CZ57" s="2023"/>
      <c r="DA57" s="1478"/>
      <c r="DB57" s="1479"/>
      <c r="DC57" s="1479"/>
      <c r="DD57" s="1479"/>
      <c r="DE57" s="1479"/>
      <c r="DF57" s="1478"/>
      <c r="DG57" s="2023"/>
      <c r="DH57" s="1994"/>
      <c r="DI57" s="1994"/>
      <c r="DJ57" s="1994"/>
      <c r="DK57" s="2023"/>
      <c r="DL57" s="1994"/>
      <c r="DM57" s="111"/>
      <c r="DN57" s="111"/>
      <c r="DO57" s="111"/>
    </row>
    <row r="58" customFormat="false" ht="12" hidden="false" customHeight="false" outlineLevel="0" collapsed="false">
      <c r="A58" s="31"/>
      <c r="B58" s="1994"/>
      <c r="C58" s="1994"/>
      <c r="D58" s="381"/>
      <c r="E58" s="1995"/>
      <c r="F58" s="1996"/>
      <c r="G58" s="1994"/>
      <c r="H58" s="1478"/>
      <c r="I58" s="1478"/>
      <c r="J58" s="1478"/>
      <c r="K58" s="1994"/>
      <c r="L58" s="1479"/>
      <c r="M58" s="1479"/>
      <c r="N58" s="1479"/>
      <c r="O58" s="1479"/>
      <c r="P58" s="1479"/>
      <c r="Q58" s="1479"/>
      <c r="R58" s="1479"/>
      <c r="S58" s="1479"/>
      <c r="T58" s="1479"/>
      <c r="U58" s="1479"/>
      <c r="V58" s="1479"/>
      <c r="W58" s="1479"/>
      <c r="X58" s="1479"/>
      <c r="Y58" s="1479"/>
      <c r="Z58" s="1479"/>
      <c r="AA58" s="1478"/>
      <c r="AB58" s="1478"/>
      <c r="AC58" s="1478"/>
      <c r="AD58" s="2158"/>
      <c r="AE58" s="514"/>
      <c r="AF58" s="2159"/>
      <c r="AG58" s="2124"/>
      <c r="AH58" s="2124"/>
      <c r="AI58" s="1478"/>
      <c r="AJ58" s="1478"/>
      <c r="AK58" s="1478"/>
      <c r="AL58" s="2126"/>
      <c r="AM58" s="2159"/>
      <c r="AN58" s="2124"/>
      <c r="AO58" s="2158"/>
      <c r="AP58" s="2158"/>
      <c r="AQ58" s="2126"/>
      <c r="AR58" s="1478"/>
      <c r="AS58" s="1478"/>
      <c r="AT58" s="1478"/>
      <c r="AU58" s="1478"/>
      <c r="AV58" s="1478"/>
      <c r="AW58" s="1478"/>
      <c r="AX58" s="1478"/>
      <c r="AY58" s="1478"/>
      <c r="AZ58" s="1478"/>
      <c r="BA58" s="1479"/>
      <c r="BB58" s="1479"/>
      <c r="BC58" s="1479"/>
      <c r="BD58" s="1479"/>
      <c r="BE58" s="1479"/>
      <c r="BF58" s="1479"/>
      <c r="BG58" s="1479"/>
      <c r="BH58" s="2023"/>
      <c r="BI58" s="1479"/>
      <c r="BJ58" s="1479"/>
      <c r="BK58" s="1478"/>
      <c r="BL58" s="1478"/>
      <c r="BM58" s="1478"/>
      <c r="BN58" s="1478"/>
      <c r="BO58" s="1479"/>
      <c r="BP58" s="1479"/>
      <c r="BQ58" s="1994"/>
      <c r="BR58" s="1478"/>
      <c r="BS58" s="1478"/>
      <c r="BT58" s="1479"/>
      <c r="BU58" s="1479"/>
      <c r="BV58" s="1479"/>
      <c r="BW58" s="2023"/>
      <c r="BX58" s="1994"/>
      <c r="BY58" s="2010"/>
      <c r="BZ58" s="2010"/>
      <c r="CA58" s="1478"/>
      <c r="CB58" s="1478"/>
      <c r="CC58" s="2023"/>
      <c r="CD58" s="1479"/>
      <c r="CE58" s="1479"/>
      <c r="CF58" s="1994"/>
      <c r="CG58" s="1478"/>
      <c r="CH58" s="1479"/>
      <c r="CI58" s="1479"/>
      <c r="CJ58" s="2155"/>
      <c r="CK58" s="2155"/>
      <c r="CL58" s="1479"/>
      <c r="CM58" s="2155"/>
      <c r="CN58" s="2155"/>
      <c r="CO58" s="2023"/>
      <c r="CP58" s="1479"/>
      <c r="CQ58" s="1479"/>
      <c r="CR58" s="2023"/>
      <c r="CS58" s="1479"/>
      <c r="CT58" s="1996"/>
      <c r="CU58" s="1996"/>
      <c r="CV58" s="2023"/>
      <c r="CW58" s="2023"/>
      <c r="CX58" s="1479"/>
      <c r="CY58" s="1479"/>
      <c r="CZ58" s="2023"/>
      <c r="DA58" s="1478"/>
      <c r="DB58" s="1479"/>
      <c r="DC58" s="1479"/>
      <c r="DD58" s="1479"/>
      <c r="DE58" s="1479"/>
      <c r="DF58" s="1478"/>
      <c r="DG58" s="2023"/>
      <c r="DH58" s="1994"/>
      <c r="DI58" s="1994"/>
      <c r="DJ58" s="1994"/>
      <c r="DK58" s="2023"/>
      <c r="DL58" s="1994"/>
      <c r="DM58" s="111"/>
      <c r="DN58" s="111"/>
      <c r="DO58" s="111"/>
    </row>
    <row r="59" customFormat="false" ht="12" hidden="false" customHeight="false" outlineLevel="0" collapsed="false">
      <c r="A59" s="31"/>
      <c r="B59" s="1994"/>
      <c r="C59" s="1994"/>
      <c r="D59" s="381"/>
      <c r="E59" s="1995"/>
      <c r="F59" s="1996"/>
      <c r="G59" s="1994"/>
      <c r="H59" s="1478"/>
      <c r="I59" s="1478"/>
      <c r="J59" s="1478"/>
      <c r="K59" s="1994"/>
      <c r="L59" s="1479"/>
      <c r="M59" s="1479"/>
      <c r="N59" s="1479"/>
      <c r="O59" s="1479"/>
      <c r="P59" s="1479"/>
      <c r="Q59" s="1479"/>
      <c r="R59" s="1479"/>
      <c r="S59" s="1479"/>
      <c r="T59" s="1479"/>
      <c r="U59" s="1479"/>
      <c r="V59" s="1479"/>
      <c r="W59" s="1479"/>
      <c r="X59" s="1479"/>
      <c r="Y59" s="1479"/>
      <c r="Z59" s="1479"/>
      <c r="AA59" s="1478"/>
      <c r="AB59" s="1478"/>
      <c r="AC59" s="1478"/>
      <c r="AD59" s="2158"/>
      <c r="AE59" s="514"/>
      <c r="AF59" s="2159"/>
      <c r="AG59" s="2124"/>
      <c r="AH59" s="2124"/>
      <c r="AI59" s="1478"/>
      <c r="AJ59" s="1478"/>
      <c r="AK59" s="1478"/>
      <c r="AL59" s="2126"/>
      <c r="AM59" s="2159"/>
      <c r="AN59" s="2124"/>
      <c r="AO59" s="2158"/>
      <c r="AP59" s="2158"/>
      <c r="AQ59" s="2126"/>
      <c r="AR59" s="1478"/>
      <c r="AS59" s="1478"/>
      <c r="AT59" s="1478"/>
      <c r="AU59" s="1478"/>
      <c r="AV59" s="1478"/>
      <c r="AW59" s="1478"/>
      <c r="AX59" s="1478"/>
      <c r="AY59" s="1478"/>
      <c r="AZ59" s="1478"/>
      <c r="BA59" s="1479"/>
      <c r="BB59" s="1479"/>
      <c r="BC59" s="1479"/>
      <c r="BD59" s="1479"/>
      <c r="BE59" s="1479"/>
      <c r="BF59" s="1479"/>
      <c r="BG59" s="1479"/>
      <c r="BH59" s="2023"/>
      <c r="BI59" s="1479"/>
      <c r="BJ59" s="1479"/>
      <c r="BK59" s="1478"/>
      <c r="BL59" s="1478"/>
      <c r="BM59" s="1478"/>
      <c r="BN59" s="1478"/>
      <c r="BO59" s="1479"/>
      <c r="BP59" s="1479"/>
      <c r="BQ59" s="1994"/>
      <c r="BR59" s="1478"/>
      <c r="BS59" s="1478"/>
      <c r="BT59" s="1479"/>
      <c r="BU59" s="1479"/>
      <c r="BV59" s="1479"/>
      <c r="BW59" s="2023"/>
      <c r="BX59" s="1994"/>
      <c r="BY59" s="2010"/>
      <c r="BZ59" s="2010"/>
      <c r="CA59" s="1478"/>
      <c r="CB59" s="1478"/>
      <c r="CC59" s="2023"/>
      <c r="CD59" s="1479"/>
      <c r="CE59" s="1479"/>
      <c r="CF59" s="1994"/>
      <c r="CG59" s="1478"/>
      <c r="CH59" s="1479"/>
      <c r="CI59" s="1479"/>
      <c r="CJ59" s="2155"/>
      <c r="CK59" s="2155"/>
      <c r="CL59" s="1479"/>
      <c r="CM59" s="2155"/>
      <c r="CN59" s="2155"/>
      <c r="CO59" s="2023"/>
      <c r="CP59" s="1479"/>
      <c r="CQ59" s="1479"/>
      <c r="CR59" s="2023"/>
      <c r="CS59" s="1479"/>
      <c r="CT59" s="1996"/>
      <c r="CU59" s="1996"/>
      <c r="CV59" s="2023"/>
      <c r="CW59" s="2023"/>
      <c r="CX59" s="1479"/>
      <c r="CY59" s="1479"/>
      <c r="CZ59" s="2023"/>
      <c r="DA59" s="1478"/>
      <c r="DB59" s="1479"/>
      <c r="DC59" s="1479"/>
      <c r="DD59" s="1479"/>
      <c r="DE59" s="1479"/>
      <c r="DF59" s="1478"/>
      <c r="DG59" s="2023"/>
      <c r="DH59" s="1994"/>
      <c r="DI59" s="1994"/>
      <c r="DJ59" s="1994"/>
      <c r="DK59" s="2023"/>
      <c r="DL59" s="1994"/>
      <c r="DM59" s="111"/>
      <c r="DN59" s="111"/>
      <c r="DO59" s="111"/>
    </row>
    <row r="60" customFormat="false" ht="12" hidden="false" customHeight="false" outlineLevel="0" collapsed="false">
      <c r="A60" s="31"/>
      <c r="B60" s="1994"/>
      <c r="C60" s="1994"/>
      <c r="D60" s="381"/>
      <c r="E60" s="1995"/>
      <c r="F60" s="1996"/>
      <c r="G60" s="1994"/>
      <c r="H60" s="1478"/>
      <c r="I60" s="1478"/>
      <c r="J60" s="1478"/>
      <c r="K60" s="1994"/>
      <c r="L60" s="1479"/>
      <c r="M60" s="1479"/>
      <c r="N60" s="1479"/>
      <c r="O60" s="1479"/>
      <c r="P60" s="1479"/>
      <c r="Q60" s="1479"/>
      <c r="R60" s="1479"/>
      <c r="S60" s="1479"/>
      <c r="T60" s="1479"/>
      <c r="U60" s="1479"/>
      <c r="V60" s="1479"/>
      <c r="W60" s="1479"/>
      <c r="X60" s="1479"/>
      <c r="Y60" s="1479"/>
      <c r="Z60" s="1479"/>
      <c r="AA60" s="1478"/>
      <c r="AB60" s="1478"/>
      <c r="AC60" s="1478"/>
      <c r="AD60" s="2158"/>
      <c r="AE60" s="514"/>
      <c r="AF60" s="2159"/>
      <c r="AG60" s="2124"/>
      <c r="AH60" s="2124"/>
      <c r="AI60" s="1478"/>
      <c r="AJ60" s="1478"/>
      <c r="AK60" s="1478"/>
      <c r="AL60" s="2126"/>
      <c r="AM60" s="2159"/>
      <c r="AN60" s="2124"/>
      <c r="AO60" s="2158"/>
      <c r="AP60" s="2158"/>
      <c r="AQ60" s="2126"/>
      <c r="AR60" s="1478"/>
      <c r="AS60" s="1478"/>
      <c r="AT60" s="1478"/>
      <c r="AU60" s="1478"/>
      <c r="AV60" s="1478"/>
      <c r="AW60" s="1478"/>
      <c r="AX60" s="1478"/>
      <c r="AY60" s="1478"/>
      <c r="AZ60" s="1478"/>
      <c r="BA60" s="1479"/>
      <c r="BB60" s="1479"/>
      <c r="BC60" s="1479"/>
      <c r="BD60" s="1479"/>
      <c r="BE60" s="1479"/>
      <c r="BF60" s="1479"/>
      <c r="BG60" s="1479"/>
      <c r="BH60" s="2023"/>
      <c r="BI60" s="1479"/>
      <c r="BJ60" s="1479"/>
      <c r="BK60" s="1478"/>
      <c r="BL60" s="1478"/>
      <c r="BM60" s="1478"/>
      <c r="BN60" s="1478"/>
      <c r="BO60" s="1479"/>
      <c r="BP60" s="1479"/>
      <c r="BQ60" s="1994"/>
      <c r="BR60" s="1478"/>
      <c r="BS60" s="1478"/>
      <c r="BT60" s="1479"/>
      <c r="BU60" s="1479"/>
      <c r="BV60" s="1479"/>
      <c r="BW60" s="2023"/>
      <c r="BX60" s="1994"/>
      <c r="BY60" s="2010"/>
      <c r="BZ60" s="2010"/>
      <c r="CA60" s="1478"/>
      <c r="CB60" s="1478"/>
      <c r="CC60" s="2023"/>
      <c r="CD60" s="1479"/>
      <c r="CE60" s="1479"/>
      <c r="CF60" s="1994"/>
      <c r="CG60" s="1478"/>
      <c r="CH60" s="1479"/>
      <c r="CI60" s="1479"/>
      <c r="CJ60" s="2155"/>
      <c r="CK60" s="2155"/>
      <c r="CL60" s="1479"/>
      <c r="CM60" s="2155"/>
      <c r="CN60" s="2155"/>
      <c r="CO60" s="2023"/>
      <c r="CP60" s="1479"/>
      <c r="CQ60" s="1479"/>
      <c r="CR60" s="2023"/>
      <c r="CS60" s="1479"/>
      <c r="CT60" s="1996"/>
      <c r="CU60" s="1996"/>
      <c r="CV60" s="2023"/>
      <c r="CW60" s="2023"/>
      <c r="CX60" s="1479"/>
      <c r="CY60" s="1479"/>
      <c r="CZ60" s="2023"/>
      <c r="DA60" s="1478"/>
      <c r="DB60" s="1479"/>
      <c r="DC60" s="1479"/>
      <c r="DD60" s="1479"/>
      <c r="DE60" s="1479"/>
      <c r="DF60" s="1478"/>
      <c r="DG60" s="2023"/>
      <c r="DH60" s="1994"/>
      <c r="DI60" s="1994"/>
      <c r="DJ60" s="1994"/>
      <c r="DK60" s="2023"/>
      <c r="DL60" s="1994"/>
      <c r="DM60" s="111"/>
      <c r="DN60" s="111"/>
      <c r="DO60" s="111"/>
    </row>
    <row r="61" customFormat="false" ht="12" hidden="false" customHeight="false" outlineLevel="0" collapsed="false">
      <c r="A61" s="31"/>
      <c r="B61" s="1994"/>
      <c r="C61" s="1994"/>
      <c r="D61" s="381"/>
      <c r="E61" s="1995"/>
      <c r="F61" s="1996"/>
      <c r="G61" s="1994"/>
      <c r="H61" s="1478"/>
      <c r="I61" s="1478"/>
      <c r="J61" s="1478"/>
      <c r="K61" s="1994"/>
      <c r="L61" s="1479"/>
      <c r="M61" s="1479"/>
      <c r="N61" s="1479"/>
      <c r="O61" s="1479"/>
      <c r="P61" s="1479"/>
      <c r="Q61" s="1479"/>
      <c r="R61" s="1479"/>
      <c r="S61" s="1479"/>
      <c r="T61" s="1479"/>
      <c r="U61" s="1479"/>
      <c r="V61" s="1479"/>
      <c r="W61" s="1479"/>
      <c r="X61" s="1479"/>
      <c r="Y61" s="1479"/>
      <c r="Z61" s="1479"/>
      <c r="AA61" s="1478"/>
      <c r="AB61" s="1478"/>
      <c r="AC61" s="1478"/>
      <c r="AD61" s="2158"/>
      <c r="AE61" s="514"/>
      <c r="AF61" s="2159"/>
      <c r="AG61" s="2124"/>
      <c r="AH61" s="2124"/>
      <c r="AI61" s="1478"/>
      <c r="AJ61" s="1478"/>
      <c r="AK61" s="1478"/>
      <c r="AL61" s="2126"/>
      <c r="AM61" s="2159"/>
      <c r="AN61" s="2124"/>
      <c r="AO61" s="2158"/>
      <c r="AP61" s="2158"/>
      <c r="AQ61" s="2126"/>
      <c r="AR61" s="1478"/>
      <c r="AS61" s="1478"/>
      <c r="AT61" s="1478"/>
      <c r="AU61" s="1478"/>
      <c r="AV61" s="1478"/>
      <c r="AW61" s="1478"/>
      <c r="AX61" s="1478"/>
      <c r="AY61" s="1478"/>
      <c r="AZ61" s="1478"/>
      <c r="BA61" s="1479"/>
      <c r="BB61" s="1479"/>
      <c r="BC61" s="1479"/>
      <c r="BD61" s="1479"/>
      <c r="BE61" s="1479"/>
      <c r="BF61" s="1479"/>
      <c r="BG61" s="1479"/>
      <c r="BH61" s="2023"/>
      <c r="BI61" s="1479"/>
      <c r="BJ61" s="1479"/>
      <c r="BK61" s="1478"/>
      <c r="BL61" s="1478"/>
      <c r="BM61" s="1478"/>
      <c r="BN61" s="1478"/>
      <c r="BO61" s="1479"/>
      <c r="BP61" s="1479"/>
      <c r="BQ61" s="1994"/>
      <c r="BR61" s="1478"/>
      <c r="BS61" s="1478"/>
      <c r="BT61" s="1479"/>
      <c r="BU61" s="1479"/>
      <c r="BV61" s="1479"/>
      <c r="BW61" s="2023"/>
      <c r="BX61" s="1994"/>
      <c r="BY61" s="2010"/>
      <c r="BZ61" s="2010"/>
      <c r="CA61" s="1478"/>
      <c r="CB61" s="1478"/>
      <c r="CC61" s="2023"/>
      <c r="CD61" s="1479"/>
      <c r="CE61" s="1479"/>
      <c r="CF61" s="1994"/>
      <c r="CG61" s="1478"/>
      <c r="CH61" s="1479"/>
      <c r="CI61" s="1479"/>
      <c r="CJ61" s="2155"/>
      <c r="CK61" s="2155"/>
      <c r="CL61" s="1479"/>
      <c r="CM61" s="2155"/>
      <c r="CN61" s="2155"/>
      <c r="CO61" s="2023"/>
      <c r="CP61" s="1479"/>
      <c r="CQ61" s="1479"/>
      <c r="CR61" s="2023"/>
      <c r="CS61" s="1479"/>
      <c r="CT61" s="1996"/>
      <c r="CU61" s="1996"/>
      <c r="CV61" s="2023"/>
      <c r="CW61" s="2023"/>
      <c r="CX61" s="1479"/>
      <c r="CY61" s="1479"/>
      <c r="CZ61" s="2023"/>
      <c r="DA61" s="1478"/>
      <c r="DB61" s="1479"/>
      <c r="DC61" s="1479"/>
      <c r="DD61" s="1479"/>
      <c r="DE61" s="1479"/>
      <c r="DF61" s="1478"/>
      <c r="DG61" s="2023"/>
      <c r="DH61" s="1994"/>
      <c r="DI61" s="1994"/>
      <c r="DJ61" s="1994"/>
      <c r="DK61" s="2023"/>
      <c r="DL61" s="1994"/>
      <c r="DM61" s="111"/>
      <c r="DN61" s="111"/>
      <c r="DO61" s="111"/>
    </row>
    <row r="62" customFormat="false" ht="12" hidden="false" customHeight="false" outlineLevel="0" collapsed="false">
      <c r="A62" s="31"/>
      <c r="B62" s="1994"/>
      <c r="C62" s="1994"/>
      <c r="D62" s="381"/>
      <c r="E62" s="1995"/>
      <c r="F62" s="1996"/>
      <c r="G62" s="1994"/>
      <c r="H62" s="1478"/>
      <c r="I62" s="1478"/>
      <c r="J62" s="1478"/>
      <c r="K62" s="1994"/>
      <c r="L62" s="1479"/>
      <c r="M62" s="1479"/>
      <c r="N62" s="1479"/>
      <c r="O62" s="1479"/>
      <c r="P62" s="1479"/>
      <c r="Q62" s="1479"/>
      <c r="R62" s="1479"/>
      <c r="S62" s="1479"/>
      <c r="T62" s="1479"/>
      <c r="U62" s="1479"/>
      <c r="V62" s="1479"/>
      <c r="W62" s="1479"/>
      <c r="X62" s="1479"/>
      <c r="Y62" s="1479"/>
      <c r="Z62" s="1479"/>
      <c r="AA62" s="1478"/>
      <c r="AB62" s="1478"/>
      <c r="AC62" s="1478"/>
      <c r="AD62" s="2158"/>
      <c r="AE62" s="514"/>
      <c r="AF62" s="2159"/>
      <c r="AG62" s="2124"/>
      <c r="AH62" s="2124"/>
      <c r="AI62" s="1478"/>
      <c r="AJ62" s="1478"/>
      <c r="AK62" s="1478"/>
      <c r="AL62" s="2126"/>
      <c r="AM62" s="2159"/>
      <c r="AN62" s="2124"/>
      <c r="AO62" s="2158"/>
      <c r="AP62" s="2158"/>
      <c r="AQ62" s="2126"/>
      <c r="AR62" s="1478"/>
      <c r="AS62" s="1478"/>
      <c r="AT62" s="1478"/>
      <c r="AU62" s="1478"/>
      <c r="AV62" s="1478"/>
      <c r="AW62" s="1478"/>
      <c r="AX62" s="1478"/>
      <c r="AY62" s="1478"/>
      <c r="AZ62" s="1478"/>
      <c r="BA62" s="1479"/>
      <c r="BB62" s="1479"/>
      <c r="BC62" s="1479"/>
      <c r="BD62" s="1479"/>
      <c r="BE62" s="1479"/>
      <c r="BF62" s="1479"/>
      <c r="BG62" s="1479"/>
      <c r="BH62" s="2023"/>
      <c r="BI62" s="1479"/>
      <c r="BJ62" s="1479"/>
      <c r="BK62" s="1478"/>
      <c r="BL62" s="1478"/>
      <c r="BM62" s="1478"/>
      <c r="BN62" s="1478"/>
      <c r="BO62" s="1479"/>
      <c r="BP62" s="1479"/>
      <c r="BQ62" s="1994"/>
      <c r="BR62" s="1478"/>
      <c r="BS62" s="1478"/>
      <c r="BT62" s="1479"/>
      <c r="BU62" s="1479"/>
      <c r="BV62" s="1479"/>
      <c r="BW62" s="2023"/>
      <c r="BX62" s="1994"/>
      <c r="BY62" s="2010"/>
      <c r="BZ62" s="2010"/>
      <c r="CA62" s="1478"/>
      <c r="CB62" s="1478"/>
      <c r="CC62" s="2023"/>
      <c r="CD62" s="1479"/>
      <c r="CE62" s="1479"/>
      <c r="CF62" s="1994"/>
      <c r="CG62" s="1478"/>
      <c r="CH62" s="1479"/>
      <c r="CI62" s="1479"/>
      <c r="CJ62" s="2155"/>
      <c r="CK62" s="2155"/>
      <c r="CL62" s="1479"/>
      <c r="CM62" s="2155"/>
      <c r="CN62" s="2155"/>
      <c r="CO62" s="2023"/>
      <c r="CP62" s="1479"/>
      <c r="CQ62" s="1479"/>
      <c r="CR62" s="2023"/>
      <c r="CS62" s="1479"/>
      <c r="CT62" s="1996"/>
      <c r="CU62" s="1996"/>
      <c r="CV62" s="2023"/>
      <c r="CW62" s="2023"/>
      <c r="CX62" s="1479"/>
      <c r="CY62" s="1479"/>
      <c r="CZ62" s="2023"/>
      <c r="DA62" s="1478"/>
      <c r="DB62" s="1479"/>
      <c r="DC62" s="1479"/>
      <c r="DD62" s="1479"/>
      <c r="DE62" s="1479"/>
      <c r="DF62" s="1478"/>
      <c r="DG62" s="2023"/>
      <c r="DH62" s="1994"/>
      <c r="DI62" s="1994"/>
      <c r="DJ62" s="1994"/>
      <c r="DK62" s="2023"/>
      <c r="DL62" s="1994"/>
      <c r="DM62" s="111"/>
      <c r="DN62" s="111"/>
      <c r="DO62" s="111"/>
    </row>
    <row r="63" customFormat="false" ht="12" hidden="false" customHeight="false" outlineLevel="0" collapsed="false">
      <c r="A63" s="31"/>
      <c r="B63" s="1994"/>
      <c r="C63" s="1994"/>
      <c r="D63" s="381"/>
      <c r="E63" s="1995"/>
      <c r="F63" s="1996"/>
      <c r="G63" s="1994"/>
      <c r="H63" s="1478"/>
      <c r="I63" s="1478"/>
      <c r="J63" s="1478"/>
      <c r="K63" s="1994"/>
      <c r="L63" s="1479"/>
      <c r="M63" s="1479"/>
      <c r="N63" s="1479"/>
      <c r="O63" s="1479"/>
      <c r="P63" s="1479"/>
      <c r="Q63" s="1479"/>
      <c r="R63" s="1479"/>
      <c r="S63" s="1479"/>
      <c r="T63" s="1479"/>
      <c r="U63" s="1479"/>
      <c r="V63" s="1479"/>
      <c r="W63" s="1479"/>
      <c r="X63" s="1479"/>
      <c r="Y63" s="1479"/>
      <c r="Z63" s="1479"/>
      <c r="AA63" s="1478"/>
      <c r="AB63" s="1478"/>
      <c r="AC63" s="1478"/>
      <c r="AD63" s="2158"/>
      <c r="AE63" s="514"/>
      <c r="AF63" s="2159"/>
      <c r="AG63" s="2124"/>
      <c r="AH63" s="2124"/>
      <c r="AI63" s="1478"/>
      <c r="AJ63" s="1478"/>
      <c r="AK63" s="1478"/>
      <c r="AL63" s="2126"/>
      <c r="AM63" s="2159"/>
      <c r="AN63" s="2124"/>
      <c r="AO63" s="2158"/>
      <c r="AP63" s="2158"/>
      <c r="AQ63" s="2126"/>
      <c r="AR63" s="1478"/>
      <c r="AS63" s="1478"/>
      <c r="AT63" s="1478"/>
      <c r="AU63" s="1478"/>
      <c r="AV63" s="1478"/>
      <c r="AW63" s="1478"/>
      <c r="AX63" s="1478"/>
      <c r="AY63" s="1478"/>
      <c r="AZ63" s="1478"/>
      <c r="BA63" s="1479"/>
      <c r="BB63" s="1479"/>
      <c r="BC63" s="1479"/>
      <c r="BD63" s="1479"/>
      <c r="BE63" s="1479"/>
      <c r="BF63" s="1479"/>
      <c r="BG63" s="1479"/>
      <c r="BH63" s="2023"/>
      <c r="BI63" s="1479"/>
      <c r="BJ63" s="1479"/>
      <c r="BK63" s="1478"/>
      <c r="BL63" s="1478"/>
      <c r="BM63" s="1478"/>
      <c r="BN63" s="1478"/>
      <c r="BO63" s="1479"/>
      <c r="BP63" s="1479"/>
      <c r="BQ63" s="1994"/>
      <c r="BR63" s="1478"/>
      <c r="BS63" s="1478"/>
      <c r="BT63" s="1479"/>
      <c r="BU63" s="1479"/>
      <c r="BV63" s="1479"/>
      <c r="BW63" s="2023"/>
      <c r="BX63" s="1994"/>
      <c r="BY63" s="2010"/>
      <c r="BZ63" s="2010"/>
      <c r="CA63" s="1478"/>
      <c r="CB63" s="1478"/>
      <c r="CC63" s="2023"/>
      <c r="CD63" s="1479"/>
      <c r="CE63" s="1479"/>
      <c r="CF63" s="1994"/>
      <c r="CG63" s="1478"/>
      <c r="CH63" s="1479"/>
      <c r="CI63" s="1479"/>
      <c r="CJ63" s="2155"/>
      <c r="CK63" s="2155"/>
      <c r="CL63" s="1479"/>
      <c r="CM63" s="2155"/>
      <c r="CN63" s="2155"/>
      <c r="CO63" s="2023"/>
      <c r="CP63" s="1479"/>
      <c r="CQ63" s="1479"/>
      <c r="CR63" s="2023"/>
      <c r="CS63" s="1479"/>
      <c r="CT63" s="1996"/>
      <c r="CU63" s="1996"/>
      <c r="CV63" s="2023"/>
      <c r="CW63" s="2023"/>
      <c r="CX63" s="1479"/>
      <c r="CY63" s="1479"/>
      <c r="CZ63" s="2023"/>
      <c r="DA63" s="1478"/>
      <c r="DB63" s="1479"/>
      <c r="DC63" s="1479"/>
      <c r="DD63" s="1479"/>
      <c r="DE63" s="1479"/>
      <c r="DF63" s="1478"/>
      <c r="DG63" s="2023"/>
      <c r="DH63" s="1994"/>
      <c r="DI63" s="1994"/>
      <c r="DJ63" s="1994"/>
      <c r="DK63" s="2023"/>
      <c r="DL63" s="1994"/>
      <c r="DM63" s="111"/>
      <c r="DN63" s="111"/>
      <c r="DO63" s="111"/>
    </row>
    <row r="64" customFormat="false" ht="12" hidden="false" customHeight="false" outlineLevel="0" collapsed="false">
      <c r="A64" s="31"/>
      <c r="B64" s="1994"/>
      <c r="C64" s="1994"/>
      <c r="D64" s="381"/>
      <c r="E64" s="1995"/>
      <c r="F64" s="1996"/>
      <c r="G64" s="1994"/>
      <c r="H64" s="1478"/>
      <c r="I64" s="1478"/>
      <c r="J64" s="1478"/>
      <c r="K64" s="1994"/>
      <c r="L64" s="1479"/>
      <c r="M64" s="1479"/>
      <c r="N64" s="1479"/>
      <c r="O64" s="1479"/>
      <c r="P64" s="1479"/>
      <c r="Q64" s="1479"/>
      <c r="R64" s="1479"/>
      <c r="S64" s="1479"/>
      <c r="T64" s="1479"/>
      <c r="U64" s="1479"/>
      <c r="V64" s="1479"/>
      <c r="W64" s="1479"/>
      <c r="X64" s="1479"/>
      <c r="Y64" s="1479"/>
      <c r="Z64" s="1479"/>
      <c r="AA64" s="1478"/>
      <c r="AB64" s="1478"/>
      <c r="AC64" s="1478"/>
      <c r="AD64" s="2158"/>
      <c r="AE64" s="514"/>
      <c r="AF64" s="2159"/>
      <c r="AG64" s="2124"/>
      <c r="AH64" s="2124"/>
      <c r="AI64" s="1478"/>
      <c r="AJ64" s="1478"/>
      <c r="AK64" s="1478"/>
      <c r="AL64" s="2126"/>
      <c r="AM64" s="2159"/>
      <c r="AN64" s="2124"/>
      <c r="AO64" s="2158"/>
      <c r="AP64" s="2158"/>
      <c r="AQ64" s="2126"/>
      <c r="AR64" s="1478"/>
      <c r="AS64" s="1478"/>
      <c r="AT64" s="1478"/>
      <c r="AU64" s="1478"/>
      <c r="AV64" s="1478"/>
      <c r="AW64" s="1478"/>
      <c r="AX64" s="1478"/>
      <c r="AY64" s="1478"/>
      <c r="AZ64" s="1478"/>
      <c r="BA64" s="1479"/>
      <c r="BB64" s="1479"/>
      <c r="BC64" s="1479"/>
      <c r="BD64" s="1479"/>
      <c r="BE64" s="1479"/>
      <c r="BF64" s="1479"/>
      <c r="BG64" s="1479"/>
      <c r="BH64" s="2023"/>
      <c r="BI64" s="1479"/>
      <c r="BJ64" s="1479"/>
      <c r="BK64" s="1478"/>
      <c r="BL64" s="1478"/>
      <c r="BM64" s="1478"/>
      <c r="BN64" s="1478"/>
      <c r="BO64" s="1479"/>
      <c r="BP64" s="1479"/>
      <c r="BQ64" s="1994"/>
      <c r="BR64" s="1478"/>
      <c r="BS64" s="1478"/>
      <c r="BT64" s="1479"/>
      <c r="BU64" s="1479"/>
      <c r="BV64" s="1479"/>
      <c r="BW64" s="2023"/>
      <c r="BX64" s="1994"/>
      <c r="BY64" s="2010"/>
      <c r="BZ64" s="2010"/>
      <c r="CA64" s="1478"/>
      <c r="CB64" s="1478"/>
      <c r="CC64" s="2023"/>
      <c r="CD64" s="1479"/>
      <c r="CE64" s="1479"/>
      <c r="CF64" s="1994"/>
      <c r="CG64" s="1478"/>
      <c r="CH64" s="1479"/>
      <c r="CI64" s="1479"/>
      <c r="CJ64" s="2155"/>
      <c r="CK64" s="2155"/>
      <c r="CL64" s="1479"/>
      <c r="CM64" s="2155"/>
      <c r="CN64" s="2155"/>
      <c r="CO64" s="2023"/>
      <c r="CP64" s="1479"/>
      <c r="CQ64" s="1479"/>
      <c r="CR64" s="2023"/>
      <c r="CS64" s="1479"/>
      <c r="CT64" s="1996"/>
      <c r="CU64" s="1996"/>
      <c r="CV64" s="2023"/>
      <c r="CW64" s="2023"/>
      <c r="CX64" s="1479"/>
      <c r="CY64" s="1479"/>
      <c r="CZ64" s="2023"/>
      <c r="DA64" s="1478"/>
      <c r="DB64" s="1479"/>
      <c r="DC64" s="1479"/>
      <c r="DD64" s="1479"/>
      <c r="DE64" s="1479"/>
      <c r="DF64" s="1478"/>
      <c r="DG64" s="2023"/>
      <c r="DH64" s="1994"/>
      <c r="DI64" s="1994"/>
      <c r="DJ64" s="1994"/>
      <c r="DK64" s="2023"/>
      <c r="DL64" s="1994"/>
      <c r="DM64" s="111"/>
      <c r="DN64" s="111"/>
      <c r="DO64" s="111"/>
    </row>
    <row r="65" customFormat="false" ht="12" hidden="false" customHeight="false" outlineLevel="0" collapsed="false">
      <c r="A65" s="31"/>
      <c r="B65" s="1994"/>
      <c r="C65" s="1994"/>
      <c r="D65" s="381"/>
      <c r="E65" s="1995"/>
      <c r="F65" s="1996"/>
      <c r="G65" s="1994"/>
      <c r="H65" s="1478"/>
      <c r="I65" s="1478"/>
      <c r="J65" s="1478"/>
      <c r="K65" s="1994"/>
      <c r="L65" s="1479"/>
      <c r="M65" s="1479"/>
      <c r="N65" s="1479"/>
      <c r="O65" s="1479"/>
      <c r="P65" s="1479"/>
      <c r="Q65" s="1479"/>
      <c r="R65" s="1479"/>
      <c r="S65" s="1479"/>
      <c r="T65" s="1479"/>
      <c r="U65" s="1479"/>
      <c r="V65" s="1479"/>
      <c r="W65" s="1479"/>
      <c r="X65" s="1479"/>
      <c r="Y65" s="1479"/>
      <c r="Z65" s="1479"/>
      <c r="AA65" s="1478"/>
      <c r="AB65" s="1478"/>
      <c r="AC65" s="1478"/>
      <c r="AD65" s="2158"/>
      <c r="AE65" s="514"/>
      <c r="AF65" s="2159"/>
      <c r="AG65" s="2124"/>
      <c r="AH65" s="2124"/>
      <c r="AI65" s="1478"/>
      <c r="AJ65" s="1478"/>
      <c r="AK65" s="1478"/>
      <c r="AL65" s="2126"/>
      <c r="AM65" s="2159"/>
      <c r="AN65" s="2124"/>
      <c r="AO65" s="2158"/>
      <c r="AP65" s="2158"/>
      <c r="AQ65" s="2126"/>
      <c r="AR65" s="1478"/>
      <c r="AS65" s="1478"/>
      <c r="AT65" s="1478"/>
      <c r="AU65" s="1478"/>
      <c r="AV65" s="1478"/>
      <c r="AW65" s="1478"/>
      <c r="AX65" s="1478"/>
      <c r="AY65" s="1478"/>
      <c r="AZ65" s="1478"/>
      <c r="BA65" s="1479"/>
      <c r="BB65" s="1479"/>
      <c r="BC65" s="1479"/>
      <c r="BD65" s="1479"/>
      <c r="BE65" s="1479"/>
      <c r="BF65" s="1479"/>
      <c r="BG65" s="1479"/>
      <c r="BH65" s="2023"/>
      <c r="BI65" s="1479"/>
      <c r="BJ65" s="1479"/>
      <c r="BK65" s="1478"/>
      <c r="BL65" s="1478"/>
      <c r="BM65" s="1478"/>
      <c r="BN65" s="1478"/>
      <c r="BO65" s="1479"/>
      <c r="BP65" s="1479"/>
      <c r="BQ65" s="1994"/>
      <c r="BR65" s="1478"/>
      <c r="BS65" s="1478"/>
      <c r="BT65" s="1479"/>
      <c r="BU65" s="1479"/>
      <c r="BV65" s="1479"/>
      <c r="BW65" s="2023"/>
      <c r="BX65" s="1994"/>
      <c r="BY65" s="2010"/>
      <c r="BZ65" s="2010"/>
      <c r="CA65" s="1478"/>
      <c r="CB65" s="1478"/>
      <c r="CC65" s="2023"/>
      <c r="CD65" s="1479"/>
      <c r="CE65" s="1479"/>
      <c r="CF65" s="1994"/>
      <c r="CG65" s="1478"/>
      <c r="CH65" s="1479"/>
      <c r="CI65" s="1479"/>
      <c r="CJ65" s="2155"/>
      <c r="CK65" s="2155"/>
      <c r="CL65" s="1479"/>
      <c r="CM65" s="2155"/>
      <c r="CN65" s="2155"/>
      <c r="CO65" s="2023"/>
      <c r="CP65" s="1479"/>
      <c r="CQ65" s="1479"/>
      <c r="CR65" s="2023"/>
      <c r="CS65" s="1479"/>
      <c r="CT65" s="1996"/>
      <c r="CU65" s="1996"/>
      <c r="CV65" s="2023"/>
      <c r="CW65" s="2023"/>
      <c r="CX65" s="1479"/>
      <c r="CY65" s="1479"/>
      <c r="CZ65" s="2023"/>
      <c r="DA65" s="1478"/>
      <c r="DB65" s="1479"/>
      <c r="DC65" s="1479"/>
      <c r="DD65" s="1479"/>
      <c r="DE65" s="1479"/>
      <c r="DF65" s="1478"/>
      <c r="DG65" s="2023"/>
      <c r="DH65" s="1994"/>
      <c r="DI65" s="1994"/>
      <c r="DJ65" s="1994"/>
      <c r="DK65" s="2023"/>
      <c r="DL65" s="1994"/>
      <c r="DM65" s="111"/>
      <c r="DN65" s="111"/>
      <c r="DO65" s="111"/>
    </row>
    <row r="66" customFormat="false" ht="12" hidden="false" customHeight="false" outlineLevel="0" collapsed="false">
      <c r="A66" s="31"/>
      <c r="B66" s="1994"/>
      <c r="C66" s="1994"/>
      <c r="D66" s="381"/>
      <c r="E66" s="1995"/>
      <c r="F66" s="1996"/>
      <c r="G66" s="1994"/>
      <c r="H66" s="1478"/>
      <c r="I66" s="1478"/>
      <c r="J66" s="1478"/>
      <c r="K66" s="1994"/>
      <c r="L66" s="1479"/>
      <c r="M66" s="1479"/>
      <c r="N66" s="1479"/>
      <c r="O66" s="1479"/>
      <c r="P66" s="1479"/>
      <c r="Q66" s="1479"/>
      <c r="R66" s="1479"/>
      <c r="S66" s="1479"/>
      <c r="T66" s="1479"/>
      <c r="U66" s="1479"/>
      <c r="V66" s="1479"/>
      <c r="W66" s="1479"/>
      <c r="X66" s="1479"/>
      <c r="Y66" s="1479"/>
      <c r="Z66" s="1479"/>
      <c r="AA66" s="1478"/>
      <c r="AB66" s="1478"/>
      <c r="AC66" s="1478"/>
      <c r="AD66" s="2158"/>
      <c r="AE66" s="514"/>
      <c r="AF66" s="2159"/>
      <c r="AG66" s="2124"/>
      <c r="AH66" s="2124"/>
      <c r="AI66" s="1478"/>
      <c r="AJ66" s="1478"/>
      <c r="AK66" s="1478"/>
      <c r="AL66" s="2126"/>
      <c r="AM66" s="2159"/>
      <c r="AN66" s="2124"/>
      <c r="AO66" s="2158"/>
      <c r="AP66" s="2158"/>
      <c r="AQ66" s="2126"/>
      <c r="AR66" s="1478"/>
      <c r="AS66" s="1478"/>
      <c r="AT66" s="1478"/>
      <c r="AU66" s="1478"/>
      <c r="AV66" s="1478"/>
      <c r="AW66" s="1478"/>
      <c r="AX66" s="1478"/>
      <c r="AY66" s="1478"/>
      <c r="AZ66" s="1478"/>
      <c r="BA66" s="1479"/>
      <c r="BB66" s="1479"/>
      <c r="BC66" s="1479"/>
      <c r="BD66" s="1479"/>
      <c r="BE66" s="1479"/>
      <c r="BF66" s="1479"/>
      <c r="BG66" s="1479"/>
      <c r="BH66" s="2023"/>
      <c r="BI66" s="1479"/>
      <c r="BJ66" s="1479"/>
      <c r="BK66" s="1478"/>
      <c r="BL66" s="1478"/>
      <c r="BM66" s="1478"/>
      <c r="BN66" s="1478"/>
      <c r="BO66" s="1479"/>
      <c r="BP66" s="1479"/>
      <c r="BQ66" s="1994"/>
      <c r="BR66" s="1478"/>
      <c r="BS66" s="1478"/>
      <c r="BT66" s="1479"/>
      <c r="BU66" s="1479"/>
      <c r="BV66" s="1479"/>
      <c r="BW66" s="2023"/>
      <c r="BX66" s="1994"/>
      <c r="BY66" s="2010"/>
      <c r="BZ66" s="2010"/>
      <c r="CA66" s="1478"/>
      <c r="CB66" s="1478"/>
      <c r="CC66" s="2023"/>
      <c r="CD66" s="1479"/>
      <c r="CE66" s="1479"/>
      <c r="CF66" s="1994"/>
      <c r="CG66" s="1478"/>
      <c r="CH66" s="1479"/>
      <c r="CI66" s="1479"/>
      <c r="CJ66" s="2155"/>
      <c r="CK66" s="2155"/>
      <c r="CL66" s="1479"/>
      <c r="CM66" s="2155"/>
      <c r="CN66" s="2155"/>
      <c r="CO66" s="2023"/>
      <c r="CP66" s="1479"/>
      <c r="CQ66" s="1479"/>
      <c r="CR66" s="2023"/>
      <c r="CS66" s="1479"/>
      <c r="CT66" s="1996"/>
      <c r="CU66" s="1996"/>
      <c r="CV66" s="2023"/>
      <c r="CW66" s="2023"/>
      <c r="CX66" s="1479"/>
      <c r="CY66" s="1479"/>
      <c r="CZ66" s="2023"/>
      <c r="DA66" s="1478"/>
      <c r="DB66" s="1479"/>
      <c r="DC66" s="1479"/>
      <c r="DD66" s="1479"/>
      <c r="DE66" s="1479"/>
      <c r="DF66" s="1478"/>
      <c r="DG66" s="2023"/>
      <c r="DH66" s="1994"/>
      <c r="DI66" s="1994"/>
      <c r="DJ66" s="1994"/>
      <c r="DK66" s="2023"/>
      <c r="DL66" s="1994"/>
      <c r="DM66" s="111"/>
      <c r="DN66" s="111"/>
      <c r="DO66" s="111"/>
    </row>
    <row r="67" customFormat="false" ht="12" hidden="false" customHeight="false" outlineLevel="0" collapsed="false">
      <c r="A67" s="31"/>
      <c r="B67" s="1994"/>
      <c r="C67" s="1994"/>
      <c r="D67" s="381"/>
      <c r="E67" s="1995"/>
      <c r="F67" s="1996"/>
      <c r="G67" s="1994"/>
      <c r="H67" s="1478"/>
      <c r="I67" s="1478"/>
      <c r="J67" s="1478"/>
      <c r="K67" s="1994"/>
      <c r="L67" s="1479"/>
      <c r="M67" s="1479"/>
      <c r="N67" s="1479"/>
      <c r="O67" s="1479"/>
      <c r="P67" s="1479"/>
      <c r="Q67" s="1479"/>
      <c r="R67" s="1479"/>
      <c r="S67" s="1479"/>
      <c r="T67" s="1479"/>
      <c r="U67" s="1479"/>
      <c r="V67" s="1479"/>
      <c r="W67" s="1479"/>
      <c r="X67" s="1479"/>
      <c r="Y67" s="1479"/>
      <c r="Z67" s="1479"/>
      <c r="AA67" s="1478"/>
      <c r="AB67" s="1478"/>
      <c r="AC67" s="1478"/>
      <c r="AD67" s="2158"/>
      <c r="AE67" s="514"/>
      <c r="AF67" s="2159"/>
      <c r="AG67" s="2124"/>
      <c r="AH67" s="2124"/>
      <c r="AI67" s="1478"/>
      <c r="AJ67" s="1478"/>
      <c r="AK67" s="1478"/>
      <c r="AL67" s="2126"/>
      <c r="AM67" s="2159"/>
      <c r="AN67" s="2124"/>
      <c r="AO67" s="2158"/>
      <c r="AP67" s="2158"/>
      <c r="AQ67" s="2126"/>
      <c r="AR67" s="1478"/>
      <c r="AS67" s="1478"/>
      <c r="AT67" s="1478"/>
      <c r="AU67" s="1478"/>
      <c r="AV67" s="1478"/>
      <c r="AW67" s="1478"/>
      <c r="AX67" s="1478"/>
      <c r="AY67" s="1478"/>
      <c r="AZ67" s="1478"/>
      <c r="BA67" s="1479"/>
      <c r="BB67" s="1479"/>
      <c r="BC67" s="1479"/>
      <c r="BD67" s="1479"/>
      <c r="BE67" s="1479"/>
      <c r="BF67" s="1479"/>
      <c r="BG67" s="1479"/>
      <c r="BH67" s="2023"/>
      <c r="BI67" s="1479"/>
      <c r="BJ67" s="1479"/>
      <c r="BK67" s="1478"/>
      <c r="BL67" s="1478"/>
      <c r="BM67" s="1478"/>
      <c r="BN67" s="1478"/>
      <c r="BO67" s="1479"/>
      <c r="BP67" s="1479"/>
      <c r="BQ67" s="1994"/>
      <c r="BR67" s="1478"/>
      <c r="BS67" s="1478"/>
      <c r="BT67" s="1479"/>
      <c r="BU67" s="1479"/>
      <c r="BV67" s="1479"/>
      <c r="BW67" s="2023"/>
      <c r="BX67" s="1994"/>
      <c r="BY67" s="2010"/>
      <c r="BZ67" s="2010"/>
      <c r="CA67" s="1478"/>
      <c r="CB67" s="1478"/>
      <c r="CC67" s="2023"/>
      <c r="CD67" s="1479"/>
      <c r="CE67" s="1479"/>
      <c r="CF67" s="1994"/>
      <c r="CG67" s="1478"/>
      <c r="CH67" s="1479"/>
      <c r="CI67" s="1479"/>
      <c r="CJ67" s="2155"/>
      <c r="CK67" s="2155"/>
      <c r="CL67" s="1479"/>
      <c r="CM67" s="2155"/>
      <c r="CN67" s="2155"/>
      <c r="CO67" s="2023"/>
      <c r="CP67" s="1479"/>
      <c r="CQ67" s="1479"/>
      <c r="CR67" s="2023"/>
      <c r="CS67" s="1479"/>
      <c r="CT67" s="1996"/>
      <c r="CU67" s="1996"/>
      <c r="CV67" s="2023"/>
      <c r="CW67" s="2023"/>
      <c r="CX67" s="1479"/>
      <c r="CY67" s="1479"/>
      <c r="CZ67" s="2023"/>
      <c r="DA67" s="1478"/>
      <c r="DB67" s="1479"/>
      <c r="DC67" s="1479"/>
      <c r="DD67" s="1479"/>
      <c r="DE67" s="1479"/>
      <c r="DF67" s="1478"/>
      <c r="DG67" s="2023"/>
      <c r="DH67" s="1994"/>
      <c r="DI67" s="1994"/>
      <c r="DJ67" s="1994"/>
      <c r="DK67" s="2023"/>
      <c r="DL67" s="1994"/>
      <c r="DM67" s="111"/>
      <c r="DN67" s="111"/>
      <c r="DO67" s="111"/>
    </row>
    <row r="68" customFormat="false" ht="12" hidden="false" customHeight="false" outlineLevel="0" collapsed="false">
      <c r="A68" s="31"/>
      <c r="B68" s="1994"/>
      <c r="C68" s="1994"/>
      <c r="D68" s="381"/>
      <c r="E68" s="1995"/>
      <c r="F68" s="1996"/>
      <c r="G68" s="1994"/>
      <c r="H68" s="1478"/>
      <c r="I68" s="1478"/>
      <c r="J68" s="1478"/>
      <c r="K68" s="1994"/>
      <c r="L68" s="1479"/>
      <c r="M68" s="1479"/>
      <c r="N68" s="1479"/>
      <c r="O68" s="1479"/>
      <c r="P68" s="1479"/>
      <c r="Q68" s="1479"/>
      <c r="R68" s="1479"/>
      <c r="S68" s="1479"/>
      <c r="T68" s="1479"/>
      <c r="U68" s="1479"/>
      <c r="V68" s="1479"/>
      <c r="W68" s="1479"/>
      <c r="X68" s="1479"/>
      <c r="Y68" s="1479"/>
      <c r="Z68" s="1479"/>
      <c r="AA68" s="1478"/>
      <c r="AB68" s="1478"/>
      <c r="AC68" s="1478"/>
      <c r="AD68" s="2158"/>
      <c r="AE68" s="514"/>
      <c r="AF68" s="2159"/>
      <c r="AG68" s="2124"/>
      <c r="AH68" s="2124"/>
      <c r="AI68" s="1478"/>
      <c r="AJ68" s="1478"/>
      <c r="AK68" s="1478"/>
      <c r="AL68" s="2126"/>
      <c r="AM68" s="2159"/>
      <c r="AN68" s="2124"/>
      <c r="AO68" s="2158"/>
      <c r="AP68" s="2158"/>
      <c r="AQ68" s="2126"/>
      <c r="AR68" s="1478"/>
      <c r="AS68" s="1478"/>
      <c r="AT68" s="1478"/>
      <c r="AU68" s="1478"/>
      <c r="AV68" s="1478"/>
      <c r="AW68" s="1478"/>
      <c r="AX68" s="1478"/>
      <c r="AY68" s="1478"/>
      <c r="AZ68" s="1478"/>
      <c r="BA68" s="1479"/>
      <c r="BB68" s="1479"/>
      <c r="BC68" s="1479"/>
      <c r="BD68" s="1479"/>
      <c r="BE68" s="1479"/>
      <c r="BF68" s="1479"/>
      <c r="BG68" s="1479"/>
      <c r="BH68" s="2023"/>
      <c r="BI68" s="1479"/>
      <c r="BJ68" s="1479"/>
      <c r="BK68" s="1478"/>
      <c r="BL68" s="1478"/>
      <c r="BM68" s="1478"/>
      <c r="BN68" s="1478"/>
      <c r="BO68" s="1479"/>
      <c r="BP68" s="1479"/>
      <c r="BQ68" s="1994"/>
      <c r="BR68" s="1478"/>
      <c r="BS68" s="1478"/>
      <c r="BT68" s="1479"/>
      <c r="BU68" s="1479"/>
      <c r="BV68" s="1479"/>
      <c r="BW68" s="2023"/>
      <c r="BX68" s="1994"/>
      <c r="BY68" s="2010"/>
      <c r="BZ68" s="2010"/>
      <c r="CA68" s="1478"/>
      <c r="CB68" s="1478"/>
      <c r="CC68" s="2023"/>
      <c r="CD68" s="1479"/>
      <c r="CE68" s="1479"/>
      <c r="CF68" s="1994"/>
      <c r="CG68" s="1478"/>
      <c r="CH68" s="1479"/>
      <c r="CI68" s="1479"/>
      <c r="CJ68" s="2155"/>
      <c r="CK68" s="2155"/>
      <c r="CL68" s="1479"/>
      <c r="CM68" s="2155"/>
      <c r="CN68" s="2155"/>
      <c r="CO68" s="2023"/>
      <c r="CP68" s="1479"/>
      <c r="CQ68" s="1479"/>
      <c r="CR68" s="2023"/>
      <c r="CS68" s="1479"/>
      <c r="CT68" s="1996"/>
      <c r="CU68" s="1996"/>
      <c r="CV68" s="2023"/>
      <c r="CW68" s="2023"/>
      <c r="CX68" s="1479"/>
      <c r="CY68" s="1479"/>
      <c r="CZ68" s="2023"/>
      <c r="DA68" s="1478"/>
      <c r="DB68" s="1479"/>
      <c r="DC68" s="1479"/>
      <c r="DD68" s="1479"/>
      <c r="DE68" s="1479"/>
      <c r="DF68" s="1478"/>
      <c r="DG68" s="2023"/>
      <c r="DH68" s="1994"/>
      <c r="DI68" s="1994"/>
      <c r="DJ68" s="1994"/>
      <c r="DK68" s="2023"/>
      <c r="DL68" s="1994"/>
      <c r="DM68" s="111"/>
      <c r="DN68" s="111"/>
      <c r="DO68" s="111"/>
    </row>
    <row r="69" customFormat="false" ht="12" hidden="false" customHeight="false" outlineLevel="0" collapsed="false">
      <c r="A69" s="31"/>
      <c r="B69" s="1994"/>
      <c r="C69" s="1994"/>
      <c r="D69" s="381"/>
      <c r="E69" s="1995"/>
      <c r="F69" s="1996"/>
      <c r="G69" s="1994"/>
      <c r="H69" s="1478"/>
      <c r="I69" s="1478"/>
      <c r="J69" s="1478"/>
      <c r="K69" s="1994"/>
      <c r="L69" s="1479"/>
      <c r="M69" s="1479"/>
      <c r="N69" s="1479"/>
      <c r="O69" s="1479"/>
      <c r="P69" s="1479"/>
      <c r="Q69" s="1479"/>
      <c r="R69" s="1479"/>
      <c r="S69" s="1479"/>
      <c r="T69" s="1479"/>
      <c r="U69" s="1479"/>
      <c r="V69" s="1479"/>
      <c r="W69" s="1479"/>
      <c r="X69" s="1479"/>
      <c r="Y69" s="1479"/>
      <c r="Z69" s="1479"/>
      <c r="AA69" s="1478"/>
      <c r="AB69" s="1478"/>
      <c r="AC69" s="1478"/>
      <c r="AD69" s="2158"/>
      <c r="AE69" s="514"/>
      <c r="AF69" s="2159"/>
      <c r="AG69" s="2124"/>
      <c r="AH69" s="2124"/>
      <c r="AI69" s="1478"/>
      <c r="AJ69" s="1478"/>
      <c r="AK69" s="1478"/>
      <c r="AL69" s="2126"/>
      <c r="AM69" s="2159"/>
      <c r="AN69" s="2124"/>
      <c r="AO69" s="2158"/>
      <c r="AP69" s="2158"/>
      <c r="AQ69" s="2126"/>
      <c r="AR69" s="1478"/>
      <c r="AS69" s="1478"/>
      <c r="AT69" s="1478"/>
      <c r="AU69" s="1478"/>
      <c r="AV69" s="1478"/>
      <c r="AW69" s="1478"/>
      <c r="AX69" s="1478"/>
      <c r="AY69" s="1478"/>
      <c r="AZ69" s="1478"/>
      <c r="BA69" s="1479"/>
      <c r="BB69" s="1479"/>
      <c r="BC69" s="1479"/>
      <c r="BD69" s="1479"/>
      <c r="BE69" s="1479"/>
      <c r="BF69" s="1479"/>
      <c r="BG69" s="1479"/>
      <c r="BH69" s="2023"/>
      <c r="BI69" s="1479"/>
      <c r="BJ69" s="1479"/>
      <c r="BK69" s="1478"/>
      <c r="BL69" s="1478"/>
      <c r="BM69" s="1478"/>
      <c r="BN69" s="1478"/>
      <c r="BO69" s="1479"/>
      <c r="BP69" s="1479"/>
      <c r="BQ69" s="1994"/>
      <c r="BR69" s="1478"/>
      <c r="BS69" s="1478"/>
      <c r="BT69" s="1479"/>
      <c r="BU69" s="1479"/>
      <c r="BV69" s="1479"/>
      <c r="BW69" s="2023"/>
      <c r="BX69" s="1994"/>
      <c r="BY69" s="2010"/>
      <c r="BZ69" s="2010"/>
      <c r="CA69" s="1478"/>
      <c r="CB69" s="1478"/>
      <c r="CC69" s="2023"/>
      <c r="CD69" s="1479"/>
      <c r="CE69" s="1479"/>
      <c r="CF69" s="1994"/>
      <c r="CG69" s="1478"/>
      <c r="CH69" s="1479"/>
      <c r="CI69" s="1479"/>
      <c r="CJ69" s="2155"/>
      <c r="CK69" s="2155"/>
      <c r="CL69" s="1479"/>
      <c r="CM69" s="2155"/>
      <c r="CN69" s="2155"/>
      <c r="CO69" s="2023"/>
      <c r="CP69" s="1479"/>
      <c r="CQ69" s="1479"/>
      <c r="CR69" s="2023"/>
      <c r="CS69" s="1479"/>
      <c r="CT69" s="1996"/>
      <c r="CU69" s="1996"/>
      <c r="CV69" s="2023"/>
      <c r="CW69" s="2023"/>
      <c r="CX69" s="1479"/>
      <c r="CY69" s="1479"/>
      <c r="CZ69" s="2023"/>
      <c r="DA69" s="1478"/>
      <c r="DB69" s="1479"/>
      <c r="DC69" s="1479"/>
      <c r="DD69" s="1479"/>
      <c r="DE69" s="1479"/>
      <c r="DF69" s="1478"/>
      <c r="DG69" s="2023"/>
      <c r="DH69" s="1994"/>
      <c r="DI69" s="1994"/>
      <c r="DJ69" s="1994"/>
      <c r="DK69" s="2023"/>
      <c r="DL69" s="1994"/>
      <c r="DM69" s="111"/>
      <c r="DN69" s="111"/>
      <c r="DO69" s="111"/>
    </row>
    <row r="70" customFormat="false" ht="12" hidden="false" customHeight="false" outlineLevel="0" collapsed="false">
      <c r="A70" s="31"/>
      <c r="B70" s="1994"/>
      <c r="C70" s="1994"/>
      <c r="D70" s="381"/>
      <c r="E70" s="1995"/>
      <c r="F70" s="1996"/>
      <c r="G70" s="1994"/>
      <c r="H70" s="1478"/>
      <c r="I70" s="1478"/>
      <c r="J70" s="1478"/>
      <c r="K70" s="1994"/>
      <c r="L70" s="1479"/>
      <c r="M70" s="1479"/>
      <c r="N70" s="1479"/>
      <c r="O70" s="1479"/>
      <c r="P70" s="1479"/>
      <c r="Q70" s="1479"/>
      <c r="R70" s="1479"/>
      <c r="S70" s="1479"/>
      <c r="T70" s="1479"/>
      <c r="U70" s="1479"/>
      <c r="V70" s="1479"/>
      <c r="W70" s="1479"/>
      <c r="X70" s="1479"/>
      <c r="Y70" s="1479"/>
      <c r="Z70" s="1479"/>
      <c r="AA70" s="1478"/>
      <c r="AB70" s="1478"/>
      <c r="AC70" s="1478"/>
      <c r="AD70" s="2158"/>
      <c r="AE70" s="514"/>
      <c r="AF70" s="2159"/>
      <c r="AG70" s="2124"/>
      <c r="AH70" s="2124"/>
      <c r="AI70" s="1478"/>
      <c r="AJ70" s="1478"/>
      <c r="AK70" s="1478"/>
      <c r="AL70" s="2126"/>
      <c r="AM70" s="2159"/>
      <c r="AN70" s="2124"/>
      <c r="AO70" s="2158"/>
      <c r="AP70" s="2158"/>
      <c r="AQ70" s="2126"/>
      <c r="AR70" s="1478"/>
      <c r="AS70" s="1478"/>
      <c r="AT70" s="1478"/>
      <c r="AU70" s="1478"/>
      <c r="AV70" s="1478"/>
      <c r="AW70" s="1478"/>
      <c r="AX70" s="1478"/>
      <c r="AY70" s="1478"/>
      <c r="AZ70" s="1478"/>
      <c r="BA70" s="1479"/>
      <c r="BB70" s="1479"/>
      <c r="BC70" s="1479"/>
      <c r="BD70" s="1479"/>
      <c r="BE70" s="1479"/>
      <c r="BF70" s="1479"/>
      <c r="BG70" s="1479"/>
      <c r="BH70" s="2023"/>
      <c r="BI70" s="1479"/>
      <c r="BJ70" s="1479"/>
      <c r="BK70" s="1478"/>
      <c r="BL70" s="1478"/>
      <c r="BM70" s="1478"/>
      <c r="BN70" s="1478"/>
      <c r="BO70" s="1479"/>
      <c r="BP70" s="1479"/>
      <c r="BQ70" s="1994"/>
      <c r="BR70" s="1478"/>
      <c r="BS70" s="1478"/>
      <c r="BT70" s="1479"/>
      <c r="BU70" s="1479"/>
      <c r="BV70" s="1479"/>
      <c r="BW70" s="2023"/>
      <c r="BX70" s="1994"/>
      <c r="BY70" s="2010"/>
      <c r="BZ70" s="2010"/>
      <c r="CA70" s="1478"/>
      <c r="CB70" s="1478"/>
      <c r="CC70" s="2023"/>
      <c r="CD70" s="1479"/>
      <c r="CE70" s="1479"/>
      <c r="CF70" s="1994"/>
      <c r="CG70" s="1478"/>
      <c r="CH70" s="1479"/>
      <c r="CI70" s="1479"/>
      <c r="CJ70" s="2155"/>
      <c r="CK70" s="2155"/>
      <c r="CL70" s="1479"/>
      <c r="CM70" s="2155"/>
      <c r="CN70" s="2155"/>
      <c r="CO70" s="2023"/>
      <c r="CP70" s="1479"/>
      <c r="CQ70" s="1479"/>
      <c r="CR70" s="2023"/>
      <c r="CS70" s="1479"/>
      <c r="CT70" s="1996"/>
      <c r="CU70" s="1996"/>
      <c r="CV70" s="2023"/>
      <c r="CW70" s="2023"/>
      <c r="CX70" s="1479"/>
      <c r="CY70" s="1479"/>
      <c r="CZ70" s="2023"/>
      <c r="DA70" s="1478"/>
      <c r="DB70" s="1479"/>
      <c r="DC70" s="1479"/>
      <c r="DD70" s="1479"/>
      <c r="DE70" s="1479"/>
      <c r="DF70" s="1478"/>
      <c r="DG70" s="2023"/>
      <c r="DH70" s="1994"/>
      <c r="DI70" s="1994"/>
      <c r="DJ70" s="1994"/>
      <c r="DK70" s="2023"/>
      <c r="DL70" s="1994"/>
      <c r="DM70" s="111"/>
      <c r="DN70" s="111"/>
      <c r="DO70" s="111"/>
    </row>
    <row r="71" customFormat="false" ht="12" hidden="false" customHeight="false" outlineLevel="0" collapsed="false">
      <c r="A71" s="31"/>
      <c r="B71" s="1994"/>
      <c r="C71" s="1994"/>
      <c r="D71" s="381"/>
      <c r="E71" s="1995"/>
      <c r="F71" s="1996"/>
      <c r="G71" s="1994"/>
      <c r="H71" s="1478"/>
      <c r="I71" s="1478"/>
      <c r="J71" s="1478"/>
      <c r="K71" s="1994"/>
      <c r="L71" s="1479"/>
      <c r="M71" s="1479"/>
      <c r="N71" s="1479"/>
      <c r="O71" s="1479"/>
      <c r="P71" s="1479"/>
      <c r="Q71" s="1479"/>
      <c r="R71" s="1479"/>
      <c r="S71" s="1479"/>
      <c r="T71" s="1479"/>
      <c r="U71" s="1479"/>
      <c r="V71" s="1479"/>
      <c r="W71" s="1479"/>
      <c r="X71" s="1479"/>
      <c r="Y71" s="1479"/>
      <c r="Z71" s="1479"/>
      <c r="AA71" s="1478"/>
      <c r="AB71" s="1478"/>
      <c r="AC71" s="1478"/>
      <c r="AD71" s="2158"/>
      <c r="AE71" s="514"/>
      <c r="AF71" s="2159"/>
      <c r="AG71" s="2124"/>
      <c r="AH71" s="2124"/>
      <c r="AI71" s="1478"/>
      <c r="AJ71" s="1478"/>
      <c r="AK71" s="1478"/>
      <c r="AL71" s="2126"/>
      <c r="AM71" s="2159"/>
      <c r="AN71" s="2124"/>
      <c r="AO71" s="2158"/>
      <c r="AP71" s="2158"/>
      <c r="AQ71" s="2126"/>
      <c r="AR71" s="1478"/>
      <c r="AS71" s="1478"/>
      <c r="AT71" s="1478"/>
      <c r="AU71" s="1478"/>
      <c r="AV71" s="1478"/>
      <c r="AW71" s="1478"/>
      <c r="AX71" s="1478"/>
      <c r="AY71" s="1478"/>
      <c r="AZ71" s="1478"/>
      <c r="BA71" s="1479"/>
      <c r="BB71" s="1479"/>
      <c r="BC71" s="1479"/>
      <c r="BD71" s="1479"/>
      <c r="BE71" s="1479"/>
      <c r="BF71" s="1479"/>
      <c r="BG71" s="1479"/>
      <c r="BH71" s="2023"/>
      <c r="BI71" s="1479"/>
      <c r="BJ71" s="1479"/>
      <c r="BK71" s="1478"/>
      <c r="BL71" s="1478"/>
      <c r="BM71" s="1478"/>
      <c r="BN71" s="1478"/>
      <c r="BO71" s="1479"/>
      <c r="BP71" s="1479"/>
      <c r="BQ71" s="1994"/>
      <c r="BR71" s="1478"/>
      <c r="BS71" s="1478"/>
      <c r="BT71" s="1479"/>
      <c r="BU71" s="1479"/>
      <c r="BV71" s="1479"/>
      <c r="BW71" s="2023"/>
      <c r="BX71" s="1994"/>
      <c r="BY71" s="2010"/>
      <c r="BZ71" s="2010"/>
      <c r="CA71" s="1478"/>
      <c r="CB71" s="1478"/>
      <c r="CC71" s="2023"/>
      <c r="CD71" s="1479"/>
      <c r="CE71" s="1479"/>
      <c r="CF71" s="1994"/>
      <c r="CG71" s="1478"/>
      <c r="CH71" s="1479"/>
      <c r="CI71" s="1479"/>
      <c r="CJ71" s="2155"/>
      <c r="CK71" s="2155"/>
      <c r="CL71" s="1479"/>
      <c r="CM71" s="2155"/>
      <c r="CN71" s="2155"/>
      <c r="CO71" s="2023"/>
      <c r="CP71" s="1479"/>
      <c r="CQ71" s="1479"/>
      <c r="CR71" s="2023"/>
      <c r="CS71" s="1479"/>
      <c r="CT71" s="1996"/>
      <c r="CU71" s="1996"/>
      <c r="CV71" s="2023"/>
      <c r="CW71" s="2023"/>
      <c r="CX71" s="1479"/>
      <c r="CY71" s="1479"/>
      <c r="CZ71" s="2023"/>
      <c r="DA71" s="1478"/>
      <c r="DB71" s="1479"/>
      <c r="DC71" s="1479"/>
      <c r="DD71" s="1479"/>
      <c r="DE71" s="1479"/>
      <c r="DF71" s="1478"/>
      <c r="DG71" s="2023"/>
      <c r="DH71" s="1994"/>
      <c r="DI71" s="1994"/>
      <c r="DJ71" s="1994"/>
      <c r="DK71" s="2023"/>
      <c r="DL71" s="1994"/>
      <c r="DM71" s="111"/>
      <c r="DN71" s="111"/>
      <c r="DO71" s="111"/>
    </row>
    <row r="72" customFormat="false" ht="12" hidden="false" customHeight="false" outlineLevel="0" collapsed="false">
      <c r="A72" s="31"/>
      <c r="B72" s="1994"/>
      <c r="C72" s="1994"/>
      <c r="D72" s="381"/>
      <c r="E72" s="1995"/>
      <c r="F72" s="1996"/>
      <c r="G72" s="1994"/>
      <c r="H72" s="1478"/>
      <c r="I72" s="1478"/>
      <c r="J72" s="1478"/>
      <c r="K72" s="1994"/>
      <c r="L72" s="1479"/>
      <c r="M72" s="1479"/>
      <c r="N72" s="1479"/>
      <c r="O72" s="1479"/>
      <c r="P72" s="1479"/>
      <c r="Q72" s="1479"/>
      <c r="R72" s="1479"/>
      <c r="S72" s="1479"/>
      <c r="T72" s="1479"/>
      <c r="U72" s="1479"/>
      <c r="V72" s="1479"/>
      <c r="W72" s="1479"/>
      <c r="X72" s="1479"/>
      <c r="Y72" s="1479"/>
      <c r="Z72" s="1479"/>
      <c r="AA72" s="1478"/>
      <c r="AB72" s="1478"/>
      <c r="AC72" s="1478"/>
      <c r="AD72" s="2158"/>
      <c r="AE72" s="514"/>
      <c r="AF72" s="2159"/>
      <c r="AG72" s="2124"/>
      <c r="AH72" s="2124"/>
      <c r="AI72" s="1478"/>
      <c r="AJ72" s="1478"/>
      <c r="AK72" s="1478"/>
      <c r="AL72" s="2126"/>
      <c r="AM72" s="2159"/>
      <c r="AN72" s="2124"/>
      <c r="AO72" s="2158"/>
      <c r="AP72" s="2158"/>
      <c r="AQ72" s="2126"/>
      <c r="AR72" s="1478"/>
      <c r="AS72" s="1478"/>
      <c r="AT72" s="1478"/>
      <c r="AU72" s="1478"/>
      <c r="AV72" s="1478"/>
      <c r="AW72" s="1478"/>
      <c r="AX72" s="1478"/>
      <c r="AY72" s="1478"/>
      <c r="AZ72" s="1478"/>
      <c r="BA72" s="1479"/>
      <c r="BB72" s="1479"/>
      <c r="BC72" s="1479"/>
      <c r="BD72" s="1479"/>
      <c r="BE72" s="1479"/>
      <c r="BF72" s="1479"/>
      <c r="BG72" s="1479"/>
      <c r="BH72" s="2023"/>
      <c r="BI72" s="1479"/>
      <c r="BJ72" s="1479"/>
      <c r="BK72" s="1478"/>
      <c r="BL72" s="1478"/>
      <c r="BM72" s="1478"/>
      <c r="BN72" s="1478"/>
      <c r="BO72" s="1479"/>
      <c r="BP72" s="1479"/>
      <c r="BQ72" s="1994"/>
      <c r="BR72" s="1478"/>
      <c r="BS72" s="1478"/>
      <c r="BT72" s="1479"/>
      <c r="BU72" s="1479"/>
      <c r="BV72" s="1479"/>
      <c r="BW72" s="2023"/>
      <c r="BX72" s="1994"/>
      <c r="BY72" s="2010"/>
      <c r="BZ72" s="2010"/>
      <c r="CA72" s="1478"/>
      <c r="CB72" s="1478"/>
      <c r="CC72" s="2023"/>
      <c r="CD72" s="1479"/>
      <c r="CE72" s="1479"/>
      <c r="CF72" s="1994"/>
      <c r="CG72" s="1478"/>
      <c r="CH72" s="1479"/>
      <c r="CI72" s="1479"/>
      <c r="CJ72" s="2155"/>
      <c r="CK72" s="2155"/>
      <c r="CL72" s="1479"/>
      <c r="CM72" s="2155"/>
      <c r="CN72" s="2155"/>
      <c r="CO72" s="2023"/>
      <c r="CP72" s="1479"/>
      <c r="CQ72" s="1479"/>
      <c r="CR72" s="2023"/>
      <c r="CS72" s="1479"/>
      <c r="CT72" s="1996"/>
      <c r="CU72" s="1996"/>
      <c r="CV72" s="2023"/>
      <c r="CW72" s="2023"/>
      <c r="CX72" s="1479"/>
      <c r="CY72" s="1479"/>
      <c r="CZ72" s="2023"/>
      <c r="DA72" s="1478"/>
      <c r="DB72" s="1479"/>
      <c r="DC72" s="1479"/>
      <c r="DD72" s="1479"/>
      <c r="DE72" s="1479"/>
      <c r="DF72" s="1478"/>
      <c r="DG72" s="2023"/>
      <c r="DH72" s="1994"/>
      <c r="DI72" s="1994"/>
      <c r="DJ72" s="1994"/>
      <c r="DK72" s="2023"/>
      <c r="DL72" s="1994"/>
      <c r="DM72" s="111"/>
      <c r="DN72" s="111"/>
      <c r="DO72" s="111"/>
    </row>
    <row r="73" customFormat="false" ht="12" hidden="false" customHeight="false" outlineLevel="0" collapsed="false">
      <c r="A73" s="31"/>
      <c r="B73" s="2157"/>
      <c r="C73" s="2157"/>
      <c r="D73" s="381"/>
      <c r="E73" s="1995"/>
      <c r="F73" s="2103"/>
      <c r="G73" s="1994"/>
      <c r="H73" s="1478"/>
      <c r="I73" s="1478"/>
      <c r="J73" s="1478"/>
      <c r="K73" s="1994"/>
      <c r="L73" s="1479"/>
      <c r="M73" s="1479"/>
      <c r="N73" s="1479"/>
      <c r="O73" s="1479"/>
      <c r="P73" s="1479"/>
      <c r="Q73" s="1479"/>
      <c r="R73" s="1479"/>
      <c r="S73" s="1479"/>
      <c r="T73" s="1479"/>
      <c r="U73" s="1479"/>
      <c r="V73" s="1479"/>
      <c r="W73" s="1479"/>
      <c r="X73" s="1479"/>
      <c r="Y73" s="1479"/>
      <c r="Z73" s="1479"/>
      <c r="AA73" s="1478"/>
      <c r="AB73" s="1478"/>
      <c r="AC73" s="1478"/>
      <c r="AD73" s="2158"/>
      <c r="AE73" s="514"/>
      <c r="AF73" s="2159"/>
      <c r="AG73" s="2124"/>
      <c r="AH73" s="2124"/>
      <c r="AI73" s="1478"/>
      <c r="AJ73" s="1478"/>
      <c r="AK73" s="1478"/>
      <c r="AL73" s="2126"/>
      <c r="AM73" s="2159"/>
      <c r="AN73" s="2124"/>
      <c r="AO73" s="2158"/>
      <c r="AP73" s="2158"/>
      <c r="AQ73" s="2126"/>
      <c r="AR73" s="1478"/>
      <c r="AS73" s="1478"/>
      <c r="AT73" s="1478"/>
      <c r="AU73" s="1478"/>
      <c r="AV73" s="1478"/>
      <c r="AW73" s="1478"/>
      <c r="AX73" s="1478"/>
      <c r="AY73" s="1478"/>
      <c r="AZ73" s="1478"/>
      <c r="BA73" s="1479"/>
      <c r="BB73" s="1479"/>
      <c r="BC73" s="1479"/>
      <c r="BD73" s="1479"/>
      <c r="BE73" s="1479"/>
      <c r="BF73" s="1479"/>
      <c r="BG73" s="1479"/>
      <c r="BH73" s="2023"/>
      <c r="BI73" s="1479"/>
      <c r="BJ73" s="1479"/>
      <c r="BK73" s="1478"/>
      <c r="BL73" s="1478"/>
      <c r="BM73" s="1478"/>
      <c r="BN73" s="1478"/>
      <c r="BO73" s="1479"/>
      <c r="BP73" s="1479"/>
      <c r="BQ73" s="1994"/>
      <c r="BR73" s="1478"/>
      <c r="BS73" s="1478"/>
      <c r="BT73" s="1479"/>
      <c r="BU73" s="1479"/>
      <c r="BV73" s="1479"/>
      <c r="BW73" s="2023"/>
      <c r="BX73" s="1994"/>
      <c r="BY73" s="2010"/>
      <c r="BZ73" s="2010"/>
      <c r="CA73" s="1478"/>
      <c r="CB73" s="1478"/>
      <c r="CC73" s="2023"/>
      <c r="CD73" s="1479"/>
      <c r="CE73" s="1479"/>
      <c r="CF73" s="1994"/>
      <c r="CG73" s="1478"/>
      <c r="CH73" s="1479"/>
      <c r="CI73" s="1479"/>
      <c r="CJ73" s="2155"/>
      <c r="CK73" s="2155"/>
      <c r="CL73" s="1479"/>
      <c r="CM73" s="2155"/>
      <c r="CN73" s="2155"/>
      <c r="CO73" s="2023"/>
      <c r="CP73" s="1479"/>
      <c r="CQ73" s="1479"/>
      <c r="CR73" s="2023"/>
      <c r="CS73" s="1479"/>
      <c r="CT73" s="1996"/>
      <c r="CU73" s="1996"/>
      <c r="CV73" s="2023"/>
      <c r="CW73" s="2023"/>
      <c r="CX73" s="1479"/>
      <c r="CY73" s="1479"/>
      <c r="CZ73" s="2023"/>
      <c r="DA73" s="1478"/>
      <c r="DB73" s="1479"/>
      <c r="DC73" s="1479"/>
      <c r="DD73" s="1479"/>
      <c r="DE73" s="1479"/>
      <c r="DF73" s="1478"/>
      <c r="DG73" s="2023"/>
      <c r="DH73" s="1994"/>
      <c r="DI73" s="1994"/>
      <c r="DJ73" s="1994"/>
      <c r="DK73" s="2023"/>
      <c r="DL73" s="1994"/>
      <c r="DM73" s="218"/>
      <c r="DN73" s="218"/>
      <c r="DO73" s="218"/>
    </row>
    <row r="74" customFormat="false" ht="12" hidden="false" customHeight="false" outlineLevel="0" collapsed="false">
      <c r="A74" s="31"/>
      <c r="B74" s="2157"/>
      <c r="C74" s="2157"/>
      <c r="D74" s="381"/>
      <c r="E74" s="1995"/>
      <c r="F74" s="2103"/>
      <c r="G74" s="1994"/>
      <c r="H74" s="1478"/>
      <c r="I74" s="2044"/>
      <c r="J74" s="2044"/>
      <c r="K74" s="1994"/>
      <c r="L74" s="1479"/>
      <c r="M74" s="1479"/>
      <c r="N74" s="1479"/>
      <c r="O74" s="1479"/>
      <c r="P74" s="1479"/>
      <c r="Q74" s="1479"/>
      <c r="R74" s="1479"/>
      <c r="S74" s="1479"/>
      <c r="T74" s="1479"/>
      <c r="U74" s="1479"/>
      <c r="V74" s="1479"/>
      <c r="W74" s="1479"/>
      <c r="X74" s="1479"/>
      <c r="Y74" s="1479"/>
      <c r="Z74" s="1479"/>
      <c r="AA74" s="1478"/>
      <c r="AB74" s="1478"/>
      <c r="AC74" s="1478"/>
      <c r="AD74" s="2158"/>
      <c r="AE74" s="514"/>
      <c r="AF74" s="2159"/>
      <c r="AG74" s="2124"/>
      <c r="AH74" s="2124"/>
      <c r="AI74" s="1478"/>
      <c r="AJ74" s="1478"/>
      <c r="AK74" s="1478"/>
      <c r="AL74" s="2126"/>
      <c r="AM74" s="2159"/>
      <c r="AN74" s="2124"/>
      <c r="AO74" s="2158"/>
      <c r="AP74" s="2158"/>
      <c r="AQ74" s="2126"/>
      <c r="AR74" s="1478"/>
      <c r="AS74" s="1478"/>
      <c r="AT74" s="1478"/>
      <c r="AU74" s="1478"/>
      <c r="AV74" s="1478"/>
      <c r="AW74" s="1478"/>
      <c r="AX74" s="1478"/>
      <c r="AY74" s="1478"/>
      <c r="AZ74" s="1478"/>
      <c r="BA74" s="1479"/>
      <c r="BB74" s="1479"/>
      <c r="BC74" s="1479"/>
      <c r="BD74" s="1479"/>
      <c r="BE74" s="1479"/>
      <c r="BF74" s="1479"/>
      <c r="BG74" s="1479"/>
      <c r="BH74" s="2105"/>
      <c r="BI74" s="1479"/>
      <c r="BJ74" s="1479"/>
      <c r="BK74" s="1478"/>
      <c r="BL74" s="1478"/>
      <c r="BM74" s="1478"/>
      <c r="BN74" s="1478"/>
      <c r="BO74" s="1479"/>
      <c r="BP74" s="1479"/>
      <c r="BQ74" s="1994"/>
      <c r="BR74" s="1478"/>
      <c r="BS74" s="1478"/>
      <c r="BT74" s="1479"/>
      <c r="BU74" s="1479"/>
      <c r="BV74" s="1479"/>
      <c r="BW74" s="2023"/>
      <c r="BX74" s="1994"/>
      <c r="BY74" s="1478"/>
      <c r="BZ74" s="1478"/>
      <c r="CA74" s="1478"/>
      <c r="CB74" s="1478"/>
      <c r="CC74" s="2023"/>
      <c r="CD74" s="1479"/>
      <c r="CE74" s="1479"/>
      <c r="CF74" s="1994"/>
      <c r="CG74" s="1478"/>
      <c r="CH74" s="1479"/>
      <c r="CI74" s="1479"/>
      <c r="CJ74" s="2155"/>
      <c r="CK74" s="2155"/>
      <c r="CL74" s="1479"/>
      <c r="CM74" s="2155"/>
      <c r="CN74" s="2155"/>
      <c r="CO74" s="2023"/>
      <c r="CP74" s="1479"/>
      <c r="CQ74" s="1479"/>
      <c r="CR74" s="2023"/>
      <c r="CS74" s="1479"/>
      <c r="CT74" s="1996"/>
      <c r="CU74" s="1996"/>
      <c r="CV74" s="2023"/>
      <c r="CW74" s="2023"/>
      <c r="CX74" s="1479"/>
      <c r="CY74" s="1479"/>
      <c r="CZ74" s="2023"/>
      <c r="DA74" s="1478"/>
      <c r="DB74" s="1479"/>
      <c r="DC74" s="1479"/>
      <c r="DD74" s="1479"/>
      <c r="DE74" s="1479"/>
      <c r="DF74" s="1478"/>
      <c r="DG74" s="2023"/>
      <c r="DH74" s="1994"/>
      <c r="DI74" s="1994"/>
      <c r="DJ74" s="1994"/>
      <c r="DK74" s="2023"/>
      <c r="DL74" s="1994"/>
      <c r="DM74" s="2160"/>
      <c r="DN74" s="2160"/>
      <c r="DO74" s="2160"/>
    </row>
    <row r="75" customFormat="false" ht="12" hidden="false" customHeight="false" outlineLevel="0" collapsed="false">
      <c r="D75" s="1478"/>
      <c r="K75" s="1478"/>
      <c r="L75" s="1478"/>
      <c r="M75" s="1478"/>
      <c r="N75" s="1478"/>
      <c r="O75" s="1478"/>
      <c r="P75" s="1478"/>
      <c r="Q75" s="1478"/>
      <c r="R75" s="1478"/>
      <c r="S75" s="1478"/>
      <c r="T75" s="1478"/>
      <c r="U75" s="1478"/>
      <c r="V75" s="1478"/>
      <c r="W75" s="1478"/>
      <c r="X75" s="1478"/>
      <c r="Y75" s="1478"/>
      <c r="Z75" s="1478"/>
      <c r="AA75" s="1478"/>
      <c r="AB75" s="1478"/>
      <c r="AC75" s="1478"/>
      <c r="AD75" s="1478"/>
      <c r="AE75" s="1478"/>
      <c r="AF75" s="1478"/>
      <c r="AG75" s="1478"/>
      <c r="AH75" s="1478"/>
      <c r="AI75" s="1478"/>
      <c r="AJ75" s="1478"/>
      <c r="AK75" s="1478"/>
      <c r="AL75" s="1478"/>
      <c r="AM75" s="1478"/>
      <c r="AN75" s="1478"/>
      <c r="AO75" s="1478"/>
      <c r="AP75" s="1478"/>
      <c r="AQ75" s="1478"/>
      <c r="AR75" s="1478"/>
      <c r="AS75" s="1478"/>
      <c r="AT75" s="1478"/>
      <c r="AU75" s="1478"/>
      <c r="AV75" s="1478"/>
      <c r="AW75" s="1478"/>
      <c r="AX75" s="1478"/>
      <c r="AY75" s="1478"/>
      <c r="AZ75" s="1478"/>
      <c r="BA75" s="1478"/>
      <c r="BB75" s="1478"/>
      <c r="BC75" s="1478"/>
      <c r="BD75" s="1478"/>
      <c r="BE75" s="1478"/>
      <c r="BF75" s="1478"/>
      <c r="BG75" s="1478"/>
      <c r="BH75" s="1478"/>
      <c r="BI75" s="1478"/>
      <c r="BJ75" s="1478"/>
      <c r="BK75" s="1478"/>
      <c r="BL75" s="1478"/>
      <c r="BM75" s="1478"/>
      <c r="BN75" s="1478"/>
      <c r="BO75" s="1478"/>
      <c r="BP75" s="1478"/>
      <c r="DL75" s="1994"/>
      <c r="DM75" s="111"/>
      <c r="DN75" s="111"/>
      <c r="DO75" s="111"/>
    </row>
    <row r="76" customFormat="false" ht="12" hidden="false" customHeight="false" outlineLevel="0" collapsed="false">
      <c r="D76" s="1478"/>
      <c r="K76" s="1478"/>
      <c r="L76" s="1478"/>
      <c r="M76" s="1478"/>
      <c r="N76" s="1478"/>
      <c r="O76" s="1478"/>
      <c r="P76" s="1478"/>
      <c r="Q76" s="1478"/>
      <c r="R76" s="1478"/>
      <c r="S76" s="1478"/>
      <c r="T76" s="1478"/>
      <c r="U76" s="1478"/>
      <c r="V76" s="1478"/>
      <c r="W76" s="1478"/>
      <c r="X76" s="1478"/>
      <c r="Y76" s="1478"/>
      <c r="Z76" s="1478"/>
      <c r="AA76" s="1478"/>
      <c r="AB76" s="1478"/>
      <c r="AC76" s="1478"/>
      <c r="AD76" s="1478"/>
      <c r="AE76" s="1478"/>
      <c r="AF76" s="1478"/>
      <c r="AG76" s="1478"/>
      <c r="AH76" s="1478"/>
      <c r="AI76" s="1478"/>
      <c r="AJ76" s="1478"/>
      <c r="AK76" s="1478"/>
      <c r="AL76" s="1478"/>
      <c r="AM76" s="1478"/>
      <c r="AN76" s="1478"/>
      <c r="AO76" s="1478"/>
      <c r="AP76" s="1478"/>
      <c r="AQ76" s="1478"/>
      <c r="AR76" s="1478"/>
      <c r="AS76" s="1478"/>
      <c r="AT76" s="1478"/>
      <c r="AU76" s="1478"/>
      <c r="AV76" s="1478"/>
      <c r="AW76" s="1478"/>
      <c r="AX76" s="1478"/>
      <c r="AY76" s="1478"/>
      <c r="AZ76" s="1478"/>
      <c r="BA76" s="1478"/>
      <c r="BB76" s="1478"/>
      <c r="BC76" s="1478"/>
      <c r="BD76" s="1478"/>
      <c r="BE76" s="1478"/>
      <c r="BF76" s="1478"/>
      <c r="BG76" s="1478"/>
      <c r="BH76" s="1478"/>
      <c r="BI76" s="1478"/>
      <c r="BJ76" s="1478"/>
      <c r="BK76" s="1478"/>
      <c r="DM76" s="111"/>
      <c r="DN76" s="111"/>
      <c r="DO76" s="111"/>
    </row>
    <row r="77" customFormat="false" ht="12" hidden="false" customHeight="false" outlineLevel="0" collapsed="false">
      <c r="D77" s="1478"/>
      <c r="G77" s="2044"/>
      <c r="K77" s="2044"/>
      <c r="L77" s="1478"/>
      <c r="M77" s="1478"/>
      <c r="N77" s="1478"/>
      <c r="O77" s="1478"/>
      <c r="P77" s="1478"/>
      <c r="Q77" s="1478"/>
      <c r="R77" s="1478"/>
      <c r="S77" s="1478"/>
      <c r="T77" s="1478"/>
      <c r="U77" s="1478"/>
      <c r="V77" s="1478"/>
      <c r="W77" s="1478"/>
      <c r="X77" s="1478"/>
      <c r="Y77" s="1478"/>
      <c r="Z77" s="1478"/>
      <c r="AA77" s="1478"/>
      <c r="AB77" s="1478"/>
      <c r="AC77" s="1478"/>
      <c r="AD77" s="1478"/>
      <c r="AE77" s="1478"/>
      <c r="AF77" s="1478"/>
      <c r="AG77" s="1478"/>
      <c r="AH77" s="1478"/>
      <c r="AI77" s="1478"/>
      <c r="AJ77" s="1478"/>
      <c r="AK77" s="1478"/>
      <c r="AL77" s="1478"/>
      <c r="AM77" s="1478"/>
      <c r="AN77" s="1478"/>
      <c r="AO77" s="1478"/>
      <c r="AP77" s="1478"/>
      <c r="AQ77" s="1478"/>
      <c r="AR77" s="1478"/>
      <c r="AS77" s="1478"/>
      <c r="AT77" s="1478"/>
      <c r="AU77" s="1478"/>
      <c r="AV77" s="1478"/>
      <c r="AW77" s="1478"/>
      <c r="AX77" s="1478"/>
      <c r="AY77" s="1478"/>
      <c r="AZ77" s="1478"/>
      <c r="BA77" s="1478"/>
      <c r="BB77" s="1478"/>
      <c r="BC77" s="1478"/>
      <c r="BD77" s="1478"/>
      <c r="BF77" s="1478"/>
      <c r="BG77" s="1478"/>
      <c r="BH77" s="1478"/>
      <c r="BI77" s="1478"/>
      <c r="BJ77" s="1478"/>
      <c r="BK77" s="1478"/>
      <c r="CG77" s="1479"/>
      <c r="DM77" s="111"/>
      <c r="DN77" s="111"/>
      <c r="DO77" s="111"/>
    </row>
    <row r="78" customFormat="false" ht="12" hidden="false" customHeight="false" outlineLevel="0" collapsed="false">
      <c r="D78" s="1478"/>
      <c r="G78" s="2161"/>
      <c r="H78" s="2161"/>
      <c r="K78" s="1478"/>
      <c r="L78" s="1478"/>
      <c r="M78" s="1478"/>
      <c r="N78" s="1478"/>
      <c r="O78" s="1478"/>
      <c r="P78" s="1478"/>
      <c r="Q78" s="1478"/>
      <c r="R78" s="1478"/>
      <c r="S78" s="1478"/>
      <c r="T78" s="1478"/>
      <c r="U78" s="1478"/>
      <c r="V78" s="1478"/>
      <c r="W78" s="1478"/>
      <c r="X78" s="1478"/>
      <c r="Y78" s="1478"/>
      <c r="Z78" s="1478"/>
      <c r="AA78" s="1478"/>
      <c r="AB78" s="1478"/>
      <c r="AC78" s="1478"/>
      <c r="AD78" s="1478"/>
      <c r="AE78" s="1478"/>
      <c r="AF78" s="1478"/>
      <c r="AG78" s="1478"/>
      <c r="AH78" s="1478"/>
      <c r="AI78" s="1478"/>
      <c r="AJ78" s="1478"/>
      <c r="AK78" s="1478"/>
      <c r="AL78" s="1478"/>
      <c r="AM78" s="1478"/>
      <c r="AN78" s="1478"/>
      <c r="AO78" s="1478"/>
      <c r="AP78" s="1478"/>
      <c r="AQ78" s="1478"/>
      <c r="AR78" s="1478"/>
      <c r="AS78" s="1478"/>
      <c r="AT78" s="1478"/>
      <c r="AU78" s="1478"/>
      <c r="AV78" s="1478"/>
      <c r="AW78" s="1478"/>
      <c r="AX78" s="1478"/>
      <c r="AY78" s="1478"/>
      <c r="AZ78" s="1478"/>
      <c r="BA78" s="1478"/>
      <c r="BB78" s="1478"/>
      <c r="BC78" s="1478"/>
      <c r="BD78" s="1478"/>
      <c r="BE78" s="1478"/>
      <c r="BF78" s="1478"/>
      <c r="BG78" s="1478"/>
      <c r="BH78" s="1478"/>
      <c r="BI78" s="1478"/>
      <c r="BJ78" s="1478"/>
      <c r="BK78" s="1478"/>
      <c r="CO78" s="2162"/>
      <c r="DM78" s="111"/>
      <c r="DN78" s="111"/>
      <c r="DO78" s="111"/>
    </row>
    <row r="79" customFormat="false" ht="12" hidden="false" customHeight="false" outlineLevel="0" collapsed="false">
      <c r="D79" s="1478"/>
      <c r="K79" s="1478"/>
      <c r="L79" s="1478"/>
      <c r="M79" s="1478"/>
      <c r="N79" s="1478"/>
      <c r="O79" s="1478"/>
      <c r="P79" s="1478"/>
      <c r="Q79" s="1478"/>
      <c r="R79" s="1478"/>
      <c r="S79" s="1478"/>
      <c r="T79" s="1478"/>
      <c r="U79" s="1478"/>
      <c r="V79" s="1478"/>
      <c r="W79" s="1478"/>
      <c r="X79" s="1478"/>
      <c r="Y79" s="1478"/>
      <c r="Z79" s="1478"/>
      <c r="AA79" s="1478"/>
      <c r="AB79" s="1478"/>
      <c r="AC79" s="1478"/>
      <c r="AD79" s="1478"/>
      <c r="AE79" s="1478"/>
      <c r="AF79" s="1478"/>
      <c r="AG79" s="1478"/>
      <c r="AH79" s="1478"/>
      <c r="AI79" s="1478"/>
      <c r="AJ79" s="1478"/>
      <c r="AK79" s="1478"/>
      <c r="AL79" s="1478"/>
      <c r="AM79" s="1478"/>
      <c r="AN79" s="1478"/>
      <c r="AO79" s="1478"/>
      <c r="AP79" s="1478"/>
      <c r="AQ79" s="1478"/>
      <c r="AR79" s="1478"/>
      <c r="AS79" s="1478"/>
      <c r="AT79" s="1478"/>
      <c r="AU79" s="1478"/>
      <c r="AV79" s="1478"/>
      <c r="AW79" s="1478"/>
      <c r="AX79" s="1478"/>
      <c r="AY79" s="1478"/>
      <c r="AZ79" s="1478"/>
      <c r="BA79" s="1478"/>
      <c r="BB79" s="1478"/>
      <c r="BC79" s="1478"/>
      <c r="BD79" s="1478"/>
      <c r="BE79" s="1478"/>
      <c r="BF79" s="1478"/>
      <c r="BG79" s="1478"/>
      <c r="BH79" s="1478"/>
      <c r="BI79" s="1478"/>
      <c r="BJ79" s="1478"/>
      <c r="BK79" s="1478"/>
      <c r="DM79" s="111"/>
      <c r="DN79" s="111"/>
      <c r="DO79" s="111"/>
    </row>
    <row r="80" customFormat="false" ht="12" hidden="false" customHeight="false" outlineLevel="0" collapsed="false">
      <c r="D80" s="1478"/>
      <c r="K80" s="1478"/>
      <c r="L80" s="1478"/>
      <c r="M80" s="1478"/>
      <c r="N80" s="1478"/>
      <c r="O80" s="1478"/>
      <c r="P80" s="1478"/>
      <c r="Q80" s="1478"/>
      <c r="R80" s="1478"/>
      <c r="S80" s="1478"/>
      <c r="T80" s="1478"/>
      <c r="U80" s="1478"/>
      <c r="V80" s="1478"/>
      <c r="W80" s="1478"/>
      <c r="X80" s="1478"/>
      <c r="Y80" s="1478"/>
      <c r="Z80" s="1478"/>
      <c r="AA80" s="1478"/>
      <c r="AB80" s="1478"/>
      <c r="AC80" s="1478"/>
      <c r="AD80" s="1478"/>
      <c r="AE80" s="1478"/>
      <c r="AF80" s="1478"/>
      <c r="AG80" s="1478"/>
      <c r="AH80" s="1478"/>
      <c r="AI80" s="1478"/>
      <c r="AJ80" s="1478"/>
      <c r="AK80" s="1478"/>
      <c r="AL80" s="1478"/>
      <c r="AM80" s="1478"/>
      <c r="AN80" s="1478"/>
      <c r="AO80" s="1478"/>
      <c r="AP80" s="1478"/>
      <c r="AQ80" s="1478"/>
      <c r="AR80" s="1478"/>
      <c r="AS80" s="1478"/>
      <c r="AT80" s="1478"/>
      <c r="AU80" s="1478"/>
      <c r="AV80" s="1478"/>
      <c r="AW80" s="1478"/>
      <c r="AX80" s="1478"/>
      <c r="AY80" s="1478"/>
      <c r="AZ80" s="1478"/>
      <c r="BA80" s="1478"/>
      <c r="BB80" s="1478"/>
      <c r="BC80" s="1478"/>
      <c r="BD80" s="1478"/>
      <c r="BE80" s="1478"/>
      <c r="BF80" s="1478"/>
      <c r="BG80" s="1478"/>
      <c r="BH80" s="1478"/>
      <c r="BI80" s="1478"/>
      <c r="BJ80" s="1478"/>
      <c r="BK80" s="1478"/>
      <c r="CO80" s="2162"/>
      <c r="DM80" s="111"/>
      <c r="DN80" s="111"/>
      <c r="DO80" s="111"/>
    </row>
    <row r="81" customFormat="false" ht="12" hidden="false" customHeight="false" outlineLevel="0" collapsed="false">
      <c r="D81" s="1478"/>
      <c r="K81" s="1478"/>
      <c r="L81" s="1478"/>
      <c r="M81" s="1478"/>
      <c r="N81" s="1478"/>
      <c r="O81" s="1478"/>
      <c r="P81" s="1478"/>
      <c r="Q81" s="1478"/>
      <c r="R81" s="1478"/>
      <c r="S81" s="1478"/>
      <c r="T81" s="1478"/>
      <c r="U81" s="1478"/>
      <c r="V81" s="1478"/>
      <c r="W81" s="1478"/>
      <c r="X81" s="1478"/>
      <c r="Y81" s="1478"/>
      <c r="Z81" s="1478"/>
      <c r="AA81" s="1478"/>
      <c r="AB81" s="1478"/>
      <c r="AC81" s="1478"/>
      <c r="AD81" s="1478"/>
      <c r="AE81" s="1478"/>
      <c r="AF81" s="1478"/>
      <c r="AG81" s="1478"/>
      <c r="AH81" s="1478"/>
      <c r="AI81" s="1478"/>
      <c r="AJ81" s="1478"/>
      <c r="AK81" s="1478"/>
      <c r="AL81" s="1478"/>
      <c r="AM81" s="1478"/>
      <c r="AN81" s="1478"/>
      <c r="AO81" s="1478"/>
      <c r="AP81" s="1478"/>
      <c r="AQ81" s="1478"/>
      <c r="AR81" s="1478"/>
      <c r="AS81" s="1478"/>
      <c r="AT81" s="1478"/>
      <c r="AU81" s="1478"/>
      <c r="AV81" s="1478"/>
      <c r="AW81" s="1478"/>
      <c r="AX81" s="1478"/>
      <c r="AY81" s="1478"/>
      <c r="AZ81" s="1478"/>
      <c r="BA81" s="1478"/>
      <c r="BB81" s="1478"/>
      <c r="BC81" s="1478"/>
      <c r="BD81" s="1478"/>
      <c r="BE81" s="1478"/>
      <c r="BF81" s="1478"/>
      <c r="BG81" s="1478"/>
      <c r="BH81" s="1478"/>
      <c r="BI81" s="1478"/>
      <c r="BJ81" s="1478"/>
      <c r="BK81" s="1478"/>
      <c r="DM81" s="111"/>
      <c r="DN81" s="111"/>
      <c r="DO81" s="111"/>
    </row>
    <row r="82" customFormat="false" ht="12" hidden="false" customHeight="false" outlineLevel="0" collapsed="false">
      <c r="D82" s="1478"/>
      <c r="K82" s="1478"/>
      <c r="L82" s="1478"/>
      <c r="M82" s="1478"/>
      <c r="N82" s="1478"/>
      <c r="O82" s="1478"/>
      <c r="P82" s="1478"/>
      <c r="Q82" s="1478"/>
      <c r="R82" s="1478"/>
      <c r="S82" s="1478"/>
      <c r="T82" s="1478"/>
      <c r="U82" s="1478"/>
      <c r="V82" s="1478"/>
      <c r="W82" s="1478"/>
      <c r="X82" s="1478"/>
      <c r="Y82" s="1478"/>
      <c r="Z82" s="1478"/>
      <c r="AA82" s="1478"/>
      <c r="AB82" s="1478"/>
      <c r="AC82" s="1478"/>
      <c r="AD82" s="1478"/>
      <c r="AE82" s="1478"/>
      <c r="AF82" s="1478"/>
      <c r="AG82" s="1478"/>
      <c r="AH82" s="1478"/>
      <c r="AI82" s="1478"/>
      <c r="AJ82" s="1478"/>
      <c r="AK82" s="1478"/>
      <c r="AL82" s="1478"/>
      <c r="AM82" s="1478"/>
      <c r="AN82" s="1478"/>
      <c r="AO82" s="1478"/>
      <c r="AP82" s="1478"/>
      <c r="AQ82" s="1478"/>
      <c r="AR82" s="1478"/>
      <c r="AS82" s="1478"/>
      <c r="AT82" s="1478"/>
      <c r="AU82" s="1478"/>
      <c r="AV82" s="1478"/>
      <c r="AW82" s="1478"/>
      <c r="AX82" s="1478"/>
      <c r="AY82" s="1478"/>
      <c r="AZ82" s="1478"/>
      <c r="BA82" s="1478"/>
      <c r="BB82" s="1478"/>
      <c r="BC82" s="1478"/>
      <c r="BD82" s="1478"/>
      <c r="BE82" s="1478"/>
      <c r="BF82" s="1478"/>
      <c r="BG82" s="1478"/>
      <c r="BH82" s="1478"/>
      <c r="BI82" s="1478"/>
      <c r="BJ82" s="1478"/>
      <c r="BK82" s="1478"/>
      <c r="DM82" s="111"/>
      <c r="DN82" s="111"/>
      <c r="DO82" s="111"/>
    </row>
    <row r="83" customFormat="false" ht="12" hidden="false" customHeight="false" outlineLevel="0" collapsed="false">
      <c r="D83" s="1478"/>
      <c r="K83" s="1478"/>
      <c r="L83" s="1478"/>
      <c r="M83" s="1478"/>
      <c r="N83" s="1478"/>
      <c r="O83" s="1478"/>
      <c r="P83" s="1478"/>
      <c r="Q83" s="1478"/>
      <c r="R83" s="1478"/>
      <c r="S83" s="1478"/>
      <c r="T83" s="1478"/>
      <c r="U83" s="1478"/>
      <c r="V83" s="1478"/>
      <c r="W83" s="1478"/>
      <c r="X83" s="1478"/>
      <c r="Y83" s="1478"/>
      <c r="Z83" s="1478"/>
      <c r="AA83" s="1478"/>
      <c r="AB83" s="1478"/>
      <c r="AC83" s="1478"/>
      <c r="AD83" s="1478"/>
      <c r="AE83" s="1478"/>
      <c r="AF83" s="1478"/>
      <c r="AG83" s="1478"/>
      <c r="AH83" s="1478"/>
      <c r="AI83" s="1478"/>
      <c r="AJ83" s="1478"/>
      <c r="AK83" s="1478"/>
      <c r="AL83" s="1478"/>
      <c r="AM83" s="1478"/>
      <c r="AN83" s="1478"/>
      <c r="AO83" s="1478"/>
      <c r="AP83" s="1478"/>
      <c r="AQ83" s="1478"/>
      <c r="AR83" s="1478"/>
      <c r="AS83" s="1478"/>
      <c r="AT83" s="1478"/>
      <c r="AU83" s="1478"/>
      <c r="AV83" s="1478"/>
      <c r="AW83" s="1478"/>
      <c r="AX83" s="1478"/>
      <c r="AY83" s="1478"/>
      <c r="AZ83" s="1478"/>
      <c r="BA83" s="1478"/>
      <c r="BB83" s="1478"/>
      <c r="BC83" s="1478"/>
      <c r="BD83" s="1478"/>
      <c r="BE83" s="1478"/>
      <c r="BF83" s="1478"/>
      <c r="BG83" s="1478"/>
      <c r="BH83" s="1478"/>
      <c r="BI83" s="1478"/>
      <c r="BJ83" s="1478"/>
      <c r="BK83" s="1478"/>
      <c r="DM83" s="111"/>
      <c r="DN83" s="111"/>
      <c r="DO83" s="111"/>
    </row>
    <row r="84" customFormat="false" ht="12" hidden="false" customHeight="false" outlineLevel="0" collapsed="false">
      <c r="D84" s="1478"/>
      <c r="K84" s="1478"/>
      <c r="L84" s="1478"/>
      <c r="M84" s="1478"/>
      <c r="N84" s="1478"/>
      <c r="O84" s="1478"/>
      <c r="P84" s="1478"/>
      <c r="Q84" s="1478"/>
      <c r="R84" s="1478"/>
      <c r="S84" s="1478"/>
      <c r="T84" s="1478"/>
      <c r="U84" s="1478"/>
      <c r="V84" s="1478"/>
      <c r="W84" s="1478"/>
      <c r="X84" s="1478"/>
      <c r="Y84" s="1478"/>
      <c r="Z84" s="1478"/>
      <c r="AA84" s="1478"/>
      <c r="AB84" s="1478"/>
      <c r="AC84" s="1478"/>
      <c r="AD84" s="1478"/>
      <c r="AE84" s="1478"/>
      <c r="AF84" s="1478"/>
      <c r="AG84" s="1478"/>
      <c r="AH84" s="1478"/>
      <c r="AI84" s="1478"/>
      <c r="AJ84" s="1478"/>
      <c r="AK84" s="1478"/>
      <c r="AL84" s="1478"/>
      <c r="AM84" s="1478"/>
      <c r="AN84" s="1478"/>
      <c r="AO84" s="1478"/>
      <c r="AP84" s="1478"/>
      <c r="AQ84" s="1478"/>
      <c r="AR84" s="1478"/>
      <c r="AS84" s="1478"/>
      <c r="AT84" s="1478"/>
      <c r="AU84" s="1478"/>
      <c r="AV84" s="1478"/>
      <c r="AW84" s="1478"/>
      <c r="AX84" s="1478"/>
      <c r="AY84" s="1478"/>
      <c r="AZ84" s="1478"/>
      <c r="BA84" s="1478"/>
      <c r="BB84" s="1478"/>
      <c r="BC84" s="1478"/>
      <c r="BD84" s="1478"/>
      <c r="BE84" s="1478"/>
      <c r="BF84" s="1478"/>
      <c r="BG84" s="1478"/>
      <c r="BH84" s="1478"/>
      <c r="BI84" s="1478"/>
      <c r="BJ84" s="1478"/>
      <c r="BK84" s="1478"/>
      <c r="DM84" s="111"/>
      <c r="DN84" s="111"/>
      <c r="DO84" s="111"/>
    </row>
    <row r="85" customFormat="false" ht="12" hidden="false" customHeight="false" outlineLevel="0" collapsed="false">
      <c r="D85" s="1478"/>
      <c r="K85" s="1478"/>
      <c r="L85" s="1478"/>
      <c r="M85" s="1478"/>
      <c r="N85" s="1478"/>
      <c r="O85" s="1478"/>
      <c r="P85" s="1478"/>
      <c r="Q85" s="1478"/>
      <c r="R85" s="1478"/>
      <c r="S85" s="1478"/>
      <c r="T85" s="1478"/>
      <c r="U85" s="1478"/>
      <c r="V85" s="1478"/>
      <c r="W85" s="1478"/>
      <c r="X85" s="1478"/>
      <c r="Y85" s="1478"/>
      <c r="Z85" s="1478"/>
      <c r="AA85" s="1478"/>
      <c r="AB85" s="1478"/>
      <c r="AC85" s="1478"/>
      <c r="AD85" s="1478"/>
      <c r="AE85" s="1478"/>
      <c r="AF85" s="1478"/>
      <c r="AG85" s="1478"/>
      <c r="AH85" s="1478"/>
      <c r="AI85" s="1478"/>
      <c r="AJ85" s="1478"/>
      <c r="AK85" s="1478"/>
      <c r="AL85" s="1478"/>
      <c r="AM85" s="1478"/>
      <c r="AN85" s="1478"/>
      <c r="AO85" s="1478"/>
      <c r="AP85" s="1478"/>
      <c r="AQ85" s="1478"/>
      <c r="AR85" s="1478"/>
      <c r="AS85" s="1478"/>
      <c r="AT85" s="1478"/>
      <c r="AU85" s="1478"/>
      <c r="AV85" s="1478"/>
      <c r="AW85" s="1478"/>
      <c r="AX85" s="1478"/>
      <c r="AY85" s="1478"/>
      <c r="AZ85" s="1478"/>
      <c r="BA85" s="1478"/>
      <c r="BB85" s="1478"/>
      <c r="BC85" s="1478"/>
      <c r="BD85" s="1478"/>
      <c r="BE85" s="1478"/>
      <c r="BF85" s="1478"/>
      <c r="BG85" s="1478"/>
      <c r="BH85" s="1478"/>
      <c r="BI85" s="1478"/>
      <c r="BJ85" s="1478"/>
      <c r="BK85" s="1478"/>
      <c r="DM85" s="111"/>
      <c r="DN85" s="111"/>
      <c r="DO85" s="111"/>
    </row>
    <row r="86" customFormat="false" ht="12" hidden="false" customHeight="false" outlineLevel="0" collapsed="false">
      <c r="D86" s="1478"/>
      <c r="K86" s="1478"/>
      <c r="L86" s="1478"/>
      <c r="M86" s="1478"/>
      <c r="N86" s="1478"/>
      <c r="O86" s="1478"/>
      <c r="P86" s="1478"/>
      <c r="Q86" s="1478"/>
      <c r="R86" s="1478"/>
      <c r="S86" s="1478"/>
      <c r="T86" s="1478"/>
      <c r="U86" s="1478"/>
      <c r="V86" s="1478"/>
      <c r="W86" s="1478"/>
      <c r="X86" s="1478"/>
      <c r="Y86" s="1478"/>
      <c r="Z86" s="1478"/>
      <c r="AA86" s="1478"/>
      <c r="AB86" s="1478"/>
      <c r="AC86" s="1478"/>
      <c r="AD86" s="1478"/>
      <c r="AE86" s="1478"/>
      <c r="AF86" s="1478"/>
      <c r="AG86" s="1478"/>
      <c r="AH86" s="1478"/>
      <c r="AI86" s="1478"/>
      <c r="AJ86" s="1478"/>
      <c r="AK86" s="1478"/>
      <c r="AL86" s="1478"/>
      <c r="AM86" s="1478"/>
      <c r="AN86" s="1478"/>
      <c r="AO86" s="1478"/>
      <c r="AP86" s="1478"/>
      <c r="AQ86" s="1478"/>
      <c r="AR86" s="1478"/>
      <c r="AS86" s="1478"/>
      <c r="AT86" s="1478"/>
      <c r="AU86" s="1478"/>
      <c r="AV86" s="1478"/>
      <c r="AW86" s="1478"/>
      <c r="AX86" s="1478"/>
      <c r="AY86" s="1478"/>
      <c r="AZ86" s="1478"/>
      <c r="BA86" s="1478"/>
      <c r="BB86" s="1478"/>
      <c r="BC86" s="1478"/>
      <c r="BD86" s="1478"/>
      <c r="BE86" s="1478"/>
      <c r="BF86" s="1478"/>
      <c r="BG86" s="1478"/>
      <c r="BH86" s="1478"/>
      <c r="BI86" s="1478"/>
      <c r="BJ86" s="1478"/>
      <c r="BK86" s="1478"/>
      <c r="DM86" s="111"/>
      <c r="DN86" s="111"/>
      <c r="DO86" s="111"/>
    </row>
    <row r="87" customFormat="false" ht="12" hidden="false" customHeight="false" outlineLevel="0" collapsed="false">
      <c r="D87" s="1478"/>
      <c r="K87" s="1478"/>
      <c r="L87" s="1478"/>
      <c r="M87" s="1478"/>
      <c r="N87" s="1478"/>
      <c r="O87" s="1478"/>
      <c r="P87" s="1478"/>
      <c r="Q87" s="1478"/>
      <c r="R87" s="1478"/>
      <c r="S87" s="1478"/>
      <c r="T87" s="1478"/>
      <c r="U87" s="1478"/>
      <c r="V87" s="1478"/>
      <c r="W87" s="1478"/>
      <c r="X87" s="1478"/>
      <c r="Y87" s="1478"/>
      <c r="Z87" s="1478"/>
      <c r="AA87" s="1478"/>
      <c r="AB87" s="1478"/>
      <c r="AC87" s="1478"/>
      <c r="AD87" s="1478"/>
      <c r="AE87" s="1478"/>
      <c r="AF87" s="1478"/>
      <c r="AG87" s="1478"/>
      <c r="AH87" s="1478"/>
      <c r="AI87" s="1478"/>
      <c r="AJ87" s="1478"/>
      <c r="AK87" s="1478"/>
      <c r="AL87" s="1478"/>
      <c r="AM87" s="1478"/>
      <c r="AN87" s="1478"/>
      <c r="AO87" s="1478"/>
      <c r="AP87" s="1478"/>
      <c r="AQ87" s="1478"/>
      <c r="AR87" s="1478"/>
      <c r="AS87" s="1478"/>
      <c r="AT87" s="1478"/>
      <c r="AU87" s="1478"/>
      <c r="AV87" s="1478"/>
      <c r="AW87" s="1478"/>
      <c r="AX87" s="1478"/>
      <c r="AY87" s="1478"/>
      <c r="AZ87" s="1478"/>
      <c r="BA87" s="1478"/>
      <c r="BB87" s="1478"/>
      <c r="BC87" s="1478"/>
      <c r="BD87" s="1478"/>
      <c r="BE87" s="1478"/>
      <c r="BF87" s="1478"/>
      <c r="BG87" s="1478"/>
      <c r="BH87" s="1478"/>
      <c r="BI87" s="1478"/>
      <c r="BJ87" s="1478"/>
      <c r="BK87" s="1478"/>
      <c r="DM87" s="111"/>
      <c r="DN87" s="111"/>
      <c r="DO87" s="111"/>
    </row>
    <row r="88" customFormat="false" ht="12" hidden="false" customHeight="false" outlineLevel="0" collapsed="false">
      <c r="D88" s="1478"/>
      <c r="K88" s="1478"/>
      <c r="L88" s="1478"/>
      <c r="M88" s="1478"/>
      <c r="N88" s="1478"/>
      <c r="O88" s="1478"/>
      <c r="P88" s="1478"/>
      <c r="Q88" s="1478"/>
      <c r="R88" s="1478"/>
      <c r="S88" s="1478"/>
      <c r="T88" s="1478"/>
      <c r="U88" s="1478"/>
      <c r="V88" s="1478"/>
      <c r="W88" s="1478"/>
      <c r="X88" s="1478"/>
      <c r="Y88" s="1478"/>
      <c r="Z88" s="1478"/>
      <c r="AA88" s="1478"/>
      <c r="AB88" s="1478"/>
      <c r="AC88" s="1478"/>
      <c r="AD88" s="1478"/>
      <c r="AE88" s="1478"/>
      <c r="AF88" s="1478"/>
      <c r="AG88" s="1478"/>
      <c r="AH88" s="1478"/>
      <c r="AI88" s="1478"/>
      <c r="AJ88" s="1478"/>
      <c r="AK88" s="1478"/>
      <c r="AL88" s="1478"/>
      <c r="AM88" s="1478"/>
      <c r="AN88" s="1478"/>
      <c r="AO88" s="1478"/>
      <c r="AP88" s="1478"/>
      <c r="AQ88" s="1478"/>
      <c r="AR88" s="1478"/>
      <c r="AS88" s="1478"/>
      <c r="AT88" s="1478"/>
      <c r="AU88" s="1478"/>
      <c r="AV88" s="1478"/>
      <c r="AW88" s="1478"/>
      <c r="AX88" s="1478"/>
      <c r="AY88" s="1478"/>
      <c r="AZ88" s="1478"/>
      <c r="BA88" s="1478"/>
      <c r="BB88" s="1478"/>
      <c r="BC88" s="1478"/>
      <c r="BD88" s="1478"/>
      <c r="BE88" s="1478"/>
      <c r="BF88" s="1478"/>
      <c r="BG88" s="1478"/>
      <c r="BH88" s="1478"/>
      <c r="BI88" s="1478"/>
      <c r="BJ88" s="1478"/>
      <c r="BK88" s="1478"/>
      <c r="DM88" s="111"/>
      <c r="DN88" s="111"/>
      <c r="DO88" s="111"/>
    </row>
    <row r="89" customFormat="false" ht="12" hidden="false" customHeight="false" outlineLevel="0" collapsed="false">
      <c r="D89" s="1478"/>
      <c r="K89" s="1478"/>
      <c r="L89" s="1478"/>
      <c r="M89" s="1478"/>
      <c r="N89" s="1478"/>
      <c r="O89" s="1478"/>
      <c r="P89" s="1478"/>
      <c r="Q89" s="1478"/>
      <c r="R89" s="1478"/>
      <c r="S89" s="1478"/>
      <c r="T89" s="1478"/>
      <c r="U89" s="1478"/>
      <c r="V89" s="1478"/>
      <c r="W89" s="1478"/>
      <c r="X89" s="1478"/>
      <c r="Y89" s="1478"/>
      <c r="Z89" s="1478"/>
      <c r="AA89" s="1478"/>
      <c r="AB89" s="1478"/>
      <c r="AC89" s="1478"/>
      <c r="AD89" s="1478"/>
      <c r="AE89" s="1478"/>
      <c r="AF89" s="1478"/>
      <c r="AG89" s="1478"/>
      <c r="AH89" s="1478"/>
      <c r="AI89" s="1478"/>
      <c r="AJ89" s="1478"/>
      <c r="AK89" s="1478"/>
      <c r="AL89" s="1478"/>
      <c r="AM89" s="1478"/>
      <c r="AN89" s="1478"/>
      <c r="AO89" s="1478"/>
      <c r="AP89" s="1478"/>
      <c r="AQ89" s="1478"/>
      <c r="AR89" s="1478"/>
      <c r="AS89" s="1478"/>
      <c r="AT89" s="1478"/>
      <c r="AU89" s="1478"/>
      <c r="AV89" s="1478"/>
      <c r="AW89" s="1478"/>
      <c r="AX89" s="1478"/>
      <c r="AY89" s="1478"/>
      <c r="AZ89" s="1478"/>
      <c r="BA89" s="1478"/>
      <c r="BB89" s="1478"/>
      <c r="BC89" s="1478"/>
      <c r="BD89" s="1478"/>
      <c r="BE89" s="1478"/>
      <c r="BF89" s="1478"/>
      <c r="BG89" s="1478"/>
      <c r="BH89" s="1478"/>
      <c r="BI89" s="1478"/>
      <c r="BJ89" s="1478"/>
      <c r="BK89" s="1478"/>
      <c r="DM89" s="111"/>
      <c r="DN89" s="111"/>
      <c r="DO89" s="111"/>
    </row>
    <row r="90" customFormat="false" ht="12" hidden="false" customHeight="false" outlineLevel="0" collapsed="false">
      <c r="D90" s="1478"/>
      <c r="K90" s="1478"/>
      <c r="L90" s="1478"/>
      <c r="M90" s="1478"/>
      <c r="N90" s="1478"/>
      <c r="O90" s="1478"/>
      <c r="P90" s="1478"/>
      <c r="Q90" s="1478"/>
      <c r="R90" s="1478"/>
      <c r="S90" s="1478"/>
      <c r="T90" s="1478"/>
      <c r="U90" s="1478"/>
      <c r="V90" s="1478"/>
      <c r="W90" s="1478"/>
      <c r="X90" s="1478"/>
      <c r="Y90" s="1478"/>
      <c r="Z90" s="1478"/>
      <c r="AA90" s="1478"/>
      <c r="AB90" s="1478"/>
      <c r="AC90" s="1478"/>
      <c r="AD90" s="1478"/>
      <c r="AE90" s="1478"/>
      <c r="AF90" s="1478"/>
      <c r="AG90" s="1478"/>
      <c r="AH90" s="1478"/>
      <c r="AI90" s="1478"/>
      <c r="AJ90" s="1478"/>
      <c r="AK90" s="1478"/>
      <c r="AL90" s="1478"/>
      <c r="AM90" s="1478"/>
      <c r="AN90" s="1478"/>
      <c r="AO90" s="1478"/>
      <c r="AP90" s="1478"/>
      <c r="AQ90" s="1478"/>
      <c r="AR90" s="1478"/>
      <c r="AS90" s="1478"/>
      <c r="AT90" s="1478"/>
      <c r="AU90" s="1478"/>
      <c r="AV90" s="1478"/>
      <c r="AW90" s="1478"/>
      <c r="AX90" s="1478"/>
      <c r="AY90" s="1478"/>
      <c r="AZ90" s="1478"/>
      <c r="BA90" s="1478"/>
      <c r="BB90" s="1478"/>
      <c r="BC90" s="1478"/>
      <c r="BD90" s="1478"/>
      <c r="BE90" s="1478"/>
      <c r="BF90" s="1478"/>
      <c r="BG90" s="1478"/>
      <c r="BH90" s="1478"/>
      <c r="BI90" s="1478"/>
      <c r="BJ90" s="1478"/>
      <c r="BK90" s="1478"/>
    </row>
    <row r="91" customFormat="false" ht="12" hidden="false" customHeight="false" outlineLevel="0" collapsed="false">
      <c r="D91" s="1478"/>
      <c r="K91" s="1478"/>
      <c r="L91" s="1478"/>
      <c r="M91" s="1478"/>
      <c r="N91" s="1478"/>
      <c r="O91" s="1478"/>
      <c r="P91" s="1478"/>
      <c r="Q91" s="1478"/>
      <c r="R91" s="1478"/>
      <c r="S91" s="1478"/>
      <c r="T91" s="1478"/>
      <c r="U91" s="1478"/>
      <c r="V91" s="1478"/>
      <c r="W91" s="1478"/>
      <c r="X91" s="1478"/>
      <c r="Y91" s="1478"/>
      <c r="Z91" s="1478"/>
      <c r="AA91" s="1478"/>
      <c r="AB91" s="1478"/>
      <c r="AC91" s="1478"/>
      <c r="AD91" s="1478"/>
      <c r="AE91" s="1478"/>
      <c r="AF91" s="1478"/>
      <c r="AG91" s="1478"/>
      <c r="AH91" s="1478"/>
      <c r="AI91" s="1478"/>
      <c r="AJ91" s="1478"/>
      <c r="AK91" s="1478"/>
      <c r="AL91" s="1478"/>
      <c r="AM91" s="1478"/>
      <c r="AN91" s="1478"/>
      <c r="AO91" s="1478"/>
      <c r="AP91" s="1478"/>
      <c r="AQ91" s="1478"/>
      <c r="AR91" s="1478"/>
      <c r="AS91" s="1478"/>
      <c r="AT91" s="1478"/>
      <c r="AU91" s="1478"/>
      <c r="AV91" s="1478"/>
      <c r="AW91" s="1478"/>
      <c r="AX91" s="1478"/>
      <c r="AY91" s="1478"/>
      <c r="AZ91" s="1478"/>
      <c r="BA91" s="1478"/>
      <c r="BB91" s="1478"/>
      <c r="BC91" s="1478"/>
      <c r="BD91" s="1478"/>
      <c r="BE91" s="1478"/>
      <c r="BF91" s="1478"/>
      <c r="BG91" s="1478"/>
      <c r="BH91" s="1478"/>
      <c r="BI91" s="1478"/>
      <c r="BJ91" s="1478"/>
      <c r="BK91" s="1478"/>
    </row>
    <row r="92" customFormat="false" ht="12" hidden="false" customHeight="false" outlineLevel="0" collapsed="false">
      <c r="D92" s="1478"/>
      <c r="K92" s="1478"/>
      <c r="L92" s="1478"/>
      <c r="M92" s="1478"/>
      <c r="N92" s="1478"/>
      <c r="O92" s="1478"/>
      <c r="P92" s="1478"/>
      <c r="Q92" s="1478"/>
      <c r="R92" s="1478"/>
      <c r="S92" s="1478"/>
      <c r="T92" s="1478"/>
      <c r="U92" s="1478"/>
      <c r="V92" s="1478"/>
      <c r="W92" s="1478"/>
      <c r="X92" s="1478"/>
      <c r="Y92" s="1478"/>
      <c r="Z92" s="1478"/>
      <c r="AA92" s="1478"/>
      <c r="AB92" s="1478"/>
      <c r="AC92" s="1478"/>
      <c r="AD92" s="1478"/>
      <c r="AE92" s="1478"/>
      <c r="AF92" s="1478"/>
      <c r="AG92" s="1478"/>
      <c r="AH92" s="1478"/>
      <c r="AI92" s="1478"/>
      <c r="AJ92" s="1478"/>
      <c r="AK92" s="1478"/>
      <c r="AL92" s="1478"/>
      <c r="AM92" s="1478"/>
      <c r="AN92" s="1478"/>
      <c r="AO92" s="1478"/>
      <c r="AP92" s="1478"/>
      <c r="AQ92" s="1478"/>
      <c r="AR92" s="1478"/>
      <c r="AS92" s="1478"/>
      <c r="AT92" s="1478"/>
      <c r="AU92" s="1478"/>
      <c r="AV92" s="1478"/>
      <c r="AW92" s="1478"/>
      <c r="AX92" s="1478"/>
      <c r="AY92" s="1478"/>
      <c r="AZ92" s="1478"/>
      <c r="BA92" s="1478"/>
      <c r="BB92" s="1478"/>
      <c r="BC92" s="1478"/>
      <c r="BD92" s="1478"/>
      <c r="BE92" s="1478"/>
      <c r="BF92" s="1478"/>
      <c r="BG92" s="1478"/>
      <c r="BH92" s="1478"/>
      <c r="BI92" s="1478"/>
      <c r="BJ92" s="1478"/>
      <c r="BK92" s="1478"/>
    </row>
    <row r="93" customFormat="false" ht="12" hidden="false" customHeight="false" outlineLevel="0" collapsed="false">
      <c r="D93" s="1478"/>
      <c r="K93" s="1478"/>
      <c r="L93" s="1478"/>
      <c r="M93" s="1478"/>
      <c r="N93" s="1478"/>
      <c r="O93" s="1478"/>
      <c r="P93" s="1478"/>
      <c r="Q93" s="1478"/>
      <c r="R93" s="1478"/>
      <c r="S93" s="1478"/>
      <c r="T93" s="1478"/>
      <c r="U93" s="1478"/>
      <c r="V93" s="1478"/>
      <c r="W93" s="1478"/>
      <c r="X93" s="1478"/>
      <c r="Y93" s="1478"/>
      <c r="Z93" s="1478"/>
      <c r="AA93" s="1478"/>
      <c r="AB93" s="1478"/>
      <c r="AC93" s="1478"/>
      <c r="AD93" s="1478"/>
      <c r="AE93" s="1478"/>
      <c r="AF93" s="1478"/>
      <c r="AG93" s="1478"/>
      <c r="AH93" s="1478"/>
      <c r="AI93" s="1478"/>
      <c r="AJ93" s="1478"/>
      <c r="AK93" s="1478"/>
      <c r="AL93" s="1478"/>
      <c r="AM93" s="1478"/>
      <c r="AN93" s="1478"/>
      <c r="AO93" s="1478"/>
      <c r="AP93" s="1478"/>
      <c r="AQ93" s="1478"/>
      <c r="AR93" s="1478"/>
      <c r="AS93" s="1478"/>
      <c r="AT93" s="1478"/>
      <c r="AU93" s="1478"/>
      <c r="AV93" s="1478"/>
      <c r="AW93" s="1478"/>
      <c r="AX93" s="1478"/>
      <c r="AY93" s="1478"/>
      <c r="AZ93" s="1478"/>
      <c r="BA93" s="1478"/>
      <c r="BB93" s="1478"/>
      <c r="BC93" s="1478"/>
      <c r="BD93" s="1478"/>
      <c r="BE93" s="1478"/>
      <c r="BF93" s="1478"/>
      <c r="BG93" s="1478"/>
      <c r="BH93" s="1478"/>
      <c r="BI93" s="1478"/>
      <c r="BJ93" s="1478"/>
      <c r="BK93" s="1478"/>
    </row>
    <row r="94" customFormat="false" ht="12" hidden="false" customHeight="false" outlineLevel="0" collapsed="false">
      <c r="D94" s="1478"/>
      <c r="K94" s="1478"/>
      <c r="L94" s="1478"/>
      <c r="M94" s="1478"/>
      <c r="N94" s="1478"/>
      <c r="O94" s="1478"/>
      <c r="P94" s="1478"/>
      <c r="Q94" s="1478"/>
      <c r="R94" s="1478"/>
      <c r="S94" s="1478"/>
      <c r="T94" s="1478"/>
      <c r="U94" s="1478"/>
      <c r="V94" s="1478"/>
      <c r="W94" s="1478"/>
      <c r="X94" s="1478"/>
      <c r="Y94" s="1478"/>
      <c r="Z94" s="1478"/>
      <c r="AA94" s="1478"/>
      <c r="AB94" s="1478"/>
      <c r="AC94" s="1478"/>
      <c r="AD94" s="1478"/>
      <c r="AE94" s="1478"/>
      <c r="AF94" s="1478"/>
      <c r="AG94" s="1478"/>
      <c r="AH94" s="1478"/>
      <c r="AI94" s="1478"/>
      <c r="AJ94" s="1478"/>
      <c r="AK94" s="1478"/>
      <c r="AL94" s="1478"/>
      <c r="AM94" s="1478"/>
      <c r="AN94" s="1478"/>
      <c r="AO94" s="1478"/>
      <c r="AP94" s="1478"/>
      <c r="AQ94" s="1478"/>
      <c r="AR94" s="1478"/>
      <c r="AS94" s="1478"/>
      <c r="AT94" s="1478"/>
      <c r="AU94" s="1478"/>
      <c r="AV94" s="1478"/>
      <c r="AW94" s="1478"/>
      <c r="AX94" s="1478"/>
      <c r="AY94" s="1478"/>
      <c r="AZ94" s="1478"/>
      <c r="BA94" s="1478"/>
      <c r="BB94" s="1478"/>
      <c r="BC94" s="1478"/>
      <c r="BD94" s="1478"/>
      <c r="BE94" s="1478"/>
      <c r="BF94" s="1478"/>
      <c r="BG94" s="1478"/>
      <c r="BH94" s="1478"/>
      <c r="BI94" s="1478"/>
      <c r="BJ94" s="1478"/>
      <c r="BK94" s="1478"/>
    </row>
    <row r="95" customFormat="false" ht="12" hidden="false" customHeight="false" outlineLevel="0" collapsed="false">
      <c r="D95" s="1478"/>
      <c r="K95" s="1478"/>
      <c r="L95" s="1478"/>
      <c r="M95" s="1478"/>
      <c r="N95" s="1478"/>
      <c r="O95" s="1478"/>
      <c r="P95" s="1478"/>
      <c r="Q95" s="1478"/>
      <c r="R95" s="1478"/>
      <c r="S95" s="1478"/>
      <c r="T95" s="1478"/>
      <c r="U95" s="1478"/>
      <c r="V95" s="1478"/>
      <c r="W95" s="1478"/>
      <c r="X95" s="1478"/>
      <c r="Y95" s="1478"/>
      <c r="Z95" s="1478"/>
      <c r="AA95" s="1478"/>
      <c r="AB95" s="1478"/>
      <c r="AC95" s="1478"/>
      <c r="AD95" s="1478"/>
      <c r="AE95" s="1478"/>
      <c r="AF95" s="1478"/>
      <c r="AG95" s="1478"/>
      <c r="AH95" s="1478"/>
      <c r="AI95" s="1478"/>
      <c r="AJ95" s="1478"/>
      <c r="AK95" s="1478"/>
      <c r="AL95" s="1478"/>
      <c r="AM95" s="1478"/>
      <c r="AN95" s="1478"/>
      <c r="AO95" s="1478"/>
      <c r="AP95" s="1478"/>
      <c r="AQ95" s="1478"/>
      <c r="AR95" s="1478"/>
      <c r="AS95" s="1478"/>
      <c r="AT95" s="1478"/>
      <c r="AU95" s="1478"/>
      <c r="AV95" s="1478"/>
      <c r="AW95" s="1478"/>
      <c r="AX95" s="1478"/>
      <c r="AY95" s="1478"/>
      <c r="AZ95" s="1478"/>
      <c r="BA95" s="1478"/>
      <c r="BB95" s="1478"/>
      <c r="BC95" s="1478"/>
      <c r="BD95" s="1478"/>
      <c r="BE95" s="1478"/>
      <c r="BF95" s="1478"/>
      <c r="BG95" s="1478"/>
      <c r="BH95" s="1478"/>
      <c r="BI95" s="1478"/>
      <c r="BJ95" s="1478"/>
      <c r="BK95" s="1478"/>
    </row>
    <row r="96" customFormat="false" ht="12" hidden="false" customHeight="false" outlineLevel="0" collapsed="false">
      <c r="D96" s="1478"/>
      <c r="K96" s="1478"/>
      <c r="L96" s="1478"/>
      <c r="M96" s="1478"/>
      <c r="N96" s="1478"/>
      <c r="O96" s="1478"/>
      <c r="P96" s="1478"/>
      <c r="Q96" s="1478"/>
      <c r="R96" s="1478"/>
      <c r="S96" s="1478"/>
      <c r="T96" s="1478"/>
      <c r="U96" s="1478"/>
      <c r="V96" s="1478"/>
      <c r="W96" s="1478"/>
      <c r="X96" s="1478"/>
      <c r="Y96" s="1478"/>
      <c r="Z96" s="1478"/>
      <c r="AA96" s="1478"/>
      <c r="AB96" s="1478"/>
      <c r="AC96" s="1478"/>
      <c r="AD96" s="1478"/>
      <c r="AE96" s="1478"/>
      <c r="AF96" s="1478"/>
      <c r="AG96" s="1478"/>
      <c r="AH96" s="1478"/>
      <c r="AI96" s="1478"/>
      <c r="AJ96" s="1478"/>
      <c r="AK96" s="1478"/>
      <c r="AL96" s="1478"/>
      <c r="AM96" s="1478"/>
      <c r="AN96" s="1478"/>
      <c r="AO96" s="1478"/>
      <c r="AP96" s="1478"/>
      <c r="AQ96" s="1478"/>
      <c r="AR96" s="1478"/>
      <c r="AS96" s="1478"/>
      <c r="AT96" s="1478"/>
      <c r="AU96" s="1478"/>
      <c r="AV96" s="1478"/>
      <c r="AW96" s="1478"/>
      <c r="AX96" s="1478"/>
      <c r="AY96" s="1478"/>
      <c r="AZ96" s="1478"/>
      <c r="BA96" s="1478"/>
      <c r="BB96" s="1478"/>
      <c r="BC96" s="1478"/>
      <c r="BD96" s="1478"/>
      <c r="BE96" s="1478"/>
      <c r="BF96" s="1478"/>
      <c r="BG96" s="1478"/>
      <c r="BH96" s="1478"/>
      <c r="BI96" s="1478"/>
      <c r="BJ96" s="1478"/>
      <c r="BK96" s="1478"/>
    </row>
    <row r="97" customFormat="false" ht="12" hidden="false" customHeight="false" outlineLevel="0" collapsed="false">
      <c r="D97" s="1478"/>
      <c r="K97" s="1478"/>
      <c r="L97" s="1478"/>
      <c r="M97" s="1478"/>
      <c r="N97" s="1478"/>
      <c r="O97" s="1478"/>
      <c r="P97" s="1478"/>
      <c r="Q97" s="1478"/>
      <c r="R97" s="1478"/>
      <c r="S97" s="1478"/>
      <c r="T97" s="1478"/>
      <c r="U97" s="1478"/>
      <c r="V97" s="1478"/>
      <c r="W97" s="1478"/>
      <c r="X97" s="1478"/>
      <c r="Y97" s="1478"/>
      <c r="Z97" s="1478"/>
      <c r="AA97" s="1478"/>
      <c r="AB97" s="1478"/>
      <c r="AC97" s="1478"/>
      <c r="AD97" s="1478"/>
      <c r="AE97" s="1478"/>
      <c r="AF97" s="1478"/>
      <c r="AG97" s="1478"/>
      <c r="AH97" s="1478"/>
      <c r="AI97" s="1478"/>
      <c r="AJ97" s="1478"/>
      <c r="AK97" s="1478"/>
      <c r="AL97" s="1478"/>
      <c r="AM97" s="1478"/>
      <c r="AN97" s="1478"/>
      <c r="AO97" s="1478"/>
      <c r="AP97" s="1478"/>
      <c r="AQ97" s="1478"/>
      <c r="AR97" s="1478"/>
      <c r="AS97" s="1478"/>
      <c r="AT97" s="1478"/>
      <c r="AU97" s="1478"/>
      <c r="AV97" s="1478"/>
      <c r="AW97" s="1478"/>
      <c r="AX97" s="1478"/>
      <c r="AY97" s="1478"/>
      <c r="AZ97" s="1478"/>
      <c r="BA97" s="1478"/>
      <c r="BB97" s="1478"/>
      <c r="BC97" s="1478"/>
      <c r="BD97" s="1478"/>
      <c r="BE97" s="1478"/>
      <c r="BF97" s="1478"/>
      <c r="BG97" s="1478"/>
      <c r="BH97" s="1478"/>
      <c r="BI97" s="1478"/>
      <c r="BJ97" s="1478"/>
      <c r="BK97" s="1478"/>
    </row>
    <row r="98" customFormat="false" ht="12" hidden="false" customHeight="false" outlineLevel="0" collapsed="false">
      <c r="D98" s="1478"/>
      <c r="K98" s="1478"/>
      <c r="L98" s="1478"/>
      <c r="M98" s="1478"/>
      <c r="N98" s="1478"/>
      <c r="O98" s="1478"/>
      <c r="P98" s="1478"/>
      <c r="Q98" s="1478"/>
      <c r="R98" s="1478"/>
      <c r="S98" s="1478"/>
      <c r="T98" s="1478"/>
      <c r="U98" s="1478"/>
      <c r="V98" s="1478"/>
      <c r="W98" s="1478"/>
      <c r="X98" s="1478"/>
      <c r="Y98" s="1478"/>
      <c r="Z98" s="1478"/>
      <c r="AA98" s="1478"/>
      <c r="AB98" s="1478"/>
      <c r="AC98" s="1478"/>
      <c r="AD98" s="1478"/>
      <c r="AE98" s="1478"/>
      <c r="AF98" s="1478"/>
      <c r="AG98" s="1478"/>
      <c r="AH98" s="1478"/>
      <c r="AI98" s="1478"/>
      <c r="AJ98" s="1478"/>
      <c r="AK98" s="1478"/>
      <c r="AL98" s="1478"/>
      <c r="AM98" s="1478"/>
      <c r="AN98" s="1478"/>
      <c r="AO98" s="1478"/>
      <c r="AP98" s="1478"/>
      <c r="AQ98" s="1478"/>
      <c r="AR98" s="1478"/>
      <c r="AS98" s="1478"/>
      <c r="AT98" s="1478"/>
      <c r="AU98" s="1478"/>
      <c r="AV98" s="1478"/>
      <c r="AW98" s="1478"/>
      <c r="AX98" s="1478"/>
      <c r="AY98" s="1478"/>
      <c r="AZ98" s="1478"/>
      <c r="BA98" s="1478"/>
      <c r="BB98" s="1478"/>
      <c r="BC98" s="1478"/>
      <c r="BD98" s="1478"/>
      <c r="BE98" s="1478"/>
      <c r="BF98" s="1478"/>
      <c r="BG98" s="1478"/>
      <c r="BH98" s="1478"/>
      <c r="BI98" s="1478"/>
      <c r="BJ98" s="1478"/>
      <c r="BK98" s="1478"/>
    </row>
    <row r="99" customFormat="false" ht="12" hidden="false" customHeight="false" outlineLevel="0" collapsed="false">
      <c r="D99" s="1478"/>
      <c r="K99" s="1478"/>
      <c r="L99" s="1478"/>
      <c r="M99" s="1478"/>
      <c r="N99" s="1478"/>
      <c r="O99" s="1478"/>
      <c r="P99" s="1478"/>
      <c r="Q99" s="1478"/>
      <c r="R99" s="1478"/>
      <c r="S99" s="1478"/>
      <c r="T99" s="1478"/>
      <c r="U99" s="1478"/>
      <c r="V99" s="1478"/>
      <c r="W99" s="1478"/>
      <c r="X99" s="1478"/>
      <c r="Y99" s="1478"/>
      <c r="Z99" s="1478"/>
      <c r="AA99" s="1478"/>
      <c r="AB99" s="1478"/>
      <c r="AC99" s="1478"/>
      <c r="AD99" s="1478"/>
      <c r="AE99" s="1478"/>
      <c r="AF99" s="1478"/>
      <c r="AG99" s="1478"/>
      <c r="AH99" s="1478"/>
      <c r="AI99" s="1478"/>
      <c r="AJ99" s="1478"/>
      <c r="AK99" s="1478"/>
      <c r="AL99" s="1478"/>
      <c r="AM99" s="1478"/>
      <c r="AN99" s="1478"/>
      <c r="AO99" s="1478"/>
      <c r="AP99" s="1478"/>
      <c r="AQ99" s="1478"/>
      <c r="AR99" s="1478"/>
      <c r="AS99" s="1478"/>
      <c r="AT99" s="1478"/>
      <c r="AU99" s="1478"/>
      <c r="AV99" s="1478"/>
      <c r="AW99" s="1478"/>
      <c r="AX99" s="1478"/>
      <c r="AY99" s="1478"/>
      <c r="AZ99" s="1478"/>
      <c r="BA99" s="1478"/>
      <c r="BB99" s="1478"/>
      <c r="BC99" s="1478"/>
      <c r="BD99" s="1478"/>
      <c r="BE99" s="1478"/>
      <c r="BF99" s="1478"/>
      <c r="BG99" s="1478"/>
      <c r="BH99" s="1478"/>
      <c r="BI99" s="1478"/>
      <c r="BJ99" s="1478"/>
      <c r="BK99" s="1478"/>
    </row>
    <row r="100" customFormat="false" ht="12" hidden="false" customHeight="false" outlineLevel="0" collapsed="false">
      <c r="D100" s="1478"/>
      <c r="K100" s="1478"/>
      <c r="L100" s="1478"/>
      <c r="M100" s="1478"/>
      <c r="N100" s="1478"/>
      <c r="O100" s="1478"/>
      <c r="P100" s="1478"/>
      <c r="Q100" s="1478"/>
      <c r="R100" s="1478"/>
      <c r="S100" s="1478"/>
      <c r="T100" s="1478"/>
      <c r="U100" s="1478"/>
      <c r="V100" s="1478"/>
      <c r="W100" s="1478"/>
      <c r="X100" s="1478"/>
      <c r="Y100" s="1478"/>
      <c r="Z100" s="1478"/>
      <c r="AA100" s="1478"/>
      <c r="AB100" s="1478"/>
      <c r="AC100" s="1478"/>
      <c r="AD100" s="1478"/>
      <c r="AE100" s="1478"/>
      <c r="AF100" s="1478"/>
      <c r="AG100" s="1478"/>
      <c r="AH100" s="1478"/>
      <c r="AI100" s="1478"/>
      <c r="AJ100" s="1478"/>
      <c r="AK100" s="1478"/>
      <c r="AL100" s="1478"/>
      <c r="AM100" s="1478"/>
      <c r="AN100" s="1478"/>
      <c r="AO100" s="1478"/>
      <c r="AP100" s="1478"/>
      <c r="AQ100" s="1478"/>
      <c r="AR100" s="1478"/>
      <c r="AS100" s="1478"/>
      <c r="AT100" s="1478"/>
      <c r="AU100" s="1478"/>
      <c r="AV100" s="1478"/>
      <c r="AW100" s="1478"/>
      <c r="AX100" s="1478"/>
      <c r="AY100" s="1478"/>
      <c r="AZ100" s="1478"/>
      <c r="BA100" s="1478"/>
      <c r="BB100" s="1478"/>
      <c r="BC100" s="1478"/>
      <c r="BD100" s="1478"/>
      <c r="BE100" s="1478"/>
      <c r="BF100" s="1478"/>
      <c r="BG100" s="1478"/>
      <c r="BH100" s="1478"/>
      <c r="BI100" s="1478"/>
      <c r="BJ100" s="1478"/>
      <c r="BK100" s="1478"/>
    </row>
    <row r="101" customFormat="false" ht="12" hidden="false" customHeight="false" outlineLevel="0" collapsed="false">
      <c r="D101" s="1478"/>
      <c r="K101" s="1478"/>
      <c r="L101" s="1478"/>
      <c r="M101" s="1478"/>
      <c r="N101" s="1478"/>
      <c r="O101" s="1478"/>
      <c r="P101" s="1478"/>
      <c r="Q101" s="1478"/>
      <c r="R101" s="1478"/>
      <c r="S101" s="1478"/>
      <c r="T101" s="1478"/>
      <c r="U101" s="1478"/>
      <c r="V101" s="1478"/>
      <c r="W101" s="1478"/>
      <c r="X101" s="1478"/>
      <c r="Y101" s="1478"/>
      <c r="Z101" s="1478"/>
      <c r="AA101" s="1478"/>
      <c r="AB101" s="1478"/>
      <c r="AC101" s="1478"/>
      <c r="AD101" s="1478"/>
      <c r="AE101" s="1478"/>
      <c r="AF101" s="1478"/>
      <c r="AG101" s="1478"/>
      <c r="AH101" s="1478"/>
      <c r="AI101" s="1478"/>
      <c r="AJ101" s="1478"/>
      <c r="AK101" s="1478"/>
      <c r="AL101" s="1478"/>
      <c r="AM101" s="1478"/>
      <c r="AN101" s="1478"/>
      <c r="AO101" s="1478"/>
      <c r="AP101" s="1478"/>
      <c r="AQ101" s="1478"/>
      <c r="AR101" s="1478"/>
      <c r="AS101" s="1478"/>
      <c r="AT101" s="1478"/>
      <c r="AU101" s="1478"/>
      <c r="AV101" s="1478"/>
      <c r="AW101" s="1478"/>
      <c r="AX101" s="1478"/>
      <c r="AY101" s="1478"/>
      <c r="AZ101" s="1478"/>
      <c r="BA101" s="1478"/>
      <c r="BB101" s="1478"/>
      <c r="BC101" s="1478"/>
      <c r="BD101" s="1478"/>
      <c r="BE101" s="1478"/>
      <c r="BF101" s="1478"/>
      <c r="BG101" s="1478"/>
      <c r="BH101" s="1478"/>
      <c r="BI101" s="1478"/>
      <c r="BJ101" s="1478"/>
      <c r="BK101" s="1478"/>
    </row>
  </sheetData>
  <mergeCells count="4">
    <mergeCell ref="AA6:AC6"/>
    <mergeCell ref="AF6:AK6"/>
    <mergeCell ref="DM6:DO6"/>
    <mergeCell ref="L7:M7"/>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Z88" activePane="bottomRight" state="frozen"/>
      <selection pane="topLeft" activeCell="A1" activeCellId="0" sqref="A1"/>
      <selection pane="topRight" activeCell="BZ1" activeCellId="0" sqref="BZ1"/>
      <selection pane="bottomLeft" activeCell="A88" activeCellId="0" sqref="A88"/>
      <selection pane="bottomRight" activeCell="CC116" activeCellId="0" sqref="CC116"/>
    </sheetView>
  </sheetViews>
  <sheetFormatPr defaultColWidth="10.82421875" defaultRowHeight="12" zeroHeight="false" outlineLevelRow="0" outlineLevelCol="0"/>
  <cols>
    <col collapsed="false" customWidth="false" hidden="false" outlineLevel="0" max="3" min="2" style="485" width="10.82"/>
    <col collapsed="false" customWidth="true" hidden="false" outlineLevel="0" max="5" min="4" style="0" width="11.05"/>
    <col collapsed="false" customWidth="false" hidden="false" outlineLevel="0" max="14" min="6" style="1017" width="10.82"/>
    <col collapsed="false" customWidth="false" hidden="false" outlineLevel="0" max="21" min="15" style="485" width="10.82"/>
    <col collapsed="false" customWidth="false" hidden="false" outlineLevel="0" max="65" min="22" style="1017" width="10.82"/>
    <col collapsed="false" customWidth="true" hidden="false" outlineLevel="0" max="66" min="66" style="1017" width="14.49"/>
    <col collapsed="false" customWidth="false" hidden="false" outlineLevel="0" max="70" min="67" style="1017" width="10.82"/>
    <col collapsed="false" customWidth="false" hidden="false" outlineLevel="0" max="113" min="71" style="485" width="10.82"/>
    <col collapsed="false" customWidth="true" hidden="false" outlineLevel="0" max="114" min="114" style="485" width="12.82"/>
    <col collapsed="false" customWidth="false" hidden="false" outlineLevel="0" max="257" min="115" style="485" width="10.82"/>
  </cols>
  <sheetData>
    <row r="1" customFormat="false" ht="12" hidden="false" customHeight="false" outlineLevel="0" collapsed="false">
      <c r="A1" s="198" t="s">
        <v>1078</v>
      </c>
      <c r="B1" s="198"/>
      <c r="C1" s="198"/>
      <c r="D1" s="198"/>
      <c r="E1" s="198"/>
      <c r="F1" s="778"/>
      <c r="G1" s="356"/>
      <c r="H1" s="20"/>
      <c r="I1" s="20"/>
      <c r="J1" s="20"/>
      <c r="K1" s="20"/>
      <c r="L1" s="20"/>
      <c r="M1" s="20"/>
      <c r="N1" s="20"/>
      <c r="O1" s="0"/>
      <c r="P1" s="0"/>
      <c r="Q1" s="0"/>
      <c r="R1" s="0"/>
      <c r="S1" s="0"/>
      <c r="T1" s="0"/>
      <c r="U1" s="0"/>
      <c r="V1" s="20"/>
      <c r="W1" s="356"/>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0"/>
      <c r="BT1" s="0"/>
      <c r="BU1" s="0"/>
      <c r="BV1" s="0"/>
      <c r="BW1" s="0"/>
      <c r="BX1" s="0"/>
      <c r="BY1" s="0"/>
      <c r="BZ1" s="0"/>
      <c r="CA1" s="0"/>
      <c r="CB1" s="0"/>
      <c r="CC1" s="0"/>
      <c r="CD1" s="0"/>
      <c r="CE1" s="0"/>
      <c r="CF1" s="0"/>
      <c r="CG1" s="0"/>
      <c r="CH1" s="0"/>
      <c r="CI1" s="0"/>
      <c r="CJ1" s="0"/>
      <c r="CK1" s="0"/>
      <c r="CL1" s="0"/>
      <c r="CM1" s="0"/>
      <c r="CN1" s="0"/>
      <c r="CO1" s="0"/>
      <c r="CP1" s="0"/>
      <c r="CQ1" s="0"/>
      <c r="CR1" s="0"/>
      <c r="CS1" s="0"/>
      <c r="CT1" s="0"/>
      <c r="CU1" s="0"/>
      <c r="CV1" s="0"/>
      <c r="CW1" s="0"/>
      <c r="CX1" s="0"/>
      <c r="CY1" s="0"/>
      <c r="CZ1" s="0"/>
      <c r="DA1" s="0"/>
      <c r="DB1" s="0"/>
      <c r="DC1" s="0"/>
      <c r="DD1" s="0"/>
      <c r="DE1" s="0"/>
      <c r="DF1" s="0"/>
      <c r="DG1" s="0"/>
      <c r="DH1" s="0"/>
      <c r="DI1" s="0"/>
      <c r="DJ1" s="0"/>
      <c r="DK1" s="0"/>
      <c r="DL1" s="0"/>
      <c r="DM1" s="0"/>
      <c r="DN1" s="0"/>
      <c r="DO1" s="0"/>
      <c r="DP1" s="0"/>
      <c r="DQ1" s="0"/>
      <c r="DR1" s="0"/>
      <c r="DS1" s="0"/>
      <c r="DT1" s="0"/>
      <c r="DU1" s="0"/>
      <c r="DV1" s="0"/>
      <c r="DW1" s="0"/>
      <c r="DX1" s="0"/>
      <c r="DY1" s="0"/>
      <c r="DZ1" s="0"/>
      <c r="EA1" s="0"/>
      <c r="EB1" s="0"/>
      <c r="EC1" s="0"/>
      <c r="ED1" s="0"/>
      <c r="EE1" s="0"/>
      <c r="EF1" s="0"/>
      <c r="EG1" s="0"/>
      <c r="EH1" s="0"/>
      <c r="EI1" s="0"/>
      <c r="EJ1" s="0"/>
      <c r="EK1" s="0"/>
      <c r="EL1" s="0"/>
      <c r="EM1" s="0"/>
      <c r="EN1" s="0"/>
      <c r="EO1" s="0"/>
      <c r="EP1" s="0"/>
      <c r="EQ1" s="0"/>
      <c r="ER1" s="0"/>
      <c r="ES1" s="0"/>
      <c r="ET1" s="0"/>
      <c r="EU1" s="0"/>
      <c r="EV1" s="0"/>
      <c r="EW1" s="0"/>
      <c r="EX1" s="0"/>
      <c r="EY1" s="0"/>
      <c r="EZ1" s="0"/>
      <c r="FA1" s="0"/>
      <c r="FB1" s="0"/>
      <c r="FC1" s="0"/>
      <c r="FD1" s="0"/>
      <c r="FE1" s="0"/>
      <c r="FF1" s="0"/>
      <c r="FG1" s="0"/>
      <c r="FH1" s="0"/>
      <c r="FI1" s="0"/>
      <c r="FJ1" s="0"/>
      <c r="FK1" s="0"/>
      <c r="FL1" s="0"/>
      <c r="FM1" s="0"/>
      <c r="FN1" s="0"/>
      <c r="FO1" s="0"/>
      <c r="FP1" s="0"/>
      <c r="FQ1" s="0"/>
      <c r="FR1" s="0"/>
      <c r="FS1" s="0"/>
      <c r="FT1" s="0"/>
      <c r="FU1" s="0"/>
      <c r="FV1" s="0"/>
      <c r="FW1" s="0"/>
      <c r="FX1" s="0"/>
      <c r="FY1" s="0"/>
      <c r="FZ1" s="0"/>
      <c r="GA1" s="0"/>
      <c r="GB1" s="0"/>
      <c r="GC1" s="0"/>
      <c r="GD1" s="0"/>
      <c r="GE1" s="0"/>
      <c r="GF1" s="0"/>
      <c r="GG1" s="0"/>
      <c r="GH1" s="0"/>
      <c r="GI1" s="0"/>
      <c r="GJ1" s="0"/>
      <c r="GK1" s="0"/>
      <c r="GL1" s="0"/>
      <c r="GM1" s="0"/>
      <c r="GN1" s="0"/>
      <c r="GO1" s="0"/>
      <c r="GP1" s="0"/>
      <c r="GQ1" s="0"/>
      <c r="GR1" s="0"/>
      <c r="GS1" s="0"/>
      <c r="GT1" s="0"/>
      <c r="GU1" s="0"/>
      <c r="GV1" s="0"/>
      <c r="GW1" s="0"/>
      <c r="GX1" s="0"/>
      <c r="GY1" s="0"/>
      <c r="GZ1" s="0"/>
      <c r="HA1" s="0"/>
      <c r="HB1" s="0"/>
      <c r="HC1" s="0"/>
      <c r="HD1" s="0"/>
      <c r="HE1" s="0"/>
      <c r="HF1" s="0"/>
      <c r="HG1" s="0"/>
      <c r="HH1" s="0"/>
      <c r="HI1" s="0"/>
      <c r="HJ1" s="0"/>
      <c r="HK1" s="0"/>
      <c r="HL1" s="0"/>
      <c r="HM1" s="0"/>
      <c r="HN1" s="0"/>
      <c r="HO1" s="0"/>
      <c r="HP1" s="0"/>
      <c r="HQ1" s="0"/>
      <c r="HR1" s="0"/>
      <c r="HS1" s="0"/>
      <c r="HT1" s="0"/>
      <c r="HU1" s="0"/>
      <c r="HV1" s="0"/>
      <c r="HW1" s="0"/>
      <c r="HX1" s="0"/>
      <c r="HY1" s="0"/>
      <c r="HZ1" s="0"/>
      <c r="IA1" s="0"/>
      <c r="IB1" s="0"/>
      <c r="IC1" s="0"/>
      <c r="ID1" s="0"/>
      <c r="IE1" s="0"/>
      <c r="IF1" s="0"/>
      <c r="IG1" s="0"/>
      <c r="IH1" s="0"/>
      <c r="II1" s="0"/>
      <c r="IJ1" s="0"/>
      <c r="IK1" s="0"/>
      <c r="IL1" s="0"/>
      <c r="IM1" s="0"/>
      <c r="IN1" s="0"/>
      <c r="IO1" s="0"/>
      <c r="IP1" s="0"/>
      <c r="IQ1" s="0"/>
      <c r="IR1" s="0"/>
      <c r="IS1" s="0"/>
      <c r="IT1" s="0"/>
      <c r="IU1" s="0"/>
      <c r="IV1" s="0"/>
      <c r="IW1" s="0"/>
    </row>
    <row r="2" customFormat="false" ht="12" hidden="false" customHeight="false" outlineLevel="0" collapsed="false">
      <c r="A2" s="0" t="s">
        <v>1079</v>
      </c>
      <c r="B2" s="0"/>
      <c r="C2" s="0"/>
      <c r="F2" s="778"/>
      <c r="G2" s="20"/>
      <c r="H2" s="20"/>
      <c r="I2" s="20"/>
      <c r="J2" s="20"/>
      <c r="K2" s="20"/>
      <c r="L2" s="20"/>
      <c r="M2" s="20"/>
      <c r="N2" s="20"/>
      <c r="O2" s="0"/>
      <c r="P2" s="0"/>
      <c r="Q2" s="0"/>
      <c r="R2" s="0"/>
      <c r="S2" s="0"/>
      <c r="T2" s="0"/>
      <c r="U2" s="0"/>
      <c r="V2" s="20"/>
      <c r="W2" s="20"/>
      <c r="X2" s="20"/>
      <c r="Y2" s="20"/>
      <c r="Z2" s="20"/>
      <c r="AA2" s="20"/>
      <c r="AB2" s="20"/>
      <c r="AC2" s="20"/>
      <c r="AD2" s="20"/>
      <c r="AE2" s="20"/>
      <c r="AF2" s="20"/>
      <c r="AG2" s="20"/>
      <c r="AH2" s="20"/>
      <c r="AI2" s="20"/>
      <c r="AJ2" s="20"/>
      <c r="AK2" s="20"/>
      <c r="AL2" s="20"/>
      <c r="AM2" s="20"/>
      <c r="AO2" s="1937"/>
      <c r="AP2" s="1937"/>
      <c r="AQ2" s="1937"/>
      <c r="AR2" s="1937"/>
      <c r="AS2" s="1937"/>
      <c r="AT2" s="1937"/>
      <c r="AU2" s="1937"/>
      <c r="AV2" s="1937"/>
      <c r="AW2" s="1937"/>
      <c r="AX2" s="20"/>
      <c r="AY2" s="20"/>
      <c r="AZ2" s="20"/>
      <c r="BA2" s="20"/>
      <c r="BB2" s="20"/>
      <c r="BC2" s="20"/>
      <c r="BD2" s="20"/>
      <c r="BE2" s="20"/>
      <c r="BF2" s="20"/>
      <c r="BG2" s="20"/>
      <c r="BH2" s="20"/>
      <c r="BI2" s="20"/>
      <c r="BJ2" s="20"/>
      <c r="BK2" s="20"/>
      <c r="BL2" s="20"/>
      <c r="BM2" s="20"/>
      <c r="BN2" s="20"/>
      <c r="BO2" s="20"/>
      <c r="BP2" s="20"/>
      <c r="BQ2" s="20"/>
      <c r="BR2" s="20"/>
      <c r="BS2" s="0"/>
      <c r="BT2" s="0"/>
      <c r="BU2" s="0"/>
      <c r="BV2" s="0"/>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c r="DK2" s="0"/>
      <c r="DL2" s="0"/>
      <c r="DM2" s="0"/>
      <c r="DN2" s="0"/>
      <c r="DO2" s="0"/>
      <c r="DP2" s="0"/>
      <c r="DQ2" s="0"/>
      <c r="DR2" s="0"/>
      <c r="DS2" s="0"/>
      <c r="DT2" s="0"/>
      <c r="DU2" s="0"/>
      <c r="DV2" s="0"/>
      <c r="DW2" s="0"/>
      <c r="DX2" s="0"/>
      <c r="DY2" s="0"/>
      <c r="DZ2" s="0"/>
      <c r="EA2" s="0"/>
      <c r="EB2" s="0"/>
      <c r="EC2" s="0"/>
      <c r="ED2" s="0"/>
      <c r="EE2" s="0"/>
      <c r="EF2" s="0"/>
      <c r="EG2" s="0"/>
      <c r="EH2" s="0"/>
      <c r="EI2" s="0"/>
      <c r="EJ2" s="0"/>
      <c r="EK2" s="0"/>
      <c r="EL2" s="0"/>
      <c r="EM2" s="0"/>
      <c r="EN2" s="0"/>
      <c r="EO2" s="0"/>
      <c r="EP2" s="0"/>
      <c r="EQ2" s="0"/>
      <c r="ER2" s="0"/>
      <c r="ES2" s="0"/>
      <c r="ET2" s="0"/>
      <c r="EU2" s="0"/>
      <c r="EV2" s="0"/>
      <c r="EW2" s="0"/>
      <c r="EX2" s="0"/>
      <c r="EY2" s="0"/>
      <c r="EZ2" s="0"/>
      <c r="FA2" s="0"/>
      <c r="FB2" s="0"/>
      <c r="FC2" s="0"/>
      <c r="FD2" s="0"/>
      <c r="FE2" s="0"/>
      <c r="FF2" s="0"/>
      <c r="FG2" s="0"/>
      <c r="FH2" s="0"/>
      <c r="FI2" s="0"/>
      <c r="FJ2" s="0"/>
      <c r="FK2" s="0"/>
      <c r="FL2" s="0"/>
      <c r="FM2" s="0"/>
      <c r="FN2" s="0"/>
      <c r="FO2" s="0"/>
      <c r="FP2" s="0"/>
      <c r="FQ2" s="0"/>
      <c r="FR2" s="0"/>
      <c r="FS2" s="0"/>
      <c r="FT2" s="0"/>
      <c r="FU2" s="0"/>
      <c r="FV2" s="0"/>
      <c r="FW2" s="0"/>
      <c r="FX2" s="0"/>
      <c r="FY2" s="0"/>
      <c r="FZ2" s="0"/>
      <c r="GA2" s="0"/>
      <c r="GB2" s="0"/>
      <c r="GC2" s="0"/>
      <c r="GD2" s="0"/>
      <c r="GE2" s="0"/>
      <c r="GF2" s="0"/>
      <c r="GG2" s="0"/>
      <c r="GH2" s="0"/>
      <c r="GI2" s="0"/>
      <c r="GJ2" s="0"/>
      <c r="GK2" s="0"/>
      <c r="GL2" s="0"/>
      <c r="GM2" s="0"/>
      <c r="GN2" s="0"/>
      <c r="GO2" s="0"/>
      <c r="GP2" s="0"/>
      <c r="GQ2" s="0"/>
      <c r="GR2" s="0"/>
      <c r="GS2" s="0"/>
      <c r="GT2" s="0"/>
      <c r="GU2" s="0"/>
      <c r="GV2" s="0"/>
      <c r="GW2" s="0"/>
      <c r="GX2" s="0"/>
      <c r="GY2" s="0"/>
      <c r="GZ2" s="0"/>
      <c r="HA2" s="0"/>
      <c r="HB2" s="0"/>
      <c r="HC2" s="0"/>
      <c r="HD2" s="0"/>
      <c r="HE2" s="0"/>
      <c r="HF2" s="0"/>
      <c r="HG2" s="0"/>
      <c r="HH2" s="0"/>
      <c r="HI2" s="0"/>
      <c r="HJ2" s="0"/>
      <c r="HK2" s="0"/>
      <c r="HL2" s="0"/>
      <c r="HM2" s="0"/>
      <c r="HN2" s="0"/>
      <c r="HO2" s="0"/>
      <c r="HP2" s="0"/>
      <c r="HQ2" s="0"/>
      <c r="HR2" s="0"/>
      <c r="HS2" s="0"/>
      <c r="HT2" s="0"/>
      <c r="HU2" s="0"/>
      <c r="HV2" s="0"/>
      <c r="HW2" s="0"/>
      <c r="HX2" s="0"/>
      <c r="HY2" s="0"/>
      <c r="HZ2" s="0"/>
      <c r="IA2" s="0"/>
      <c r="IB2" s="0"/>
      <c r="IC2" s="0"/>
      <c r="ID2" s="0"/>
      <c r="IE2" s="0"/>
      <c r="IF2" s="0"/>
      <c r="IG2" s="0"/>
      <c r="IH2" s="0"/>
      <c r="II2" s="0"/>
      <c r="IJ2" s="0"/>
      <c r="IK2" s="0"/>
      <c r="IL2" s="0"/>
      <c r="IM2" s="0"/>
      <c r="IN2" s="0"/>
      <c r="IO2" s="0"/>
      <c r="IP2" s="0"/>
      <c r="IQ2" s="0"/>
      <c r="IR2" s="0"/>
      <c r="IS2" s="0"/>
      <c r="IT2" s="0"/>
      <c r="IU2" s="0"/>
      <c r="IV2" s="0"/>
      <c r="IW2" s="0"/>
    </row>
    <row r="3" customFormat="false" ht="12" hidden="false" customHeight="false" outlineLevel="0" collapsed="false">
      <c r="A3" s="0" t="s">
        <v>1080</v>
      </c>
      <c r="B3" s="0"/>
      <c r="C3" s="0"/>
      <c r="F3" s="778"/>
      <c r="G3" s="20"/>
      <c r="H3" s="20"/>
      <c r="I3" s="20"/>
      <c r="J3" s="20"/>
      <c r="K3" s="20"/>
      <c r="L3" s="20"/>
      <c r="M3" s="20"/>
      <c r="N3" s="20"/>
      <c r="O3" s="0"/>
      <c r="P3" s="0"/>
      <c r="Q3" s="0"/>
      <c r="R3" s="0"/>
      <c r="S3" s="0"/>
      <c r="T3" s="0"/>
      <c r="U3" s="0"/>
      <c r="V3" s="20"/>
      <c r="W3" s="20"/>
      <c r="X3" s="20"/>
      <c r="Y3" s="20"/>
      <c r="Z3" s="20"/>
      <c r="AA3" s="20"/>
      <c r="AB3" s="20"/>
      <c r="AC3" s="20"/>
      <c r="AD3" s="20"/>
      <c r="AE3" s="20"/>
      <c r="AF3" s="20"/>
      <c r="AG3" s="20"/>
      <c r="AH3" s="20"/>
      <c r="AI3" s="20"/>
      <c r="AJ3" s="20"/>
      <c r="AK3" s="20"/>
      <c r="AL3" s="20"/>
      <c r="AM3" s="20"/>
      <c r="AN3" s="0"/>
      <c r="AO3" s="0"/>
      <c r="AP3" s="0"/>
      <c r="AQ3" s="0"/>
      <c r="AR3" s="0"/>
      <c r="AS3" s="0"/>
      <c r="AT3" s="0"/>
      <c r="AU3" s="0"/>
      <c r="AV3" s="0"/>
      <c r="AW3" s="0"/>
      <c r="AX3" s="20"/>
      <c r="AY3" s="20"/>
      <c r="AZ3" s="20"/>
      <c r="BA3" s="20"/>
      <c r="BB3" s="20"/>
      <c r="BC3" s="20"/>
      <c r="BD3" s="20"/>
      <c r="BE3" s="20"/>
      <c r="BF3" s="20"/>
      <c r="BG3" s="20"/>
      <c r="BH3" s="20"/>
      <c r="BI3" s="20"/>
      <c r="BJ3" s="20"/>
      <c r="BK3" s="20"/>
      <c r="BL3" s="20"/>
      <c r="BM3" s="20"/>
      <c r="BN3" s="20"/>
      <c r="BO3" s="20"/>
      <c r="BP3" s="20"/>
      <c r="BQ3" s="20"/>
      <c r="BR3" s="20"/>
      <c r="BS3" s="0"/>
      <c r="BT3" s="0"/>
      <c r="BU3" s="0"/>
      <c r="BV3" s="0"/>
      <c r="BW3" s="0"/>
      <c r="BX3" s="0"/>
      <c r="BY3" s="0"/>
      <c r="BZ3" s="0"/>
      <c r="CA3" s="0"/>
      <c r="CB3" s="0"/>
      <c r="CC3" s="0"/>
      <c r="CD3" s="0"/>
      <c r="CE3" s="0"/>
      <c r="CF3" s="0"/>
      <c r="CG3" s="0"/>
      <c r="CH3" s="0"/>
      <c r="CI3" s="0"/>
      <c r="CJ3" s="0"/>
      <c r="CK3" s="0"/>
      <c r="CL3" s="0"/>
      <c r="CM3" s="0"/>
      <c r="CN3" s="0"/>
      <c r="CO3" s="0"/>
      <c r="CP3" s="0"/>
      <c r="CQ3" s="0"/>
      <c r="CR3" s="0"/>
      <c r="CS3" s="0"/>
      <c r="CT3" s="0"/>
      <c r="CU3" s="0"/>
      <c r="CV3" s="0"/>
      <c r="CW3" s="0"/>
      <c r="CX3" s="0"/>
      <c r="CY3" s="0"/>
      <c r="CZ3" s="0"/>
      <c r="DA3" s="0"/>
      <c r="DB3" s="0"/>
      <c r="DC3" s="0"/>
      <c r="DD3" s="0"/>
      <c r="DE3" s="0"/>
      <c r="DF3" s="0"/>
      <c r="DG3" s="0"/>
      <c r="DH3" s="0"/>
      <c r="DI3" s="0"/>
      <c r="DJ3" s="0"/>
      <c r="DK3" s="0"/>
      <c r="DL3" s="0"/>
      <c r="DM3" s="0"/>
      <c r="DN3" s="0"/>
      <c r="DO3" s="0"/>
      <c r="DP3" s="0"/>
      <c r="DQ3" s="0"/>
      <c r="DR3" s="0"/>
      <c r="DS3" s="0"/>
      <c r="DT3" s="0"/>
      <c r="DU3" s="0"/>
      <c r="DV3" s="0"/>
      <c r="DW3" s="0"/>
      <c r="DX3" s="0"/>
      <c r="DY3" s="0"/>
      <c r="DZ3" s="0"/>
      <c r="EA3" s="0"/>
      <c r="EB3" s="0"/>
      <c r="EC3" s="0"/>
      <c r="ED3" s="0"/>
      <c r="EE3" s="0"/>
      <c r="EF3" s="0"/>
      <c r="EG3" s="0"/>
      <c r="EH3" s="0"/>
      <c r="EI3" s="0"/>
      <c r="EJ3" s="0"/>
      <c r="EK3" s="0"/>
      <c r="EL3" s="0"/>
      <c r="EM3" s="0"/>
      <c r="EN3" s="0"/>
      <c r="EO3" s="0"/>
      <c r="EP3" s="0"/>
      <c r="EQ3" s="0"/>
      <c r="ER3" s="0"/>
      <c r="ES3" s="0"/>
      <c r="ET3" s="0"/>
      <c r="EU3" s="0"/>
      <c r="EV3" s="0"/>
      <c r="EW3" s="0"/>
      <c r="EX3" s="0"/>
      <c r="EY3" s="0"/>
      <c r="EZ3" s="0"/>
      <c r="FA3" s="0"/>
      <c r="FB3" s="0"/>
      <c r="FC3" s="0"/>
      <c r="FD3" s="0"/>
      <c r="FE3" s="0"/>
      <c r="FF3" s="0"/>
      <c r="FG3" s="0"/>
      <c r="FH3" s="0"/>
      <c r="FI3" s="0"/>
      <c r="FJ3" s="0"/>
      <c r="FK3" s="0"/>
      <c r="FL3" s="0"/>
      <c r="FM3" s="0"/>
      <c r="FN3" s="0"/>
      <c r="FO3" s="0"/>
      <c r="FP3" s="0"/>
      <c r="FQ3" s="0"/>
      <c r="FR3" s="0"/>
      <c r="FS3" s="0"/>
      <c r="FT3" s="0"/>
      <c r="FU3" s="0"/>
      <c r="FV3" s="0"/>
      <c r="FW3" s="0"/>
      <c r="FX3" s="0"/>
      <c r="FY3" s="0"/>
      <c r="FZ3" s="0"/>
      <c r="GA3" s="0"/>
      <c r="GB3" s="0"/>
      <c r="GC3" s="0"/>
      <c r="GD3" s="0"/>
      <c r="GE3" s="0"/>
      <c r="GF3" s="0"/>
      <c r="GG3" s="0"/>
      <c r="GH3" s="0"/>
      <c r="GI3" s="0"/>
      <c r="GJ3" s="0"/>
      <c r="GK3" s="0"/>
      <c r="GL3" s="0"/>
      <c r="GM3" s="0"/>
      <c r="GN3" s="0"/>
      <c r="GO3" s="0"/>
      <c r="GP3" s="0"/>
      <c r="GQ3" s="0"/>
      <c r="GR3" s="0"/>
      <c r="GS3" s="0"/>
      <c r="GT3" s="0"/>
      <c r="GU3" s="0"/>
      <c r="GV3" s="0"/>
      <c r="GW3" s="0"/>
      <c r="GX3" s="0"/>
      <c r="GY3" s="0"/>
      <c r="GZ3" s="0"/>
      <c r="HA3" s="0"/>
      <c r="HB3" s="0"/>
      <c r="HC3" s="0"/>
      <c r="HD3" s="0"/>
      <c r="HE3" s="0"/>
      <c r="HF3" s="0"/>
      <c r="HG3" s="0"/>
      <c r="HH3" s="0"/>
      <c r="HI3" s="0"/>
      <c r="HJ3" s="0"/>
      <c r="HK3" s="0"/>
      <c r="HL3" s="0"/>
      <c r="HM3" s="0"/>
      <c r="HN3" s="0"/>
      <c r="HO3" s="0"/>
      <c r="HP3" s="0"/>
      <c r="HQ3" s="0"/>
      <c r="HR3" s="0"/>
      <c r="HS3" s="0"/>
      <c r="HT3" s="0"/>
      <c r="HU3" s="0"/>
      <c r="HV3" s="0"/>
      <c r="HW3" s="0"/>
      <c r="HX3" s="0"/>
      <c r="HY3" s="0"/>
      <c r="HZ3" s="0"/>
      <c r="IA3" s="0"/>
      <c r="IB3" s="0"/>
      <c r="IC3" s="0"/>
      <c r="ID3" s="0"/>
      <c r="IE3" s="0"/>
      <c r="IF3" s="0"/>
      <c r="IG3" s="0"/>
      <c r="IH3" s="0"/>
      <c r="II3" s="0"/>
      <c r="IJ3" s="0"/>
      <c r="IK3" s="0"/>
      <c r="IL3" s="0"/>
      <c r="IM3" s="0"/>
      <c r="IN3" s="0"/>
      <c r="IO3" s="0"/>
      <c r="IP3" s="0"/>
      <c r="IQ3" s="0"/>
      <c r="IR3" s="0"/>
      <c r="IS3" s="0"/>
      <c r="IT3" s="0"/>
      <c r="IU3" s="0"/>
      <c r="IV3" s="0"/>
      <c r="IW3" s="0"/>
    </row>
    <row r="4" customFormat="false" ht="12" hidden="false" customHeight="true" outlineLevel="0" collapsed="false">
      <c r="A4" s="0" t="s">
        <v>1081</v>
      </c>
      <c r="B4" s="0"/>
      <c r="C4" s="0"/>
      <c r="F4" s="2163"/>
      <c r="G4" s="114"/>
      <c r="H4" s="114"/>
      <c r="I4" s="114"/>
      <c r="J4" s="114"/>
      <c r="K4" s="114"/>
      <c r="L4" s="114"/>
      <c r="M4" s="114"/>
      <c r="N4" s="114"/>
      <c r="O4" s="29"/>
      <c r="P4" s="29"/>
      <c r="Q4" s="29"/>
      <c r="R4" s="29"/>
      <c r="S4" s="29"/>
      <c r="T4" s="29"/>
      <c r="U4" s="29"/>
      <c r="V4" s="114"/>
      <c r="W4" s="114"/>
      <c r="X4" s="20"/>
      <c r="Y4" s="20"/>
      <c r="Z4" s="20"/>
      <c r="AA4" s="20"/>
      <c r="AB4" s="20"/>
      <c r="AC4" s="20"/>
      <c r="AD4" s="20"/>
      <c r="AE4" s="20"/>
      <c r="AF4" s="20"/>
      <c r="AG4" s="20"/>
      <c r="AH4" s="20"/>
      <c r="AI4" s="20"/>
      <c r="AJ4" s="20"/>
      <c r="AK4" s="20"/>
      <c r="AL4" s="20"/>
      <c r="AM4" s="20"/>
      <c r="AN4" s="801"/>
      <c r="AO4" s="801"/>
      <c r="AP4" s="801"/>
      <c r="AQ4" s="801"/>
      <c r="AR4" s="801"/>
      <c r="AS4" s="801"/>
      <c r="AT4" s="801"/>
      <c r="AU4" s="801"/>
      <c r="AV4" s="801"/>
      <c r="AX4" s="20"/>
      <c r="AY4" s="20"/>
      <c r="AZ4" s="20"/>
      <c r="BA4" s="20"/>
      <c r="BB4" s="20"/>
      <c r="BC4" s="20"/>
      <c r="BD4" s="20"/>
      <c r="BE4" s="20"/>
      <c r="BF4" s="20"/>
      <c r="BG4" s="20"/>
      <c r="BH4" s="20"/>
      <c r="BI4" s="20"/>
      <c r="BJ4" s="20"/>
      <c r="BK4" s="20"/>
      <c r="BL4" s="20"/>
      <c r="BM4" s="20"/>
      <c r="BN4" s="20"/>
      <c r="BO4" s="20"/>
      <c r="BP4" s="20"/>
      <c r="BQ4" s="20"/>
      <c r="BR4" s="20"/>
      <c r="BT4" s="0"/>
      <c r="BU4" s="0"/>
      <c r="BV4" s="0"/>
      <c r="BW4" s="0"/>
      <c r="BX4" s="0"/>
      <c r="BY4" s="0"/>
      <c r="BZ4" s="0"/>
      <c r="CA4" s="0"/>
      <c r="CB4" s="1421"/>
      <c r="CC4" s="0"/>
      <c r="CD4" s="0"/>
      <c r="CE4" s="0"/>
      <c r="CF4" s="0"/>
      <c r="CG4" s="1421"/>
      <c r="CH4" s="0"/>
      <c r="CI4" s="0"/>
      <c r="CJ4" s="0"/>
      <c r="CK4" s="0"/>
      <c r="CL4" s="0"/>
      <c r="CM4" s="0"/>
      <c r="CN4" s="0"/>
      <c r="CO4" s="0"/>
      <c r="CP4" s="0"/>
      <c r="CQ4" s="0"/>
      <c r="CR4" s="0"/>
      <c r="CS4" s="0"/>
      <c r="CT4" s="0"/>
      <c r="CU4" s="0"/>
      <c r="CV4" s="0"/>
      <c r="CW4" s="2164"/>
      <c r="CX4" s="2164"/>
      <c r="CY4" s="2164"/>
      <c r="CZ4" s="2164"/>
      <c r="DA4" s="2164"/>
      <c r="DB4" s="2164"/>
      <c r="DC4" s="0"/>
      <c r="DD4" s="0"/>
      <c r="DE4" s="0"/>
      <c r="DF4" s="0"/>
      <c r="DG4" s="0"/>
      <c r="DH4" s="0"/>
      <c r="DI4" s="0"/>
      <c r="DJ4" s="0"/>
      <c r="DK4" s="0"/>
      <c r="DL4" s="0"/>
      <c r="DM4" s="0"/>
      <c r="DN4" s="0"/>
      <c r="DO4" s="0"/>
      <c r="DP4" s="0"/>
      <c r="DQ4" s="0"/>
      <c r="DR4" s="0"/>
      <c r="DS4" s="0"/>
      <c r="DT4" s="0"/>
      <c r="DU4" s="0"/>
      <c r="DV4" s="0"/>
      <c r="DW4" s="0"/>
      <c r="DX4" s="0"/>
      <c r="DY4" s="0"/>
      <c r="DZ4" s="0"/>
      <c r="EA4" s="0"/>
      <c r="EB4" s="0"/>
      <c r="EC4" s="0"/>
      <c r="ED4" s="0"/>
      <c r="EE4" s="0"/>
      <c r="EF4" s="0"/>
      <c r="EG4" s="0"/>
      <c r="EH4" s="0"/>
      <c r="EI4" s="0"/>
      <c r="EJ4" s="0"/>
      <c r="EK4" s="0"/>
      <c r="EL4" s="0"/>
      <c r="EM4" s="0"/>
      <c r="EN4" s="0"/>
      <c r="EO4" s="0"/>
      <c r="EP4" s="0"/>
      <c r="EQ4" s="0"/>
      <c r="ER4" s="0"/>
      <c r="ES4" s="0"/>
      <c r="ET4" s="0"/>
      <c r="EU4" s="0"/>
      <c r="EV4" s="0"/>
      <c r="EW4" s="0"/>
      <c r="EX4" s="0"/>
      <c r="EY4" s="0"/>
      <c r="EZ4" s="0"/>
      <c r="FA4" s="0"/>
      <c r="FB4" s="0"/>
      <c r="FC4" s="0"/>
      <c r="FD4" s="0"/>
      <c r="FE4" s="0"/>
      <c r="FF4" s="0"/>
      <c r="FG4" s="0"/>
      <c r="FH4" s="0"/>
      <c r="FI4" s="0"/>
      <c r="FJ4" s="0"/>
      <c r="FK4" s="0"/>
      <c r="FL4" s="0"/>
      <c r="FM4" s="0"/>
      <c r="FN4" s="0"/>
      <c r="FO4" s="0"/>
      <c r="FP4" s="0"/>
      <c r="FQ4" s="0"/>
      <c r="FR4" s="0"/>
      <c r="FS4" s="0"/>
      <c r="FT4" s="0"/>
      <c r="FU4" s="0"/>
      <c r="FV4" s="0"/>
      <c r="FW4" s="0"/>
      <c r="FX4" s="0"/>
      <c r="FY4" s="0"/>
      <c r="FZ4" s="0"/>
      <c r="GA4" s="0"/>
      <c r="GB4" s="0"/>
      <c r="GC4" s="0"/>
      <c r="GD4" s="0"/>
      <c r="GE4" s="0"/>
      <c r="GF4" s="0"/>
      <c r="GG4" s="0"/>
      <c r="GH4" s="0"/>
      <c r="GI4" s="0"/>
      <c r="GJ4" s="0"/>
      <c r="GK4" s="0"/>
      <c r="GL4" s="0"/>
      <c r="GM4" s="0"/>
      <c r="GN4" s="0"/>
      <c r="GO4" s="0"/>
      <c r="GP4" s="0"/>
      <c r="GQ4" s="0"/>
      <c r="GR4" s="0"/>
      <c r="GS4" s="0"/>
      <c r="GT4" s="0"/>
      <c r="GU4" s="0"/>
      <c r="GV4" s="0"/>
      <c r="GW4" s="0"/>
      <c r="GX4" s="0"/>
      <c r="GY4" s="0"/>
      <c r="GZ4" s="0"/>
      <c r="HA4" s="0"/>
      <c r="HB4" s="0"/>
      <c r="HC4" s="0"/>
      <c r="HD4" s="0"/>
      <c r="HE4" s="0"/>
      <c r="HF4" s="0"/>
      <c r="HG4" s="0"/>
      <c r="HH4" s="0"/>
      <c r="HI4" s="0"/>
      <c r="HJ4" s="0"/>
      <c r="HK4" s="0"/>
      <c r="HL4" s="0"/>
      <c r="HM4" s="0"/>
      <c r="HN4" s="0"/>
      <c r="HO4" s="0"/>
      <c r="HP4" s="0"/>
      <c r="HQ4" s="0"/>
      <c r="HR4" s="0"/>
      <c r="HS4" s="0"/>
      <c r="HT4" s="0"/>
      <c r="HU4" s="0"/>
      <c r="HV4" s="0"/>
      <c r="HW4" s="0"/>
      <c r="HX4" s="0"/>
      <c r="HY4" s="0"/>
      <c r="HZ4" s="0"/>
      <c r="IA4" s="0"/>
      <c r="IB4" s="0"/>
      <c r="IC4" s="0"/>
      <c r="ID4" s="0"/>
      <c r="IE4" s="0"/>
      <c r="IF4" s="0"/>
      <c r="IG4" s="0"/>
      <c r="IH4" s="0"/>
      <c r="II4" s="0"/>
      <c r="IJ4" s="0"/>
      <c r="IK4" s="0"/>
      <c r="IL4" s="0"/>
      <c r="IM4" s="0"/>
      <c r="IN4" s="0"/>
      <c r="IO4" s="0"/>
      <c r="IP4" s="0"/>
      <c r="IQ4" s="0"/>
      <c r="IR4" s="0"/>
      <c r="IS4" s="0"/>
      <c r="IT4" s="0"/>
      <c r="IU4" s="0"/>
      <c r="IV4" s="0"/>
      <c r="IW4" s="0"/>
    </row>
    <row r="5" customFormat="false" ht="12" hidden="false" customHeight="true" outlineLevel="0" collapsed="false">
      <c r="B5" s="0"/>
      <c r="C5" s="0"/>
      <c r="F5" s="2163"/>
      <c r="G5" s="895"/>
      <c r="H5" s="1422"/>
      <c r="I5" s="114"/>
      <c r="J5" s="114"/>
      <c r="K5" s="114"/>
      <c r="L5" s="114"/>
      <c r="M5" s="114"/>
      <c r="N5" s="114"/>
      <c r="O5" s="29"/>
      <c r="P5" s="29"/>
      <c r="Q5" s="29"/>
      <c r="R5" s="29"/>
      <c r="S5" s="29"/>
      <c r="T5" s="29"/>
      <c r="U5" s="29"/>
      <c r="V5" s="114"/>
      <c r="W5" s="114"/>
      <c r="X5" s="20"/>
      <c r="Y5" s="20"/>
      <c r="Z5" s="20"/>
      <c r="AA5" s="20"/>
      <c r="AB5" s="20"/>
      <c r="AC5" s="20"/>
      <c r="AD5" s="20"/>
      <c r="AE5" s="20"/>
      <c r="AF5" s="20"/>
      <c r="AG5" s="20"/>
      <c r="AH5" s="20"/>
      <c r="AI5" s="20"/>
      <c r="AJ5" s="20"/>
      <c r="AK5" s="20"/>
      <c r="AL5" s="20"/>
      <c r="AM5" s="20"/>
      <c r="AN5" s="801"/>
      <c r="AO5" s="801"/>
      <c r="AP5" s="801"/>
      <c r="AQ5" s="801"/>
      <c r="AR5" s="801"/>
      <c r="AS5" s="801"/>
      <c r="AT5" s="801"/>
      <c r="AU5" s="801"/>
      <c r="AV5" s="801"/>
      <c r="AW5" s="933"/>
      <c r="AX5" s="20"/>
      <c r="AY5" s="20"/>
      <c r="AZ5" s="20"/>
      <c r="BA5" s="20"/>
      <c r="BB5" s="20"/>
      <c r="BC5" s="20"/>
      <c r="BD5" s="20"/>
      <c r="BE5" s="20"/>
      <c r="BF5" s="20"/>
      <c r="BG5" s="20"/>
      <c r="BH5" s="20"/>
      <c r="BI5" s="20"/>
      <c r="BJ5" s="20"/>
      <c r="BK5" s="20"/>
      <c r="BL5" s="20"/>
      <c r="BM5" s="20"/>
      <c r="BN5" s="20"/>
      <c r="BO5" s="20"/>
      <c r="BP5" s="20"/>
      <c r="BQ5" s="20"/>
      <c r="BR5" s="20"/>
      <c r="BS5" s="0"/>
      <c r="BT5" s="0"/>
      <c r="BU5" s="0"/>
      <c r="BV5" s="0"/>
      <c r="BW5" s="0"/>
      <c r="BX5" s="0"/>
      <c r="BY5" s="0"/>
      <c r="BZ5" s="0"/>
      <c r="CA5" s="0"/>
      <c r="CB5" s="1421"/>
      <c r="CC5" s="0"/>
      <c r="CD5" s="0"/>
      <c r="CE5" s="0"/>
      <c r="CF5" s="0"/>
      <c r="CG5" s="1421"/>
      <c r="CH5" s="0"/>
      <c r="CI5" s="0"/>
      <c r="CJ5" s="0"/>
      <c r="CK5" s="0"/>
      <c r="CL5" s="0"/>
      <c r="CM5" s="0"/>
      <c r="CN5" s="0"/>
      <c r="CO5" s="0"/>
      <c r="CP5" s="0"/>
      <c r="CQ5" s="0"/>
      <c r="CR5" s="0"/>
      <c r="CS5" s="0"/>
      <c r="CT5" s="0"/>
      <c r="CU5" s="0"/>
      <c r="CV5" s="0"/>
      <c r="CW5" s="2164"/>
      <c r="CX5" s="2164"/>
      <c r="CY5" s="2164"/>
      <c r="CZ5" s="2164"/>
      <c r="DA5" s="2164"/>
      <c r="DB5" s="2164"/>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c r="EJ5" s="0"/>
      <c r="EK5" s="0"/>
      <c r="EL5" s="0"/>
      <c r="EM5" s="0"/>
      <c r="EN5" s="0"/>
      <c r="EO5" s="0"/>
      <c r="EP5" s="0"/>
      <c r="EQ5" s="0"/>
      <c r="ER5" s="0"/>
      <c r="ES5" s="0"/>
      <c r="ET5" s="0"/>
      <c r="EU5" s="0"/>
      <c r="EV5" s="0"/>
      <c r="EW5" s="0"/>
      <c r="EX5" s="0"/>
      <c r="EY5" s="0"/>
      <c r="EZ5" s="0"/>
      <c r="FA5" s="0"/>
      <c r="FB5" s="0"/>
      <c r="FC5" s="0"/>
      <c r="FD5" s="0"/>
      <c r="FE5" s="0"/>
      <c r="FF5" s="0"/>
      <c r="FG5" s="0"/>
      <c r="FH5" s="0"/>
      <c r="FI5" s="0"/>
      <c r="FJ5" s="0"/>
      <c r="FK5" s="0"/>
      <c r="FL5" s="0"/>
      <c r="FM5" s="0"/>
      <c r="FN5" s="0"/>
      <c r="FO5" s="0"/>
      <c r="FP5" s="0"/>
      <c r="FQ5" s="0"/>
      <c r="FR5" s="0"/>
      <c r="FS5" s="0"/>
      <c r="FT5" s="0"/>
      <c r="FU5" s="0"/>
      <c r="FV5" s="0"/>
      <c r="FW5" s="0"/>
      <c r="FX5" s="0"/>
      <c r="FY5" s="0"/>
      <c r="FZ5" s="0"/>
      <c r="GA5" s="0"/>
      <c r="GB5" s="0"/>
      <c r="GC5" s="0"/>
      <c r="GD5" s="0"/>
      <c r="GE5" s="0"/>
      <c r="GF5" s="0"/>
      <c r="GG5" s="0"/>
      <c r="GH5" s="0"/>
      <c r="GI5" s="0"/>
      <c r="GJ5" s="0"/>
      <c r="GK5" s="0"/>
      <c r="GL5" s="0"/>
      <c r="GM5" s="0"/>
      <c r="GN5" s="0"/>
      <c r="GO5" s="0"/>
      <c r="GP5" s="0"/>
      <c r="GQ5" s="0"/>
      <c r="GR5" s="0"/>
      <c r="GS5" s="0"/>
      <c r="GT5" s="0"/>
      <c r="GU5" s="0"/>
      <c r="GV5" s="0"/>
      <c r="GW5" s="0"/>
      <c r="GX5" s="0"/>
      <c r="GY5" s="0"/>
      <c r="GZ5" s="0"/>
      <c r="HA5" s="0"/>
      <c r="HB5" s="0"/>
      <c r="HC5" s="0"/>
      <c r="HD5" s="0"/>
      <c r="HE5" s="0"/>
      <c r="HF5" s="0"/>
      <c r="HG5" s="0"/>
      <c r="HH5" s="0"/>
      <c r="HI5" s="0"/>
      <c r="HJ5" s="0"/>
      <c r="HK5" s="0"/>
      <c r="HL5" s="0"/>
      <c r="HM5" s="0"/>
      <c r="HN5" s="0"/>
      <c r="HO5" s="0"/>
      <c r="HP5" s="0"/>
      <c r="HQ5" s="0"/>
      <c r="HR5" s="0"/>
      <c r="HS5" s="0"/>
      <c r="HT5" s="0"/>
      <c r="HU5" s="0"/>
      <c r="HV5" s="0"/>
      <c r="HW5" s="0"/>
      <c r="HX5" s="0"/>
      <c r="HY5" s="0"/>
      <c r="HZ5" s="0"/>
      <c r="IA5" s="0"/>
      <c r="IB5" s="0"/>
      <c r="IC5" s="0"/>
      <c r="ID5" s="0"/>
      <c r="IE5" s="0"/>
      <c r="IF5" s="0"/>
      <c r="IG5" s="0"/>
      <c r="IH5" s="0"/>
      <c r="II5" s="0"/>
      <c r="IJ5" s="0"/>
      <c r="IK5" s="0"/>
      <c r="IL5" s="0"/>
      <c r="IM5" s="0"/>
      <c r="IN5" s="0"/>
      <c r="IO5" s="0"/>
      <c r="IP5" s="0"/>
      <c r="IQ5" s="0"/>
      <c r="IR5" s="0"/>
      <c r="IS5" s="0"/>
      <c r="IT5" s="0"/>
      <c r="IU5" s="0"/>
      <c r="IV5" s="0"/>
      <c r="IW5" s="0"/>
    </row>
    <row r="6" customFormat="false" ht="12" hidden="false" customHeight="false" outlineLevel="0" collapsed="false">
      <c r="C6" s="0"/>
      <c r="F6" s="2163"/>
      <c r="G6" s="895"/>
      <c r="H6" s="1422"/>
      <c r="I6" s="114"/>
      <c r="J6" s="114"/>
      <c r="K6" s="114"/>
      <c r="L6" s="114"/>
      <c r="M6" s="114"/>
      <c r="N6" s="114"/>
      <c r="O6" s="29"/>
      <c r="P6" s="29"/>
      <c r="Q6" s="29"/>
      <c r="R6" s="29"/>
      <c r="S6" s="29"/>
      <c r="T6" s="29"/>
      <c r="U6" s="29"/>
      <c r="V6" s="895"/>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1422"/>
      <c r="AX6" s="20"/>
      <c r="AY6" s="20"/>
      <c r="AZ6" s="20"/>
      <c r="BA6" s="20"/>
      <c r="BB6" s="20"/>
      <c r="BC6" s="20"/>
      <c r="BD6" s="20"/>
      <c r="BE6" s="20"/>
      <c r="BF6" s="20"/>
      <c r="BG6" s="20"/>
      <c r="BH6" s="20"/>
      <c r="BI6" s="20"/>
      <c r="BJ6" s="20"/>
      <c r="BK6" s="20"/>
      <c r="BL6" s="20"/>
      <c r="BM6" s="20"/>
      <c r="BN6" s="20"/>
      <c r="BO6" s="20"/>
      <c r="BP6" s="20"/>
      <c r="BQ6" s="20"/>
      <c r="BR6" s="895"/>
      <c r="BS6" s="0"/>
      <c r="BT6" s="0"/>
      <c r="BU6" s="0"/>
      <c r="BV6" s="0"/>
      <c r="BW6" s="0"/>
      <c r="BX6" s="0"/>
      <c r="BY6" s="0"/>
      <c r="BZ6" s="0"/>
      <c r="CA6" s="0"/>
      <c r="CB6" s="1421"/>
      <c r="CC6" s="0"/>
      <c r="CD6" s="0"/>
      <c r="CE6" s="0"/>
      <c r="CF6" s="0"/>
      <c r="CG6" s="1421"/>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row>
    <row r="7" customFormat="false" ht="12" hidden="false" customHeight="false" outlineLevel="0" collapsed="false">
      <c r="A7" s="29"/>
      <c r="B7" s="198" t="s">
        <v>404</v>
      </c>
      <c r="C7" s="29"/>
      <c r="D7" s="29"/>
      <c r="E7" s="29"/>
      <c r="F7" s="2165"/>
      <c r="G7" s="895"/>
      <c r="H7" s="2166" t="s">
        <v>1082</v>
      </c>
      <c r="I7" s="32"/>
      <c r="J7" s="2167"/>
      <c r="K7" s="2167"/>
      <c r="L7" s="2167"/>
      <c r="M7" s="2167"/>
      <c r="N7" s="2167"/>
      <c r="O7" s="1940"/>
      <c r="P7" s="1940"/>
      <c r="Q7" s="1940"/>
      <c r="R7" s="1940"/>
      <c r="S7" s="1940"/>
      <c r="T7" s="1940"/>
      <c r="U7" s="1940"/>
      <c r="V7" s="2168"/>
      <c r="W7" s="2169" t="s">
        <v>1083</v>
      </c>
      <c r="Y7" s="948"/>
      <c r="Z7" s="948"/>
      <c r="AA7" s="948"/>
      <c r="AB7" s="948"/>
      <c r="AC7" s="948"/>
      <c r="AD7" s="948"/>
      <c r="AE7" s="948"/>
      <c r="AF7" s="948"/>
      <c r="AG7" s="2170"/>
      <c r="AH7" s="948"/>
      <c r="AI7" s="2171"/>
      <c r="AJ7" s="2169" t="s">
        <v>1084</v>
      </c>
      <c r="AK7" s="948"/>
      <c r="AL7" s="948"/>
      <c r="AM7" s="948"/>
      <c r="AN7" s="1939" t="s">
        <v>1085</v>
      </c>
      <c r="AO7" s="948"/>
      <c r="AP7" s="948"/>
      <c r="AQ7" s="948"/>
      <c r="AR7" s="948"/>
      <c r="AS7" s="948"/>
      <c r="AT7" s="948"/>
      <c r="AU7" s="948"/>
      <c r="AV7" s="948"/>
      <c r="AW7" s="2172" t="s">
        <v>972</v>
      </c>
      <c r="AY7" s="2167"/>
      <c r="AZ7" s="2173" t="s">
        <v>682</v>
      </c>
      <c r="BA7" s="2174"/>
      <c r="BB7" s="2174"/>
      <c r="BC7" s="2174"/>
      <c r="BD7" s="2174"/>
      <c r="BE7" s="2174"/>
      <c r="BF7" s="2174"/>
      <c r="BG7" s="2174"/>
      <c r="BH7" s="2174"/>
      <c r="BI7" s="2174"/>
      <c r="BJ7" s="2174"/>
      <c r="BK7" s="2174"/>
      <c r="BL7" s="2174"/>
      <c r="BM7" s="2174"/>
      <c r="BN7" s="2174"/>
      <c r="BO7" s="2174"/>
      <c r="BP7" s="2174"/>
      <c r="BQ7" s="2174"/>
      <c r="BR7" s="2175"/>
      <c r="BS7" s="198" t="s">
        <v>1086</v>
      </c>
      <c r="BT7" s="0"/>
      <c r="BU7" s="0"/>
      <c r="BV7" s="0"/>
      <c r="BW7" s="0"/>
      <c r="BX7" s="0"/>
      <c r="BY7" s="0"/>
      <c r="BZ7" s="0"/>
      <c r="CA7" s="0"/>
      <c r="CB7" s="1944" t="s">
        <v>1087</v>
      </c>
      <c r="CC7" s="0"/>
      <c r="CD7" s="0"/>
      <c r="CE7" s="0"/>
      <c r="CF7" s="0"/>
      <c r="CG7" s="1944" t="s">
        <v>1088</v>
      </c>
      <c r="CH7" s="0"/>
      <c r="CI7" s="0"/>
      <c r="CJ7" s="0"/>
      <c r="CK7" s="0"/>
      <c r="CL7" s="0"/>
      <c r="CM7" s="0"/>
      <c r="CN7" s="356"/>
      <c r="CO7" s="356"/>
      <c r="CP7" s="356"/>
      <c r="CQ7" s="2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c r="EJ7" s="0"/>
      <c r="EK7" s="0"/>
      <c r="EL7" s="0"/>
      <c r="EM7" s="0"/>
      <c r="EN7" s="0"/>
      <c r="EO7" s="0"/>
      <c r="EP7" s="0"/>
      <c r="EQ7" s="0"/>
      <c r="ER7" s="0"/>
      <c r="ES7" s="0"/>
      <c r="ET7" s="0"/>
      <c r="EU7" s="0"/>
      <c r="EV7" s="0"/>
      <c r="EW7" s="0"/>
      <c r="EX7" s="0"/>
      <c r="EY7" s="0"/>
      <c r="EZ7" s="0"/>
      <c r="FA7" s="0"/>
      <c r="FB7" s="0"/>
      <c r="FC7" s="0"/>
      <c r="FD7" s="0"/>
      <c r="FE7" s="0"/>
      <c r="FF7" s="0"/>
      <c r="FG7" s="0"/>
      <c r="FH7" s="0"/>
      <c r="FI7" s="0"/>
      <c r="FJ7" s="0"/>
      <c r="FK7" s="0"/>
      <c r="FL7" s="0"/>
      <c r="FM7" s="0"/>
      <c r="FN7" s="0"/>
      <c r="FO7" s="0"/>
      <c r="FP7" s="0"/>
      <c r="FQ7" s="0"/>
      <c r="FR7" s="0"/>
      <c r="FS7" s="0"/>
      <c r="FT7" s="0"/>
      <c r="FU7" s="0"/>
      <c r="FV7" s="0"/>
      <c r="FW7" s="0"/>
      <c r="FX7" s="0"/>
      <c r="FY7" s="0"/>
      <c r="FZ7" s="0"/>
      <c r="GA7" s="0"/>
      <c r="GB7" s="0"/>
      <c r="GC7" s="0"/>
      <c r="GD7" s="0"/>
      <c r="GE7" s="0"/>
      <c r="GF7" s="0"/>
      <c r="GG7" s="0"/>
      <c r="GH7" s="0"/>
      <c r="GI7" s="0"/>
      <c r="GJ7" s="0"/>
      <c r="GK7" s="0"/>
      <c r="GL7" s="0"/>
      <c r="GM7" s="0"/>
      <c r="GN7" s="0"/>
      <c r="GO7" s="0"/>
      <c r="GP7" s="0"/>
      <c r="GQ7" s="0"/>
      <c r="GR7" s="0"/>
      <c r="GS7" s="0"/>
      <c r="GT7" s="0"/>
      <c r="GU7" s="0"/>
      <c r="GV7" s="0"/>
      <c r="GW7" s="0"/>
      <c r="GX7" s="0"/>
      <c r="GY7" s="0"/>
      <c r="GZ7" s="0"/>
      <c r="HA7" s="0"/>
      <c r="HB7" s="0"/>
      <c r="HC7" s="0"/>
      <c r="HD7" s="0"/>
      <c r="HE7" s="0"/>
      <c r="HF7" s="0"/>
      <c r="HG7" s="0"/>
      <c r="HH7" s="0"/>
      <c r="HI7" s="0"/>
      <c r="HJ7" s="0"/>
      <c r="HK7" s="0"/>
      <c r="HL7" s="0"/>
      <c r="HM7" s="0"/>
      <c r="HN7" s="0"/>
      <c r="HO7" s="0"/>
      <c r="HP7" s="0"/>
      <c r="HQ7" s="0"/>
      <c r="HR7" s="0"/>
      <c r="HS7" s="0"/>
      <c r="HT7" s="0"/>
      <c r="HU7" s="0"/>
      <c r="HV7" s="0"/>
      <c r="HW7" s="0"/>
      <c r="HX7" s="0"/>
      <c r="HY7" s="0"/>
      <c r="HZ7" s="0"/>
      <c r="IA7" s="0"/>
      <c r="IB7" s="0"/>
      <c r="IC7" s="0"/>
      <c r="ID7" s="0"/>
      <c r="IE7" s="0"/>
      <c r="IF7" s="0"/>
      <c r="IG7" s="0"/>
      <c r="IH7" s="0"/>
      <c r="II7" s="0"/>
      <c r="IJ7" s="0"/>
      <c r="IK7" s="0"/>
      <c r="IL7" s="0"/>
      <c r="IM7" s="0"/>
      <c r="IN7" s="0"/>
      <c r="IO7" s="0"/>
      <c r="IP7" s="0"/>
      <c r="IQ7" s="0"/>
      <c r="IR7" s="0"/>
      <c r="IS7" s="0"/>
      <c r="IT7" s="0"/>
      <c r="IU7" s="0"/>
      <c r="IV7" s="0"/>
      <c r="IW7" s="0"/>
    </row>
    <row r="8" customFormat="false" ht="19.75" hidden="false" customHeight="true" outlineLevel="0" collapsed="false">
      <c r="A8" s="29" t="s">
        <v>684</v>
      </c>
      <c r="B8" s="1354" t="s">
        <v>411</v>
      </c>
      <c r="C8" s="1354"/>
      <c r="D8" s="802" t="s">
        <v>471</v>
      </c>
      <c r="E8" s="802"/>
      <c r="F8" s="801" t="s">
        <v>491</v>
      </c>
      <c r="G8" s="1967" t="s">
        <v>686</v>
      </c>
      <c r="H8" s="803"/>
      <c r="I8" s="801" t="s">
        <v>573</v>
      </c>
      <c r="J8" s="801"/>
      <c r="K8" s="801" t="s">
        <v>575</v>
      </c>
      <c r="L8" s="801"/>
      <c r="M8" s="801"/>
      <c r="N8" s="801"/>
      <c r="O8" s="801"/>
      <c r="P8" s="801"/>
      <c r="Q8" s="801" t="s">
        <v>577</v>
      </c>
      <c r="R8" s="801"/>
      <c r="S8" s="801"/>
      <c r="T8" s="801"/>
      <c r="U8" s="801"/>
      <c r="V8" s="895"/>
      <c r="W8" s="1959"/>
      <c r="X8" s="1959" t="s">
        <v>1089</v>
      </c>
      <c r="Y8" s="801" t="s">
        <v>524</v>
      </c>
      <c r="Z8" s="801" t="s">
        <v>486</v>
      </c>
      <c r="AA8" s="801"/>
      <c r="AB8" s="2176" t="s">
        <v>697</v>
      </c>
      <c r="AC8" s="801" t="s">
        <v>527</v>
      </c>
      <c r="AD8" s="1959" t="s">
        <v>528</v>
      </c>
      <c r="AF8" s="801" t="s">
        <v>529</v>
      </c>
      <c r="AG8" s="2177"/>
      <c r="AH8" s="801"/>
      <c r="AI8" s="800"/>
      <c r="AJ8" s="801"/>
      <c r="AK8" s="801"/>
      <c r="AL8" s="801"/>
      <c r="AM8" s="801"/>
      <c r="AN8" s="933"/>
      <c r="AO8" s="801"/>
      <c r="AP8" s="801"/>
      <c r="AQ8" s="801"/>
      <c r="AR8" s="801"/>
      <c r="AS8" s="801"/>
      <c r="AT8" s="801"/>
      <c r="AU8" s="801"/>
      <c r="AV8" s="801"/>
      <c r="AW8" s="1960"/>
      <c r="AX8" s="20"/>
      <c r="AY8" s="20"/>
      <c r="AZ8" s="2178" t="s">
        <v>709</v>
      </c>
      <c r="BA8" s="2179"/>
      <c r="BB8" s="2179"/>
      <c r="BC8" s="2179"/>
      <c r="BD8" s="2179"/>
      <c r="BE8" s="2179"/>
      <c r="BF8" s="2179"/>
      <c r="BG8" s="2179"/>
      <c r="BH8" s="2179"/>
      <c r="BI8" s="114"/>
      <c r="BJ8" s="114"/>
      <c r="BK8" s="2179"/>
      <c r="BL8" s="2179"/>
      <c r="BM8" s="2179"/>
      <c r="BN8" s="114"/>
      <c r="BO8" s="114"/>
      <c r="BP8" s="114"/>
      <c r="BQ8" s="114"/>
      <c r="BR8" s="895"/>
      <c r="BS8" s="0"/>
      <c r="BT8" s="0"/>
      <c r="BU8" s="0"/>
      <c r="BV8" s="0"/>
      <c r="BW8" s="0"/>
      <c r="BX8" s="0"/>
      <c r="BY8" s="0"/>
      <c r="BZ8" s="0"/>
      <c r="CA8" s="0"/>
      <c r="CB8" s="1421"/>
      <c r="CC8" s="0"/>
      <c r="CD8" s="0"/>
      <c r="CE8" s="0"/>
      <c r="CF8" s="0"/>
      <c r="CG8" s="1421"/>
      <c r="CH8" s="0"/>
      <c r="CI8" s="0"/>
      <c r="CJ8" s="0"/>
      <c r="CK8" s="0"/>
      <c r="CL8" s="0"/>
      <c r="CM8" s="0"/>
      <c r="CN8" s="0"/>
      <c r="CO8" s="0"/>
      <c r="CP8" s="0"/>
      <c r="CQ8" s="0"/>
      <c r="CR8" s="0"/>
      <c r="CS8" s="0"/>
      <c r="CT8" s="0"/>
      <c r="CU8" s="0"/>
      <c r="CV8" s="0"/>
      <c r="CW8" s="0"/>
      <c r="CX8" s="0"/>
      <c r="CY8" s="0"/>
      <c r="CZ8" s="0"/>
      <c r="DA8" s="0"/>
      <c r="DB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c r="EJ8" s="0"/>
      <c r="EK8" s="0"/>
      <c r="EL8" s="0"/>
      <c r="EM8" s="0"/>
      <c r="EN8" s="0"/>
      <c r="EO8" s="0"/>
      <c r="EP8" s="0"/>
      <c r="EQ8" s="0"/>
      <c r="ER8" s="0"/>
      <c r="ES8" s="0"/>
      <c r="ET8" s="0"/>
      <c r="EU8" s="0"/>
      <c r="EV8" s="0"/>
      <c r="EW8" s="0"/>
      <c r="EX8" s="0"/>
      <c r="EY8" s="0"/>
      <c r="EZ8" s="0"/>
      <c r="FA8" s="0"/>
      <c r="FB8" s="0"/>
      <c r="FC8" s="0"/>
      <c r="FD8" s="0"/>
      <c r="FE8" s="0"/>
      <c r="FF8" s="0"/>
      <c r="FG8" s="0"/>
      <c r="FH8" s="0"/>
      <c r="FI8" s="0"/>
      <c r="FJ8" s="0"/>
      <c r="FK8" s="0"/>
      <c r="FL8" s="0"/>
      <c r="FM8" s="0"/>
      <c r="FN8" s="0"/>
      <c r="FO8" s="0"/>
      <c r="FP8" s="0"/>
      <c r="FQ8" s="0"/>
      <c r="FR8" s="0"/>
      <c r="FS8" s="0"/>
      <c r="FT8" s="0"/>
      <c r="FU8" s="0"/>
      <c r="FV8" s="0"/>
      <c r="FW8" s="0"/>
      <c r="FX8" s="0"/>
      <c r="FY8" s="0"/>
      <c r="FZ8" s="0"/>
      <c r="GA8" s="0"/>
      <c r="GB8" s="0"/>
      <c r="GC8" s="0"/>
      <c r="GD8" s="0"/>
      <c r="GE8" s="0"/>
      <c r="GF8" s="0"/>
      <c r="GG8" s="0"/>
      <c r="GH8" s="0"/>
      <c r="GI8" s="0"/>
      <c r="GJ8" s="0"/>
      <c r="GK8" s="0"/>
      <c r="GL8" s="0"/>
      <c r="GM8" s="0"/>
      <c r="GN8" s="0"/>
      <c r="GO8" s="0"/>
      <c r="GP8" s="0"/>
      <c r="GQ8" s="0"/>
      <c r="GR8" s="0"/>
      <c r="GS8" s="0"/>
      <c r="GT8" s="0"/>
      <c r="GU8" s="0"/>
      <c r="GV8" s="0"/>
      <c r="GW8" s="0"/>
      <c r="GX8" s="0"/>
      <c r="GY8" s="0"/>
      <c r="GZ8" s="0"/>
      <c r="HA8" s="0"/>
      <c r="HB8" s="0"/>
      <c r="HC8" s="0"/>
      <c r="HD8" s="0"/>
      <c r="HE8" s="0"/>
      <c r="HF8" s="0"/>
      <c r="HG8" s="0"/>
      <c r="HH8" s="0"/>
      <c r="HI8" s="0"/>
      <c r="HJ8" s="0"/>
      <c r="HK8" s="0"/>
      <c r="HL8" s="0"/>
      <c r="HM8" s="0"/>
      <c r="HN8" s="0"/>
      <c r="HO8" s="0"/>
      <c r="HP8" s="0"/>
      <c r="HQ8" s="0"/>
      <c r="HR8" s="0"/>
      <c r="HS8" s="0"/>
      <c r="HT8" s="0"/>
      <c r="HU8" s="0"/>
      <c r="HV8" s="0"/>
      <c r="HW8" s="0"/>
      <c r="HX8" s="0"/>
      <c r="HY8" s="0"/>
      <c r="HZ8" s="0"/>
      <c r="IA8" s="0"/>
      <c r="IB8" s="0"/>
      <c r="IC8" s="0"/>
      <c r="ID8" s="0"/>
      <c r="IE8" s="0"/>
      <c r="IF8" s="0"/>
      <c r="IG8" s="0"/>
      <c r="IH8" s="0"/>
      <c r="II8" s="0"/>
      <c r="IJ8" s="0"/>
      <c r="IK8" s="0"/>
      <c r="IL8" s="0"/>
      <c r="IM8" s="0"/>
      <c r="IN8" s="0"/>
      <c r="IO8" s="0"/>
      <c r="IP8" s="0"/>
      <c r="IQ8" s="0"/>
      <c r="IR8" s="0"/>
      <c r="IS8" s="0"/>
      <c r="IT8" s="0"/>
      <c r="IU8" s="0"/>
      <c r="IV8" s="0"/>
      <c r="IW8" s="0"/>
    </row>
    <row r="9" s="20" customFormat="true" ht="108" hidden="false" customHeight="false" outlineLevel="0" collapsed="false">
      <c r="A9" s="788"/>
      <c r="B9" s="1959" t="s">
        <v>404</v>
      </c>
      <c r="C9" s="1961" t="s">
        <v>1090</v>
      </c>
      <c r="D9" s="801" t="s">
        <v>1091</v>
      </c>
      <c r="E9" s="1961" t="s">
        <v>1092</v>
      </c>
      <c r="F9" s="801" t="s">
        <v>1093</v>
      </c>
      <c r="G9" s="800" t="s">
        <v>712</v>
      </c>
      <c r="H9" s="1960" t="s">
        <v>1094</v>
      </c>
      <c r="I9" s="801" t="s">
        <v>723</v>
      </c>
      <c r="J9" s="801" t="s">
        <v>724</v>
      </c>
      <c r="K9" s="801" t="s">
        <v>841</v>
      </c>
      <c r="L9" s="1961" t="s">
        <v>1095</v>
      </c>
      <c r="M9" s="801" t="s">
        <v>1096</v>
      </c>
      <c r="N9" s="801" t="s">
        <v>1097</v>
      </c>
      <c r="O9" s="801" t="s">
        <v>1098</v>
      </c>
      <c r="P9" s="1961" t="s">
        <v>1099</v>
      </c>
      <c r="Q9" s="801" t="s">
        <v>567</v>
      </c>
      <c r="R9" s="801" t="s">
        <v>726</v>
      </c>
      <c r="S9" s="801" t="s">
        <v>569</v>
      </c>
      <c r="T9" s="801" t="s">
        <v>975</v>
      </c>
      <c r="U9" s="801" t="s">
        <v>1100</v>
      </c>
      <c r="V9" s="800" t="s">
        <v>1101</v>
      </c>
      <c r="W9" s="1959" t="s">
        <v>1102</v>
      </c>
      <c r="X9" s="1959" t="s">
        <v>509</v>
      </c>
      <c r="Y9" s="801" t="s">
        <v>1103</v>
      </c>
      <c r="Z9" s="801" t="s">
        <v>1104</v>
      </c>
      <c r="AA9" s="801" t="s">
        <v>1105</v>
      </c>
      <c r="AB9" s="801" t="s">
        <v>788</v>
      </c>
      <c r="AC9" s="801" t="s">
        <v>1106</v>
      </c>
      <c r="AD9" s="1959" t="s">
        <v>516</v>
      </c>
      <c r="AE9" s="801" t="s">
        <v>1107</v>
      </c>
      <c r="AF9" s="801" t="s">
        <v>1108</v>
      </c>
      <c r="AG9" s="2180" t="s">
        <v>1109</v>
      </c>
      <c r="AH9" s="1961" t="s">
        <v>1110</v>
      </c>
      <c r="AI9" s="1962" t="s">
        <v>1111</v>
      </c>
      <c r="AJ9" s="801" t="s">
        <v>1112</v>
      </c>
      <c r="AK9" s="801" t="s">
        <v>1113</v>
      </c>
      <c r="AL9" s="1961" t="s">
        <v>1114</v>
      </c>
      <c r="AM9" s="1961" t="s">
        <v>1115</v>
      </c>
      <c r="AN9" s="803" t="s">
        <v>1116</v>
      </c>
      <c r="AO9" s="801" t="s">
        <v>1117</v>
      </c>
      <c r="AP9" s="801" t="s">
        <v>1118</v>
      </c>
      <c r="AQ9" s="801" t="s">
        <v>1119</v>
      </c>
      <c r="AR9" s="801" t="s">
        <v>1120</v>
      </c>
      <c r="AS9" s="801" t="s">
        <v>819</v>
      </c>
      <c r="AT9" s="1959" t="s">
        <v>1121</v>
      </c>
      <c r="AU9" s="801" t="s">
        <v>842</v>
      </c>
      <c r="AV9" s="1959" t="s">
        <v>824</v>
      </c>
      <c r="AW9" s="803" t="s">
        <v>1122</v>
      </c>
      <c r="AX9" s="801" t="s">
        <v>1123</v>
      </c>
      <c r="AY9" s="801" t="s">
        <v>210</v>
      </c>
      <c r="AZ9" s="1977" t="s">
        <v>1124</v>
      </c>
      <c r="BA9" s="1975" t="s">
        <v>1125</v>
      </c>
      <c r="BB9" s="1978" t="s">
        <v>1126</v>
      </c>
      <c r="BC9" s="1978" t="s">
        <v>1127</v>
      </c>
      <c r="BD9" s="1978" t="s">
        <v>1128</v>
      </c>
      <c r="BE9" s="1978" t="s">
        <v>1129</v>
      </c>
      <c r="BF9" s="1978" t="s">
        <v>1130</v>
      </c>
      <c r="BG9" s="1978" t="s">
        <v>1131</v>
      </c>
      <c r="BH9" s="1978" t="s">
        <v>1132</v>
      </c>
      <c r="BI9" s="1978" t="s">
        <v>1133</v>
      </c>
      <c r="BJ9" s="1978" t="s">
        <v>1134</v>
      </c>
      <c r="BK9" s="1978" t="s">
        <v>1135</v>
      </c>
      <c r="BL9" s="1978" t="s">
        <v>1136</v>
      </c>
      <c r="BM9" s="1978" t="s">
        <v>1137</v>
      </c>
      <c r="BN9" s="1978" t="s">
        <v>861</v>
      </c>
      <c r="BO9" s="1978" t="s">
        <v>41</v>
      </c>
      <c r="BP9" s="1975" t="s">
        <v>859</v>
      </c>
      <c r="BQ9" s="1975" t="s">
        <v>860</v>
      </c>
      <c r="BR9" s="1976" t="s">
        <v>1138</v>
      </c>
      <c r="BS9" s="2181" t="s">
        <v>1139</v>
      </c>
      <c r="BT9" s="2182" t="s">
        <v>332</v>
      </c>
      <c r="BU9" s="2183" t="s">
        <v>424</v>
      </c>
      <c r="BV9" s="2183" t="s">
        <v>1140</v>
      </c>
      <c r="BW9" s="2183" t="s">
        <v>1141</v>
      </c>
      <c r="BX9" s="2183" t="s">
        <v>1142</v>
      </c>
      <c r="BY9" s="2183" t="s">
        <v>1143</v>
      </c>
      <c r="BZ9" s="2183" t="s">
        <v>1144</v>
      </c>
      <c r="CA9" s="2182" t="s">
        <v>1145</v>
      </c>
      <c r="CB9" s="803" t="s">
        <v>398</v>
      </c>
      <c r="CC9" s="2182" t="s">
        <v>1146</v>
      </c>
      <c r="CD9" s="2182" t="s">
        <v>1147</v>
      </c>
      <c r="CE9" s="2182" t="s">
        <v>1148</v>
      </c>
      <c r="CF9" s="2182" t="s">
        <v>1149</v>
      </c>
      <c r="CG9" s="1960" t="s">
        <v>1150</v>
      </c>
      <c r="CH9" s="2182" t="s">
        <v>1151</v>
      </c>
      <c r="CI9" s="2183" t="s">
        <v>1152</v>
      </c>
      <c r="CJ9" s="2183" t="s">
        <v>1153</v>
      </c>
      <c r="CK9" s="2183" t="s">
        <v>1154</v>
      </c>
      <c r="CL9" s="2183" t="s">
        <v>1155</v>
      </c>
      <c r="CM9" s="2183" t="s">
        <v>1156</v>
      </c>
      <c r="CN9" s="2183" t="s">
        <v>1157</v>
      </c>
      <c r="CO9" s="2181" t="s">
        <v>1158</v>
      </c>
      <c r="CP9" s="2182" t="s">
        <v>1159</v>
      </c>
      <c r="CQ9" s="2182" t="s">
        <v>1160</v>
      </c>
      <c r="CR9" s="2183" t="s">
        <v>1161</v>
      </c>
      <c r="CS9" s="2183" t="s">
        <v>1162</v>
      </c>
      <c r="CT9" s="2183" t="s">
        <v>1163</v>
      </c>
      <c r="CU9" s="2183" t="s">
        <v>1164</v>
      </c>
      <c r="CV9" s="2182" t="s">
        <v>1165</v>
      </c>
      <c r="CW9" s="2182" t="s">
        <v>1166</v>
      </c>
      <c r="CX9" s="2181" t="s">
        <v>1167</v>
      </c>
      <c r="CY9" s="2182" t="s">
        <v>1168</v>
      </c>
      <c r="CZ9" s="2183" t="s">
        <v>1169</v>
      </c>
      <c r="DA9" s="2183" t="s">
        <v>1170</v>
      </c>
      <c r="DB9" s="2182" t="s">
        <v>1171</v>
      </c>
      <c r="DC9" s="2184" t="s">
        <v>336</v>
      </c>
      <c r="DD9" s="801" t="s">
        <v>1172</v>
      </c>
      <c r="DE9" s="801" t="s">
        <v>1173</v>
      </c>
      <c r="DF9" s="801" t="s">
        <v>1174</v>
      </c>
      <c r="DG9" s="801" t="s">
        <v>1175</v>
      </c>
      <c r="DH9" s="801" t="s">
        <v>1176</v>
      </c>
      <c r="DI9" s="801" t="s">
        <v>1177</v>
      </c>
      <c r="DJ9" s="801" t="s">
        <v>1178</v>
      </c>
      <c r="DK9" s="801" t="s">
        <v>1179</v>
      </c>
      <c r="DL9" s="801" t="s">
        <v>1180</v>
      </c>
      <c r="DM9" s="801" t="s">
        <v>1181</v>
      </c>
    </row>
    <row r="10" s="2116" customFormat="true" ht="55.75" hidden="false" customHeight="true" outlineLevel="0" collapsed="false">
      <c r="A10" s="1594" t="s">
        <v>403</v>
      </c>
      <c r="B10" s="1594" t="s">
        <v>1182</v>
      </c>
      <c r="C10" s="1594" t="s">
        <v>1183</v>
      </c>
      <c r="D10" s="2119" t="s">
        <v>1184</v>
      </c>
      <c r="E10" s="2119" t="s">
        <v>1184</v>
      </c>
      <c r="F10" s="1594" t="s">
        <v>1185</v>
      </c>
      <c r="G10" s="1982"/>
      <c r="H10" s="799" t="s">
        <v>1186</v>
      </c>
      <c r="I10" s="1594" t="s">
        <v>1187</v>
      </c>
      <c r="J10" s="1594" t="s">
        <v>1188</v>
      </c>
      <c r="K10" s="1594" t="s">
        <v>1189</v>
      </c>
      <c r="L10" s="1594" t="s">
        <v>1189</v>
      </c>
      <c r="M10" s="1594" t="s">
        <v>1189</v>
      </c>
      <c r="N10" s="1594" t="s">
        <v>1189</v>
      </c>
      <c r="O10" s="1594" t="s">
        <v>1190</v>
      </c>
      <c r="P10" s="1594" t="s">
        <v>1191</v>
      </c>
      <c r="Q10" s="1594" t="s">
        <v>1192</v>
      </c>
      <c r="R10" s="1594" t="s">
        <v>1193</v>
      </c>
      <c r="S10" s="1594" t="s">
        <v>1194</v>
      </c>
      <c r="T10" s="1594" t="s">
        <v>1195</v>
      </c>
      <c r="U10" s="1594" t="s">
        <v>1196</v>
      </c>
      <c r="V10" s="1982" t="s">
        <v>1197</v>
      </c>
      <c r="W10" s="1594" t="s">
        <v>1198</v>
      </c>
      <c r="X10" s="1594" t="s">
        <v>1199</v>
      </c>
      <c r="Y10" s="1594" t="s">
        <v>1199</v>
      </c>
      <c r="Z10" s="1594" t="s">
        <v>1199</v>
      </c>
      <c r="AA10" s="1594" t="s">
        <v>1199</v>
      </c>
      <c r="AB10" s="1594" t="s">
        <v>1199</v>
      </c>
      <c r="AC10" s="1594" t="s">
        <v>1200</v>
      </c>
      <c r="AD10" s="1594" t="s">
        <v>1199</v>
      </c>
      <c r="AE10" s="1594" t="s">
        <v>1199</v>
      </c>
      <c r="AF10" s="1594" t="s">
        <v>1199</v>
      </c>
      <c r="AG10" s="2185" t="s">
        <v>1201</v>
      </c>
      <c r="AH10" s="1594" t="s">
        <v>1201</v>
      </c>
      <c r="AI10" s="1982" t="s">
        <v>1202</v>
      </c>
      <c r="AJ10" s="1594" t="s">
        <v>1203</v>
      </c>
      <c r="AK10" s="1594" t="s">
        <v>1204</v>
      </c>
      <c r="AL10" s="1594" t="s">
        <v>1205</v>
      </c>
      <c r="AM10" s="1594" t="s">
        <v>1205</v>
      </c>
      <c r="AN10" s="799" t="s">
        <v>1206</v>
      </c>
      <c r="AO10" s="1594" t="s">
        <v>1207</v>
      </c>
      <c r="AP10" s="1594" t="s">
        <v>1208</v>
      </c>
      <c r="AQ10" s="1594" t="s">
        <v>1209</v>
      </c>
      <c r="AR10" s="1594" t="s">
        <v>1210</v>
      </c>
      <c r="AS10" s="1594"/>
      <c r="AT10" s="1594" t="s">
        <v>1211</v>
      </c>
      <c r="AU10" s="1594" t="s">
        <v>1212</v>
      </c>
      <c r="AV10" s="1594" t="s">
        <v>1213</v>
      </c>
      <c r="AW10" s="799" t="s">
        <v>1214</v>
      </c>
      <c r="AX10" s="1594"/>
      <c r="AY10" s="1594"/>
      <c r="AZ10" s="2186" t="s">
        <v>1215</v>
      </c>
      <c r="BA10" s="2119" t="s">
        <v>1216</v>
      </c>
      <c r="BB10" s="2119" t="s">
        <v>1217</v>
      </c>
      <c r="BC10" s="2119" t="s">
        <v>1218</v>
      </c>
      <c r="BD10" s="2119"/>
      <c r="BE10" s="2119"/>
      <c r="BF10" s="2119"/>
      <c r="BG10" s="2119" t="s">
        <v>1219</v>
      </c>
      <c r="BH10" s="2119" t="s">
        <v>1217</v>
      </c>
      <c r="BI10" s="2119" t="s">
        <v>1220</v>
      </c>
      <c r="BJ10" s="2119" t="s">
        <v>1214</v>
      </c>
      <c r="BK10" s="2119" t="s">
        <v>1221</v>
      </c>
      <c r="BL10" s="2119" t="s">
        <v>1222</v>
      </c>
      <c r="BM10" s="2119" t="s">
        <v>1214</v>
      </c>
      <c r="BN10" s="2119" t="s">
        <v>1223</v>
      </c>
      <c r="BO10" s="2119" t="s">
        <v>1224</v>
      </c>
      <c r="BP10" s="2119"/>
      <c r="BQ10" s="2119" t="s">
        <v>1225</v>
      </c>
      <c r="BR10" s="2187"/>
      <c r="BS10" s="2188"/>
      <c r="BT10" s="2188"/>
      <c r="BU10" s="1984" t="s">
        <v>1226</v>
      </c>
      <c r="BV10" s="1984"/>
      <c r="BW10" s="2189" t="s">
        <v>1227</v>
      </c>
      <c r="BX10" s="2189" t="s">
        <v>1227</v>
      </c>
      <c r="BY10" s="2189" t="s">
        <v>1227</v>
      </c>
      <c r="BZ10" s="2189"/>
      <c r="CA10" s="2188"/>
      <c r="CB10" s="2186" t="s">
        <v>1228</v>
      </c>
      <c r="CC10" s="2119" t="s">
        <v>1229</v>
      </c>
      <c r="CD10" s="2188" t="s">
        <v>1230</v>
      </c>
      <c r="CE10" s="2119"/>
      <c r="CF10" s="2119"/>
      <c r="CG10" s="2190"/>
      <c r="CI10" s="2189" t="s">
        <v>1227</v>
      </c>
      <c r="CJ10" s="2189" t="s">
        <v>1214</v>
      </c>
      <c r="CK10" s="2189" t="s">
        <v>1227</v>
      </c>
      <c r="CL10" s="2189" t="s">
        <v>1231</v>
      </c>
      <c r="CM10" s="2189"/>
      <c r="CN10" s="2189" t="s">
        <v>1227</v>
      </c>
      <c r="CO10" s="2189"/>
      <c r="CP10" s="2189"/>
      <c r="CQ10" s="1987" t="s">
        <v>1232</v>
      </c>
      <c r="CR10" s="1987"/>
      <c r="CS10" s="1987"/>
      <c r="CT10" s="1987"/>
      <c r="CU10" s="1987"/>
      <c r="CV10" s="2189" t="s">
        <v>1233</v>
      </c>
      <c r="CW10" s="2191" t="s">
        <v>1234</v>
      </c>
      <c r="CX10" s="2191"/>
      <c r="CY10" s="1987" t="s">
        <v>1232</v>
      </c>
      <c r="CZ10" s="1987"/>
      <c r="DA10" s="1987"/>
      <c r="DB10" s="1987"/>
      <c r="DC10" s="2192"/>
      <c r="DD10" s="1984" t="s">
        <v>1235</v>
      </c>
      <c r="DE10" s="1984" t="s">
        <v>1235</v>
      </c>
      <c r="DI10" s="1984" t="s">
        <v>1235</v>
      </c>
      <c r="DM10" s="1984" t="s">
        <v>1236</v>
      </c>
    </row>
    <row r="11" s="2116" customFormat="true" ht="18" hidden="false" customHeight="true" outlineLevel="0" collapsed="false">
      <c r="A11" s="1594" t="s">
        <v>1055</v>
      </c>
      <c r="B11" s="1594"/>
      <c r="C11" s="1594"/>
      <c r="D11" s="1594" t="s">
        <v>1237</v>
      </c>
      <c r="F11" s="1594" t="s">
        <v>1061</v>
      </c>
      <c r="G11" s="1982"/>
      <c r="H11" s="799"/>
      <c r="I11" s="1594"/>
      <c r="J11" s="1594"/>
      <c r="K11" s="1594"/>
      <c r="L11" s="1594"/>
      <c r="M11" s="1594"/>
      <c r="N11" s="1594"/>
      <c r="O11" s="1594" t="s">
        <v>1238</v>
      </c>
      <c r="P11" s="1594"/>
      <c r="Q11" s="2191"/>
      <c r="R11" s="2191"/>
      <c r="S11" s="2191"/>
      <c r="T11" s="2191"/>
      <c r="U11" s="1594"/>
      <c r="V11" s="1982" t="s">
        <v>1239</v>
      </c>
      <c r="W11" s="1594"/>
      <c r="X11" s="2115"/>
      <c r="Y11" s="1594"/>
      <c r="Z11" s="1594"/>
      <c r="AA11" s="1594"/>
      <c r="AB11" s="1594"/>
      <c r="AC11" s="1594"/>
      <c r="AD11" s="2115"/>
      <c r="AE11" s="1594"/>
      <c r="AF11" s="1594"/>
      <c r="AG11" s="2193" t="s">
        <v>1240</v>
      </c>
      <c r="AH11" s="1514"/>
      <c r="AI11" s="1982"/>
      <c r="AJ11" s="1594"/>
      <c r="AK11" s="1594"/>
      <c r="AL11" s="1594"/>
      <c r="AM11" s="1594"/>
      <c r="AN11" s="799" t="s">
        <v>1070</v>
      </c>
      <c r="AO11" s="798" t="s">
        <v>1241</v>
      </c>
      <c r="AP11" s="1594"/>
      <c r="AQ11" s="1594"/>
      <c r="AR11" s="798" t="s">
        <v>1242</v>
      </c>
      <c r="AS11" s="1594"/>
      <c r="AT11" s="1594"/>
      <c r="AU11" s="1594"/>
      <c r="AV11" s="1594"/>
      <c r="AW11" s="799" t="s">
        <v>1243</v>
      </c>
      <c r="AX11" s="1594"/>
      <c r="AY11" s="1594"/>
      <c r="AZ11" s="2186"/>
      <c r="BA11" s="2119"/>
      <c r="BB11" s="2119"/>
      <c r="BC11" s="2119"/>
      <c r="BD11" s="2119"/>
      <c r="BE11" s="2119"/>
      <c r="BF11" s="2119"/>
      <c r="BG11" s="2119"/>
      <c r="BH11" s="2119"/>
      <c r="BI11" s="2119"/>
      <c r="BJ11" s="2119"/>
      <c r="BK11" s="2119"/>
      <c r="BL11" s="2119"/>
      <c r="BM11" s="2119"/>
      <c r="BN11" s="2119"/>
      <c r="BO11" s="2119" t="s">
        <v>1244</v>
      </c>
      <c r="BP11" s="2119"/>
      <c r="BQ11" s="2119"/>
      <c r="BR11" s="2187"/>
      <c r="BS11" s="2188"/>
      <c r="BT11" s="2188"/>
      <c r="BU11" s="2188"/>
      <c r="BV11" s="2188"/>
      <c r="BW11" s="798" t="s">
        <v>1245</v>
      </c>
      <c r="BX11" s="798" t="s">
        <v>1246</v>
      </c>
      <c r="BY11" s="798" t="s">
        <v>1247</v>
      </c>
      <c r="BZ11" s="798"/>
      <c r="CA11" s="2188"/>
      <c r="CB11" s="2194"/>
      <c r="CC11" s="2188"/>
      <c r="CD11" s="2188"/>
      <c r="CE11" s="2188"/>
      <c r="CF11" s="2188"/>
      <c r="CG11" s="2190"/>
      <c r="CI11" s="798" t="s">
        <v>1248</v>
      </c>
      <c r="CJ11" s="798"/>
      <c r="CK11" s="798" t="s">
        <v>1249</v>
      </c>
      <c r="CL11" s="798"/>
      <c r="CM11" s="798"/>
      <c r="CN11" s="798" t="s">
        <v>1250</v>
      </c>
      <c r="CO11" s="798"/>
      <c r="CP11" s="798"/>
      <c r="CR11" s="2195" t="s">
        <v>1251</v>
      </c>
      <c r="CS11" s="2195" t="s">
        <v>1252</v>
      </c>
      <c r="CT11" s="2116" t="s">
        <v>1253</v>
      </c>
      <c r="CU11" s="2196" t="s">
        <v>1164</v>
      </c>
      <c r="CV11" s="798"/>
      <c r="DC11" s="2192"/>
    </row>
    <row r="12" s="2188" customFormat="true" ht="36" hidden="false" customHeight="true" outlineLevel="0" collapsed="false">
      <c r="A12" s="1514" t="s">
        <v>1254</v>
      </c>
      <c r="B12" s="1514" t="s">
        <v>1255</v>
      </c>
      <c r="C12" s="1514" t="s">
        <v>1256</v>
      </c>
      <c r="D12" s="1514" t="s">
        <v>1257</v>
      </c>
      <c r="E12" s="1514" t="s">
        <v>1256</v>
      </c>
      <c r="F12" s="1594" t="s">
        <v>1258</v>
      </c>
      <c r="G12" s="1982"/>
      <c r="H12" s="799" t="s">
        <v>1259</v>
      </c>
      <c r="I12" s="1594"/>
      <c r="J12" s="1594"/>
      <c r="K12" s="1594"/>
      <c r="L12" s="1594"/>
      <c r="M12" s="1594"/>
      <c r="N12" s="1594"/>
      <c r="O12" s="1514" t="s">
        <v>1260</v>
      </c>
      <c r="P12" s="1514" t="s">
        <v>1261</v>
      </c>
      <c r="Q12" s="1514"/>
      <c r="R12" s="1514"/>
      <c r="S12" s="1514"/>
      <c r="T12" s="1514" t="s">
        <v>1262</v>
      </c>
      <c r="U12" s="1514"/>
      <c r="V12" s="2197"/>
      <c r="W12" s="1594" t="s">
        <v>1263</v>
      </c>
      <c r="X12" s="1594"/>
      <c r="Y12" s="1594" t="s">
        <v>1264</v>
      </c>
      <c r="Z12" s="1594"/>
      <c r="AA12" s="1594"/>
      <c r="AB12" s="1594" t="s">
        <v>1265</v>
      </c>
      <c r="AC12" s="1594" t="s">
        <v>1266</v>
      </c>
      <c r="AD12" s="1594"/>
      <c r="AE12" s="1594" t="s">
        <v>1267</v>
      </c>
      <c r="AF12" s="1594" t="s">
        <v>1268</v>
      </c>
      <c r="AG12" s="2185" t="s">
        <v>1269</v>
      </c>
      <c r="AH12" s="1594"/>
      <c r="AI12" s="1982"/>
      <c r="AJ12" s="1594"/>
      <c r="AK12" s="1594"/>
      <c r="AL12" s="1594"/>
      <c r="AM12" s="1594" t="s">
        <v>1270</v>
      </c>
      <c r="AN12" s="799" t="s">
        <v>1271</v>
      </c>
      <c r="AO12" s="1594"/>
      <c r="AP12" s="1594" t="s">
        <v>1272</v>
      </c>
      <c r="AQ12" s="1594"/>
      <c r="AR12" s="1594"/>
      <c r="AS12" s="1594"/>
      <c r="AT12" s="1594" t="s">
        <v>1273</v>
      </c>
      <c r="AU12" s="1594" t="s">
        <v>1274</v>
      </c>
      <c r="AV12" s="1594" t="s">
        <v>1275</v>
      </c>
      <c r="AW12" s="2194"/>
      <c r="AX12" s="1594"/>
      <c r="AY12" s="1594"/>
      <c r="AZ12" s="799"/>
      <c r="BA12" s="1594"/>
      <c r="BB12" s="2198"/>
      <c r="BC12" s="2198"/>
      <c r="BD12" s="2198"/>
      <c r="BE12" s="2198"/>
      <c r="BF12" s="2198"/>
      <c r="BG12" s="1594"/>
      <c r="BH12" s="1594" t="s">
        <v>1276</v>
      </c>
      <c r="BI12" s="2191" t="s">
        <v>1277</v>
      </c>
      <c r="BJ12" s="2191"/>
      <c r="BK12" s="798" t="s">
        <v>1278</v>
      </c>
      <c r="BL12" s="798"/>
      <c r="BM12" s="798"/>
      <c r="BN12" s="2191" t="s">
        <v>1279</v>
      </c>
      <c r="BO12" s="2191" t="s">
        <v>1280</v>
      </c>
      <c r="BP12" s="1982" t="s">
        <v>1281</v>
      </c>
      <c r="BQ12" s="1982"/>
      <c r="BR12" s="1982"/>
      <c r="BS12" s="2188" t="s">
        <v>1282</v>
      </c>
      <c r="BU12" s="2188" t="s">
        <v>1283</v>
      </c>
      <c r="CA12" s="2188" t="s">
        <v>1284</v>
      </c>
      <c r="CB12" s="2194" t="s">
        <v>1285</v>
      </c>
      <c r="CG12" s="2194" t="s">
        <v>1286</v>
      </c>
      <c r="CL12" s="2188" t="s">
        <v>1287</v>
      </c>
      <c r="CQ12" s="2188" t="s">
        <v>1288</v>
      </c>
      <c r="CR12" s="2188" t="s">
        <v>1289</v>
      </c>
      <c r="CS12" s="2188" t="s">
        <v>1290</v>
      </c>
      <c r="CT12" s="2188" t="s">
        <v>1290</v>
      </c>
      <c r="CU12" s="2188" t="s">
        <v>1289</v>
      </c>
      <c r="CV12" s="2189" t="s">
        <v>1291</v>
      </c>
      <c r="CW12" s="2191" t="s">
        <v>1292</v>
      </c>
      <c r="CX12" s="2191"/>
      <c r="CY12" s="1594" t="s">
        <v>1293</v>
      </c>
      <c r="CZ12" s="1594"/>
      <c r="DA12" s="1594"/>
      <c r="DB12" s="1594"/>
      <c r="DC12" s="2199"/>
      <c r="DD12" s="2200" t="s">
        <v>1294</v>
      </c>
      <c r="DE12" s="2200"/>
      <c r="DF12" s="2200" t="s">
        <v>1294</v>
      </c>
      <c r="DG12" s="2200" t="s">
        <v>1295</v>
      </c>
    </row>
    <row r="13" customFormat="false" ht="12" hidden="false" customHeight="false" outlineLevel="0" collapsed="false">
      <c r="A13" s="31" t="n">
        <v>1850</v>
      </c>
      <c r="B13" s="1994" t="n">
        <f aca="false">H13</f>
        <v>6.07</v>
      </c>
      <c r="C13" s="395" t="n">
        <v>10.534</v>
      </c>
      <c r="D13" s="31"/>
      <c r="E13" s="31"/>
      <c r="F13" s="2201" t="n">
        <f aca="false">F14/1.04</f>
        <v>0.350779278255565</v>
      </c>
      <c r="G13" s="2202" t="n">
        <f aca="false">B13-F13</f>
        <v>5.71922072174444</v>
      </c>
      <c r="H13" s="2000" t="n">
        <f aca="false">I13+J13+O13+Q13+T13</f>
        <v>6.07</v>
      </c>
      <c r="I13" s="1997" t="n">
        <v>5.161</v>
      </c>
      <c r="J13" s="1997" t="n">
        <v>0.409</v>
      </c>
      <c r="K13" s="1997"/>
      <c r="L13" s="1997"/>
      <c r="M13" s="514"/>
      <c r="N13" s="1997"/>
      <c r="O13" s="1997" t="n">
        <v>0.5</v>
      </c>
      <c r="P13" s="1997"/>
      <c r="Q13" s="1997" t="n">
        <f aca="false">V13-T13</f>
        <v>0</v>
      </c>
      <c r="R13" s="1997"/>
      <c r="S13" s="1997"/>
      <c r="T13" s="1997" t="n">
        <v>0</v>
      </c>
      <c r="U13" s="1997" t="n">
        <v>0</v>
      </c>
      <c r="V13" s="2203" t="n">
        <v>0</v>
      </c>
      <c r="W13" s="384" t="n">
        <f aca="false">X13+AD13</f>
        <v>4.93</v>
      </c>
      <c r="X13" s="2204" t="n">
        <f aca="false">Y13+Z13+AA13+AB13</f>
        <v>0.39</v>
      </c>
      <c r="Y13" s="2008" t="n">
        <v>0.446</v>
      </c>
      <c r="Z13" s="2008" t="n">
        <v>0.223</v>
      </c>
      <c r="AA13" s="2008" t="n">
        <v>-0.279</v>
      </c>
      <c r="AB13" s="2205" t="n">
        <v>0</v>
      </c>
      <c r="AC13" s="384" t="n">
        <v>0.06</v>
      </c>
      <c r="AD13" s="2204" t="n">
        <f aca="false">AE13+AF13</f>
        <v>4.54</v>
      </c>
      <c r="AE13" s="2008" t="n">
        <v>2.508</v>
      </c>
      <c r="AF13" s="2023" t="n">
        <v>2.032</v>
      </c>
      <c r="AG13" s="2206"/>
      <c r="AH13" s="387"/>
      <c r="AI13" s="1999"/>
      <c r="AJ13" s="2009" t="n">
        <v>1.753</v>
      </c>
      <c r="AK13" s="2207" t="e">
        <f aca="false">NA()</f>
        <v>#N/A</v>
      </c>
      <c r="AL13" s="2207"/>
      <c r="AM13" s="2207"/>
      <c r="AN13" s="2208" t="n">
        <v>0.374</v>
      </c>
      <c r="AO13" s="2023" t="n">
        <v>0.088</v>
      </c>
      <c r="AP13" s="2023" t="n">
        <v>0.056</v>
      </c>
      <c r="AQ13" s="2023" t="n">
        <v>0</v>
      </c>
      <c r="AR13" s="2023" t="n">
        <v>0.1</v>
      </c>
      <c r="AS13" s="2023" t="n">
        <f aca="false">AN13+AO13-AP13-AC13+AQ13+AR13</f>
        <v>0.446</v>
      </c>
      <c r="AT13" s="2023" t="n">
        <v>0.034</v>
      </c>
      <c r="AU13" s="2105"/>
      <c r="AV13" s="2209"/>
      <c r="AW13" s="2000" t="n">
        <f aca="false">B13+AC13-AN13-AO13+AP13</f>
        <v>5.724</v>
      </c>
      <c r="AX13" s="1997" t="n">
        <f aca="false">V13+O13</f>
        <v>0.5</v>
      </c>
      <c r="AY13" s="514" t="n">
        <f aca="false">AX13/B13</f>
        <v>0.0823723228995058</v>
      </c>
      <c r="AZ13" s="2210"/>
      <c r="BA13" s="401"/>
      <c r="BB13" s="401" t="n">
        <v>57.6</v>
      </c>
      <c r="BC13" s="401"/>
      <c r="BD13" s="401"/>
      <c r="BE13" s="401"/>
      <c r="BF13" s="401"/>
      <c r="BG13" s="401" t="n">
        <v>56.8</v>
      </c>
      <c r="BH13" s="401" t="n">
        <v>57.6229352572622</v>
      </c>
      <c r="BI13" s="440" t="n">
        <v>33746</v>
      </c>
      <c r="BJ13" s="440" t="n">
        <f aca="false">BI13*(1-BN13)</f>
        <v>19071.4494603749</v>
      </c>
      <c r="BK13" s="401" t="n">
        <f aca="false">BI13</f>
        <v>33746</v>
      </c>
      <c r="BL13" s="401"/>
      <c r="BM13" s="401" t="n">
        <f aca="false">BJ13</f>
        <v>19071.4494603749</v>
      </c>
      <c r="BN13" s="2211" t="n">
        <f aca="false">BN14</f>
        <v>0.434853035607927</v>
      </c>
      <c r="BO13" s="218"/>
      <c r="BP13" s="218"/>
      <c r="BQ13" s="218"/>
      <c r="BR13" s="2212"/>
      <c r="BS13" s="115"/>
      <c r="BT13" s="115"/>
      <c r="BU13" s="115"/>
      <c r="BV13" s="115"/>
      <c r="BW13" s="115"/>
      <c r="BX13" s="115"/>
      <c r="BY13" s="115"/>
      <c r="BZ13" s="115"/>
      <c r="CA13" s="115"/>
      <c r="CB13" s="2213" t="n">
        <v>0</v>
      </c>
      <c r="CC13" s="2019" t="n">
        <v>0</v>
      </c>
      <c r="CD13" s="2214" t="n">
        <v>0</v>
      </c>
      <c r="CE13" s="2215" t="n">
        <f aca="false">CB13-CC13</f>
        <v>0</v>
      </c>
      <c r="CF13" s="2215" t="n">
        <f aca="false">CB13-CC13-CD13</f>
        <v>0</v>
      </c>
      <c r="CG13" s="2216"/>
      <c r="CO13" s="2017"/>
      <c r="CP13" s="2017" t="n">
        <f aca="false">CQ13+9*(CQ14-CQ13)/12</f>
        <v>1.71366096282954</v>
      </c>
      <c r="CQ13" s="2215" t="n">
        <f aca="false">CQ14*CV13/CV14</f>
        <v>1.59958703127559</v>
      </c>
      <c r="CR13" s="2214" t="n">
        <v>0</v>
      </c>
      <c r="CU13" s="485" t="n">
        <v>0</v>
      </c>
      <c r="CV13" s="2017" t="n">
        <v>1.567</v>
      </c>
      <c r="CW13" s="2217" t="n">
        <v>0</v>
      </c>
      <c r="CX13" s="2217"/>
      <c r="CY13" s="2019" t="n">
        <f aca="false">CZ13+DA13</f>
        <v>0</v>
      </c>
      <c r="CZ13" s="2017" t="n">
        <v>0</v>
      </c>
      <c r="DA13" s="2017" t="n">
        <v>0</v>
      </c>
      <c r="DB13" s="2217"/>
      <c r="DC13" s="2218"/>
    </row>
    <row r="14" customFormat="false" ht="12" hidden="false" customHeight="false" outlineLevel="0" collapsed="false">
      <c r="A14" s="31" t="n">
        <v>1851</v>
      </c>
      <c r="B14" s="1994" t="n">
        <f aca="false">H14</f>
        <v>6.431</v>
      </c>
      <c r="C14" s="395" t="n">
        <v>10.568</v>
      </c>
      <c r="D14" s="31"/>
      <c r="E14" s="31"/>
      <c r="F14" s="2219" t="n">
        <v>0.364810449385788</v>
      </c>
      <c r="G14" s="2202" t="n">
        <f aca="false">B14-F14</f>
        <v>6.06618955061421</v>
      </c>
      <c r="H14" s="2000" t="n">
        <f aca="false">I14+J14+O14+Q14+T14</f>
        <v>6.431</v>
      </c>
      <c r="I14" s="1997" t="n">
        <v>5.454</v>
      </c>
      <c r="J14" s="1997" t="n">
        <v>0.407</v>
      </c>
      <c r="K14" s="1997"/>
      <c r="L14" s="1997"/>
      <c r="M14" s="514"/>
      <c r="N14" s="1997"/>
      <c r="O14" s="1997" t="n">
        <v>0.57</v>
      </c>
      <c r="P14" s="1997" t="n">
        <v>0.386595</v>
      </c>
      <c r="Q14" s="1997" t="n">
        <f aca="false">V14-T14</f>
        <v>0</v>
      </c>
      <c r="R14" s="1997"/>
      <c r="S14" s="1997"/>
      <c r="T14" s="1997" t="n">
        <v>0</v>
      </c>
      <c r="U14" s="1997" t="n">
        <v>0</v>
      </c>
      <c r="V14" s="2203" t="n">
        <v>0</v>
      </c>
      <c r="W14" s="384" t="n">
        <f aca="false">X14+AD14</f>
        <v>5.357</v>
      </c>
      <c r="X14" s="2204" t="n">
        <f aca="false">Y14+Z14+AA14+AB14</f>
        <v>0.665</v>
      </c>
      <c r="Y14" s="2008" t="n">
        <v>0.458</v>
      </c>
      <c r="Z14" s="2008" t="n">
        <v>0.229</v>
      </c>
      <c r="AA14" s="2008" t="n">
        <v>-0.022</v>
      </c>
      <c r="AB14" s="2205" t="n">
        <v>0</v>
      </c>
      <c r="AC14" s="384" t="n">
        <v>0.061</v>
      </c>
      <c r="AD14" s="2204" t="n">
        <f aca="false">AE14+AF14</f>
        <v>4.692</v>
      </c>
      <c r="AE14" s="2008" t="n">
        <v>2.62</v>
      </c>
      <c r="AF14" s="2023" t="n">
        <v>2.072</v>
      </c>
      <c r="AG14" s="2206"/>
      <c r="AH14" s="387"/>
      <c r="AI14" s="1999"/>
      <c r="AJ14" s="2009" t="n">
        <v>2.05</v>
      </c>
      <c r="AK14" s="2207" t="e">
        <f aca="false">NA()</f>
        <v>#N/A</v>
      </c>
      <c r="AL14" s="2207"/>
      <c r="AM14" s="2207"/>
      <c r="AN14" s="2208" t="n">
        <v>0.383</v>
      </c>
      <c r="AO14" s="2023" t="n">
        <v>0.089</v>
      </c>
      <c r="AP14" s="2023" t="n">
        <v>0.059</v>
      </c>
      <c r="AQ14" s="2023" t="n">
        <v>0</v>
      </c>
      <c r="AR14" s="2023" t="n">
        <v>0.106</v>
      </c>
      <c r="AS14" s="2023" t="n">
        <f aca="false">AN14+AO14-AP14-AC14+AQ14+AR14</f>
        <v>0.458</v>
      </c>
      <c r="AT14" s="2023" t="n">
        <v>0.048</v>
      </c>
      <c r="AU14" s="2105"/>
      <c r="AV14" s="2023"/>
      <c r="AW14" s="2000" t="n">
        <f aca="false">B14+AC14-AN14-AO14+AP14</f>
        <v>6.079</v>
      </c>
      <c r="AX14" s="1997" t="n">
        <f aca="false">V14+O14</f>
        <v>0.57</v>
      </c>
      <c r="AY14" s="514" t="n">
        <f aca="false">AX14/B14</f>
        <v>0.0886331830197481</v>
      </c>
      <c r="AZ14" s="2210"/>
      <c r="BA14" s="401"/>
      <c r="BB14" s="401" t="n">
        <v>60.9</v>
      </c>
      <c r="BC14" s="401"/>
      <c r="BD14" s="401"/>
      <c r="BE14" s="401"/>
      <c r="BF14" s="401"/>
      <c r="BG14" s="401" t="n">
        <v>60</v>
      </c>
      <c r="BH14" s="401" t="n">
        <v>60.8535200605602</v>
      </c>
      <c r="BI14" s="440" t="n">
        <v>34055</v>
      </c>
      <c r="BJ14" s="218" t="n">
        <f aca="false">BI14*(1-BN14)</f>
        <v>19246.079872372</v>
      </c>
      <c r="BK14" s="401" t="n">
        <f aca="false">BI14</f>
        <v>34055</v>
      </c>
      <c r="BL14" s="401"/>
      <c r="BM14" s="401" t="n">
        <f aca="false">BJ14</f>
        <v>19246.079872372</v>
      </c>
      <c r="BN14" s="2211" t="n">
        <f aca="false">BN15</f>
        <v>0.434853035607927</v>
      </c>
      <c r="BO14" s="218"/>
      <c r="BP14" s="218"/>
      <c r="BQ14" s="218"/>
      <c r="BR14" s="2212"/>
      <c r="BS14" s="401" t="n">
        <f aca="false">BT14+CA14+CB14-CC14</f>
        <v>54.8116856066809</v>
      </c>
      <c r="BT14" s="115" t="n">
        <f aca="false">BU14+BW14+BX14+BY14</f>
        <v>53.06</v>
      </c>
      <c r="BU14" s="115" t="n">
        <v>26.65</v>
      </c>
      <c r="BV14" s="514" t="n">
        <f aca="false">BU14/B14</f>
        <v>4.14399004820401</v>
      </c>
      <c r="BW14" s="115" t="n">
        <v>15.7</v>
      </c>
      <c r="BX14" s="115" t="n">
        <v>5.82</v>
      </c>
      <c r="BY14" s="115" t="n">
        <v>4.89</v>
      </c>
      <c r="BZ14" s="514" t="n">
        <f aca="false">BY14/B14</f>
        <v>0.76037941222205</v>
      </c>
      <c r="CA14" s="1509" t="n">
        <f aca="false">CQ14-CW14</f>
        <v>1.75168560668086</v>
      </c>
      <c r="CB14" s="2213" t="n">
        <v>0</v>
      </c>
      <c r="CC14" s="2019" t="n">
        <v>0</v>
      </c>
      <c r="CD14" s="2214" t="n">
        <v>0</v>
      </c>
      <c r="CE14" s="2215" t="n">
        <f aca="false">CB14-CC14</f>
        <v>0</v>
      </c>
      <c r="CF14" s="2215" t="n">
        <f aca="false">CB14-CC14-CD14</f>
        <v>0</v>
      </c>
      <c r="CG14" s="2024" t="n">
        <f aca="false">CH14-CQ14</f>
        <v>3.82081439331914</v>
      </c>
      <c r="CH14" s="115" t="n">
        <f aca="false">CI14+CJ14+CN14</f>
        <v>5.5725</v>
      </c>
      <c r="CI14" s="1509" t="n">
        <v>1.265</v>
      </c>
      <c r="CJ14" s="1509" t="n">
        <f aca="false">CK14*CL14*CM14</f>
        <v>0.5325</v>
      </c>
      <c r="CK14" s="1509" t="n">
        <v>1.065</v>
      </c>
      <c r="CL14" s="514" t="n">
        <f aca="false">CL$23</f>
        <v>0.5</v>
      </c>
      <c r="CM14" s="514" t="n">
        <v>1</v>
      </c>
      <c r="CN14" s="1509" t="n">
        <v>3.775</v>
      </c>
      <c r="CO14" s="2017" t="n">
        <f aca="false">CX14-CP14</f>
        <v>-1.92700728672016</v>
      </c>
      <c r="CP14" s="2017" t="n">
        <f aca="false">CQ14+9*(CQ15-CQ14)/12</f>
        <v>1.92700728672016</v>
      </c>
      <c r="CQ14" s="2215" t="n">
        <f aca="false">CQ15*CV14/CV15</f>
        <v>1.75168560668086</v>
      </c>
      <c r="CR14" s="2214" t="n">
        <v>0</v>
      </c>
      <c r="CU14" s="485" t="n">
        <v>0</v>
      </c>
      <c r="CV14" s="2017" t="n">
        <v>1.716</v>
      </c>
      <c r="CW14" s="2217" t="n">
        <v>0</v>
      </c>
      <c r="CX14" s="2019" t="n">
        <f aca="false">CY14+(CU13+9/12*(CU14-CU13))/1000</f>
        <v>0</v>
      </c>
      <c r="CY14" s="2019" t="n">
        <f aca="false">CZ14+DA14</f>
        <v>0</v>
      </c>
      <c r="CZ14" s="2017" t="n">
        <v>0</v>
      </c>
      <c r="DA14" s="2017" t="n">
        <v>0</v>
      </c>
      <c r="DB14" s="2217"/>
      <c r="DC14" s="2220" t="n">
        <f aca="false">CG14+BS14</f>
        <v>58.6325</v>
      </c>
    </row>
    <row r="15" customFormat="false" ht="12" hidden="false" customHeight="false" outlineLevel="0" collapsed="false">
      <c r="A15" s="31" t="n">
        <v>1852</v>
      </c>
      <c r="B15" s="1994" t="n">
        <f aca="false">H15</f>
        <v>7.289</v>
      </c>
      <c r="C15" s="395" t="n">
        <v>11.121</v>
      </c>
      <c r="D15" s="31"/>
      <c r="E15" s="31"/>
      <c r="F15" s="2219" t="n">
        <v>0.352104029605263</v>
      </c>
      <c r="G15" s="2202" t="n">
        <f aca="false">B15-F15</f>
        <v>6.93689597039474</v>
      </c>
      <c r="H15" s="2000" t="n">
        <f aca="false">I15+J15+O15+Q15+T15</f>
        <v>7.289</v>
      </c>
      <c r="I15" s="1997" t="n">
        <v>5.889</v>
      </c>
      <c r="J15" s="1997" t="n">
        <v>0.41</v>
      </c>
      <c r="K15" s="1997"/>
      <c r="L15" s="1997"/>
      <c r="M15" s="514"/>
      <c r="N15" s="1997"/>
      <c r="O15" s="1997" t="n">
        <v>0.99</v>
      </c>
      <c r="P15" s="1997" t="n">
        <v>0.139446</v>
      </c>
      <c r="Q15" s="1997" t="n">
        <f aca="false">V15-T15</f>
        <v>0</v>
      </c>
      <c r="R15" s="1997"/>
      <c r="S15" s="1997"/>
      <c r="T15" s="1997" t="n">
        <v>0</v>
      </c>
      <c r="U15" s="1997" t="n">
        <v>0</v>
      </c>
      <c r="V15" s="2203" t="n">
        <v>0</v>
      </c>
      <c r="W15" s="384" t="n">
        <f aca="false">X15+AD15</f>
        <v>5.843</v>
      </c>
      <c r="X15" s="2204" t="n">
        <f aca="false">Y15+Z15+AA15+AB15</f>
        <v>1.108</v>
      </c>
      <c r="Y15" s="2008" t="n">
        <v>0.498</v>
      </c>
      <c r="Z15" s="2008" t="n">
        <v>0.245</v>
      </c>
      <c r="AA15" s="2008" t="n">
        <v>0.365</v>
      </c>
      <c r="AB15" s="2205" t="n">
        <v>0</v>
      </c>
      <c r="AC15" s="384" t="n">
        <v>0.059</v>
      </c>
      <c r="AD15" s="2204" t="n">
        <f aca="false">AE15+AF15</f>
        <v>4.735</v>
      </c>
      <c r="AE15" s="2008" t="n">
        <v>2.62</v>
      </c>
      <c r="AF15" s="2023" t="n">
        <v>2.115</v>
      </c>
      <c r="AG15" s="2206"/>
      <c r="AH15" s="387"/>
      <c r="AI15" s="1999"/>
      <c r="AJ15" s="2009" t="n">
        <v>2.48</v>
      </c>
      <c r="AK15" s="2207" t="n">
        <v>8293</v>
      </c>
      <c r="AL15" s="2207"/>
      <c r="AM15" s="2207"/>
      <c r="AN15" s="2208" t="n">
        <v>0.398</v>
      </c>
      <c r="AO15" s="2023" t="n">
        <v>0.092</v>
      </c>
      <c r="AP15" s="2023" t="n">
        <v>0.062</v>
      </c>
      <c r="AQ15" s="2023" t="n">
        <v>0</v>
      </c>
      <c r="AR15" s="2023" t="n">
        <v>0.11</v>
      </c>
      <c r="AS15" s="2023" t="n">
        <f aca="false">AN15+AO15-AP15-AC15+AQ15+AR15</f>
        <v>0.479</v>
      </c>
      <c r="AT15" s="2023" t="n">
        <v>0.066</v>
      </c>
      <c r="AU15" s="2105"/>
      <c r="AV15" s="2023"/>
      <c r="AW15" s="2000" t="n">
        <f aca="false">B15+AC15-AN15-AO15+AP15</f>
        <v>6.92</v>
      </c>
      <c r="AX15" s="1997" t="n">
        <f aca="false">V15+O15</f>
        <v>0.99</v>
      </c>
      <c r="AY15" s="514" t="n">
        <f aca="false">AX15/B15</f>
        <v>0.135821100288105</v>
      </c>
      <c r="AZ15" s="2210"/>
      <c r="BA15" s="401"/>
      <c r="BB15" s="401" t="n">
        <v>65.5</v>
      </c>
      <c r="BC15" s="401"/>
      <c r="BD15" s="401"/>
      <c r="BE15" s="401"/>
      <c r="BF15" s="401"/>
      <c r="BG15" s="401" t="n">
        <v>64.9</v>
      </c>
      <c r="BH15" s="401" t="n">
        <v>65.6056110062045</v>
      </c>
      <c r="BI15" s="440" t="n">
        <v>34290</v>
      </c>
      <c r="BJ15" s="218" t="n">
        <f aca="false">BI15*(1-BN15)</f>
        <v>19378.8894090042</v>
      </c>
      <c r="BK15" s="401" t="n">
        <f aca="false">BI15</f>
        <v>34290</v>
      </c>
      <c r="BL15" s="401"/>
      <c r="BM15" s="401" t="n">
        <f aca="false">BJ15</f>
        <v>19378.8894090042</v>
      </c>
      <c r="BN15" s="2211" t="n">
        <f aca="false">BN16</f>
        <v>0.434853035607927</v>
      </c>
      <c r="BO15" s="218" t="n">
        <v>15028</v>
      </c>
      <c r="BP15" s="218"/>
      <c r="BQ15" s="218"/>
      <c r="BR15" s="2212"/>
      <c r="BS15" s="401" t="n">
        <f aca="false">BT15+CA15+CB15-CC15</f>
        <v>56.5104478467333</v>
      </c>
      <c r="BT15" s="115" t="n">
        <f aca="false">BU15+BW15+BX15+BY15</f>
        <v>54.525</v>
      </c>
      <c r="BU15" s="115" t="n">
        <v>27.05</v>
      </c>
      <c r="BV15" s="514" t="n">
        <f aca="false">BU15/B15</f>
        <v>3.71107147756894</v>
      </c>
      <c r="BW15" s="115" t="n">
        <v>16.2</v>
      </c>
      <c r="BX15" s="115" t="n">
        <v>6.01</v>
      </c>
      <c r="BY15" s="115" t="n">
        <v>5.265</v>
      </c>
      <c r="BZ15" s="514" t="n">
        <f aca="false">BY15/B15</f>
        <v>0.722321306077651</v>
      </c>
      <c r="CA15" s="1509" t="n">
        <f aca="false">CQ15-CW15</f>
        <v>1.98544784673326</v>
      </c>
      <c r="CB15" s="2213" t="n">
        <v>0</v>
      </c>
      <c r="CC15" s="2019" t="n">
        <v>0</v>
      </c>
      <c r="CD15" s="2214" t="n">
        <v>0</v>
      </c>
      <c r="CE15" s="2215" t="n">
        <f aca="false">CB15-CC15</f>
        <v>0</v>
      </c>
      <c r="CF15" s="2215" t="n">
        <f aca="false">CB15-CC15-CD15</f>
        <v>0</v>
      </c>
      <c r="CG15" s="2024" t="n">
        <f aca="false">CH15-CQ15</f>
        <v>3.86955215326674</v>
      </c>
      <c r="CH15" s="115" t="n">
        <f aca="false">CI15+CJ15+CN15</f>
        <v>5.855</v>
      </c>
      <c r="CI15" s="1509" t="n">
        <v>1.33</v>
      </c>
      <c r="CJ15" s="1509" t="n">
        <f aca="false">CK15*CL15*CM15</f>
        <v>0.61</v>
      </c>
      <c r="CK15" s="1509" t="n">
        <v>1.22</v>
      </c>
      <c r="CL15" s="514" t="n">
        <f aca="false">CL$23</f>
        <v>0.5</v>
      </c>
      <c r="CM15" s="514" t="n">
        <v>1</v>
      </c>
      <c r="CN15" s="1509" t="n">
        <v>3.915</v>
      </c>
      <c r="CO15" s="2017" t="n">
        <f aca="false">CX15-CP15</f>
        <v>-2.01300933355166</v>
      </c>
      <c r="CP15" s="2017" t="n">
        <f aca="false">CQ15+9*(CQ16-CQ15)/12</f>
        <v>2.01300933355166</v>
      </c>
      <c r="CQ15" s="2215" t="n">
        <f aca="false">CQ16*CV15/CV16</f>
        <v>1.98544784673326</v>
      </c>
      <c r="CR15" s="2214" t="n">
        <v>0</v>
      </c>
      <c r="CU15" s="485" t="n">
        <v>0</v>
      </c>
      <c r="CV15" s="2017" t="n">
        <v>1.945</v>
      </c>
      <c r="CW15" s="2217" t="n">
        <v>0</v>
      </c>
      <c r="CX15" s="2019" t="n">
        <f aca="false">CY15+(CU14+9/12*(CU15-CU14))/1000</f>
        <v>0</v>
      </c>
      <c r="CY15" s="2019" t="n">
        <f aca="false">CZ15+DA15</f>
        <v>0</v>
      </c>
      <c r="CZ15" s="2017" t="n">
        <v>0</v>
      </c>
      <c r="DA15" s="2017" t="n">
        <v>0</v>
      </c>
      <c r="DB15" s="2217"/>
      <c r="DC15" s="2220" t="n">
        <f aca="false">CG15+BS15</f>
        <v>60.38</v>
      </c>
    </row>
    <row r="16" customFormat="false" ht="12" hidden="false" customHeight="false" outlineLevel="0" collapsed="false">
      <c r="A16" s="31" t="n">
        <v>1853</v>
      </c>
      <c r="B16" s="1994" t="n">
        <f aca="false">H16</f>
        <v>7.196</v>
      </c>
      <c r="C16" s="395" t="n">
        <v>10.63</v>
      </c>
      <c r="D16" s="31"/>
      <c r="E16" s="31"/>
      <c r="F16" s="2219" t="n">
        <v>0.354875504242593</v>
      </c>
      <c r="G16" s="2202" t="n">
        <f aca="false">B16-F16</f>
        <v>6.84112449575741</v>
      </c>
      <c r="H16" s="2000" t="n">
        <f aca="false">I16+J16+O16+Q16+T16</f>
        <v>7.196</v>
      </c>
      <c r="I16" s="1997" t="n">
        <v>6.312</v>
      </c>
      <c r="J16" s="1997" t="n">
        <v>0.414</v>
      </c>
      <c r="K16" s="1997"/>
      <c r="L16" s="1997"/>
      <c r="M16" s="514"/>
      <c r="N16" s="1997"/>
      <c r="O16" s="1997" t="n">
        <v>0.47</v>
      </c>
      <c r="P16" s="1997" t="n">
        <v>0.079083</v>
      </c>
      <c r="Q16" s="1997" t="n">
        <f aca="false">V16-T16</f>
        <v>0</v>
      </c>
      <c r="R16" s="1997"/>
      <c r="S16" s="1997"/>
      <c r="T16" s="1997" t="n">
        <v>0</v>
      </c>
      <c r="U16" s="1997" t="n">
        <v>0</v>
      </c>
      <c r="V16" s="2203" t="n">
        <v>0</v>
      </c>
      <c r="W16" s="384" t="n">
        <f aca="false">X16+AD16</f>
        <v>6.178</v>
      </c>
      <c r="X16" s="2204" t="n">
        <f aca="false">Y16+Z16+AA16+AB16</f>
        <v>1.266</v>
      </c>
      <c r="Y16" s="2008" t="n">
        <v>0.603</v>
      </c>
      <c r="Z16" s="2008" t="n">
        <v>0.258</v>
      </c>
      <c r="AA16" s="2008" t="n">
        <v>0.405</v>
      </c>
      <c r="AB16" s="2205" t="n">
        <v>0</v>
      </c>
      <c r="AC16" s="384" t="n">
        <v>0.07</v>
      </c>
      <c r="AD16" s="2204" t="n">
        <f aca="false">AE16+AF16</f>
        <v>4.912</v>
      </c>
      <c r="AE16" s="2008" t="n">
        <v>2.757</v>
      </c>
      <c r="AF16" s="2023" t="n">
        <v>2.155</v>
      </c>
      <c r="AG16" s="2206"/>
      <c r="AH16" s="387"/>
      <c r="AI16" s="1999"/>
      <c r="AJ16" s="2009" t="n">
        <v>2.56</v>
      </c>
      <c r="AK16" s="2207" t="e">
        <f aca="false">NA()</f>
        <v>#N/A</v>
      </c>
      <c r="AL16" s="2207"/>
      <c r="AM16" s="2207"/>
      <c r="AN16" s="2208" t="n">
        <v>0.41</v>
      </c>
      <c r="AO16" s="2023" t="n">
        <v>0.094</v>
      </c>
      <c r="AP16" s="2023" t="n">
        <v>0.063</v>
      </c>
      <c r="AQ16" s="2023" t="n">
        <v>0</v>
      </c>
      <c r="AR16" s="2023" t="n">
        <v>0.112</v>
      </c>
      <c r="AS16" s="2023" t="n">
        <f aca="false">AN16+AO16-AP16-AC16+AQ16+AR16</f>
        <v>0.483</v>
      </c>
      <c r="AT16" s="2023" t="n">
        <v>0.066</v>
      </c>
      <c r="AU16" s="2105"/>
      <c r="AV16" s="2023"/>
      <c r="AW16" s="2000" t="n">
        <f aca="false">B16+AC16-AN16-AO16+AP16</f>
        <v>6.825</v>
      </c>
      <c r="AX16" s="1997" t="n">
        <f aca="false">V16+O16</f>
        <v>0.47</v>
      </c>
      <c r="AY16" s="514" t="n">
        <f aca="false">AX16/B16</f>
        <v>0.0653140633685381</v>
      </c>
      <c r="AZ16" s="2210"/>
      <c r="BA16" s="401"/>
      <c r="BB16" s="401" t="n">
        <v>67.6</v>
      </c>
      <c r="BC16" s="401"/>
      <c r="BD16" s="401"/>
      <c r="BE16" s="401"/>
      <c r="BF16" s="401"/>
      <c r="BG16" s="401" t="n">
        <v>68</v>
      </c>
      <c r="BH16" s="401" t="n">
        <v>67.6293508936971</v>
      </c>
      <c r="BI16" s="440" t="n">
        <v>34422</v>
      </c>
      <c r="BJ16" s="218" t="n">
        <f aca="false">BI16*(1-BN16)</f>
        <v>19453.4888083039</v>
      </c>
      <c r="BK16" s="401" t="n">
        <f aca="false">BI16</f>
        <v>34422</v>
      </c>
      <c r="BL16" s="401"/>
      <c r="BM16" s="401" t="n">
        <f aca="false">BJ16</f>
        <v>19453.4888083039</v>
      </c>
      <c r="BN16" s="2211" t="n">
        <f aca="false">BN17</f>
        <v>0.434853035607927</v>
      </c>
      <c r="BO16" s="2221" t="n">
        <f aca="false">BO15+(BO$18-BO$15)/3</f>
        <v>15084.6666666667</v>
      </c>
      <c r="BP16" s="218"/>
      <c r="BQ16" s="218"/>
      <c r="BR16" s="2212"/>
      <c r="BS16" s="401" t="n">
        <f aca="false">BT16+CA16+CB16-CC16</f>
        <v>60.1021964958245</v>
      </c>
      <c r="BT16" s="115" t="n">
        <f aca="false">BU16+BW16+BX16+BY16</f>
        <v>58.08</v>
      </c>
      <c r="BU16" s="115" t="n">
        <v>27.7</v>
      </c>
      <c r="BV16" s="514" t="n">
        <f aca="false">BU16/B16</f>
        <v>3.84936075597554</v>
      </c>
      <c r="BW16" s="115" t="n">
        <v>17.7</v>
      </c>
      <c r="BX16" s="115" t="n">
        <v>6.93</v>
      </c>
      <c r="BY16" s="115" t="n">
        <v>5.75</v>
      </c>
      <c r="BZ16" s="514" t="n">
        <f aca="false">BY16/B16</f>
        <v>0.79905503057254</v>
      </c>
      <c r="CA16" s="1509" t="n">
        <f aca="false">CQ16-CW16</f>
        <v>2.02219649582446</v>
      </c>
      <c r="CB16" s="2213" t="n">
        <v>0</v>
      </c>
      <c r="CC16" s="2019" t="n">
        <v>0</v>
      </c>
      <c r="CD16" s="2214" t="n">
        <v>0</v>
      </c>
      <c r="CE16" s="2215" t="n">
        <f aca="false">CB16-CC16</f>
        <v>0</v>
      </c>
      <c r="CF16" s="2215" t="n">
        <f aca="false">CB16-CC16-CD16</f>
        <v>0</v>
      </c>
      <c r="CG16" s="2024" t="n">
        <f aca="false">CH16-CQ16</f>
        <v>4.17530350417554</v>
      </c>
      <c r="CH16" s="115" t="n">
        <f aca="false">CI16+CJ16+CN16</f>
        <v>6.1975</v>
      </c>
      <c r="CI16" s="1509" t="n">
        <v>1.405</v>
      </c>
      <c r="CJ16" s="1509" t="n">
        <f aca="false">CK16*CL16*CM16</f>
        <v>0.6825</v>
      </c>
      <c r="CK16" s="1509" t="n">
        <v>1.365</v>
      </c>
      <c r="CL16" s="514" t="n">
        <f aca="false">CL$23</f>
        <v>0.5</v>
      </c>
      <c r="CM16" s="514" t="n">
        <v>1</v>
      </c>
      <c r="CN16" s="1509" t="n">
        <v>4.11</v>
      </c>
      <c r="CO16" s="2017" t="n">
        <f aca="false">CX16-CP16</f>
        <v>-2.08038185688554</v>
      </c>
      <c r="CP16" s="2017" t="n">
        <f aca="false">CQ16+9*(CQ17-CQ16)/12</f>
        <v>2.08038185688554</v>
      </c>
      <c r="CQ16" s="2215" t="n">
        <f aca="false">CQ17*CV16/CV17</f>
        <v>2.02219649582446</v>
      </c>
      <c r="CR16" s="2214" t="n">
        <v>0</v>
      </c>
      <c r="CU16" s="485" t="n">
        <v>0</v>
      </c>
      <c r="CV16" s="2017" t="n">
        <v>1.981</v>
      </c>
      <c r="CW16" s="2217" t="n">
        <v>0</v>
      </c>
      <c r="CX16" s="2019" t="n">
        <f aca="false">CY16+(CU15+9/12*(CU16-CU15))/1000</f>
        <v>0</v>
      </c>
      <c r="CY16" s="2019" t="n">
        <f aca="false">CZ16+DA16</f>
        <v>0</v>
      </c>
      <c r="CZ16" s="2017" t="n">
        <v>0</v>
      </c>
      <c r="DA16" s="2017" t="n">
        <v>0</v>
      </c>
      <c r="DB16" s="2217"/>
      <c r="DC16" s="2220" t="n">
        <f aca="false">CG16+BS16</f>
        <v>64.2775</v>
      </c>
    </row>
    <row r="17" customFormat="false" ht="12" hidden="false" customHeight="false" outlineLevel="0" collapsed="false">
      <c r="A17" s="31" t="n">
        <v>1854</v>
      </c>
      <c r="B17" s="1994" t="n">
        <f aca="false">H17</f>
        <v>8.203</v>
      </c>
      <c r="C17" s="395" t="n">
        <v>10.961</v>
      </c>
      <c r="D17" s="31"/>
      <c r="E17" s="31"/>
      <c r="F17" s="2219" t="n">
        <v>0.334054614165549</v>
      </c>
      <c r="G17" s="2202" t="n">
        <f aca="false">B17-F17</f>
        <v>7.86894538583445</v>
      </c>
      <c r="H17" s="2000" t="n">
        <f aca="false">I17+J17+O17+Q17+T17</f>
        <v>8.203</v>
      </c>
      <c r="I17" s="1997" t="n">
        <v>6.865</v>
      </c>
      <c r="J17" s="1997" t="n">
        <v>0.418</v>
      </c>
      <c r="K17" s="1997"/>
      <c r="L17" s="1997"/>
      <c r="M17" s="514"/>
      <c r="N17" s="1997"/>
      <c r="O17" s="1997" t="n">
        <v>0.92</v>
      </c>
      <c r="P17" s="1997" t="n">
        <v>0.292179</v>
      </c>
      <c r="Q17" s="1997" t="n">
        <f aca="false">V17-T17</f>
        <v>0</v>
      </c>
      <c r="R17" s="1997"/>
      <c r="S17" s="1997"/>
      <c r="T17" s="1997" t="n">
        <v>0</v>
      </c>
      <c r="U17" s="1997" t="n">
        <v>0</v>
      </c>
      <c r="V17" s="2203" t="n">
        <v>0</v>
      </c>
      <c r="W17" s="384" t="n">
        <f aca="false">X17+AD17</f>
        <v>6.997</v>
      </c>
      <c r="X17" s="2204" t="n">
        <f aca="false">Y17+Z17+AA17+AB17</f>
        <v>1.859</v>
      </c>
      <c r="Y17" s="2008" t="n">
        <v>0.674</v>
      </c>
      <c r="Z17" s="2008" t="n">
        <v>0.261</v>
      </c>
      <c r="AA17" s="2008" t="n">
        <v>0.924</v>
      </c>
      <c r="AB17" s="2205" t="n">
        <v>0</v>
      </c>
      <c r="AC17" s="384" t="n">
        <v>0.069</v>
      </c>
      <c r="AD17" s="2204" t="n">
        <f aca="false">AE17+AF17</f>
        <v>5.138</v>
      </c>
      <c r="AE17" s="2008" t="n">
        <v>2.958</v>
      </c>
      <c r="AF17" s="2023" t="n">
        <v>2.18</v>
      </c>
      <c r="AG17" s="2206"/>
      <c r="AH17" s="387"/>
      <c r="AI17" s="1999"/>
      <c r="AJ17" s="2009" t="n">
        <v>3.101</v>
      </c>
      <c r="AK17" s="2207" t="e">
        <f aca="false">NA()</f>
        <v>#N/A</v>
      </c>
      <c r="AL17" s="2207"/>
      <c r="AM17" s="2207"/>
      <c r="AN17" s="2208" t="n">
        <v>0.425</v>
      </c>
      <c r="AO17" s="2023" t="n">
        <v>0.097</v>
      </c>
      <c r="AP17" s="2023" t="n">
        <v>0.065</v>
      </c>
      <c r="AQ17" s="2023" t="n">
        <v>0</v>
      </c>
      <c r="AR17" s="2023" t="n">
        <v>0.128</v>
      </c>
      <c r="AS17" s="2023" t="n">
        <f aca="false">AN17+AO17-AP17-AC17+AQ17+AR17</f>
        <v>0.516</v>
      </c>
      <c r="AT17" s="2023" t="n">
        <v>0.095</v>
      </c>
      <c r="AU17" s="2105"/>
      <c r="AV17" s="2023"/>
      <c r="AW17" s="2000" t="n">
        <f aca="false">B17+AC17-AN17-AO17+AP17</f>
        <v>7.815</v>
      </c>
      <c r="AX17" s="1997" t="n">
        <f aca="false">V17+O17</f>
        <v>0.92</v>
      </c>
      <c r="AY17" s="514" t="n">
        <f aca="false">AX17/B17</f>
        <v>0.112154089967085</v>
      </c>
      <c r="AZ17" s="2210"/>
      <c r="BA17" s="401"/>
      <c r="BB17" s="401" t="n">
        <v>74.9</v>
      </c>
      <c r="BC17" s="401"/>
      <c r="BD17" s="401"/>
      <c r="BE17" s="401"/>
      <c r="BF17" s="401"/>
      <c r="BG17" s="401" t="n">
        <v>74.1</v>
      </c>
      <c r="BH17" s="401" t="n">
        <v>74.8380622206003</v>
      </c>
      <c r="BI17" s="440" t="n">
        <v>34531</v>
      </c>
      <c r="BJ17" s="218" t="n">
        <f aca="false">BI17*(1-BN17)</f>
        <v>19515.0898274227</v>
      </c>
      <c r="BK17" s="401" t="n">
        <f aca="false">BI17</f>
        <v>34531</v>
      </c>
      <c r="BL17" s="401"/>
      <c r="BM17" s="401" t="n">
        <f aca="false">BJ17</f>
        <v>19515.0898274227</v>
      </c>
      <c r="BN17" s="2211" t="n">
        <f aca="false">BN18</f>
        <v>0.434853035607927</v>
      </c>
      <c r="BO17" s="2221" t="n">
        <f aca="false">BO16+(BO$18-BO$15)/3</f>
        <v>15141.3333333333</v>
      </c>
      <c r="BP17" s="218"/>
      <c r="BQ17" s="218"/>
      <c r="BR17" s="2212"/>
      <c r="BS17" s="401" t="n">
        <f aca="false">BT17+CA17+CB17-CC17</f>
        <v>64.2397769772392</v>
      </c>
      <c r="BT17" s="115" t="n">
        <f aca="false">BU17+BW17+BX17+BY17</f>
        <v>62.14</v>
      </c>
      <c r="BU17" s="115" t="n">
        <v>28.5</v>
      </c>
      <c r="BV17" s="514" t="n">
        <f aca="false">BU17/B17</f>
        <v>3.47433865658905</v>
      </c>
      <c r="BW17" s="115" t="n">
        <v>19.4</v>
      </c>
      <c r="BX17" s="115" t="n">
        <v>8.085</v>
      </c>
      <c r="BY17" s="115" t="n">
        <v>6.155</v>
      </c>
      <c r="BZ17" s="514" t="n">
        <f aca="false">BY17/B17</f>
        <v>0.750335243203706</v>
      </c>
      <c r="CA17" s="1509" t="n">
        <f aca="false">CQ17-CW17</f>
        <v>2.09977697723923</v>
      </c>
      <c r="CB17" s="2213" t="n">
        <v>0</v>
      </c>
      <c r="CC17" s="2019" t="n">
        <v>0</v>
      </c>
      <c r="CD17" s="2214" t="n">
        <v>0</v>
      </c>
      <c r="CE17" s="2215" t="n">
        <f aca="false">CB17-CC17</f>
        <v>0</v>
      </c>
      <c r="CF17" s="2215" t="n">
        <f aca="false">CB17-CC17-CD17</f>
        <v>0</v>
      </c>
      <c r="CG17" s="2024" t="n">
        <f aca="false">CH17-CQ17</f>
        <v>4.50772302276077</v>
      </c>
      <c r="CH17" s="115" t="n">
        <f aca="false">CI17+CJ17+CN17</f>
        <v>6.6075</v>
      </c>
      <c r="CI17" s="1509" t="n">
        <v>1.495</v>
      </c>
      <c r="CJ17" s="1509" t="n">
        <f aca="false">CK17*CL17*CM17</f>
        <v>0.8025</v>
      </c>
      <c r="CK17" s="1509" t="n">
        <v>1.605</v>
      </c>
      <c r="CL17" s="514" t="n">
        <f aca="false">CL$23</f>
        <v>0.5</v>
      </c>
      <c r="CM17" s="514" t="n">
        <v>1</v>
      </c>
      <c r="CN17" s="1509" t="n">
        <v>4.31</v>
      </c>
      <c r="CO17" s="2017" t="n">
        <f aca="false">CX17-CP17</f>
        <v>-2.21691329621746</v>
      </c>
      <c r="CP17" s="2017" t="n">
        <f aca="false">CQ17+9*(CQ18-CQ17)/12</f>
        <v>2.21691329621746</v>
      </c>
      <c r="CQ17" s="2215" t="n">
        <f aca="false">CQ18*CV17/CV18</f>
        <v>2.09977697723923</v>
      </c>
      <c r="CR17" s="2214" t="n">
        <v>0</v>
      </c>
      <c r="CU17" s="485" t="n">
        <v>0</v>
      </c>
      <c r="CV17" s="2017" t="n">
        <v>2.057</v>
      </c>
      <c r="CW17" s="2217" t="n">
        <v>0</v>
      </c>
      <c r="CX17" s="2019" t="n">
        <f aca="false">CY17+(CU16+9/12*(CU17-CU16))/1000</f>
        <v>0</v>
      </c>
      <c r="CY17" s="2019" t="n">
        <f aca="false">CZ17+DA17</f>
        <v>0</v>
      </c>
      <c r="CZ17" s="2017" t="n">
        <v>0</v>
      </c>
      <c r="DA17" s="2017" t="n">
        <v>0</v>
      </c>
      <c r="DB17" s="2217"/>
      <c r="DC17" s="2220" t="n">
        <f aca="false">CG17+BS17</f>
        <v>68.7475</v>
      </c>
    </row>
    <row r="18" customFormat="false" ht="12" hidden="false" customHeight="false" outlineLevel="0" collapsed="false">
      <c r="A18" s="31" t="n">
        <v>1855</v>
      </c>
      <c r="B18" s="1994" t="n">
        <f aca="false">H18</f>
        <v>7.882</v>
      </c>
      <c r="C18" s="395" t="n">
        <v>10.316</v>
      </c>
      <c r="D18" s="31"/>
      <c r="E18" s="31"/>
      <c r="F18" s="2219" t="n">
        <v>0.340289266683583</v>
      </c>
      <c r="G18" s="2202" t="n">
        <f aca="false">B18-F18</f>
        <v>7.54171073331642</v>
      </c>
      <c r="H18" s="2000" t="n">
        <f aca="false">I18+J18+O18+Q18+T18</f>
        <v>7.882</v>
      </c>
      <c r="I18" s="1997" t="n">
        <v>7.2</v>
      </c>
      <c r="J18" s="1997" t="n">
        <v>0.422</v>
      </c>
      <c r="K18" s="1997"/>
      <c r="L18" s="1997"/>
      <c r="M18" s="514"/>
      <c r="N18" s="1997"/>
      <c r="O18" s="1997" t="n">
        <v>0.26</v>
      </c>
      <c r="P18" s="1997" t="n">
        <v>0.121752</v>
      </c>
      <c r="Q18" s="1997" t="n">
        <f aca="false">V18-T18</f>
        <v>0</v>
      </c>
      <c r="R18" s="1997"/>
      <c r="S18" s="1997"/>
      <c r="T18" s="1997" t="n">
        <v>0</v>
      </c>
      <c r="U18" s="1997" t="n">
        <v>0</v>
      </c>
      <c r="V18" s="2203" t="n">
        <v>0</v>
      </c>
      <c r="W18" s="384" t="n">
        <f aca="false">X18+AD18</f>
        <v>6.821</v>
      </c>
      <c r="X18" s="2204" t="n">
        <f aca="false">Y18+Z18+AA18+AB18</f>
        <v>1.515</v>
      </c>
      <c r="Y18" s="2008" t="n">
        <v>0.696</v>
      </c>
      <c r="Z18" s="2008" t="n">
        <v>0.266</v>
      </c>
      <c r="AA18" s="2008" t="n">
        <v>0.553</v>
      </c>
      <c r="AB18" s="2205" t="n">
        <v>0</v>
      </c>
      <c r="AC18" s="384" t="n">
        <v>0.075</v>
      </c>
      <c r="AD18" s="2204" t="n">
        <f aca="false">AE18+AF18</f>
        <v>5.306</v>
      </c>
      <c r="AE18" s="2008" t="n">
        <v>3.085</v>
      </c>
      <c r="AF18" s="2023" t="n">
        <v>2.221</v>
      </c>
      <c r="AG18" s="2206"/>
      <c r="AH18" s="387"/>
      <c r="AI18" s="1999"/>
      <c r="AJ18" s="2009" t="n">
        <v>2.774</v>
      </c>
      <c r="AK18" s="2207" t="n">
        <v>8195</v>
      </c>
      <c r="AL18" s="2207" t="n">
        <v>2130</v>
      </c>
      <c r="AM18" s="2207"/>
      <c r="AN18" s="2208" t="n">
        <v>0.435</v>
      </c>
      <c r="AO18" s="2023" t="n">
        <v>0.098</v>
      </c>
      <c r="AP18" s="2023" t="n">
        <v>0.067</v>
      </c>
      <c r="AQ18" s="2023" t="n">
        <v>0</v>
      </c>
      <c r="AR18" s="2023" t="n">
        <v>0.13</v>
      </c>
      <c r="AS18" s="2023" t="n">
        <f aca="false">AN18+AO18-AP18-AC18+AQ18+AR18</f>
        <v>0.521</v>
      </c>
      <c r="AT18" s="2023" t="n">
        <v>0.095</v>
      </c>
      <c r="AU18" s="2105"/>
      <c r="AV18" s="2023"/>
      <c r="AW18" s="2000" t="n">
        <f aca="false">B18+AC18-AN18-AO18+AP18</f>
        <v>7.491</v>
      </c>
      <c r="AX18" s="1997" t="n">
        <f aca="false">V18+O18</f>
        <v>0.26</v>
      </c>
      <c r="AY18" s="514" t="n">
        <f aca="false">AX18/B18</f>
        <v>0.0329865516366405</v>
      </c>
      <c r="AZ18" s="2210"/>
      <c r="BA18" s="401"/>
      <c r="BB18" s="401" t="n">
        <v>76.3</v>
      </c>
      <c r="BC18" s="401"/>
      <c r="BD18" s="401"/>
      <c r="BE18" s="401"/>
      <c r="BF18" s="401"/>
      <c r="BG18" s="401" t="n">
        <v>78.6</v>
      </c>
      <c r="BH18" s="401" t="n">
        <v>76.4055835595192</v>
      </c>
      <c r="BI18" s="440" t="n">
        <v>34586</v>
      </c>
      <c r="BJ18" s="218" t="n">
        <f aca="false">BI18*(1-BN18)</f>
        <v>19546.1729104642</v>
      </c>
      <c r="BK18" s="401" t="n">
        <f aca="false">BI18</f>
        <v>34586</v>
      </c>
      <c r="BL18" s="401"/>
      <c r="BM18" s="401" t="n">
        <f aca="false">BJ18</f>
        <v>19546.1729104642</v>
      </c>
      <c r="BN18" s="2211" t="n">
        <f aca="false">BN19</f>
        <v>0.434853035607927</v>
      </c>
      <c r="BO18" s="218" t="n">
        <v>15198</v>
      </c>
      <c r="BP18" s="218"/>
      <c r="BQ18" s="218"/>
      <c r="BR18" s="2212"/>
      <c r="BS18" s="401" t="n">
        <f aca="false">BT18+CA18+CB18-CC18</f>
        <v>67.0959587358769</v>
      </c>
      <c r="BT18" s="115" t="n">
        <f aca="false">BU18+BW18+BX18+BY18</f>
        <v>64.84</v>
      </c>
      <c r="BU18" s="115" t="n">
        <v>29.35</v>
      </c>
      <c r="BV18" s="514" t="n">
        <f aca="false">BU18/B18</f>
        <v>3.72367419436691</v>
      </c>
      <c r="BW18" s="115" t="n">
        <v>20.45</v>
      </c>
      <c r="BX18" s="115" t="n">
        <v>8.605</v>
      </c>
      <c r="BY18" s="115" t="n">
        <v>6.435</v>
      </c>
      <c r="BZ18" s="514" t="n">
        <f aca="false">BY18/B18</f>
        <v>0.816417153006851</v>
      </c>
      <c r="CA18" s="1509" t="n">
        <f aca="false">CQ18-CW18</f>
        <v>2.25595873587686</v>
      </c>
      <c r="CB18" s="2213" t="n">
        <v>0</v>
      </c>
      <c r="CC18" s="2019" t="n">
        <v>0</v>
      </c>
      <c r="CD18" s="2214" t="n">
        <v>0</v>
      </c>
      <c r="CE18" s="2215" t="n">
        <f aca="false">CB18-CC18</f>
        <v>0</v>
      </c>
      <c r="CF18" s="2215" t="n">
        <f aca="false">CB18-CC18-CD18</f>
        <v>0</v>
      </c>
      <c r="CG18" s="2024" t="n">
        <f aca="false">CH18-CQ18</f>
        <v>4.68404126412314</v>
      </c>
      <c r="CH18" s="115" t="n">
        <f aca="false">CI18+CJ18+CN18</f>
        <v>6.94</v>
      </c>
      <c r="CI18" s="1509" t="n">
        <v>1.575</v>
      </c>
      <c r="CJ18" s="1509" t="n">
        <f aca="false">CK18*CL18*CM18</f>
        <v>0.905</v>
      </c>
      <c r="CK18" s="1509" t="n">
        <v>1.81</v>
      </c>
      <c r="CL18" s="514" t="n">
        <f aca="false">CL$23</f>
        <v>0.5</v>
      </c>
      <c r="CM18" s="514" t="n">
        <v>1</v>
      </c>
      <c r="CN18" s="1509" t="n">
        <v>4.46</v>
      </c>
      <c r="CO18" s="2017" t="n">
        <f aca="false">CX18-CP18</f>
        <v>-2.2896449975438</v>
      </c>
      <c r="CP18" s="2017" t="n">
        <f aca="false">CQ18+9*(CQ19-CQ18)/12</f>
        <v>2.2896449975438</v>
      </c>
      <c r="CQ18" s="2215" t="n">
        <f aca="false">CQ19*CV18/CV19</f>
        <v>2.25595873587686</v>
      </c>
      <c r="CR18" s="2214" t="n">
        <v>0</v>
      </c>
      <c r="CU18" s="485" t="n">
        <v>0</v>
      </c>
      <c r="CV18" s="2017" t="n">
        <v>2.21</v>
      </c>
      <c r="CW18" s="2217" t="n">
        <v>0</v>
      </c>
      <c r="CX18" s="2019" t="n">
        <f aca="false">CY18+(CU17+9/12*(CU18-CU17))/1000</f>
        <v>0</v>
      </c>
      <c r="CY18" s="2019" t="n">
        <f aca="false">CZ18+DA18</f>
        <v>0</v>
      </c>
      <c r="CZ18" s="2017" t="n">
        <v>0</v>
      </c>
      <c r="DA18" s="2017" t="n">
        <v>0</v>
      </c>
      <c r="DB18" s="2217"/>
      <c r="DC18" s="2220" t="n">
        <f aca="false">CG18+BS18</f>
        <v>71.78</v>
      </c>
    </row>
    <row r="19" customFormat="false" ht="12" hidden="false" customHeight="false" outlineLevel="0" collapsed="false">
      <c r="A19" s="31" t="n">
        <v>1856</v>
      </c>
      <c r="B19" s="1994" t="n">
        <f aca="false">H19</f>
        <v>9.139</v>
      </c>
      <c r="C19" s="395" t="n">
        <v>11.553</v>
      </c>
      <c r="D19" s="31"/>
      <c r="E19" s="31"/>
      <c r="F19" s="2219" t="n">
        <v>0.341318525002736</v>
      </c>
      <c r="G19" s="2202" t="n">
        <f aca="false">B19-F19</f>
        <v>8.79768147499726</v>
      </c>
      <c r="H19" s="2000" t="n">
        <f aca="false">I19+J19+O19+Q19+T19</f>
        <v>9.139</v>
      </c>
      <c r="I19" s="1997" t="n">
        <v>7.53</v>
      </c>
      <c r="J19" s="1997" t="n">
        <v>0.419</v>
      </c>
      <c r="K19" s="1997"/>
      <c r="L19" s="1997"/>
      <c r="M19" s="514"/>
      <c r="N19" s="1997"/>
      <c r="O19" s="1997" t="n">
        <v>1.19</v>
      </c>
      <c r="P19" s="1997" t="n">
        <v>0.206336</v>
      </c>
      <c r="Q19" s="1997" t="n">
        <f aca="false">V19-T19</f>
        <v>0</v>
      </c>
      <c r="R19" s="1997"/>
      <c r="S19" s="1997"/>
      <c r="T19" s="1997" t="n">
        <v>0</v>
      </c>
      <c r="U19" s="1997" t="n">
        <v>0</v>
      </c>
      <c r="V19" s="2203" t="n">
        <v>0</v>
      </c>
      <c r="W19" s="384" t="n">
        <f aca="false">X19+AD19</f>
        <v>7.514</v>
      </c>
      <c r="X19" s="2204" t="n">
        <f aca="false">Y19+Z19+AA19+AB19</f>
        <v>2.074</v>
      </c>
      <c r="Y19" s="2008" t="n">
        <v>0.695</v>
      </c>
      <c r="Z19" s="2008" t="n">
        <v>0.268</v>
      </c>
      <c r="AA19" s="2008" t="n">
        <v>1.111</v>
      </c>
      <c r="AB19" s="2205" t="n">
        <v>0</v>
      </c>
      <c r="AC19" s="384" t="n">
        <v>0.082</v>
      </c>
      <c r="AD19" s="2204" t="n">
        <f aca="false">AE19+AF19</f>
        <v>5.44</v>
      </c>
      <c r="AE19" s="2008" t="n">
        <v>3.176</v>
      </c>
      <c r="AF19" s="2023" t="n">
        <v>2.264</v>
      </c>
      <c r="AG19" s="2206"/>
      <c r="AH19" s="387"/>
      <c r="AI19" s="1999"/>
      <c r="AJ19" s="2009" t="n">
        <v>3.373</v>
      </c>
      <c r="AK19" s="2207" t="e">
        <f aca="false">NA()</f>
        <v>#N/A</v>
      </c>
      <c r="AL19" s="2207" t="e">
        <f aca="false">NA()</f>
        <v>#N/A</v>
      </c>
      <c r="AM19" s="2207"/>
      <c r="AN19" s="2208" t="n">
        <v>0.442</v>
      </c>
      <c r="AO19" s="2023" t="n">
        <v>0.1</v>
      </c>
      <c r="AP19" s="2023" t="n">
        <v>0.069</v>
      </c>
      <c r="AQ19" s="2023" t="n">
        <v>0</v>
      </c>
      <c r="AR19" s="2023" t="n">
        <v>0.145</v>
      </c>
      <c r="AS19" s="2023" t="n">
        <f aca="false">AN19+AO19-AP19-AC19+AQ19+AR19</f>
        <v>0.536</v>
      </c>
      <c r="AT19" s="2023" t="n">
        <v>0.113</v>
      </c>
      <c r="AU19" s="2105"/>
      <c r="AV19" s="2023"/>
      <c r="AW19" s="2000" t="n">
        <f aca="false">B19+AC19-AN19-AO19+AP19</f>
        <v>8.748</v>
      </c>
      <c r="AX19" s="1997" t="n">
        <f aca="false">V19+O19</f>
        <v>1.19</v>
      </c>
      <c r="AY19" s="514" t="n">
        <f aca="false">AX19/B19</f>
        <v>0.130211182842762</v>
      </c>
      <c r="AZ19" s="2210"/>
      <c r="BA19" s="401"/>
      <c r="BB19" s="401" t="n">
        <v>79.1</v>
      </c>
      <c r="BC19" s="401"/>
      <c r="BD19" s="401"/>
      <c r="BE19" s="401"/>
      <c r="BF19" s="401"/>
      <c r="BG19" s="401" t="n">
        <v>78.6</v>
      </c>
      <c r="BH19" s="401" t="n">
        <v>79.1049943737557</v>
      </c>
      <c r="BI19" s="440" t="n">
        <v>34715</v>
      </c>
      <c r="BJ19" s="218" t="n">
        <f aca="false">BI19*(1-BN19)</f>
        <v>19619.0768688708</v>
      </c>
      <c r="BK19" s="401" t="n">
        <f aca="false">BI19</f>
        <v>34715</v>
      </c>
      <c r="BL19" s="401"/>
      <c r="BM19" s="401" t="n">
        <f aca="false">BJ19</f>
        <v>19619.0768688708</v>
      </c>
      <c r="BN19" s="2211" t="n">
        <f aca="false">BN20</f>
        <v>0.434853035607927</v>
      </c>
      <c r="BO19" s="2221" t="n">
        <f aca="false">BO18+(BO$21-BO$18)/3</f>
        <v>15296</v>
      </c>
      <c r="BP19" s="218"/>
      <c r="BQ19" s="218"/>
      <c r="BR19" s="2212"/>
      <c r="BS19" s="401" t="n">
        <f aca="false">BT19+CA19+CB19-CC19</f>
        <v>68.6708737514328</v>
      </c>
      <c r="BT19" s="115" t="n">
        <f aca="false">BU19+BW19+BX19+BY19</f>
        <v>66.37</v>
      </c>
      <c r="BU19" s="115" t="n">
        <v>30.25</v>
      </c>
      <c r="BV19" s="514" t="n">
        <f aca="false">BU19/B19</f>
        <v>3.30999015209542</v>
      </c>
      <c r="BW19" s="115" t="n">
        <v>20.9</v>
      </c>
      <c r="BX19" s="115" t="n">
        <v>8.595</v>
      </c>
      <c r="BY19" s="115" t="n">
        <v>6.625</v>
      </c>
      <c r="BZ19" s="514" t="n">
        <f aca="false">BY19/B19</f>
        <v>0.724915198599409</v>
      </c>
      <c r="CA19" s="1509" t="n">
        <f aca="false">CQ19-CW19</f>
        <v>2.30087375143278</v>
      </c>
      <c r="CB19" s="2213" t="n">
        <v>0</v>
      </c>
      <c r="CC19" s="2019" t="n">
        <v>0</v>
      </c>
      <c r="CD19" s="2214" t="n">
        <v>0</v>
      </c>
      <c r="CE19" s="2215" t="n">
        <f aca="false">CB19-CC19</f>
        <v>0</v>
      </c>
      <c r="CF19" s="2215" t="n">
        <f aca="false">CB19-CC19-CD19</f>
        <v>0</v>
      </c>
      <c r="CG19" s="2024" t="n">
        <f aca="false">CH19-CQ19</f>
        <v>4.80912624856722</v>
      </c>
      <c r="CH19" s="115" t="n">
        <f aca="false">CI19+CJ19+CN19</f>
        <v>7.11</v>
      </c>
      <c r="CI19" s="1509" t="n">
        <v>1.635</v>
      </c>
      <c r="CJ19" s="1509" t="n">
        <f aca="false">CK19*CL19*CM19</f>
        <v>0.945</v>
      </c>
      <c r="CK19" s="1509" t="n">
        <v>1.89</v>
      </c>
      <c r="CL19" s="514" t="n">
        <f aca="false">CL$23</f>
        <v>0.5</v>
      </c>
      <c r="CM19" s="514" t="n">
        <v>1</v>
      </c>
      <c r="CN19" s="1509" t="n">
        <v>4.53</v>
      </c>
      <c r="CO19" s="2017" t="n">
        <f aca="false">CX19-CP19</f>
        <v>-2.31159210741772</v>
      </c>
      <c r="CP19" s="2017" t="n">
        <f aca="false">CQ19+9*(CQ20-CQ19)/12</f>
        <v>2.31159210741772</v>
      </c>
      <c r="CQ19" s="2215" t="n">
        <f aca="false">CQ20*CV19/CV20</f>
        <v>2.30087375143278</v>
      </c>
      <c r="CR19" s="2214" t="n">
        <v>0</v>
      </c>
      <c r="CU19" s="485" t="n">
        <v>0</v>
      </c>
      <c r="CV19" s="2017" t="n">
        <v>2.254</v>
      </c>
      <c r="CW19" s="2217" t="n">
        <v>0</v>
      </c>
      <c r="CX19" s="2019" t="n">
        <f aca="false">CY19+(CU18+9/12*(CU19-CU18))/1000</f>
        <v>0</v>
      </c>
      <c r="CY19" s="2019" t="n">
        <f aca="false">CZ19+DA19</f>
        <v>0</v>
      </c>
      <c r="CZ19" s="2017" t="n">
        <v>0</v>
      </c>
      <c r="DA19" s="2017" t="n">
        <v>0</v>
      </c>
      <c r="DB19" s="2217"/>
      <c r="DC19" s="2220" t="n">
        <f aca="false">CG19+BS19</f>
        <v>73.48</v>
      </c>
    </row>
    <row r="20" customFormat="false" ht="12" hidden="false" customHeight="false" outlineLevel="0" collapsed="false">
      <c r="A20" s="31" t="n">
        <v>1857</v>
      </c>
      <c r="B20" s="1994" t="n">
        <f aca="false">H20</f>
        <v>8.581</v>
      </c>
      <c r="C20" s="395" t="n">
        <v>11.845</v>
      </c>
      <c r="D20" s="31"/>
      <c r="E20" s="31"/>
      <c r="F20" s="2219" t="n">
        <v>0.387885444586878</v>
      </c>
      <c r="G20" s="2202" t="n">
        <f aca="false">B20-F20</f>
        <v>8.19311455541312</v>
      </c>
      <c r="H20" s="2000" t="n">
        <f aca="false">I20+J20+O20+Q20+T20</f>
        <v>8.581</v>
      </c>
      <c r="I20" s="1997" t="n">
        <v>7.596</v>
      </c>
      <c r="J20" s="1997" t="n">
        <v>0.425</v>
      </c>
      <c r="K20" s="1997"/>
      <c r="L20" s="1997"/>
      <c r="M20" s="514"/>
      <c r="N20" s="1997"/>
      <c r="O20" s="1997" t="n">
        <v>0.56</v>
      </c>
      <c r="P20" s="1997" t="n">
        <v>0.072512</v>
      </c>
      <c r="Q20" s="1997" t="n">
        <f aca="false">V20-T20</f>
        <v>0</v>
      </c>
      <c r="R20" s="1997"/>
      <c r="S20" s="1997"/>
      <c r="T20" s="1997" t="n">
        <v>0</v>
      </c>
      <c r="U20" s="1997" t="n">
        <v>0</v>
      </c>
      <c r="V20" s="2203" t="n">
        <v>0</v>
      </c>
      <c r="W20" s="384" t="n">
        <f aca="false">X20+AD20</f>
        <v>7.382</v>
      </c>
      <c r="X20" s="2204" t="n">
        <f aca="false">Y20+Z20+AA20+AB20</f>
        <v>1.754</v>
      </c>
      <c r="Y20" s="2008" t="n">
        <v>0.721</v>
      </c>
      <c r="Z20" s="2008" t="n">
        <v>0.273</v>
      </c>
      <c r="AA20" s="2008" t="n">
        <v>0.76</v>
      </c>
      <c r="AB20" s="2205" t="n">
        <v>0</v>
      </c>
      <c r="AC20" s="384" t="n">
        <v>0.085</v>
      </c>
      <c r="AD20" s="2204" t="n">
        <f aca="false">AE20+AF20</f>
        <v>5.628</v>
      </c>
      <c r="AE20" s="2008" t="n">
        <v>3.317</v>
      </c>
      <c r="AF20" s="2023" t="n">
        <v>2.311</v>
      </c>
      <c r="AG20" s="2206"/>
      <c r="AH20" s="387"/>
      <c r="AI20" s="1999"/>
      <c r="AJ20" s="2009" t="n">
        <v>3.071</v>
      </c>
      <c r="AK20" s="2207" t="e">
        <f aca="false">NA()</f>
        <v>#N/A</v>
      </c>
      <c r="AL20" s="2207" t="e">
        <f aca="false">NA()</f>
        <v>#N/A</v>
      </c>
      <c r="AM20" s="2207"/>
      <c r="AN20" s="2208" t="n">
        <v>0.44</v>
      </c>
      <c r="AO20" s="2023" t="n">
        <v>0.102</v>
      </c>
      <c r="AP20" s="2023" t="n">
        <v>0.072</v>
      </c>
      <c r="AQ20" s="2023" t="n">
        <v>0</v>
      </c>
      <c r="AR20" s="2023" t="n">
        <v>0.157</v>
      </c>
      <c r="AS20" s="2023" t="n">
        <f aca="false">AN20+AO20-AP20-AC20+AQ20+AR20</f>
        <v>0.542</v>
      </c>
      <c r="AT20" s="2023" t="n">
        <v>0.113</v>
      </c>
      <c r="AU20" s="2105"/>
      <c r="AV20" s="2023"/>
      <c r="AW20" s="2000" t="n">
        <f aca="false">B20+AC20-AN20-AO20+AP20</f>
        <v>8.196</v>
      </c>
      <c r="AX20" s="1997" t="n">
        <f aca="false">V20+O20</f>
        <v>0.56</v>
      </c>
      <c r="AY20" s="514" t="n">
        <f aca="false">AX20/B20</f>
        <v>0.0652604591539448</v>
      </c>
      <c r="AZ20" s="2210"/>
      <c r="BA20" s="401"/>
      <c r="BB20" s="401" t="n">
        <v>72.4</v>
      </c>
      <c r="BC20" s="401"/>
      <c r="BD20" s="401"/>
      <c r="BE20" s="401"/>
      <c r="BF20" s="401"/>
      <c r="BG20" s="401" t="n">
        <v>73.1</v>
      </c>
      <c r="BH20" s="401" t="n">
        <v>72.4440692275222</v>
      </c>
      <c r="BI20" s="440" t="n">
        <v>34979</v>
      </c>
      <c r="BJ20" s="218" t="n">
        <f aca="false">BI20*(1-BN20)</f>
        <v>19768.2756674703</v>
      </c>
      <c r="BK20" s="401" t="n">
        <f aca="false">BI20</f>
        <v>34979</v>
      </c>
      <c r="BL20" s="401"/>
      <c r="BM20" s="401" t="n">
        <f aca="false">BJ20</f>
        <v>19768.2756674703</v>
      </c>
      <c r="BN20" s="2211" t="n">
        <f aca="false">BN21</f>
        <v>0.434853035607927</v>
      </c>
      <c r="BO20" s="2221" t="n">
        <f aca="false">BO19+(BO$21-BO$18)/3</f>
        <v>15394</v>
      </c>
      <c r="BP20" s="218"/>
      <c r="BQ20" s="218"/>
      <c r="BR20" s="2212"/>
      <c r="BS20" s="401" t="n">
        <f aca="false">BT20+CA20+CB20-CC20</f>
        <v>69.840164892746</v>
      </c>
      <c r="BT20" s="115" t="n">
        <f aca="false">BU20+BW20+BX20+BY20</f>
        <v>67.525</v>
      </c>
      <c r="BU20" s="115" t="n">
        <v>31.2</v>
      </c>
      <c r="BV20" s="514" t="n">
        <f aca="false">BU20/B20</f>
        <v>3.63593986714835</v>
      </c>
      <c r="BW20" s="115" t="n">
        <v>21.05</v>
      </c>
      <c r="BX20" s="115" t="n">
        <v>8.535</v>
      </c>
      <c r="BY20" s="115" t="n">
        <v>6.74</v>
      </c>
      <c r="BZ20" s="514" t="n">
        <f aca="false">BY20/B20</f>
        <v>0.785456240531407</v>
      </c>
      <c r="CA20" s="1509" t="n">
        <f aca="false">CQ20-CW20</f>
        <v>2.31516489274603</v>
      </c>
      <c r="CB20" s="2213" t="n">
        <v>0</v>
      </c>
      <c r="CC20" s="2019" t="n">
        <v>0</v>
      </c>
      <c r="CD20" s="2214" t="n">
        <v>0</v>
      </c>
      <c r="CE20" s="2215" t="n">
        <f aca="false">CB20-CC20</f>
        <v>0</v>
      </c>
      <c r="CF20" s="2215" t="n">
        <f aca="false">CB20-CC20-CD20</f>
        <v>0</v>
      </c>
      <c r="CG20" s="2024" t="n">
        <f aca="false">CH20-CQ20</f>
        <v>4.88483510725397</v>
      </c>
      <c r="CH20" s="115" t="n">
        <f aca="false">CI20+CJ20+CN20</f>
        <v>7.2</v>
      </c>
      <c r="CI20" s="1509" t="n">
        <v>1.675</v>
      </c>
      <c r="CJ20" s="1509" t="n">
        <f aca="false">CK20*CL20*CM20</f>
        <v>0.955</v>
      </c>
      <c r="CK20" s="1509" t="n">
        <v>1.91</v>
      </c>
      <c r="CL20" s="514" t="n">
        <f aca="false">CL$23</f>
        <v>0.5</v>
      </c>
      <c r="CM20" s="514" t="n">
        <v>1</v>
      </c>
      <c r="CN20" s="1509" t="n">
        <v>4.57</v>
      </c>
      <c r="CO20" s="2017" t="n">
        <f aca="false">CX20-CP20</f>
        <v>-2.30750892418536</v>
      </c>
      <c r="CP20" s="2017" t="n">
        <f aca="false">CQ20+9*(CQ21-CQ20)/12</f>
        <v>2.30750892418536</v>
      </c>
      <c r="CQ20" s="2215" t="n">
        <f aca="false">CQ21*CV20/CV21</f>
        <v>2.31516489274603</v>
      </c>
      <c r="CR20" s="2214" t="n">
        <v>0</v>
      </c>
      <c r="CU20" s="485" t="n">
        <v>0</v>
      </c>
      <c r="CV20" s="2017" t="n">
        <v>2.268</v>
      </c>
      <c r="CW20" s="2217" t="n">
        <v>0</v>
      </c>
      <c r="CX20" s="2019" t="n">
        <f aca="false">CY20+(CU19+9/12*(CU20-CU19))/1000</f>
        <v>0</v>
      </c>
      <c r="CY20" s="2019" t="n">
        <f aca="false">CZ20+DA20</f>
        <v>0</v>
      </c>
      <c r="CZ20" s="2017" t="n">
        <v>0</v>
      </c>
      <c r="DA20" s="2017" t="n">
        <v>0</v>
      </c>
      <c r="DB20" s="2217"/>
      <c r="DC20" s="2220" t="n">
        <f aca="false">CG20+BS20</f>
        <v>74.725</v>
      </c>
    </row>
    <row r="21" customFormat="false" ht="12" hidden="false" customHeight="false" outlineLevel="0" collapsed="false">
      <c r="A21" s="31" t="n">
        <v>1858</v>
      </c>
      <c r="B21" s="1994" t="n">
        <f aca="false">H21</f>
        <v>8.334</v>
      </c>
      <c r="C21" s="395" t="n">
        <v>12.053</v>
      </c>
      <c r="D21" s="31"/>
      <c r="E21" s="31"/>
      <c r="F21" s="2219" t="n">
        <v>0.422303335733141</v>
      </c>
      <c r="G21" s="2202" t="n">
        <f aca="false">B21-F21</f>
        <v>7.91169666426686</v>
      </c>
      <c r="H21" s="2000" t="n">
        <f aca="false">I21+J21+O21+Q21+T21</f>
        <v>8.334</v>
      </c>
      <c r="I21" s="1997" t="n">
        <v>7.227</v>
      </c>
      <c r="J21" s="1997" t="n">
        <v>0.437</v>
      </c>
      <c r="K21" s="1997"/>
      <c r="L21" s="1997"/>
      <c r="M21" s="514"/>
      <c r="N21" s="1997"/>
      <c r="O21" s="1997" t="n">
        <v>0.67</v>
      </c>
      <c r="P21" s="1997" t="n">
        <v>0.378378</v>
      </c>
      <c r="Q21" s="1997" t="n">
        <f aca="false">V21-T21</f>
        <v>0</v>
      </c>
      <c r="R21" s="1997"/>
      <c r="S21" s="1997"/>
      <c r="T21" s="1997" t="n">
        <v>0</v>
      </c>
      <c r="U21" s="1997" t="n">
        <v>0</v>
      </c>
      <c r="V21" s="2203" t="n">
        <v>0</v>
      </c>
      <c r="W21" s="384" t="n">
        <f aca="false">X21+AD21</f>
        <v>7.031</v>
      </c>
      <c r="X21" s="2204" t="n">
        <f aca="false">Y21+Z21+AA21+AB21</f>
        <v>1.301</v>
      </c>
      <c r="Y21" s="2008" t="n">
        <v>0.669</v>
      </c>
      <c r="Z21" s="2008" t="n">
        <v>0.28</v>
      </c>
      <c r="AA21" s="2008" t="n">
        <v>0.352</v>
      </c>
      <c r="AB21" s="2205" t="n">
        <v>0</v>
      </c>
      <c r="AC21" s="384" t="n">
        <v>0.086</v>
      </c>
      <c r="AD21" s="2204" t="n">
        <f aca="false">AE21+AF21</f>
        <v>5.73</v>
      </c>
      <c r="AE21" s="2008" t="n">
        <v>3.375</v>
      </c>
      <c r="AF21" s="2023" t="n">
        <v>2.355</v>
      </c>
      <c r="AG21" s="2206"/>
      <c r="AH21" s="387"/>
      <c r="AI21" s="1999"/>
      <c r="AJ21" s="2009" t="n">
        <v>2.707</v>
      </c>
      <c r="AK21" s="2207" t="n">
        <v>8235</v>
      </c>
      <c r="AL21" s="2207" t="n">
        <v>2060</v>
      </c>
      <c r="AM21" s="2207"/>
      <c r="AN21" s="2208" t="n">
        <v>0.452</v>
      </c>
      <c r="AO21" s="2023" t="n">
        <v>0.104</v>
      </c>
      <c r="AP21" s="2023" t="n">
        <v>0.074</v>
      </c>
      <c r="AQ21" s="2023" t="n">
        <v>0</v>
      </c>
      <c r="AR21" s="2023" t="n">
        <v>0.167</v>
      </c>
      <c r="AS21" s="2023" t="n">
        <f aca="false">AN21+AO21-AP21-AC21+AQ21+AR21</f>
        <v>0.563</v>
      </c>
      <c r="AT21" s="2023" t="n">
        <v>0.122</v>
      </c>
      <c r="AU21" s="2105"/>
      <c r="AV21" s="2023"/>
      <c r="AW21" s="2000" t="n">
        <f aca="false">B21+AC21-AN21-AO21+AP21</f>
        <v>7.938</v>
      </c>
      <c r="AX21" s="1997" t="n">
        <f aca="false">V21+O21</f>
        <v>0.67</v>
      </c>
      <c r="AY21" s="514" t="n">
        <f aca="false">AX21/B21</f>
        <v>0.0803935685145188</v>
      </c>
      <c r="AZ21" s="2210"/>
      <c r="BA21" s="401"/>
      <c r="BB21" s="401" t="n">
        <v>69.1</v>
      </c>
      <c r="BC21" s="401"/>
      <c r="BD21" s="401"/>
      <c r="BE21" s="401"/>
      <c r="BF21" s="401"/>
      <c r="BG21" s="401" t="n">
        <v>68.7</v>
      </c>
      <c r="BH21" s="401" t="n">
        <v>69.1446113000913</v>
      </c>
      <c r="BI21" s="440" t="n">
        <v>35278</v>
      </c>
      <c r="BJ21" s="218" t="n">
        <f aca="false">BI21*(1-BN21)</f>
        <v>19937.2546098236</v>
      </c>
      <c r="BK21" s="401" t="n">
        <f aca="false">BI21</f>
        <v>35278</v>
      </c>
      <c r="BL21" s="401"/>
      <c r="BM21" s="401" t="n">
        <f aca="false">BJ21</f>
        <v>19937.2546098236</v>
      </c>
      <c r="BN21" s="2211" t="n">
        <f aca="false">BN22</f>
        <v>0.434853035607927</v>
      </c>
      <c r="BO21" s="218" t="n">
        <v>15492</v>
      </c>
      <c r="BP21" s="218"/>
      <c r="BQ21" s="218"/>
      <c r="BR21" s="2212"/>
      <c r="BS21" s="401" t="n">
        <f aca="false">BT21+CA21+CB21-CC21</f>
        <v>69.9199569346651</v>
      </c>
      <c r="BT21" s="115" t="n">
        <f aca="false">BU21+BW21+BX21+BY21</f>
        <v>67.615</v>
      </c>
      <c r="BU21" s="115" t="n">
        <v>32.3</v>
      </c>
      <c r="BV21" s="514" t="n">
        <f aca="false">BU21/B21</f>
        <v>3.87568994480442</v>
      </c>
      <c r="BW21" s="115" t="n">
        <v>20.3</v>
      </c>
      <c r="BX21" s="115" t="n">
        <v>8.205</v>
      </c>
      <c r="BY21" s="115" t="n">
        <v>6.81</v>
      </c>
      <c r="BZ21" s="514" t="n">
        <f aca="false">BY21/B21</f>
        <v>0.817134629229662</v>
      </c>
      <c r="CA21" s="1509" t="n">
        <f aca="false">CQ21-CW21</f>
        <v>2.30495693466514</v>
      </c>
      <c r="CB21" s="2213" t="n">
        <v>0</v>
      </c>
      <c r="CC21" s="2019" t="n">
        <v>0</v>
      </c>
      <c r="CD21" s="2214" t="n">
        <v>0</v>
      </c>
      <c r="CE21" s="2215" t="n">
        <f aca="false">CB21-CC21</f>
        <v>0</v>
      </c>
      <c r="CF21" s="2215" t="n">
        <f aca="false">CB21-CC21-CD21</f>
        <v>0</v>
      </c>
      <c r="CG21" s="2024" t="n">
        <f aca="false">CH21-CQ21</f>
        <v>4.96504306533486</v>
      </c>
      <c r="CH21" s="115" t="n">
        <f aca="false">CI21+CJ21+CN21</f>
        <v>7.27</v>
      </c>
      <c r="CI21" s="1509" t="n">
        <v>1.695</v>
      </c>
      <c r="CJ21" s="1509" t="n">
        <f aca="false">CK21*CL21*CM21</f>
        <v>0.99</v>
      </c>
      <c r="CK21" s="1509" t="n">
        <v>1.98</v>
      </c>
      <c r="CL21" s="514" t="n">
        <f aca="false">CL$23</f>
        <v>0.5</v>
      </c>
      <c r="CM21" s="514" t="n">
        <v>1</v>
      </c>
      <c r="CN21" s="1509" t="n">
        <v>4.585</v>
      </c>
      <c r="CO21" s="2017" t="n">
        <f aca="false">CX21-CP21</f>
        <v>-2.45960749959063</v>
      </c>
      <c r="CP21" s="2017" t="n">
        <f aca="false">CQ21+9*(CQ22-CQ21)/12</f>
        <v>2.45960749959063</v>
      </c>
      <c r="CQ21" s="2215" t="n">
        <f aca="false">CQ22*CV21/CV22</f>
        <v>2.30495693466514</v>
      </c>
      <c r="CR21" s="2214" t="n">
        <v>0</v>
      </c>
      <c r="CU21" s="485" t="n">
        <v>0</v>
      </c>
      <c r="CV21" s="2017" t="n">
        <v>2.258</v>
      </c>
      <c r="CW21" s="2217" t="n">
        <v>0</v>
      </c>
      <c r="CX21" s="2019" t="n">
        <f aca="false">CY21+(CU20+9/12*(CU21-CU20))/1000</f>
        <v>0</v>
      </c>
      <c r="CY21" s="2019" t="n">
        <f aca="false">CZ21+DA21</f>
        <v>0</v>
      </c>
      <c r="CZ21" s="2017" t="n">
        <v>0</v>
      </c>
      <c r="DA21" s="2017" t="n">
        <v>0</v>
      </c>
      <c r="DB21" s="2217"/>
      <c r="DC21" s="2220" t="n">
        <f aca="false">CG21+BS21</f>
        <v>74.885</v>
      </c>
    </row>
    <row r="22" customFormat="false" ht="12" hidden="false" customHeight="false" outlineLevel="0" collapsed="false">
      <c r="A22" s="31" t="n">
        <v>1859</v>
      </c>
      <c r="B22" s="1994" t="n">
        <f aca="false">H22</f>
        <v>8.134</v>
      </c>
      <c r="C22" s="395" t="n">
        <v>12.219</v>
      </c>
      <c r="D22" s="31"/>
      <c r="E22" s="31"/>
      <c r="F22" s="2219" t="n">
        <v>0.4566727317433</v>
      </c>
      <c r="G22" s="2202" t="n">
        <f aca="false">B22-F22</f>
        <v>7.6773272682567</v>
      </c>
      <c r="H22" s="2000" t="n">
        <f aca="false">I22+J22+O22+Q22+T22</f>
        <v>8.134</v>
      </c>
      <c r="I22" s="1997" t="n">
        <v>6.969</v>
      </c>
      <c r="J22" s="1997" t="n">
        <v>0.455</v>
      </c>
      <c r="K22" s="1997"/>
      <c r="L22" s="1997"/>
      <c r="M22" s="514"/>
      <c r="N22" s="1997"/>
      <c r="O22" s="1997" t="n">
        <v>0.71</v>
      </c>
      <c r="P22" s="1997" t="n">
        <v>0.136383</v>
      </c>
      <c r="Q22" s="1997" t="n">
        <f aca="false">V22-T22</f>
        <v>0</v>
      </c>
      <c r="R22" s="1997"/>
      <c r="S22" s="1997"/>
      <c r="T22" s="1997" t="n">
        <v>0</v>
      </c>
      <c r="U22" s="1997" t="n">
        <v>0</v>
      </c>
      <c r="V22" s="2203" t="n">
        <v>0</v>
      </c>
      <c r="W22" s="384" t="n">
        <f aca="false">X22+AD22</f>
        <v>7.161</v>
      </c>
      <c r="X22" s="2204" t="n">
        <f aca="false">Y22+Z22+AA22+AB22</f>
        <v>1.329</v>
      </c>
      <c r="Y22" s="2008" t="n">
        <v>0.669</v>
      </c>
      <c r="Z22" s="2008" t="n">
        <v>0.286</v>
      </c>
      <c r="AA22" s="2008" t="n">
        <v>0.374</v>
      </c>
      <c r="AB22" s="2205" t="n">
        <v>0</v>
      </c>
      <c r="AC22" s="384" t="n">
        <v>0.089</v>
      </c>
      <c r="AD22" s="2204" t="n">
        <f aca="false">AE22+AF22</f>
        <v>5.832</v>
      </c>
      <c r="AE22" s="2008" t="n">
        <v>3.424</v>
      </c>
      <c r="AF22" s="2023" t="n">
        <v>2.408</v>
      </c>
      <c r="AG22" s="2206"/>
      <c r="AH22" s="387"/>
      <c r="AI22" s="1999"/>
      <c r="AJ22" s="2009" t="n">
        <v>2.782</v>
      </c>
      <c r="AK22" s="2207" t="e">
        <f aca="false">NA()</f>
        <v>#N/A</v>
      </c>
      <c r="AL22" s="2207" t="e">
        <f aca="false">NA()</f>
        <v>#N/A</v>
      </c>
      <c r="AM22" s="2207"/>
      <c r="AN22" s="2208" t="n">
        <v>0.466</v>
      </c>
      <c r="AO22" s="2023" t="n">
        <v>0.106</v>
      </c>
      <c r="AP22" s="2023" t="n">
        <v>0.074</v>
      </c>
      <c r="AQ22" s="2023" t="n">
        <v>0</v>
      </c>
      <c r="AR22" s="2023" t="n">
        <v>0.177</v>
      </c>
      <c r="AS22" s="2023" t="n">
        <f aca="false">AN22+AO22-AP22-AC22+AQ22+AR22</f>
        <v>0.586</v>
      </c>
      <c r="AT22" s="2023" t="n">
        <v>0.127</v>
      </c>
      <c r="AU22" s="2105"/>
      <c r="AV22" s="2023"/>
      <c r="AW22" s="2000" t="n">
        <f aca="false">B22+AC22-AN22-AO22+AP22</f>
        <v>7.725</v>
      </c>
      <c r="AX22" s="1997" t="n">
        <f aca="false">V22+O22</f>
        <v>0.71</v>
      </c>
      <c r="AY22" s="514" t="n">
        <f aca="false">AX22/B22</f>
        <v>0.0872879272190804</v>
      </c>
      <c r="AZ22" s="2210"/>
      <c r="BA22" s="401"/>
      <c r="BB22" s="401" t="n">
        <v>66.6</v>
      </c>
      <c r="BC22" s="401"/>
      <c r="BD22" s="401"/>
      <c r="BE22" s="401"/>
      <c r="BF22" s="401"/>
      <c r="BG22" s="401" t="n">
        <v>66.1</v>
      </c>
      <c r="BH22" s="401" t="n">
        <v>66.5684589573615</v>
      </c>
      <c r="BI22" s="440" t="n">
        <v>35633</v>
      </c>
      <c r="BJ22" s="218" t="n">
        <f aca="false">BI22*(1-BN22)</f>
        <v>20137.8817821827</v>
      </c>
      <c r="BK22" s="401" t="n">
        <f aca="false">BI22</f>
        <v>35633</v>
      </c>
      <c r="BL22" s="401"/>
      <c r="BM22" s="401" t="n">
        <f aca="false">BJ22</f>
        <v>20137.8817821827</v>
      </c>
      <c r="BN22" s="2211" t="n">
        <f aca="false">BN23</f>
        <v>0.434853035607927</v>
      </c>
      <c r="BO22" s="2221" t="n">
        <f aca="false">BO21+(BO$24-BO$21)/3</f>
        <v>15650.3333333333</v>
      </c>
      <c r="BP22" s="218"/>
      <c r="BQ22" s="218"/>
      <c r="BR22" s="2212"/>
      <c r="BS22" s="401" t="n">
        <f aca="false">BT22+CA22+CB22-CC22</f>
        <v>70.3211576878991</v>
      </c>
      <c r="BT22" s="115" t="n">
        <f aca="false">BU22+BW22+BX22+BY22</f>
        <v>67.81</v>
      </c>
      <c r="BU22" s="115" t="n">
        <v>33.5</v>
      </c>
      <c r="BV22" s="514" t="n">
        <f aca="false">BU22/B22</f>
        <v>4.11851487582985</v>
      </c>
      <c r="BW22" s="115" t="n">
        <v>19.65</v>
      </c>
      <c r="BX22" s="115" t="n">
        <v>7.81</v>
      </c>
      <c r="BY22" s="115" t="n">
        <v>6.85</v>
      </c>
      <c r="BZ22" s="514" t="n">
        <f aca="false">BY22/B22</f>
        <v>0.842144086550283</v>
      </c>
      <c r="CA22" s="1509" t="n">
        <f aca="false">CQ22-CW22</f>
        <v>2.51115768789913</v>
      </c>
      <c r="CB22" s="2213" t="n">
        <v>0</v>
      </c>
      <c r="CC22" s="2019" t="n">
        <v>0</v>
      </c>
      <c r="CD22" s="2214" t="n">
        <v>0</v>
      </c>
      <c r="CE22" s="2215" t="n">
        <f aca="false">CB22-CC22</f>
        <v>0</v>
      </c>
      <c r="CF22" s="2215" t="n">
        <f aca="false">CB22-CC22-CD22</f>
        <v>0</v>
      </c>
      <c r="CG22" s="2024" t="n">
        <f aca="false">CH22-CQ22</f>
        <v>4.79884231210087</v>
      </c>
      <c r="CH22" s="115" t="n">
        <f aca="false">CI22+CJ22+CN22</f>
        <v>7.31</v>
      </c>
      <c r="CI22" s="1509" t="n">
        <v>1.705</v>
      </c>
      <c r="CJ22" s="1509" t="n">
        <f aca="false">CK22*CL22*CM22</f>
        <v>1.035</v>
      </c>
      <c r="CK22" s="1509" t="n">
        <v>2.07</v>
      </c>
      <c r="CL22" s="514" t="n">
        <f aca="false">CL$23</f>
        <v>0.5</v>
      </c>
      <c r="CM22" s="514" t="n">
        <v>1</v>
      </c>
      <c r="CN22" s="1509" t="n">
        <v>4.57</v>
      </c>
      <c r="CO22" s="2017" t="n">
        <f aca="false">CX22-CP22</f>
        <v>-2.53795357786147</v>
      </c>
      <c r="CP22" s="2017" t="n">
        <f aca="false">CQ22+9*(CQ23-CQ22)/12</f>
        <v>2.53795357786147</v>
      </c>
      <c r="CQ22" s="2215" t="n">
        <f aca="false">CQ23*CV22/CV23</f>
        <v>2.51115768789913</v>
      </c>
      <c r="CR22" s="2214" t="n">
        <v>0</v>
      </c>
      <c r="CU22" s="485" t="n">
        <v>0</v>
      </c>
      <c r="CV22" s="2017" t="n">
        <v>2.46</v>
      </c>
      <c r="CW22" s="2217" t="n">
        <v>0</v>
      </c>
      <c r="CX22" s="2019" t="n">
        <f aca="false">CY22+(CU21+9/12*(CU22-CU21))/1000</f>
        <v>0</v>
      </c>
      <c r="CY22" s="2019" t="n">
        <f aca="false">CZ22+DA22</f>
        <v>0</v>
      </c>
      <c r="CZ22" s="2017" t="n">
        <v>0</v>
      </c>
      <c r="DA22" s="2017" t="n">
        <v>0</v>
      </c>
      <c r="DB22" s="2217"/>
      <c r="DC22" s="2220" t="n">
        <f aca="false">CG22+BS22</f>
        <v>75.12</v>
      </c>
    </row>
    <row r="23" s="31" customFormat="true" ht="12" hidden="false" customHeight="false" outlineLevel="0" collapsed="false">
      <c r="A23" s="31" t="n">
        <v>1860</v>
      </c>
      <c r="B23" s="1994" t="n">
        <f aca="false">H23</f>
        <v>9.63</v>
      </c>
      <c r="C23" s="395" t="n">
        <v>13.604</v>
      </c>
      <c r="F23" s="2219" t="n">
        <v>0.446374636174636</v>
      </c>
      <c r="G23" s="2202" t="n">
        <f aca="false">B23-F23</f>
        <v>9.18362536382536</v>
      </c>
      <c r="H23" s="2000" t="n">
        <f aca="false">I23+J23+O23+Q23+T23</f>
        <v>9.63</v>
      </c>
      <c r="I23" s="1997" t="n">
        <v>7.881</v>
      </c>
      <c r="J23" s="1997" t="n">
        <v>0.479</v>
      </c>
      <c r="K23" s="1997"/>
      <c r="L23" s="1997"/>
      <c r="M23" s="514"/>
      <c r="N23" s="1997"/>
      <c r="O23" s="1997" t="n">
        <v>1.26</v>
      </c>
      <c r="P23" s="1997" t="n">
        <v>0.332429</v>
      </c>
      <c r="Q23" s="1997" t="n">
        <f aca="false">V23-T23</f>
        <v>0.01</v>
      </c>
      <c r="R23" s="1997"/>
      <c r="S23" s="1997"/>
      <c r="T23" s="1997" t="n">
        <v>0</v>
      </c>
      <c r="U23" s="1997" t="n">
        <v>0</v>
      </c>
      <c r="V23" s="1999" t="n">
        <v>0.01</v>
      </c>
      <c r="W23" s="384" t="n">
        <f aca="false">X23+AD23</f>
        <v>7.937</v>
      </c>
      <c r="X23" s="2204" t="n">
        <f aca="false">Y23+Z23+AA23+AB23</f>
        <v>1.876</v>
      </c>
      <c r="Y23" s="2008" t="n">
        <v>0.692</v>
      </c>
      <c r="Z23" s="2008" t="n">
        <v>0.293</v>
      </c>
      <c r="AA23" s="2008" t="n">
        <v>0.891</v>
      </c>
      <c r="AB23" s="2205" t="n">
        <v>0</v>
      </c>
      <c r="AC23" s="384" t="n">
        <v>0.103</v>
      </c>
      <c r="AD23" s="2204" t="n">
        <f aca="false">AE23+AF23</f>
        <v>6.061</v>
      </c>
      <c r="AE23" s="2008" t="n">
        <v>3.57</v>
      </c>
      <c r="AF23" s="2023" t="n">
        <v>2.491</v>
      </c>
      <c r="AG23" s="2206"/>
      <c r="AH23" s="387"/>
      <c r="AI23" s="1999"/>
      <c r="AJ23" s="2009" t="n">
        <v>3.382</v>
      </c>
      <c r="AK23" s="2207" t="e">
        <f aca="false">NA()</f>
        <v>#N/A</v>
      </c>
      <c r="AL23" s="2207" t="e">
        <f aca="false">NA()</f>
        <v>#N/A</v>
      </c>
      <c r="AM23" s="2207"/>
      <c r="AN23" s="2208" t="n">
        <v>0.492</v>
      </c>
      <c r="AO23" s="2023" t="n">
        <v>0.108</v>
      </c>
      <c r="AP23" s="2023" t="n">
        <v>0.072</v>
      </c>
      <c r="AQ23" s="2023" t="n">
        <v>0</v>
      </c>
      <c r="AR23" s="2023" t="n">
        <v>0.177</v>
      </c>
      <c r="AS23" s="2023" t="n">
        <f aca="false">AN23+AO23-AP23-AC23+AQ23+AR23</f>
        <v>0.602</v>
      </c>
      <c r="AT23" s="2023" t="n">
        <v>0.119</v>
      </c>
      <c r="AU23" s="2105"/>
      <c r="AV23" s="2023"/>
      <c r="AW23" s="2000" t="n">
        <f aca="false">B23+AC23-AN23-AO23+AP23</f>
        <v>9.205</v>
      </c>
      <c r="AX23" s="1997" t="n">
        <f aca="false">V23+O23</f>
        <v>1.27</v>
      </c>
      <c r="AY23" s="514" t="n">
        <f aca="false">AX23/B23</f>
        <v>0.131879543094496</v>
      </c>
      <c r="AZ23" s="2210"/>
      <c r="BA23" s="401"/>
      <c r="BB23" s="401" t="n">
        <v>70.8</v>
      </c>
      <c r="BC23" s="401"/>
      <c r="BD23" s="401"/>
      <c r="BE23" s="401"/>
      <c r="BF23" s="401"/>
      <c r="BG23" s="401" t="n">
        <v>70.3</v>
      </c>
      <c r="BH23" s="401" t="n">
        <v>70.7925528000589</v>
      </c>
      <c r="BI23" s="440" t="n">
        <v>36049</v>
      </c>
      <c r="BJ23" s="218" t="n">
        <f aca="false">BI23*(1-BN23)</f>
        <v>20372.9829193698</v>
      </c>
      <c r="BK23" s="401" t="n">
        <f aca="false">BI23</f>
        <v>36049</v>
      </c>
      <c r="BL23" s="401"/>
      <c r="BM23" s="401" t="n">
        <f aca="false">BJ23</f>
        <v>20372.9829193698</v>
      </c>
      <c r="BN23" s="2211" t="n">
        <f aca="false">BN24</f>
        <v>0.434853035607927</v>
      </c>
      <c r="BO23" s="2221" t="n">
        <f aca="false">BO22+(BO$24-BO$21)/3</f>
        <v>15808.6666666667</v>
      </c>
      <c r="BP23" s="218"/>
      <c r="BQ23" s="218"/>
      <c r="BR23" s="2212"/>
      <c r="BS23" s="401" t="n">
        <f aca="false">BT23+CA23+CB23-CC23</f>
        <v>72.0118855411823</v>
      </c>
      <c r="BT23" s="115" t="n">
        <f aca="false">BU23+BW23+BX23+BY23</f>
        <v>69.465</v>
      </c>
      <c r="BU23" s="115" t="n">
        <v>34.7</v>
      </c>
      <c r="BV23" s="514" t="n">
        <f aca="false">BU23/B23</f>
        <v>3.60332294911734</v>
      </c>
      <c r="BW23" s="115" t="n">
        <v>20.05</v>
      </c>
      <c r="BX23" s="115" t="n">
        <v>7.815</v>
      </c>
      <c r="BY23" s="115" t="n">
        <v>6.9</v>
      </c>
      <c r="BZ23" s="514" t="n">
        <f aca="false">BY23/B23</f>
        <v>0.716510903426791</v>
      </c>
      <c r="CA23" s="1509" t="n">
        <f aca="false">CQ23-CW23</f>
        <v>2.54688554118225</v>
      </c>
      <c r="CB23" s="2213" t="n">
        <v>0</v>
      </c>
      <c r="CC23" s="2019" t="n">
        <v>0</v>
      </c>
      <c r="CD23" s="2214" t="n">
        <v>0</v>
      </c>
      <c r="CE23" s="2215" t="n">
        <f aca="false">CB23-CC23</f>
        <v>0</v>
      </c>
      <c r="CF23" s="2215" t="n">
        <f aca="false">CB23-CC23-CD23</f>
        <v>0</v>
      </c>
      <c r="CG23" s="2024" t="n">
        <f aca="false">CH23-CQ23</f>
        <v>4.75061445881775</v>
      </c>
      <c r="CH23" s="115" t="n">
        <f aca="false">CI23+CJ23+CN23</f>
        <v>7.2975</v>
      </c>
      <c r="CI23" s="1509" t="n">
        <v>1.72</v>
      </c>
      <c r="CJ23" s="1509" t="n">
        <f aca="false">CK23*CL23*CM23</f>
        <v>1.0825</v>
      </c>
      <c r="CK23" s="1509" t="n">
        <v>2.165</v>
      </c>
      <c r="CL23" s="855" t="n">
        <v>0.5</v>
      </c>
      <c r="CM23" s="514" t="n">
        <v>1</v>
      </c>
      <c r="CN23" s="1509" t="n">
        <v>4.495</v>
      </c>
      <c r="CO23" s="2017" t="n">
        <f aca="false">CX23-CP23</f>
        <v>-2.57138464057639</v>
      </c>
      <c r="CP23" s="2017" t="n">
        <f aca="false">CQ23+9*(CQ24-CQ23)/12</f>
        <v>2.57138464057639</v>
      </c>
      <c r="CQ23" s="2215" t="n">
        <f aca="false">CQ24*CV23/CV24</f>
        <v>2.54688554118225</v>
      </c>
      <c r="CR23" s="2214" t="n">
        <v>0</v>
      </c>
      <c r="CU23" s="485" t="n">
        <v>0</v>
      </c>
      <c r="CV23" s="2017" t="n">
        <v>2.495</v>
      </c>
      <c r="CW23" s="2217" t="n">
        <v>0</v>
      </c>
      <c r="CX23" s="2019" t="n">
        <f aca="false">CY23+(CU22+9/12*(CU23-CU22))/1000</f>
        <v>0</v>
      </c>
      <c r="CY23" s="2019" t="n">
        <f aca="false">CZ23+DA23</f>
        <v>0</v>
      </c>
      <c r="CZ23" s="2017" t="n">
        <v>0</v>
      </c>
      <c r="DA23" s="2017" t="n">
        <v>0</v>
      </c>
      <c r="DB23" s="2217"/>
      <c r="DC23" s="2220" t="n">
        <f aca="false">CG23+BS23</f>
        <v>76.7625</v>
      </c>
    </row>
    <row r="24" s="31" customFormat="true" ht="12" hidden="false" customHeight="false" outlineLevel="0" collapsed="false">
      <c r="A24" s="31" t="n">
        <v>1861</v>
      </c>
      <c r="B24" s="1994" t="n">
        <f aca="false">H24</f>
        <v>9.379</v>
      </c>
      <c r="C24" s="395" t="n">
        <v>13.002</v>
      </c>
      <c r="F24" s="2219" t="n">
        <v>0.454730457069628</v>
      </c>
      <c r="G24" s="2202" t="n">
        <f aca="false">B24-F24</f>
        <v>8.92426954293037</v>
      </c>
      <c r="H24" s="2000" t="n">
        <f aca="false">I24+J24+O24+Q24+T24</f>
        <v>9.379</v>
      </c>
      <c r="I24" s="1997" t="n">
        <v>8.15</v>
      </c>
      <c r="J24" s="1997" t="n">
        <v>0.494</v>
      </c>
      <c r="K24" s="1997"/>
      <c r="L24" s="1997"/>
      <c r="M24" s="514"/>
      <c r="N24" s="1997"/>
      <c r="O24" s="1997" t="n">
        <v>0.72</v>
      </c>
      <c r="P24" s="1997" t="n">
        <v>0.187308</v>
      </c>
      <c r="Q24" s="1997" t="n">
        <f aca="false">V24-T24</f>
        <v>0.015</v>
      </c>
      <c r="R24" s="1997"/>
      <c r="S24" s="1997"/>
      <c r="T24" s="1997" t="n">
        <v>0</v>
      </c>
      <c r="U24" s="1997" t="n">
        <v>0</v>
      </c>
      <c r="V24" s="1999" t="n">
        <v>0.015</v>
      </c>
      <c r="W24" s="384" t="n">
        <f aca="false">X24+AD24</f>
        <v>7.993</v>
      </c>
      <c r="X24" s="2204" t="n">
        <f aca="false">Y24+Z24+AA24+AB24</f>
        <v>1.832</v>
      </c>
      <c r="Y24" s="2008" t="n">
        <v>0.704</v>
      </c>
      <c r="Z24" s="2008" t="n">
        <v>0.299</v>
      </c>
      <c r="AA24" s="2008" t="n">
        <v>0.829</v>
      </c>
      <c r="AB24" s="2205" t="n">
        <v>0</v>
      </c>
      <c r="AC24" s="384" t="n">
        <v>0.104</v>
      </c>
      <c r="AD24" s="2204" t="n">
        <f aca="false">AE24+AF24</f>
        <v>6.161</v>
      </c>
      <c r="AE24" s="2008" t="n">
        <v>3.685</v>
      </c>
      <c r="AF24" s="2023" t="n">
        <v>2.476</v>
      </c>
      <c r="AG24" s="2206"/>
      <c r="AH24" s="387"/>
      <c r="AI24" s="1999"/>
      <c r="AJ24" s="2009" t="n">
        <v>3.305</v>
      </c>
      <c r="AK24" s="2207" t="n">
        <v>8253</v>
      </c>
      <c r="AL24" s="2207" t="e">
        <f aca="false">NA()</f>
        <v>#N/A</v>
      </c>
      <c r="AM24" s="2207"/>
      <c r="AN24" s="2208" t="n">
        <v>0.496</v>
      </c>
      <c r="AO24" s="2023" t="n">
        <v>0.11</v>
      </c>
      <c r="AP24" s="2023" t="n">
        <v>0.077</v>
      </c>
      <c r="AQ24" s="2023" t="n">
        <v>0</v>
      </c>
      <c r="AR24" s="2023" t="n">
        <v>0.182</v>
      </c>
      <c r="AS24" s="2023" t="n">
        <f aca="false">AN24+AO24-AP24-AC24+AQ24+AR24</f>
        <v>0.607</v>
      </c>
      <c r="AT24" s="2023" t="n">
        <v>0.103</v>
      </c>
      <c r="AU24" s="2105"/>
      <c r="AV24" s="2023"/>
      <c r="AW24" s="2000" t="n">
        <f aca="false">B24+AC24-AN24-AO24+AP24</f>
        <v>8.954</v>
      </c>
      <c r="AX24" s="1997" t="n">
        <f aca="false">V24+O24</f>
        <v>0.735</v>
      </c>
      <c r="AY24" s="514" t="n">
        <f aca="false">AX24/B24</f>
        <v>0.0783665635995309</v>
      </c>
      <c r="AZ24" s="2210"/>
      <c r="BA24" s="401"/>
      <c r="BB24" s="401" t="n">
        <v>71.9</v>
      </c>
      <c r="BC24" s="401"/>
      <c r="BD24" s="401"/>
      <c r="BE24" s="401"/>
      <c r="BF24" s="401"/>
      <c r="BG24" s="401" t="n">
        <v>72.7</v>
      </c>
      <c r="BH24" s="401" t="n">
        <v>72.1306424279772</v>
      </c>
      <c r="BI24" s="440" t="n">
        <v>36435</v>
      </c>
      <c r="BJ24" s="218" t="n">
        <f aca="false">BI24*(1-BN24)</f>
        <v>20591.1296476252</v>
      </c>
      <c r="BK24" s="401" t="n">
        <f aca="false">BI24</f>
        <v>36435</v>
      </c>
      <c r="BL24" s="401"/>
      <c r="BM24" s="401" t="n">
        <f aca="false">BJ24</f>
        <v>20591.1296476252</v>
      </c>
      <c r="BN24" s="2211" t="n">
        <f aca="false">BN25</f>
        <v>0.434853035607927</v>
      </c>
      <c r="BO24" s="218" t="n">
        <v>15967</v>
      </c>
      <c r="BP24" s="218"/>
      <c r="BQ24" s="218"/>
      <c r="BR24" s="2212"/>
      <c r="BS24" s="401" t="n">
        <f aca="false">BT24+CA24+CB24-CC24</f>
        <v>73.8395510070411</v>
      </c>
      <c r="BT24" s="115" t="n">
        <f aca="false">BU24+BW24+BX24+BY24</f>
        <v>71.26</v>
      </c>
      <c r="BU24" s="115" t="n">
        <v>35.95</v>
      </c>
      <c r="BV24" s="514" t="n">
        <f aca="false">BU24/B24</f>
        <v>3.83303124000426</v>
      </c>
      <c r="BW24" s="115" t="n">
        <v>20.5</v>
      </c>
      <c r="BX24" s="115" t="n">
        <v>7.855</v>
      </c>
      <c r="BY24" s="115" t="n">
        <v>6.955</v>
      </c>
      <c r="BZ24" s="514" t="n">
        <f aca="false">BY24/B24</f>
        <v>0.741550271883996</v>
      </c>
      <c r="CA24" s="1509" t="n">
        <f aca="false">CQ24-CW24</f>
        <v>2.5795510070411</v>
      </c>
      <c r="CB24" s="2213" t="n">
        <v>0</v>
      </c>
      <c r="CC24" s="2019" t="n">
        <v>0</v>
      </c>
      <c r="CD24" s="2214" t="n">
        <v>0</v>
      </c>
      <c r="CE24" s="2215" t="n">
        <f aca="false">CB24-CC24</f>
        <v>0</v>
      </c>
      <c r="CF24" s="2215" t="n">
        <f aca="false">CB24-CC24-CD24</f>
        <v>0</v>
      </c>
      <c r="CG24" s="2024" t="n">
        <f aca="false">CH24-CQ24</f>
        <v>4.7417189929589</v>
      </c>
      <c r="CH24" s="115" t="n">
        <f aca="false">CI24+CJ24+CN24</f>
        <v>7.32127</v>
      </c>
      <c r="CI24" s="1509" t="n">
        <v>1.74</v>
      </c>
      <c r="CJ24" s="1509" t="n">
        <f aca="false">CK24*CL24*CM24</f>
        <v>1.16127</v>
      </c>
      <c r="CK24" s="1509" t="n">
        <v>2.295</v>
      </c>
      <c r="CL24" s="514" t="n">
        <f aca="false">CL23+(CL$33-CL$23)/10</f>
        <v>0.506</v>
      </c>
      <c r="CM24" s="514" t="n">
        <v>1</v>
      </c>
      <c r="CN24" s="1509" t="n">
        <v>4.42</v>
      </c>
      <c r="CO24" s="2017" t="n">
        <f aca="false">CX24-CP24</f>
        <v>-2.59180055673817</v>
      </c>
      <c r="CP24" s="2017" t="n">
        <f aca="false">CQ24+9*(CQ25-CQ24)/12</f>
        <v>2.59180055673817</v>
      </c>
      <c r="CQ24" s="2215" t="n">
        <f aca="false">CQ25*CV24/CV25</f>
        <v>2.5795510070411</v>
      </c>
      <c r="CR24" s="2214" t="n">
        <v>0</v>
      </c>
      <c r="CU24" s="485" t="n">
        <v>0</v>
      </c>
      <c r="CV24" s="2017" t="n">
        <v>2.527</v>
      </c>
      <c r="CW24" s="2217" t="n">
        <v>0</v>
      </c>
      <c r="CX24" s="2019" t="n">
        <f aca="false">CY24+(CU23+9/12*(CU24-CU23))/1000</f>
        <v>0</v>
      </c>
      <c r="CY24" s="2019" t="n">
        <f aca="false">CZ24+DA24</f>
        <v>0</v>
      </c>
      <c r="CZ24" s="2017" t="n">
        <v>0</v>
      </c>
      <c r="DA24" s="2017" t="n">
        <v>0</v>
      </c>
      <c r="DB24" s="2217"/>
      <c r="DC24" s="2220" t="n">
        <f aca="false">CG24+BS24</f>
        <v>78.58127</v>
      </c>
    </row>
    <row r="25" customFormat="false" ht="12" hidden="false" customHeight="false" outlineLevel="0" collapsed="false">
      <c r="A25" s="31" t="n">
        <v>1862</v>
      </c>
      <c r="B25" s="1994" t="n">
        <f aca="false">H25</f>
        <v>10.05</v>
      </c>
      <c r="C25" s="395" t="n">
        <v>13.731</v>
      </c>
      <c r="D25" s="31"/>
      <c r="E25" s="31"/>
      <c r="F25" s="2219" t="n">
        <v>0.467280717488789</v>
      </c>
      <c r="G25" s="2202" t="n">
        <f aca="false">B25-F25</f>
        <v>9.58271928251121</v>
      </c>
      <c r="H25" s="2000" t="n">
        <f aca="false">I25+J25+O25+Q25+T25</f>
        <v>10.05</v>
      </c>
      <c r="I25" s="1997" t="n">
        <v>8.226</v>
      </c>
      <c r="J25" s="1997" t="n">
        <v>0.489</v>
      </c>
      <c r="K25" s="1997"/>
      <c r="L25" s="1997"/>
      <c r="M25" s="514"/>
      <c r="N25" s="1997"/>
      <c r="O25" s="1997" t="n">
        <v>1.32</v>
      </c>
      <c r="P25" s="1997" t="n">
        <v>0.248835</v>
      </c>
      <c r="Q25" s="1997" t="n">
        <f aca="false">V25-T25</f>
        <v>0.015</v>
      </c>
      <c r="R25" s="1997"/>
      <c r="S25" s="1997"/>
      <c r="T25" s="1997" t="n">
        <v>0</v>
      </c>
      <c r="U25" s="1997" t="n">
        <v>0</v>
      </c>
      <c r="V25" s="1999" t="n">
        <v>0.015</v>
      </c>
      <c r="W25" s="384" t="n">
        <f aca="false">X25+AD25</f>
        <v>8.266</v>
      </c>
      <c r="X25" s="2204" t="n">
        <f aca="false">Y25+Z25+AA25+AB25</f>
        <v>2.14</v>
      </c>
      <c r="Y25" s="2008" t="n">
        <v>0.76</v>
      </c>
      <c r="Z25" s="2008" t="n">
        <v>0.308</v>
      </c>
      <c r="AA25" s="2008" t="n">
        <v>1.072</v>
      </c>
      <c r="AB25" s="2205" t="n">
        <v>0</v>
      </c>
      <c r="AC25" s="384" t="n">
        <v>0.102</v>
      </c>
      <c r="AD25" s="2204" t="n">
        <f aca="false">AE25+AF25</f>
        <v>6.126</v>
      </c>
      <c r="AE25" s="2008" t="n">
        <v>3.713</v>
      </c>
      <c r="AF25" s="2023" t="n">
        <v>2.413</v>
      </c>
      <c r="AG25" s="2206"/>
      <c r="AH25" s="387"/>
      <c r="AI25" s="1999"/>
      <c r="AJ25" s="2009" t="n">
        <v>3.485</v>
      </c>
      <c r="AK25" s="2207" t="e">
        <f aca="false">NA()</f>
        <v>#N/A</v>
      </c>
      <c r="AL25" s="2207" t="e">
        <f aca="false">NA()</f>
        <v>#N/A</v>
      </c>
      <c r="AM25" s="2207"/>
      <c r="AN25" s="2208" t="n">
        <v>0.507</v>
      </c>
      <c r="AO25" s="2023" t="n">
        <v>0.112</v>
      </c>
      <c r="AP25" s="2023" t="n">
        <v>0.076</v>
      </c>
      <c r="AQ25" s="2023" t="n">
        <v>0</v>
      </c>
      <c r="AR25" s="2023" t="n">
        <v>0.227</v>
      </c>
      <c r="AS25" s="2023" t="n">
        <f aca="false">AN25+AO25-AP25-AC25+AQ25+AR25</f>
        <v>0.668</v>
      </c>
      <c r="AT25" s="2023" t="n">
        <v>0.172</v>
      </c>
      <c r="AU25" s="2105"/>
      <c r="AV25" s="2023"/>
      <c r="AW25" s="2000" t="n">
        <f aca="false">B25+AC25-AN25-AO25+AP25</f>
        <v>9.609</v>
      </c>
      <c r="AX25" s="1997" t="n">
        <f aca="false">V25+O25</f>
        <v>1.335</v>
      </c>
      <c r="AY25" s="514" t="n">
        <f aca="false">AX25/B25</f>
        <v>0.132835820895522</v>
      </c>
      <c r="AZ25" s="2210"/>
      <c r="BA25" s="401"/>
      <c r="BB25" s="401" t="n">
        <v>73.2</v>
      </c>
      <c r="BC25" s="401"/>
      <c r="BD25" s="401"/>
      <c r="BE25" s="401"/>
      <c r="BF25" s="401"/>
      <c r="BG25" s="401" t="n">
        <v>73.7</v>
      </c>
      <c r="BH25" s="401" t="n">
        <v>73.1894099628036</v>
      </c>
      <c r="BI25" s="440" t="n">
        <v>36788</v>
      </c>
      <c r="BJ25" s="218" t="n">
        <f aca="false">BI25*(1-BN25)</f>
        <v>20790.6265260556</v>
      </c>
      <c r="BK25" s="401" t="n">
        <f aca="false">BI25</f>
        <v>36788</v>
      </c>
      <c r="BL25" s="401"/>
      <c r="BM25" s="401" t="n">
        <f aca="false">BJ25</f>
        <v>20790.6265260556</v>
      </c>
      <c r="BN25" s="2211" t="n">
        <f aca="false">BN26</f>
        <v>0.434853035607927</v>
      </c>
      <c r="BO25" s="2221" t="n">
        <f aca="false">BO24+(BO$30-BO$24)/6</f>
        <v>16001</v>
      </c>
      <c r="BP25" s="218"/>
      <c r="BQ25" s="218"/>
      <c r="BR25" s="2212"/>
      <c r="BS25" s="401" t="n">
        <f aca="false">BT25+CA25+CB25-CC25</f>
        <v>75.6558837399705</v>
      </c>
      <c r="BT25" s="115" t="n">
        <f aca="false">BU25+BW25+BX25+BY25</f>
        <v>73.06</v>
      </c>
      <c r="BU25" s="115" t="n">
        <v>37.2</v>
      </c>
      <c r="BV25" s="514" t="n">
        <f aca="false">BU25/B25</f>
        <v>3.70149253731343</v>
      </c>
      <c r="BW25" s="115" t="n">
        <v>20.75</v>
      </c>
      <c r="BX25" s="115" t="n">
        <v>8.08</v>
      </c>
      <c r="BY25" s="115" t="n">
        <v>7.03</v>
      </c>
      <c r="BZ25" s="514" t="n">
        <f aca="false">BY25/B25</f>
        <v>0.699502487562189</v>
      </c>
      <c r="CA25" s="1509" t="n">
        <f aca="false">CQ25-CW25</f>
        <v>2.59588373997053</v>
      </c>
      <c r="CB25" s="2213" t="n">
        <v>0</v>
      </c>
      <c r="CC25" s="2019" t="n">
        <v>0</v>
      </c>
      <c r="CD25" s="2214" t="n">
        <v>0</v>
      </c>
      <c r="CE25" s="2215" t="n">
        <f aca="false">CB25-CC25</f>
        <v>0</v>
      </c>
      <c r="CF25" s="2215" t="n">
        <f aca="false">CB25-CC25-CD25</f>
        <v>0</v>
      </c>
      <c r="CG25" s="2024" t="n">
        <f aca="false">CH25-CQ25</f>
        <v>4.77291626002947</v>
      </c>
      <c r="CH25" s="115" t="n">
        <f aca="false">CI25+CJ25+CN25</f>
        <v>7.3688</v>
      </c>
      <c r="CI25" s="1509" t="n">
        <v>1.765</v>
      </c>
      <c r="CJ25" s="1509" t="n">
        <f aca="false">CK25*CL25*CM25</f>
        <v>1.2288</v>
      </c>
      <c r="CK25" s="1509" t="n">
        <v>2.4</v>
      </c>
      <c r="CL25" s="514" t="n">
        <f aca="false">CL24+(CL$33-CL$23)/10</f>
        <v>0.512</v>
      </c>
      <c r="CM25" s="514" t="n">
        <v>1</v>
      </c>
      <c r="CN25" s="1509" t="n">
        <v>4.375</v>
      </c>
      <c r="CO25" s="2017" t="n">
        <f aca="false">CX25-CP25</f>
        <v>-2.59664933682659</v>
      </c>
      <c r="CP25" s="2017" t="n">
        <f aca="false">CQ25+9*(CQ26-CQ25)/12</f>
        <v>2.59664933682659</v>
      </c>
      <c r="CQ25" s="2215" t="n">
        <f aca="false">CQ26*CV25/CV26</f>
        <v>2.59588373997053</v>
      </c>
      <c r="CR25" s="2214" t="n">
        <v>0</v>
      </c>
      <c r="CU25" s="485" t="n">
        <v>0</v>
      </c>
      <c r="CV25" s="2017" t="n">
        <v>2.543</v>
      </c>
      <c r="CW25" s="2217" t="n">
        <v>0</v>
      </c>
      <c r="CX25" s="2019" t="n">
        <f aca="false">CY25+(CU24+9/12*(CU25-CU24))/1000</f>
        <v>0</v>
      </c>
      <c r="CY25" s="2019" t="n">
        <f aca="false">CZ25+DA25</f>
        <v>0</v>
      </c>
      <c r="CZ25" s="2017" t="n">
        <v>0</v>
      </c>
      <c r="DA25" s="2017" t="n">
        <v>0</v>
      </c>
      <c r="DB25" s="2217"/>
      <c r="DC25" s="2220" t="n">
        <f aca="false">CG25+BS25</f>
        <v>80.4288</v>
      </c>
    </row>
    <row r="26" customFormat="false" ht="12" hidden="false" customHeight="false" outlineLevel="0" collapsed="false">
      <c r="A26" s="31" t="n">
        <v>1863</v>
      </c>
      <c r="B26" s="1994" t="n">
        <f aca="false">H26</f>
        <v>10.372</v>
      </c>
      <c r="C26" s="395" t="n">
        <v>14.639</v>
      </c>
      <c r="D26" s="31"/>
      <c r="E26" s="31"/>
      <c r="F26" s="2219" t="n">
        <v>0.501156298299845</v>
      </c>
      <c r="G26" s="2202" t="n">
        <f aca="false">B26-F26</f>
        <v>9.87084370170016</v>
      </c>
      <c r="H26" s="2000" t="n">
        <f aca="false">I26+J26+O26+Q26+T26</f>
        <v>10.372</v>
      </c>
      <c r="I26" s="1997" t="n">
        <v>8.356</v>
      </c>
      <c r="J26" s="1997" t="n">
        <v>0.496</v>
      </c>
      <c r="K26" s="1997"/>
      <c r="L26" s="1997"/>
      <c r="M26" s="514"/>
      <c r="N26" s="1997"/>
      <c r="O26" s="1997" t="n">
        <v>1.5</v>
      </c>
      <c r="P26" s="1997" t="n">
        <v>0.338645</v>
      </c>
      <c r="Q26" s="1997" t="n">
        <f aca="false">V26-T26</f>
        <v>0.02</v>
      </c>
      <c r="R26" s="1997"/>
      <c r="S26" s="1997"/>
      <c r="T26" s="1997" t="n">
        <v>0</v>
      </c>
      <c r="U26" s="1997" t="n">
        <v>0</v>
      </c>
      <c r="V26" s="1999" t="n">
        <v>0.02</v>
      </c>
      <c r="W26" s="384" t="n">
        <f aca="false">X26+AD26</f>
        <v>8.535</v>
      </c>
      <c r="X26" s="2204" t="n">
        <f aca="false">Y26+Z26+AA26+AB26</f>
        <v>2.175</v>
      </c>
      <c r="Y26" s="2008" t="n">
        <v>0.784</v>
      </c>
      <c r="Z26" s="2008" t="n">
        <v>0.327</v>
      </c>
      <c r="AA26" s="2008" t="n">
        <v>1.064</v>
      </c>
      <c r="AB26" s="2205" t="n">
        <v>0</v>
      </c>
      <c r="AC26" s="384" t="n">
        <v>0.099</v>
      </c>
      <c r="AD26" s="2204" t="n">
        <f aca="false">AE26+AF26</f>
        <v>6.36</v>
      </c>
      <c r="AE26" s="2008" t="n">
        <v>3.802</v>
      </c>
      <c r="AF26" s="2023" t="n">
        <v>2.558</v>
      </c>
      <c r="AG26" s="2206"/>
      <c r="AH26" s="387"/>
      <c r="AI26" s="1999"/>
      <c r="AJ26" s="2009" t="n">
        <v>3.622</v>
      </c>
      <c r="AK26" s="2207" t="e">
        <f aca="false">NA()</f>
        <v>#N/A</v>
      </c>
      <c r="AL26" s="2207" t="e">
        <f aca="false">NA()</f>
        <v>#N/A</v>
      </c>
      <c r="AM26" s="2207"/>
      <c r="AN26" s="2208" t="n">
        <v>0.516</v>
      </c>
      <c r="AO26" s="2023" t="n">
        <v>0.115</v>
      </c>
      <c r="AP26" s="2023" t="n">
        <v>0.077</v>
      </c>
      <c r="AQ26" s="2023" t="n">
        <v>0</v>
      </c>
      <c r="AR26" s="2023" t="n">
        <v>0.197</v>
      </c>
      <c r="AS26" s="2023" t="n">
        <f aca="false">AN26+AO26-AP26-AC26+AQ26+AR26</f>
        <v>0.652</v>
      </c>
      <c r="AT26" s="2023" t="n">
        <v>0.15</v>
      </c>
      <c r="AU26" s="2105"/>
      <c r="AV26" s="2023"/>
      <c r="AW26" s="2000" t="n">
        <f aca="false">B26+AC26-AN26-AO26+AP26</f>
        <v>9.917</v>
      </c>
      <c r="AX26" s="1997" t="n">
        <f aca="false">V26+O26</f>
        <v>1.52</v>
      </c>
      <c r="AY26" s="514" t="n">
        <f aca="false">AX26/B26</f>
        <v>0.146548399537216</v>
      </c>
      <c r="AZ26" s="2210"/>
      <c r="BA26" s="401"/>
      <c r="BB26" s="401" t="n">
        <v>70.9</v>
      </c>
      <c r="BC26" s="401"/>
      <c r="BD26" s="401"/>
      <c r="BE26" s="401"/>
      <c r="BF26" s="401"/>
      <c r="BG26" s="401" t="n">
        <v>71</v>
      </c>
      <c r="BH26" s="401" t="n">
        <v>70.836184480635</v>
      </c>
      <c r="BI26" s="440" t="n">
        <v>37184</v>
      </c>
      <c r="BJ26" s="218" t="n">
        <f aca="false">BI26*(1-BN26)</f>
        <v>21014.4247239548</v>
      </c>
      <c r="BK26" s="401" t="n">
        <f aca="false">BI26</f>
        <v>37184</v>
      </c>
      <c r="BL26" s="401"/>
      <c r="BM26" s="401" t="n">
        <f aca="false">BJ26</f>
        <v>21014.4247239548</v>
      </c>
      <c r="BN26" s="2211" t="n">
        <f aca="false">BN27</f>
        <v>0.434853035607927</v>
      </c>
      <c r="BO26" s="2221" t="n">
        <f aca="false">BO25+(BO$30-BO$24)/6</f>
        <v>16035</v>
      </c>
      <c r="BP26" s="218"/>
      <c r="BQ26" s="218"/>
      <c r="BR26" s="2212"/>
      <c r="BS26" s="401" t="n">
        <f aca="false">BT26+CA26+CB26-CC26</f>
        <v>77.4469045357786</v>
      </c>
      <c r="BT26" s="115" t="n">
        <f aca="false">BU26+BW26+BX26+BY26</f>
        <v>74.85</v>
      </c>
      <c r="BU26" s="115" t="n">
        <v>38.25</v>
      </c>
      <c r="BV26" s="514" t="n">
        <f aca="false">BU26/B26</f>
        <v>3.68781334361743</v>
      </c>
      <c r="BW26" s="115" t="n">
        <v>21</v>
      </c>
      <c r="BX26" s="115" t="n">
        <v>8.425</v>
      </c>
      <c r="BY26" s="115" t="n">
        <v>7.175</v>
      </c>
      <c r="BZ26" s="514" t="n">
        <f aca="false">BY26/B26</f>
        <v>0.691766293868106</v>
      </c>
      <c r="CA26" s="1509" t="n">
        <f aca="false">CQ26-CW26</f>
        <v>2.59690453577862</v>
      </c>
      <c r="CB26" s="2213" t="n">
        <v>0</v>
      </c>
      <c r="CC26" s="2019" t="n">
        <v>0</v>
      </c>
      <c r="CD26" s="2214" t="n">
        <v>0</v>
      </c>
      <c r="CE26" s="2215" t="n">
        <f aca="false">CB26-CC26</f>
        <v>0</v>
      </c>
      <c r="CF26" s="2215" t="n">
        <f aca="false">CB26-CC26-CD26</f>
        <v>0</v>
      </c>
      <c r="CG26" s="2024" t="n">
        <f aca="false">CH26-CQ26</f>
        <v>4.81435546422139</v>
      </c>
      <c r="CH26" s="115" t="n">
        <f aca="false">CI26+CJ26+CN26</f>
        <v>7.41126</v>
      </c>
      <c r="CI26" s="1509" t="n">
        <v>1.78</v>
      </c>
      <c r="CJ26" s="1509" t="n">
        <f aca="false">CK26*CL26*CM26</f>
        <v>1.33126</v>
      </c>
      <c r="CK26" s="1509" t="n">
        <v>2.57</v>
      </c>
      <c r="CL26" s="514" t="n">
        <f aca="false">CL25+(CL$33-CL$23)/10</f>
        <v>0.518</v>
      </c>
      <c r="CM26" s="514" t="n">
        <v>1</v>
      </c>
      <c r="CN26" s="1509" t="n">
        <v>4.3</v>
      </c>
      <c r="CO26" s="2017" t="n">
        <f aca="false">CX26-CP26</f>
        <v>-2.60915408547568</v>
      </c>
      <c r="CP26" s="2017" t="n">
        <f aca="false">CQ26+9*(CQ27-CQ26)/12</f>
        <v>2.60915408547568</v>
      </c>
      <c r="CQ26" s="2215" t="n">
        <f aca="false">CQ27*CV26/CV27</f>
        <v>2.59690453577862</v>
      </c>
      <c r="CR26" s="2214" t="n">
        <v>0</v>
      </c>
      <c r="CU26" s="485" t="n">
        <v>0</v>
      </c>
      <c r="CV26" s="2017" t="n">
        <v>2.544</v>
      </c>
      <c r="CW26" s="2217" t="n">
        <v>0</v>
      </c>
      <c r="CX26" s="2019" t="n">
        <f aca="false">CY26+(CU25+9/12*(CU26-CU25))/1000</f>
        <v>0</v>
      </c>
      <c r="CY26" s="2019" t="n">
        <f aca="false">CZ26+DA26</f>
        <v>0</v>
      </c>
      <c r="CZ26" s="2017" t="n">
        <v>0</v>
      </c>
      <c r="DA26" s="2017" t="n">
        <v>0</v>
      </c>
      <c r="DB26" s="2217"/>
      <c r="DC26" s="2220" t="n">
        <f aca="false">CG26+BS26</f>
        <v>82.26126</v>
      </c>
    </row>
    <row r="27" customFormat="false" ht="12" hidden="false" customHeight="false" outlineLevel="0" collapsed="false">
      <c r="A27" s="31" t="n">
        <v>1864</v>
      </c>
      <c r="B27" s="1994" t="n">
        <f aca="false">H27</f>
        <v>10.207</v>
      </c>
      <c r="C27" s="395" t="n">
        <v>14.677</v>
      </c>
      <c r="D27" s="31"/>
      <c r="E27" s="31"/>
      <c r="F27" s="2219" t="n">
        <v>0.530552959654462</v>
      </c>
      <c r="G27" s="2202" t="n">
        <f aca="false">B27-F27</f>
        <v>9.67644704034554</v>
      </c>
      <c r="H27" s="2000" t="n">
        <f aca="false">I27+J27+O27+Q27+T27</f>
        <v>10.207</v>
      </c>
      <c r="I27" s="1997" t="n">
        <v>8.464</v>
      </c>
      <c r="J27" s="1997" t="n">
        <v>0.503</v>
      </c>
      <c r="K27" s="1997"/>
      <c r="L27" s="1997"/>
      <c r="M27" s="514"/>
      <c r="N27" s="1997"/>
      <c r="O27" s="1997" t="n">
        <v>1.22</v>
      </c>
      <c r="P27" s="1997" t="n">
        <v>0.227664</v>
      </c>
      <c r="Q27" s="1997" t="n">
        <f aca="false">V27-T27</f>
        <v>0.02</v>
      </c>
      <c r="R27" s="1997"/>
      <c r="S27" s="1997"/>
      <c r="T27" s="1997" t="n">
        <v>0</v>
      </c>
      <c r="U27" s="1997" t="n">
        <v>0</v>
      </c>
      <c r="V27" s="1999" t="n">
        <v>0.02</v>
      </c>
      <c r="W27" s="384" t="n">
        <f aca="false">X27+AD27</f>
        <v>8.582</v>
      </c>
      <c r="X27" s="2204" t="n">
        <f aca="false">Y27+Z27+AA27+AB27</f>
        <v>2.176</v>
      </c>
      <c r="Y27" s="2008" t="n">
        <v>0.829</v>
      </c>
      <c r="Z27" s="2008" t="n">
        <v>0.35</v>
      </c>
      <c r="AA27" s="2008" t="n">
        <v>0.997</v>
      </c>
      <c r="AB27" s="2205" t="n">
        <v>0</v>
      </c>
      <c r="AC27" s="384" t="n">
        <v>0.1</v>
      </c>
      <c r="AD27" s="2204" t="n">
        <f aca="false">AE27+AF27</f>
        <v>6.406</v>
      </c>
      <c r="AE27" s="2008" t="n">
        <v>3.826</v>
      </c>
      <c r="AF27" s="2023" t="n">
        <v>2.58</v>
      </c>
      <c r="AG27" s="2206"/>
      <c r="AH27" s="387"/>
      <c r="AI27" s="1999"/>
      <c r="AJ27" s="2009" t="n">
        <v>3.579</v>
      </c>
      <c r="AK27" s="2207" t="e">
        <f aca="false">NA()</f>
        <v>#N/A</v>
      </c>
      <c r="AL27" s="2207" t="e">
        <f aca="false">NA()</f>
        <v>#N/A</v>
      </c>
      <c r="AM27" s="2207"/>
      <c r="AN27" s="2208" t="n">
        <v>0.528</v>
      </c>
      <c r="AO27" s="2023" t="n">
        <v>0.117</v>
      </c>
      <c r="AP27" s="2023" t="n">
        <v>0.078</v>
      </c>
      <c r="AQ27" s="2023" t="n">
        <v>0</v>
      </c>
      <c r="AR27" s="2023" t="n">
        <v>0.247</v>
      </c>
      <c r="AS27" s="2023" t="n">
        <f aca="false">AN27+AO27-AP27-AC27+AQ27+AR27</f>
        <v>0.714</v>
      </c>
      <c r="AT27" s="2023" t="n">
        <v>0.204</v>
      </c>
      <c r="AU27" s="2105"/>
      <c r="AV27" s="2023"/>
      <c r="AW27" s="2000" t="n">
        <f aca="false">B27+AC27-AN27-AO27+AP27</f>
        <v>9.74</v>
      </c>
      <c r="AX27" s="1997" t="n">
        <f aca="false">V27+O27</f>
        <v>1.24</v>
      </c>
      <c r="AY27" s="514" t="n">
        <f aca="false">AX27/B27</f>
        <v>0.121485255217008</v>
      </c>
      <c r="AZ27" s="2210"/>
      <c r="BA27" s="401"/>
      <c r="BB27" s="401" t="n">
        <v>69.5</v>
      </c>
      <c r="BC27" s="401"/>
      <c r="BD27" s="401"/>
      <c r="BE27" s="401"/>
      <c r="BF27" s="401"/>
      <c r="BG27" s="401" t="n">
        <v>69.8</v>
      </c>
      <c r="BH27" s="401" t="n">
        <v>69.5500785143716</v>
      </c>
      <c r="BI27" s="440" t="n">
        <v>37602</v>
      </c>
      <c r="BJ27" s="218" t="n">
        <f aca="false">BI27*(1-BN27)</f>
        <v>21250.6561550707</v>
      </c>
      <c r="BK27" s="401" t="n">
        <f aca="false">BI27</f>
        <v>37602</v>
      </c>
      <c r="BL27" s="401"/>
      <c r="BM27" s="401" t="n">
        <f aca="false">BJ27</f>
        <v>21250.6561550707</v>
      </c>
      <c r="BN27" s="2211" t="n">
        <f aca="false">BN28</f>
        <v>0.434853035607927</v>
      </c>
      <c r="BO27" s="2221" t="n">
        <f aca="false">BO26+(BO$30-BO$24)/6</f>
        <v>16069</v>
      </c>
      <c r="BP27" s="218"/>
      <c r="BQ27" s="218"/>
      <c r="BR27" s="2212"/>
      <c r="BS27" s="401" t="n">
        <f aca="false">BT27+CA27+CB27-CC27</f>
        <v>78.6632372687081</v>
      </c>
      <c r="BT27" s="115" t="n">
        <f aca="false">BU27+BW27+BX27+BY27</f>
        <v>76.05</v>
      </c>
      <c r="BU27" s="115" t="n">
        <v>39.1</v>
      </c>
      <c r="BV27" s="514" t="n">
        <f aca="false">BU27/B27</f>
        <v>3.8307044185363</v>
      </c>
      <c r="BW27" s="115" t="n">
        <v>20.8</v>
      </c>
      <c r="BX27" s="115" t="n">
        <v>8.75</v>
      </c>
      <c r="BY27" s="115" t="n">
        <v>7.4</v>
      </c>
      <c r="BZ27" s="514" t="n">
        <f aca="false">BY27/B27</f>
        <v>0.724992652101499</v>
      </c>
      <c r="CA27" s="1509" t="n">
        <f aca="false">CQ27-CW27</f>
        <v>2.61323726870804</v>
      </c>
      <c r="CB27" s="2213" t="n">
        <v>0</v>
      </c>
      <c r="CC27" s="2019" t="n">
        <v>0</v>
      </c>
      <c r="CD27" s="2214" t="n">
        <v>0</v>
      </c>
      <c r="CE27" s="2215" t="n">
        <f aca="false">CB27-CC27</f>
        <v>0</v>
      </c>
      <c r="CF27" s="2215" t="n">
        <f aca="false">CB27-CC27-CD27</f>
        <v>0</v>
      </c>
      <c r="CG27" s="2024" t="n">
        <f aca="false">CH27-CQ27</f>
        <v>4.83014273129196</v>
      </c>
      <c r="CH27" s="115" t="n">
        <f aca="false">CI27+CJ27+CN27</f>
        <v>7.44338</v>
      </c>
      <c r="CI27" s="1509" t="n">
        <v>1.785</v>
      </c>
      <c r="CJ27" s="1509" t="n">
        <f aca="false">CK27*CL27*CM27</f>
        <v>1.43838</v>
      </c>
      <c r="CK27" s="1509" t="n">
        <v>2.745</v>
      </c>
      <c r="CL27" s="514" t="n">
        <f aca="false">CL26+(CL$33-CL$23)/10</f>
        <v>0.524</v>
      </c>
      <c r="CM27" s="514" t="n">
        <v>1</v>
      </c>
      <c r="CN27" s="1509" t="n">
        <v>4.22</v>
      </c>
      <c r="CO27" s="2017" t="n">
        <f aca="false">CX27-CP27</f>
        <v>-2.67448501719339</v>
      </c>
      <c r="CP27" s="2017" t="n">
        <f aca="false">CQ27+9*(CQ28-CQ27)/12</f>
        <v>2.67448501719339</v>
      </c>
      <c r="CQ27" s="2215" t="n">
        <f aca="false">CQ28*CV27/CV28</f>
        <v>2.61323726870804</v>
      </c>
      <c r="CR27" s="2214" t="n">
        <v>0</v>
      </c>
      <c r="CU27" s="485" t="n">
        <v>0</v>
      </c>
      <c r="CV27" s="2017" t="n">
        <v>2.56</v>
      </c>
      <c r="CW27" s="2217" t="n">
        <v>0</v>
      </c>
      <c r="CX27" s="2019" t="n">
        <f aca="false">CY27+(CU26+9/12*(CU27-CU26))/1000</f>
        <v>0</v>
      </c>
      <c r="CY27" s="2019" t="n">
        <f aca="false">CZ27+DA27</f>
        <v>0</v>
      </c>
      <c r="CZ27" s="2017" t="n">
        <v>0</v>
      </c>
      <c r="DA27" s="2017" t="n">
        <v>0</v>
      </c>
      <c r="DB27" s="2217"/>
      <c r="DC27" s="2220" t="n">
        <f aca="false">CG27+BS27</f>
        <v>83.49338</v>
      </c>
    </row>
    <row r="28" customFormat="false" ht="12" hidden="false" customHeight="false" outlineLevel="0" collapsed="false">
      <c r="A28" s="31" t="n">
        <v>1865</v>
      </c>
      <c r="B28" s="1994" t="n">
        <f aca="false">H28</f>
        <v>10.279</v>
      </c>
      <c r="C28" s="395" t="n">
        <v>14.858</v>
      </c>
      <c r="D28" s="31"/>
      <c r="E28" s="31"/>
      <c r="F28" s="2219" t="n">
        <v>0.555103569338795</v>
      </c>
      <c r="G28" s="2202" t="n">
        <f aca="false">B28-F28</f>
        <v>9.72389643066121</v>
      </c>
      <c r="H28" s="2000" t="n">
        <f aca="false">I28+J28+O28+Q28+T28</f>
        <v>10.279</v>
      </c>
      <c r="I28" s="1997" t="n">
        <v>8.679</v>
      </c>
      <c r="J28" s="1997" t="n">
        <v>0.525</v>
      </c>
      <c r="K28" s="1997"/>
      <c r="L28" s="1997"/>
      <c r="M28" s="514"/>
      <c r="N28" s="1997"/>
      <c r="O28" s="1997" t="n">
        <v>1.05</v>
      </c>
      <c r="P28" s="1997" t="n">
        <v>0.253692</v>
      </c>
      <c r="Q28" s="1997" t="n">
        <f aca="false">V28-T28</f>
        <v>0.025</v>
      </c>
      <c r="R28" s="1997"/>
      <c r="S28" s="1997"/>
      <c r="T28" s="1997" t="n">
        <v>0</v>
      </c>
      <c r="U28" s="1997" t="n">
        <v>0</v>
      </c>
      <c r="V28" s="1999" t="n">
        <v>0.025</v>
      </c>
      <c r="W28" s="384" t="n">
        <f aca="false">X28+AD28</f>
        <v>8.459</v>
      </c>
      <c r="X28" s="2204" t="n">
        <f aca="false">Y28+Z28+AA28+AB28</f>
        <v>1.951</v>
      </c>
      <c r="Y28" s="2008" t="n">
        <v>0.846</v>
      </c>
      <c r="Z28" s="2008" t="n">
        <v>0.37</v>
      </c>
      <c r="AA28" s="2008" t="n">
        <v>0.735</v>
      </c>
      <c r="AB28" s="2205" t="n">
        <v>0</v>
      </c>
      <c r="AC28" s="384" t="n">
        <v>0.104</v>
      </c>
      <c r="AD28" s="2204" t="n">
        <f aca="false">AE28+AF28</f>
        <v>6.508</v>
      </c>
      <c r="AE28" s="2008" t="n">
        <v>3.867</v>
      </c>
      <c r="AF28" s="2023" t="n">
        <v>2.641</v>
      </c>
      <c r="AG28" s="2206"/>
      <c r="AH28" s="387"/>
      <c r="AI28" s="1999"/>
      <c r="AJ28" s="2009" t="n">
        <v>3.371</v>
      </c>
      <c r="AK28" s="2207" t="e">
        <f aca="false">NA()</f>
        <v>#N/A</v>
      </c>
      <c r="AL28" s="2207" t="e">
        <f aca="false">NA()</f>
        <v>#N/A</v>
      </c>
      <c r="AM28" s="2207"/>
      <c r="AN28" s="2208" t="n">
        <v>0.552</v>
      </c>
      <c r="AO28" s="2023" t="n">
        <v>0.12</v>
      </c>
      <c r="AP28" s="2023" t="n">
        <v>0.082</v>
      </c>
      <c r="AQ28" s="2023" t="n">
        <v>0</v>
      </c>
      <c r="AR28" s="2023" t="n">
        <v>0.246</v>
      </c>
      <c r="AS28" s="2023" t="n">
        <f aca="false">AN28+AO28-AP28-AC28+AQ28+AR28</f>
        <v>0.732</v>
      </c>
      <c r="AT28" s="2023" t="n">
        <v>0.199</v>
      </c>
      <c r="AU28" s="2105"/>
      <c r="AV28" s="2023"/>
      <c r="AW28" s="2000" t="n">
        <f aca="false">B28+AC28-AN28-AO28+AP28</f>
        <v>9.793</v>
      </c>
      <c r="AX28" s="1997" t="n">
        <f aca="false">V28+O28</f>
        <v>1.075</v>
      </c>
      <c r="AY28" s="514" t="n">
        <f aca="false">AX28/B28</f>
        <v>0.104582157797451</v>
      </c>
      <c r="AZ28" s="2210"/>
      <c r="BA28" s="401"/>
      <c r="BB28" s="401" t="n">
        <v>69.2</v>
      </c>
      <c r="BC28" s="401"/>
      <c r="BD28" s="401"/>
      <c r="BE28" s="401"/>
      <c r="BF28" s="401"/>
      <c r="BG28" s="401" t="n">
        <v>69.6</v>
      </c>
      <c r="BH28" s="401" t="n">
        <v>69.1762801052419</v>
      </c>
      <c r="BI28" s="440" t="n">
        <v>37955</v>
      </c>
      <c r="BJ28" s="218" t="n">
        <f aca="false">BI28*(1-BN28)</f>
        <v>21450.1530335011</v>
      </c>
      <c r="BK28" s="401" t="n">
        <f aca="false">BI28</f>
        <v>37955</v>
      </c>
      <c r="BL28" s="401"/>
      <c r="BM28" s="401" t="n">
        <f aca="false">BJ28</f>
        <v>21450.1530335011</v>
      </c>
      <c r="BN28" s="2211" t="n">
        <f aca="false">BN29</f>
        <v>0.434853035607927</v>
      </c>
      <c r="BO28" s="2221" t="n">
        <f aca="false">BO27+(BO$30-BO$24)/6</f>
        <v>16103</v>
      </c>
      <c r="BP28" s="218"/>
      <c r="BQ28" s="218"/>
      <c r="BR28" s="2212"/>
      <c r="BS28" s="401" t="n">
        <f aca="false">BT28+CA28+CB28-CC28</f>
        <v>79.7649009333552</v>
      </c>
      <c r="BT28" s="115" t="n">
        <f aca="false">BU28+BW28+BX28+BY28</f>
        <v>77.07</v>
      </c>
      <c r="BU28" s="115" t="n">
        <v>39.8</v>
      </c>
      <c r="BV28" s="514" t="n">
        <f aca="false">BU28/B28</f>
        <v>3.87197198171028</v>
      </c>
      <c r="BW28" s="115" t="n">
        <v>20.7</v>
      </c>
      <c r="BX28" s="115" t="n">
        <v>8.945</v>
      </c>
      <c r="BY28" s="115" t="n">
        <v>7.625</v>
      </c>
      <c r="BZ28" s="514" t="n">
        <f aca="false">BY28/B28</f>
        <v>0.741803677400525</v>
      </c>
      <c r="CA28" s="1509" t="n">
        <f aca="false">CQ28-CW28</f>
        <v>2.69490093335517</v>
      </c>
      <c r="CB28" s="2213" t="n">
        <v>0</v>
      </c>
      <c r="CC28" s="2019" t="n">
        <v>0</v>
      </c>
      <c r="CD28" s="2214" t="n">
        <v>0</v>
      </c>
      <c r="CE28" s="2215" t="n">
        <f aca="false">CB28-CC28</f>
        <v>0</v>
      </c>
      <c r="CF28" s="2215" t="n">
        <f aca="false">CB28-CC28-CD28</f>
        <v>0</v>
      </c>
      <c r="CG28" s="2024" t="n">
        <f aca="false">CH28-CQ28</f>
        <v>4.77679906664483</v>
      </c>
      <c r="CH28" s="115" t="n">
        <f aca="false">CI28+CJ28+CN28</f>
        <v>7.4717</v>
      </c>
      <c r="CI28" s="1509" t="n">
        <v>1.795</v>
      </c>
      <c r="CJ28" s="1509" t="n">
        <f aca="false">CK28*CL28*CM28</f>
        <v>1.5317</v>
      </c>
      <c r="CK28" s="1509" t="n">
        <v>2.89</v>
      </c>
      <c r="CL28" s="514" t="n">
        <f aca="false">CL27+(CL$33-CL$23)/10</f>
        <v>0.53</v>
      </c>
      <c r="CM28" s="514" t="n">
        <v>1</v>
      </c>
      <c r="CN28" s="1509" t="n">
        <v>4.145</v>
      </c>
      <c r="CO28" s="2017" t="n">
        <f aca="false">CX28-CP28</f>
        <v>-2.84266112657606</v>
      </c>
      <c r="CP28" s="2017" t="n">
        <f aca="false">CQ28+9*(CQ29-CQ28)/12</f>
        <v>2.84266112657606</v>
      </c>
      <c r="CQ28" s="2215" t="n">
        <f aca="false">CQ29*CV28/CV29</f>
        <v>2.69490093335517</v>
      </c>
      <c r="CR28" s="2214" t="n">
        <v>0</v>
      </c>
      <c r="CU28" s="485" t="n">
        <v>0</v>
      </c>
      <c r="CV28" s="2017" t="n">
        <v>2.64</v>
      </c>
      <c r="CW28" s="2217" t="n">
        <v>0</v>
      </c>
      <c r="CX28" s="2019" t="n">
        <f aca="false">CY28+(CU27+9/12*(CU28-CU27))/1000</f>
        <v>0</v>
      </c>
      <c r="CY28" s="2019" t="n">
        <f aca="false">CZ28+DA28</f>
        <v>0</v>
      </c>
      <c r="CZ28" s="2017" t="n">
        <v>0</v>
      </c>
      <c r="DA28" s="2017" t="n">
        <v>0</v>
      </c>
      <c r="DB28" s="2217"/>
      <c r="DC28" s="2220" t="n">
        <f aca="false">CG28+BS28</f>
        <v>84.5417</v>
      </c>
    </row>
    <row r="29" customFormat="false" ht="12" hidden="false" customHeight="false" outlineLevel="0" collapsed="false">
      <c r="A29" s="31" t="n">
        <v>1866</v>
      </c>
      <c r="B29" s="1994" t="n">
        <f aca="false">H29</f>
        <v>10.714</v>
      </c>
      <c r="C29" s="395" t="n">
        <v>15.106</v>
      </c>
      <c r="D29" s="31"/>
      <c r="E29" s="31"/>
      <c r="F29" s="2219" t="n">
        <v>0.564058405091726</v>
      </c>
      <c r="G29" s="2202" t="n">
        <f aca="false">B29-F29</f>
        <v>10.1499415949083</v>
      </c>
      <c r="H29" s="2000" t="n">
        <f aca="false">I29+J29+O29+Q29+T29</f>
        <v>10.714</v>
      </c>
      <c r="I29" s="1997" t="n">
        <v>8.77</v>
      </c>
      <c r="J29" s="1997" t="n">
        <v>0.854</v>
      </c>
      <c r="K29" s="1997"/>
      <c r="L29" s="1997"/>
      <c r="M29" s="514"/>
      <c r="N29" s="1997"/>
      <c r="O29" s="1997" t="n">
        <v>1.06</v>
      </c>
      <c r="P29" s="1997" t="n">
        <v>0.400026</v>
      </c>
      <c r="Q29" s="1997" t="n">
        <f aca="false">V29-T29</f>
        <v>0.03</v>
      </c>
      <c r="R29" s="1997"/>
      <c r="S29" s="1997"/>
      <c r="T29" s="1997" t="n">
        <v>0</v>
      </c>
      <c r="U29" s="1997" t="n">
        <v>0</v>
      </c>
      <c r="V29" s="1999" t="n">
        <v>0.03</v>
      </c>
      <c r="W29" s="384" t="n">
        <f aca="false">X29+AD29</f>
        <v>8.878</v>
      </c>
      <c r="X29" s="2204" t="n">
        <f aca="false">Y29+Z29+AA29+AB29</f>
        <v>2.018</v>
      </c>
      <c r="Y29" s="2008" t="n">
        <v>0.85</v>
      </c>
      <c r="Z29" s="2008" t="n">
        <v>0.39</v>
      </c>
      <c r="AA29" s="2008" t="n">
        <v>0.778</v>
      </c>
      <c r="AB29" s="2205" t="n">
        <v>0</v>
      </c>
      <c r="AC29" s="384" t="n">
        <v>0.105</v>
      </c>
      <c r="AD29" s="2204" t="n">
        <f aca="false">AE29+AF29</f>
        <v>6.86</v>
      </c>
      <c r="AE29" s="2008" t="n">
        <v>4.087</v>
      </c>
      <c r="AF29" s="2023" t="n">
        <v>2.773</v>
      </c>
      <c r="AG29" s="2206"/>
      <c r="AH29" s="387"/>
      <c r="AI29" s="1999"/>
      <c r="AJ29" s="2009" t="n">
        <v>3.551</v>
      </c>
      <c r="AK29" s="2207" t="e">
        <f aca="false">NA()</f>
        <v>#N/A</v>
      </c>
      <c r="AL29" s="2207" t="e">
        <f aca="false">NA()</f>
        <v>#N/A</v>
      </c>
      <c r="AM29" s="2207"/>
      <c r="AN29" s="2208" t="n">
        <v>0.567</v>
      </c>
      <c r="AO29" s="2023" t="n">
        <v>0.122</v>
      </c>
      <c r="AP29" s="2023" t="n">
        <v>0.086</v>
      </c>
      <c r="AQ29" s="2023" t="n">
        <v>0</v>
      </c>
      <c r="AR29" s="2023" t="n">
        <v>0.261</v>
      </c>
      <c r="AS29" s="2023" t="n">
        <f aca="false">AN29+AO29-AP29-AC29+AQ29+AR29</f>
        <v>0.759</v>
      </c>
      <c r="AT29" s="2023" t="n">
        <v>-0.103</v>
      </c>
      <c r="AU29" s="2105"/>
      <c r="AV29" s="2023"/>
      <c r="AW29" s="2000" t="n">
        <f aca="false">B29+AC29-AN29-AO29+AP29</f>
        <v>10.216</v>
      </c>
      <c r="AX29" s="1997" t="n">
        <f aca="false">V29+O29</f>
        <v>1.09</v>
      </c>
      <c r="AY29" s="514" t="n">
        <f aca="false">AX29/B29</f>
        <v>0.101736046294568</v>
      </c>
      <c r="AZ29" s="2210"/>
      <c r="BA29" s="401"/>
      <c r="BB29" s="401" t="n">
        <v>70.9</v>
      </c>
      <c r="BC29" s="401"/>
      <c r="BD29" s="401"/>
      <c r="BE29" s="401"/>
      <c r="BF29" s="401"/>
      <c r="BG29" s="401" t="n">
        <v>71</v>
      </c>
      <c r="BH29" s="401" t="n">
        <v>70.9146422408071</v>
      </c>
      <c r="BI29" s="440" t="n">
        <v>38193</v>
      </c>
      <c r="BJ29" s="218" t="n">
        <f aca="false">BI29*(1-BN29)</f>
        <v>21584.6580110264</v>
      </c>
      <c r="BK29" s="401" t="n">
        <f aca="false">BI29</f>
        <v>38193</v>
      </c>
      <c r="BL29" s="401"/>
      <c r="BM29" s="401" t="n">
        <f aca="false">BJ29</f>
        <v>21584.6580110264</v>
      </c>
      <c r="BN29" s="2211" t="n">
        <f aca="false">BN30</f>
        <v>0.434853035607927</v>
      </c>
      <c r="BO29" s="2221" t="n">
        <f aca="false">BO28+(BO$30-BO$24)/6</f>
        <v>16137</v>
      </c>
      <c r="BP29" s="218"/>
      <c r="BQ29" s="218"/>
      <c r="BR29" s="2212"/>
      <c r="BS29" s="401" t="n">
        <f aca="false">BT29+CA29+CB29-CC29</f>
        <v>81.0569145243164</v>
      </c>
      <c r="BT29" s="115" t="n">
        <f aca="false">BU29+BW29+BX29+BY29</f>
        <v>78.165</v>
      </c>
      <c r="BU29" s="115" t="n">
        <v>40.35</v>
      </c>
      <c r="BV29" s="514" t="n">
        <f aca="false">BU29/B29</f>
        <v>3.76610042934478</v>
      </c>
      <c r="BW29" s="115" t="n">
        <v>20.9</v>
      </c>
      <c r="BX29" s="115" t="n">
        <v>8.985</v>
      </c>
      <c r="BY29" s="115" t="n">
        <v>7.93</v>
      </c>
      <c r="BZ29" s="514" t="n">
        <f aca="false">BY29/B29</f>
        <v>0.740153070748553</v>
      </c>
      <c r="CA29" s="1509" t="n">
        <f aca="false">CQ29-CW29</f>
        <v>2.89191452431636</v>
      </c>
      <c r="CB29" s="2213" t="n">
        <v>0</v>
      </c>
      <c r="CC29" s="2019" t="n">
        <v>0</v>
      </c>
      <c r="CD29" s="2214" t="n">
        <v>0</v>
      </c>
      <c r="CE29" s="2215" t="n">
        <f aca="false">CB29-CC29</f>
        <v>0</v>
      </c>
      <c r="CF29" s="2215" t="n">
        <f aca="false">CB29-CC29-CD29</f>
        <v>0</v>
      </c>
      <c r="CG29" s="2024" t="n">
        <f aca="false">CH29-CQ29</f>
        <v>4.75432547568364</v>
      </c>
      <c r="CH29" s="115" t="n">
        <f aca="false">CI29+CJ29+CN29</f>
        <v>7.64624</v>
      </c>
      <c r="CI29" s="1509" t="n">
        <v>1.83</v>
      </c>
      <c r="CJ29" s="1509" t="n">
        <f aca="false">CK29*CL29*CM29</f>
        <v>1.65624</v>
      </c>
      <c r="CK29" s="1509" t="n">
        <v>3.09</v>
      </c>
      <c r="CL29" s="514" t="n">
        <f aca="false">CL28+(CL$33-CL$23)/10</f>
        <v>0.536</v>
      </c>
      <c r="CM29" s="514" t="n">
        <v>1</v>
      </c>
      <c r="CN29" s="1509" t="n">
        <v>4.16</v>
      </c>
      <c r="CO29" s="2017" t="n">
        <f aca="false">CX29-CP29</f>
        <v>-3.04656508924185</v>
      </c>
      <c r="CP29" s="2017" t="n">
        <f aca="false">CQ29+9*(CQ30-CQ29)/12</f>
        <v>3.04656508924185</v>
      </c>
      <c r="CQ29" s="2215" t="n">
        <f aca="false">CQ30*CV29/CV30</f>
        <v>2.89191452431636</v>
      </c>
      <c r="CR29" s="2214" t="n">
        <v>0</v>
      </c>
      <c r="CU29" s="485" t="n">
        <v>0</v>
      </c>
      <c r="CV29" s="2017" t="n">
        <v>2.833</v>
      </c>
      <c r="CW29" s="2217" t="n">
        <v>0</v>
      </c>
      <c r="CX29" s="2019" t="n">
        <f aca="false">CY29+(CU28+9/12*(CU29-CU28))/1000</f>
        <v>0</v>
      </c>
      <c r="CY29" s="2019" t="n">
        <f aca="false">CZ29+DA29</f>
        <v>0</v>
      </c>
      <c r="CZ29" s="2017" t="n">
        <v>0</v>
      </c>
      <c r="DA29" s="2017" t="n">
        <v>0</v>
      </c>
      <c r="DB29" s="2217"/>
      <c r="DC29" s="2220" t="n">
        <f aca="false">CG29+BS29</f>
        <v>85.81124</v>
      </c>
    </row>
    <row r="30" customFormat="false" ht="12" hidden="false" customHeight="false" outlineLevel="0" collapsed="false">
      <c r="A30" s="31" t="n">
        <v>1867</v>
      </c>
      <c r="B30" s="1994" t="n">
        <f aca="false">H30</f>
        <v>11.558</v>
      </c>
      <c r="C30" s="395" t="n">
        <v>15.108</v>
      </c>
      <c r="D30" s="31"/>
      <c r="E30" s="31"/>
      <c r="F30" s="2219" t="n">
        <v>0.543619543521652</v>
      </c>
      <c r="G30" s="2202" t="n">
        <f aca="false">B30-F30</f>
        <v>11.0143804564783</v>
      </c>
      <c r="H30" s="2000" t="n">
        <f aca="false">I30+J30+O30+Q30+T30</f>
        <v>11.558</v>
      </c>
      <c r="I30" s="1997" t="n">
        <v>9.813</v>
      </c>
      <c r="J30" s="1997" t="n">
        <v>0.86</v>
      </c>
      <c r="K30" s="1997"/>
      <c r="L30" s="1997"/>
      <c r="M30" s="514"/>
      <c r="N30" s="1997"/>
      <c r="O30" s="1997" t="n">
        <v>0.85</v>
      </c>
      <c r="P30" s="1997" t="n">
        <v>0.060286</v>
      </c>
      <c r="Q30" s="1997" t="n">
        <f aca="false">V30-T30</f>
        <v>0.035</v>
      </c>
      <c r="R30" s="1997"/>
      <c r="S30" s="1997"/>
      <c r="T30" s="1997" t="n">
        <v>0</v>
      </c>
      <c r="U30" s="1997" t="n">
        <v>0</v>
      </c>
      <c r="V30" s="1999" t="n">
        <v>0.035</v>
      </c>
      <c r="W30" s="384" t="n">
        <f aca="false">X30+AD30</f>
        <v>9.387</v>
      </c>
      <c r="X30" s="2204" t="n">
        <f aca="false">Y30+Z30+AA30+AB30</f>
        <v>2.305</v>
      </c>
      <c r="Y30" s="2008" t="n">
        <v>0.859</v>
      </c>
      <c r="Z30" s="2008" t="n">
        <v>0.409</v>
      </c>
      <c r="AA30" s="2008" t="n">
        <v>1.037</v>
      </c>
      <c r="AB30" s="2205" t="n">
        <v>0</v>
      </c>
      <c r="AC30" s="384" t="n">
        <v>0.113</v>
      </c>
      <c r="AD30" s="2204" t="n">
        <f aca="false">AE30+AF30</f>
        <v>7.082</v>
      </c>
      <c r="AE30" s="2008" t="n">
        <v>4.299</v>
      </c>
      <c r="AF30" s="2023" t="n">
        <v>2.783</v>
      </c>
      <c r="AG30" s="2206"/>
      <c r="AH30" s="387"/>
      <c r="AI30" s="1999"/>
      <c r="AJ30" s="2009" t="n">
        <v>3.821</v>
      </c>
      <c r="AK30" s="2207" t="n">
        <v>8333</v>
      </c>
      <c r="AL30" s="2207" t="n">
        <v>2330</v>
      </c>
      <c r="AM30" s="2207"/>
      <c r="AN30" s="2208" t="n">
        <v>0.564</v>
      </c>
      <c r="AO30" s="2023" t="n">
        <v>0.125</v>
      </c>
      <c r="AP30" s="2023" t="n">
        <v>0.109</v>
      </c>
      <c r="AQ30" s="2023" t="n">
        <v>0</v>
      </c>
      <c r="AR30" s="2023" t="n">
        <v>0.27</v>
      </c>
      <c r="AS30" s="2023" t="n">
        <f aca="false">AN30+AO30-AP30-AC30+AQ30+AR30</f>
        <v>0.737</v>
      </c>
      <c r="AT30" s="2023" t="n">
        <v>-0.131</v>
      </c>
      <c r="AU30" s="2105"/>
      <c r="AV30" s="2023"/>
      <c r="AW30" s="2000" t="n">
        <f aca="false">B30+AC30-AN30-AO30+AP30</f>
        <v>11.091</v>
      </c>
      <c r="AX30" s="1997" t="n">
        <f aca="false">V30+O30</f>
        <v>0.885</v>
      </c>
      <c r="AY30" s="514" t="n">
        <f aca="false">AX30/B30</f>
        <v>0.0765703408894272</v>
      </c>
      <c r="AZ30" s="2210"/>
      <c r="BA30" s="401"/>
      <c r="BB30" s="401" t="n">
        <v>74.2</v>
      </c>
      <c r="BC30" s="401"/>
      <c r="BD30" s="401"/>
      <c r="BE30" s="401"/>
      <c r="BF30" s="401"/>
      <c r="BG30" s="401" t="n">
        <v>74.9</v>
      </c>
      <c r="BH30" s="401" t="n">
        <v>76.5241067870899</v>
      </c>
      <c r="BI30" s="440" t="n">
        <v>38440</v>
      </c>
      <c r="BJ30" s="218" t="n">
        <f aca="false">BI30*(1-BN30)</f>
        <v>21724.2493112313</v>
      </c>
      <c r="BK30" s="401" t="n">
        <f aca="false">BI30</f>
        <v>38440</v>
      </c>
      <c r="BL30" s="401"/>
      <c r="BM30" s="401" t="n">
        <f aca="false">BJ30</f>
        <v>21724.2493112313</v>
      </c>
      <c r="BN30" s="2211" t="n">
        <f aca="false">BN31</f>
        <v>0.434853035607927</v>
      </c>
      <c r="BO30" s="218" t="n">
        <v>16171</v>
      </c>
      <c r="BP30" s="218"/>
      <c r="BQ30" s="218"/>
      <c r="BR30" s="2212"/>
      <c r="BS30" s="401" t="n">
        <f aca="false">BT30+CA30+CB30-CC30</f>
        <v>82.6231152775504</v>
      </c>
      <c r="BT30" s="115" t="n">
        <f aca="false">BU30+BW30+BX30+BY30</f>
        <v>79.525</v>
      </c>
      <c r="BU30" s="115" t="n">
        <v>40.9</v>
      </c>
      <c r="BV30" s="514" t="n">
        <f aca="false">BU30/B30</f>
        <v>3.5386745111611</v>
      </c>
      <c r="BW30" s="115" t="n">
        <v>21.35</v>
      </c>
      <c r="BX30" s="115" t="n">
        <v>8.94</v>
      </c>
      <c r="BY30" s="115" t="n">
        <v>8.335</v>
      </c>
      <c r="BZ30" s="514" t="n">
        <f aca="false">BY30/B30</f>
        <v>0.72114552690777</v>
      </c>
      <c r="CA30" s="1509" t="n">
        <f aca="false">CQ30-CW30</f>
        <v>3.09811527755035</v>
      </c>
      <c r="CB30" s="2213" t="n">
        <v>0</v>
      </c>
      <c r="CC30" s="2019" t="n">
        <v>0</v>
      </c>
      <c r="CD30" s="2214" t="n">
        <v>0</v>
      </c>
      <c r="CE30" s="2215" t="n">
        <f aca="false">CB30-CC30</f>
        <v>0</v>
      </c>
      <c r="CF30" s="2215" t="n">
        <f aca="false">CB30-CC30-CD30</f>
        <v>0</v>
      </c>
      <c r="CG30" s="2024" t="n">
        <f aca="false">CH30-CQ30</f>
        <v>4.73960472244965</v>
      </c>
      <c r="CH30" s="115" t="n">
        <f aca="false">CI30+CJ30+CN30</f>
        <v>7.83772</v>
      </c>
      <c r="CI30" s="1509" t="n">
        <v>1.88</v>
      </c>
      <c r="CJ30" s="1509" t="n">
        <f aca="false">CK30*CL30*CM30</f>
        <v>1.71272</v>
      </c>
      <c r="CK30" s="1509" t="n">
        <v>3.16</v>
      </c>
      <c r="CL30" s="514" t="n">
        <f aca="false">CL29+(CL$33-CL$23)/10</f>
        <v>0.542</v>
      </c>
      <c r="CM30" s="514" t="n">
        <v>1</v>
      </c>
      <c r="CN30" s="1509" t="n">
        <v>4.245</v>
      </c>
      <c r="CO30" s="2017" t="n">
        <f aca="false">CX30-CP30</f>
        <v>-3.346168658916</v>
      </c>
      <c r="CP30" s="2017" t="n">
        <f aca="false">CQ30+9*(CQ31-CQ30)/12</f>
        <v>3.346168658916</v>
      </c>
      <c r="CQ30" s="2215" t="n">
        <f aca="false">CQ31*CV30/CV31</f>
        <v>3.09811527755035</v>
      </c>
      <c r="CR30" s="2214" t="n">
        <v>0</v>
      </c>
      <c r="CU30" s="485" t="n">
        <v>0</v>
      </c>
      <c r="CV30" s="2017" t="n">
        <v>3.035</v>
      </c>
      <c r="CW30" s="2217" t="n">
        <v>0</v>
      </c>
      <c r="CX30" s="2019" t="n">
        <f aca="false">CY30+(CU29+9/12*(CU30-CU29))/1000</f>
        <v>0</v>
      </c>
      <c r="CY30" s="2019" t="n">
        <f aca="false">CZ30+DA30</f>
        <v>0</v>
      </c>
      <c r="CZ30" s="2017" t="n">
        <v>0</v>
      </c>
      <c r="DA30" s="2017" t="n">
        <v>0</v>
      </c>
      <c r="DB30" s="2217"/>
      <c r="DC30" s="2220" t="n">
        <f aca="false">CG30+BS30</f>
        <v>87.36272</v>
      </c>
    </row>
    <row r="31" customFormat="false" ht="12" hidden="false" customHeight="false" outlineLevel="0" collapsed="false">
      <c r="A31" s="31" t="n">
        <v>1868</v>
      </c>
      <c r="B31" s="1994" t="n">
        <f aca="false">H31</f>
        <v>12.967</v>
      </c>
      <c r="C31" s="395" t="n">
        <v>16.621</v>
      </c>
      <c r="D31" s="31"/>
      <c r="E31" s="31"/>
      <c r="F31" s="2219" t="n">
        <v>0.553871022683286</v>
      </c>
      <c r="G31" s="2202" t="n">
        <f aca="false">B31-F31</f>
        <v>12.4131289773167</v>
      </c>
      <c r="H31" s="2000" t="n">
        <f aca="false">I31+J31+O31+Q31+T31</f>
        <v>12.967</v>
      </c>
      <c r="I31" s="1997" t="n">
        <v>10.333</v>
      </c>
      <c r="J31" s="1997" t="n">
        <v>0.664</v>
      </c>
      <c r="K31" s="1997"/>
      <c r="L31" s="1997"/>
      <c r="M31" s="514"/>
      <c r="N31" s="1997"/>
      <c r="O31" s="1997" t="n">
        <v>1.92</v>
      </c>
      <c r="P31" s="1997" t="n">
        <v>0.46325</v>
      </c>
      <c r="Q31" s="1997" t="n">
        <f aca="false">V31-T31</f>
        <v>0.05</v>
      </c>
      <c r="R31" s="1997"/>
      <c r="S31" s="1997"/>
      <c r="T31" s="1997" t="n">
        <v>0</v>
      </c>
      <c r="U31" s="1997" t="n">
        <v>0</v>
      </c>
      <c r="V31" s="1999" t="n">
        <v>0.05</v>
      </c>
      <c r="W31" s="384" t="n">
        <f aca="false">X31+AD31</f>
        <v>10.456</v>
      </c>
      <c r="X31" s="2204" t="n">
        <f aca="false">Y31+Z31+AA31+AB31</f>
        <v>3.063</v>
      </c>
      <c r="Y31" s="2008" t="n">
        <v>0.897</v>
      </c>
      <c r="Z31" s="2008" t="n">
        <v>0.43</v>
      </c>
      <c r="AA31" s="2008" t="n">
        <v>1.736</v>
      </c>
      <c r="AB31" s="2205" t="n">
        <v>0</v>
      </c>
      <c r="AC31" s="384" t="n">
        <v>0.129</v>
      </c>
      <c r="AD31" s="2204" t="n">
        <f aca="false">AE31+AF31</f>
        <v>7.393</v>
      </c>
      <c r="AE31" s="2008" t="n">
        <v>4.584</v>
      </c>
      <c r="AF31" s="2023" t="n">
        <v>2.809</v>
      </c>
      <c r="AG31" s="2206"/>
      <c r="AH31" s="387"/>
      <c r="AI31" s="1999"/>
      <c r="AJ31" s="2009" t="n">
        <v>4.545</v>
      </c>
      <c r="AK31" s="2207" t="e">
        <f aca="false">NA()</f>
        <v>#N/A</v>
      </c>
      <c r="AL31" s="2207" t="e">
        <f aca="false">NA()</f>
        <v>#N/A</v>
      </c>
      <c r="AM31" s="2207"/>
      <c r="AN31" s="2208" t="n">
        <v>0.618</v>
      </c>
      <c r="AO31" s="2023" t="n">
        <v>0.128</v>
      </c>
      <c r="AP31" s="2023" t="n">
        <v>0.092</v>
      </c>
      <c r="AQ31" s="2023" t="n">
        <v>0</v>
      </c>
      <c r="AR31" s="2023" t="n">
        <v>0.282</v>
      </c>
      <c r="AS31" s="2023" t="n">
        <f aca="false">AN31+AO31-AP31-AC31+AQ31+AR31</f>
        <v>0.807</v>
      </c>
      <c r="AT31" s="2023" t="n">
        <v>0.135</v>
      </c>
      <c r="AU31" s="2105"/>
      <c r="AV31" s="2023"/>
      <c r="AW31" s="2000" t="n">
        <f aca="false">B31+AC31-AN31-AO31+AP31</f>
        <v>12.442</v>
      </c>
      <c r="AX31" s="1997" t="n">
        <f aca="false">V31+O31</f>
        <v>1.97</v>
      </c>
      <c r="AY31" s="514" t="n">
        <f aca="false">AX31/B31</f>
        <v>0.151924115061309</v>
      </c>
      <c r="AZ31" s="2210"/>
      <c r="BA31" s="401"/>
      <c r="BB31" s="401" t="n">
        <v>78.8</v>
      </c>
      <c r="BC31" s="401"/>
      <c r="BD31" s="401"/>
      <c r="BE31" s="401"/>
      <c r="BF31" s="401"/>
      <c r="BG31" s="401" t="n">
        <v>78.6</v>
      </c>
      <c r="BH31" s="401" t="n">
        <v>77.9964977960268</v>
      </c>
      <c r="BI31" s="440" t="n">
        <v>38637</v>
      </c>
      <c r="BJ31" s="218" t="n">
        <f aca="false">BI31*(1-BN31)</f>
        <v>21835.5832632165</v>
      </c>
      <c r="BK31" s="401" t="n">
        <f aca="false">BI31</f>
        <v>38637</v>
      </c>
      <c r="BL31" s="401"/>
      <c r="BM31" s="401" t="n">
        <f aca="false">BJ31</f>
        <v>21835.5832632165</v>
      </c>
      <c r="BN31" s="2211" t="n">
        <f aca="false">BN32</f>
        <v>0.434853035607927</v>
      </c>
      <c r="BO31" s="2221" t="n">
        <f aca="false">BO30+(BO$34-BO$30)/4</f>
        <v>16462.5</v>
      </c>
      <c r="BP31" s="218"/>
      <c r="BQ31" s="218"/>
      <c r="BR31" s="2212"/>
      <c r="BS31" s="401" t="n">
        <f aca="false">BT31+CA31+CB31-CC31</f>
        <v>84.9788531193712</v>
      </c>
      <c r="BT31" s="115" t="n">
        <f aca="false">BU31+BW31+BX31+BY31</f>
        <v>81.55</v>
      </c>
      <c r="BU31" s="115" t="n">
        <v>41.35</v>
      </c>
      <c r="BV31" s="514" t="n">
        <f aca="false">BU31/B31</f>
        <v>3.18886403948485</v>
      </c>
      <c r="BW31" s="115" t="n">
        <v>22.35</v>
      </c>
      <c r="BX31" s="115" t="n">
        <v>9.05</v>
      </c>
      <c r="BY31" s="115" t="n">
        <v>8.8</v>
      </c>
      <c r="BZ31" s="514" t="n">
        <f aca="false">BY31/B31</f>
        <v>0.678645793167271</v>
      </c>
      <c r="CA31" s="1509" t="n">
        <f aca="false">CQ31-CW31</f>
        <v>3.42885311937121</v>
      </c>
      <c r="CB31" s="2213" t="n">
        <v>0</v>
      </c>
      <c r="CC31" s="2019" t="n">
        <v>0</v>
      </c>
      <c r="CD31" s="2214" t="n">
        <v>0</v>
      </c>
      <c r="CE31" s="2215" t="n">
        <f aca="false">CB31-CC31</f>
        <v>0</v>
      </c>
      <c r="CF31" s="2215" t="n">
        <f aca="false">CB31-CC31-CD31</f>
        <v>0</v>
      </c>
      <c r="CG31" s="2024" t="n">
        <f aca="false">CH31-CQ31</f>
        <v>4.64584688062879</v>
      </c>
      <c r="CH31" s="115" t="n">
        <f aca="false">CI31+CJ31+CN31</f>
        <v>8.0747</v>
      </c>
      <c r="CI31" s="1509" t="n">
        <v>1.945</v>
      </c>
      <c r="CJ31" s="1509" t="n">
        <f aca="false">CK31*CL31*CM31</f>
        <v>1.7947</v>
      </c>
      <c r="CK31" s="1509" t="n">
        <v>3.275</v>
      </c>
      <c r="CL31" s="514" t="n">
        <f aca="false">CL30+(CL$33-CL$23)/10</f>
        <v>0.548</v>
      </c>
      <c r="CM31" s="514" t="n">
        <v>1</v>
      </c>
      <c r="CN31" s="1509" t="n">
        <v>4.335</v>
      </c>
      <c r="CO31" s="2017" t="n">
        <f aca="false">CX31-CP31</f>
        <v>-3.48397609300802</v>
      </c>
      <c r="CP31" s="2017" t="n">
        <f aca="false">CQ31+9*(CQ32-CQ31)/12</f>
        <v>3.48397609300802</v>
      </c>
      <c r="CQ31" s="2215" t="n">
        <f aca="false">CQ32*CV31/CV32</f>
        <v>3.42885311937121</v>
      </c>
      <c r="CR31" s="2214" t="n">
        <v>0</v>
      </c>
      <c r="CU31" s="485" t="n">
        <v>0</v>
      </c>
      <c r="CV31" s="2017" t="n">
        <v>3.359</v>
      </c>
      <c r="CW31" s="2217" t="n">
        <v>0</v>
      </c>
      <c r="CX31" s="2019" t="n">
        <f aca="false">CY31+(CU30+9/12*(CU31-CU30))/1000</f>
        <v>0</v>
      </c>
      <c r="CY31" s="2019" t="n">
        <f aca="false">CZ31+DA31</f>
        <v>0</v>
      </c>
      <c r="CZ31" s="2017" t="n">
        <v>0</v>
      </c>
      <c r="DA31" s="2017" t="n">
        <v>0</v>
      </c>
      <c r="DB31" s="2217"/>
      <c r="DC31" s="2220" t="n">
        <f aca="false">CG31+BS31</f>
        <v>89.6247</v>
      </c>
    </row>
    <row r="32" customFormat="false" ht="12" hidden="false" customHeight="false" outlineLevel="0" collapsed="false">
      <c r="A32" s="31" t="n">
        <v>1869</v>
      </c>
      <c r="B32" s="1994" t="n">
        <f aca="false">H32</f>
        <v>11.75</v>
      </c>
      <c r="C32" s="395" t="n">
        <v>15.66</v>
      </c>
      <c r="D32" s="31"/>
      <c r="E32" s="31"/>
      <c r="F32" s="2219" t="n">
        <v>0.599615384615385</v>
      </c>
      <c r="G32" s="2202" t="n">
        <f aca="false">B32-F32</f>
        <v>11.1503846153846</v>
      </c>
      <c r="H32" s="2000" t="n">
        <f aca="false">I32+J32+O32+Q32+T32</f>
        <v>11.75</v>
      </c>
      <c r="I32" s="1997" t="n">
        <v>10.194</v>
      </c>
      <c r="J32" s="1997" t="n">
        <v>0.646</v>
      </c>
      <c r="K32" s="1997"/>
      <c r="L32" s="1997"/>
      <c r="M32" s="514"/>
      <c r="N32" s="1997"/>
      <c r="O32" s="1997" t="n">
        <v>0.86</v>
      </c>
      <c r="P32" s="1997" t="n">
        <v>0.377754</v>
      </c>
      <c r="Q32" s="1997" t="n">
        <f aca="false">V32-T32</f>
        <v>0.05</v>
      </c>
      <c r="R32" s="1997"/>
      <c r="S32" s="1997"/>
      <c r="T32" s="1997" t="n">
        <v>0</v>
      </c>
      <c r="U32" s="1997" t="n">
        <v>0</v>
      </c>
      <c r="V32" s="1999" t="n">
        <v>0.05</v>
      </c>
      <c r="W32" s="384" t="n">
        <f aca="false">X32+AD32</f>
        <v>10.177</v>
      </c>
      <c r="X32" s="2204" t="n">
        <f aca="false">Y32+Z32+AA32+AB32</f>
        <v>2.506</v>
      </c>
      <c r="Y32" s="2008" t="n">
        <v>0.933</v>
      </c>
      <c r="Z32" s="2008" t="n">
        <v>0.443</v>
      </c>
      <c r="AA32" s="2008" t="n">
        <v>1.13</v>
      </c>
      <c r="AB32" s="2205" t="n">
        <v>0</v>
      </c>
      <c r="AC32" s="384" t="n">
        <v>0.132</v>
      </c>
      <c r="AD32" s="2204" t="n">
        <f aca="false">AE32+AF32</f>
        <v>7.671</v>
      </c>
      <c r="AE32" s="2008" t="n">
        <v>4.821</v>
      </c>
      <c r="AF32" s="2023" t="n">
        <v>2.85</v>
      </c>
      <c r="AG32" s="2206"/>
      <c r="AH32" s="387"/>
      <c r="AI32" s="1999"/>
      <c r="AJ32" s="2009" t="n">
        <v>3.98</v>
      </c>
      <c r="AK32" s="2207" t="e">
        <f aca="false">NA()</f>
        <v>#N/A</v>
      </c>
      <c r="AL32" s="2207" t="e">
        <f aca="false">NA()</f>
        <v>#N/A</v>
      </c>
      <c r="AM32" s="2207"/>
      <c r="AN32" s="2208" t="n">
        <v>0.632</v>
      </c>
      <c r="AO32" s="2023" t="n">
        <v>0.133</v>
      </c>
      <c r="AP32" s="2023" t="n">
        <v>0.1</v>
      </c>
      <c r="AQ32" s="2023" t="n">
        <v>0</v>
      </c>
      <c r="AR32" s="2023" t="n">
        <v>0.294</v>
      </c>
      <c r="AS32" s="2023" t="n">
        <f aca="false">AN32+AO32-AP32-AC32+AQ32+AR32</f>
        <v>0.827</v>
      </c>
      <c r="AT32" s="2023" t="n">
        <v>0.173</v>
      </c>
      <c r="AU32" s="2105"/>
      <c r="AV32" s="2023"/>
      <c r="AW32" s="2000" t="n">
        <f aca="false">B32+AC32-AN32-AO32+AP32</f>
        <v>11.217</v>
      </c>
      <c r="AX32" s="1997" t="n">
        <f aca="false">V32+O32</f>
        <v>0.91</v>
      </c>
      <c r="AY32" s="514" t="n">
        <f aca="false">AX32/B32</f>
        <v>0.0774468085106383</v>
      </c>
      <c r="AZ32" s="2210"/>
      <c r="BA32" s="401"/>
      <c r="BB32" s="401" t="n">
        <v>75</v>
      </c>
      <c r="BC32" s="401"/>
      <c r="BD32" s="401"/>
      <c r="BE32" s="401"/>
      <c r="BF32" s="401"/>
      <c r="BG32" s="401" t="n">
        <v>75.8</v>
      </c>
      <c r="BH32" s="401" t="n">
        <v>75.0481077613855</v>
      </c>
      <c r="BI32" s="440" t="n">
        <v>38914</v>
      </c>
      <c r="BJ32" s="218" t="n">
        <f aca="false">BI32*(1-BN32)</f>
        <v>21992.1289723531</v>
      </c>
      <c r="BK32" s="401" t="n">
        <f aca="false">BI32</f>
        <v>38914</v>
      </c>
      <c r="BL32" s="401"/>
      <c r="BM32" s="401" t="n">
        <f aca="false">BJ32</f>
        <v>21992.1289723531</v>
      </c>
      <c r="BN32" s="2211" t="n">
        <f aca="false">BN33</f>
        <v>0.434853035607927</v>
      </c>
      <c r="BO32" s="2221" t="n">
        <f aca="false">BO31+(BO$34-BO$30)/4</f>
        <v>16754</v>
      </c>
      <c r="BP32" s="218"/>
      <c r="BQ32" s="218"/>
      <c r="BR32" s="2212"/>
      <c r="BS32" s="401" t="n">
        <f aca="false">BT32+CA32+CB32-CC32</f>
        <v>87.2273504175536</v>
      </c>
      <c r="BT32" s="115" t="n">
        <f aca="false">BU32+BW32+BX32+BY32</f>
        <v>83.725</v>
      </c>
      <c r="BU32" s="115" t="n">
        <v>41.75</v>
      </c>
      <c r="BV32" s="514" t="n">
        <f aca="false">BU32/B32</f>
        <v>3.5531914893617</v>
      </c>
      <c r="BW32" s="115" t="n">
        <v>23.15</v>
      </c>
      <c r="BX32" s="115" t="n">
        <v>9.36</v>
      </c>
      <c r="BY32" s="115" t="n">
        <v>9.465</v>
      </c>
      <c r="BZ32" s="514" t="n">
        <f aca="false">BY32/B32</f>
        <v>0.805531914893617</v>
      </c>
      <c r="CA32" s="1509" t="n">
        <f aca="false">CQ32-CW32</f>
        <v>3.50235041755363</v>
      </c>
      <c r="CB32" s="2213" t="n">
        <v>0</v>
      </c>
      <c r="CC32" s="2019" t="n">
        <v>0</v>
      </c>
      <c r="CD32" s="485" t="n">
        <v>0</v>
      </c>
      <c r="CE32" s="2215" t="n">
        <f aca="false">CB32-CC32</f>
        <v>0</v>
      </c>
      <c r="CF32" s="2215" t="n">
        <f aca="false">CB32-CC32-CD32</f>
        <v>0</v>
      </c>
      <c r="CG32" s="2024" t="n">
        <f aca="false">CH32-CQ32</f>
        <v>5.08812958244637</v>
      </c>
      <c r="CH32" s="115" t="n">
        <f aca="false">CI32+CJ32+CN32</f>
        <v>8.59048</v>
      </c>
      <c r="CI32" s="1509" t="n">
        <v>2.07</v>
      </c>
      <c r="CJ32" s="1509" t="n">
        <f aca="false">CK32*CL32*CM32</f>
        <v>2.00548</v>
      </c>
      <c r="CK32" s="1509" t="n">
        <v>3.62</v>
      </c>
      <c r="CL32" s="514" t="n">
        <f aca="false">CL31+(CL$33-CL$23)/10</f>
        <v>0.554</v>
      </c>
      <c r="CM32" s="514" t="n">
        <v>1</v>
      </c>
      <c r="CN32" s="1509" t="n">
        <v>4.515</v>
      </c>
      <c r="CO32" s="2017" t="n">
        <f aca="false">CX32-CP32</f>
        <v>-3.9134759292615</v>
      </c>
      <c r="CP32" s="2017" t="n">
        <f aca="false">CQ32+9*(CQ33-CQ32)/12</f>
        <v>3.9134759292615</v>
      </c>
      <c r="CQ32" s="2215" t="n">
        <f aca="false">CQ33*CV32/CV33</f>
        <v>3.50235041755363</v>
      </c>
      <c r="CR32" s="2214" t="n">
        <v>0</v>
      </c>
      <c r="CU32" s="485" t="n">
        <v>0</v>
      </c>
      <c r="CV32" s="2017" t="n">
        <v>3.431</v>
      </c>
      <c r="CW32" s="2217" t="n">
        <v>0</v>
      </c>
      <c r="CX32" s="2019" t="n">
        <f aca="false">CY32+(CU31+9/12*(CU32-CU31))/1000</f>
        <v>0</v>
      </c>
      <c r="CY32" s="2019" t="n">
        <f aca="false">CZ32+DA32</f>
        <v>0</v>
      </c>
      <c r="CZ32" s="2017" t="n">
        <v>0</v>
      </c>
      <c r="DA32" s="2017" t="n">
        <v>0</v>
      </c>
      <c r="DB32" s="2217"/>
      <c r="DC32" s="2220" t="n">
        <f aca="false">CG32+BS32</f>
        <v>92.31548</v>
      </c>
    </row>
    <row r="33" customFormat="false" ht="12" hidden="false" customHeight="false" outlineLevel="0" collapsed="false">
      <c r="A33" s="31" t="n">
        <v>1870</v>
      </c>
      <c r="B33" s="1994" t="n">
        <f aca="false">H33</f>
        <v>12.876</v>
      </c>
      <c r="C33" s="395" t="n">
        <v>16.706</v>
      </c>
      <c r="D33" s="387"/>
      <c r="E33" s="31"/>
      <c r="F33" s="2219" t="n">
        <v>0.607420584101203</v>
      </c>
      <c r="G33" s="2202" t="n">
        <f aca="false">B33-F33</f>
        <v>12.2685794158988</v>
      </c>
      <c r="H33" s="2000" t="n">
        <f aca="false">I33+J33+O33+Q33+T33</f>
        <v>12.876</v>
      </c>
      <c r="I33" s="1997" t="n">
        <v>10.247</v>
      </c>
      <c r="J33" s="1997" t="n">
        <v>0.969</v>
      </c>
      <c r="K33" s="1997"/>
      <c r="L33" s="1997"/>
      <c r="M33" s="514"/>
      <c r="N33" s="1997"/>
      <c r="O33" s="1997" t="n">
        <v>1.59</v>
      </c>
      <c r="P33" s="1997" t="n">
        <v>0.54655</v>
      </c>
      <c r="Q33" s="1997" t="n">
        <f aca="false">V33-T33</f>
        <v>0.07</v>
      </c>
      <c r="R33" s="1997"/>
      <c r="S33" s="1997"/>
      <c r="T33" s="1997" t="n">
        <v>0</v>
      </c>
      <c r="U33" s="1997" t="n">
        <v>0</v>
      </c>
      <c r="V33" s="1999" t="n">
        <v>0.07</v>
      </c>
      <c r="W33" s="384" t="n">
        <f aca="false">X33+AD33</f>
        <v>10.433</v>
      </c>
      <c r="X33" s="2204" t="n">
        <f aca="false">Y33+Z33+AA33+AB33</f>
        <v>2.302</v>
      </c>
      <c r="Y33" s="2008" t="n">
        <v>0.987</v>
      </c>
      <c r="Z33" s="2008" t="n">
        <v>0.454</v>
      </c>
      <c r="AA33" s="2008" t="n">
        <v>0.861</v>
      </c>
      <c r="AB33" s="2205" t="n">
        <v>0</v>
      </c>
      <c r="AC33" s="384" t="n">
        <v>0.136</v>
      </c>
      <c r="AD33" s="2204" t="n">
        <f aca="false">AE33+AF33</f>
        <v>8.131</v>
      </c>
      <c r="AE33" s="2008" t="n">
        <v>5.159</v>
      </c>
      <c r="AF33" s="2023" t="n">
        <v>2.972</v>
      </c>
      <c r="AG33" s="2206"/>
      <c r="AH33" s="387"/>
      <c r="AI33" s="1999"/>
      <c r="AJ33" s="2009" t="n">
        <v>3.833</v>
      </c>
      <c r="AK33" s="2207" t="e">
        <f aca="false">NA()</f>
        <v>#N/A</v>
      </c>
      <c r="AL33" s="2207" t="e">
        <f aca="false">NA()</f>
        <v>#N/A</v>
      </c>
      <c r="AM33" s="2207"/>
      <c r="AN33" s="2208" t="n">
        <v>0.661</v>
      </c>
      <c r="AO33" s="2023" t="n">
        <v>0.141</v>
      </c>
      <c r="AP33" s="2023" t="n">
        <v>0.098</v>
      </c>
      <c r="AQ33" s="2023" t="n">
        <v>0</v>
      </c>
      <c r="AR33" s="2023" t="n">
        <v>0.303</v>
      </c>
      <c r="AS33" s="2023" t="n">
        <f aca="false">AN33+AO33-AP33-AC33+AQ33+AR33</f>
        <v>0.871</v>
      </c>
      <c r="AT33" s="2023" t="n">
        <v>-0.105</v>
      </c>
      <c r="AU33" s="2105"/>
      <c r="AV33" s="2023"/>
      <c r="AW33" s="2000" t="n">
        <f aca="false">B33+AC33-AN33-AO33+AP33</f>
        <v>12.308</v>
      </c>
      <c r="AX33" s="1997" t="n">
        <f aca="false">V33+O33</f>
        <v>1.66</v>
      </c>
      <c r="AY33" s="514" t="n">
        <f aca="false">AX33/B33</f>
        <v>0.12892202547375</v>
      </c>
      <c r="AZ33" s="2222" t="n">
        <v>10.875</v>
      </c>
      <c r="BA33" s="401"/>
      <c r="BB33" s="401" t="n">
        <v>77.1</v>
      </c>
      <c r="BC33" s="401"/>
      <c r="BD33" s="401"/>
      <c r="BE33" s="401"/>
      <c r="BF33" s="401"/>
      <c r="BG33" s="401" t="n">
        <v>76.5</v>
      </c>
      <c r="BH33" s="401" t="n">
        <v>77.0471090788761</v>
      </c>
      <c r="BI33" s="440" t="n">
        <v>39231</v>
      </c>
      <c r="BJ33" s="218" t="n">
        <f aca="false">BI33*(1-BN33)</f>
        <v>22171.2805600654</v>
      </c>
      <c r="BK33" s="401" t="n">
        <f aca="false">BI33</f>
        <v>39231</v>
      </c>
      <c r="BL33" s="401"/>
      <c r="BM33" s="401" t="n">
        <f aca="false">BJ33</f>
        <v>22171.2805600654</v>
      </c>
      <c r="BN33" s="2211" t="n">
        <f aca="false">BN34</f>
        <v>0.434853035607927</v>
      </c>
      <c r="BO33" s="2221" t="n">
        <f aca="false">BO32+(BO$34-BO$30)/4</f>
        <v>17045.5</v>
      </c>
      <c r="BP33" s="218"/>
      <c r="BQ33" s="218"/>
      <c r="BR33" s="2212"/>
      <c r="BS33" s="401" t="n">
        <f aca="false">BT33+CA33+CB33-CC33</f>
        <v>90.6105177664975</v>
      </c>
      <c r="BT33" s="115" t="n">
        <f aca="false">BU33+BW33+BX33+BY33</f>
        <v>86.56</v>
      </c>
      <c r="BU33" s="115" t="n">
        <v>42.75</v>
      </c>
      <c r="BV33" s="514" t="n">
        <f aca="false">BU33/B33</f>
        <v>3.32013047530289</v>
      </c>
      <c r="BW33" s="115" t="n">
        <v>23.8</v>
      </c>
      <c r="BX33" s="115" t="n">
        <v>9.73</v>
      </c>
      <c r="BY33" s="115" t="n">
        <v>10.28</v>
      </c>
      <c r="BZ33" s="514" t="n">
        <f aca="false">BY33/B33</f>
        <v>0.79838459148804</v>
      </c>
      <c r="CA33" s="1509" t="n">
        <f aca="false">CQ33-CW33</f>
        <v>4.05051776649746</v>
      </c>
      <c r="CB33" s="2213" t="n">
        <v>0</v>
      </c>
      <c r="CC33" s="2019" t="n">
        <v>0</v>
      </c>
      <c r="CD33" s="485" t="n">
        <v>0</v>
      </c>
      <c r="CE33" s="2215" t="n">
        <f aca="false">CB33-CC33</f>
        <v>0</v>
      </c>
      <c r="CF33" s="2215" t="n">
        <f aca="false">CB33-CC33-CD33</f>
        <v>0</v>
      </c>
      <c r="CG33" s="2024" t="n">
        <f aca="false">CH33-CQ33</f>
        <v>5.33008223350254</v>
      </c>
      <c r="CH33" s="115" t="n">
        <f aca="false">CI33+CJ33+CN33</f>
        <v>9.3806</v>
      </c>
      <c r="CI33" s="1509" t="n">
        <v>2.245</v>
      </c>
      <c r="CJ33" s="1509" t="n">
        <f aca="false">CK33*CL33*CM33</f>
        <v>2.3156</v>
      </c>
      <c r="CK33" s="1509" t="n">
        <v>4.135</v>
      </c>
      <c r="CL33" s="855" t="n">
        <v>0.56</v>
      </c>
      <c r="CM33" s="514" t="n">
        <v>1</v>
      </c>
      <c r="CN33" s="1509" t="n">
        <v>4.82</v>
      </c>
      <c r="CO33" s="2017" t="n">
        <f aca="false">CX33-CP33</f>
        <v>-4.38967717373506</v>
      </c>
      <c r="CP33" s="2017" t="n">
        <f aca="false">CQ33+9*(CQ34-CQ33)/12</f>
        <v>4.38967717373506</v>
      </c>
      <c r="CQ33" s="2215" t="n">
        <f aca="false">CQ34*CV33/CV34</f>
        <v>4.05051776649746</v>
      </c>
      <c r="CR33" s="2214" t="n">
        <v>0</v>
      </c>
      <c r="CU33" s="485" t="n">
        <v>0</v>
      </c>
      <c r="CV33" s="2017" t="n">
        <v>3.968</v>
      </c>
      <c r="CW33" s="2217" t="n">
        <v>0</v>
      </c>
      <c r="CX33" s="2019" t="n">
        <f aca="false">CY33+(CU32+9/12*(CU33-CU32))/1000</f>
        <v>0</v>
      </c>
      <c r="CY33" s="2019" t="n">
        <f aca="false">CZ33+DA33</f>
        <v>0</v>
      </c>
      <c r="CZ33" s="2017" t="n">
        <v>0</v>
      </c>
      <c r="DA33" s="2017" t="n">
        <v>0</v>
      </c>
      <c r="DB33" s="2217"/>
      <c r="DC33" s="2220" t="n">
        <f aca="false">CG33+BS33</f>
        <v>95.9406</v>
      </c>
    </row>
    <row r="34" customFormat="false" ht="12" hidden="false" customHeight="false" outlineLevel="0" collapsed="false">
      <c r="A34" s="31" t="n">
        <v>1871</v>
      </c>
      <c r="B34" s="1994" t="n">
        <f aca="false">H34</f>
        <v>14.013</v>
      </c>
      <c r="C34" s="395" t="n">
        <v>17.395</v>
      </c>
      <c r="D34" s="387"/>
      <c r="E34" s="31"/>
      <c r="F34" s="2219" t="n">
        <v>0.604095416008047</v>
      </c>
      <c r="G34" s="2202" t="n">
        <f aca="false">B34-F34</f>
        <v>13.408904583992</v>
      </c>
      <c r="H34" s="2000" t="n">
        <f aca="false">I34+J34+O34+Q34+T34</f>
        <v>14.013</v>
      </c>
      <c r="I34" s="1997" t="n">
        <v>11.11</v>
      </c>
      <c r="J34" s="1997" t="n">
        <v>1.328</v>
      </c>
      <c r="K34" s="1997"/>
      <c r="L34" s="1997"/>
      <c r="M34" s="514"/>
      <c r="N34" s="1997"/>
      <c r="O34" s="1997" t="n">
        <v>1.48</v>
      </c>
      <c r="P34" s="1997" t="n">
        <v>0.3896</v>
      </c>
      <c r="Q34" s="1997" t="n">
        <f aca="false">V34-T34</f>
        <v>0.095</v>
      </c>
      <c r="R34" s="1997"/>
      <c r="S34" s="1997"/>
      <c r="T34" s="1997" t="n">
        <v>0</v>
      </c>
      <c r="U34" s="1997" t="n">
        <v>0.407</v>
      </c>
      <c r="V34" s="1999" t="n">
        <v>0.095</v>
      </c>
      <c r="W34" s="384" t="n">
        <f aca="false">X34+AD34</f>
        <v>11.329</v>
      </c>
      <c r="X34" s="2204" t="n">
        <f aca="false">Y34+Z34+AA34+AB34</f>
        <v>2.693</v>
      </c>
      <c r="Y34" s="2008" t="n">
        <v>1.198</v>
      </c>
      <c r="Z34" s="2008" t="n">
        <v>0.462</v>
      </c>
      <c r="AA34" s="2008" t="n">
        <v>1.033</v>
      </c>
      <c r="AB34" s="2205" t="n">
        <v>0</v>
      </c>
      <c r="AC34" s="384" t="n">
        <v>0.138</v>
      </c>
      <c r="AD34" s="2204" t="n">
        <f aca="false">AE34+AF34</f>
        <v>8.636</v>
      </c>
      <c r="AE34" s="2008" t="n">
        <v>5.527</v>
      </c>
      <c r="AF34" s="2023" t="n">
        <v>3.109</v>
      </c>
      <c r="AG34" s="2206"/>
      <c r="AH34" s="387"/>
      <c r="AI34" s="1999"/>
      <c r="AJ34" s="2009" t="n">
        <v>4.142</v>
      </c>
      <c r="AK34" s="2207" t="n">
        <v>8541</v>
      </c>
      <c r="AL34" s="2207" t="e">
        <f aca="false">NA()</f>
        <v>#N/A</v>
      </c>
      <c r="AM34" s="2207"/>
      <c r="AN34" s="2208" t="n">
        <v>0.676</v>
      </c>
      <c r="AO34" s="2023" t="n">
        <v>0.16</v>
      </c>
      <c r="AP34" s="2023" t="n">
        <v>0.096</v>
      </c>
      <c r="AQ34" s="2023" t="n">
        <v>0.407</v>
      </c>
      <c r="AR34" s="2023" t="n">
        <v>0.329</v>
      </c>
      <c r="AS34" s="2023" t="n">
        <f aca="false">AN34+AO34-AP34-AC34+AQ34+AR34</f>
        <v>1.338</v>
      </c>
      <c r="AT34" s="2023" t="n">
        <v>0.003</v>
      </c>
      <c r="AU34" s="2105"/>
      <c r="AV34" s="2023"/>
      <c r="AW34" s="2000" t="n">
        <f aca="false">B34+AC34-AN34-AO34+AP34</f>
        <v>13.411</v>
      </c>
      <c r="AX34" s="1997" t="n">
        <f aca="false">V34+O34</f>
        <v>1.575</v>
      </c>
      <c r="AY34" s="514" t="n">
        <f aca="false">AX34/B34</f>
        <v>0.112395632626847</v>
      </c>
      <c r="AZ34" s="2222" t="n">
        <v>11.65</v>
      </c>
      <c r="BA34" s="401"/>
      <c r="BB34" s="401" t="n">
        <v>80.6</v>
      </c>
      <c r="BC34" s="401"/>
      <c r="BD34" s="401"/>
      <c r="BE34" s="401"/>
      <c r="BF34" s="401"/>
      <c r="BG34" s="401" t="n">
        <v>79.8</v>
      </c>
      <c r="BH34" s="401" t="n">
        <v>80.4508670520231</v>
      </c>
      <c r="BI34" s="218" t="n">
        <v>40995</v>
      </c>
      <c r="BJ34" s="218" t="n">
        <f aca="false">BI34*(1-BN34)</f>
        <v>23168.199805253</v>
      </c>
      <c r="BK34" s="401" t="n">
        <f aca="false">BI34</f>
        <v>40995</v>
      </c>
      <c r="BL34" s="401"/>
      <c r="BM34" s="401" t="n">
        <f aca="false">BJ34</f>
        <v>23168.199805253</v>
      </c>
      <c r="BN34" s="387" t="n">
        <v>0.434853035607927</v>
      </c>
      <c r="BO34" s="218" t="n">
        <v>17337</v>
      </c>
      <c r="BP34" s="218"/>
      <c r="BQ34" s="218"/>
      <c r="BR34" s="2212"/>
      <c r="BS34" s="401" t="n">
        <f aca="false">BT34+CA34+CB34-CC34</f>
        <v>96.6477303094809</v>
      </c>
      <c r="BT34" s="115" t="n">
        <f aca="false">BU34+BW34+BX34+BY34</f>
        <v>92.145</v>
      </c>
      <c r="BU34" s="115" t="n">
        <v>44.3</v>
      </c>
      <c r="BV34" s="514" t="n">
        <f aca="false">BU34/B34</f>
        <v>3.16135017483765</v>
      </c>
      <c r="BW34" s="115" t="n">
        <v>25.45</v>
      </c>
      <c r="BX34" s="115" t="n">
        <v>11.145</v>
      </c>
      <c r="BY34" s="115" t="n">
        <v>11.25</v>
      </c>
      <c r="BZ34" s="514" t="n">
        <f aca="false">BY34/B34</f>
        <v>0.802825947334618</v>
      </c>
      <c r="CA34" s="1509" t="n">
        <f aca="false">CQ34-CW34</f>
        <v>4.50273030948092</v>
      </c>
      <c r="CB34" s="2213" t="n">
        <v>0</v>
      </c>
      <c r="CC34" s="2019" t="n">
        <v>0</v>
      </c>
      <c r="CD34" s="485" t="n">
        <v>0</v>
      </c>
      <c r="CE34" s="2215" t="n">
        <f aca="false">CB34-CC34</f>
        <v>0</v>
      </c>
      <c r="CF34" s="2215" t="n">
        <f aca="false">CB34-CC34-CD34</f>
        <v>0</v>
      </c>
      <c r="CG34" s="2024" t="n">
        <f aca="false">CH34-CQ34</f>
        <v>6.04006969051908</v>
      </c>
      <c r="CH34" s="115" t="n">
        <f aca="false">CI34+CJ34+CN34</f>
        <v>10.5428</v>
      </c>
      <c r="CI34" s="1509" t="n">
        <v>2.48</v>
      </c>
      <c r="CJ34" s="1509" t="n">
        <f aca="false">CK34*CL34*CM34</f>
        <v>2.8128</v>
      </c>
      <c r="CK34" s="1509" t="n">
        <v>4.8</v>
      </c>
      <c r="CL34" s="514" t="n">
        <f aca="false">CL33+(CL$43-CL$33)/10</f>
        <v>0.586</v>
      </c>
      <c r="CM34" s="514" t="n">
        <v>1</v>
      </c>
      <c r="CN34" s="1509" t="n">
        <v>5.25</v>
      </c>
      <c r="CO34" s="2017" t="n">
        <f aca="false">CX34-CP34</f>
        <v>-3.81063075159653</v>
      </c>
      <c r="CP34" s="2017" t="n">
        <f aca="false">CQ34+9*(CQ35-CQ34)/12</f>
        <v>3.81063075159653</v>
      </c>
      <c r="CQ34" s="2215" t="n">
        <f aca="false">CQ35*CV34/CV35</f>
        <v>4.50273030948092</v>
      </c>
      <c r="CR34" s="2214" t="n">
        <v>0</v>
      </c>
      <c r="CU34" s="485" t="n">
        <v>0</v>
      </c>
      <c r="CV34" s="2017" t="n">
        <v>4.411</v>
      </c>
      <c r="CW34" s="2217" t="n">
        <v>0</v>
      </c>
      <c r="CX34" s="2019" t="n">
        <f aca="false">CY34+(CU33+9/12*(CU34-CU33))/1000</f>
        <v>0</v>
      </c>
      <c r="CY34" s="2019" t="n">
        <f aca="false">CZ34+DA34</f>
        <v>0</v>
      </c>
      <c r="CZ34" s="2017" t="n">
        <v>0</v>
      </c>
      <c r="DA34" s="2017" t="n">
        <v>0</v>
      </c>
      <c r="DB34" s="2217"/>
      <c r="DC34" s="2220" t="n">
        <f aca="false">CG34+BS34</f>
        <v>102.6878</v>
      </c>
    </row>
    <row r="35" customFormat="false" ht="10.75" hidden="false" customHeight="true" outlineLevel="0" collapsed="false">
      <c r="A35" s="31" t="n">
        <v>1872</v>
      </c>
      <c r="B35" s="1994" t="n">
        <f aca="false">H35</f>
        <v>16.627</v>
      </c>
      <c r="C35" s="395" t="n">
        <v>19.133</v>
      </c>
      <c r="D35" s="387"/>
      <c r="E35" s="31"/>
      <c r="F35" s="2219" t="n">
        <v>0.582273528160885</v>
      </c>
      <c r="G35" s="2202" t="n">
        <f aca="false">B35-F35</f>
        <v>16.0447264718391</v>
      </c>
      <c r="H35" s="2000" t="n">
        <f aca="false">I35+J35+O35+Q35+T35</f>
        <v>16.627</v>
      </c>
      <c r="I35" s="1997" t="n">
        <v>12.786</v>
      </c>
      <c r="J35" s="1997" t="n">
        <v>1.073</v>
      </c>
      <c r="K35" s="1997"/>
      <c r="L35" s="1997"/>
      <c r="M35" s="514"/>
      <c r="N35" s="1997"/>
      <c r="O35" s="1997" t="n">
        <v>2.6</v>
      </c>
      <c r="P35" s="1997" t="n">
        <v>0.836608</v>
      </c>
      <c r="Q35" s="1997" t="n">
        <f aca="false">V35-T35</f>
        <v>0.168</v>
      </c>
      <c r="R35" s="1997"/>
      <c r="S35" s="1997"/>
      <c r="T35" s="1997" t="n">
        <v>0</v>
      </c>
      <c r="U35" s="1997" t="n">
        <v>1.147</v>
      </c>
      <c r="V35" s="1999" t="n">
        <v>0.168</v>
      </c>
      <c r="W35" s="384" t="n">
        <f aca="false">X35+AD35</f>
        <v>12.748</v>
      </c>
      <c r="X35" s="2204" t="n">
        <f aca="false">Y35+Z35+AA35+AB35</f>
        <v>3.007</v>
      </c>
      <c r="Y35" s="2008" t="n">
        <v>1.491</v>
      </c>
      <c r="Z35" s="2008" t="n">
        <v>0.479</v>
      </c>
      <c r="AA35" s="2008" t="n">
        <v>1.037</v>
      </c>
      <c r="AB35" s="2205" t="n">
        <v>0</v>
      </c>
      <c r="AC35" s="384" t="n">
        <v>0.14</v>
      </c>
      <c r="AD35" s="2204" t="n">
        <f aca="false">AE35+AF35</f>
        <v>9.741</v>
      </c>
      <c r="AE35" s="2008" t="n">
        <v>6.056</v>
      </c>
      <c r="AF35" s="2023" t="n">
        <v>3.685</v>
      </c>
      <c r="AG35" s="2206"/>
      <c r="AH35" s="387"/>
      <c r="AI35" s="1999"/>
      <c r="AJ35" s="2009" t="n">
        <v>4.722</v>
      </c>
      <c r="AK35" s="2207" t="e">
        <f aca="false">NA()</f>
        <v>#N/A</v>
      </c>
      <c r="AL35" s="2207" t="e">
        <f aca="false">NA()</f>
        <v>#N/A</v>
      </c>
      <c r="AM35" s="2207"/>
      <c r="AN35" s="2208" t="n">
        <v>0.743</v>
      </c>
      <c r="AO35" s="2023" t="n">
        <v>0.17</v>
      </c>
      <c r="AP35" s="2023" t="n">
        <v>0.16</v>
      </c>
      <c r="AQ35" s="2023" t="n">
        <v>1.147</v>
      </c>
      <c r="AR35" s="2023" t="n">
        <v>0.35</v>
      </c>
      <c r="AS35" s="2023" t="n">
        <f aca="false">AN35+AO35-AP35-AC35+AQ35+AR35</f>
        <v>2.11</v>
      </c>
      <c r="AT35" s="2023" t="n">
        <v>1.028</v>
      </c>
      <c r="AU35" s="2105"/>
      <c r="AV35" s="2023"/>
      <c r="AW35" s="2000" t="n">
        <f aca="false">B35+AC35-AN35-AO35+AP35</f>
        <v>16.014</v>
      </c>
      <c r="AX35" s="1997" t="n">
        <f aca="false">V35+O35</f>
        <v>2.768</v>
      </c>
      <c r="AY35" s="514" t="n">
        <f aca="false">AX35/B35</f>
        <v>0.166476213387863</v>
      </c>
      <c r="AZ35" s="2222" t="n">
        <v>12.275</v>
      </c>
      <c r="BA35" s="401"/>
      <c r="BB35" s="401" t="n">
        <v>86.5</v>
      </c>
      <c r="BC35" s="401"/>
      <c r="BD35" s="401"/>
      <c r="BE35" s="401"/>
      <c r="BF35" s="401"/>
      <c r="BG35" s="401" t="n">
        <v>85</v>
      </c>
      <c r="BH35" s="401" t="n">
        <v>86.9007391763464</v>
      </c>
      <c r="BI35" s="218" t="n">
        <v>41185</v>
      </c>
      <c r="BJ35" s="218" t="n">
        <f aca="false">BI35*(1-BN35)</f>
        <v>23345.4650239615</v>
      </c>
      <c r="BK35" s="401" t="n">
        <f aca="false">BI35</f>
        <v>41185</v>
      </c>
      <c r="BL35" s="401"/>
      <c r="BM35" s="401" t="n">
        <f aca="false">BJ35</f>
        <v>23345.4650239615</v>
      </c>
      <c r="BN35" s="2211" t="n">
        <f aca="false">BN34+(BN$43-BN$34)/9</f>
        <v>0.433156124220918</v>
      </c>
      <c r="BO35" s="2221" t="n">
        <f aca="false">BO34+(BO$38-BO$34)/4</f>
        <v>17663.5</v>
      </c>
      <c r="BP35" s="218"/>
      <c r="BQ35" s="218"/>
      <c r="BR35" s="2212"/>
      <c r="BS35" s="401" t="n">
        <f aca="false">BT35+CA35+CB35-CC35</f>
        <v>104.679930898968</v>
      </c>
      <c r="BT35" s="115" t="n">
        <f aca="false">BU35+BW35+BX35+BY35</f>
        <v>101.1</v>
      </c>
      <c r="BU35" s="115" t="n">
        <v>45.6</v>
      </c>
      <c r="BV35" s="514" t="n">
        <f aca="false">BU35/B35</f>
        <v>2.74252721477116</v>
      </c>
      <c r="BW35" s="115" t="n">
        <v>28.75</v>
      </c>
      <c r="BX35" s="115" t="n">
        <v>14.3</v>
      </c>
      <c r="BY35" s="115" t="n">
        <v>12.45</v>
      </c>
      <c r="BZ35" s="514" t="n">
        <f aca="false">BY35/B35</f>
        <v>0.748782101401335</v>
      </c>
      <c r="CA35" s="1509" t="n">
        <f aca="false">CQ35-CW35</f>
        <v>3.5799308989684</v>
      </c>
      <c r="CB35" s="2213" t="n">
        <v>0</v>
      </c>
      <c r="CC35" s="2019" t="n">
        <v>0</v>
      </c>
      <c r="CD35" s="485" t="n">
        <v>0</v>
      </c>
      <c r="CE35" s="2215" t="n">
        <f aca="false">CB35-CC35</f>
        <v>0</v>
      </c>
      <c r="CF35" s="2215" t="n">
        <f aca="false">CB35-CC35-CD35</f>
        <v>0</v>
      </c>
      <c r="CG35" s="2024" t="n">
        <f aca="false">CH35-CQ35</f>
        <v>8.5848291010316</v>
      </c>
      <c r="CH35" s="115" t="n">
        <f aca="false">CI35+CJ35+CN35</f>
        <v>12.16476</v>
      </c>
      <c r="CI35" s="1509" t="n">
        <v>2.77</v>
      </c>
      <c r="CJ35" s="1509" t="n">
        <f aca="false">CK35*CL35*CM35</f>
        <v>3.65976</v>
      </c>
      <c r="CK35" s="1509" t="n">
        <v>5.98</v>
      </c>
      <c r="CL35" s="514" t="n">
        <f aca="false">CL34+(CL$43-CL$33)/10</f>
        <v>0.612</v>
      </c>
      <c r="CM35" s="514" t="n">
        <v>1</v>
      </c>
      <c r="CN35" s="1509" t="n">
        <v>5.735</v>
      </c>
      <c r="CO35" s="2017" t="n">
        <f aca="false">CX35-CP35</f>
        <v>-3.39465645980023</v>
      </c>
      <c r="CP35" s="2017" t="n">
        <f aca="false">CQ35+9*(CQ36-CQ35)/12</f>
        <v>3.39465645980023</v>
      </c>
      <c r="CQ35" s="2215" t="n">
        <f aca="false">CQ36*CV35/CV36</f>
        <v>3.5799308989684</v>
      </c>
      <c r="CR35" s="2214" t="n">
        <v>0</v>
      </c>
      <c r="CU35" s="485" t="n">
        <v>0</v>
      </c>
      <c r="CV35" s="2017" t="n">
        <v>3.507</v>
      </c>
      <c r="CW35" s="2217" t="n">
        <v>0</v>
      </c>
      <c r="CX35" s="2019" t="n">
        <f aca="false">CY35+(CU34+9/12*(CU35-CU34))/1000</f>
        <v>0</v>
      </c>
      <c r="CY35" s="2019" t="n">
        <f aca="false">CZ35+DA35</f>
        <v>0</v>
      </c>
      <c r="CZ35" s="2017" t="n">
        <v>0</v>
      </c>
      <c r="DA35" s="2017" t="n">
        <v>0</v>
      </c>
      <c r="DB35" s="2217"/>
      <c r="DC35" s="2220" t="n">
        <f aca="false">CG35+BS35</f>
        <v>113.26476</v>
      </c>
    </row>
    <row r="36" customFormat="false" ht="12" hidden="false" customHeight="false" outlineLevel="0" collapsed="false">
      <c r="A36" s="31" t="n">
        <v>1873</v>
      </c>
      <c r="B36" s="1994" t="n">
        <f aca="false">H36</f>
        <v>17.95</v>
      </c>
      <c r="C36" s="395" t="n">
        <v>19.768</v>
      </c>
      <c r="D36" s="387"/>
      <c r="E36" s="31"/>
      <c r="F36" s="2219" t="n">
        <v>0.580116960402838</v>
      </c>
      <c r="G36" s="2202" t="n">
        <f aca="false">B36-F36</f>
        <v>17.3698830395972</v>
      </c>
      <c r="H36" s="2000" t="n">
        <f aca="false">I36+J36+O36+Q36+T36</f>
        <v>17.95</v>
      </c>
      <c r="I36" s="1997" t="n">
        <v>14.019</v>
      </c>
      <c r="J36" s="1997" t="n">
        <v>1.087</v>
      </c>
      <c r="K36" s="1997"/>
      <c r="L36" s="1997"/>
      <c r="M36" s="514"/>
      <c r="N36" s="1997"/>
      <c r="O36" s="1997" t="n">
        <v>2.37</v>
      </c>
      <c r="P36" s="1997" t="n">
        <v>0.804063</v>
      </c>
      <c r="Q36" s="1997" t="n">
        <f aca="false">V36-T36</f>
        <v>0.47</v>
      </c>
      <c r="R36" s="1997"/>
      <c r="S36" s="1997"/>
      <c r="T36" s="1997" t="n">
        <v>0.004</v>
      </c>
      <c r="U36" s="1997" t="n">
        <v>1.547</v>
      </c>
      <c r="V36" s="1999" t="n">
        <v>0.474</v>
      </c>
      <c r="W36" s="384" t="n">
        <f aca="false">X36+AD36</f>
        <v>13.979</v>
      </c>
      <c r="X36" s="2204" t="n">
        <f aca="false">Y36+Z36+AA36+AB36</f>
        <v>3.113</v>
      </c>
      <c r="Y36" s="2008" t="n">
        <v>1.615</v>
      </c>
      <c r="Z36" s="2008" t="n">
        <v>0.51</v>
      </c>
      <c r="AA36" s="2008" t="n">
        <v>0.984</v>
      </c>
      <c r="AB36" s="2009" t="n">
        <v>0.004</v>
      </c>
      <c r="AC36" s="384" t="n">
        <v>0.142</v>
      </c>
      <c r="AD36" s="2204" t="n">
        <f aca="false">AE36+AF36</f>
        <v>10.866</v>
      </c>
      <c r="AE36" s="2008" t="n">
        <v>6.828</v>
      </c>
      <c r="AF36" s="2023" t="n">
        <v>4.038</v>
      </c>
      <c r="AG36" s="2206"/>
      <c r="AH36" s="387"/>
      <c r="AI36" s="1999"/>
      <c r="AJ36" s="2009" t="n">
        <v>5.022</v>
      </c>
      <c r="AK36" s="2207" t="e">
        <f aca="false">NA()</f>
        <v>#N/A</v>
      </c>
      <c r="AL36" s="2207" t="e">
        <f aca="false">NA()</f>
        <v>#N/A</v>
      </c>
      <c r="AM36" s="2207"/>
      <c r="AN36" s="2208" t="n">
        <v>0.864</v>
      </c>
      <c r="AO36" s="2023" t="n">
        <v>0.178</v>
      </c>
      <c r="AP36" s="2023" t="n">
        <v>0.137</v>
      </c>
      <c r="AQ36" s="2023" t="n">
        <v>1.547</v>
      </c>
      <c r="AR36" s="2023" t="n">
        <v>0.339</v>
      </c>
      <c r="AS36" s="2023" t="n">
        <f aca="false">AN36+AO36-AP36-AC36+AQ36+AR36</f>
        <v>2.649</v>
      </c>
      <c r="AT36" s="2023" t="n">
        <v>1.549</v>
      </c>
      <c r="AU36" s="2105"/>
      <c r="AV36" s="2023"/>
      <c r="AW36" s="2000" t="n">
        <f aca="false">B36+AC36-AN36-AO36+AP36</f>
        <v>17.187</v>
      </c>
      <c r="AX36" s="1997" t="n">
        <f aca="false">V36+O36</f>
        <v>2.844</v>
      </c>
      <c r="AY36" s="514" t="n">
        <f aca="false">AX36/B36</f>
        <v>0.158440111420613</v>
      </c>
      <c r="AZ36" s="2222" t="n">
        <v>13.5</v>
      </c>
      <c r="BA36" s="401"/>
      <c r="BB36" s="401" t="n">
        <v>91.2</v>
      </c>
      <c r="BC36" s="401"/>
      <c r="BD36" s="401"/>
      <c r="BE36" s="401"/>
      <c r="BF36" s="401"/>
      <c r="BG36" s="401" t="n">
        <v>89.5</v>
      </c>
      <c r="BH36" s="401" t="n">
        <v>90.6713707585348</v>
      </c>
      <c r="BI36" s="218" t="n">
        <v>41532</v>
      </c>
      <c r="BJ36" s="218" t="n">
        <f aca="false">BI36*(1-BN36)</f>
        <v>23612.6359725821</v>
      </c>
      <c r="BK36" s="401" t="n">
        <f aca="false">BI36</f>
        <v>41532</v>
      </c>
      <c r="BL36" s="401"/>
      <c r="BM36" s="401" t="n">
        <f aca="false">BJ36</f>
        <v>23612.6359725821</v>
      </c>
      <c r="BN36" s="2211" t="n">
        <f aca="false">BN35+(BN$43-BN$34)/9</f>
        <v>0.431459212833908</v>
      </c>
      <c r="BO36" s="2221" t="n">
        <f aca="false">BO35+(BO$38-BO$34)/4</f>
        <v>17990</v>
      </c>
      <c r="BP36" s="218"/>
      <c r="BQ36" s="218"/>
      <c r="BR36" s="2212"/>
      <c r="BS36" s="401" t="n">
        <f aca="false">BT36+CA36+CB36-CC36</f>
        <v>113.649152858865</v>
      </c>
      <c r="BT36" s="115" t="n">
        <f aca="false">BU36+BW36+BX36+BY36</f>
        <v>110.05</v>
      </c>
      <c r="BU36" s="115" t="n">
        <v>46.85</v>
      </c>
      <c r="BV36" s="514" t="n">
        <f aca="false">BU36/B36</f>
        <v>2.6100278551532</v>
      </c>
      <c r="BW36" s="115" t="n">
        <v>32.05</v>
      </c>
      <c r="BX36" s="115" t="n">
        <v>17.25</v>
      </c>
      <c r="BY36" s="115" t="n">
        <v>13.9</v>
      </c>
      <c r="BZ36" s="514" t="n">
        <f aca="false">BY36/B36</f>
        <v>0.774373259052925</v>
      </c>
      <c r="CA36" s="1509" t="n">
        <f aca="false">CQ36-CW36</f>
        <v>3.33289831341084</v>
      </c>
      <c r="CB36" s="2024" t="n">
        <f aca="false">CB37*AB36/AB37</f>
        <v>0.266254545454545</v>
      </c>
      <c r="CC36" s="2019" t="n">
        <v>0</v>
      </c>
      <c r="CD36" s="485" t="n">
        <v>0</v>
      </c>
      <c r="CE36" s="2215" t="n">
        <f aca="false">CB36-CC36</f>
        <v>0.266254545454545</v>
      </c>
      <c r="CF36" s="2215" t="n">
        <f aca="false">CB36-CC36-CD36</f>
        <v>0.266254545454545</v>
      </c>
      <c r="CG36" s="2024" t="n">
        <f aca="false">CH36-CQ36</f>
        <v>10.8315816865892</v>
      </c>
      <c r="CH36" s="115" t="n">
        <f aca="false">CI36+CJ36+CN36</f>
        <v>14.16448</v>
      </c>
      <c r="CI36" s="1509" t="n">
        <v>3.085</v>
      </c>
      <c r="CJ36" s="1509" t="n">
        <f aca="false">CK36*CL36*CM36</f>
        <v>4.75948</v>
      </c>
      <c r="CK36" s="1509" t="n">
        <v>7.46</v>
      </c>
      <c r="CL36" s="514" t="n">
        <f aca="false">CL35+(CL$43-CL$33)/10</f>
        <v>0.638</v>
      </c>
      <c r="CM36" s="514" t="n">
        <v>1</v>
      </c>
      <c r="CN36" s="1509" t="n">
        <v>6.32</v>
      </c>
      <c r="CO36" s="2017" t="n">
        <f aca="false">CX36-CP36</f>
        <v>-3.39184927132798</v>
      </c>
      <c r="CP36" s="2017" t="n">
        <f aca="false">CQ36+9*(CQ37-CQ36)/12</f>
        <v>3.39184927132798</v>
      </c>
      <c r="CQ36" s="2215" t="n">
        <f aca="false">CQ37*CV36/CV37</f>
        <v>3.33289831341084</v>
      </c>
      <c r="CR36" s="2214" t="n">
        <v>0</v>
      </c>
      <c r="CU36" s="485" t="n">
        <v>0</v>
      </c>
      <c r="CV36" s="2017" t="n">
        <v>3.265</v>
      </c>
      <c r="CW36" s="2217" t="n">
        <v>0</v>
      </c>
      <c r="CX36" s="2019" t="n">
        <f aca="false">CY36+(CU35+9/12*(CU36-CU35))/1000</f>
        <v>0</v>
      </c>
      <c r="CY36" s="2019" t="n">
        <f aca="false">CZ36+DA36</f>
        <v>0</v>
      </c>
      <c r="CZ36" s="2017" t="n">
        <v>0</v>
      </c>
      <c r="DA36" s="2017" t="n">
        <v>0</v>
      </c>
      <c r="DB36" s="2217"/>
      <c r="DC36" s="2220" t="n">
        <f aca="false">CG36+BS36</f>
        <v>124.480734545455</v>
      </c>
    </row>
    <row r="37" customFormat="false" ht="12" hidden="false" customHeight="false" outlineLevel="0" collapsed="false">
      <c r="A37" s="31" t="n">
        <v>1874</v>
      </c>
      <c r="B37" s="1994" t="n">
        <f aca="false">H37</f>
        <v>19.544</v>
      </c>
      <c r="C37" s="395" t="n">
        <v>21.316</v>
      </c>
      <c r="D37" s="387"/>
      <c r="E37" s="31"/>
      <c r="F37" s="2219" t="n">
        <v>0.596463664436439</v>
      </c>
      <c r="G37" s="2202" t="n">
        <f aca="false">B37-F37</f>
        <v>18.9475363355636</v>
      </c>
      <c r="H37" s="2000" t="n">
        <f aca="false">I37+J37+O37+Q37+T37</f>
        <v>19.544</v>
      </c>
      <c r="I37" s="1997" t="n">
        <v>14.77</v>
      </c>
      <c r="J37" s="1997" t="n">
        <v>1.29</v>
      </c>
      <c r="K37" s="1997"/>
      <c r="L37" s="1997"/>
      <c r="M37" s="514"/>
      <c r="N37" s="1997"/>
      <c r="O37" s="1997" t="n">
        <v>3.37</v>
      </c>
      <c r="P37" s="1997" t="n">
        <v>0.872723</v>
      </c>
      <c r="Q37" s="1997" t="n">
        <f aca="false">V37-T37</f>
        <v>0.105</v>
      </c>
      <c r="R37" s="1997"/>
      <c r="S37" s="1997"/>
      <c r="T37" s="1997" t="n">
        <v>0.009</v>
      </c>
      <c r="U37" s="1997" t="n">
        <v>0.591</v>
      </c>
      <c r="V37" s="1999" t="n">
        <v>0.114</v>
      </c>
      <c r="W37" s="384" t="n">
        <f aca="false">X37+AD37</f>
        <v>14.718</v>
      </c>
      <c r="X37" s="2204" t="n">
        <f aca="false">Y37+Z37+AA37+AB37</f>
        <v>3.433</v>
      </c>
      <c r="Y37" s="2008" t="n">
        <v>1.469</v>
      </c>
      <c r="Z37" s="2008" t="n">
        <v>0.562</v>
      </c>
      <c r="AA37" s="2008" t="n">
        <v>1.393</v>
      </c>
      <c r="AB37" s="2009" t="n">
        <v>0.009</v>
      </c>
      <c r="AC37" s="384" t="n">
        <v>0.14</v>
      </c>
      <c r="AD37" s="2204" t="n">
        <f aca="false">AE37+AF37</f>
        <v>11.285</v>
      </c>
      <c r="AE37" s="2008" t="n">
        <v>7.165</v>
      </c>
      <c r="AF37" s="2023" t="n">
        <v>4.12</v>
      </c>
      <c r="AG37" s="2206"/>
      <c r="AH37" s="387"/>
      <c r="AI37" s="1999"/>
      <c r="AJ37" s="2009" t="n">
        <v>5.487</v>
      </c>
      <c r="AK37" s="2207" t="e">
        <f aca="false">NA()</f>
        <v>#N/A</v>
      </c>
      <c r="AL37" s="2207" t="e">
        <f aca="false">NA()</f>
        <v>#N/A</v>
      </c>
      <c r="AM37" s="2207"/>
      <c r="AN37" s="2208" t="n">
        <v>0.848</v>
      </c>
      <c r="AO37" s="2023" t="n">
        <v>0.185</v>
      </c>
      <c r="AP37" s="2023" t="n">
        <v>0.143</v>
      </c>
      <c r="AQ37" s="2023" t="n">
        <v>0.591</v>
      </c>
      <c r="AR37" s="2023" t="n">
        <v>0.305</v>
      </c>
      <c r="AS37" s="2023" t="n">
        <f aca="false">AN37+AO37-AP37-AC37+AQ37+AR37</f>
        <v>1.646</v>
      </c>
      <c r="AT37" s="2023" t="n">
        <v>0.344</v>
      </c>
      <c r="AU37" s="2105"/>
      <c r="AV37" s="2023"/>
      <c r="AW37" s="2000" t="n">
        <f aca="false">B37+AC37-AN37-AO37+AP37</f>
        <v>18.794</v>
      </c>
      <c r="AX37" s="1997" t="n">
        <f aca="false">V37+O37</f>
        <v>3.484</v>
      </c>
      <c r="AY37" s="514" t="n">
        <f aca="false">AX37/B37</f>
        <v>0.178264428980761</v>
      </c>
      <c r="AZ37" s="2222" t="n">
        <v>14.1833333333333</v>
      </c>
      <c r="BA37" s="401"/>
      <c r="BB37" s="401" t="n">
        <v>91.7</v>
      </c>
      <c r="BC37" s="401"/>
      <c r="BD37" s="401"/>
      <c r="BE37" s="401"/>
      <c r="BF37" s="401"/>
      <c r="BG37" s="401" t="n">
        <v>90.3</v>
      </c>
      <c r="BH37" s="401" t="n">
        <v>91.7071789304762</v>
      </c>
      <c r="BI37" s="218" t="n">
        <v>41983</v>
      </c>
      <c r="BJ37" s="218" t="n">
        <f aca="false">BI37*(1-BN37)</f>
        <v>23940.2892983548</v>
      </c>
      <c r="BK37" s="401" t="n">
        <f aca="false">BI37</f>
        <v>41983</v>
      </c>
      <c r="BL37" s="401"/>
      <c r="BM37" s="401" t="n">
        <f aca="false">BJ37</f>
        <v>23940.2892983548</v>
      </c>
      <c r="BN37" s="2211" t="n">
        <f aca="false">BN36+(BN$43-BN$34)/9</f>
        <v>0.429762301446899</v>
      </c>
      <c r="BO37" s="2221" t="n">
        <f aca="false">BO36+(BO$38-BO$34)/4</f>
        <v>18316.5</v>
      </c>
      <c r="BP37" s="218"/>
      <c r="BQ37" s="218"/>
      <c r="BR37" s="2212"/>
      <c r="BS37" s="401" t="n">
        <f aca="false">BT37+CA37+CB37-CC37</f>
        <v>117.510572317906</v>
      </c>
      <c r="BT37" s="115" t="n">
        <f aca="false">BU37+BW37+BX37+BY37</f>
        <v>113.5</v>
      </c>
      <c r="BU37" s="115" t="n">
        <v>48.3</v>
      </c>
      <c r="BV37" s="514" t="n">
        <f aca="false">BU37/B37</f>
        <v>2.47134670487106</v>
      </c>
      <c r="BW37" s="115" t="n">
        <v>32.85</v>
      </c>
      <c r="BX37" s="115" t="n">
        <v>17.1</v>
      </c>
      <c r="BY37" s="115" t="n">
        <v>15.25</v>
      </c>
      <c r="BZ37" s="514" t="n">
        <f aca="false">BY37/B37</f>
        <v>0.780290626279165</v>
      </c>
      <c r="CA37" s="1509" t="n">
        <f aca="false">CQ37-CW37</f>
        <v>3.4114995906337</v>
      </c>
      <c r="CB37" s="2024" t="n">
        <f aca="false">CB38*AB37/AB38</f>
        <v>0.599072727272727</v>
      </c>
      <c r="CC37" s="2019" t="n">
        <v>0</v>
      </c>
      <c r="CD37" s="485" t="n">
        <v>0</v>
      </c>
      <c r="CE37" s="2215" t="n">
        <f aca="false">CB37-CC37</f>
        <v>0.599072727272727</v>
      </c>
      <c r="CF37" s="2215" t="n">
        <f aca="false">CB37-CC37-CD37</f>
        <v>0.599072727272727</v>
      </c>
      <c r="CG37" s="2024" t="n">
        <f aca="false">CH37-CQ37</f>
        <v>11.8473004093663</v>
      </c>
      <c r="CH37" s="115" t="n">
        <f aca="false">CI37+CJ37+CN37</f>
        <v>15.2588</v>
      </c>
      <c r="CI37" s="1509" t="n">
        <v>3.31</v>
      </c>
      <c r="CJ37" s="1509" t="n">
        <f aca="false">CK37*CL37*CM37</f>
        <v>5.2788</v>
      </c>
      <c r="CK37" s="1509" t="n">
        <v>7.95</v>
      </c>
      <c r="CL37" s="514" t="n">
        <f aca="false">CL36+(CL$43-CL$33)/10</f>
        <v>0.664</v>
      </c>
      <c r="CM37" s="514" t="n">
        <v>1</v>
      </c>
      <c r="CN37" s="1509" t="n">
        <v>6.67</v>
      </c>
      <c r="CO37" s="2017" t="n">
        <f aca="false">CX37-CP37</f>
        <v>-3.69323923366628</v>
      </c>
      <c r="CP37" s="2017" t="n">
        <f aca="false">CQ37+9*(CQ38-CQ37)/12</f>
        <v>3.69323923366628</v>
      </c>
      <c r="CQ37" s="2215" t="n">
        <f aca="false">CQ38*CV37/CV38</f>
        <v>3.4114995906337</v>
      </c>
      <c r="CR37" s="2214" t="n">
        <v>0</v>
      </c>
      <c r="CU37" s="485" t="n">
        <v>0</v>
      </c>
      <c r="CV37" s="2017" t="n">
        <v>3.342</v>
      </c>
      <c r="CW37" s="2217" t="n">
        <v>0</v>
      </c>
      <c r="CX37" s="2019" t="n">
        <f aca="false">CY37+(CU36+9/12*(CU37-CU36))/1000</f>
        <v>0</v>
      </c>
      <c r="CY37" s="2019" t="n">
        <f aca="false">CZ37+DA37</f>
        <v>0</v>
      </c>
      <c r="CZ37" s="2017" t="n">
        <v>0</v>
      </c>
      <c r="DA37" s="2017" t="n">
        <v>0</v>
      </c>
      <c r="DB37" s="2217"/>
      <c r="DC37" s="2220" t="n">
        <f aca="false">CG37+BS37</f>
        <v>129.357872727273</v>
      </c>
    </row>
    <row r="38" customFormat="false" ht="12" hidden="false" customHeight="false" outlineLevel="0" collapsed="false">
      <c r="A38" s="31" t="n">
        <v>1875</v>
      </c>
      <c r="B38" s="1994" t="n">
        <f aca="false">H38</f>
        <v>18.242</v>
      </c>
      <c r="C38" s="395" t="n">
        <v>21.07</v>
      </c>
      <c r="D38" s="387"/>
      <c r="E38" s="31"/>
      <c r="F38" s="2219" t="n">
        <v>0.657056526548673</v>
      </c>
      <c r="G38" s="2202" t="n">
        <f aca="false">B38-F38</f>
        <v>17.5849434734513</v>
      </c>
      <c r="H38" s="2000" t="n">
        <f aca="false">I38+J38+O38+Q38+T38</f>
        <v>18.242</v>
      </c>
      <c r="I38" s="1997" t="n">
        <v>14.321</v>
      </c>
      <c r="J38" s="1997" t="n">
        <v>1.279</v>
      </c>
      <c r="K38" s="1997"/>
      <c r="L38" s="1997"/>
      <c r="M38" s="514"/>
      <c r="N38" s="1997"/>
      <c r="O38" s="1997" t="n">
        <v>2.48</v>
      </c>
      <c r="P38" s="1997" t="n">
        <v>0.91289</v>
      </c>
      <c r="Q38" s="1997" t="n">
        <f aca="false">V38-T38</f>
        <v>0.147</v>
      </c>
      <c r="R38" s="1997"/>
      <c r="S38" s="1997"/>
      <c r="T38" s="1997" t="n">
        <v>0.015</v>
      </c>
      <c r="U38" s="1997" t="n">
        <v>0.211</v>
      </c>
      <c r="V38" s="1999" t="n">
        <v>0.162</v>
      </c>
      <c r="W38" s="384" t="n">
        <f aca="false">X38+AD38</f>
        <v>14.234</v>
      </c>
      <c r="X38" s="2204" t="n">
        <f aca="false">Y38+Z38+AA38+AB38</f>
        <v>2.556</v>
      </c>
      <c r="Y38" s="2008" t="n">
        <v>1.401</v>
      </c>
      <c r="Z38" s="2008" t="n">
        <v>0.622</v>
      </c>
      <c r="AA38" s="2008" t="n">
        <v>0.518</v>
      </c>
      <c r="AB38" s="2009" t="n">
        <v>0.015</v>
      </c>
      <c r="AC38" s="384" t="n">
        <v>0.151</v>
      </c>
      <c r="AD38" s="2204" t="n">
        <f aca="false">AE38+AF38</f>
        <v>11.678</v>
      </c>
      <c r="AE38" s="2008" t="n">
        <v>7.331</v>
      </c>
      <c r="AF38" s="2023" t="n">
        <v>4.347</v>
      </c>
      <c r="AG38" s="2206"/>
      <c r="AH38" s="387"/>
      <c r="AI38" s="1999"/>
      <c r="AJ38" s="2009" t="n">
        <v>4.865</v>
      </c>
      <c r="AK38" s="2207" t="n">
        <v>9230</v>
      </c>
      <c r="AL38" s="2207" t="n">
        <v>0</v>
      </c>
      <c r="AM38" s="2207"/>
      <c r="AN38" s="2208" t="n">
        <v>0.847</v>
      </c>
      <c r="AO38" s="2023" t="n">
        <v>0.189</v>
      </c>
      <c r="AP38" s="2023" t="n">
        <v>0.145</v>
      </c>
      <c r="AQ38" s="2023" t="n">
        <v>0.211</v>
      </c>
      <c r="AR38" s="2023" t="n">
        <v>0.328</v>
      </c>
      <c r="AS38" s="2023" t="n">
        <f aca="false">AN38+AO38-AP38-AC38+AQ38+AR38</f>
        <v>1.279</v>
      </c>
      <c r="AT38" s="2023" t="n">
        <v>-0.037</v>
      </c>
      <c r="AU38" s="2105"/>
      <c r="AV38" s="2023"/>
      <c r="AW38" s="2000" t="n">
        <f aca="false">B38+AC38-AN38-AO38+AP38</f>
        <v>17.502</v>
      </c>
      <c r="AX38" s="1997" t="n">
        <f aca="false">V38+O38</f>
        <v>2.642</v>
      </c>
      <c r="AY38" s="514" t="n">
        <f aca="false">AX38/B38</f>
        <v>0.144830610678654</v>
      </c>
      <c r="AZ38" s="2222" t="n">
        <v>12.9916666666667</v>
      </c>
      <c r="BA38" s="401"/>
      <c r="BB38" s="401" t="n">
        <v>86.7</v>
      </c>
      <c r="BC38" s="401"/>
      <c r="BD38" s="401"/>
      <c r="BE38" s="401"/>
      <c r="BF38" s="401"/>
      <c r="BG38" s="401" t="n">
        <v>85.7</v>
      </c>
      <c r="BH38" s="401" t="n">
        <v>86.5983331736756</v>
      </c>
      <c r="BI38" s="218" t="n">
        <v>42510</v>
      </c>
      <c r="BJ38" s="218" t="n">
        <f aca="false">BI38*(1-BN38)</f>
        <v>24312.9402685541</v>
      </c>
      <c r="BK38" s="401" t="n">
        <f aca="false">BI38</f>
        <v>42510</v>
      </c>
      <c r="BL38" s="401"/>
      <c r="BM38" s="401" t="n">
        <f aca="false">BJ38</f>
        <v>24312.9402685541</v>
      </c>
      <c r="BN38" s="2211" t="n">
        <f aca="false">BN37+(BN$43-BN$34)/9</f>
        <v>0.42806539005989</v>
      </c>
      <c r="BO38" s="218" t="n">
        <v>18643</v>
      </c>
      <c r="BP38" s="218"/>
      <c r="BQ38" s="218"/>
      <c r="BR38" s="2212"/>
      <c r="BS38" s="401" t="n">
        <f aca="false">BT38+CA38+CB38-CC38</f>
        <v>116.485606993465</v>
      </c>
      <c r="BT38" s="115" t="n">
        <f aca="false">BU38+BW38+BX38+BY38</f>
        <v>111.7</v>
      </c>
      <c r="BU38" s="115" t="n">
        <v>49.15</v>
      </c>
      <c r="BV38" s="514" t="n">
        <f aca="false">BU38/B38</f>
        <v>2.69433176186822</v>
      </c>
      <c r="BW38" s="115" t="n">
        <v>31.25</v>
      </c>
      <c r="BX38" s="115" t="n">
        <v>15.3</v>
      </c>
      <c r="BY38" s="115" t="n">
        <v>16</v>
      </c>
      <c r="BZ38" s="514" t="n">
        <f aca="false">BY38/B38</f>
        <v>0.877096809560355</v>
      </c>
      <c r="CA38" s="1509" t="n">
        <f aca="false">CQ38-CW38</f>
        <v>3.78715244801048</v>
      </c>
      <c r="CB38" s="2024" t="n">
        <f aca="false">CB39*AB38/AB39</f>
        <v>0.998454545454545</v>
      </c>
      <c r="CC38" s="2019" t="n">
        <v>0</v>
      </c>
      <c r="CD38" s="485" t="n">
        <v>0</v>
      </c>
      <c r="CE38" s="2215" t="n">
        <f aca="false">CB38-CC38</f>
        <v>0.998454545454545</v>
      </c>
      <c r="CF38" s="2215" t="n">
        <f aca="false">CB38-CC38-CD38</f>
        <v>0.998454545454545</v>
      </c>
      <c r="CG38" s="2024" t="n">
        <f aca="false">CH38-CQ38</f>
        <v>11.5065475519895</v>
      </c>
      <c r="CH38" s="115" t="n">
        <f aca="false">CI38+CJ38+CN38</f>
        <v>15.2937</v>
      </c>
      <c r="CI38" s="1509" t="n">
        <v>3.36</v>
      </c>
      <c r="CJ38" s="1509" t="n">
        <f aca="false">CK38*CL38*CM38</f>
        <v>5.3337</v>
      </c>
      <c r="CK38" s="1509" t="n">
        <v>7.73</v>
      </c>
      <c r="CL38" s="514" t="n">
        <f aca="false">CL37+(CL$43-CL$33)/10</f>
        <v>0.69</v>
      </c>
      <c r="CM38" s="514" t="n">
        <v>1</v>
      </c>
      <c r="CN38" s="1509" t="n">
        <v>6.6</v>
      </c>
      <c r="CO38" s="2017" t="n">
        <f aca="false">CX38-CP38</f>
        <v>-4.09875036842967</v>
      </c>
      <c r="CP38" s="2017" t="n">
        <f aca="false">CQ38+9*(CQ39-CQ38)/12</f>
        <v>4.09875036842967</v>
      </c>
      <c r="CQ38" s="2215" t="n">
        <f aca="false">CQ39*CV38/CV39</f>
        <v>3.78715244801048</v>
      </c>
      <c r="CR38" s="2214" t="n">
        <v>0</v>
      </c>
      <c r="CU38" s="485" t="n">
        <v>0</v>
      </c>
      <c r="CV38" s="2017" t="n">
        <v>3.71</v>
      </c>
      <c r="CW38" s="2217" t="n">
        <v>0</v>
      </c>
      <c r="CX38" s="2019" t="n">
        <f aca="false">CY38+(CU37+9/12*(CU38-CU37))/1000</f>
        <v>0</v>
      </c>
      <c r="CY38" s="2019" t="n">
        <f aca="false">CZ38+DA38</f>
        <v>0</v>
      </c>
      <c r="CZ38" s="2017" t="n">
        <v>0</v>
      </c>
      <c r="DA38" s="2017" t="n">
        <v>0</v>
      </c>
      <c r="DB38" s="2019" t="n">
        <v>1.035</v>
      </c>
      <c r="DC38" s="2220" t="n">
        <f aca="false">CG38+BS38</f>
        <v>127.992154545455</v>
      </c>
    </row>
    <row r="39" customFormat="false" ht="12" hidden="false" customHeight="false" outlineLevel="0" collapsed="false">
      <c r="A39" s="31" t="n">
        <v>1876</v>
      </c>
      <c r="B39" s="1994" t="n">
        <f aca="false">H39</f>
        <v>17.912</v>
      </c>
      <c r="C39" s="395" t="n">
        <v>20.89</v>
      </c>
      <c r="D39" s="31"/>
      <c r="E39" s="31"/>
      <c r="F39" s="2219" t="n">
        <v>0.6886735131475</v>
      </c>
      <c r="G39" s="2202" t="n">
        <f aca="false">B39-F39</f>
        <v>17.2233264868525</v>
      </c>
      <c r="H39" s="2000" t="n">
        <f aca="false">I39+J39+O39+Q39+T39</f>
        <v>17.912</v>
      </c>
      <c r="I39" s="1997" t="n">
        <v>14.117</v>
      </c>
      <c r="J39" s="1997" t="n">
        <v>1.161</v>
      </c>
      <c r="K39" s="1997"/>
      <c r="L39" s="1997"/>
      <c r="M39" s="514"/>
      <c r="N39" s="1997"/>
      <c r="O39" s="1997" t="n">
        <v>2.39</v>
      </c>
      <c r="P39" s="1997" t="n">
        <v>0.915926</v>
      </c>
      <c r="Q39" s="1997" t="n">
        <f aca="false">V39-T39</f>
        <v>0.219</v>
      </c>
      <c r="R39" s="1997"/>
      <c r="S39" s="1997"/>
      <c r="T39" s="1997" t="n">
        <v>0.025</v>
      </c>
      <c r="U39" s="1997" t="n">
        <v>0.145</v>
      </c>
      <c r="V39" s="1999" t="n">
        <v>0.244</v>
      </c>
      <c r="W39" s="384" t="n">
        <f aca="false">X39+AD39</f>
        <v>14.535</v>
      </c>
      <c r="X39" s="2204" t="n">
        <f aca="false">Y39+Z39+AA39+AB39</f>
        <v>2.759</v>
      </c>
      <c r="Y39" s="2008" t="n">
        <v>1.333</v>
      </c>
      <c r="Z39" s="2008" t="n">
        <v>0.666</v>
      </c>
      <c r="AA39" s="2008" t="n">
        <v>0.735</v>
      </c>
      <c r="AB39" s="2009" t="n">
        <v>0.025</v>
      </c>
      <c r="AC39" s="384" t="n">
        <v>0.159</v>
      </c>
      <c r="AD39" s="2204" t="n">
        <f aca="false">AE39+AF39</f>
        <v>11.776</v>
      </c>
      <c r="AE39" s="2008" t="n">
        <v>7.382</v>
      </c>
      <c r="AF39" s="2023" t="n">
        <v>4.394</v>
      </c>
      <c r="AG39" s="2206"/>
      <c r="AH39" s="387"/>
      <c r="AI39" s="1999"/>
      <c r="AJ39" s="2009" t="n">
        <v>5.129</v>
      </c>
      <c r="AK39" s="2207" t="n">
        <v>9250</v>
      </c>
      <c r="AL39" s="2207" t="e">
        <f aca="false">NA()</f>
        <v>#N/A</v>
      </c>
      <c r="AM39" s="2207"/>
      <c r="AN39" s="2208" t="n">
        <v>0.862</v>
      </c>
      <c r="AO39" s="2023" t="n">
        <v>0.195</v>
      </c>
      <c r="AP39" s="2023" t="n">
        <v>0.146</v>
      </c>
      <c r="AQ39" s="2023" t="n">
        <v>0.145</v>
      </c>
      <c r="AR39" s="2023" t="n">
        <v>0.361</v>
      </c>
      <c r="AS39" s="2023" t="n">
        <f aca="false">AN39+AO39-AP39-AC39+AQ39+AR39</f>
        <v>1.258</v>
      </c>
      <c r="AT39" s="2023" t="n">
        <v>0.085</v>
      </c>
      <c r="AU39" s="2105"/>
      <c r="AV39" s="2023"/>
      <c r="AW39" s="2000" t="n">
        <f aca="false">B39+AC39-AN39-AO39+AP39</f>
        <v>17.16</v>
      </c>
      <c r="AX39" s="1997" t="n">
        <f aca="false">V39+O39</f>
        <v>2.634</v>
      </c>
      <c r="AY39" s="514" t="n">
        <f aca="false">AX39/B39</f>
        <v>0.147052255471193</v>
      </c>
      <c r="AZ39" s="2222" t="n">
        <v>12.8166666666667</v>
      </c>
      <c r="BA39" s="401"/>
      <c r="BB39" s="401" t="n">
        <v>86</v>
      </c>
      <c r="BC39" s="401"/>
      <c r="BD39" s="401"/>
      <c r="BE39" s="401"/>
      <c r="BF39" s="401"/>
      <c r="BG39" s="401" t="n">
        <v>86.1</v>
      </c>
      <c r="BH39" s="401" t="n">
        <v>85.9623593325572</v>
      </c>
      <c r="BI39" s="218" t="n">
        <v>43057</v>
      </c>
      <c r="BJ39" s="218" t="n">
        <f aca="false">BI39*(1-BN39)</f>
        <v>24698.8524137818</v>
      </c>
      <c r="BK39" s="401" t="n">
        <f aca="false">BI39</f>
        <v>43057</v>
      </c>
      <c r="BL39" s="401"/>
      <c r="BM39" s="401" t="n">
        <f aca="false">BJ39</f>
        <v>24698.8524137818</v>
      </c>
      <c r="BN39" s="2211" t="n">
        <f aca="false">BN38+(BN$43-BN$34)/9</f>
        <v>0.426368478672881</v>
      </c>
      <c r="BO39" s="218" t="n">
        <v>18891</v>
      </c>
      <c r="BP39" s="218"/>
      <c r="BQ39" s="218"/>
      <c r="BR39" s="2212"/>
      <c r="BS39" s="401" t="n">
        <f aca="false">BT39+CA39+CB39-CC39</f>
        <v>114.166707250994</v>
      </c>
      <c r="BT39" s="115" t="n">
        <f aca="false">BU39+BW39+BX39+BY39</f>
        <v>108.3</v>
      </c>
      <c r="BU39" s="115" t="n">
        <v>49.35</v>
      </c>
      <c r="BV39" s="514" t="n">
        <f aca="false">BU39/B39</f>
        <v>2.75513622152747</v>
      </c>
      <c r="BW39" s="115" t="n">
        <v>29.05</v>
      </c>
      <c r="BX39" s="115" t="n">
        <v>14</v>
      </c>
      <c r="BY39" s="115" t="n">
        <v>15.9</v>
      </c>
      <c r="BZ39" s="514" t="n">
        <f aca="false">BY39/B39</f>
        <v>0.887673068334078</v>
      </c>
      <c r="CA39" s="1509" t="n">
        <f aca="false">CQ39-CW39</f>
        <v>4.20261634190273</v>
      </c>
      <c r="CB39" s="2024" t="n">
        <f aca="false">CB40*AB39/AB40</f>
        <v>1.66409090909091</v>
      </c>
      <c r="CC39" s="2019" t="n">
        <v>0</v>
      </c>
      <c r="CD39" s="485" t="n">
        <v>0</v>
      </c>
      <c r="CE39" s="2215" t="n">
        <f aca="false">CB39-CC39</f>
        <v>1.66409090909091</v>
      </c>
      <c r="CF39" s="2215" t="n">
        <f aca="false">CB39-CC39-CD39</f>
        <v>1.66409090909091</v>
      </c>
      <c r="CG39" s="2024" t="n">
        <f aca="false">CH39-CQ39</f>
        <v>10.8590436580973</v>
      </c>
      <c r="CH39" s="115" t="n">
        <f aca="false">CI39+CJ39+CN39</f>
        <v>15.06166</v>
      </c>
      <c r="CI39" s="1509" t="n">
        <v>3.26</v>
      </c>
      <c r="CJ39" s="1509" t="n">
        <f aca="false">CK39*CL39*CM39</f>
        <v>5.46666</v>
      </c>
      <c r="CK39" s="1509" t="n">
        <v>7.635</v>
      </c>
      <c r="CL39" s="514" t="n">
        <f aca="false">CL38+(CL$43-CL$33)/10</f>
        <v>0.716</v>
      </c>
      <c r="CM39" s="514" t="n">
        <v>1</v>
      </c>
      <c r="CN39" s="1509" t="n">
        <v>6.335</v>
      </c>
      <c r="CO39" s="2017" t="n">
        <f aca="false">CX39-CP39</f>
        <v>-4.58541476993614</v>
      </c>
      <c r="CP39" s="2017" t="n">
        <f aca="false">CQ39+9*(CQ40-CQ39)/12</f>
        <v>4.58541476993614</v>
      </c>
      <c r="CQ39" s="2215" t="n">
        <f aca="false">CQ40*CV39/CV40</f>
        <v>4.20261634190273</v>
      </c>
      <c r="CR39" s="115" t="n">
        <v>16</v>
      </c>
      <c r="CS39" s="2223"/>
      <c r="CT39" s="2223"/>
      <c r="CU39" s="485" t="n">
        <v>0</v>
      </c>
      <c r="CV39" s="2017" t="n">
        <v>4.117</v>
      </c>
      <c r="CW39" s="2217" t="n">
        <v>0</v>
      </c>
      <c r="CX39" s="2019" t="n">
        <f aca="false">CY39+(CU38+9/12*(CU39-CU38))/1000</f>
        <v>0</v>
      </c>
      <c r="CY39" s="2019" t="n">
        <f aca="false">CZ39+DA39</f>
        <v>0</v>
      </c>
      <c r="CZ39" s="2017" t="n">
        <v>0</v>
      </c>
      <c r="DA39" s="2017" t="n">
        <v>0</v>
      </c>
      <c r="DB39" s="2019" t="n">
        <v>1.092</v>
      </c>
      <c r="DC39" s="2220" t="n">
        <f aca="false">CG39+BS39</f>
        <v>125.025750909091</v>
      </c>
    </row>
    <row r="40" customFormat="false" ht="12" hidden="false" customHeight="false" outlineLevel="0" collapsed="false">
      <c r="A40" s="31" t="n">
        <v>1877</v>
      </c>
      <c r="B40" s="1994" t="n">
        <f aca="false">H40</f>
        <v>17.414</v>
      </c>
      <c r="C40" s="395" t="n">
        <v>20.705</v>
      </c>
      <c r="D40" s="31"/>
      <c r="E40" s="31"/>
      <c r="F40" s="2219" t="n">
        <v>0.731644725345139</v>
      </c>
      <c r="G40" s="2202" t="n">
        <f aca="false">B40-F40</f>
        <v>16.6823552746549</v>
      </c>
      <c r="H40" s="2000" t="n">
        <f aca="false">I40+J40+O40+Q40+T40</f>
        <v>17.414</v>
      </c>
      <c r="I40" s="1997" t="n">
        <v>14.119</v>
      </c>
      <c r="J40" s="1997" t="n">
        <v>1.218</v>
      </c>
      <c r="K40" s="1997"/>
      <c r="L40" s="1997"/>
      <c r="M40" s="514"/>
      <c r="N40" s="1997"/>
      <c r="O40" s="1997" t="n">
        <v>1.83</v>
      </c>
      <c r="P40" s="1997" t="n">
        <v>0.633992</v>
      </c>
      <c r="Q40" s="1997" t="n">
        <f aca="false">V40-T40</f>
        <v>0.218</v>
      </c>
      <c r="R40" s="1997"/>
      <c r="S40" s="1997"/>
      <c r="T40" s="1997" t="n">
        <v>0.029</v>
      </c>
      <c r="U40" s="1997" t="n">
        <v>0.09</v>
      </c>
      <c r="V40" s="1999" t="n">
        <v>0.247</v>
      </c>
      <c r="W40" s="384" t="n">
        <f aca="false">X40+AD40</f>
        <v>14.219</v>
      </c>
      <c r="X40" s="2204" t="n">
        <f aca="false">Y40+Z40+AA40+AB40</f>
        <v>3.032</v>
      </c>
      <c r="Y40" s="2008" t="n">
        <v>1.279</v>
      </c>
      <c r="Z40" s="2008" t="n">
        <v>0.698</v>
      </c>
      <c r="AA40" s="2008" t="n">
        <v>1.026</v>
      </c>
      <c r="AB40" s="2009" t="n">
        <v>0.029</v>
      </c>
      <c r="AC40" s="384" t="n">
        <v>0.179</v>
      </c>
      <c r="AD40" s="2204" t="n">
        <f aca="false">AE40+AF40</f>
        <v>11.187</v>
      </c>
      <c r="AE40" s="2008" t="n">
        <v>6.89</v>
      </c>
      <c r="AF40" s="2023" t="n">
        <v>4.297</v>
      </c>
      <c r="AG40" s="2206"/>
      <c r="AH40" s="387"/>
      <c r="AI40" s="1999"/>
      <c r="AJ40" s="2009" t="n">
        <v>5.323</v>
      </c>
      <c r="AK40" s="2207" t="n">
        <v>9382</v>
      </c>
      <c r="AL40" s="2207" t="e">
        <f aca="false">NA()</f>
        <v>#N/A</v>
      </c>
      <c r="AM40" s="2207"/>
      <c r="AN40" s="2208" t="n">
        <v>0.874</v>
      </c>
      <c r="AO40" s="2023" t="n">
        <v>0.199</v>
      </c>
      <c r="AP40" s="2023" t="n">
        <v>0.148</v>
      </c>
      <c r="AQ40" s="2023" t="n">
        <v>0.09</v>
      </c>
      <c r="AR40" s="2023" t="n">
        <v>0.391</v>
      </c>
      <c r="AS40" s="2023" t="n">
        <f aca="false">AN40+AO40-AP40-AC40+AQ40+AR40</f>
        <v>1.227</v>
      </c>
      <c r="AT40" s="2023" t="n">
        <v>0.004</v>
      </c>
      <c r="AU40" s="2105"/>
      <c r="AV40" s="2023"/>
      <c r="AW40" s="2000" t="n">
        <f aca="false">B40+AC40-AN40-AO40+AP40</f>
        <v>16.668</v>
      </c>
      <c r="AX40" s="1997" t="n">
        <f aca="false">V40+O40</f>
        <v>2.077</v>
      </c>
      <c r="AY40" s="514" t="n">
        <f aca="false">AX40/B40</f>
        <v>0.119271850235443</v>
      </c>
      <c r="AZ40" s="2222" t="n">
        <v>13.1</v>
      </c>
      <c r="BA40" s="401"/>
      <c r="BB40" s="401" t="n">
        <v>84.1</v>
      </c>
      <c r="BC40" s="401"/>
      <c r="BD40" s="401"/>
      <c r="BE40" s="401"/>
      <c r="BF40" s="401"/>
      <c r="BG40" s="401" t="n">
        <v>84.5</v>
      </c>
      <c r="BH40" s="401" t="n">
        <v>84.0571904225628</v>
      </c>
      <c r="BI40" s="218" t="n">
        <v>43608</v>
      </c>
      <c r="BJ40" s="218" t="n">
        <f aca="false">BI40*(1-BN40)</f>
        <v>25088.9222937977</v>
      </c>
      <c r="BK40" s="401" t="n">
        <f aca="false">BI40</f>
        <v>43608</v>
      </c>
      <c r="BL40" s="401"/>
      <c r="BM40" s="401" t="n">
        <f aca="false">BJ40</f>
        <v>25088.9222937977</v>
      </c>
      <c r="BN40" s="2211" t="n">
        <f aca="false">BN39+(BN$43-BN$34)/9</f>
        <v>0.424671567285871</v>
      </c>
      <c r="BO40" s="218" t="n">
        <v>19108</v>
      </c>
      <c r="BP40" s="218"/>
      <c r="BQ40" s="218"/>
      <c r="BR40" s="2212"/>
      <c r="BS40" s="401" t="n">
        <f aca="false">BT40+CA40+CB40-CC40</f>
        <v>111.593359700493</v>
      </c>
      <c r="BT40" s="115" t="n">
        <f aca="false">BU40+BW40+BX40+BY40</f>
        <v>104.95</v>
      </c>
      <c r="BU40" s="115" t="n">
        <v>48.95</v>
      </c>
      <c r="BV40" s="514" t="n">
        <f aca="false">BU40/B40</f>
        <v>2.81095670150454</v>
      </c>
      <c r="BW40" s="115" t="n">
        <v>27.5</v>
      </c>
      <c r="BX40" s="115" t="n">
        <v>13.1</v>
      </c>
      <c r="BY40" s="115" t="n">
        <v>15.4</v>
      </c>
      <c r="BZ40" s="514" t="n">
        <f aca="false">BY40/B40</f>
        <v>0.884345928563225</v>
      </c>
      <c r="CA40" s="1509" t="n">
        <f aca="false">CQ40-CW40</f>
        <v>4.71301424594727</v>
      </c>
      <c r="CB40" s="2024" t="n">
        <f aca="false">CB41*AB40/AB41</f>
        <v>1.93034545454545</v>
      </c>
      <c r="CC40" s="2019" t="n">
        <v>0</v>
      </c>
      <c r="CD40" s="485" t="n">
        <v>0</v>
      </c>
      <c r="CE40" s="2215" t="n">
        <f aca="false">CB40-CC40</f>
        <v>1.93034545454545</v>
      </c>
      <c r="CF40" s="2215" t="n">
        <f aca="false">CB40-CC40-CD40</f>
        <v>1.93034545454545</v>
      </c>
      <c r="CG40" s="2024" t="n">
        <f aca="false">CH40-CQ40</f>
        <v>10.0326357540527</v>
      </c>
      <c r="CH40" s="115" t="n">
        <f aca="false">CI40+CJ40+CN40</f>
        <v>14.74565</v>
      </c>
      <c r="CI40" s="1509" t="n">
        <v>3.115</v>
      </c>
      <c r="CJ40" s="1509" t="n">
        <f aca="false">CK40*CL40*CM40</f>
        <v>5.62065</v>
      </c>
      <c r="CK40" s="1509" t="n">
        <v>7.575</v>
      </c>
      <c r="CL40" s="514" t="n">
        <f aca="false">CL39+(CL$43-CL$33)/10</f>
        <v>0.742</v>
      </c>
      <c r="CM40" s="514" t="n">
        <v>1</v>
      </c>
      <c r="CN40" s="1509" t="n">
        <v>6.01</v>
      </c>
      <c r="CO40" s="2017" t="n">
        <f aca="false">CX40-CP40</f>
        <v>-4.94499009333552</v>
      </c>
      <c r="CP40" s="2017" t="n">
        <f aca="false">CQ40+9*(CQ41-CQ40)/12</f>
        <v>4.94499009333552</v>
      </c>
      <c r="CQ40" s="2215" t="n">
        <f aca="false">CQ41*CV40/CV41</f>
        <v>4.71301424594727</v>
      </c>
      <c r="CR40" s="115" t="n">
        <v>72</v>
      </c>
      <c r="CS40" s="2223"/>
      <c r="CT40" s="2223"/>
      <c r="CU40" s="485" t="n">
        <v>0</v>
      </c>
      <c r="CV40" s="2017" t="n">
        <v>4.617</v>
      </c>
      <c r="CW40" s="2217" t="n">
        <v>0</v>
      </c>
      <c r="CX40" s="2019" t="n">
        <f aca="false">CY40+(CU39+9/12*(CU40-CU39))/1000</f>
        <v>0</v>
      </c>
      <c r="CY40" s="2019" t="n">
        <f aca="false">CZ40+DA40</f>
        <v>0</v>
      </c>
      <c r="CZ40" s="2017" t="n">
        <v>0</v>
      </c>
      <c r="DA40" s="2017" t="n">
        <v>0</v>
      </c>
      <c r="DB40" s="2019" t="n">
        <v>1.027</v>
      </c>
      <c r="DC40" s="2220" t="n">
        <f aca="false">CG40+BS40</f>
        <v>121.625995454545</v>
      </c>
    </row>
    <row r="41" customFormat="false" ht="12" hidden="false" customHeight="false" outlineLevel="0" collapsed="false">
      <c r="A41" s="31" t="n">
        <v>1878</v>
      </c>
      <c r="B41" s="1994" t="n">
        <f aca="false">H41</f>
        <v>17.874</v>
      </c>
      <c r="C41" s="395" t="n">
        <v>21.803</v>
      </c>
      <c r="D41" s="31"/>
      <c r="E41" s="31"/>
      <c r="F41" s="2219" t="n">
        <v>0.782002290950745</v>
      </c>
      <c r="G41" s="2202" t="n">
        <f aca="false">B41-F41</f>
        <v>17.0919977090493</v>
      </c>
      <c r="H41" s="2000" t="n">
        <f aca="false">I41+J41+O41+Q41+T41</f>
        <v>17.874</v>
      </c>
      <c r="I41" s="1997" t="n">
        <v>14.448</v>
      </c>
      <c r="J41" s="1997" t="n">
        <v>1.192</v>
      </c>
      <c r="K41" s="1997"/>
      <c r="L41" s="1997"/>
      <c r="M41" s="514"/>
      <c r="N41" s="1997"/>
      <c r="O41" s="1997" t="n">
        <v>1.82</v>
      </c>
      <c r="P41" s="1997" t="n">
        <v>0.35854</v>
      </c>
      <c r="Q41" s="1997" t="n">
        <f aca="false">V41-T41</f>
        <v>0.376</v>
      </c>
      <c r="R41" s="1997"/>
      <c r="S41" s="1997"/>
      <c r="T41" s="1997" t="n">
        <v>0.038</v>
      </c>
      <c r="U41" s="1997" t="n">
        <v>0.045</v>
      </c>
      <c r="V41" s="1999" t="n">
        <v>0.414</v>
      </c>
      <c r="W41" s="384" t="n">
        <f aca="false">X41+AD41</f>
        <v>14.004</v>
      </c>
      <c r="X41" s="2204" t="n">
        <f aca="false">Y41+Z41+AA41+AB41</f>
        <v>3.024</v>
      </c>
      <c r="Y41" s="2008" t="n">
        <v>1.256</v>
      </c>
      <c r="Z41" s="2008" t="n">
        <v>0.73</v>
      </c>
      <c r="AA41" s="2008" t="n">
        <v>1</v>
      </c>
      <c r="AB41" s="2009" t="n">
        <v>0.038</v>
      </c>
      <c r="AC41" s="384" t="n">
        <v>0.186</v>
      </c>
      <c r="AD41" s="2204" t="n">
        <f aca="false">AE41+AF41</f>
        <v>10.98</v>
      </c>
      <c r="AE41" s="2008" t="n">
        <v>6.878</v>
      </c>
      <c r="AF41" s="2023" t="n">
        <v>4.102</v>
      </c>
      <c r="AG41" s="2206"/>
      <c r="AH41" s="387"/>
      <c r="AI41" s="1999"/>
      <c r="AJ41" s="2009" t="n">
        <v>5.102</v>
      </c>
      <c r="AK41" s="2207" t="n">
        <v>9518</v>
      </c>
      <c r="AL41" s="2207" t="e">
        <f aca="false">NA()</f>
        <v>#N/A</v>
      </c>
      <c r="AM41" s="2207"/>
      <c r="AN41" s="2208" t="n">
        <v>0.901</v>
      </c>
      <c r="AO41" s="2023" t="n">
        <v>0.204</v>
      </c>
      <c r="AP41" s="2023" t="n">
        <v>0.151</v>
      </c>
      <c r="AQ41" s="2023" t="n">
        <v>0.045</v>
      </c>
      <c r="AR41" s="2023" t="n">
        <v>0.386</v>
      </c>
      <c r="AS41" s="2023" t="n">
        <f aca="false">AN41+AO41-AP41-AC41+AQ41+AR41</f>
        <v>1.199</v>
      </c>
      <c r="AT41" s="2023" t="n">
        <v>0.002</v>
      </c>
      <c r="AU41" s="2105"/>
      <c r="AV41" s="2023"/>
      <c r="AW41" s="2000" t="n">
        <f aca="false">B41+AC41-AN41-AO41+AP41</f>
        <v>17.106</v>
      </c>
      <c r="AX41" s="1997" t="n">
        <f aca="false">V41+O41</f>
        <v>2.234</v>
      </c>
      <c r="AY41" s="514" t="n">
        <f aca="false">AX41/B41</f>
        <v>0.124986013203536</v>
      </c>
      <c r="AZ41" s="2222" t="n">
        <v>12.4166666666667</v>
      </c>
      <c r="BA41" s="401"/>
      <c r="BB41" s="401" t="n">
        <v>82</v>
      </c>
      <c r="BC41" s="401"/>
      <c r="BD41" s="401"/>
      <c r="BE41" s="401"/>
      <c r="BF41" s="401"/>
      <c r="BG41" s="401" t="n">
        <v>82.4</v>
      </c>
      <c r="BH41" s="401" t="n">
        <v>81.8411924627355</v>
      </c>
      <c r="BI41" s="218" t="n">
        <v>44127</v>
      </c>
      <c r="BJ41" s="218" t="n">
        <f aca="false">BI41*(1-BN41)</f>
        <v>25462.3973591509</v>
      </c>
      <c r="BK41" s="401" t="n">
        <f aca="false">BI41</f>
        <v>44127</v>
      </c>
      <c r="BL41" s="401"/>
      <c r="BM41" s="401" t="n">
        <f aca="false">BJ41</f>
        <v>25462.3973591509</v>
      </c>
      <c r="BN41" s="2211" t="n">
        <f aca="false">BN40+(BN$43-BN$34)/9</f>
        <v>0.422974655898862</v>
      </c>
      <c r="BO41" s="218" t="n">
        <v>19277</v>
      </c>
      <c r="BP41" s="218"/>
      <c r="BQ41" s="218"/>
      <c r="BR41" s="2212"/>
      <c r="BS41" s="401" t="n">
        <f aca="false">BT41+CA41+CB41-CC41</f>
        <v>109.901733557616</v>
      </c>
      <c r="BT41" s="115" t="n">
        <f aca="false">BU41+BW41+BX41+BY41</f>
        <v>102.35</v>
      </c>
      <c r="BU41" s="115" t="n">
        <v>48.5</v>
      </c>
      <c r="BV41" s="514" t="n">
        <f aca="false">BU41/B41</f>
        <v>2.71343851404274</v>
      </c>
      <c r="BW41" s="115" t="n">
        <v>26.35</v>
      </c>
      <c r="BX41" s="115" t="n">
        <v>12.4</v>
      </c>
      <c r="BY41" s="115" t="n">
        <v>15.1</v>
      </c>
      <c r="BZ41" s="514" t="n">
        <f aca="false">BY41/B41</f>
        <v>0.844802506433926</v>
      </c>
      <c r="CA41" s="1509" t="n">
        <f aca="false">CQ41-CW41</f>
        <v>5.02231537579826</v>
      </c>
      <c r="CB41" s="2024" t="n">
        <f aca="false">CB42*AB41/AB42</f>
        <v>2.52941818181818</v>
      </c>
      <c r="CC41" s="2019" t="n">
        <v>0</v>
      </c>
      <c r="CD41" s="485" t="n">
        <v>0</v>
      </c>
      <c r="CE41" s="2215" t="n">
        <f aca="false">CB41-CC41</f>
        <v>2.52941818181818</v>
      </c>
      <c r="CF41" s="2215" t="n">
        <f aca="false">CB41-CC41-CD41</f>
        <v>2.52941818181818</v>
      </c>
      <c r="CG41" s="2024" t="n">
        <f aca="false">CH41-CQ41</f>
        <v>9.41052462420174</v>
      </c>
      <c r="CH41" s="115" t="n">
        <f aca="false">CI41+CJ41+CN41</f>
        <v>14.43284</v>
      </c>
      <c r="CI41" s="1509" t="n">
        <v>3.015</v>
      </c>
      <c r="CJ41" s="1509" t="n">
        <f aca="false">CK41*CL41*CM41</f>
        <v>5.66784</v>
      </c>
      <c r="CK41" s="1509" t="n">
        <v>7.38</v>
      </c>
      <c r="CL41" s="514" t="n">
        <f aca="false">CL40+(CL$43-CL$33)/10</f>
        <v>0.768</v>
      </c>
      <c r="CM41" s="514" t="n">
        <v>1</v>
      </c>
      <c r="CN41" s="1509" t="n">
        <v>5.75</v>
      </c>
      <c r="CO41" s="2017" t="n">
        <f aca="false">CX41-CP41</f>
        <v>-5.3721931390208</v>
      </c>
      <c r="CP41" s="2017" t="n">
        <f aca="false">CQ41+9*(CQ42-CQ41)/12</f>
        <v>5.3721931390208</v>
      </c>
      <c r="CQ41" s="2215" t="n">
        <f aca="false">CQ42*CV41/CV42</f>
        <v>5.02231537579826</v>
      </c>
      <c r="CR41" s="115" t="n">
        <v>139</v>
      </c>
      <c r="CS41" s="2223"/>
      <c r="CT41" s="2223"/>
      <c r="CU41" s="485" t="n">
        <v>0</v>
      </c>
      <c r="CV41" s="2017" t="n">
        <v>4.92</v>
      </c>
      <c r="CW41" s="2217" t="n">
        <v>0</v>
      </c>
      <c r="CX41" s="2019" t="n">
        <f aca="false">CY41+(CU40+9/12*(CU41-CU40))/1000</f>
        <v>0</v>
      </c>
      <c r="CY41" s="2019" t="n">
        <f aca="false">CZ41+DA41</f>
        <v>0</v>
      </c>
      <c r="CZ41" s="2017" t="n">
        <v>0</v>
      </c>
      <c r="DA41" s="2017" t="n">
        <v>0</v>
      </c>
      <c r="DB41" s="2019" t="n">
        <v>0.969</v>
      </c>
      <c r="DC41" s="2220" t="n">
        <f aca="false">CG41+BS41</f>
        <v>119.312258181818</v>
      </c>
    </row>
    <row r="42" customFormat="false" ht="12" hidden="false" customHeight="false" outlineLevel="0" collapsed="false">
      <c r="A42" s="31" t="n">
        <v>1879</v>
      </c>
      <c r="B42" s="1994" t="n">
        <f aca="false">H42</f>
        <v>16.678</v>
      </c>
      <c r="C42" s="395" t="n">
        <v>21.193</v>
      </c>
      <c r="D42" s="31"/>
      <c r="E42" s="31"/>
      <c r="F42" s="2219" t="n">
        <v>0.844620822622108</v>
      </c>
      <c r="G42" s="2202" t="n">
        <f aca="false">B42-F42</f>
        <v>15.8333791773779</v>
      </c>
      <c r="H42" s="2000" t="n">
        <f aca="false">I42+J42+O42+Q42+T42</f>
        <v>16.678</v>
      </c>
      <c r="I42" s="1997" t="n">
        <v>13.917</v>
      </c>
      <c r="J42" s="1997" t="n">
        <v>1.211</v>
      </c>
      <c r="K42" s="1997"/>
      <c r="L42" s="1997"/>
      <c r="M42" s="514"/>
      <c r="N42" s="1997"/>
      <c r="O42" s="1997" t="n">
        <v>1.21</v>
      </c>
      <c r="P42" s="1997" t="n">
        <v>0.706895</v>
      </c>
      <c r="Q42" s="1997" t="n">
        <f aca="false">V42-T42</f>
        <v>0.291</v>
      </c>
      <c r="R42" s="1997"/>
      <c r="S42" s="1997"/>
      <c r="T42" s="1997" t="n">
        <v>0.049</v>
      </c>
      <c r="U42" s="1997" t="n">
        <v>0.024</v>
      </c>
      <c r="V42" s="1999" t="n">
        <v>0.34</v>
      </c>
      <c r="W42" s="384" t="n">
        <f aca="false">X42+AD42</f>
        <v>13.746</v>
      </c>
      <c r="X42" s="2204" t="n">
        <f aca="false">Y42+Z42+AA42+AB42</f>
        <v>2.906</v>
      </c>
      <c r="Y42" s="2008" t="n">
        <v>1.24</v>
      </c>
      <c r="Z42" s="2008" t="n">
        <v>0.757</v>
      </c>
      <c r="AA42" s="2008" t="n">
        <v>0.86</v>
      </c>
      <c r="AB42" s="2009" t="n">
        <v>0.049</v>
      </c>
      <c r="AC42" s="384" t="n">
        <v>0.2</v>
      </c>
      <c r="AD42" s="2204" t="n">
        <f aca="false">AE42+AF42</f>
        <v>10.84</v>
      </c>
      <c r="AE42" s="2008" t="n">
        <v>6.994</v>
      </c>
      <c r="AF42" s="2023" t="n">
        <v>3.846</v>
      </c>
      <c r="AG42" s="2206"/>
      <c r="AH42" s="387"/>
      <c r="AI42" s="1999"/>
      <c r="AJ42" s="2009" t="n">
        <v>4.706</v>
      </c>
      <c r="AK42" s="2207" t="n">
        <v>9568</v>
      </c>
      <c r="AL42" s="2207" t="e">
        <f aca="false">NA()</f>
        <v>#N/A</v>
      </c>
      <c r="AM42" s="2207"/>
      <c r="AN42" s="2208" t="n">
        <v>0.973</v>
      </c>
      <c r="AO42" s="2023" t="n">
        <v>0.208</v>
      </c>
      <c r="AP42" s="2023" t="n">
        <v>0.154</v>
      </c>
      <c r="AQ42" s="2023" t="n">
        <v>0.024</v>
      </c>
      <c r="AR42" s="2023" t="n">
        <v>0.368</v>
      </c>
      <c r="AS42" s="2023" t="n">
        <f aca="false">AN42+AO42-AP42-AC42+AQ42+AR42</f>
        <v>1.219</v>
      </c>
      <c r="AT42" s="2023" t="n">
        <v>-0.004</v>
      </c>
      <c r="AU42" s="2105"/>
      <c r="AV42" s="2023"/>
      <c r="AW42" s="2000" t="n">
        <f aca="false">B42+AC42-AN42-AO42+AP42</f>
        <v>15.851</v>
      </c>
      <c r="AX42" s="1997" t="n">
        <f aca="false">V42+O42</f>
        <v>1.55</v>
      </c>
      <c r="AY42" s="514" t="n">
        <f aca="false">AX42/B42</f>
        <v>0.0929368029739777</v>
      </c>
      <c r="AZ42" s="2222" t="n">
        <v>12.2</v>
      </c>
      <c r="BA42" s="401"/>
      <c r="BB42" s="401" t="n">
        <v>78.7</v>
      </c>
      <c r="BC42" s="401"/>
      <c r="BD42" s="401"/>
      <c r="BE42" s="401"/>
      <c r="BF42" s="401"/>
      <c r="BG42" s="401" t="n">
        <v>79.8</v>
      </c>
      <c r="BH42" s="401" t="n">
        <v>78.7335550093971</v>
      </c>
      <c r="BI42" s="218" t="n">
        <v>44639</v>
      </c>
      <c r="BJ42" s="218" t="n">
        <f aca="false">BI42*(1-BN42)</f>
        <v>25833.5827627354</v>
      </c>
      <c r="BK42" s="401" t="n">
        <f aca="false">BI42</f>
        <v>44639</v>
      </c>
      <c r="BL42" s="401"/>
      <c r="BM42" s="401" t="n">
        <f aca="false">BJ42</f>
        <v>25833.5827627354</v>
      </c>
      <c r="BN42" s="2211" t="n">
        <f aca="false">BN41+(BN$43-BN$34)/9</f>
        <v>0.421277744511853</v>
      </c>
      <c r="BO42" s="218" t="n">
        <v>19554</v>
      </c>
      <c r="BP42" s="218"/>
      <c r="BQ42" s="218"/>
      <c r="BR42" s="2212"/>
      <c r="BS42" s="401" t="n">
        <f aca="false">BT42+CA42+CB42-CC42</f>
        <v>108.400437241913</v>
      </c>
      <c r="BT42" s="115" t="n">
        <f aca="false">BU42+BW42+BX42+BY42</f>
        <v>99.65</v>
      </c>
      <c r="BU42" s="115" t="n">
        <v>48.1</v>
      </c>
      <c r="BV42" s="514" t="n">
        <f aca="false">BU42/B42</f>
        <v>2.88403885357957</v>
      </c>
      <c r="BW42" s="115" t="n">
        <v>25.1</v>
      </c>
      <c r="BX42" s="115" t="n">
        <v>11.7</v>
      </c>
      <c r="BY42" s="115" t="n">
        <v>14.75</v>
      </c>
      <c r="BZ42" s="514" t="n">
        <f aca="false">BY42/B42</f>
        <v>0.884398608945917</v>
      </c>
      <c r="CA42" s="1509" t="n">
        <f aca="false">CQ42-CW42</f>
        <v>5.48881906009497</v>
      </c>
      <c r="CB42" s="2024" t="n">
        <f aca="false">CB43*AB42/AB43</f>
        <v>3.26161818181818</v>
      </c>
      <c r="CC42" s="2019" t="n">
        <v>0</v>
      </c>
      <c r="CD42" s="485" t="n">
        <v>0</v>
      </c>
      <c r="CE42" s="2215" t="n">
        <f aca="false">CB42-CC42</f>
        <v>3.26161818181818</v>
      </c>
      <c r="CF42" s="2215" t="n">
        <f aca="false">CB42-CC42-CD42</f>
        <v>3.26161818181818</v>
      </c>
      <c r="CG42" s="2024" t="n">
        <f aca="false">CH42-CQ42</f>
        <v>8.69459093990503</v>
      </c>
      <c r="CH42" s="115" t="n">
        <f aca="false">CI42+CJ42+CN42</f>
        <v>14.18341</v>
      </c>
      <c r="CI42" s="1509" t="n">
        <v>2.935</v>
      </c>
      <c r="CJ42" s="1509" t="n">
        <f aca="false">CK42*CL42*CM42</f>
        <v>5.76841</v>
      </c>
      <c r="CK42" s="1509" t="n">
        <v>7.265</v>
      </c>
      <c r="CL42" s="514" t="n">
        <f aca="false">CL41+(CL$43-CL$33)/10</f>
        <v>0.794</v>
      </c>
      <c r="CM42" s="514" t="n">
        <v>1</v>
      </c>
      <c r="CN42" s="1509" t="n">
        <v>5.48</v>
      </c>
      <c r="CO42" s="2017" t="n">
        <f aca="false">CX42-CP42</f>
        <v>-6.04770476502374</v>
      </c>
      <c r="CP42" s="2017" t="n">
        <f aca="false">CQ42+9*(CQ43-CQ42)/12</f>
        <v>6.04770476502374</v>
      </c>
      <c r="CQ42" s="2215" t="n">
        <f aca="false">CQ43*CV42/CV43</f>
        <v>5.48881906009497</v>
      </c>
      <c r="CR42" s="115" t="n">
        <v>218</v>
      </c>
      <c r="CS42" s="2223"/>
      <c r="CT42" s="2223"/>
      <c r="CU42" s="485" t="n">
        <v>0</v>
      </c>
      <c r="CV42" s="2017" t="n">
        <v>5.377</v>
      </c>
      <c r="CW42" s="2217" t="n">
        <v>0</v>
      </c>
      <c r="CX42" s="2019" t="n">
        <f aca="false">CY42+(CU41+9/12*(CU42-CU41))/1000</f>
        <v>0</v>
      </c>
      <c r="CY42" s="2019" t="n">
        <f aca="false">CZ42+DA42</f>
        <v>0</v>
      </c>
      <c r="CZ42" s="2017" t="n">
        <v>0</v>
      </c>
      <c r="DA42" s="2017" t="n">
        <v>0</v>
      </c>
      <c r="DB42" s="2019" t="n">
        <v>1.121</v>
      </c>
      <c r="DC42" s="2220" t="n">
        <f aca="false">CG42+BS42</f>
        <v>117.095028181818</v>
      </c>
    </row>
    <row r="43" customFormat="false" ht="12" hidden="false" customHeight="false" outlineLevel="0" collapsed="false">
      <c r="A43" s="31" t="n">
        <v>1880</v>
      </c>
      <c r="B43" s="1994" t="n">
        <f aca="false">H43</f>
        <v>16.914</v>
      </c>
      <c r="C43" s="395" t="n">
        <v>20.576</v>
      </c>
      <c r="D43" s="31"/>
      <c r="E43" s="31"/>
      <c r="F43" s="2219" t="n">
        <v>0.839613338148549</v>
      </c>
      <c r="G43" s="2202" t="n">
        <f aca="false">B43-F43</f>
        <v>16.0743866618515</v>
      </c>
      <c r="H43" s="2000" t="n">
        <f aca="false">I43+J43+O43+Q43+T43</f>
        <v>16.914</v>
      </c>
      <c r="I43" s="1997" t="n">
        <v>14.074</v>
      </c>
      <c r="J43" s="1997" t="n">
        <v>1.21</v>
      </c>
      <c r="K43" s="1997"/>
      <c r="L43" s="1997"/>
      <c r="M43" s="514"/>
      <c r="N43" s="1997"/>
      <c r="O43" s="1997" t="n">
        <v>1.33</v>
      </c>
      <c r="P43" s="1997" t="n">
        <v>0.470226</v>
      </c>
      <c r="Q43" s="1997" t="n">
        <f aca="false">R43-S43</f>
        <v>0.24</v>
      </c>
      <c r="R43" s="1997" t="n">
        <v>3.084</v>
      </c>
      <c r="S43" s="1997" t="n">
        <v>2.844</v>
      </c>
      <c r="T43" s="1997" t="n">
        <v>0.06</v>
      </c>
      <c r="U43" s="1997" t="n">
        <v>0</v>
      </c>
      <c r="V43" s="1999" t="n">
        <v>0.288</v>
      </c>
      <c r="W43" s="384" t="n">
        <f aca="false">X43+AD43</f>
        <v>14.435</v>
      </c>
      <c r="X43" s="2204" t="n">
        <f aca="false">Y43+Z43+AA43+AB43</f>
        <v>3.459</v>
      </c>
      <c r="Y43" s="2008" t="n">
        <v>1.362</v>
      </c>
      <c r="Z43" s="2008" t="n">
        <v>0.774</v>
      </c>
      <c r="AA43" s="2008" t="n">
        <v>1.261</v>
      </c>
      <c r="AB43" s="2009" t="n">
        <v>0.062</v>
      </c>
      <c r="AC43" s="384" t="n">
        <v>0.221</v>
      </c>
      <c r="AD43" s="2204" t="n">
        <f aca="false">AE43+AF43</f>
        <v>10.976</v>
      </c>
      <c r="AE43" s="2008" t="n">
        <v>7.121</v>
      </c>
      <c r="AF43" s="2023" t="n">
        <v>3.855</v>
      </c>
      <c r="AG43" s="2206"/>
      <c r="AH43" s="387"/>
      <c r="AI43" s="1999"/>
      <c r="AJ43" s="2009" t="n">
        <v>5.116</v>
      </c>
      <c r="AK43" s="2207" t="n">
        <v>9565</v>
      </c>
      <c r="AL43" s="2207" t="e">
        <f aca="false">NA()</f>
        <v>#N/A</v>
      </c>
      <c r="AM43" s="2207"/>
      <c r="AN43" s="2208" t="n">
        <v>1.011</v>
      </c>
      <c r="AO43" s="2023" t="n">
        <v>0.214</v>
      </c>
      <c r="AP43" s="2023" t="n">
        <v>0.157</v>
      </c>
      <c r="AQ43" s="2023" t="n">
        <v>0</v>
      </c>
      <c r="AR43" s="2023" t="n">
        <v>0.422</v>
      </c>
      <c r="AS43" s="2023" t="n">
        <f aca="false">AN43+AO43-AP43-AC43+AQ43+AR43</f>
        <v>1.269</v>
      </c>
      <c r="AT43" s="2023" t="n">
        <v>0.051</v>
      </c>
      <c r="AU43" s="2105"/>
      <c r="AV43" s="2023"/>
      <c r="AW43" s="2000" t="n">
        <f aca="false">B43+AC43-AN43-AO43+AP43</f>
        <v>16.067</v>
      </c>
      <c r="AX43" s="1997" t="n">
        <f aca="false">V43+O43</f>
        <v>1.618</v>
      </c>
      <c r="AY43" s="514" t="n">
        <f aca="false">AX43/B43</f>
        <v>0.0956603996689134</v>
      </c>
      <c r="AZ43" s="2222" t="n">
        <v>12.9666666666667</v>
      </c>
      <c r="BA43" s="401"/>
      <c r="BB43" s="401" t="n">
        <v>82.2</v>
      </c>
      <c r="BC43" s="401"/>
      <c r="BD43" s="401"/>
      <c r="BE43" s="401"/>
      <c r="BF43" s="401"/>
      <c r="BG43" s="401" t="n">
        <v>83.7</v>
      </c>
      <c r="BH43" s="401" t="n">
        <v>82.4188907629725</v>
      </c>
      <c r="BI43" s="218" t="n">
        <v>45093</v>
      </c>
      <c r="BJ43" s="218" t="n">
        <f aca="false">BI43*(1-BN43)</f>
        <v>26172.8414919014</v>
      </c>
      <c r="BK43" s="401" t="n">
        <f aca="false">BI43</f>
        <v>45093</v>
      </c>
      <c r="BL43" s="401"/>
      <c r="BM43" s="401" t="n">
        <f aca="false">BJ43</f>
        <v>26172.8414919014</v>
      </c>
      <c r="BN43" s="387" t="n">
        <v>0.419580833124844</v>
      </c>
      <c r="BO43" s="218" t="n">
        <v>19638</v>
      </c>
      <c r="BP43" s="218"/>
      <c r="BQ43" s="218"/>
      <c r="BR43" s="2212"/>
      <c r="BS43" s="401" t="n">
        <f aca="false">BT43+CA43+CB43-CC43</f>
        <v>109.260945454545</v>
      </c>
      <c r="BT43" s="115" t="n">
        <f aca="false">BU43+BW43+BX43+BY43</f>
        <v>98.9</v>
      </c>
      <c r="BU43" s="115" t="n">
        <v>47.8</v>
      </c>
      <c r="BV43" s="514" t="n">
        <f aca="false">BU43/B43</f>
        <v>2.82606125103465</v>
      </c>
      <c r="BW43" s="115" t="n">
        <v>24.6</v>
      </c>
      <c r="BX43" s="115" t="n">
        <v>12.1</v>
      </c>
      <c r="BY43" s="115" t="n">
        <v>14.4</v>
      </c>
      <c r="BZ43" s="514" t="n">
        <f aca="false">BY43/B43</f>
        <v>0.851365732529266</v>
      </c>
      <c r="CA43" s="1509" t="n">
        <f aca="false">CQ43-CW43</f>
        <v>6.234</v>
      </c>
      <c r="CB43" s="2024" t="n">
        <f aca="false">CB44*AB43/AB44</f>
        <v>4.12694545454545</v>
      </c>
      <c r="CC43" s="2019" t="n">
        <v>0</v>
      </c>
      <c r="CD43" s="485" t="n">
        <v>0</v>
      </c>
      <c r="CE43" s="2215" t="n">
        <f aca="false">CB43-CC43</f>
        <v>4.12694545454545</v>
      </c>
      <c r="CF43" s="2215" t="n">
        <f aca="false">CB43-CC43-CD43</f>
        <v>4.12694545454545</v>
      </c>
      <c r="CG43" s="2024" t="n">
        <f aca="false">CH43-CQ43</f>
        <v>8.1147</v>
      </c>
      <c r="CH43" s="115" t="n">
        <f aca="false">CI43+CJ43+CN43</f>
        <v>14.3487</v>
      </c>
      <c r="CI43" s="1509" t="n">
        <v>2.9</v>
      </c>
      <c r="CJ43" s="1509" t="n">
        <f aca="false">CK43*CL43*CM43</f>
        <v>6.1787</v>
      </c>
      <c r="CK43" s="1509" t="n">
        <v>7.535</v>
      </c>
      <c r="CL43" s="855" t="n">
        <v>0.82</v>
      </c>
      <c r="CM43" s="514" t="n">
        <v>1</v>
      </c>
      <c r="CN43" s="1509" t="n">
        <v>5.27</v>
      </c>
      <c r="CO43" s="2017" t="n">
        <f aca="false">CX43-CP43</f>
        <v>-6.647625</v>
      </c>
      <c r="CP43" s="2017" t="n">
        <f aca="false">CQ43+9*(CQ44-CQ43)/12</f>
        <v>6.647625</v>
      </c>
      <c r="CQ43" s="1509" t="n">
        <f aca="false">(CR42+CS43+CT43)/1000</f>
        <v>6.234</v>
      </c>
      <c r="CR43" s="115" t="n">
        <v>308</v>
      </c>
      <c r="CS43" s="115" t="n">
        <v>5244</v>
      </c>
      <c r="CT43" s="115" t="n">
        <v>772</v>
      </c>
      <c r="CU43" s="485" t="n">
        <v>0</v>
      </c>
      <c r="CV43" s="2017" t="n">
        <v>6.107</v>
      </c>
      <c r="CW43" s="2217" t="n">
        <v>0</v>
      </c>
      <c r="CX43" s="2019" t="n">
        <f aca="false">CY43+(CU42+9/12*(CU43-CU42))/1000</f>
        <v>0</v>
      </c>
      <c r="CY43" s="2019" t="n">
        <f aca="false">CZ43+DA43</f>
        <v>0</v>
      </c>
      <c r="CZ43" s="2017" t="n">
        <v>0</v>
      </c>
      <c r="DA43" s="2017" t="n">
        <v>0</v>
      </c>
      <c r="DB43" s="2019" t="n">
        <v>1.126</v>
      </c>
      <c r="DC43" s="2220" t="n">
        <f aca="false">CG43+BS43</f>
        <v>117.375645454545</v>
      </c>
    </row>
    <row r="44" customFormat="false" ht="12" hidden="false" customHeight="false" outlineLevel="0" collapsed="false">
      <c r="A44" s="31" t="n">
        <v>1881</v>
      </c>
      <c r="B44" s="1994" t="n">
        <f aca="false">H44</f>
        <v>17.368</v>
      </c>
      <c r="C44" s="395" t="n">
        <v>21.424</v>
      </c>
      <c r="D44" s="31"/>
      <c r="E44" s="31"/>
      <c r="F44" s="2219" t="n">
        <v>0.888366228716196</v>
      </c>
      <c r="G44" s="2202" t="n">
        <f aca="false">B44-F44</f>
        <v>16.4796337712838</v>
      </c>
      <c r="H44" s="2000" t="n">
        <f aca="false">I44+J44+O44+Q44+T44</f>
        <v>17.368</v>
      </c>
      <c r="I44" s="1997" t="n">
        <v>14.153</v>
      </c>
      <c r="J44" s="1997" t="n">
        <v>1.23</v>
      </c>
      <c r="K44" s="1997"/>
      <c r="L44" s="1997"/>
      <c r="M44" s="514"/>
      <c r="N44" s="1997"/>
      <c r="O44" s="1997" t="n">
        <v>1.59</v>
      </c>
      <c r="P44" s="1997" t="n">
        <v>0.416444</v>
      </c>
      <c r="Q44" s="1997" t="n">
        <f aca="false">R44-S44</f>
        <v>0.315</v>
      </c>
      <c r="R44" s="1997" t="n">
        <v>3.305</v>
      </c>
      <c r="S44" s="1997" t="n">
        <v>2.99</v>
      </c>
      <c r="T44" s="1997" t="n">
        <v>0.08</v>
      </c>
      <c r="U44" s="1997" t="n">
        <v>0</v>
      </c>
      <c r="V44" s="1999" t="n">
        <v>0.357</v>
      </c>
      <c r="W44" s="384" t="n">
        <f aca="false">X44+AD44</f>
        <v>14.65</v>
      </c>
      <c r="X44" s="2204" t="n">
        <f aca="false">Y44+Z44+AA44+AB44</f>
        <v>3.437</v>
      </c>
      <c r="Y44" s="2008" t="n">
        <v>1.369</v>
      </c>
      <c r="Z44" s="2008" t="n">
        <v>0.79</v>
      </c>
      <c r="AA44" s="2008" t="n">
        <v>1.2</v>
      </c>
      <c r="AB44" s="2009" t="n">
        <v>0.078</v>
      </c>
      <c r="AC44" s="384" t="n">
        <v>0.239</v>
      </c>
      <c r="AD44" s="2204" t="n">
        <f aca="false">AE44+AF44</f>
        <v>11.213</v>
      </c>
      <c r="AE44" s="2008" t="n">
        <v>7.293</v>
      </c>
      <c r="AF44" s="2023" t="n">
        <v>3.92</v>
      </c>
      <c r="AG44" s="2206"/>
      <c r="AH44" s="387"/>
      <c r="AI44" s="1999"/>
      <c r="AJ44" s="2009" t="n">
        <v>5.117</v>
      </c>
      <c r="AK44" s="2207" t="n">
        <v>9609</v>
      </c>
      <c r="AL44" s="2207" t="e">
        <f aca="false">NA()</f>
        <v>#N/A</v>
      </c>
      <c r="AM44" s="2207"/>
      <c r="AN44" s="2208" t="n">
        <v>1.076</v>
      </c>
      <c r="AO44" s="2023" t="n">
        <v>0.215</v>
      </c>
      <c r="AP44" s="2023" t="n">
        <v>0.16</v>
      </c>
      <c r="AQ44" s="2023" t="n">
        <v>0</v>
      </c>
      <c r="AR44" s="2023" t="n">
        <v>0.447</v>
      </c>
      <c r="AS44" s="2023" t="n">
        <f aca="false">AN44+AO44-AP44-AC44+AQ44+AR44</f>
        <v>1.339</v>
      </c>
      <c r="AT44" s="2023" t="n">
        <v>0.102</v>
      </c>
      <c r="AU44" s="2105"/>
      <c r="AV44" s="2023"/>
      <c r="AW44" s="2000" t="n">
        <f aca="false">B44+AC44-AN44-AO44+AP44</f>
        <v>16.476</v>
      </c>
      <c r="AX44" s="1997" t="n">
        <f aca="false">V44+O44</f>
        <v>1.947</v>
      </c>
      <c r="AY44" s="514" t="n">
        <f aca="false">AX44/B44</f>
        <v>0.11210271764164</v>
      </c>
      <c r="AZ44" s="2222" t="n">
        <v>13.075</v>
      </c>
      <c r="BA44" s="401"/>
      <c r="BB44" s="401" t="n">
        <v>81</v>
      </c>
      <c r="BC44" s="401"/>
      <c r="BD44" s="401"/>
      <c r="BE44" s="401"/>
      <c r="BF44" s="401"/>
      <c r="BG44" s="401" t="n">
        <v>81.9</v>
      </c>
      <c r="BH44" s="401" t="n">
        <v>81.0476554292809</v>
      </c>
      <c r="BI44" s="218" t="n">
        <v>45426</v>
      </c>
      <c r="BJ44" s="218" t="n">
        <f aca="false">BI44*(1-BN44)</f>
        <v>26359.5743843024</v>
      </c>
      <c r="BK44" s="401" t="n">
        <f aca="false">BI44</f>
        <v>45426</v>
      </c>
      <c r="BL44" s="401"/>
      <c r="BM44" s="401" t="n">
        <f aca="false">BJ44</f>
        <v>26359.5743843024</v>
      </c>
      <c r="BN44" s="2211" t="n">
        <f aca="false">BN43+(BN$48-BN$43)/5</f>
        <v>0.419724950814459</v>
      </c>
      <c r="BO44" s="218" t="n">
        <v>19745</v>
      </c>
      <c r="BP44" s="218"/>
      <c r="BQ44" s="218"/>
      <c r="BR44" s="2212"/>
      <c r="BS44" s="401" t="n">
        <f aca="false">BT44+CA44+CB44-CC44</f>
        <v>111.427463636364</v>
      </c>
      <c r="BT44" s="115" t="n">
        <f aca="false">BU44+BW44+BX44+BY44</f>
        <v>99.45</v>
      </c>
      <c r="BU44" s="115" t="n">
        <v>47.65</v>
      </c>
      <c r="BV44" s="514" t="n">
        <f aca="false">BU44/B44</f>
        <v>2.74355135882082</v>
      </c>
      <c r="BW44" s="115" t="n">
        <v>24.75</v>
      </c>
      <c r="BX44" s="115" t="n">
        <v>12.7</v>
      </c>
      <c r="BY44" s="115" t="n">
        <v>14.35</v>
      </c>
      <c r="BZ44" s="514" t="n">
        <f aca="false">BY44/B44</f>
        <v>0.826232151082451</v>
      </c>
      <c r="CA44" s="1509" t="n">
        <f aca="false">CQ44-CW44</f>
        <v>6.7855</v>
      </c>
      <c r="CB44" s="2024" t="n">
        <f aca="false">CB45*AB44/AB45</f>
        <v>5.19196363636364</v>
      </c>
      <c r="CC44" s="2019" t="n">
        <v>0</v>
      </c>
      <c r="CD44" s="485" t="n">
        <v>0</v>
      </c>
      <c r="CE44" s="2215" t="n">
        <f aca="false">CB44-CC44</f>
        <v>5.19196363636364</v>
      </c>
      <c r="CF44" s="2215" t="n">
        <f aca="false">CB44-CC44-CD44</f>
        <v>5.19196363636364</v>
      </c>
      <c r="CG44" s="2024" t="n">
        <f aca="false">CH44-CQ44</f>
        <v>7.64898</v>
      </c>
      <c r="CH44" s="115" t="n">
        <f aca="false">CI44+CJ44+CN44</f>
        <v>14.43448</v>
      </c>
      <c r="CI44" s="1509" t="n">
        <v>2.935</v>
      </c>
      <c r="CJ44" s="1509" t="n">
        <f aca="false">CK44*CL44*CM44</f>
        <v>6.29948</v>
      </c>
      <c r="CK44" s="1509" t="n">
        <v>7.645</v>
      </c>
      <c r="CL44" s="514" t="n">
        <f aca="false">CL43+(CL$63-CL$43)/20</f>
        <v>0.824</v>
      </c>
      <c r="CM44" s="514" t="n">
        <v>1</v>
      </c>
      <c r="CN44" s="1509" t="n">
        <v>5.2</v>
      </c>
      <c r="CO44" s="2017" t="n">
        <f aca="false">CX44-CP44</f>
        <v>-7.152625</v>
      </c>
      <c r="CP44" s="2017" t="n">
        <f aca="false">CQ44+9*(CQ45-CQ44)/12</f>
        <v>7.152625</v>
      </c>
      <c r="CQ44" s="1509" t="n">
        <f aca="false">(CR43+CS44+CT44)/1000</f>
        <v>6.7855</v>
      </c>
      <c r="CR44" s="115" t="n">
        <v>336</v>
      </c>
      <c r="CS44" s="2223" t="n">
        <f aca="false">CS43+(CS$53-CS$43)/10</f>
        <v>5642.6</v>
      </c>
      <c r="CT44" s="2223" t="n">
        <f aca="false">CT43+(CT$53-CT$43)/10</f>
        <v>834.9</v>
      </c>
      <c r="CU44" s="485" t="n">
        <v>0</v>
      </c>
      <c r="CV44" s="2017" t="n">
        <v>6.468</v>
      </c>
      <c r="CW44" s="2217" t="n">
        <v>0</v>
      </c>
      <c r="CX44" s="2019" t="n">
        <f aca="false">CY44+(CU43+9/12*(CU44-CU43))/1000</f>
        <v>0</v>
      </c>
      <c r="CY44" s="2019" t="n">
        <f aca="false">CZ44+DA44</f>
        <v>0</v>
      </c>
      <c r="CZ44" s="2017" t="n">
        <v>0</v>
      </c>
      <c r="DA44" s="2017" t="n">
        <v>0</v>
      </c>
      <c r="DB44" s="2019" t="n">
        <v>1.175</v>
      </c>
      <c r="DC44" s="2220" t="n">
        <f aca="false">CG44+BS44</f>
        <v>119.076443636364</v>
      </c>
    </row>
    <row r="45" customFormat="false" ht="12" hidden="false" customHeight="false" outlineLevel="0" collapsed="false">
      <c r="A45" s="31" t="n">
        <v>1882</v>
      </c>
      <c r="B45" s="1994" t="n">
        <f aca="false">H45</f>
        <v>17.509</v>
      </c>
      <c r="C45" s="395" t="n">
        <v>21.475</v>
      </c>
      <c r="D45" s="31"/>
      <c r="E45" s="31"/>
      <c r="F45" s="2219" t="n">
        <v>0.916573030409769</v>
      </c>
      <c r="G45" s="2202" t="n">
        <f aca="false">B45-F45</f>
        <v>16.5924269695902</v>
      </c>
      <c r="H45" s="2000" t="n">
        <f aca="false">I45+J45+O45+Q45+T45</f>
        <v>17.509</v>
      </c>
      <c r="I45" s="1997" t="n">
        <v>14.287</v>
      </c>
      <c r="J45" s="1997" t="n">
        <v>1.217</v>
      </c>
      <c r="K45" s="1997"/>
      <c r="L45" s="1997"/>
      <c r="M45" s="514"/>
      <c r="N45" s="1997"/>
      <c r="O45" s="1997" t="n">
        <v>1.53</v>
      </c>
      <c r="P45" s="1997" t="n">
        <v>0.473604</v>
      </c>
      <c r="Q45" s="1997" t="n">
        <f aca="false">R45-S45</f>
        <v>0.375</v>
      </c>
      <c r="R45" s="1997" t="n">
        <v>3.509</v>
      </c>
      <c r="S45" s="1997" t="n">
        <v>3.134</v>
      </c>
      <c r="T45" s="1997" t="n">
        <v>0.1</v>
      </c>
      <c r="U45" s="1997" t="n">
        <v>0</v>
      </c>
      <c r="V45" s="1999" t="n">
        <v>0.455</v>
      </c>
      <c r="W45" s="384" t="n">
        <f aca="false">X45+AD45</f>
        <v>14.795</v>
      </c>
      <c r="X45" s="2204" t="n">
        <f aca="false">Y45+Z45+AA45+AB45</f>
        <v>3.359</v>
      </c>
      <c r="Y45" s="2008" t="n">
        <v>1.489</v>
      </c>
      <c r="Z45" s="2008" t="n">
        <v>0.808</v>
      </c>
      <c r="AA45" s="2008" t="n">
        <v>0.965</v>
      </c>
      <c r="AB45" s="2009" t="n">
        <v>0.097</v>
      </c>
      <c r="AC45" s="384" t="n">
        <v>0.254</v>
      </c>
      <c r="AD45" s="2204" t="n">
        <f aca="false">AE45+AF45</f>
        <v>11.436</v>
      </c>
      <c r="AE45" s="2008" t="n">
        <v>7.502</v>
      </c>
      <c r="AF45" s="2023" t="n">
        <v>3.934</v>
      </c>
      <c r="AG45" s="2206"/>
      <c r="AH45" s="387"/>
      <c r="AI45" s="1999"/>
      <c r="AJ45" s="2009" t="n">
        <v>4.899</v>
      </c>
      <c r="AK45" s="2207" t="n">
        <v>9665</v>
      </c>
      <c r="AL45" s="2207" t="n">
        <v>2595</v>
      </c>
      <c r="AM45" s="2207" t="n">
        <v>5577</v>
      </c>
      <c r="AN45" s="2208" t="n">
        <v>1.106</v>
      </c>
      <c r="AO45" s="2023" t="n">
        <v>0.219</v>
      </c>
      <c r="AP45" s="2023" t="n">
        <v>0.163</v>
      </c>
      <c r="AQ45" s="2023" t="n">
        <v>0</v>
      </c>
      <c r="AR45" s="2023" t="n">
        <v>0.53</v>
      </c>
      <c r="AS45" s="2023" t="n">
        <f aca="false">AN45+AO45-AP45-AC45+AQ45+AR45</f>
        <v>1.438</v>
      </c>
      <c r="AT45" s="2023" t="n">
        <v>0.214</v>
      </c>
      <c r="AU45" s="2105"/>
      <c r="AV45" s="2023"/>
      <c r="AW45" s="2000" t="n">
        <f aca="false">B45+AC45-AN45-AO45+AP45</f>
        <v>16.601</v>
      </c>
      <c r="AX45" s="1997" t="n">
        <f aca="false">V45+O45</f>
        <v>1.985</v>
      </c>
      <c r="AY45" s="514" t="n">
        <f aca="false">AX45/B45</f>
        <v>0.113370266719973</v>
      </c>
      <c r="AZ45" s="2222" t="n">
        <v>12.7583333333333</v>
      </c>
      <c r="BA45" s="401"/>
      <c r="BB45" s="401" t="n">
        <v>81.5</v>
      </c>
      <c r="BC45" s="401"/>
      <c r="BD45" s="401"/>
      <c r="BE45" s="401"/>
      <c r="BF45" s="401"/>
      <c r="BG45" s="401" t="n">
        <v>82.8</v>
      </c>
      <c r="BH45" s="401" t="n">
        <v>81.7174382345886</v>
      </c>
      <c r="BI45" s="218" t="n">
        <v>45717</v>
      </c>
      <c r="BJ45" s="218" t="n">
        <f aca="false">BI45*(1-BN45)</f>
        <v>26521.8457951992</v>
      </c>
      <c r="BK45" s="401" t="n">
        <f aca="false">BI45</f>
        <v>45717</v>
      </c>
      <c r="BL45" s="401"/>
      <c r="BM45" s="401" t="n">
        <f aca="false">BJ45</f>
        <v>26521.8457951992</v>
      </c>
      <c r="BN45" s="2211" t="n">
        <f aca="false">BN44+(BN$48-BN$43)/5</f>
        <v>0.419869068504075</v>
      </c>
      <c r="BO45" s="218" t="n">
        <v>19958</v>
      </c>
      <c r="BP45" s="218" t="n">
        <f aca="false">BO45-BQ45</f>
        <v>14381</v>
      </c>
      <c r="BQ45" s="218" t="n">
        <v>5577</v>
      </c>
      <c r="BR45" s="1319" t="n">
        <f aca="false">BQ45/BO45</f>
        <v>0.279436817316364</v>
      </c>
      <c r="BS45" s="401" t="n">
        <f aca="false">BT45+CA45+CB45-CC45</f>
        <v>113.731672727273</v>
      </c>
      <c r="BT45" s="115" t="n">
        <f aca="false">BU45+BW45+BX45+BY45</f>
        <v>100</v>
      </c>
      <c r="BU45" s="115" t="n">
        <v>47.1</v>
      </c>
      <c r="BV45" s="514" t="n">
        <f aca="false">BU45/B45</f>
        <v>2.69004511965275</v>
      </c>
      <c r="BW45" s="115" t="n">
        <v>24.9</v>
      </c>
      <c r="BX45" s="115" t="n">
        <v>13.2</v>
      </c>
      <c r="BY45" s="115" t="n">
        <v>14.8</v>
      </c>
      <c r="BZ45" s="514" t="n">
        <f aca="false">BY45/B45</f>
        <v>0.845279570506596</v>
      </c>
      <c r="CA45" s="1509" t="n">
        <f aca="false">CQ45-CW45</f>
        <v>7.275</v>
      </c>
      <c r="CB45" s="2024" t="n">
        <f aca="false">CB46*AB45/AB46</f>
        <v>6.45667272727273</v>
      </c>
      <c r="CC45" s="2019" t="n">
        <v>0</v>
      </c>
      <c r="CD45" s="485" t="n">
        <v>0</v>
      </c>
      <c r="CE45" s="2215" t="n">
        <f aca="false">CB45-CC45</f>
        <v>6.45667272727273</v>
      </c>
      <c r="CF45" s="2215" t="n">
        <f aca="false">CB45-CC45-CD45</f>
        <v>6.45667272727273</v>
      </c>
      <c r="CG45" s="2024" t="n">
        <f aca="false">CH45-CQ45</f>
        <v>7.5891</v>
      </c>
      <c r="CH45" s="115" t="n">
        <f aca="false">CI45+CJ45+CN45</f>
        <v>14.8641</v>
      </c>
      <c r="CI45" s="1509" t="n">
        <v>3.06</v>
      </c>
      <c r="CJ45" s="1509" t="n">
        <f aca="false">CK45*CL45*CM45</f>
        <v>6.4791</v>
      </c>
      <c r="CK45" s="1509" t="n">
        <v>7.825</v>
      </c>
      <c r="CL45" s="514" t="n">
        <f aca="false">CL44+(CL$63-CL$43)/20</f>
        <v>0.828</v>
      </c>
      <c r="CM45" s="514" t="n">
        <v>1</v>
      </c>
      <c r="CN45" s="1509" t="n">
        <v>5.325</v>
      </c>
      <c r="CO45" s="2017" t="n">
        <f aca="false">CX45-CP45</f>
        <v>-7.630875</v>
      </c>
      <c r="CP45" s="2017" t="n">
        <f aca="false">CQ45+9*(CQ46-CQ45)/12</f>
        <v>7.630875</v>
      </c>
      <c r="CQ45" s="1509" t="n">
        <f aca="false">(CR44+CS45+CT45)/1000</f>
        <v>7.275</v>
      </c>
      <c r="CR45" s="115" t="n">
        <v>349</v>
      </c>
      <c r="CS45" s="2223" t="n">
        <f aca="false">CS44+(CS$53-CS$43)/10</f>
        <v>6041.2</v>
      </c>
      <c r="CT45" s="2223" t="n">
        <f aca="false">CT44+(CT$53-CT$43)/10</f>
        <v>897.8</v>
      </c>
      <c r="CU45" s="485" t="n">
        <v>0</v>
      </c>
      <c r="CV45" s="2017" t="n">
        <v>6.993</v>
      </c>
      <c r="CW45" s="2217" t="n">
        <v>0</v>
      </c>
      <c r="CX45" s="2019" t="n">
        <f aca="false">CY45+(CU44+9/12*(CU45-CU44))/1000</f>
        <v>0</v>
      </c>
      <c r="CY45" s="2019" t="n">
        <f aca="false">CZ45+DA45</f>
        <v>0</v>
      </c>
      <c r="CZ45" s="2017" t="n">
        <v>0</v>
      </c>
      <c r="DA45" s="2017" t="n">
        <v>0</v>
      </c>
      <c r="DB45" s="2019" t="n">
        <v>1.196</v>
      </c>
      <c r="DC45" s="2220" t="n">
        <f aca="false">CG45+BS45</f>
        <v>121.320772727273</v>
      </c>
    </row>
    <row r="46" customFormat="false" ht="12" hidden="false" customHeight="false" outlineLevel="0" collapsed="false">
      <c r="A46" s="31" t="n">
        <v>1883</v>
      </c>
      <c r="B46" s="1994" t="n">
        <f aca="false">H46</f>
        <v>18.051</v>
      </c>
      <c r="C46" s="395" t="n">
        <v>22.664</v>
      </c>
      <c r="D46" s="31"/>
      <c r="E46" s="31"/>
      <c r="F46" s="2219" t="n">
        <v>0.976981465832911</v>
      </c>
      <c r="G46" s="2202" t="n">
        <f aca="false">B46-F46</f>
        <v>17.0740185341671</v>
      </c>
      <c r="H46" s="2000" t="n">
        <f aca="false">I46+J46+O46+Q46+T46</f>
        <v>18.051</v>
      </c>
      <c r="I46" s="1997" t="n">
        <v>14.726</v>
      </c>
      <c r="J46" s="1997" t="n">
        <v>1.215</v>
      </c>
      <c r="K46" s="1997"/>
      <c r="L46" s="1997"/>
      <c r="M46" s="514"/>
      <c r="N46" s="1997"/>
      <c r="O46" s="1997" t="n">
        <v>1.81</v>
      </c>
      <c r="P46" s="1997" t="n">
        <v>0.39639</v>
      </c>
      <c r="Q46" s="1997" t="n">
        <f aca="false">R46-S46</f>
        <v>0.19</v>
      </c>
      <c r="R46" s="1997" t="n">
        <v>3.438</v>
      </c>
      <c r="S46" s="1997" t="n">
        <v>3.248</v>
      </c>
      <c r="T46" s="1997" t="n">
        <v>0.11</v>
      </c>
      <c r="U46" s="1997" t="n">
        <v>0</v>
      </c>
      <c r="V46" s="1999" t="n">
        <v>0.263</v>
      </c>
      <c r="W46" s="384" t="n">
        <f aca="false">X46+AD46</f>
        <v>15.472</v>
      </c>
      <c r="X46" s="2204" t="n">
        <f aca="false">Y46+Z46+AA46+AB46</f>
        <v>3.775</v>
      </c>
      <c r="Y46" s="2008" t="n">
        <v>1.495</v>
      </c>
      <c r="Z46" s="2008" t="n">
        <v>0.83</v>
      </c>
      <c r="AA46" s="2008" t="n">
        <v>1.34</v>
      </c>
      <c r="AB46" s="2009" t="n">
        <v>0.11</v>
      </c>
      <c r="AC46" s="384" t="n">
        <v>0.278</v>
      </c>
      <c r="AD46" s="2204" t="n">
        <f aca="false">AE46+AF46</f>
        <v>11.697</v>
      </c>
      <c r="AE46" s="2008" t="n">
        <v>7.774</v>
      </c>
      <c r="AF46" s="2023" t="n">
        <v>3.923</v>
      </c>
      <c r="AG46" s="2206"/>
      <c r="AH46" s="387"/>
      <c r="AI46" s="1999"/>
      <c r="AJ46" s="2009" t="n">
        <v>5.263</v>
      </c>
      <c r="AK46" s="2207" t="n">
        <v>9711</v>
      </c>
      <c r="AL46" s="2207" t="e">
        <f aca="false">NA()</f>
        <v>#N/A</v>
      </c>
      <c r="AM46" s="2207" t="e">
        <f aca="false">NA()</f>
        <v>#N/A</v>
      </c>
      <c r="AN46" s="2208" t="n">
        <v>1.095</v>
      </c>
      <c r="AO46" s="2023" t="n">
        <v>0.222</v>
      </c>
      <c r="AP46" s="2023" t="n">
        <v>0.17</v>
      </c>
      <c r="AQ46" s="2023" t="n">
        <v>0</v>
      </c>
      <c r="AR46" s="2023" t="n">
        <v>0.537</v>
      </c>
      <c r="AS46" s="2023" t="n">
        <f aca="false">AN46+AO46-AP46-AC46+AQ46+AR46</f>
        <v>1.406</v>
      </c>
      <c r="AT46" s="2023" t="n">
        <v>0.187</v>
      </c>
      <c r="AU46" s="2105"/>
      <c r="AV46" s="2023"/>
      <c r="AW46" s="2000" t="n">
        <f aca="false">B46+AC46-AN46-AO46+AP46</f>
        <v>17.182</v>
      </c>
      <c r="AX46" s="1997" t="n">
        <f aca="false">V46+O46</f>
        <v>2.073</v>
      </c>
      <c r="AY46" s="514" t="n">
        <f aca="false">AX46/B46</f>
        <v>0.114841283031411</v>
      </c>
      <c r="AZ46" s="2222" t="n">
        <v>12.7333333333333</v>
      </c>
      <c r="BA46" s="401"/>
      <c r="BB46" s="401" t="n">
        <v>79.4</v>
      </c>
      <c r="BC46" s="401"/>
      <c r="BD46" s="401"/>
      <c r="BE46" s="401"/>
      <c r="BF46" s="401"/>
      <c r="BG46" s="401" t="n">
        <v>80.2</v>
      </c>
      <c r="BH46" s="401" t="n">
        <v>79.6330357543403</v>
      </c>
      <c r="BI46" s="218" t="n">
        <v>46014</v>
      </c>
      <c r="BJ46" s="218" t="n">
        <f aca="false">BI46*(1-BN46)</f>
        <v>26687.5132504835</v>
      </c>
      <c r="BK46" s="401" t="n">
        <f aca="false">BI46</f>
        <v>46014</v>
      </c>
      <c r="BL46" s="401"/>
      <c r="BM46" s="401" t="n">
        <f aca="false">BJ46</f>
        <v>26687.5132504835</v>
      </c>
      <c r="BN46" s="2211" t="n">
        <f aca="false">BN45+(BN$48-BN$43)/5</f>
        <v>0.42001318619369</v>
      </c>
      <c r="BO46" s="218" t="n">
        <v>20188</v>
      </c>
      <c r="BP46" s="2221" t="n">
        <f aca="false">BO46-BQ46</f>
        <v>14609.9230769231</v>
      </c>
      <c r="BQ46" s="2221" t="n">
        <f aca="false">BQ45+(BQ$58-BQ$45)/13</f>
        <v>5578.07692307692</v>
      </c>
      <c r="BR46" s="1319" t="n">
        <f aca="false">BQ46/BO46</f>
        <v>0.276306564448035</v>
      </c>
      <c r="BS46" s="401" t="n">
        <f aca="false">BT46+CA46+CB46-CC46</f>
        <v>115.6715</v>
      </c>
      <c r="BT46" s="115" t="n">
        <f aca="false">BU46+BW46+BX46+BY46</f>
        <v>100.6</v>
      </c>
      <c r="BU46" s="115" t="n">
        <v>46.25</v>
      </c>
      <c r="BV46" s="514" t="n">
        <f aca="false">BU46/B46</f>
        <v>2.56218492050302</v>
      </c>
      <c r="BW46" s="115" t="n">
        <v>25</v>
      </c>
      <c r="BX46" s="115" t="n">
        <v>13.9</v>
      </c>
      <c r="BY46" s="115" t="n">
        <v>15.45</v>
      </c>
      <c r="BZ46" s="514" t="n">
        <f aca="false">BY46/B46</f>
        <v>0.855908259930198</v>
      </c>
      <c r="CA46" s="1509" t="n">
        <f aca="false">CQ46-CW46</f>
        <v>7.7495</v>
      </c>
      <c r="CB46" s="2024" t="n">
        <v>7.322</v>
      </c>
      <c r="CC46" s="2019" t="n">
        <v>0</v>
      </c>
      <c r="CD46" s="485" t="n">
        <v>0</v>
      </c>
      <c r="CE46" s="2215" t="n">
        <f aca="false">CB46-CC46</f>
        <v>7.322</v>
      </c>
      <c r="CF46" s="2215" t="n">
        <f aca="false">CB46-CC46-CD46</f>
        <v>7.322</v>
      </c>
      <c r="CG46" s="2024" t="n">
        <f aca="false">CH46-CQ46</f>
        <v>7.74042</v>
      </c>
      <c r="CH46" s="115" t="n">
        <f aca="false">CI46+CJ46+CN46</f>
        <v>15.48992</v>
      </c>
      <c r="CI46" s="1509" t="n">
        <v>3.195</v>
      </c>
      <c r="CJ46" s="1509" t="n">
        <f aca="false">CK46*CL46*CM46</f>
        <v>6.80992</v>
      </c>
      <c r="CK46" s="1509" t="n">
        <v>8.185</v>
      </c>
      <c r="CL46" s="514" t="n">
        <f aca="false">CL45+(CL$63-CL$43)/20</f>
        <v>0.832</v>
      </c>
      <c r="CM46" s="514" t="n">
        <v>1</v>
      </c>
      <c r="CN46" s="1509" t="n">
        <v>5.485</v>
      </c>
      <c r="CO46" s="2017" t="n">
        <f aca="false">CX46-CP46</f>
        <v>-8.130125</v>
      </c>
      <c r="CP46" s="2017" t="n">
        <f aca="false">CQ46+9*(CQ47-CQ46)/12</f>
        <v>8.130125</v>
      </c>
      <c r="CQ46" s="1509" t="n">
        <f aca="false">(CR45+CS46+CT46)/1000</f>
        <v>7.7495</v>
      </c>
      <c r="CR46" s="115" t="n">
        <v>395</v>
      </c>
      <c r="CS46" s="2223" t="n">
        <f aca="false">CS45+(CS$53-CS$43)/10</f>
        <v>6439.8</v>
      </c>
      <c r="CT46" s="2223" t="n">
        <f aca="false">CT45+(CT$53-CT$43)/10</f>
        <v>960.7</v>
      </c>
      <c r="CU46" s="485" t="n">
        <v>0</v>
      </c>
      <c r="CV46" s="2017" t="n">
        <v>7.856</v>
      </c>
      <c r="CW46" s="2217" t="n">
        <v>0</v>
      </c>
      <c r="CX46" s="2019" t="n">
        <f aca="false">CY46+(CU45+9/12*(CU46-CU45))/1000</f>
        <v>0</v>
      </c>
      <c r="CY46" s="2019" t="n">
        <f aca="false">CZ46+DA46</f>
        <v>0</v>
      </c>
      <c r="CZ46" s="2017" t="n">
        <v>0</v>
      </c>
      <c r="DA46" s="2017" t="n">
        <v>0</v>
      </c>
      <c r="DB46" s="2019" t="n">
        <v>1.189</v>
      </c>
      <c r="DC46" s="2220" t="n">
        <f aca="false">CG46+BS46</f>
        <v>123.41192</v>
      </c>
    </row>
    <row r="47" customFormat="false" ht="12" hidden="false" customHeight="false" outlineLevel="0" collapsed="false">
      <c r="A47" s="31" t="n">
        <v>1884</v>
      </c>
      <c r="B47" s="1994" t="n">
        <f aca="false">H47</f>
        <v>18.581</v>
      </c>
      <c r="C47" s="395" t="n">
        <v>23.72</v>
      </c>
      <c r="D47" s="31"/>
      <c r="E47" s="31"/>
      <c r="F47" s="2219" t="n">
        <v>1.03346684394216</v>
      </c>
      <c r="G47" s="2202" t="n">
        <f aca="false">B47-F47</f>
        <v>17.5475331560578</v>
      </c>
      <c r="H47" s="2000" t="n">
        <f aca="false">I47+J47+O47+Q47+T47</f>
        <v>18.581</v>
      </c>
      <c r="I47" s="1997" t="n">
        <v>14.839</v>
      </c>
      <c r="J47" s="1997" t="n">
        <v>1.252</v>
      </c>
      <c r="K47" s="1997"/>
      <c r="L47" s="1997"/>
      <c r="M47" s="514"/>
      <c r="N47" s="1997"/>
      <c r="O47" s="1997" t="n">
        <v>1.96</v>
      </c>
      <c r="P47" s="1997" t="n">
        <v>0.303142</v>
      </c>
      <c r="Q47" s="1997" t="n">
        <f aca="false">R47-S47</f>
        <v>0.4</v>
      </c>
      <c r="R47" s="1997" t="n">
        <v>3.661</v>
      </c>
      <c r="S47" s="1997" t="n">
        <v>3.261</v>
      </c>
      <c r="T47" s="1997" t="n">
        <v>0.13</v>
      </c>
      <c r="U47" s="1997" t="n">
        <v>0</v>
      </c>
      <c r="V47" s="1999" t="n">
        <v>0.489</v>
      </c>
      <c r="W47" s="384" t="n">
        <f aca="false">X47+AD47</f>
        <v>15.778</v>
      </c>
      <c r="X47" s="2204" t="n">
        <f aca="false">Y47+Z47+AA47+AB47</f>
        <v>3.887</v>
      </c>
      <c r="Y47" s="2008" t="n">
        <v>1.525</v>
      </c>
      <c r="Z47" s="2008" t="n">
        <v>0.855</v>
      </c>
      <c r="AA47" s="2008" t="n">
        <v>1.376</v>
      </c>
      <c r="AB47" s="2009" t="n">
        <v>0.131</v>
      </c>
      <c r="AC47" s="384" t="n">
        <v>0.311</v>
      </c>
      <c r="AD47" s="2204" t="n">
        <f aca="false">AE47+AF47</f>
        <v>11.891</v>
      </c>
      <c r="AE47" s="2008" t="n">
        <v>7.992</v>
      </c>
      <c r="AF47" s="2023" t="n">
        <v>3.899</v>
      </c>
      <c r="AG47" s="2206"/>
      <c r="AH47" s="387"/>
      <c r="AI47" s="1999"/>
      <c r="AJ47" s="2009" t="n">
        <v>5.275</v>
      </c>
      <c r="AK47" s="2207" t="n">
        <v>9698</v>
      </c>
      <c r="AL47" s="2207" t="e">
        <f aca="false">NA()</f>
        <v>#N/A</v>
      </c>
      <c r="AM47" s="2207" t="e">
        <f aca="false">NA()</f>
        <v>#N/A</v>
      </c>
      <c r="AN47" s="2208" t="n">
        <v>1.13</v>
      </c>
      <c r="AO47" s="2023" t="n">
        <v>0.227</v>
      </c>
      <c r="AP47" s="2023" t="n">
        <v>0.18</v>
      </c>
      <c r="AQ47" s="2023" t="n">
        <v>0</v>
      </c>
      <c r="AR47" s="2023" t="n">
        <v>0.585</v>
      </c>
      <c r="AS47" s="2023" t="n">
        <f aca="false">AN47+AO47-AP47-AC47+AQ47+AR47</f>
        <v>1.451</v>
      </c>
      <c r="AT47" s="2023" t="n">
        <v>0.195</v>
      </c>
      <c r="AU47" s="2105"/>
      <c r="AV47" s="2023"/>
      <c r="AW47" s="2000" t="n">
        <f aca="false">B47+AC47-AN47-AO47+AP47</f>
        <v>17.715</v>
      </c>
      <c r="AX47" s="1997" t="n">
        <f aca="false">V47+O47</f>
        <v>2.449</v>
      </c>
      <c r="AY47" s="514" t="n">
        <f aca="false">AX47/B47</f>
        <v>0.131801302405683</v>
      </c>
      <c r="AZ47" s="2222" t="n">
        <v>12.2333333333333</v>
      </c>
      <c r="BA47" s="401"/>
      <c r="BB47" s="401" t="n">
        <v>78.6</v>
      </c>
      <c r="BC47" s="401"/>
      <c r="BD47" s="401"/>
      <c r="BE47" s="401"/>
      <c r="BF47" s="401"/>
      <c r="BG47" s="401" t="n">
        <v>79.2</v>
      </c>
      <c r="BH47" s="401" t="n">
        <v>78.3769701706396</v>
      </c>
      <c r="BI47" s="218" t="n">
        <v>46335</v>
      </c>
      <c r="BJ47" s="218" t="n">
        <f aca="false">BI47*(1-BN47)</f>
        <v>26867.011324567</v>
      </c>
      <c r="BK47" s="401" t="n">
        <f aca="false">BI47</f>
        <v>46335</v>
      </c>
      <c r="BL47" s="401"/>
      <c r="BM47" s="401" t="n">
        <f aca="false">BJ47</f>
        <v>26867.011324567</v>
      </c>
      <c r="BN47" s="2211" t="n">
        <f aca="false">BN46+(BN$48-BN$43)/5</f>
        <v>0.420157303883306</v>
      </c>
      <c r="BO47" s="218" t="n">
        <v>20430</v>
      </c>
      <c r="BP47" s="2221" t="n">
        <f aca="false">BO47-BQ47</f>
        <v>14850.8461538462</v>
      </c>
      <c r="BQ47" s="2221" t="n">
        <f aca="false">BQ46+(BQ$58-BQ$45)/13</f>
        <v>5579.15384615385</v>
      </c>
      <c r="BR47" s="1319" t="n">
        <f aca="false">BQ47/BO47</f>
        <v>0.273086336081931</v>
      </c>
      <c r="BS47" s="401" t="n">
        <f aca="false">BT47+CA47+CB47-CC47</f>
        <v>116.694</v>
      </c>
      <c r="BT47" s="115" t="n">
        <f aca="false">BU47+BW47+BX47+BY47</f>
        <v>100.7</v>
      </c>
      <c r="BU47" s="115" t="n">
        <v>45.6</v>
      </c>
      <c r="BV47" s="514" t="n">
        <f aca="false">BU47/B47</f>
        <v>2.45411979979549</v>
      </c>
      <c r="BW47" s="115" t="n">
        <v>24.85</v>
      </c>
      <c r="BX47" s="115" t="n">
        <v>14.1</v>
      </c>
      <c r="BY47" s="115" t="n">
        <v>16.15</v>
      </c>
      <c r="BZ47" s="514" t="n">
        <f aca="false">BY47/B47</f>
        <v>0.869167429094236</v>
      </c>
      <c r="CA47" s="1509" t="n">
        <f aca="false">CQ47-CW47</f>
        <v>8.257</v>
      </c>
      <c r="CB47" s="2024" t="n">
        <v>7.737</v>
      </c>
      <c r="CC47" s="2019" t="n">
        <v>0</v>
      </c>
      <c r="CD47" s="485" t="n">
        <v>0</v>
      </c>
      <c r="CE47" s="2215" t="n">
        <f aca="false">CB47-CC47</f>
        <v>7.737</v>
      </c>
      <c r="CF47" s="2215" t="n">
        <f aca="false">CB47-CC47-CD47</f>
        <v>7.737</v>
      </c>
      <c r="CG47" s="2024" t="n">
        <f aca="false">CH47-CQ47</f>
        <v>7.60418</v>
      </c>
      <c r="CH47" s="115" t="n">
        <f aca="false">CI47+CJ47+CN47</f>
        <v>15.86118</v>
      </c>
      <c r="CI47" s="1509" t="n">
        <v>3.315</v>
      </c>
      <c r="CJ47" s="1509" t="n">
        <f aca="false">CK47*CL47*CM47</f>
        <v>6.90118</v>
      </c>
      <c r="CK47" s="1509" t="n">
        <v>8.255</v>
      </c>
      <c r="CL47" s="514" t="n">
        <f aca="false">CL46+(CL$63-CL$43)/20</f>
        <v>0.836</v>
      </c>
      <c r="CM47" s="514" t="n">
        <v>1</v>
      </c>
      <c r="CN47" s="1509" t="n">
        <v>5.645</v>
      </c>
      <c r="CO47" s="2017" t="n">
        <f aca="false">CX47-CP47</f>
        <v>-8.640625</v>
      </c>
      <c r="CP47" s="2017" t="n">
        <f aca="false">CQ47+9*(CQ48-CQ47)/12</f>
        <v>8.640625</v>
      </c>
      <c r="CQ47" s="1509" t="n">
        <f aca="false">(CR46+CS47+CT47)/1000</f>
        <v>8.257</v>
      </c>
      <c r="CR47" s="115" t="n">
        <v>445</v>
      </c>
      <c r="CS47" s="2223" t="n">
        <f aca="false">CS46+(CS$53-CS$43)/10</f>
        <v>6838.4</v>
      </c>
      <c r="CT47" s="2223" t="n">
        <f aca="false">CT46+(CT$53-CT$43)/10</f>
        <v>1023.6</v>
      </c>
      <c r="CU47" s="485" t="n">
        <v>0</v>
      </c>
      <c r="CV47" s="2017" t="n">
        <v>8.566</v>
      </c>
      <c r="CW47" s="2217" t="n">
        <v>0</v>
      </c>
      <c r="CX47" s="2019" t="n">
        <f aca="false">CY47+(CU46+9/12*(CU47-CU46))/1000</f>
        <v>0</v>
      </c>
      <c r="CY47" s="2019" t="n">
        <f aca="false">CZ47+DA47</f>
        <v>0</v>
      </c>
      <c r="CZ47" s="2017" t="n">
        <v>0</v>
      </c>
      <c r="DA47" s="2017" t="n">
        <v>0</v>
      </c>
      <c r="DB47" s="2019" t="n">
        <v>1.273</v>
      </c>
      <c r="DC47" s="2220" t="n">
        <f aca="false">CG47+BS47</f>
        <v>124.29818</v>
      </c>
    </row>
    <row r="48" customFormat="false" ht="12" hidden="false" customHeight="false" outlineLevel="0" collapsed="false">
      <c r="A48" s="31" t="n">
        <v>1885</v>
      </c>
      <c r="B48" s="1994" t="n">
        <f aca="false">H48</f>
        <v>18.734</v>
      </c>
      <c r="C48" s="395" t="n">
        <v>24.334</v>
      </c>
      <c r="D48" s="31"/>
      <c r="E48" s="31"/>
      <c r="F48" s="2219" t="n">
        <v>1.09070972344162</v>
      </c>
      <c r="G48" s="2202" t="n">
        <f aca="false">B48-F48</f>
        <v>17.6432902765584</v>
      </c>
      <c r="H48" s="2000" t="n">
        <f aca="false">I48+J48+O48+Q48+T48</f>
        <v>18.734</v>
      </c>
      <c r="I48" s="1997" t="n">
        <v>15.005</v>
      </c>
      <c r="J48" s="1997" t="n">
        <v>1.259</v>
      </c>
      <c r="K48" s="1997"/>
      <c r="L48" s="1997"/>
      <c r="M48" s="514"/>
      <c r="N48" s="1997"/>
      <c r="O48" s="1997" t="n">
        <v>1.96</v>
      </c>
      <c r="P48" s="1997" t="n">
        <v>0.273</v>
      </c>
      <c r="Q48" s="1997" t="n">
        <f aca="false">R48-S48</f>
        <v>0.36</v>
      </c>
      <c r="R48" s="1997" t="n">
        <v>3.335</v>
      </c>
      <c r="S48" s="1997" t="n">
        <v>2.975</v>
      </c>
      <c r="T48" s="1997" t="n">
        <v>0.15</v>
      </c>
      <c r="U48" s="1997" t="n">
        <v>0</v>
      </c>
      <c r="V48" s="1999" t="n">
        <v>0.507</v>
      </c>
      <c r="W48" s="384" t="n">
        <f aca="false">X48+AD48</f>
        <v>15.928</v>
      </c>
      <c r="X48" s="2204" t="n">
        <f aca="false">Y48+Z48+AA48+AB48</f>
        <v>3.812</v>
      </c>
      <c r="Y48" s="2008" t="n">
        <v>1.551</v>
      </c>
      <c r="Z48" s="2008" t="n">
        <v>0.882</v>
      </c>
      <c r="AA48" s="2008" t="n">
        <v>1.226</v>
      </c>
      <c r="AB48" s="2009" t="n">
        <v>0.153</v>
      </c>
      <c r="AC48" s="384" t="n">
        <v>0.337</v>
      </c>
      <c r="AD48" s="2204" t="n">
        <f aca="false">AE48+AF48</f>
        <v>12.116</v>
      </c>
      <c r="AE48" s="2008" t="n">
        <v>8.226</v>
      </c>
      <c r="AF48" s="2023" t="n">
        <v>3.89</v>
      </c>
      <c r="AG48" s="2206"/>
      <c r="AH48" s="387"/>
      <c r="AI48" s="1999"/>
      <c r="AJ48" s="2009" t="n">
        <v>5.116</v>
      </c>
      <c r="AK48" s="2207" t="n">
        <v>9700</v>
      </c>
      <c r="AL48" s="2207" t="e">
        <f aca="false">NA()</f>
        <v>#N/A</v>
      </c>
      <c r="AM48" s="2207" t="e">
        <f aca="false">NA()</f>
        <v>#N/A</v>
      </c>
      <c r="AN48" s="2208" t="n">
        <v>1.141</v>
      </c>
      <c r="AO48" s="2023" t="n">
        <v>0.233</v>
      </c>
      <c r="AP48" s="2023" t="n">
        <v>0.187</v>
      </c>
      <c r="AQ48" s="2023" t="n">
        <v>0</v>
      </c>
      <c r="AR48" s="2023" t="n">
        <v>0.586</v>
      </c>
      <c r="AS48" s="2023" t="n">
        <f aca="false">AN48+AO48-AP48-AC48+AQ48+AR48</f>
        <v>1.436</v>
      </c>
      <c r="AT48" s="2023" t="n">
        <v>0.177</v>
      </c>
      <c r="AU48" s="2105"/>
      <c r="AV48" s="2023"/>
      <c r="AW48" s="2000" t="n">
        <f aca="false">B48+AC48-AN48-AO48+AP48</f>
        <v>17.884</v>
      </c>
      <c r="AX48" s="1997" t="n">
        <f aca="false">V48+O48</f>
        <v>2.467</v>
      </c>
      <c r="AY48" s="514" t="n">
        <f aca="false">AX48/B48</f>
        <v>0.131685705135049</v>
      </c>
      <c r="AZ48" s="2222" t="n">
        <v>11.9</v>
      </c>
      <c r="BA48" s="401"/>
      <c r="BB48" s="401" t="n">
        <v>76.8</v>
      </c>
      <c r="BC48" s="401"/>
      <c r="BD48" s="401"/>
      <c r="BE48" s="401"/>
      <c r="BF48" s="401"/>
      <c r="BG48" s="401" t="n">
        <v>77.5</v>
      </c>
      <c r="BH48" s="401" t="n">
        <v>77.197441436862</v>
      </c>
      <c r="BI48" s="218" t="n">
        <v>46705</v>
      </c>
      <c r="BJ48" s="218" t="n">
        <f aca="false">BI48*(1-BN48)</f>
        <v>27074.8221054367</v>
      </c>
      <c r="BK48" s="401" t="n">
        <f aca="false">BI48</f>
        <v>46705</v>
      </c>
      <c r="BL48" s="401"/>
      <c r="BM48" s="401" t="n">
        <f aca="false">BJ48</f>
        <v>27074.8221054367</v>
      </c>
      <c r="BN48" s="1002" t="n">
        <v>0.420301421572921</v>
      </c>
      <c r="BO48" s="218" t="n">
        <v>20577</v>
      </c>
      <c r="BP48" s="2221" t="n">
        <f aca="false">BO48-BQ48</f>
        <v>14996.7692307692</v>
      </c>
      <c r="BQ48" s="2221" t="n">
        <f aca="false">BQ47+(BQ$58-BQ$45)/13</f>
        <v>5580.23076923077</v>
      </c>
      <c r="BR48" s="1319" t="n">
        <f aca="false">BQ48/BO48</f>
        <v>0.271187771260668</v>
      </c>
      <c r="BS48" s="401" t="n">
        <f aca="false">BT48+CA48+CB48-CC48</f>
        <v>119.6255</v>
      </c>
      <c r="BT48" s="115" t="n">
        <f aca="false">BU48+BW48+BX48+BY48</f>
        <v>102.6</v>
      </c>
      <c r="BU48" s="115" t="n">
        <v>45.65</v>
      </c>
      <c r="BV48" s="514" t="n">
        <f aca="false">BU48/B48</f>
        <v>2.43674602327319</v>
      </c>
      <c r="BW48" s="115" t="n">
        <v>25.3</v>
      </c>
      <c r="BX48" s="115" t="n">
        <v>14.4</v>
      </c>
      <c r="BY48" s="115" t="n">
        <v>17.25</v>
      </c>
      <c r="BZ48" s="514" t="n">
        <f aca="false">BY48/B48</f>
        <v>0.920785737162379</v>
      </c>
      <c r="CA48" s="1509" t="n">
        <f aca="false">CQ48-CW48</f>
        <v>8.7685</v>
      </c>
      <c r="CB48" s="2024" t="n">
        <v>8.257</v>
      </c>
      <c r="CC48" s="2019" t="n">
        <v>0</v>
      </c>
      <c r="CD48" s="485" t="n">
        <v>0</v>
      </c>
      <c r="CE48" s="2215" t="n">
        <f aca="false">CB48-CC48</f>
        <v>8.257</v>
      </c>
      <c r="CF48" s="2215" t="n">
        <f aca="false">CB48-CC48-CD48</f>
        <v>8.257</v>
      </c>
      <c r="CG48" s="2024" t="n">
        <f aca="false">CH48-CQ48</f>
        <v>7.5691</v>
      </c>
      <c r="CH48" s="115" t="n">
        <f aca="false">CI48+CJ48+CN48</f>
        <v>16.3376</v>
      </c>
      <c r="CI48" s="1509" t="n">
        <v>3.5</v>
      </c>
      <c r="CJ48" s="1509" t="n">
        <f aca="false">CK48*CL48*CM48</f>
        <v>6.9426</v>
      </c>
      <c r="CK48" s="1509" t="n">
        <v>8.265</v>
      </c>
      <c r="CL48" s="514" t="n">
        <f aca="false">CL47+(CL$63-CL$43)/20</f>
        <v>0.84</v>
      </c>
      <c r="CM48" s="514" t="n">
        <v>1</v>
      </c>
      <c r="CN48" s="1509" t="n">
        <v>5.895</v>
      </c>
      <c r="CO48" s="2017" t="n">
        <f aca="false">CX48-CP48</f>
        <v>-9.143875</v>
      </c>
      <c r="CP48" s="2017" t="n">
        <f aca="false">CQ48+9*(CQ49-CQ48)/12</f>
        <v>9.143875</v>
      </c>
      <c r="CQ48" s="1509" t="n">
        <f aca="false">(CR47+CS48+CT48)/1000</f>
        <v>8.7685</v>
      </c>
      <c r="CR48" s="115" t="n">
        <v>484</v>
      </c>
      <c r="CS48" s="2223" t="n">
        <f aca="false">CS47+(CS$53-CS$43)/10</f>
        <v>7237</v>
      </c>
      <c r="CT48" s="2223" t="n">
        <f aca="false">CT47+(CT$53-CT$43)/10</f>
        <v>1086.5</v>
      </c>
      <c r="CU48" s="485" t="n">
        <v>0</v>
      </c>
      <c r="CV48" s="2017" t="n">
        <v>8.767</v>
      </c>
      <c r="CW48" s="2217" t="n">
        <v>0</v>
      </c>
      <c r="CX48" s="2019" t="n">
        <f aca="false">CY48+(CU47+9/12*(CU48-CU47))/1000</f>
        <v>0</v>
      </c>
      <c r="CY48" s="2019" t="n">
        <f aca="false">CZ48+DA48</f>
        <v>0</v>
      </c>
      <c r="CZ48" s="2017" t="n">
        <v>0</v>
      </c>
      <c r="DA48" s="2017" t="n">
        <v>0</v>
      </c>
      <c r="DB48" s="2019" t="n">
        <v>1.274</v>
      </c>
      <c r="DC48" s="2220" t="n">
        <f aca="false">CG48+BS48</f>
        <v>127.1946</v>
      </c>
    </row>
    <row r="49" customFormat="false" ht="12" hidden="false" customHeight="false" outlineLevel="0" collapsed="false">
      <c r="A49" s="31" t="n">
        <v>1886</v>
      </c>
      <c r="B49" s="1994" t="n">
        <f aca="false">H49</f>
        <v>18.934</v>
      </c>
      <c r="C49" s="395" t="n">
        <v>24.79</v>
      </c>
      <c r="D49" s="31"/>
      <c r="E49" s="31"/>
      <c r="F49" s="2219" t="n">
        <v>1.14379988075234</v>
      </c>
      <c r="G49" s="2202" t="n">
        <f aca="false">B49-F49</f>
        <v>17.7902001192477</v>
      </c>
      <c r="H49" s="2000" t="n">
        <f aca="false">I49+J49+O49+Q49+T49</f>
        <v>18.934</v>
      </c>
      <c r="I49" s="1997" t="n">
        <v>15.175</v>
      </c>
      <c r="J49" s="1997" t="n">
        <v>1.294</v>
      </c>
      <c r="K49" s="1997"/>
      <c r="L49" s="1997"/>
      <c r="M49" s="514"/>
      <c r="N49" s="1997"/>
      <c r="O49" s="1997" t="n">
        <v>1.98</v>
      </c>
      <c r="P49" s="1997" t="n">
        <v>0.26013</v>
      </c>
      <c r="Q49" s="1997" t="n">
        <f aca="false">R49-S49</f>
        <v>0.315</v>
      </c>
      <c r="R49" s="1997" t="n">
        <v>3.256</v>
      </c>
      <c r="S49" s="1997" t="n">
        <v>2.941</v>
      </c>
      <c r="T49" s="1997" t="n">
        <v>0.17</v>
      </c>
      <c r="U49" s="1997" t="n">
        <v>0</v>
      </c>
      <c r="V49" s="1999" t="n">
        <v>0.486</v>
      </c>
      <c r="W49" s="384" t="n">
        <f aca="false">X49+AD49</f>
        <v>16.279</v>
      </c>
      <c r="X49" s="2204" t="n">
        <f aca="false">Y49+Z49+AA49+AB49</f>
        <v>3.784</v>
      </c>
      <c r="Y49" s="2008" t="n">
        <v>1.623</v>
      </c>
      <c r="Z49" s="2008" t="n">
        <v>0.862</v>
      </c>
      <c r="AA49" s="2008" t="n">
        <v>1.125</v>
      </c>
      <c r="AB49" s="2009" t="n">
        <v>0.174</v>
      </c>
      <c r="AC49" s="384" t="n">
        <v>0.341</v>
      </c>
      <c r="AD49" s="2204" t="n">
        <f aca="false">AE49+AF49</f>
        <v>12.495</v>
      </c>
      <c r="AE49" s="2008" t="n">
        <v>8.55</v>
      </c>
      <c r="AF49" s="2023" t="n">
        <v>3.945</v>
      </c>
      <c r="AG49" s="2206"/>
      <c r="AH49" s="387"/>
      <c r="AI49" s="1999"/>
      <c r="AJ49" s="2009" t="n">
        <v>5.07</v>
      </c>
      <c r="AK49" s="2207" t="n">
        <v>9740</v>
      </c>
      <c r="AL49" s="2207" t="e">
        <f aca="false">NA()</f>
        <v>#N/A</v>
      </c>
      <c r="AM49" s="2207" t="e">
        <f aca="false">NA()</f>
        <v>#N/A</v>
      </c>
      <c r="AN49" s="2208" t="n">
        <v>1.287</v>
      </c>
      <c r="AO49" s="2023" t="n">
        <v>0.239</v>
      </c>
      <c r="AP49" s="2023" t="n">
        <v>0.195</v>
      </c>
      <c r="AQ49" s="2023" t="n">
        <v>0</v>
      </c>
      <c r="AR49" s="2023" t="n">
        <v>0.629</v>
      </c>
      <c r="AS49" s="2023" t="n">
        <f aca="false">AN49+AO49-AP49-AC49+AQ49+AR49</f>
        <v>1.619</v>
      </c>
      <c r="AT49" s="2023" t="n">
        <v>0.226</v>
      </c>
      <c r="AU49" s="2105"/>
      <c r="AV49" s="2023"/>
      <c r="AW49" s="2000" t="n">
        <f aca="false">B49+AC49-AN49-AO49+AP49</f>
        <v>17.944</v>
      </c>
      <c r="AX49" s="1997" t="n">
        <f aca="false">V49+O49</f>
        <v>2.466</v>
      </c>
      <c r="AY49" s="514" t="n">
        <f aca="false">AX49/B49</f>
        <v>0.130241892891095</v>
      </c>
      <c r="AZ49" s="2222" t="n">
        <v>11.7166666666667</v>
      </c>
      <c r="BA49" s="401"/>
      <c r="BB49" s="401" t="n">
        <v>76.3</v>
      </c>
      <c r="BC49" s="401"/>
      <c r="BD49" s="401"/>
      <c r="BE49" s="401"/>
      <c r="BF49" s="401"/>
      <c r="BG49" s="401" t="n">
        <v>77</v>
      </c>
      <c r="BH49" s="401" t="n">
        <v>76.5868238615136</v>
      </c>
      <c r="BI49" s="218" t="n">
        <v>47132</v>
      </c>
      <c r="BJ49" s="218" t="n">
        <f aca="false">BI49*(1-BN49)</f>
        <v>27327.8442999583</v>
      </c>
      <c r="BK49" s="401" t="n">
        <f aca="false">BI49</f>
        <v>47132</v>
      </c>
      <c r="BL49" s="401"/>
      <c r="BM49" s="401" t="n">
        <f aca="false">BJ49</f>
        <v>27327.8442999583</v>
      </c>
      <c r="BN49" s="2211" t="n">
        <f aca="false">BN48+(BN$53-BN$48)/5</f>
        <v>0.420184921073616</v>
      </c>
      <c r="BO49" s="218" t="n">
        <v>20973</v>
      </c>
      <c r="BP49" s="2221" t="n">
        <f aca="false">BO49-BQ49</f>
        <v>15391.6923076923</v>
      </c>
      <c r="BQ49" s="2221" t="n">
        <f aca="false">BQ48+(BQ$58-BQ$45)/13</f>
        <v>5581.30769230769</v>
      </c>
      <c r="BR49" s="1319" t="n">
        <f aca="false">BQ49/BO49</f>
        <v>0.266118709402932</v>
      </c>
      <c r="BS49" s="401" t="n">
        <f aca="false">BT49+CA49+CB49-CC49</f>
        <v>123.4235</v>
      </c>
      <c r="BT49" s="115" t="n">
        <f aca="false">BU49+BW49+BX49+BY49</f>
        <v>105.4</v>
      </c>
      <c r="BU49" s="115" t="n">
        <v>46.3</v>
      </c>
      <c r="BV49" s="514" t="n">
        <f aca="false">BU49/B49</f>
        <v>2.44533643181578</v>
      </c>
      <c r="BW49" s="115" t="n">
        <v>25.9</v>
      </c>
      <c r="BX49" s="115" t="n">
        <v>14.85</v>
      </c>
      <c r="BY49" s="115" t="n">
        <v>18.35</v>
      </c>
      <c r="BZ49" s="514" t="n">
        <f aca="false">BY49/B49</f>
        <v>0.969156015633252</v>
      </c>
      <c r="CA49" s="1509" t="n">
        <f aca="false">CQ49-CW49</f>
        <v>9.269</v>
      </c>
      <c r="CB49" s="2024" t="n">
        <v>8.7545</v>
      </c>
      <c r="CC49" s="2019" t="n">
        <v>0</v>
      </c>
      <c r="CD49" s="485" t="n">
        <v>0</v>
      </c>
      <c r="CE49" s="2215" t="n">
        <f aca="false">CB49-CC49</f>
        <v>8.7545</v>
      </c>
      <c r="CF49" s="2215" t="n">
        <f aca="false">CB49-CC49-CD49</f>
        <v>8.7545</v>
      </c>
      <c r="CG49" s="2024" t="n">
        <f aca="false">CH49-CQ49</f>
        <v>7.59464</v>
      </c>
      <c r="CH49" s="115" t="n">
        <f aca="false">CI49+CJ49+CN49</f>
        <v>16.86364</v>
      </c>
      <c r="CI49" s="1509" t="n">
        <v>3.705</v>
      </c>
      <c r="CJ49" s="1509" t="n">
        <f aca="false">CK49*CL49*CM49</f>
        <v>7.01364</v>
      </c>
      <c r="CK49" s="1509" t="n">
        <v>8.31</v>
      </c>
      <c r="CL49" s="514" t="n">
        <f aca="false">CL48+(CL$63-CL$43)/20</f>
        <v>0.844</v>
      </c>
      <c r="CM49" s="514" t="n">
        <v>1</v>
      </c>
      <c r="CN49" s="1509" t="n">
        <v>6.145</v>
      </c>
      <c r="CO49" s="2017" t="n">
        <f aca="false">CX49-CP49</f>
        <v>-9.657125</v>
      </c>
      <c r="CP49" s="2017" t="n">
        <f aca="false">CQ49+9*(CQ50-CQ49)/12</f>
        <v>9.657125</v>
      </c>
      <c r="CQ49" s="1509" t="n">
        <f aca="false">(CR48+CS49+CT49)/1000</f>
        <v>9.269</v>
      </c>
      <c r="CR49" s="115" t="n">
        <v>540</v>
      </c>
      <c r="CS49" s="2223" t="n">
        <f aca="false">CS48+(CS$53-CS$43)/10</f>
        <v>7635.6</v>
      </c>
      <c r="CT49" s="2223" t="n">
        <f aca="false">CT48+(CT$53-CT$43)/10</f>
        <v>1149.4</v>
      </c>
      <c r="CU49" s="485" t="n">
        <v>0</v>
      </c>
      <c r="CV49" s="2017" t="n">
        <v>8.954</v>
      </c>
      <c r="CW49" s="2217" t="n">
        <v>0</v>
      </c>
      <c r="CX49" s="2019" t="n">
        <f aca="false">CY49+(CU48+9/12*(CU49-CU48))/1000</f>
        <v>0</v>
      </c>
      <c r="CY49" s="2019" t="n">
        <f aca="false">CZ49+DA49</f>
        <v>0</v>
      </c>
      <c r="CZ49" s="2017" t="n">
        <v>0</v>
      </c>
      <c r="DA49" s="2017" t="n">
        <v>0</v>
      </c>
      <c r="DB49" s="2019" t="n">
        <v>1.451</v>
      </c>
      <c r="DC49" s="2220" t="n">
        <f aca="false">CG49+BS49</f>
        <v>131.01814</v>
      </c>
    </row>
    <row r="50" customFormat="false" ht="12" hidden="false" customHeight="false" outlineLevel="0" collapsed="false">
      <c r="A50" s="31" t="n">
        <v>1887</v>
      </c>
      <c r="B50" s="1994" t="n">
        <f aca="false">H50</f>
        <v>19.259</v>
      </c>
      <c r="C50" s="395" t="n">
        <v>25.183</v>
      </c>
      <c r="D50" s="31"/>
      <c r="E50" s="31"/>
      <c r="F50" s="2219" t="n">
        <v>1.19001761366651</v>
      </c>
      <c r="G50" s="2202" t="n">
        <f aca="false">B50-F50</f>
        <v>18.0689823863335</v>
      </c>
      <c r="H50" s="2000" t="n">
        <f aca="false">I50+J50+O50+Q50+T50</f>
        <v>19.259</v>
      </c>
      <c r="I50" s="1997" t="n">
        <v>15.24</v>
      </c>
      <c r="J50" s="1997" t="n">
        <v>1.379</v>
      </c>
      <c r="K50" s="1997"/>
      <c r="L50" s="1997"/>
      <c r="M50" s="514"/>
      <c r="N50" s="1997"/>
      <c r="O50" s="1997" t="n">
        <v>2.23</v>
      </c>
      <c r="P50" s="1997" t="n">
        <v>0.264792</v>
      </c>
      <c r="Q50" s="1997" t="n">
        <f aca="false">R50-S50</f>
        <v>0.22</v>
      </c>
      <c r="R50" s="1997" t="n">
        <v>3.406</v>
      </c>
      <c r="S50" s="1997" t="n">
        <v>3.186</v>
      </c>
      <c r="T50" s="1997" t="n">
        <v>0.19</v>
      </c>
      <c r="U50" s="1997" t="n">
        <v>0</v>
      </c>
      <c r="V50" s="1999" t="n">
        <v>0.431</v>
      </c>
      <c r="W50" s="384" t="n">
        <f aca="false">X50+AD50</f>
        <v>17.14</v>
      </c>
      <c r="X50" s="2204" t="n">
        <f aca="false">Y50+Z50+AA50+AB50</f>
        <v>4.239</v>
      </c>
      <c r="Y50" s="2008" t="n">
        <v>1.798</v>
      </c>
      <c r="Z50" s="2008" t="n">
        <v>0.936</v>
      </c>
      <c r="AA50" s="2008" t="n">
        <v>1.314</v>
      </c>
      <c r="AB50" s="2009" t="n">
        <v>0.191</v>
      </c>
      <c r="AC50" s="384" t="n">
        <v>0.36</v>
      </c>
      <c r="AD50" s="2204" t="n">
        <f aca="false">AE50+AF50</f>
        <v>12.901</v>
      </c>
      <c r="AE50" s="2008" t="n">
        <v>8.955</v>
      </c>
      <c r="AF50" s="2023" t="n">
        <v>3.946</v>
      </c>
      <c r="AG50" s="2206"/>
      <c r="AH50" s="387"/>
      <c r="AI50" s="1999"/>
      <c r="AJ50" s="2009" t="n">
        <v>5.26</v>
      </c>
      <c r="AK50" s="2207" t="n">
        <v>9720</v>
      </c>
      <c r="AL50" s="2207" t="e">
        <f aca="false">NA()</f>
        <v>#N/A</v>
      </c>
      <c r="AM50" s="2207" t="e">
        <f aca="false">NA()</f>
        <v>#N/A</v>
      </c>
      <c r="AN50" s="2208" t="n">
        <v>1.255</v>
      </c>
      <c r="AO50" s="2023" t="n">
        <v>0.245</v>
      </c>
      <c r="AP50" s="2023" t="n">
        <v>0.203</v>
      </c>
      <c r="AQ50" s="2023" t="n">
        <v>0</v>
      </c>
      <c r="AR50" s="2023" t="n">
        <v>0.709</v>
      </c>
      <c r="AS50" s="2023" t="n">
        <f aca="false">AN50+AO50-AP50-AC50+AQ50+AR50</f>
        <v>1.646</v>
      </c>
      <c r="AT50" s="2023" t="n">
        <v>0.269</v>
      </c>
      <c r="AU50" s="2105"/>
      <c r="AV50" s="2023"/>
      <c r="AW50" s="2000" t="n">
        <f aca="false">B50+AC50-AN50-AO50+AP50</f>
        <v>18.322</v>
      </c>
      <c r="AX50" s="1997" t="n">
        <f aca="false">V50+O50</f>
        <v>2.661</v>
      </c>
      <c r="AY50" s="514" t="n">
        <f aca="false">AX50/B50</f>
        <v>0.138169167661872</v>
      </c>
      <c r="AZ50" s="2222" t="n">
        <v>11.7166666666667</v>
      </c>
      <c r="BA50" s="401"/>
      <c r="BB50" s="401" t="n">
        <v>76.7</v>
      </c>
      <c r="BC50" s="401"/>
      <c r="BD50" s="401"/>
      <c r="BE50" s="401"/>
      <c r="BF50" s="401"/>
      <c r="BG50" s="401" t="n">
        <v>76.4</v>
      </c>
      <c r="BH50" s="401" t="n">
        <v>76.5534887498985</v>
      </c>
      <c r="BI50" s="218" t="n">
        <v>47628</v>
      </c>
      <c r="BJ50" s="218" t="n">
        <f aca="false">BI50*(1-BN50)</f>
        <v>27620.9812648867</v>
      </c>
      <c r="BK50" s="401" t="n">
        <f aca="false">BI50</f>
        <v>47628</v>
      </c>
      <c r="BL50" s="401"/>
      <c r="BM50" s="401" t="n">
        <f aca="false">BJ50</f>
        <v>27620.9812648867</v>
      </c>
      <c r="BN50" s="2211" t="n">
        <f aca="false">BN49+(BN$53-BN$48)/5</f>
        <v>0.42006842057431</v>
      </c>
      <c r="BO50" s="218" t="n">
        <v>21265</v>
      </c>
      <c r="BP50" s="2221" t="n">
        <f aca="false">BO50-BQ50</f>
        <v>15682.6153846154</v>
      </c>
      <c r="BQ50" s="2221" t="n">
        <f aca="false">BQ49+(BQ$58-BQ$45)/13</f>
        <v>5582.38461538461</v>
      </c>
      <c r="BR50" s="1319" t="n">
        <f aca="false">BQ50/BO50</f>
        <v>0.262515147678562</v>
      </c>
      <c r="BS50" s="401" t="n">
        <f aca="false">BT50+CA50+CB50-CC50</f>
        <v>128.0385</v>
      </c>
      <c r="BT50" s="115" t="n">
        <f aca="false">BU50+BW50+BX50+BY50</f>
        <v>109.05</v>
      </c>
      <c r="BU50" s="115" t="n">
        <v>47.25</v>
      </c>
      <c r="BV50" s="514" t="n">
        <f aca="false">BU50/B50</f>
        <v>2.45339841113246</v>
      </c>
      <c r="BW50" s="115" t="n">
        <v>26.4</v>
      </c>
      <c r="BX50" s="115" t="n">
        <v>15.9</v>
      </c>
      <c r="BY50" s="115" t="n">
        <v>19.5</v>
      </c>
      <c r="BZ50" s="514" t="n">
        <f aca="false">BY50/B50</f>
        <v>1.01251362999117</v>
      </c>
      <c r="CA50" s="1509" t="n">
        <f aca="false">CQ50-CW50</f>
        <v>9.7865</v>
      </c>
      <c r="CB50" s="2024" t="n">
        <v>9.202</v>
      </c>
      <c r="CC50" s="2019" t="n">
        <v>0</v>
      </c>
      <c r="CD50" s="485" t="n">
        <v>0</v>
      </c>
      <c r="CE50" s="2215" t="n">
        <f aca="false">CB50-CC50</f>
        <v>9.202</v>
      </c>
      <c r="CF50" s="2215" t="n">
        <f aca="false">CB50-CC50-CD50</f>
        <v>9.202</v>
      </c>
      <c r="CG50" s="2024" t="n">
        <f aca="false">CH50-CQ50</f>
        <v>7.80934</v>
      </c>
      <c r="CH50" s="115" t="n">
        <f aca="false">CI50+CJ50+CN50</f>
        <v>17.59584</v>
      </c>
      <c r="CI50" s="1509" t="n">
        <v>3.925</v>
      </c>
      <c r="CJ50" s="1509" t="n">
        <f aca="false">CK50*CL50*CM50</f>
        <v>7.27584</v>
      </c>
      <c r="CK50" s="1509" t="n">
        <v>8.58</v>
      </c>
      <c r="CL50" s="514" t="n">
        <f aca="false">CL49+(CL$63-CL$43)/20</f>
        <v>0.848</v>
      </c>
      <c r="CM50" s="514" t="n">
        <v>1</v>
      </c>
      <c r="CN50" s="1509" t="n">
        <v>6.395</v>
      </c>
      <c r="CO50" s="2017" t="n">
        <f aca="false">CX50-CP50</f>
        <v>-10.268375</v>
      </c>
      <c r="CP50" s="2017" t="n">
        <f aca="false">CQ50+9*(CQ51-CQ50)/12</f>
        <v>10.268375</v>
      </c>
      <c r="CQ50" s="1509" t="n">
        <f aca="false">(CR49+CS50+CT50)/1000</f>
        <v>9.7865</v>
      </c>
      <c r="CR50" s="115" t="n">
        <v>721</v>
      </c>
      <c r="CS50" s="2223" t="n">
        <f aca="false">CS49+(CS$53-CS$43)/10</f>
        <v>8034.2</v>
      </c>
      <c r="CT50" s="2223" t="n">
        <f aca="false">CT49+(CT$53-CT$43)/10</f>
        <v>1212.3</v>
      </c>
      <c r="CU50" s="485" t="n">
        <v>0</v>
      </c>
      <c r="CV50" s="2017" t="n">
        <v>9.548</v>
      </c>
      <c r="CW50" s="2217" t="n">
        <v>0</v>
      </c>
      <c r="CX50" s="2019" t="n">
        <f aca="false">CY50+(CU49+9/12*(CU50-CU49))/1000</f>
        <v>0</v>
      </c>
      <c r="CY50" s="2019" t="n">
        <f aca="false">CZ50+DA50</f>
        <v>0</v>
      </c>
      <c r="CZ50" s="2017" t="n">
        <v>0</v>
      </c>
      <c r="DA50" s="2017" t="n">
        <v>0</v>
      </c>
      <c r="DB50" s="2019" t="n">
        <v>1.496</v>
      </c>
      <c r="DC50" s="2220" t="n">
        <f aca="false">CG50+BS50</f>
        <v>135.84784</v>
      </c>
    </row>
    <row r="51" customFormat="false" ht="12" hidden="false" customHeight="false" outlineLevel="0" collapsed="false">
      <c r="A51" s="31" t="n">
        <v>1888</v>
      </c>
      <c r="B51" s="1994" t="n">
        <f aca="false">H51</f>
        <v>20.7</v>
      </c>
      <c r="C51" s="395" t="n">
        <v>26.495</v>
      </c>
      <c r="D51" s="31"/>
      <c r="E51" s="31"/>
      <c r="F51" s="2219" t="n">
        <v>1.21266115826261</v>
      </c>
      <c r="G51" s="2202" t="n">
        <f aca="false">B51-F51</f>
        <v>19.4873388417374</v>
      </c>
      <c r="H51" s="2000" t="n">
        <f aca="false">I51+J51+O51+Q51+T51</f>
        <v>20.7</v>
      </c>
      <c r="I51" s="1997" t="n">
        <v>15.916</v>
      </c>
      <c r="J51" s="1997" t="n">
        <v>1.714</v>
      </c>
      <c r="K51" s="1997"/>
      <c r="L51" s="1997"/>
      <c r="M51" s="514"/>
      <c r="N51" s="1997"/>
      <c r="O51" s="1997" t="n">
        <v>2.4</v>
      </c>
      <c r="P51" s="1997" t="n">
        <v>0.3864</v>
      </c>
      <c r="Q51" s="1997" t="n">
        <f aca="false">R51-S51</f>
        <v>0.45</v>
      </c>
      <c r="R51" s="1997" t="n">
        <v>3.879</v>
      </c>
      <c r="S51" s="1997" t="n">
        <v>3.429</v>
      </c>
      <c r="T51" s="1997" t="n">
        <v>0.22</v>
      </c>
      <c r="U51" s="1997" t="n">
        <v>0</v>
      </c>
      <c r="V51" s="1999" t="n">
        <v>0.686</v>
      </c>
      <c r="W51" s="384" t="n">
        <f aca="false">X51+AD51</f>
        <v>18.051</v>
      </c>
      <c r="X51" s="2204" t="n">
        <f aca="false">Y51+Z51+AA51+AB51</f>
        <v>4.546</v>
      </c>
      <c r="Y51" s="2008" t="n">
        <v>2.026</v>
      </c>
      <c r="Z51" s="2008" t="n">
        <v>0.973</v>
      </c>
      <c r="AA51" s="2008" t="n">
        <v>1.332</v>
      </c>
      <c r="AB51" s="2009" t="n">
        <v>0.215</v>
      </c>
      <c r="AC51" s="384" t="n">
        <v>0.376</v>
      </c>
      <c r="AD51" s="2204" t="n">
        <f aca="false">AE51+AF51</f>
        <v>13.505</v>
      </c>
      <c r="AE51" s="2008" t="n">
        <v>9.57</v>
      </c>
      <c r="AF51" s="2023" t="n">
        <v>3.935</v>
      </c>
      <c r="AG51" s="2206"/>
      <c r="AH51" s="387"/>
      <c r="AI51" s="1999"/>
      <c r="AJ51" s="2009" t="n">
        <v>5.267</v>
      </c>
      <c r="AK51" s="2207" t="n">
        <v>9645</v>
      </c>
      <c r="AL51" s="2207" t="e">
        <f aca="false">NA()</f>
        <v>#N/A</v>
      </c>
      <c r="AM51" s="2207" t="e">
        <f aca="false">NA()</f>
        <v>#N/A</v>
      </c>
      <c r="AN51" s="2208" t="n">
        <v>1.389</v>
      </c>
      <c r="AO51" s="2023" t="n">
        <v>0.252</v>
      </c>
      <c r="AP51" s="2023" t="n">
        <v>0.217</v>
      </c>
      <c r="AQ51" s="2023" t="n">
        <v>0</v>
      </c>
      <c r="AR51" s="2023" t="n">
        <v>0.747</v>
      </c>
      <c r="AS51" s="2023" t="n">
        <f aca="false">AN51+AO51-AP51-AC51+AQ51+AR51</f>
        <v>1.795</v>
      </c>
      <c r="AT51" s="2023" t="n">
        <v>0.085</v>
      </c>
      <c r="AU51" s="2105"/>
      <c r="AV51" s="2023"/>
      <c r="AW51" s="2000" t="n">
        <f aca="false">B51+AC51-AN51-AO51+AP51</f>
        <v>19.652</v>
      </c>
      <c r="AX51" s="1997" t="n">
        <f aca="false">V51+O51</f>
        <v>3.086</v>
      </c>
      <c r="AY51" s="514" t="n">
        <f aca="false">AX51/B51</f>
        <v>0.149082125603865</v>
      </c>
      <c r="AZ51" s="2222" t="n">
        <v>11.8833333333333</v>
      </c>
      <c r="BA51" s="401"/>
      <c r="BB51" s="401" t="n">
        <v>78.3</v>
      </c>
      <c r="BC51" s="401"/>
      <c r="BD51" s="401"/>
      <c r="BE51" s="401"/>
      <c r="BF51" s="401"/>
      <c r="BG51" s="401" t="n">
        <v>77.1</v>
      </c>
      <c r="BH51" s="401" t="n">
        <v>78.0927131662053</v>
      </c>
      <c r="BI51" s="218" t="n">
        <v>48166</v>
      </c>
      <c r="BJ51" s="218" t="n">
        <f aca="false">BI51*(1-BN51)</f>
        <v>27938.5958176673</v>
      </c>
      <c r="BK51" s="401" t="n">
        <f aca="false">BI51</f>
        <v>48166</v>
      </c>
      <c r="BL51" s="401"/>
      <c r="BM51" s="401" t="n">
        <f aca="false">BJ51</f>
        <v>27938.5958176673</v>
      </c>
      <c r="BN51" s="2211" t="n">
        <f aca="false">BN50+(BN$53-BN$48)/5</f>
        <v>0.419951920075005</v>
      </c>
      <c r="BO51" s="218" t="n">
        <v>21606</v>
      </c>
      <c r="BP51" s="2221" t="n">
        <f aca="false">BO51-BQ51</f>
        <v>16022.5384615385</v>
      </c>
      <c r="BQ51" s="2221" t="n">
        <f aca="false">BQ50+(BQ$58-BQ$45)/13</f>
        <v>5583.46153846154</v>
      </c>
      <c r="BR51" s="1319" t="n">
        <f aca="false">BQ51/BO51</f>
        <v>0.258421805908615</v>
      </c>
      <c r="BS51" s="401" t="n">
        <f aca="false">BT51+CA51+CB51-CC51</f>
        <v>134.2195</v>
      </c>
      <c r="BT51" s="115" t="n">
        <f aca="false">BU51+BW51+BX51+BY51</f>
        <v>114.05</v>
      </c>
      <c r="BU51" s="115" t="n">
        <v>47.85</v>
      </c>
      <c r="BV51" s="514" t="n">
        <f aca="false">BU51/B51</f>
        <v>2.31159420289855</v>
      </c>
      <c r="BW51" s="115" t="n">
        <v>27.35</v>
      </c>
      <c r="BX51" s="115" t="n">
        <v>18.05</v>
      </c>
      <c r="BY51" s="115" t="n">
        <v>20.8</v>
      </c>
      <c r="BZ51" s="514" t="n">
        <f aca="false">BY51/B51</f>
        <v>1.0048309178744</v>
      </c>
      <c r="CA51" s="1509" t="n">
        <f aca="false">CQ51-CW51</f>
        <v>10.429</v>
      </c>
      <c r="CB51" s="2024" t="n">
        <v>9.7405</v>
      </c>
      <c r="CC51" s="2019" t="n">
        <v>0</v>
      </c>
      <c r="CD51" s="485" t="n">
        <v>0</v>
      </c>
      <c r="CE51" s="2215" t="n">
        <f aca="false">CB51-CC51</f>
        <v>9.7405</v>
      </c>
      <c r="CF51" s="2215" t="n">
        <f aca="false">CB51-CC51-CD51</f>
        <v>9.7405</v>
      </c>
      <c r="CG51" s="2024" t="n">
        <f aca="false">CH51-CQ51</f>
        <v>8.1555</v>
      </c>
      <c r="CH51" s="115" t="n">
        <f aca="false">CI51+CJ51+CN51</f>
        <v>18.5845</v>
      </c>
      <c r="CI51" s="1509" t="n">
        <v>4.16</v>
      </c>
      <c r="CJ51" s="1509" t="n">
        <f aca="false">CK51*CL51*CM51</f>
        <v>7.7745</v>
      </c>
      <c r="CK51" s="1509" t="n">
        <v>9.125</v>
      </c>
      <c r="CL51" s="514" t="n">
        <f aca="false">CL50+(CL$63-CL$43)/20</f>
        <v>0.852</v>
      </c>
      <c r="CM51" s="514" t="n">
        <v>1</v>
      </c>
      <c r="CN51" s="1509" t="n">
        <v>6.65</v>
      </c>
      <c r="CO51" s="2017" t="n">
        <f aca="false">CX51-CP51</f>
        <v>-10.897375</v>
      </c>
      <c r="CP51" s="2017" t="n">
        <f aca="false">CQ51+9*(CQ52-CQ51)/12</f>
        <v>10.897375</v>
      </c>
      <c r="CQ51" s="1509" t="n">
        <f aca="false">(CR50+CS51+CT51)/1000</f>
        <v>10.429</v>
      </c>
      <c r="CR51" s="115" t="n">
        <v>884</v>
      </c>
      <c r="CS51" s="2223" t="n">
        <f aca="false">CS50+(CS$53-CS$43)/10</f>
        <v>8432.8</v>
      </c>
      <c r="CT51" s="2223" t="n">
        <f aca="false">CT50+(CT$53-CT$43)/10</f>
        <v>1275.2</v>
      </c>
      <c r="CU51" s="485" t="n">
        <v>0</v>
      </c>
      <c r="CV51" s="2017" t="n">
        <v>9.731</v>
      </c>
      <c r="CW51" s="2217" t="n">
        <v>0</v>
      </c>
      <c r="CX51" s="2019" t="n">
        <f aca="false">CY51+(CU50+9/12*(CU51-CU50))/1000</f>
        <v>0</v>
      </c>
      <c r="CY51" s="2019" t="n">
        <f aca="false">CZ51+DA51</f>
        <v>0</v>
      </c>
      <c r="CZ51" s="2017" t="n">
        <v>0</v>
      </c>
      <c r="DA51" s="2017" t="n">
        <v>0</v>
      </c>
      <c r="DB51" s="2019" t="n">
        <v>1.547</v>
      </c>
      <c r="DC51" s="2220" t="n">
        <f aca="false">CG51+BS51</f>
        <v>142.375</v>
      </c>
    </row>
    <row r="52" customFormat="false" ht="12" hidden="false" customHeight="false" outlineLevel="0" collapsed="false">
      <c r="A52" s="31" t="n">
        <v>1889</v>
      </c>
      <c r="B52" s="1994" t="n">
        <f aca="false">H52</f>
        <v>22.243</v>
      </c>
      <c r="C52" s="395" t="n">
        <v>27.595</v>
      </c>
      <c r="D52" s="31"/>
      <c r="E52" s="31"/>
      <c r="F52" s="2219" t="n">
        <v>1.22239323145113</v>
      </c>
      <c r="G52" s="2202" t="n">
        <f aca="false">B52-F52</f>
        <v>21.0206067685489</v>
      </c>
      <c r="H52" s="2000" t="n">
        <f aca="false">I52+J52+O52+Q52+T52</f>
        <v>22.243</v>
      </c>
      <c r="I52" s="1997" t="n">
        <v>16.983</v>
      </c>
      <c r="J52" s="1997" t="n">
        <v>1.736</v>
      </c>
      <c r="K52" s="1997"/>
      <c r="L52" s="1997"/>
      <c r="M52" s="514"/>
      <c r="N52" s="1997"/>
      <c r="O52" s="1997" t="n">
        <v>2.94</v>
      </c>
      <c r="P52" s="1997" t="n">
        <v>0.44226</v>
      </c>
      <c r="Q52" s="1997" t="n">
        <f aca="false">R52-S52</f>
        <v>0.344</v>
      </c>
      <c r="R52" s="1997" t="n">
        <v>4.432</v>
      </c>
      <c r="S52" s="1997" t="n">
        <v>4.088</v>
      </c>
      <c r="T52" s="1997" t="n">
        <v>0.24</v>
      </c>
      <c r="U52" s="1997" t="n">
        <v>0</v>
      </c>
      <c r="V52" s="1999" t="n">
        <v>0.59</v>
      </c>
      <c r="W52" s="384" t="n">
        <f aca="false">X52+AD52</f>
        <v>19.158</v>
      </c>
      <c r="X52" s="2204" t="n">
        <f aca="false">Y52+Z52+AA52+AB52</f>
        <v>4.96</v>
      </c>
      <c r="Y52" s="2008" t="n">
        <v>2.234</v>
      </c>
      <c r="Z52" s="2008" t="n">
        <v>1.015</v>
      </c>
      <c r="AA52" s="2008" t="n">
        <v>1.474</v>
      </c>
      <c r="AB52" s="2009" t="n">
        <v>0.237</v>
      </c>
      <c r="AC52" s="384" t="n">
        <v>0.383</v>
      </c>
      <c r="AD52" s="2204" t="n">
        <f aca="false">AE52+AF52</f>
        <v>14.198</v>
      </c>
      <c r="AE52" s="2008" t="n">
        <v>10.246</v>
      </c>
      <c r="AF52" s="2023" t="n">
        <v>3.952</v>
      </c>
      <c r="AG52" s="2206"/>
      <c r="AH52" s="387"/>
      <c r="AI52" s="1999"/>
      <c r="AJ52" s="2009" t="n">
        <v>5.426</v>
      </c>
      <c r="AK52" s="2207" t="n">
        <v>9638</v>
      </c>
      <c r="AL52" s="2207" t="e">
        <f aca="false">NA()</f>
        <v>#N/A</v>
      </c>
      <c r="AM52" s="2207" t="e">
        <f aca="false">NA()</f>
        <v>#N/A</v>
      </c>
      <c r="AN52" s="2208" t="n">
        <v>1.569</v>
      </c>
      <c r="AO52" s="2023" t="n">
        <v>0.262</v>
      </c>
      <c r="AP52" s="2023" t="n">
        <v>0.234</v>
      </c>
      <c r="AQ52" s="2023" t="n">
        <v>0</v>
      </c>
      <c r="AR52" s="2023" t="n">
        <v>0.794</v>
      </c>
      <c r="AS52" s="2023" t="n">
        <f aca="false">AN52+AO52-AP52-AC52+AQ52+AR52</f>
        <v>2.008</v>
      </c>
      <c r="AT52" s="2023" t="n">
        <v>0.277</v>
      </c>
      <c r="AU52" s="2105"/>
      <c r="AV52" s="2023"/>
      <c r="AW52" s="2000" t="n">
        <f aca="false">B52+AC52-AN52-AO52+AP52</f>
        <v>21.029</v>
      </c>
      <c r="AX52" s="1997" t="n">
        <f aca="false">V52+O52</f>
        <v>3.53</v>
      </c>
      <c r="AY52" s="514" t="n">
        <f aca="false">AX52/B52</f>
        <v>0.158701613990918</v>
      </c>
      <c r="AZ52" s="2222" t="n">
        <v>12.325</v>
      </c>
      <c r="BA52" s="401"/>
      <c r="BB52" s="401" t="n">
        <v>80.7</v>
      </c>
      <c r="BC52" s="401"/>
      <c r="BD52" s="401"/>
      <c r="BE52" s="401"/>
      <c r="BF52" s="401"/>
      <c r="BG52" s="401" t="n">
        <v>79.8</v>
      </c>
      <c r="BH52" s="401" t="n">
        <v>80.5796346590275</v>
      </c>
      <c r="BI52" s="218" t="n">
        <v>48716</v>
      </c>
      <c r="BJ52" s="218" t="n">
        <f aca="false">BI52*(1-BN52)</f>
        <v>28263.2976999502</v>
      </c>
      <c r="BK52" s="401" t="n">
        <f aca="false">BI52</f>
        <v>48716</v>
      </c>
      <c r="BL52" s="401"/>
      <c r="BM52" s="401" t="n">
        <f aca="false">BJ52</f>
        <v>28263.2976999502</v>
      </c>
      <c r="BN52" s="2211" t="n">
        <f aca="false">BN51+(BN$53-BN$48)/5</f>
        <v>0.4198354195757</v>
      </c>
      <c r="BO52" s="218" t="n">
        <v>22090</v>
      </c>
      <c r="BP52" s="2221" t="n">
        <f aca="false">BO52-BQ52</f>
        <v>16505.4615384615</v>
      </c>
      <c r="BQ52" s="2221" t="n">
        <f aca="false">BQ51+(BQ$58-BQ$45)/13</f>
        <v>5584.53846153846</v>
      </c>
      <c r="BR52" s="1319" t="n">
        <f aca="false">BQ52/BO52</f>
        <v>0.25280844099314</v>
      </c>
      <c r="BS52" s="401" t="n">
        <f aca="false">BT52+CA52+CB52-CC52</f>
        <v>140.9695</v>
      </c>
      <c r="BT52" s="115" t="n">
        <f aca="false">BU52+BW52+BX52+BY52</f>
        <v>119.55</v>
      </c>
      <c r="BU52" s="115" t="n">
        <v>47.95</v>
      </c>
      <c r="BV52" s="514" t="n">
        <f aca="false">BU52/B52</f>
        <v>2.1557343883469</v>
      </c>
      <c r="BW52" s="115" t="n">
        <v>28.95</v>
      </c>
      <c r="BX52" s="115" t="n">
        <v>20.7</v>
      </c>
      <c r="BY52" s="115" t="n">
        <v>21.95</v>
      </c>
      <c r="BZ52" s="514" t="n">
        <f aca="false">BY52/B52</f>
        <v>0.986827316459111</v>
      </c>
      <c r="CA52" s="1509" t="n">
        <f aca="false">CQ52-CW52</f>
        <v>11.0535</v>
      </c>
      <c r="CB52" s="2024" t="n">
        <v>10.366</v>
      </c>
      <c r="CC52" s="2019" t="n">
        <v>0</v>
      </c>
      <c r="CD52" s="485" t="n">
        <v>0</v>
      </c>
      <c r="CE52" s="2215" t="n">
        <f aca="false">CB52-CC52</f>
        <v>10.366</v>
      </c>
      <c r="CF52" s="2215" t="n">
        <f aca="false">CB52-CC52-CD52</f>
        <v>10.366</v>
      </c>
      <c r="CG52" s="2024" t="n">
        <f aca="false">CH52-CQ52</f>
        <v>8.5139</v>
      </c>
      <c r="CH52" s="115" t="n">
        <f aca="false">CI52+CJ52+CN52</f>
        <v>19.5674</v>
      </c>
      <c r="CI52" s="1509" t="n">
        <v>4.355</v>
      </c>
      <c r="CJ52" s="1509" t="n">
        <f aca="false">CK52*CL52*CM52</f>
        <v>8.3674</v>
      </c>
      <c r="CK52" s="1509" t="n">
        <v>9.775</v>
      </c>
      <c r="CL52" s="514" t="n">
        <f aca="false">CL51+(CL$63-CL$43)/20</f>
        <v>0.856</v>
      </c>
      <c r="CM52" s="514" t="n">
        <v>1</v>
      </c>
      <c r="CN52" s="1509" t="n">
        <v>6.845</v>
      </c>
      <c r="CO52" s="2017" t="n">
        <f aca="false">CX52-CP52</f>
        <v>-11.575125</v>
      </c>
      <c r="CP52" s="2017" t="n">
        <f aca="false">CQ52+9*(CQ53-CQ52)/12</f>
        <v>11.575125</v>
      </c>
      <c r="CQ52" s="1509" t="n">
        <f aca="false">(CR51+CS52+CT52)/1000</f>
        <v>11.0535</v>
      </c>
      <c r="CR52" s="115" t="n">
        <v>1118</v>
      </c>
      <c r="CS52" s="2223" t="n">
        <f aca="false">CS51+(CS$53-CS$43)/10</f>
        <v>8831.4</v>
      </c>
      <c r="CT52" s="2223" t="n">
        <f aca="false">CT51+(CT$53-CT$43)/10</f>
        <v>1338.1</v>
      </c>
      <c r="CU52" s="485" t="n">
        <v>0</v>
      </c>
      <c r="CV52" s="2017" t="n">
        <v>10.732</v>
      </c>
      <c r="CW52" s="2217" t="n">
        <v>0</v>
      </c>
      <c r="CX52" s="2019" t="n">
        <f aca="false">CY52+(CU51+9/12*(CU52-CU51))/1000</f>
        <v>0</v>
      </c>
      <c r="CY52" s="2019" t="n">
        <f aca="false">CZ52+DA52</f>
        <v>0</v>
      </c>
      <c r="CZ52" s="2017" t="n">
        <v>0</v>
      </c>
      <c r="DA52" s="2017" t="n">
        <v>0</v>
      </c>
      <c r="DB52" s="2019" t="n">
        <v>1.665</v>
      </c>
      <c r="DC52" s="2220" t="n">
        <f aca="false">CG52+BS52</f>
        <v>149.4834</v>
      </c>
    </row>
    <row r="53" customFormat="false" ht="12" hidden="false" customHeight="false" outlineLevel="0" collapsed="false">
      <c r="A53" s="31" t="n">
        <v>1890</v>
      </c>
      <c r="B53" s="1994" t="n">
        <f aca="false">H53</f>
        <v>23.632</v>
      </c>
      <c r="C53" s="395" t="n">
        <v>28.513</v>
      </c>
      <c r="D53" s="31"/>
      <c r="E53" s="31"/>
      <c r="F53" s="2219" t="n">
        <v>1.2333724511744</v>
      </c>
      <c r="G53" s="2202" t="n">
        <f aca="false">B53-F53</f>
        <v>22.3986275488256</v>
      </c>
      <c r="H53" s="2000" t="n">
        <f aca="false">I53+J53+O53+Q53+T53</f>
        <v>23.632</v>
      </c>
      <c r="I53" s="1997" t="n">
        <v>17.946</v>
      </c>
      <c r="J53" s="1997" t="n">
        <v>1.94</v>
      </c>
      <c r="K53" s="1997"/>
      <c r="L53" s="1997"/>
      <c r="M53" s="514"/>
      <c r="N53" s="1997"/>
      <c r="O53" s="1997" t="n">
        <v>3.36</v>
      </c>
      <c r="P53" s="1997" t="n">
        <v>0.47908</v>
      </c>
      <c r="Q53" s="1997" t="n">
        <f aca="false">R53-S53</f>
        <v>0.136</v>
      </c>
      <c r="R53" s="1997" t="n">
        <v>4.409</v>
      </c>
      <c r="S53" s="1997" t="n">
        <v>4.273</v>
      </c>
      <c r="T53" s="1997" t="n">
        <v>0.25</v>
      </c>
      <c r="U53" s="1997" t="n">
        <v>0</v>
      </c>
      <c r="V53" s="1999" t="n">
        <v>0.43</v>
      </c>
      <c r="W53" s="384" t="n">
        <f aca="false">X53+AD53</f>
        <v>20.59</v>
      </c>
      <c r="X53" s="2204" t="n">
        <f aca="false">Y53+Z53+AA53+AB53</f>
        <v>5.835</v>
      </c>
      <c r="Y53" s="2008" t="n">
        <v>2.381</v>
      </c>
      <c r="Z53" s="2008" t="n">
        <v>1.068</v>
      </c>
      <c r="AA53" s="2008" t="n">
        <v>2.135</v>
      </c>
      <c r="AB53" s="2009" t="n">
        <v>0.251</v>
      </c>
      <c r="AC53" s="384" t="n">
        <v>0.423</v>
      </c>
      <c r="AD53" s="2204" t="n">
        <f aca="false">AE53+AF53</f>
        <v>14.755</v>
      </c>
      <c r="AE53" s="2008" t="n">
        <v>10.766</v>
      </c>
      <c r="AF53" s="2023" t="n">
        <v>3.989</v>
      </c>
      <c r="AG53" s="2206"/>
      <c r="AH53" s="387"/>
      <c r="AI53" s="1999"/>
      <c r="AJ53" s="2009" t="n">
        <v>6.124</v>
      </c>
      <c r="AK53" s="2207" t="n">
        <v>9565</v>
      </c>
      <c r="AL53" s="2207" t="e">
        <f aca="false">NA()</f>
        <v>#N/A</v>
      </c>
      <c r="AM53" s="2207" t="e">
        <f aca="false">NA()</f>
        <v>#N/A</v>
      </c>
      <c r="AN53" s="2208" t="n">
        <v>1.616</v>
      </c>
      <c r="AO53" s="2023" t="n">
        <v>0.265</v>
      </c>
      <c r="AP53" s="2023" t="n">
        <v>0.244</v>
      </c>
      <c r="AQ53" s="2023" t="n">
        <v>0</v>
      </c>
      <c r="AR53" s="2023" t="n">
        <v>0.776</v>
      </c>
      <c r="AS53" s="2023" t="n">
        <f aca="false">AN53+AO53-AP53-AC53+AQ53+AR53</f>
        <v>1.99</v>
      </c>
      <c r="AT53" s="2023" t="n">
        <v>0.055</v>
      </c>
      <c r="AU53" s="2105"/>
      <c r="AV53" s="2023"/>
      <c r="AW53" s="2000" t="n">
        <f aca="false">B53+AC53-AN53-AO53+AP53</f>
        <v>22.418</v>
      </c>
      <c r="AX53" s="1997" t="n">
        <f aca="false">V53+O53</f>
        <v>3.79</v>
      </c>
      <c r="AY53" s="514" t="n">
        <f aca="false">AX53/B53</f>
        <v>0.160375761679079</v>
      </c>
      <c r="AZ53" s="2222" t="n">
        <v>12.7333333333333</v>
      </c>
      <c r="BA53" s="401"/>
      <c r="BB53" s="401" t="n">
        <v>82.8</v>
      </c>
      <c r="BC53" s="401"/>
      <c r="BD53" s="401"/>
      <c r="BE53" s="401"/>
      <c r="BF53" s="401"/>
      <c r="BG53" s="401" t="n">
        <v>82.3</v>
      </c>
      <c r="BH53" s="401" t="n">
        <v>83.0243937283475</v>
      </c>
      <c r="BI53" s="218" t="n">
        <v>49239</v>
      </c>
      <c r="BJ53" s="218" t="n">
        <f aca="false">BI53*(1-BN53)</f>
        <v>28572.4601435974</v>
      </c>
      <c r="BK53" s="401" t="n">
        <f aca="false">BI53</f>
        <v>49239</v>
      </c>
      <c r="BL53" s="401"/>
      <c r="BM53" s="401" t="n">
        <f aca="false">BJ53</f>
        <v>28572.4601435974</v>
      </c>
      <c r="BN53" s="387" t="n">
        <v>0.419718919076395</v>
      </c>
      <c r="BO53" s="218" t="n">
        <v>22372</v>
      </c>
      <c r="BP53" s="2221" t="n">
        <f aca="false">BO53-BQ53</f>
        <v>16786.3846153846</v>
      </c>
      <c r="BQ53" s="2221" t="n">
        <f aca="false">BQ52+(BQ$58-BQ$45)/13</f>
        <v>5585.61538461538</v>
      </c>
      <c r="BR53" s="1319" t="n">
        <f aca="false">BQ53/BO53</f>
        <v>0.249669917066663</v>
      </c>
      <c r="BS53" s="401" t="n">
        <f aca="false">BT53+CA53+CB53-CC53</f>
        <v>147.05</v>
      </c>
      <c r="BT53" s="115" t="n">
        <f aca="false">BU53+BW53+BX53+BY53</f>
        <v>124.45</v>
      </c>
      <c r="BU53" s="115" t="n">
        <v>47.2</v>
      </c>
      <c r="BV53" s="514" t="n">
        <f aca="false">BU53/B53</f>
        <v>1.99729180771835</v>
      </c>
      <c r="BW53" s="115" t="n">
        <v>30.7</v>
      </c>
      <c r="BX53" s="115" t="n">
        <v>23.6</v>
      </c>
      <c r="BY53" s="115" t="n">
        <v>22.95</v>
      </c>
      <c r="BZ53" s="514" t="n">
        <f aca="false">BY53/B53</f>
        <v>0.971140825998646</v>
      </c>
      <c r="CA53" s="1509" t="n">
        <f aca="false">CQ53-CW53</f>
        <v>11.749</v>
      </c>
      <c r="CB53" s="2024" t="n">
        <v>10.851</v>
      </c>
      <c r="CC53" s="2019" t="n">
        <v>0</v>
      </c>
      <c r="CD53" s="485" t="n">
        <v>0</v>
      </c>
      <c r="CE53" s="2215" t="n">
        <f aca="false">CB53-CC53</f>
        <v>10.851</v>
      </c>
      <c r="CF53" s="2215" t="n">
        <f aca="false">CB53-CC53-CD53</f>
        <v>10.851</v>
      </c>
      <c r="CG53" s="2024" t="n">
        <f aca="false">CH53-CQ53</f>
        <v>8.113</v>
      </c>
      <c r="CH53" s="115" t="n">
        <f aca="false">CI53+CJ53+CN53</f>
        <v>19.862</v>
      </c>
      <c r="CI53" s="1509" t="n">
        <v>4.475</v>
      </c>
      <c r="CJ53" s="1509" t="n">
        <f aca="false">CK53*CL53*CM53</f>
        <v>8.987</v>
      </c>
      <c r="CK53" s="1509" t="n">
        <v>10.45</v>
      </c>
      <c r="CL53" s="514" t="n">
        <f aca="false">CL52+(CL$63-CL$43)/20</f>
        <v>0.86</v>
      </c>
      <c r="CM53" s="514" t="n">
        <v>1</v>
      </c>
      <c r="CN53" s="1509" t="n">
        <v>6.4</v>
      </c>
      <c r="CO53" s="2017" t="n">
        <f aca="false">CX53-CP53</f>
        <v>-12.1438</v>
      </c>
      <c r="CP53" s="2017" t="n">
        <f aca="false">CQ53+9*(CQ54-CQ53)/12</f>
        <v>12.1438</v>
      </c>
      <c r="CQ53" s="1509" t="n">
        <f aca="false">(CR52+CS53+CT53)/1000</f>
        <v>11.749</v>
      </c>
      <c r="CR53" s="115" t="n">
        <v>1318</v>
      </c>
      <c r="CS53" s="115" t="n">
        <v>9230</v>
      </c>
      <c r="CT53" s="115" t="n">
        <v>1401</v>
      </c>
      <c r="CU53" s="485" t="n">
        <v>0</v>
      </c>
      <c r="CV53" s="2017" t="n">
        <v>11.605</v>
      </c>
      <c r="CW53" s="2217" t="n">
        <v>0</v>
      </c>
      <c r="CX53" s="2019" t="n">
        <f aca="false">CY53+(CU52+9/12*(CU53-CU52))/1000</f>
        <v>0</v>
      </c>
      <c r="CY53" s="2019" t="n">
        <f aca="false">CZ53+DA53</f>
        <v>0</v>
      </c>
      <c r="CZ53" s="2017" t="n">
        <v>0</v>
      </c>
      <c r="DA53" s="2017" t="n">
        <v>0</v>
      </c>
      <c r="DB53" s="2019" t="n">
        <v>1.618</v>
      </c>
      <c r="DC53" s="2220" t="n">
        <f aca="false">CG53+BS53</f>
        <v>155.163</v>
      </c>
    </row>
    <row r="54" s="31" customFormat="true" ht="12" hidden="false" customHeight="false" outlineLevel="0" collapsed="false">
      <c r="A54" s="31" t="n">
        <v>1891</v>
      </c>
      <c r="B54" s="1994" t="n">
        <f aca="false">H54</f>
        <v>22.553</v>
      </c>
      <c r="C54" s="395" t="n">
        <v>27.509</v>
      </c>
      <c r="F54" s="2219" t="n">
        <v>1.29472274562584</v>
      </c>
      <c r="G54" s="2202" t="n">
        <f aca="false">B54-F54</f>
        <v>21.2582772543742</v>
      </c>
      <c r="H54" s="2000" t="n">
        <f aca="false">I54+J54+O54+Q54+T54</f>
        <v>22.553</v>
      </c>
      <c r="I54" s="1997" t="n">
        <v>18.441</v>
      </c>
      <c r="J54" s="1997" t="n">
        <v>1.769</v>
      </c>
      <c r="K54" s="1997"/>
      <c r="L54" s="1997"/>
      <c r="M54" s="514"/>
      <c r="N54" s="1997"/>
      <c r="O54" s="1997" t="n">
        <v>2.08</v>
      </c>
      <c r="P54" s="1997" t="n">
        <v>0.459597</v>
      </c>
      <c r="Q54" s="1997" t="n">
        <f aca="false">R54-S54</f>
        <v>0.00300000000000011</v>
      </c>
      <c r="R54" s="1997" t="n">
        <v>4.392</v>
      </c>
      <c r="S54" s="1997" t="n">
        <v>4.389</v>
      </c>
      <c r="T54" s="1997" t="n">
        <v>0.26</v>
      </c>
      <c r="U54" s="1997" t="n">
        <v>0</v>
      </c>
      <c r="V54" s="1999" t="n">
        <v>0.334</v>
      </c>
      <c r="W54" s="384" t="n">
        <f aca="false">X54+AD54</f>
        <v>20.47</v>
      </c>
      <c r="X54" s="2204" t="n">
        <f aca="false">Y54+Z54+AA54+AB54</f>
        <v>5.325</v>
      </c>
      <c r="Y54" s="2008" t="n">
        <v>2.222</v>
      </c>
      <c r="Z54" s="2008" t="n">
        <v>1.122</v>
      </c>
      <c r="AA54" s="2008" t="n">
        <v>1.72</v>
      </c>
      <c r="AB54" s="2009" t="n">
        <v>0.261</v>
      </c>
      <c r="AC54" s="384" t="n">
        <v>0.458</v>
      </c>
      <c r="AD54" s="2204" t="n">
        <f aca="false">AE54+AF54</f>
        <v>15.145</v>
      </c>
      <c r="AE54" s="2008" t="n">
        <v>11.124</v>
      </c>
      <c r="AF54" s="2023" t="n">
        <v>4.021</v>
      </c>
      <c r="AG54" s="2206"/>
      <c r="AH54" s="387"/>
      <c r="AI54" s="1999"/>
      <c r="AJ54" s="2009" t="n">
        <v>5.741</v>
      </c>
      <c r="AK54" s="2207" t="n">
        <v>9551</v>
      </c>
      <c r="AL54" s="2207" t="e">
        <f aca="false">NA()</f>
        <v>#N/A</v>
      </c>
      <c r="AM54" s="2207" t="e">
        <f aca="false">NA()</f>
        <v>#N/A</v>
      </c>
      <c r="AN54" s="2208" t="n">
        <v>1.66</v>
      </c>
      <c r="AO54" s="2023" t="n">
        <v>0.274</v>
      </c>
      <c r="AP54" s="2023" t="n">
        <v>0.263</v>
      </c>
      <c r="AQ54" s="2023" t="n">
        <v>0</v>
      </c>
      <c r="AR54" s="2023" t="n">
        <v>0.751</v>
      </c>
      <c r="AS54" s="2023" t="n">
        <f aca="false">AN54+AO54-AP54-AC54+AQ54+AR54</f>
        <v>1.964</v>
      </c>
      <c r="AT54" s="2023" t="n">
        <v>0.205</v>
      </c>
      <c r="AU54" s="2105"/>
      <c r="AV54" s="2023"/>
      <c r="AW54" s="2000" t="n">
        <f aca="false">B54+AC54-AN54-AO54+AP54</f>
        <v>21.34</v>
      </c>
      <c r="AX54" s="1997" t="n">
        <f aca="false">V54+O54</f>
        <v>2.414</v>
      </c>
      <c r="AY54" s="514" t="n">
        <f aca="false">AX54/B54</f>
        <v>0.107036757859265</v>
      </c>
      <c r="AZ54" s="2222" t="n">
        <v>12.9916666666667</v>
      </c>
      <c r="BA54" s="401"/>
      <c r="BB54" s="401" t="n">
        <v>82.2</v>
      </c>
      <c r="BC54" s="401"/>
      <c r="BD54" s="401"/>
      <c r="BE54" s="401"/>
      <c r="BF54" s="401"/>
      <c r="BG54" s="401" t="n">
        <v>83.2</v>
      </c>
      <c r="BH54" s="401" t="n">
        <v>82.2569931360248</v>
      </c>
      <c r="BI54" s="218" t="n">
        <v>49762</v>
      </c>
      <c r="BJ54" s="218" t="n">
        <f aca="false">BI54*(1-BN54)</f>
        <v>28907.4154889857</v>
      </c>
      <c r="BK54" s="401" t="n">
        <f aca="false">BI54</f>
        <v>49762</v>
      </c>
      <c r="BL54" s="401"/>
      <c r="BM54" s="401" t="n">
        <f aca="false">BJ54</f>
        <v>28907.4154889857</v>
      </c>
      <c r="BN54" s="2211" t="n">
        <f aca="false">BN53+(BN$63-BN$53)/10</f>
        <v>0.419086542160973</v>
      </c>
      <c r="BO54" s="218" t="n">
        <v>22485</v>
      </c>
      <c r="BP54" s="2221" t="n">
        <f aca="false">BO54-BQ54</f>
        <v>16898.3076923077</v>
      </c>
      <c r="BQ54" s="2221" t="n">
        <f aca="false">BQ53+(BQ$58-BQ$45)/13</f>
        <v>5586.69230769231</v>
      </c>
      <c r="BR54" s="1319" t="n">
        <f aca="false">BQ54/BO54</f>
        <v>0.248463077949402</v>
      </c>
      <c r="BS54" s="401" t="n">
        <f aca="false">BT54+CA54+CB54-CC54</f>
        <v>147.6919</v>
      </c>
      <c r="BT54" s="115" t="n">
        <f aca="false">BU54+BW54+BX54+BY54</f>
        <v>124.25</v>
      </c>
      <c r="BU54" s="115" t="n">
        <v>46</v>
      </c>
      <c r="BV54" s="514" t="n">
        <f aca="false">BU54/B54</f>
        <v>2.0396399592072</v>
      </c>
      <c r="BW54" s="115" t="n">
        <v>30.55</v>
      </c>
      <c r="BX54" s="115" t="n">
        <v>24.2</v>
      </c>
      <c r="BY54" s="115" t="n">
        <v>23.5</v>
      </c>
      <c r="BZ54" s="514" t="n">
        <f aca="false">BY54/B54</f>
        <v>1.0419899791602</v>
      </c>
      <c r="CA54" s="1509" t="n">
        <f aca="false">CQ54-CW54</f>
        <v>12.2754</v>
      </c>
      <c r="CB54" s="2024" t="n">
        <v>11.1665</v>
      </c>
      <c r="CC54" s="2019" t="n">
        <v>0</v>
      </c>
      <c r="CD54" s="485" t="n">
        <v>0</v>
      </c>
      <c r="CE54" s="2215" t="n">
        <f aca="false">CB54-CC54</f>
        <v>11.1665</v>
      </c>
      <c r="CF54" s="2215" t="n">
        <f aca="false">CB54-CC54-CD54</f>
        <v>11.1665</v>
      </c>
      <c r="CG54" s="2024" t="n">
        <f aca="false">CH54-CQ54</f>
        <v>7.7098</v>
      </c>
      <c r="CH54" s="115" t="n">
        <f aca="false">CI54+CJ54+CN54</f>
        <v>19.9852</v>
      </c>
      <c r="CI54" s="1509" t="n">
        <v>4.485</v>
      </c>
      <c r="CJ54" s="1509" t="n">
        <f aca="false">CK54*CL54*CM54</f>
        <v>9.1152</v>
      </c>
      <c r="CK54" s="1509" t="n">
        <v>10.55</v>
      </c>
      <c r="CL54" s="514" t="n">
        <f aca="false">CL53+(CL$63-CL$43)/20</f>
        <v>0.864</v>
      </c>
      <c r="CM54" s="514" t="n">
        <v>1</v>
      </c>
      <c r="CN54" s="1509" t="n">
        <v>6.385</v>
      </c>
      <c r="CO54" s="2017" t="n">
        <f aca="false">CX54-CP54</f>
        <v>-12.7962</v>
      </c>
      <c r="CP54" s="2017" t="n">
        <f aca="false">CQ54+9*(CQ55-CQ54)/12</f>
        <v>12.7962</v>
      </c>
      <c r="CQ54" s="1509" t="n">
        <f aca="false">(CR53+CS54+CT54)/1000</f>
        <v>12.2754</v>
      </c>
      <c r="CR54" s="111" t="n">
        <v>1686</v>
      </c>
      <c r="CS54" s="1993" t="n">
        <f aca="false">CS53+(CS$63-CS$53)/10</f>
        <v>9386.7</v>
      </c>
      <c r="CT54" s="1993" t="n">
        <f aca="false">CT53+(CT$63-CT$53)/10</f>
        <v>1570.7</v>
      </c>
      <c r="CU54" s="485" t="n">
        <v>0</v>
      </c>
      <c r="CV54" s="2017" t="n">
        <v>12.323</v>
      </c>
      <c r="CW54" s="2217" t="n">
        <v>0</v>
      </c>
      <c r="CX54" s="2019" t="n">
        <f aca="false">CY54+(CU53+9/12*(CU54-CU53))/1000</f>
        <v>0</v>
      </c>
      <c r="CY54" s="2019" t="n">
        <f aca="false">CZ54+DA54</f>
        <v>0</v>
      </c>
      <c r="CZ54" s="2017" t="n">
        <v>0</v>
      </c>
      <c r="DA54" s="2017" t="n">
        <v>0</v>
      </c>
      <c r="DB54" s="2019" t="n">
        <v>1.688</v>
      </c>
      <c r="DC54" s="2220" t="n">
        <f aca="false">CG54+BS54</f>
        <v>155.4017</v>
      </c>
    </row>
    <row r="55" s="31" customFormat="true" ht="12" hidden="false" customHeight="false" outlineLevel="0" collapsed="false">
      <c r="A55" s="31" t="n">
        <v>1892</v>
      </c>
      <c r="B55" s="1994" t="n">
        <f aca="false">H55</f>
        <v>24.048</v>
      </c>
      <c r="C55" s="395" t="n">
        <v>29.098</v>
      </c>
      <c r="F55" s="2219" t="n">
        <v>1.3385935667616</v>
      </c>
      <c r="G55" s="2202" t="n">
        <f aca="false">B55-F55</f>
        <v>22.7094064332384</v>
      </c>
      <c r="H55" s="2000" t="n">
        <f aca="false">I55+J55+O55+Q55+T55</f>
        <v>24.048</v>
      </c>
      <c r="I55" s="1997" t="n">
        <v>18.908</v>
      </c>
      <c r="J55" s="1997" t="n">
        <v>1.828</v>
      </c>
      <c r="K55" s="1997"/>
      <c r="L55" s="1997"/>
      <c r="M55" s="514"/>
      <c r="N55" s="1997"/>
      <c r="O55" s="1997" t="n">
        <v>3.14</v>
      </c>
      <c r="P55" s="1997" t="n">
        <v>0.538269</v>
      </c>
      <c r="Q55" s="1997" t="n">
        <f aca="false">R55-S55</f>
        <v>-0.0979999999999999</v>
      </c>
      <c r="R55" s="1997" t="n">
        <v>4.13</v>
      </c>
      <c r="S55" s="1997" t="n">
        <v>4.228</v>
      </c>
      <c r="T55" s="1997" t="n">
        <v>0.27</v>
      </c>
      <c r="U55" s="1997" t="n">
        <v>0</v>
      </c>
      <c r="V55" s="1999" t="n">
        <v>0.185</v>
      </c>
      <c r="W55" s="384" t="n">
        <f aca="false">X55+AD55</f>
        <v>21.043</v>
      </c>
      <c r="X55" s="2204" t="n">
        <f aca="false">Y55+Z55+AA55+AB55</f>
        <v>5.741</v>
      </c>
      <c r="Y55" s="2008" t="n">
        <v>2.162</v>
      </c>
      <c r="Z55" s="2008" t="n">
        <v>1.176</v>
      </c>
      <c r="AA55" s="2008" t="n">
        <v>2.135</v>
      </c>
      <c r="AB55" s="2009" t="n">
        <v>0.268</v>
      </c>
      <c r="AC55" s="384" t="n">
        <v>0.471</v>
      </c>
      <c r="AD55" s="2204" t="n">
        <f aca="false">AE55+AF55</f>
        <v>15.302</v>
      </c>
      <c r="AE55" s="2008" t="n">
        <v>11.256</v>
      </c>
      <c r="AF55" s="2023" t="n">
        <v>4.046</v>
      </c>
      <c r="AG55" s="2206"/>
      <c r="AH55" s="387"/>
      <c r="AI55" s="1999"/>
      <c r="AJ55" s="2009" t="n">
        <v>6.181</v>
      </c>
      <c r="AK55" s="2207" t="n">
        <v>9543</v>
      </c>
      <c r="AL55" s="2207" t="e">
        <f aca="false">NA()</f>
        <v>#N/A</v>
      </c>
      <c r="AM55" s="2207" t="e">
        <f aca="false">NA()</f>
        <v>#N/A</v>
      </c>
      <c r="AN55" s="2208" t="n">
        <v>1.628</v>
      </c>
      <c r="AO55" s="2023" t="n">
        <v>0.281</v>
      </c>
      <c r="AP55" s="2023" t="n">
        <v>0.269</v>
      </c>
      <c r="AQ55" s="2023" t="n">
        <v>0</v>
      </c>
      <c r="AR55" s="2023" t="n">
        <v>0.771</v>
      </c>
      <c r="AS55" s="2023" t="n">
        <f aca="false">AN55+AO55-AP55-AC55+AQ55+AR55</f>
        <v>1.94</v>
      </c>
      <c r="AT55" s="2023" t="n">
        <v>0.124</v>
      </c>
      <c r="AU55" s="2105"/>
      <c r="AV55" s="2023"/>
      <c r="AW55" s="2000" t="n">
        <f aca="false">B55+AC55-AN55-AO55+AP55</f>
        <v>22.879</v>
      </c>
      <c r="AX55" s="1997" t="n">
        <f aca="false">V55+O55</f>
        <v>3.325</v>
      </c>
      <c r="AY55" s="514" t="n">
        <f aca="false">AX55/B55</f>
        <v>0.138265136393879</v>
      </c>
      <c r="AZ55" s="2222" t="n">
        <v>12.9166666666667</v>
      </c>
      <c r="BA55" s="401"/>
      <c r="BB55" s="401" t="n">
        <v>82.7</v>
      </c>
      <c r="BC55" s="401"/>
      <c r="BD55" s="401"/>
      <c r="BE55" s="401"/>
      <c r="BF55" s="401"/>
      <c r="BG55" s="401" t="n">
        <v>82.8</v>
      </c>
      <c r="BH55" s="401" t="n">
        <v>82.7734442711042</v>
      </c>
      <c r="BI55" s="218" t="n">
        <v>50266</v>
      </c>
      <c r="BJ55" s="218" t="n">
        <f aca="false">BI55*(1-BN55)</f>
        <v>29231.9829297671</v>
      </c>
      <c r="BK55" s="401" t="n">
        <f aca="false">BI55</f>
        <v>50266</v>
      </c>
      <c r="BL55" s="401"/>
      <c r="BM55" s="401" t="n">
        <f aca="false">BJ55</f>
        <v>29231.9829297671</v>
      </c>
      <c r="BN55" s="2211" t="n">
        <f aca="false">BN54+(BN$63-BN$53)/10</f>
        <v>0.418454165245551</v>
      </c>
      <c r="BO55" s="218" t="n">
        <v>22588</v>
      </c>
      <c r="BP55" s="2221" t="n">
        <f aca="false">BO55-BQ55</f>
        <v>17000.2307692308</v>
      </c>
      <c r="BQ55" s="2221" t="n">
        <f aca="false">BQ54+(BQ$58-BQ$45)/13</f>
        <v>5587.76923076923</v>
      </c>
      <c r="BR55" s="1319" t="n">
        <f aca="false">BQ55/BO55</f>
        <v>0.247377777172358</v>
      </c>
      <c r="BS55" s="401" t="n">
        <f aca="false">BT55+CA55+CB55-CC55</f>
        <v>145.0948</v>
      </c>
      <c r="BT55" s="115" t="n">
        <f aca="false">BU55+BW55+BX55+BY55</f>
        <v>120.75</v>
      </c>
      <c r="BU55" s="115" t="n">
        <v>45</v>
      </c>
      <c r="BV55" s="514" t="n">
        <f aca="false">BU55/B55</f>
        <v>1.87125748502994</v>
      </c>
      <c r="BW55" s="115" t="n">
        <v>29.5</v>
      </c>
      <c r="BX55" s="115" t="n">
        <v>22.65</v>
      </c>
      <c r="BY55" s="115" t="n">
        <v>23.6</v>
      </c>
      <c r="BZ55" s="514" t="n">
        <f aca="false">BY55/B55</f>
        <v>0.981370592149035</v>
      </c>
      <c r="CA55" s="1509" t="n">
        <f aca="false">CQ55-CW55</f>
        <v>12.9698</v>
      </c>
      <c r="CB55" s="2024" t="n">
        <v>11.375</v>
      </c>
      <c r="CC55" s="2019" t="n">
        <v>0</v>
      </c>
      <c r="CD55" s="485" t="n">
        <v>0</v>
      </c>
      <c r="CE55" s="2215" t="n">
        <f aca="false">CB55-CC55</f>
        <v>11.375</v>
      </c>
      <c r="CF55" s="2215" t="n">
        <f aca="false">CB55-CC55-CD55</f>
        <v>11.375</v>
      </c>
      <c r="CG55" s="2024" t="n">
        <f aca="false">CH55-CQ55</f>
        <v>7.0637</v>
      </c>
      <c r="CH55" s="115" t="n">
        <f aca="false">CI55+CJ55+CN55</f>
        <v>20.0335</v>
      </c>
      <c r="CI55" s="1509" t="n">
        <v>4.4</v>
      </c>
      <c r="CJ55" s="1509" t="n">
        <f aca="false">CK55*CL55*CM55</f>
        <v>8.7885</v>
      </c>
      <c r="CK55" s="1509" t="n">
        <v>10.125</v>
      </c>
      <c r="CL55" s="514" t="n">
        <f aca="false">CL54+(CL$63-CL$43)/20</f>
        <v>0.868</v>
      </c>
      <c r="CM55" s="514" t="n">
        <v>1</v>
      </c>
      <c r="CN55" s="1509" t="n">
        <v>6.845</v>
      </c>
      <c r="CO55" s="2017" t="n">
        <f aca="false">CX55-CP55</f>
        <v>-13.25585</v>
      </c>
      <c r="CP55" s="2017" t="n">
        <f aca="false">CQ55+9*(CQ56-CQ55)/12</f>
        <v>13.25585</v>
      </c>
      <c r="CQ55" s="1509" t="n">
        <f aca="false">(CR54+CS55+CT55)/1000</f>
        <v>12.9698</v>
      </c>
      <c r="CR55" s="111" t="n">
        <v>1741</v>
      </c>
      <c r="CS55" s="1993" t="n">
        <f aca="false">CS54+(CS$63-CS$53)/10</f>
        <v>9543.4</v>
      </c>
      <c r="CT55" s="1993" t="n">
        <f aca="false">CT54+(CT$63-CT$53)/10</f>
        <v>1740.4</v>
      </c>
      <c r="CU55" s="485" t="n">
        <v>0</v>
      </c>
      <c r="CV55" s="2017" t="n">
        <v>12.702</v>
      </c>
      <c r="CW55" s="2217" t="n">
        <v>0</v>
      </c>
      <c r="CX55" s="2019" t="n">
        <f aca="false">CY55+(CU54+9/12*(CU55-CU54))/1000</f>
        <v>0</v>
      </c>
      <c r="CY55" s="2019" t="n">
        <f aca="false">CZ55+DA55</f>
        <v>0</v>
      </c>
      <c r="CZ55" s="2017" t="n">
        <v>0</v>
      </c>
      <c r="DA55" s="2017" t="n">
        <v>0</v>
      </c>
      <c r="DB55" s="2019" t="n">
        <v>1.662</v>
      </c>
      <c r="DC55" s="2220" t="n">
        <f aca="false">CG55+BS55</f>
        <v>152.1585</v>
      </c>
    </row>
    <row r="56" customFormat="false" ht="12" hidden="false" customHeight="false" outlineLevel="0" collapsed="false">
      <c r="A56" s="31" t="n">
        <v>1893</v>
      </c>
      <c r="B56" s="1994" t="n">
        <f aca="false">H56</f>
        <v>24.338</v>
      </c>
      <c r="C56" s="395" t="n">
        <v>31.293</v>
      </c>
      <c r="D56" s="31"/>
      <c r="E56" s="31"/>
      <c r="F56" s="2219" t="n">
        <v>1.47835839306551</v>
      </c>
      <c r="G56" s="2202" t="n">
        <f aca="false">B56-F56</f>
        <v>22.8596416069345</v>
      </c>
      <c r="H56" s="2000" t="n">
        <f aca="false">I56+J56+O56+Q56+T56</f>
        <v>24.338</v>
      </c>
      <c r="I56" s="1997" t="n">
        <v>19.132</v>
      </c>
      <c r="J56" s="1997" t="n">
        <v>1.934</v>
      </c>
      <c r="K56" s="1997"/>
      <c r="L56" s="1997"/>
      <c r="M56" s="514"/>
      <c r="N56" s="1997"/>
      <c r="O56" s="1997" t="n">
        <v>2.93</v>
      </c>
      <c r="P56" s="1997" t="n">
        <v>0.480562</v>
      </c>
      <c r="Q56" s="1997" t="n">
        <f aca="false">R56-S56</f>
        <v>0.0619999999999994</v>
      </c>
      <c r="R56" s="1997" t="n">
        <v>4.196</v>
      </c>
      <c r="S56" s="1997" t="n">
        <v>4.134</v>
      </c>
      <c r="T56" s="1997" t="n">
        <v>0.28</v>
      </c>
      <c r="U56" s="1997" t="n">
        <v>0</v>
      </c>
      <c r="V56" s="1999" t="n">
        <v>0.361</v>
      </c>
      <c r="W56" s="384" t="n">
        <f aca="false">X56+AD56</f>
        <v>21.144</v>
      </c>
      <c r="X56" s="2204" t="n">
        <f aca="false">Y56+Z56+AA56+AB56</f>
        <v>5.692</v>
      </c>
      <c r="Y56" s="2008" t="n">
        <v>2.225</v>
      </c>
      <c r="Z56" s="2008" t="n">
        <v>1.225</v>
      </c>
      <c r="AA56" s="2008" t="n">
        <v>1.959</v>
      </c>
      <c r="AB56" s="2009" t="n">
        <v>0.283</v>
      </c>
      <c r="AC56" s="384" t="n">
        <v>0.494</v>
      </c>
      <c r="AD56" s="2204" t="n">
        <f aca="false">AE56+AF56</f>
        <v>15.452</v>
      </c>
      <c r="AE56" s="2008" t="n">
        <v>11.348</v>
      </c>
      <c r="AF56" s="2023" t="n">
        <v>4.104</v>
      </c>
      <c r="AG56" s="2206"/>
      <c r="AH56" s="387"/>
      <c r="AI56" s="1999"/>
      <c r="AJ56" s="2009" t="n">
        <v>6.033</v>
      </c>
      <c r="AK56" s="2207" t="n">
        <v>9656</v>
      </c>
      <c r="AL56" s="2207" t="e">
        <f aca="false">NA()</f>
        <v>#N/A</v>
      </c>
      <c r="AM56" s="2207" t="e">
        <f aca="false">NA()</f>
        <v>#N/A</v>
      </c>
      <c r="AN56" s="2208" t="n">
        <v>1.667</v>
      </c>
      <c r="AO56" s="2023" t="n">
        <v>0.289</v>
      </c>
      <c r="AP56" s="2023" t="n">
        <v>0.287</v>
      </c>
      <c r="AQ56" s="2023" t="n">
        <v>0</v>
      </c>
      <c r="AR56" s="2023" t="n">
        <v>0.834</v>
      </c>
      <c r="AS56" s="2023" t="n">
        <f aca="false">AN56+AO56-AP56-AC56+AQ56+AR56</f>
        <v>2.009</v>
      </c>
      <c r="AT56" s="2023" t="n">
        <v>0.088</v>
      </c>
      <c r="AU56" s="2105"/>
      <c r="AV56" s="2023"/>
      <c r="AW56" s="2000" t="n">
        <f aca="false">B56+AC56-AN56-AO56+AP56</f>
        <v>23.163</v>
      </c>
      <c r="AX56" s="1997" t="n">
        <f aca="false">V56+O56</f>
        <v>3.291</v>
      </c>
      <c r="AY56" s="514" t="n">
        <f aca="false">AX56/B56</f>
        <v>0.135220642616485</v>
      </c>
      <c r="AZ56" s="2222" t="n">
        <v>12.7333333333333</v>
      </c>
      <c r="BA56" s="401"/>
      <c r="BB56" s="401" t="n">
        <v>77.8</v>
      </c>
      <c r="BC56" s="401"/>
      <c r="BD56" s="401"/>
      <c r="BE56" s="401"/>
      <c r="BF56" s="401"/>
      <c r="BG56" s="401" t="n">
        <v>78.1</v>
      </c>
      <c r="BH56" s="401" t="n">
        <v>77.9242709618757</v>
      </c>
      <c r="BI56" s="218" t="n">
        <v>50757</v>
      </c>
      <c r="BJ56" s="218" t="n">
        <f aca="false">BI56*(1-BN56)</f>
        <v>29549.6194897276</v>
      </c>
      <c r="BK56" s="401" t="n">
        <f aca="false">BI56</f>
        <v>50757</v>
      </c>
      <c r="BL56" s="401"/>
      <c r="BM56" s="401" t="n">
        <f aca="false">BJ56</f>
        <v>29549.6194897276</v>
      </c>
      <c r="BN56" s="2211" t="n">
        <f aca="false">BN55+(BN$63-BN$53)/10</f>
        <v>0.417821788330129</v>
      </c>
      <c r="BO56" s="218" t="n">
        <v>22738</v>
      </c>
      <c r="BP56" s="2221" t="n">
        <f aca="false">BO56-BQ56</f>
        <v>17149.1538461538</v>
      </c>
      <c r="BQ56" s="2221" t="n">
        <f aca="false">BQ55+(BQ$58-BQ$45)/13</f>
        <v>5588.84615384615</v>
      </c>
      <c r="BR56" s="1319" t="n">
        <f aca="false">BQ56/BO56</f>
        <v>0.245793216371104</v>
      </c>
      <c r="BS56" s="401" t="n">
        <f aca="false">BT56+CA56+CB56-CC56</f>
        <v>143.9832</v>
      </c>
      <c r="BT56" s="115" t="n">
        <f aca="false">BU56+BW56+BX56+BY56</f>
        <v>119</v>
      </c>
      <c r="BU56" s="115" t="n">
        <v>44.35</v>
      </c>
      <c r="BV56" s="514" t="n">
        <f aca="false">BU56/B56</f>
        <v>1.82225326649684</v>
      </c>
      <c r="BW56" s="115" t="n">
        <v>28.8</v>
      </c>
      <c r="BX56" s="115" t="n">
        <v>22.1</v>
      </c>
      <c r="BY56" s="115" t="n">
        <v>23.75</v>
      </c>
      <c r="BZ56" s="514" t="n">
        <f aca="false">BY56/B56</f>
        <v>0.975840249815104</v>
      </c>
      <c r="CA56" s="1509" t="n">
        <f aca="false">CQ56-CW56</f>
        <v>13.3512</v>
      </c>
      <c r="CB56" s="2024" t="n">
        <v>11.632</v>
      </c>
      <c r="CC56" s="2019" t="n">
        <v>0</v>
      </c>
      <c r="CD56" s="485" t="n">
        <v>0</v>
      </c>
      <c r="CE56" s="2215" t="n">
        <f aca="false">CB56-CC56</f>
        <v>11.632</v>
      </c>
      <c r="CF56" s="2215" t="n">
        <f aca="false">CB56-CC56-CD56</f>
        <v>11.632</v>
      </c>
      <c r="CG56" s="2024" t="n">
        <f aca="false">CH56-CQ56</f>
        <v>6.31324</v>
      </c>
      <c r="CH56" s="115" t="n">
        <f aca="false">CI56+CJ56+CN56</f>
        <v>19.66444</v>
      </c>
      <c r="CI56" s="1509" t="n">
        <v>4.335</v>
      </c>
      <c r="CJ56" s="1509" t="n">
        <f aca="false">CK56*CL56*CM56</f>
        <v>8.51944</v>
      </c>
      <c r="CK56" s="1509" t="n">
        <v>9.77</v>
      </c>
      <c r="CL56" s="514" t="n">
        <f aca="false">CL55+(CL$63-CL$43)/20</f>
        <v>0.872</v>
      </c>
      <c r="CM56" s="514" t="n">
        <v>1</v>
      </c>
      <c r="CN56" s="1509" t="n">
        <v>6.81</v>
      </c>
      <c r="CO56" s="2017" t="n">
        <f aca="false">CX56-CP56</f>
        <v>-13.72725</v>
      </c>
      <c r="CP56" s="2017" t="n">
        <f aca="false">CQ56+9*(CQ57-CQ56)/12</f>
        <v>13.72725</v>
      </c>
      <c r="CQ56" s="1509" t="n">
        <f aca="false">(CR55+CS56+CT56)/1000</f>
        <v>13.3512</v>
      </c>
      <c r="CR56" s="115" t="n">
        <v>1916</v>
      </c>
      <c r="CS56" s="1993" t="n">
        <f aca="false">CS55+(CS$63-CS$53)/10</f>
        <v>9700.1</v>
      </c>
      <c r="CT56" s="1993" t="n">
        <f aca="false">CT55+(CT$63-CT$53)/10</f>
        <v>1910.1</v>
      </c>
      <c r="CU56" s="485" t="n">
        <v>0</v>
      </c>
      <c r="CV56" s="2017" t="n">
        <v>13.171</v>
      </c>
      <c r="CW56" s="2217" t="n">
        <v>0</v>
      </c>
      <c r="CX56" s="2019" t="n">
        <f aca="false">CY56+(CU55+9/12*(CU56-CU55))/1000</f>
        <v>0</v>
      </c>
      <c r="CY56" s="2019" t="n">
        <f aca="false">CZ56+DA56</f>
        <v>0</v>
      </c>
      <c r="CZ56" s="2017" t="n">
        <v>0</v>
      </c>
      <c r="DA56" s="2017" t="n">
        <v>0</v>
      </c>
      <c r="DB56" s="2019" t="n">
        <v>1.652</v>
      </c>
      <c r="DC56" s="2220" t="n">
        <f aca="false">CG56+BS56</f>
        <v>150.29644</v>
      </c>
    </row>
    <row r="57" customFormat="false" ht="12" hidden="false" customHeight="false" outlineLevel="0" collapsed="false">
      <c r="A57" s="31" t="n">
        <v>1894</v>
      </c>
      <c r="B57" s="1994" t="n">
        <f aca="false">H57</f>
        <v>24.104</v>
      </c>
      <c r="C57" s="395" t="n">
        <v>31.497</v>
      </c>
      <c r="D57" s="31"/>
      <c r="E57" s="31"/>
      <c r="F57" s="2219" t="n">
        <v>1.54952107925801</v>
      </c>
      <c r="G57" s="2202" t="n">
        <f aca="false">B57-F57</f>
        <v>22.554478920742</v>
      </c>
      <c r="H57" s="2000" t="n">
        <f aca="false">I57+J57+O57+Q57+T57</f>
        <v>24.104</v>
      </c>
      <c r="I57" s="1997" t="n">
        <v>19.256</v>
      </c>
      <c r="J57" s="1997" t="n">
        <v>1.934</v>
      </c>
      <c r="K57" s="1997"/>
      <c r="L57" s="1997"/>
      <c r="M57" s="514"/>
      <c r="N57" s="1997"/>
      <c r="O57" s="1997" t="n">
        <v>2.53</v>
      </c>
      <c r="P57" s="1997" t="n">
        <v>0.410914</v>
      </c>
      <c r="Q57" s="1997" t="n">
        <f aca="false">R57-S57</f>
        <v>0.0839999999999996</v>
      </c>
      <c r="R57" s="1997" t="n">
        <v>4.369</v>
      </c>
      <c r="S57" s="1997" t="n">
        <v>4.285</v>
      </c>
      <c r="T57" s="1997" t="n">
        <v>0.3</v>
      </c>
      <c r="U57" s="1997" t="n">
        <v>0</v>
      </c>
      <c r="V57" s="1999" t="n">
        <v>0.641</v>
      </c>
      <c r="W57" s="384" t="n">
        <f aca="false">X57+AD57</f>
        <v>21.297</v>
      </c>
      <c r="X57" s="2204" t="n">
        <f aca="false">Y57+Z57+AA57+AB57</f>
        <v>5.528</v>
      </c>
      <c r="Y57" s="2008" t="n">
        <v>2.256</v>
      </c>
      <c r="Z57" s="2008" t="n">
        <v>1.27</v>
      </c>
      <c r="AA57" s="2008" t="n">
        <v>1.703</v>
      </c>
      <c r="AB57" s="2009" t="n">
        <v>0.299</v>
      </c>
      <c r="AC57" s="384" t="n">
        <v>0.508</v>
      </c>
      <c r="AD57" s="2204" t="n">
        <f aca="false">AE57+AF57</f>
        <v>15.769</v>
      </c>
      <c r="AE57" s="2008" t="n">
        <v>11.502</v>
      </c>
      <c r="AF57" s="2023" t="n">
        <v>4.267</v>
      </c>
      <c r="AG57" s="2206"/>
      <c r="AH57" s="387"/>
      <c r="AI57" s="1999"/>
      <c r="AJ57" s="2009" t="n">
        <v>5.97</v>
      </c>
      <c r="AK57" s="2207" t="n">
        <v>9765</v>
      </c>
      <c r="AL57" s="2207" t="e">
        <f aca="false">NA()</f>
        <v>#N/A</v>
      </c>
      <c r="AM57" s="2207" t="e">
        <f aca="false">NA()</f>
        <v>#N/A</v>
      </c>
      <c r="AN57" s="2208" t="n">
        <v>1.768</v>
      </c>
      <c r="AO57" s="2023" t="n">
        <v>0.297</v>
      </c>
      <c r="AP57" s="2023" t="n">
        <v>0.301</v>
      </c>
      <c r="AQ57" s="2023" t="n">
        <v>0</v>
      </c>
      <c r="AR57" s="2023" t="n">
        <v>0.838</v>
      </c>
      <c r="AS57" s="2023" t="n">
        <f aca="false">AN57+AO57-AP57-AC57+AQ57+AR57</f>
        <v>2.094</v>
      </c>
      <c r="AT57" s="2023" t="n">
        <v>0.174</v>
      </c>
      <c r="AU57" s="2105"/>
      <c r="AV57" s="2023"/>
      <c r="AW57" s="2000" t="n">
        <f aca="false">B57+AC57-AN57-AO57+AP57</f>
        <v>22.848</v>
      </c>
      <c r="AX57" s="1997" t="n">
        <f aca="false">V57+O57</f>
        <v>3.171</v>
      </c>
      <c r="AY57" s="514" t="n">
        <f aca="false">AX57/B57</f>
        <v>0.131554928642549</v>
      </c>
      <c r="AZ57" s="2222" t="n">
        <v>12.55</v>
      </c>
      <c r="BA57" s="401"/>
      <c r="BB57" s="401" t="n">
        <v>76.8</v>
      </c>
      <c r="BC57" s="401"/>
      <c r="BD57" s="401"/>
      <c r="BE57" s="401"/>
      <c r="BF57" s="401"/>
      <c r="BG57" s="401" t="n">
        <v>77</v>
      </c>
      <c r="BH57" s="401" t="n">
        <v>77.3142112125163</v>
      </c>
      <c r="BI57" s="218" t="n">
        <v>51340</v>
      </c>
      <c r="BJ57" s="218" t="n">
        <f aca="false">BI57*(1-BN57)</f>
        <v>29921.4956179689</v>
      </c>
      <c r="BK57" s="401" t="n">
        <f aca="false">BI57</f>
        <v>51340</v>
      </c>
      <c r="BL57" s="401"/>
      <c r="BM57" s="401" t="n">
        <f aca="false">BJ57</f>
        <v>29921.4956179689</v>
      </c>
      <c r="BN57" s="2211" t="n">
        <f aca="false">BN56+(BN$63-BN$53)/10</f>
        <v>0.417189411414707</v>
      </c>
      <c r="BO57" s="218" t="n">
        <v>23070</v>
      </c>
      <c r="BP57" s="2221" t="n">
        <f aca="false">BO57-BQ57</f>
        <v>17480.0769230769</v>
      </c>
      <c r="BQ57" s="2221" t="n">
        <f aca="false">BQ56+(BQ$58-BQ$45)/13</f>
        <v>5589.92307692307</v>
      </c>
      <c r="BR57" s="1319" t="n">
        <f aca="false">BQ57/BO57</f>
        <v>0.242302690807242</v>
      </c>
      <c r="BS57" s="401" t="n">
        <f aca="false">BT57+CA57+CB57-CC57</f>
        <v>144.5476</v>
      </c>
      <c r="BT57" s="115" t="n">
        <f aca="false">BU57+BW57+BX57+BY57</f>
        <v>118.7</v>
      </c>
      <c r="BU57" s="115" t="n">
        <v>44.05</v>
      </c>
      <c r="BV57" s="514" t="n">
        <f aca="false">BU57/B57</f>
        <v>1.82749751078659</v>
      </c>
      <c r="BW57" s="115" t="n">
        <v>28.2</v>
      </c>
      <c r="BX57" s="115" t="n">
        <v>22.25</v>
      </c>
      <c r="BY57" s="115" t="n">
        <v>24.2</v>
      </c>
      <c r="BZ57" s="514" t="n">
        <f aca="false">BY57/B57</f>
        <v>1.0039827414537</v>
      </c>
      <c r="CA57" s="1509" t="n">
        <f aca="false">CQ57-CW57</f>
        <v>13.8526</v>
      </c>
      <c r="CB57" s="2024" t="n">
        <v>11.995</v>
      </c>
      <c r="CC57" s="2019" t="n">
        <v>0</v>
      </c>
      <c r="CD57" s="485" t="n">
        <v>0</v>
      </c>
      <c r="CE57" s="2215" t="n">
        <f aca="false">CB57-CC57</f>
        <v>11.995</v>
      </c>
      <c r="CF57" s="2215" t="n">
        <f aca="false">CB57-CC57-CD57</f>
        <v>11.995</v>
      </c>
      <c r="CG57" s="2024" t="n">
        <f aca="false">CH57-CQ57</f>
        <v>5.75261999999999</v>
      </c>
      <c r="CH57" s="115" t="n">
        <f aca="false">CI57+CJ57+CN57</f>
        <v>19.60522</v>
      </c>
      <c r="CI57" s="1509" t="n">
        <v>4.35</v>
      </c>
      <c r="CJ57" s="1509" t="n">
        <f aca="false">CK57*CL57*CM57</f>
        <v>8.40522</v>
      </c>
      <c r="CK57" s="1509" t="n">
        <v>9.595</v>
      </c>
      <c r="CL57" s="514" t="n">
        <f aca="false">CL56+(CL$63-CL$43)/20</f>
        <v>0.876</v>
      </c>
      <c r="CM57" s="514" t="n">
        <v>1</v>
      </c>
      <c r="CN57" s="1509" t="n">
        <v>6.85</v>
      </c>
      <c r="CO57" s="2017" t="n">
        <f aca="false">CX57-CP57</f>
        <v>-14.22115</v>
      </c>
      <c r="CP57" s="2017" t="n">
        <f aca="false">CQ57+9*(CQ58-CQ57)/12</f>
        <v>14.22115</v>
      </c>
      <c r="CQ57" s="1509" t="n">
        <f aca="false">(CR56+CS57+CT57)/1000</f>
        <v>13.8526</v>
      </c>
      <c r="CR57" s="115" t="n">
        <v>2081</v>
      </c>
      <c r="CS57" s="1993" t="n">
        <f aca="false">CS56+(CS$63-CS$53)/10</f>
        <v>9856.8</v>
      </c>
      <c r="CT57" s="1993" t="n">
        <f aca="false">CT56+(CT$63-CT$53)/10</f>
        <v>2079.8</v>
      </c>
      <c r="CU57" s="485" t="n">
        <v>0</v>
      </c>
      <c r="CV57" s="2017" t="n">
        <v>13.491</v>
      </c>
      <c r="CW57" s="2217" t="n">
        <v>0</v>
      </c>
      <c r="CX57" s="2019" t="n">
        <f aca="false">CY57+(CU56+9/12*(CU57-CU56))/1000</f>
        <v>0</v>
      </c>
      <c r="CY57" s="2019" t="n">
        <f aca="false">CZ57+DA57</f>
        <v>0</v>
      </c>
      <c r="CZ57" s="2017" t="n">
        <v>0</v>
      </c>
      <c r="DA57" s="2017" t="n">
        <v>0</v>
      </c>
      <c r="DB57" s="2019" t="n">
        <v>1.816</v>
      </c>
      <c r="DC57" s="2220" t="n">
        <f aca="false">CG57+BS57</f>
        <v>150.30022</v>
      </c>
    </row>
    <row r="58" customFormat="false" ht="12" hidden="false" customHeight="false" outlineLevel="0" collapsed="false">
      <c r="A58" s="31" t="n">
        <v>1895</v>
      </c>
      <c r="B58" s="1994" t="n">
        <f aca="false">H58</f>
        <v>25.235</v>
      </c>
      <c r="C58" s="395" t="n">
        <v>32.812</v>
      </c>
      <c r="D58" s="31"/>
      <c r="E58" s="31"/>
      <c r="F58" s="2219" t="n">
        <v>1.61784476461853</v>
      </c>
      <c r="G58" s="2202" t="n">
        <f aca="false">B58-F58</f>
        <v>23.6171552353815</v>
      </c>
      <c r="H58" s="2000" t="n">
        <f aca="false">I58+J58+O58+Q58+T58</f>
        <v>25.235</v>
      </c>
      <c r="I58" s="1997" t="n">
        <v>20.128</v>
      </c>
      <c r="J58" s="1997" t="n">
        <v>1.959</v>
      </c>
      <c r="K58" s="1997"/>
      <c r="L58" s="1997"/>
      <c r="M58" s="514"/>
      <c r="N58" s="1997"/>
      <c r="O58" s="1997" t="n">
        <v>2.83</v>
      </c>
      <c r="P58" s="1997" t="n">
        <v>0.537</v>
      </c>
      <c r="Q58" s="1997" t="n">
        <f aca="false">R58-S58</f>
        <v>0.00799999999999912</v>
      </c>
      <c r="R58" s="1997" t="n">
        <v>4.254</v>
      </c>
      <c r="S58" s="1997" t="n">
        <v>4.246</v>
      </c>
      <c r="T58" s="1997" t="n">
        <v>0.31</v>
      </c>
      <c r="U58" s="1997" t="n">
        <v>0</v>
      </c>
      <c r="V58" s="1999" t="n">
        <v>0.337</v>
      </c>
      <c r="W58" s="384" t="n">
        <f aca="false">X58+AD58</f>
        <v>21.784</v>
      </c>
      <c r="X58" s="2204" t="n">
        <f aca="false">Y58+Z58+AA58+AB58</f>
        <v>5.591</v>
      </c>
      <c r="Y58" s="2008" t="n">
        <v>2.476</v>
      </c>
      <c r="Z58" s="2008" t="n">
        <v>1.311</v>
      </c>
      <c r="AA58" s="2008" t="n">
        <v>1.491</v>
      </c>
      <c r="AB58" s="2009" t="n">
        <v>0.313</v>
      </c>
      <c r="AC58" s="384" t="n">
        <v>0.52</v>
      </c>
      <c r="AD58" s="2204" t="n">
        <f aca="false">AE58+AF58</f>
        <v>16.193</v>
      </c>
      <c r="AE58" s="2008" t="n">
        <v>11.847</v>
      </c>
      <c r="AF58" s="2023" t="n">
        <v>4.346</v>
      </c>
      <c r="AG58" s="2206"/>
      <c r="AH58" s="387"/>
      <c r="AI58" s="1999"/>
      <c r="AJ58" s="2009" t="n">
        <v>5.837</v>
      </c>
      <c r="AK58" s="2207" t="n">
        <v>9788</v>
      </c>
      <c r="AL58" s="2207" t="n">
        <v>2564</v>
      </c>
      <c r="AM58" s="2207" t="n">
        <v>5591</v>
      </c>
      <c r="AN58" s="2208" t="n">
        <v>1.79</v>
      </c>
      <c r="AO58" s="2023" t="n">
        <v>0.304</v>
      </c>
      <c r="AP58" s="2023" t="n">
        <v>0.318</v>
      </c>
      <c r="AQ58" s="2023" t="n">
        <v>0</v>
      </c>
      <c r="AR58" s="2023" t="n">
        <v>0.932</v>
      </c>
      <c r="AS58" s="2023" t="n">
        <f aca="false">AN58+AO58-AP58-AC58+AQ58+AR58</f>
        <v>2.188</v>
      </c>
      <c r="AT58" s="2023" t="n">
        <v>0.244</v>
      </c>
      <c r="AU58" s="2105"/>
      <c r="AV58" s="2023"/>
      <c r="AW58" s="2000" t="n">
        <f aca="false">B58+AC58-AN58-AO58+AP58</f>
        <v>23.979</v>
      </c>
      <c r="AX58" s="1997" t="n">
        <f aca="false">V58+O58</f>
        <v>3.167</v>
      </c>
      <c r="AY58" s="514" t="n">
        <f aca="false">AX58/B58</f>
        <v>0.125500297206261</v>
      </c>
      <c r="AZ58" s="2222" t="n">
        <v>12.4666666666667</v>
      </c>
      <c r="BA58" s="401"/>
      <c r="BB58" s="401" t="n">
        <v>77.1</v>
      </c>
      <c r="BC58" s="401"/>
      <c r="BD58" s="401"/>
      <c r="BE58" s="401"/>
      <c r="BF58" s="401"/>
      <c r="BG58" s="401" t="n">
        <v>77.2</v>
      </c>
      <c r="BH58" s="401" t="n">
        <v>77.0160417890149</v>
      </c>
      <c r="BI58" s="218" t="n">
        <v>52001</v>
      </c>
      <c r="BJ58" s="218" t="n">
        <f aca="false">BI58*(1-BN58)</f>
        <v>30339.6176490027</v>
      </c>
      <c r="BK58" s="401" t="n">
        <f aca="false">BI58</f>
        <v>52001</v>
      </c>
      <c r="BL58" s="401"/>
      <c r="BM58" s="401" t="n">
        <f aca="false">BJ58</f>
        <v>30339.6176490027</v>
      </c>
      <c r="BN58" s="2211" t="n">
        <f aca="false">BN57+(BN$63-BN$53)/10</f>
        <v>0.416557034499285</v>
      </c>
      <c r="BO58" s="218" t="n">
        <v>23405</v>
      </c>
      <c r="BP58" s="218" t="n">
        <f aca="false">BO58-BQ58</f>
        <v>17814</v>
      </c>
      <c r="BQ58" s="218" t="n">
        <v>5591</v>
      </c>
      <c r="BR58" s="1319" t="n">
        <f aca="false">BQ58/BO58</f>
        <v>0.23888058107242</v>
      </c>
      <c r="BS58" s="401" t="n">
        <f aca="false">BT58+CA58+CB58-CC58</f>
        <v>146.89</v>
      </c>
      <c r="BT58" s="115" t="n">
        <f aca="false">BU58+BW58+BX58+BY58</f>
        <v>120.2</v>
      </c>
      <c r="BU58" s="115" t="n">
        <v>43.75</v>
      </c>
      <c r="BV58" s="514" t="n">
        <f aca="false">BU58/B58</f>
        <v>1.73370319001387</v>
      </c>
      <c r="BW58" s="115" t="n">
        <v>28.15</v>
      </c>
      <c r="BX58" s="115" t="n">
        <v>23.2</v>
      </c>
      <c r="BY58" s="115" t="n">
        <v>25.1</v>
      </c>
      <c r="BZ58" s="514" t="n">
        <f aca="false">BY58/B58</f>
        <v>0.994650287299386</v>
      </c>
      <c r="CA58" s="1509" t="n">
        <f aca="false">CQ58-CW58</f>
        <v>14.344</v>
      </c>
      <c r="CB58" s="2024" t="n">
        <v>12.346</v>
      </c>
      <c r="CC58" s="2019" t="n">
        <v>0</v>
      </c>
      <c r="CD58" s="485" t="n">
        <v>0</v>
      </c>
      <c r="CE58" s="2215" t="n">
        <f aca="false">CB58-CC58</f>
        <v>12.346</v>
      </c>
      <c r="CF58" s="2215" t="n">
        <f aca="false">CB58-CC58-CD58</f>
        <v>12.346</v>
      </c>
      <c r="CG58" s="2024" t="n">
        <f aca="false">CH58-CQ58</f>
        <v>5.7612</v>
      </c>
      <c r="CH58" s="115" t="n">
        <f aca="false">CI58+CJ58+CN58</f>
        <v>20.1052</v>
      </c>
      <c r="CI58" s="1509" t="n">
        <v>4.465</v>
      </c>
      <c r="CJ58" s="1509" t="n">
        <f aca="false">CK58*CL58*CM58</f>
        <v>8.6152</v>
      </c>
      <c r="CK58" s="1509" t="n">
        <v>9.79</v>
      </c>
      <c r="CL58" s="514" t="n">
        <f aca="false">CL57+(CL$63-CL$43)/20</f>
        <v>0.88</v>
      </c>
      <c r="CM58" s="514" t="n">
        <v>1</v>
      </c>
      <c r="CN58" s="1509" t="n">
        <v>7.025</v>
      </c>
      <c r="CO58" s="2017" t="n">
        <f aca="false">CX58-CP58</f>
        <v>-14.6218</v>
      </c>
      <c r="CP58" s="2017" t="n">
        <f aca="false">CQ58+9*(CQ59-CQ58)/12</f>
        <v>14.6218</v>
      </c>
      <c r="CQ58" s="1509" t="n">
        <f aca="false">(CR57+CS58+CT58)/1000</f>
        <v>14.344</v>
      </c>
      <c r="CR58" s="115" t="n">
        <v>2125</v>
      </c>
      <c r="CS58" s="1993" t="n">
        <f aca="false">CS57+(CS$63-CS$53)/10</f>
        <v>10013.5</v>
      </c>
      <c r="CT58" s="1993" t="n">
        <f aca="false">CT57+(CT$63-CT$53)/10</f>
        <v>2249.5</v>
      </c>
      <c r="CU58" s="485" t="n">
        <v>0</v>
      </c>
      <c r="CV58" s="2017" t="n">
        <v>13.883</v>
      </c>
      <c r="CW58" s="2217" t="n">
        <v>0</v>
      </c>
      <c r="CX58" s="2019" t="n">
        <f aca="false">CY58+(CU57+9/12*(CU58-CU57))/1000</f>
        <v>0</v>
      </c>
      <c r="CY58" s="2019" t="n">
        <f aca="false">CZ58+DA58</f>
        <v>0</v>
      </c>
      <c r="CZ58" s="2017" t="n">
        <v>0</v>
      </c>
      <c r="DA58" s="2017" t="n">
        <v>0</v>
      </c>
      <c r="DB58" s="2019" t="n">
        <v>1.93</v>
      </c>
      <c r="DC58" s="2220" t="n">
        <f aca="false">CG58+BS58</f>
        <v>152.6512</v>
      </c>
    </row>
    <row r="59" customFormat="false" ht="12" hidden="false" customHeight="false" outlineLevel="0" collapsed="false">
      <c r="A59" s="31" t="n">
        <v>1896</v>
      </c>
      <c r="B59" s="1994" t="n">
        <f aca="false">H59</f>
        <v>26.957</v>
      </c>
      <c r="C59" s="395" t="n">
        <v>34.394</v>
      </c>
      <c r="D59" s="31"/>
      <c r="E59" s="31"/>
      <c r="F59" s="2219" t="n">
        <v>1.65024032740915</v>
      </c>
      <c r="G59" s="2202" t="n">
        <f aca="false">B59-F59</f>
        <v>25.3067596725909</v>
      </c>
      <c r="H59" s="2000" t="n">
        <f aca="false">I59+J59+O59+Q59+T59</f>
        <v>26.957</v>
      </c>
      <c r="I59" s="1997" t="n">
        <v>20.739</v>
      </c>
      <c r="J59" s="1997" t="n">
        <v>2.06</v>
      </c>
      <c r="K59" s="1997"/>
      <c r="L59" s="1997"/>
      <c r="M59" s="514"/>
      <c r="N59" s="1997"/>
      <c r="O59" s="1997" t="n">
        <v>3.59</v>
      </c>
      <c r="P59" s="1997" t="n">
        <v>0.456659</v>
      </c>
      <c r="Q59" s="1997" t="n">
        <f aca="false">R59-S59</f>
        <v>0.228</v>
      </c>
      <c r="R59" s="1997" t="n">
        <v>4.786</v>
      </c>
      <c r="S59" s="1997" t="n">
        <v>4.558</v>
      </c>
      <c r="T59" s="1997" t="n">
        <v>0.34</v>
      </c>
      <c r="U59" s="1997" t="n">
        <v>0</v>
      </c>
      <c r="V59" s="1999" t="n">
        <v>0.59</v>
      </c>
      <c r="W59" s="384" t="n">
        <f aca="false">X59+AD59</f>
        <v>22.978</v>
      </c>
      <c r="X59" s="2204" t="n">
        <f aca="false">Y59+Z59+AA59+AB59</f>
        <v>6.032</v>
      </c>
      <c r="Y59" s="2008" t="n">
        <v>2.783</v>
      </c>
      <c r="Z59" s="2008" t="n">
        <v>1.354</v>
      </c>
      <c r="AA59" s="2008" t="n">
        <v>1.559</v>
      </c>
      <c r="AB59" s="2009" t="n">
        <v>0.336</v>
      </c>
      <c r="AC59" s="384" t="n">
        <v>0.53</v>
      </c>
      <c r="AD59" s="2204" t="n">
        <f aca="false">AE59+AF59</f>
        <v>16.946</v>
      </c>
      <c r="AE59" s="2008" t="n">
        <v>12.546</v>
      </c>
      <c r="AF59" s="2023" t="n">
        <v>4.4</v>
      </c>
      <c r="AG59" s="2206"/>
      <c r="AH59" s="387"/>
      <c r="AI59" s="1999"/>
      <c r="AJ59" s="2009" t="n">
        <v>5.959</v>
      </c>
      <c r="AK59" s="2207" t="n">
        <v>9778</v>
      </c>
      <c r="AL59" s="2207" t="e">
        <f aca="false">NA()</f>
        <v>#N/A</v>
      </c>
      <c r="AM59" s="2207" t="e">
        <f aca="false">NA()</f>
        <v>#N/A</v>
      </c>
      <c r="AN59" s="2208" t="n">
        <v>1.925</v>
      </c>
      <c r="AO59" s="2023" t="n">
        <v>0.326</v>
      </c>
      <c r="AP59" s="2023" t="n">
        <v>0.336</v>
      </c>
      <c r="AQ59" s="2023" t="n">
        <v>0</v>
      </c>
      <c r="AR59" s="2023" t="n">
        <v>1.009</v>
      </c>
      <c r="AS59" s="2023" t="n">
        <f aca="false">AN59+AO59-AP59-AC59+AQ59+AR59</f>
        <v>2.394</v>
      </c>
      <c r="AT59" s="2023" t="n">
        <v>0.35</v>
      </c>
      <c r="AU59" s="2105"/>
      <c r="AV59" s="2023"/>
      <c r="AW59" s="2000" t="n">
        <f aca="false">B59+AC59-AN59-AO59+AP59</f>
        <v>25.572</v>
      </c>
      <c r="AX59" s="1997" t="n">
        <f aca="false">V59+O59</f>
        <v>4.18</v>
      </c>
      <c r="AY59" s="514" t="n">
        <f aca="false">AX59/B59</f>
        <v>0.155061765033201</v>
      </c>
      <c r="AZ59" s="2222" t="n">
        <v>12.1916666666667</v>
      </c>
      <c r="BA59" s="401"/>
      <c r="BB59" s="401" t="n">
        <v>78.3</v>
      </c>
      <c r="BC59" s="401"/>
      <c r="BD59" s="401"/>
      <c r="BE59" s="401"/>
      <c r="BF59" s="401"/>
      <c r="BG59" s="401" t="n">
        <v>78.7</v>
      </c>
      <c r="BH59" s="401" t="n">
        <v>78.5340158323909</v>
      </c>
      <c r="BI59" s="218" t="n">
        <v>52754</v>
      </c>
      <c r="BJ59" s="218" t="n">
        <f aca="false">BI59*(1-BN59)</f>
        <v>30812.3106138209</v>
      </c>
      <c r="BK59" s="401" t="n">
        <f aca="false">BI59</f>
        <v>52754</v>
      </c>
      <c r="BL59" s="401"/>
      <c r="BM59" s="401" t="n">
        <f aca="false">BJ59</f>
        <v>30812.3106138209</v>
      </c>
      <c r="BN59" s="2211" t="n">
        <f aca="false">BN58+(BN$63-BN$53)/10</f>
        <v>0.415924657583864</v>
      </c>
      <c r="BO59" s="218" t="n">
        <v>23891</v>
      </c>
      <c r="BP59" s="2221" t="n">
        <f aca="false">BO59-BQ59</f>
        <v>18289.5</v>
      </c>
      <c r="BQ59" s="2221" t="n">
        <f aca="false">BQ58+(BQ$70-BQ$58)/12</f>
        <v>5601.5</v>
      </c>
      <c r="BR59" s="1319" t="n">
        <f aca="false">BQ59/BO59</f>
        <v>0.234460675568206</v>
      </c>
      <c r="BS59" s="401" t="n">
        <f aca="false">BT59+CA59+CB59-CC59</f>
        <v>152.6534</v>
      </c>
      <c r="BT59" s="115" t="n">
        <f aca="false">BU59+BW59+BX59+BY59</f>
        <v>125.15</v>
      </c>
      <c r="BU59" s="115" t="n">
        <v>43.9</v>
      </c>
      <c r="BV59" s="514" t="n">
        <f aca="false">BU59/B59</f>
        <v>1.62851949400898</v>
      </c>
      <c r="BW59" s="115" t="n">
        <v>28.7</v>
      </c>
      <c r="BX59" s="115" t="n">
        <v>25.7</v>
      </c>
      <c r="BY59" s="115" t="n">
        <v>26.85</v>
      </c>
      <c r="BZ59" s="514" t="n">
        <f aca="false">BY59/B59</f>
        <v>0.996030715584079</v>
      </c>
      <c r="CA59" s="1509" t="n">
        <f aca="false">CQ59-CW59</f>
        <v>14.7144</v>
      </c>
      <c r="CB59" s="2024" t="n">
        <v>12.789</v>
      </c>
      <c r="CC59" s="2019" t="n">
        <v>0</v>
      </c>
      <c r="CD59" s="485" t="n">
        <v>0</v>
      </c>
      <c r="CE59" s="2215" t="n">
        <f aca="false">CB59-CC59</f>
        <v>12.789</v>
      </c>
      <c r="CF59" s="2215" t="n">
        <f aca="false">CB59-CC59-CD59</f>
        <v>12.789</v>
      </c>
      <c r="CG59" s="2024" t="n">
        <f aca="false">CH59-CQ59</f>
        <v>6.55616</v>
      </c>
      <c r="CH59" s="115" t="n">
        <f aca="false">CI59+CJ59+CN59</f>
        <v>21.27056</v>
      </c>
      <c r="CI59" s="1509" t="n">
        <v>4.74</v>
      </c>
      <c r="CJ59" s="1509" t="n">
        <f aca="false">CK59*CL59*CM59</f>
        <v>9.14056</v>
      </c>
      <c r="CK59" s="1509" t="n">
        <v>10.34</v>
      </c>
      <c r="CL59" s="514" t="n">
        <f aca="false">CL58+(CL$63-CL$43)/20</f>
        <v>0.884</v>
      </c>
      <c r="CM59" s="514" t="n">
        <v>1</v>
      </c>
      <c r="CN59" s="1509" t="n">
        <v>7.39</v>
      </c>
      <c r="CO59" s="2017" t="n">
        <f aca="false">CX59-CP59</f>
        <v>-14.9712</v>
      </c>
      <c r="CP59" s="2017" t="n">
        <f aca="false">CQ59+9*(CQ60-CQ59)/12</f>
        <v>14.9712</v>
      </c>
      <c r="CQ59" s="1509" t="n">
        <f aca="false">(CR58+CS59+CT59)/1000</f>
        <v>14.7144</v>
      </c>
      <c r="CR59" s="115" t="n">
        <v>2141</v>
      </c>
      <c r="CS59" s="1993" t="n">
        <f aca="false">CS58+(CS$63-CS$53)/10</f>
        <v>10170.2</v>
      </c>
      <c r="CT59" s="1993" t="n">
        <f aca="false">CT58+(CT$63-CT$53)/10</f>
        <v>2419.2</v>
      </c>
      <c r="CU59" s="485" t="n">
        <v>0</v>
      </c>
      <c r="CV59" s="2017" t="n">
        <v>14.083</v>
      </c>
      <c r="CW59" s="2217" t="n">
        <v>0</v>
      </c>
      <c r="CX59" s="2019" t="n">
        <f aca="false">CY59+(CU58+9/12*(CU59-CU58))/1000</f>
        <v>0</v>
      </c>
      <c r="CY59" s="2019" t="n">
        <f aca="false">CZ59+DA59</f>
        <v>0</v>
      </c>
      <c r="CZ59" s="2017" t="n">
        <v>0</v>
      </c>
      <c r="DA59" s="2017" t="n">
        <v>0</v>
      </c>
      <c r="DB59" s="2019" t="n">
        <v>1.879</v>
      </c>
      <c r="DC59" s="2220" t="n">
        <f aca="false">CG59+BS59</f>
        <v>159.20956</v>
      </c>
    </row>
    <row r="60" customFormat="false" ht="12" hidden="false" customHeight="false" outlineLevel="0" collapsed="false">
      <c r="A60" s="31" t="n">
        <v>1897</v>
      </c>
      <c r="B60" s="1994" t="n">
        <f aca="false">H60</f>
        <v>28.681</v>
      </c>
      <c r="C60" s="395" t="n">
        <v>35.842</v>
      </c>
      <c r="D60" s="31"/>
      <c r="E60" s="31"/>
      <c r="F60" s="2219" t="n">
        <v>1.68206831146606</v>
      </c>
      <c r="G60" s="2202" t="n">
        <f aca="false">B60-F60</f>
        <v>26.9989316885339</v>
      </c>
      <c r="H60" s="2000" t="n">
        <f aca="false">I60+J60+O60+Q60+T60</f>
        <v>28.681</v>
      </c>
      <c r="I60" s="1997" t="n">
        <v>21.714</v>
      </c>
      <c r="J60" s="1997" t="n">
        <v>2.184</v>
      </c>
      <c r="K60" s="1997"/>
      <c r="L60" s="1997"/>
      <c r="M60" s="514"/>
      <c r="N60" s="1997"/>
      <c r="O60" s="1997" t="n">
        <v>4.15</v>
      </c>
      <c r="P60" s="1997" t="n">
        <v>0.558348</v>
      </c>
      <c r="Q60" s="1997" t="n">
        <f aca="false">R60-S60</f>
        <v>0.273</v>
      </c>
      <c r="R60" s="1997" t="n">
        <v>5.138</v>
      </c>
      <c r="S60" s="1997" t="n">
        <v>4.865</v>
      </c>
      <c r="T60" s="1997" t="n">
        <v>0.36</v>
      </c>
      <c r="U60" s="1997" t="n">
        <v>0</v>
      </c>
      <c r="V60" s="1999" t="n">
        <v>0.666</v>
      </c>
      <c r="W60" s="384" t="n">
        <f aca="false">X60+AD60</f>
        <v>24.732</v>
      </c>
      <c r="X60" s="2204" t="n">
        <f aca="false">Y60+Z60+AA60+AB60</f>
        <v>7.023</v>
      </c>
      <c r="Y60" s="2008" t="n">
        <v>3.081</v>
      </c>
      <c r="Z60" s="2008" t="n">
        <v>1.398</v>
      </c>
      <c r="AA60" s="2008" t="n">
        <v>2.184</v>
      </c>
      <c r="AB60" s="2009" t="n">
        <v>0.36</v>
      </c>
      <c r="AC60" s="384" t="n">
        <v>0.529</v>
      </c>
      <c r="AD60" s="2204" t="n">
        <f aca="false">AE60+AF60</f>
        <v>17.709</v>
      </c>
      <c r="AE60" s="2008" t="n">
        <v>13.224</v>
      </c>
      <c r="AF60" s="2023" t="n">
        <v>4.485</v>
      </c>
      <c r="AG60" s="2206"/>
      <c r="AH60" s="387"/>
      <c r="AI60" s="1999"/>
      <c r="AJ60" s="2009" t="n">
        <v>6.669</v>
      </c>
      <c r="AK60" s="2207" t="n">
        <v>9728</v>
      </c>
      <c r="AL60" s="2207" t="e">
        <f aca="false">NA()</f>
        <v>#N/A</v>
      </c>
      <c r="AM60" s="2207" t="e">
        <f aca="false">NA()</f>
        <v>#N/A</v>
      </c>
      <c r="AN60" s="2208" t="n">
        <v>1.985</v>
      </c>
      <c r="AO60" s="2023" t="n">
        <v>0.338</v>
      </c>
      <c r="AP60" s="2023" t="n">
        <v>0.348</v>
      </c>
      <c r="AQ60" s="2023" t="n">
        <v>0</v>
      </c>
      <c r="AR60" s="2023" t="n">
        <v>1.055</v>
      </c>
      <c r="AS60" s="2023" t="n">
        <f aca="false">AN60+AO60-AP60-AC60+AQ60+AR60</f>
        <v>2.501</v>
      </c>
      <c r="AT60" s="2023" t="n">
        <v>0.333</v>
      </c>
      <c r="AU60" s="2105"/>
      <c r="AV60" s="2023"/>
      <c r="AW60" s="2000" t="n">
        <f aca="false">B60+AC60-AN60-AO60+AP60</f>
        <v>27.235</v>
      </c>
      <c r="AX60" s="1997" t="n">
        <f aca="false">V60+O60</f>
        <v>4.816</v>
      </c>
      <c r="AY60" s="514" t="n">
        <f aca="false">AX60/B60</f>
        <v>0.167916041979011</v>
      </c>
      <c r="AZ60" s="2222" t="n">
        <v>12.525</v>
      </c>
      <c r="BA60" s="401"/>
      <c r="BB60" s="401" t="n">
        <v>80.2</v>
      </c>
      <c r="BC60" s="401"/>
      <c r="BD60" s="401"/>
      <c r="BE60" s="401"/>
      <c r="BF60" s="401"/>
      <c r="BG60" s="401" t="n">
        <v>80.1</v>
      </c>
      <c r="BH60" s="401" t="n">
        <v>80.1394325552159</v>
      </c>
      <c r="BI60" s="218" t="n">
        <v>53569</v>
      </c>
      <c r="BJ60" s="218" t="n">
        <f aca="false">BI60*(1-BN60)</f>
        <v>31322.2078168722</v>
      </c>
      <c r="BK60" s="401" t="n">
        <f aca="false">BI60</f>
        <v>53569</v>
      </c>
      <c r="BL60" s="401"/>
      <c r="BM60" s="401" t="n">
        <f aca="false">BJ60</f>
        <v>31322.2078168722</v>
      </c>
      <c r="BN60" s="2211" t="n">
        <f aca="false">BN59+(BN$63-BN$53)/10</f>
        <v>0.415292280668442</v>
      </c>
      <c r="BO60" s="218" t="n">
        <v>24290</v>
      </c>
      <c r="BP60" s="2221" t="n">
        <f aca="false">BO60-BQ60</f>
        <v>18678</v>
      </c>
      <c r="BQ60" s="2221" t="n">
        <f aca="false">BQ59+(BQ$70-BQ$58)/12</f>
        <v>5612</v>
      </c>
      <c r="BR60" s="1319" t="n">
        <f aca="false">BQ60/BO60</f>
        <v>0.231041580897489</v>
      </c>
      <c r="BS60" s="401" t="n">
        <f aca="false">BT60+CA60+CB60-CC60</f>
        <v>161.6463</v>
      </c>
      <c r="BT60" s="115" t="n">
        <f aca="false">BU60+BW60+BX60+BY60</f>
        <v>133.2</v>
      </c>
      <c r="BU60" s="115" t="n">
        <v>44.65</v>
      </c>
      <c r="BV60" s="514" t="n">
        <f aca="false">BU60/B60</f>
        <v>1.55677974966005</v>
      </c>
      <c r="BW60" s="115" t="n">
        <v>30.35</v>
      </c>
      <c r="BX60" s="115" t="n">
        <v>29.25</v>
      </c>
      <c r="BY60" s="115" t="n">
        <v>28.95</v>
      </c>
      <c r="BZ60" s="514" t="n">
        <f aca="false">BY60/B60</f>
        <v>1.00937903141453</v>
      </c>
      <c r="CA60" s="1509" t="n">
        <f aca="false">CQ60-CW60</f>
        <v>15.0568</v>
      </c>
      <c r="CB60" s="2024" t="n">
        <v>13.3895</v>
      </c>
      <c r="CC60" s="2019" t="n">
        <v>0</v>
      </c>
      <c r="CD60" s="485" t="n">
        <v>0</v>
      </c>
      <c r="CE60" s="2215" t="n">
        <f aca="false">CB60-CC60</f>
        <v>13.3895</v>
      </c>
      <c r="CF60" s="2215" t="n">
        <f aca="false">CB60-CC60-CD60</f>
        <v>13.3895</v>
      </c>
      <c r="CG60" s="2024" t="n">
        <f aca="false">CH60-CQ60</f>
        <v>7.6956</v>
      </c>
      <c r="CH60" s="115" t="n">
        <f aca="false">CI60+CJ60+CN60</f>
        <v>22.7524</v>
      </c>
      <c r="CI60" s="1509" t="n">
        <v>5.075</v>
      </c>
      <c r="CJ60" s="1509" t="n">
        <f aca="false">CK60*CL60*CM60</f>
        <v>9.8124</v>
      </c>
      <c r="CK60" s="1509" t="n">
        <v>11.05</v>
      </c>
      <c r="CL60" s="514" t="n">
        <f aca="false">CL59+(CL$63-CL$43)/20</f>
        <v>0.888</v>
      </c>
      <c r="CM60" s="514" t="n">
        <v>1</v>
      </c>
      <c r="CN60" s="1509" t="n">
        <v>7.865</v>
      </c>
      <c r="CO60" s="2017" t="n">
        <f aca="false">CX60-CP60</f>
        <v>-15.35185</v>
      </c>
      <c r="CP60" s="2017" t="n">
        <f aca="false">CQ60+9*(CQ61-CQ60)/12</f>
        <v>15.35185</v>
      </c>
      <c r="CQ60" s="1509" t="n">
        <f aca="false">(CR59+CS60+CT60)/1000</f>
        <v>15.0568</v>
      </c>
      <c r="CR60" s="115" t="n">
        <v>2208</v>
      </c>
      <c r="CS60" s="1993" t="n">
        <f aca="false">CS59+(CS$63-CS$53)/10</f>
        <v>10326.9</v>
      </c>
      <c r="CT60" s="1993" t="n">
        <f aca="false">CT59+(CT$63-CT$53)/10</f>
        <v>2588.9</v>
      </c>
      <c r="CU60" s="485" t="n">
        <v>0</v>
      </c>
      <c r="CV60" s="2017" t="n">
        <v>14.288</v>
      </c>
      <c r="CW60" s="2217" t="n">
        <v>0</v>
      </c>
      <c r="CX60" s="2019" t="n">
        <f aca="false">CY60+(CU59+9/12*(CU60-CU59))/1000</f>
        <v>0</v>
      </c>
      <c r="CY60" s="2019" t="n">
        <f aca="false">CZ60+DA60</f>
        <v>0</v>
      </c>
      <c r="CZ60" s="2017" t="n">
        <v>0</v>
      </c>
      <c r="DA60" s="2017" t="n">
        <v>0</v>
      </c>
      <c r="DB60" s="2019" t="n">
        <v>1.931</v>
      </c>
      <c r="DC60" s="2220" t="n">
        <f aca="false">CG60+BS60</f>
        <v>169.3419</v>
      </c>
    </row>
    <row r="61" customFormat="false" ht="12" hidden="false" customHeight="false" outlineLevel="0" collapsed="false">
      <c r="A61" s="31" t="n">
        <v>1898</v>
      </c>
      <c r="B61" s="1994" t="n">
        <f aca="false">H61</f>
        <v>30.923</v>
      </c>
      <c r="C61" s="395" t="n">
        <v>38.46</v>
      </c>
      <c r="D61" s="31"/>
      <c r="E61" s="31"/>
      <c r="F61" s="2219" t="n">
        <v>1.73805679674312</v>
      </c>
      <c r="G61" s="2202" t="n">
        <f aca="false">B61-F61</f>
        <v>29.1849432032569</v>
      </c>
      <c r="H61" s="2000" t="n">
        <f aca="false">I61+J61+O61+Q61+T61</f>
        <v>30.923</v>
      </c>
      <c r="I61" s="1997" t="n">
        <v>22.626</v>
      </c>
      <c r="J61" s="1997" t="n">
        <v>2.257</v>
      </c>
      <c r="K61" s="1997"/>
      <c r="L61" s="1997"/>
      <c r="M61" s="514"/>
      <c r="N61" s="1997"/>
      <c r="O61" s="1997" t="n">
        <v>5.33</v>
      </c>
      <c r="P61" s="1997" t="n">
        <v>0.616938</v>
      </c>
      <c r="Q61" s="1997" t="n">
        <f aca="false">R61-S61</f>
        <v>0.319999999999999</v>
      </c>
      <c r="R61" s="1997" t="n">
        <v>5.76</v>
      </c>
      <c r="S61" s="1997" t="n">
        <v>5.44</v>
      </c>
      <c r="T61" s="1997" t="n">
        <v>0.39</v>
      </c>
      <c r="U61" s="1997" t="n">
        <v>0</v>
      </c>
      <c r="V61" s="1999" t="n">
        <v>0.815</v>
      </c>
      <c r="W61" s="384" t="n">
        <f aca="false">X61+AD61</f>
        <v>26.503</v>
      </c>
      <c r="X61" s="2204" t="n">
        <f aca="false">Y61+Z61+AA61+AB61</f>
        <v>7.896</v>
      </c>
      <c r="Y61" s="2008" t="n">
        <v>3.372</v>
      </c>
      <c r="Z61" s="2008" t="n">
        <v>1.447</v>
      </c>
      <c r="AA61" s="2008" t="n">
        <v>2.687</v>
      </c>
      <c r="AB61" s="2009" t="n">
        <v>0.39</v>
      </c>
      <c r="AC61" s="384" t="n">
        <v>0.521</v>
      </c>
      <c r="AD61" s="2204" t="n">
        <f aca="false">AE61+AF61</f>
        <v>18.607</v>
      </c>
      <c r="AE61" s="2008" t="n">
        <v>13.941</v>
      </c>
      <c r="AF61" s="2023" t="n">
        <v>4.666</v>
      </c>
      <c r="AG61" s="2206"/>
      <c r="AH61" s="387"/>
      <c r="AI61" s="1999"/>
      <c r="AJ61" s="2009" t="n">
        <v>7.353</v>
      </c>
      <c r="AK61" s="2207" t="n">
        <v>9720</v>
      </c>
      <c r="AL61" s="2207" t="e">
        <f aca="false">NA()</f>
        <v>#N/A</v>
      </c>
      <c r="AM61" s="2207" t="e">
        <f aca="false">NA()</f>
        <v>#N/A</v>
      </c>
      <c r="AN61" s="2208" t="n">
        <v>2.114</v>
      </c>
      <c r="AO61" s="2023" t="n">
        <v>0.361</v>
      </c>
      <c r="AP61" s="2023" t="n">
        <v>0.366</v>
      </c>
      <c r="AQ61" s="2023" t="n">
        <v>0</v>
      </c>
      <c r="AR61" s="2023" t="n">
        <v>1.036</v>
      </c>
      <c r="AS61" s="2023" t="n">
        <f aca="false">AN61+AO61-AP61-AC61+AQ61+AR61</f>
        <v>2.624</v>
      </c>
      <c r="AT61" s="2023" t="n">
        <v>0.384</v>
      </c>
      <c r="AU61" s="2105"/>
      <c r="AV61" s="2023"/>
      <c r="AW61" s="2000" t="n">
        <f aca="false">B61+AC61-AN61-AO61+AP61</f>
        <v>29.335</v>
      </c>
      <c r="AX61" s="1997" t="n">
        <f aca="false">V61+O61</f>
        <v>6.145</v>
      </c>
      <c r="AY61" s="514" t="n">
        <f aca="false">AX61/B61</f>
        <v>0.198719399799502</v>
      </c>
      <c r="AZ61" s="2222" t="n">
        <v>12.9583333333333</v>
      </c>
      <c r="BA61" s="401"/>
      <c r="BB61" s="401" t="n">
        <v>80.6</v>
      </c>
      <c r="BC61" s="401"/>
      <c r="BD61" s="401"/>
      <c r="BE61" s="401"/>
      <c r="BF61" s="401"/>
      <c r="BG61" s="401" t="n">
        <v>80.2</v>
      </c>
      <c r="BH61" s="401" t="n">
        <v>80.6647977573088</v>
      </c>
      <c r="BI61" s="218" t="n">
        <v>54406</v>
      </c>
      <c r="BJ61" s="218" t="n">
        <f aca="false">BI61*(1-BN61)</f>
        <v>31846.0132764132</v>
      </c>
      <c r="BK61" s="401" t="n">
        <f aca="false">BI61</f>
        <v>54406</v>
      </c>
      <c r="BL61" s="401"/>
      <c r="BM61" s="401" t="n">
        <f aca="false">BJ61</f>
        <v>31846.0132764132</v>
      </c>
      <c r="BN61" s="2211" t="n">
        <f aca="false">BN60+(BN$63-BN$53)/10</f>
        <v>0.41465990375302</v>
      </c>
      <c r="BO61" s="218" t="n">
        <v>24719</v>
      </c>
      <c r="BP61" s="2221" t="n">
        <f aca="false">BO61-BQ61</f>
        <v>19096.5</v>
      </c>
      <c r="BQ61" s="2221" t="n">
        <f aca="false">BQ60+(BQ$70-BQ$58)/12</f>
        <v>5622.5</v>
      </c>
      <c r="BR61" s="1319" t="n">
        <f aca="false">BQ61/BO61</f>
        <v>0.227456612322505</v>
      </c>
      <c r="BS61" s="401" t="n">
        <f aca="false">BT61+CA61+CB61-CC61</f>
        <v>171.9112</v>
      </c>
      <c r="BT61" s="115" t="n">
        <f aca="false">BU61+BW61+BX61+BY61</f>
        <v>142.4</v>
      </c>
      <c r="BU61" s="115" t="n">
        <v>45.6</v>
      </c>
      <c r="BV61" s="514" t="n">
        <f aca="false">BU61/B61</f>
        <v>1.4746305339068</v>
      </c>
      <c r="BW61" s="115" t="n">
        <v>32.55</v>
      </c>
      <c r="BX61" s="115" t="n">
        <v>33.05</v>
      </c>
      <c r="BY61" s="115" t="n">
        <v>31.2</v>
      </c>
      <c r="BZ61" s="514" t="n">
        <f aca="false">BY61/B61</f>
        <v>1.00895773372571</v>
      </c>
      <c r="CA61" s="1509" t="n">
        <f aca="false">CQ61-CW61</f>
        <v>15.4502</v>
      </c>
      <c r="CB61" s="2024" t="n">
        <v>14.061</v>
      </c>
      <c r="CC61" s="2019" t="n">
        <v>0</v>
      </c>
      <c r="CD61" s="485" t="n">
        <v>0</v>
      </c>
      <c r="CE61" s="2215" t="n">
        <f aca="false">CB61-CC61</f>
        <v>14.061</v>
      </c>
      <c r="CF61" s="2215" t="n">
        <f aca="false">CB61-CC61-CD61</f>
        <v>14.061</v>
      </c>
      <c r="CG61" s="2024" t="n">
        <f aca="false">CH61-CQ61</f>
        <v>8.8804</v>
      </c>
      <c r="CH61" s="115" t="n">
        <f aca="false">CI61+CJ61+CN61</f>
        <v>24.3306</v>
      </c>
      <c r="CI61" s="1509" t="n">
        <v>5.435</v>
      </c>
      <c r="CJ61" s="1509" t="n">
        <f aca="false">CK61*CL61*CM61</f>
        <v>10.5256</v>
      </c>
      <c r="CK61" s="1509" t="n">
        <v>11.8</v>
      </c>
      <c r="CL61" s="514" t="n">
        <f aca="false">CL60+(CL$63-CL$43)/20</f>
        <v>0.892</v>
      </c>
      <c r="CM61" s="514" t="n">
        <v>1</v>
      </c>
      <c r="CN61" s="1509" t="n">
        <v>8.37</v>
      </c>
      <c r="CO61" s="2017" t="n">
        <f aca="false">CX61-CP61</f>
        <v>-15.70625</v>
      </c>
      <c r="CP61" s="2017" t="n">
        <f aca="false">CQ61+9*(CQ62-CQ61)/12</f>
        <v>15.70625</v>
      </c>
      <c r="CQ61" s="1509" t="n">
        <f aca="false">(CR60+CS61+CT61)/1000</f>
        <v>15.4502</v>
      </c>
      <c r="CR61" s="115" t="n">
        <v>2223</v>
      </c>
      <c r="CS61" s="1993" t="n">
        <f aca="false">CS60+(CS$63-CS$53)/10</f>
        <v>10483.6</v>
      </c>
      <c r="CT61" s="1993" t="n">
        <f aca="false">CT60+(CT$63-CT$53)/10</f>
        <v>2758.6</v>
      </c>
      <c r="CU61" s="485" t="n">
        <v>0</v>
      </c>
      <c r="CV61" s="2017" t="n">
        <v>14.525</v>
      </c>
      <c r="CW61" s="2217" t="n">
        <v>0</v>
      </c>
      <c r="CX61" s="2019" t="n">
        <f aca="false">CY61+(CU60+9/12*(CU61-CU60))/1000</f>
        <v>0</v>
      </c>
      <c r="CY61" s="2019" t="n">
        <f aca="false">CZ61+DA61</f>
        <v>0</v>
      </c>
      <c r="CZ61" s="2017" t="n">
        <v>0</v>
      </c>
      <c r="DA61" s="2017" t="n">
        <v>0</v>
      </c>
      <c r="DB61" s="2019" t="n">
        <v>1.975</v>
      </c>
      <c r="DC61" s="2220" t="n">
        <f aca="false">CG61+BS61</f>
        <v>180.7916</v>
      </c>
    </row>
    <row r="62" customFormat="false" ht="12" hidden="false" customHeight="false" outlineLevel="0" collapsed="false">
      <c r="A62" s="31" t="n">
        <v>1899</v>
      </c>
      <c r="B62" s="1994" t="n">
        <f aca="false">H62</f>
        <v>31.621</v>
      </c>
      <c r="C62" s="395" t="n">
        <v>37.97</v>
      </c>
      <c r="D62" s="31"/>
      <c r="E62" s="31"/>
      <c r="F62" s="2219" t="n">
        <v>1.74521489788766</v>
      </c>
      <c r="G62" s="2202" t="n">
        <f aca="false">B62-F62</f>
        <v>29.8757851021123</v>
      </c>
      <c r="H62" s="2000" t="n">
        <f aca="false">I62+J62+O62+Q62+T62</f>
        <v>31.621</v>
      </c>
      <c r="I62" s="1997" t="n">
        <v>23.627</v>
      </c>
      <c r="J62" s="1997" t="n">
        <v>2.37</v>
      </c>
      <c r="K62" s="1997"/>
      <c r="L62" s="1997"/>
      <c r="M62" s="514"/>
      <c r="N62" s="1997"/>
      <c r="O62" s="1997" t="n">
        <v>5.39</v>
      </c>
      <c r="P62" s="1997" t="n">
        <v>0.724206</v>
      </c>
      <c r="Q62" s="1997" t="n">
        <f aca="false">R62-S62</f>
        <v>-0.165999999999999</v>
      </c>
      <c r="R62" s="1997" t="n">
        <v>5.618</v>
      </c>
      <c r="S62" s="1997" t="n">
        <v>5.784</v>
      </c>
      <c r="T62" s="1997" t="n">
        <v>0.4</v>
      </c>
      <c r="U62" s="1997" t="n">
        <v>0</v>
      </c>
      <c r="V62" s="1999" t="n">
        <v>0.374</v>
      </c>
      <c r="W62" s="384" t="n">
        <f aca="false">X62+AD62</f>
        <v>27.475</v>
      </c>
      <c r="X62" s="2204" t="n">
        <f aca="false">Y62+Z62+AA62+AB62</f>
        <v>8.035</v>
      </c>
      <c r="Y62" s="2008" t="n">
        <v>4.042</v>
      </c>
      <c r="Z62" s="2008" t="n">
        <v>1.514</v>
      </c>
      <c r="AA62" s="2008" t="n">
        <v>2.086</v>
      </c>
      <c r="AB62" s="2009" t="n">
        <v>0.393</v>
      </c>
      <c r="AC62" s="384" t="n">
        <v>0.541</v>
      </c>
      <c r="AD62" s="2204" t="n">
        <f aca="false">AE62+AF62</f>
        <v>19.44</v>
      </c>
      <c r="AE62" s="2008" t="n">
        <v>14.634</v>
      </c>
      <c r="AF62" s="2023" t="n">
        <v>4.806</v>
      </c>
      <c r="AG62" s="2206"/>
      <c r="AH62" s="387"/>
      <c r="AI62" s="1999"/>
      <c r="AJ62" s="2009" t="n">
        <v>6.892</v>
      </c>
      <c r="AK62" s="2207" t="n">
        <v>9709</v>
      </c>
      <c r="AL62" s="2207" t="e">
        <f aca="false">NA()</f>
        <v>#N/A</v>
      </c>
      <c r="AM62" s="2207" t="e">
        <f aca="false">NA()</f>
        <v>#N/A</v>
      </c>
      <c r="AN62" s="2208" t="n">
        <v>2.196</v>
      </c>
      <c r="AO62" s="2023" t="n">
        <v>0.378</v>
      </c>
      <c r="AP62" s="2023" t="n">
        <v>0.382</v>
      </c>
      <c r="AQ62" s="2023" t="n">
        <v>0</v>
      </c>
      <c r="AR62" s="2023" t="n">
        <v>1.094</v>
      </c>
      <c r="AS62" s="2023" t="n">
        <f aca="false">AN62+AO62-AP62-AC62+AQ62+AR62</f>
        <v>2.745</v>
      </c>
      <c r="AT62" s="2023" t="n">
        <v>0.394</v>
      </c>
      <c r="AU62" s="2105"/>
      <c r="AV62" s="2023"/>
      <c r="AW62" s="2000" t="n">
        <f aca="false">B62+AC62-AN62-AO62+AP62</f>
        <v>29.97</v>
      </c>
      <c r="AX62" s="1997" t="n">
        <f aca="false">V62+O62</f>
        <v>5.764</v>
      </c>
      <c r="AY62" s="514" t="n">
        <f aca="false">AX62/B62</f>
        <v>0.182283925239556</v>
      </c>
      <c r="AZ62" s="2222" t="n">
        <v>12.85</v>
      </c>
      <c r="BA62" s="401"/>
      <c r="BB62" s="401" t="n">
        <v>83.7</v>
      </c>
      <c r="BC62" s="401"/>
      <c r="BD62" s="401"/>
      <c r="BE62" s="401"/>
      <c r="BF62" s="401"/>
      <c r="BG62" s="401" t="n">
        <v>81.9</v>
      </c>
      <c r="BH62" s="401" t="n">
        <v>83.542720255523</v>
      </c>
      <c r="BI62" s="218" t="n">
        <v>55248</v>
      </c>
      <c r="BJ62" s="218" t="n">
        <f aca="false">BI62*(1-BN62)</f>
        <v>32373.8071972764</v>
      </c>
      <c r="BK62" s="401" t="n">
        <f aca="false">BI62</f>
        <v>55248</v>
      </c>
      <c r="BL62" s="401"/>
      <c r="BM62" s="401" t="n">
        <f aca="false">BJ62</f>
        <v>32373.8071972764</v>
      </c>
      <c r="BN62" s="2211" t="n">
        <f aca="false">BN61+(BN$63-BN$53)/10</f>
        <v>0.414027526837598</v>
      </c>
      <c r="BO62" s="218" t="n">
        <v>25082</v>
      </c>
      <c r="BP62" s="2221" t="n">
        <f aca="false">BO62-BQ62</f>
        <v>19449</v>
      </c>
      <c r="BQ62" s="2221" t="n">
        <f aca="false">BQ61+(BQ$70-BQ$58)/12</f>
        <v>5633</v>
      </c>
      <c r="BR62" s="1319" t="n">
        <f aca="false">BQ62/BO62</f>
        <v>0.224583366557691</v>
      </c>
      <c r="BS62" s="401" t="n">
        <f aca="false">BT62+CA62+CB62-CC62</f>
        <v>184.4746</v>
      </c>
      <c r="BT62" s="115" t="n">
        <f aca="false">BU62+BW62+BX62+BY62</f>
        <v>154.15</v>
      </c>
      <c r="BU62" s="115" t="n">
        <v>46.55</v>
      </c>
      <c r="BV62" s="514" t="n">
        <f aca="false">BU62/B62</f>
        <v>1.47212295626324</v>
      </c>
      <c r="BW62" s="115" t="n">
        <v>34.25</v>
      </c>
      <c r="BX62" s="115" t="n">
        <v>39.6</v>
      </c>
      <c r="BY62" s="115" t="n">
        <v>33.75</v>
      </c>
      <c r="BZ62" s="514" t="n">
        <f aca="false">BY62/B62</f>
        <v>1.06732867398248</v>
      </c>
      <c r="CA62" s="1509" t="n">
        <f aca="false">CQ62-CW62</f>
        <v>15.7916</v>
      </c>
      <c r="CB62" s="2024" t="n">
        <v>14.533</v>
      </c>
      <c r="CC62" s="2019" t="n">
        <v>0</v>
      </c>
      <c r="CD62" s="485" t="n">
        <v>0</v>
      </c>
      <c r="CE62" s="2215" t="n">
        <f aca="false">CB62-CC62</f>
        <v>14.533</v>
      </c>
      <c r="CF62" s="2215" t="n">
        <f aca="false">CB62-CC62-CD62</f>
        <v>14.533</v>
      </c>
      <c r="CG62" s="2024" t="n">
        <f aca="false">CH62-CQ62</f>
        <v>10.5068</v>
      </c>
      <c r="CH62" s="115" t="n">
        <f aca="false">CI62+CJ62+CN62</f>
        <v>26.2984</v>
      </c>
      <c r="CI62" s="1509" t="n">
        <v>5.845</v>
      </c>
      <c r="CJ62" s="1509" t="n">
        <f aca="false">CK62*CL62*CM62</f>
        <v>11.5584</v>
      </c>
      <c r="CK62" s="1509" t="n">
        <v>12.9</v>
      </c>
      <c r="CL62" s="514" t="n">
        <f aca="false">CL61+(CL$63-CL$43)/20</f>
        <v>0.896</v>
      </c>
      <c r="CM62" s="514" t="n">
        <v>1</v>
      </c>
      <c r="CN62" s="1509" t="n">
        <v>8.895</v>
      </c>
      <c r="CO62" s="2017" t="n">
        <f aca="false">CX62-CP62</f>
        <v>-16.1009</v>
      </c>
      <c r="CP62" s="2017" t="n">
        <f aca="false">CQ62+9*(CQ63-CQ62)/12</f>
        <v>16.1009</v>
      </c>
      <c r="CQ62" s="1509" t="n">
        <f aca="false">(CR61+CS62+CT62)/1000</f>
        <v>15.7916</v>
      </c>
      <c r="CR62" s="115" t="n">
        <v>2309</v>
      </c>
      <c r="CS62" s="1993" t="n">
        <f aca="false">CS61+(CS$63-CS$53)/10</f>
        <v>10640.3</v>
      </c>
      <c r="CT62" s="1993" t="n">
        <f aca="false">CT61+(CT$63-CT$53)/10</f>
        <v>2928.3</v>
      </c>
      <c r="CU62" s="485" t="n">
        <v>0</v>
      </c>
      <c r="CV62" s="2017" t="n">
        <v>15.074</v>
      </c>
      <c r="CW62" s="2217" t="n">
        <v>0</v>
      </c>
      <c r="CX62" s="2019" t="n">
        <f aca="false">CY62+(CU61+9/12*(CU62-CU61))/1000</f>
        <v>0</v>
      </c>
      <c r="CY62" s="2019" t="n">
        <f aca="false">CZ62+DA62</f>
        <v>0</v>
      </c>
      <c r="CZ62" s="2017" t="n">
        <v>0</v>
      </c>
      <c r="DA62" s="2017" t="n">
        <v>0</v>
      </c>
      <c r="DB62" s="2019" t="n">
        <v>2.034</v>
      </c>
      <c r="DC62" s="2220" t="n">
        <f aca="false">CG62+BS62</f>
        <v>194.9814</v>
      </c>
    </row>
    <row r="63" customFormat="false" ht="12" hidden="false" customHeight="false" outlineLevel="0" collapsed="false">
      <c r="A63" s="31" t="n">
        <v>1900</v>
      </c>
      <c r="B63" s="1994" t="n">
        <f aca="false">H63</f>
        <v>32.312</v>
      </c>
      <c r="C63" s="395" t="n">
        <v>37.522</v>
      </c>
      <c r="D63" s="31"/>
      <c r="E63" s="31"/>
      <c r="F63" s="2219" t="n">
        <v>1.75539332646627</v>
      </c>
      <c r="G63" s="2202" t="n">
        <f aca="false">B63-F63</f>
        <v>30.5566066735337</v>
      </c>
      <c r="H63" s="2000" t="n">
        <f aca="false">I63+J63+O63+Q63+T63</f>
        <v>32.312</v>
      </c>
      <c r="I63" s="1997" t="n">
        <v>24.325</v>
      </c>
      <c r="J63" s="1997" t="n">
        <v>2.612</v>
      </c>
      <c r="K63" s="1997"/>
      <c r="L63" s="1997"/>
      <c r="M63" s="514"/>
      <c r="N63" s="1997"/>
      <c r="O63" s="1997" t="n">
        <v>5.1</v>
      </c>
      <c r="P63" s="1997" t="n">
        <v>0.856179999999999</v>
      </c>
      <c r="Q63" s="1997" t="n">
        <f aca="false">R63-S63</f>
        <v>-0.125</v>
      </c>
      <c r="R63" s="1997" t="n">
        <v>5.918</v>
      </c>
      <c r="S63" s="1997" t="n">
        <v>6.043</v>
      </c>
      <c r="T63" s="1997" t="n">
        <v>0.4</v>
      </c>
      <c r="U63" s="1997" t="n">
        <v>0</v>
      </c>
      <c r="V63" s="1999" t="n">
        <v>0.411</v>
      </c>
      <c r="W63" s="384" t="n">
        <f aca="false">X63+AD63</f>
        <v>28.855</v>
      </c>
      <c r="X63" s="2204" t="n">
        <f aca="false">Y63+Z63+AA63+AB63</f>
        <v>8.467</v>
      </c>
      <c r="Y63" s="2008" t="n">
        <v>4.527</v>
      </c>
      <c r="Z63" s="2008" t="n">
        <v>1.581</v>
      </c>
      <c r="AA63" s="2008" t="n">
        <v>1.955</v>
      </c>
      <c r="AB63" s="2009" t="n">
        <v>0.404</v>
      </c>
      <c r="AC63" s="384" t="n">
        <v>0.563</v>
      </c>
      <c r="AD63" s="2204" t="n">
        <f aca="false">AE63+AF63</f>
        <v>20.388</v>
      </c>
      <c r="AE63" s="2008" t="n">
        <v>15.404</v>
      </c>
      <c r="AF63" s="2023" t="n">
        <v>4.984</v>
      </c>
      <c r="AG63" s="2206"/>
      <c r="AH63" s="387"/>
      <c r="AI63" s="1999"/>
      <c r="AJ63" s="2009" t="n">
        <v>6.939</v>
      </c>
      <c r="AK63" s="2207" t="n">
        <v>9754</v>
      </c>
      <c r="AL63" s="2207" t="e">
        <f aca="false">NA()</f>
        <v>#N/A</v>
      </c>
      <c r="AM63" s="2207" t="e">
        <f aca="false">NA()</f>
        <v>#N/A</v>
      </c>
      <c r="AN63" s="2208" t="n">
        <v>2.3</v>
      </c>
      <c r="AO63" s="2023" t="n">
        <v>0.402</v>
      </c>
      <c r="AP63" s="2023" t="n">
        <v>0.402</v>
      </c>
      <c r="AQ63" s="2023" t="n">
        <v>0</v>
      </c>
      <c r="AR63" s="2023" t="n">
        <v>1.085</v>
      </c>
      <c r="AS63" s="2023" t="n">
        <f aca="false">AN63+AO63-AP63-AC63+AQ63+AR63</f>
        <v>2.822</v>
      </c>
      <c r="AT63" s="2023" t="n">
        <v>0.232</v>
      </c>
      <c r="AU63" s="2105"/>
      <c r="AV63" s="2023"/>
      <c r="AW63" s="2000" t="n">
        <f aca="false">B63+AC63-AN63-AO63+AP63</f>
        <v>30.575</v>
      </c>
      <c r="AX63" s="1997" t="n">
        <f aca="false">V63+O63</f>
        <v>5.511</v>
      </c>
      <c r="AY63" s="514" t="n">
        <f aca="false">AX63/B63</f>
        <v>0.170555830651151</v>
      </c>
      <c r="AZ63" s="2222" t="n">
        <v>13.1333333333333</v>
      </c>
      <c r="BA63" s="401"/>
      <c r="BB63" s="401" t="n">
        <v>86.5</v>
      </c>
      <c r="BC63" s="401"/>
      <c r="BD63" s="401"/>
      <c r="BE63" s="401"/>
      <c r="BF63" s="401"/>
      <c r="BG63" s="401" t="n">
        <v>84.4</v>
      </c>
      <c r="BH63" s="401" t="n">
        <v>86.3624110416217</v>
      </c>
      <c r="BI63" s="218" t="n">
        <v>56046</v>
      </c>
      <c r="BJ63" s="218" t="n">
        <f aca="false">BI63*(1-BN63)</f>
        <v>32876.8554274617</v>
      </c>
      <c r="BK63" s="401" t="n">
        <f aca="false">BI63</f>
        <v>56046</v>
      </c>
      <c r="BL63" s="401"/>
      <c r="BM63" s="401" t="n">
        <f aca="false">BJ63</f>
        <v>32876.8554274617</v>
      </c>
      <c r="BN63" s="387" t="n">
        <v>0.413395149922176</v>
      </c>
      <c r="BO63" s="218" t="n">
        <v>25548</v>
      </c>
      <c r="BP63" s="2221" t="n">
        <f aca="false">BO63-BQ63</f>
        <v>19904.5</v>
      </c>
      <c r="BQ63" s="2221" t="n">
        <f aca="false">BQ62+(BQ$70-BQ$58)/12</f>
        <v>5643.5</v>
      </c>
      <c r="BR63" s="1319" t="n">
        <f aca="false">BQ63/BO63</f>
        <v>0.220897917645217</v>
      </c>
      <c r="BS63" s="401" t="n">
        <f aca="false">BT63+CA63+CB63-CC63</f>
        <v>198.4915</v>
      </c>
      <c r="BT63" s="115" t="n">
        <f aca="false">BU63+BW63+BX63+BY63</f>
        <v>167.5</v>
      </c>
      <c r="BU63" s="115" t="n">
        <v>47.5</v>
      </c>
      <c r="BV63" s="514" t="n">
        <f aca="false">BU63/B63</f>
        <v>1.47004208962615</v>
      </c>
      <c r="BW63" s="115" t="n">
        <v>35.85</v>
      </c>
      <c r="BX63" s="115" t="n">
        <v>48</v>
      </c>
      <c r="BY63" s="115" t="n">
        <v>36.15</v>
      </c>
      <c r="BZ63" s="514" t="n">
        <f aca="false">BY63/B63</f>
        <v>1.11877940084179</v>
      </c>
      <c r="CA63" s="1509" t="n">
        <f aca="false">CQ63-CW63</f>
        <v>16.204</v>
      </c>
      <c r="CB63" s="2024" t="n">
        <v>14.7875</v>
      </c>
      <c r="CC63" s="2019" t="n">
        <v>0</v>
      </c>
      <c r="CD63" s="485" t="n">
        <v>0</v>
      </c>
      <c r="CE63" s="2215" t="n">
        <f aca="false">CB63-CC63</f>
        <v>14.7875</v>
      </c>
      <c r="CF63" s="2215" t="n">
        <f aca="false">CB63-CC63-CD63</f>
        <v>14.7875</v>
      </c>
      <c r="CG63" s="2024" t="n">
        <f aca="false">CH63-CQ63</f>
        <v>12.411</v>
      </c>
      <c r="CH63" s="115" t="n">
        <f aca="false">CI63+CJ63+CN63</f>
        <v>28.615</v>
      </c>
      <c r="CI63" s="1509" t="n">
        <v>6.23</v>
      </c>
      <c r="CJ63" s="1509" t="n">
        <f aca="false">CK63*CL63*CM63</f>
        <v>13.05</v>
      </c>
      <c r="CK63" s="1509" t="n">
        <v>14.5</v>
      </c>
      <c r="CL63" s="855" t="n">
        <v>0.9</v>
      </c>
      <c r="CM63" s="514" t="n">
        <v>1</v>
      </c>
      <c r="CN63" s="1509" t="n">
        <v>9.335</v>
      </c>
      <c r="CO63" s="2017" t="n">
        <f aca="false">CX63-CP63</f>
        <v>-16.957</v>
      </c>
      <c r="CP63" s="2017" t="n">
        <f aca="false">CQ63+9*(CQ64-CQ63)/12</f>
        <v>16.957</v>
      </c>
      <c r="CQ63" s="1509" t="n">
        <f aca="false">(CR62+CS63+CT63)/1000</f>
        <v>16.204</v>
      </c>
      <c r="CR63" s="115" t="n">
        <v>2503</v>
      </c>
      <c r="CS63" s="115" t="n">
        <v>10797</v>
      </c>
      <c r="CT63" s="115" t="n">
        <v>3098</v>
      </c>
      <c r="CU63" s="485" t="n">
        <v>0</v>
      </c>
      <c r="CV63" s="2017" t="n">
        <v>15.355</v>
      </c>
      <c r="CW63" s="2217" t="n">
        <v>0</v>
      </c>
      <c r="CX63" s="2019" t="n">
        <f aca="false">CY63+(CU62+9/12*(CU63-CU62))/1000</f>
        <v>0</v>
      </c>
      <c r="CY63" s="2019" t="n">
        <f aca="false">CZ63+DA63</f>
        <v>0</v>
      </c>
      <c r="CZ63" s="2017" t="n">
        <v>0</v>
      </c>
      <c r="DA63" s="2017" t="n">
        <v>0</v>
      </c>
      <c r="DB63" s="2019" t="n">
        <v>2.15</v>
      </c>
      <c r="DC63" s="2220" t="n">
        <f aca="false">CG63+BS63</f>
        <v>210.9025</v>
      </c>
    </row>
    <row r="64" customFormat="false" ht="12" hidden="false" customHeight="false" outlineLevel="0" collapsed="false">
      <c r="A64" s="31" t="n">
        <v>1901</v>
      </c>
      <c r="B64" s="1994" t="n">
        <f aca="false">H64</f>
        <v>31.409</v>
      </c>
      <c r="C64" s="395" t="n">
        <v>37.112</v>
      </c>
      <c r="D64" s="111" t="n">
        <v>33.601</v>
      </c>
      <c r="E64" s="111" t="n">
        <v>38.489</v>
      </c>
      <c r="F64" s="2219" t="n">
        <v>1.85323657809545</v>
      </c>
      <c r="G64" s="2202" t="n">
        <f aca="false">B64-F64</f>
        <v>29.5557634219046</v>
      </c>
      <c r="H64" s="2000" t="n">
        <f aca="false">I64+J64+O64+Q64+T64</f>
        <v>31.409</v>
      </c>
      <c r="I64" s="1997" t="n">
        <v>24.59</v>
      </c>
      <c r="J64" s="1997" t="n">
        <v>2.719</v>
      </c>
      <c r="K64" s="1997"/>
      <c r="L64" s="1997"/>
      <c r="M64" s="514"/>
      <c r="N64" s="1997"/>
      <c r="O64" s="1997" t="n">
        <v>3.89</v>
      </c>
      <c r="P64" s="1997" t="n">
        <v>0.874660000000002</v>
      </c>
      <c r="Q64" s="1997" t="n">
        <f aca="false">R64-S64</f>
        <v>-0.2</v>
      </c>
      <c r="R64" s="1997" t="n">
        <v>5.51</v>
      </c>
      <c r="S64" s="1997" t="n">
        <v>5.71</v>
      </c>
      <c r="T64" s="1997" t="n">
        <v>0.41</v>
      </c>
      <c r="U64" s="1997" t="n">
        <v>0</v>
      </c>
      <c r="V64" s="1999" t="n">
        <v>0.418</v>
      </c>
      <c r="W64" s="384" t="n">
        <f aca="false">X64+AD64</f>
        <v>28.441</v>
      </c>
      <c r="X64" s="2204" t="n">
        <f aca="false">Y64+Z64+AA64+AB64</f>
        <v>7.856</v>
      </c>
      <c r="Y64" s="2008" t="n">
        <v>4.01</v>
      </c>
      <c r="Z64" s="2008" t="n">
        <v>1.658</v>
      </c>
      <c r="AA64" s="2008" t="n">
        <v>1.777</v>
      </c>
      <c r="AB64" s="2009" t="n">
        <v>0.411</v>
      </c>
      <c r="AC64" s="384" t="n">
        <v>0.595</v>
      </c>
      <c r="AD64" s="2204" t="n">
        <f aca="false">AE64+AF64</f>
        <v>20.585</v>
      </c>
      <c r="AE64" s="2008" t="n">
        <v>15.545</v>
      </c>
      <c r="AF64" s="2023" t="n">
        <v>5.04</v>
      </c>
      <c r="AG64" s="2206"/>
      <c r="AH64" s="387"/>
      <c r="AI64" s="1999"/>
      <c r="AJ64" s="2009" t="n">
        <v>6.817</v>
      </c>
      <c r="AK64" s="2207" t="n">
        <v>9825</v>
      </c>
      <c r="AL64" s="2207" t="e">
        <f aca="false">NA()</f>
        <v>#N/A</v>
      </c>
      <c r="AM64" s="2207" t="e">
        <f aca="false">NA()</f>
        <v>#N/A</v>
      </c>
      <c r="AN64" s="2208" t="n">
        <v>2.367</v>
      </c>
      <c r="AO64" s="2023" t="n">
        <v>0.415</v>
      </c>
      <c r="AP64" s="2023" t="n">
        <v>0.437</v>
      </c>
      <c r="AQ64" s="2023" t="n">
        <v>0</v>
      </c>
      <c r="AR64" s="2023" t="n">
        <v>0.988</v>
      </c>
      <c r="AS64" s="2023" t="n">
        <f aca="false">AN64+AO64-AP64-AC64+AQ64+AR64</f>
        <v>2.738</v>
      </c>
      <c r="AT64" s="2023" t="n">
        <v>0.042</v>
      </c>
      <c r="AU64" s="2105"/>
      <c r="AV64" s="2023"/>
      <c r="AW64" s="2000" t="n">
        <f aca="false">B64+AC64-AN64-AO64+AP64</f>
        <v>29.659</v>
      </c>
      <c r="AX64" s="1997" t="n">
        <f aca="false">V64+O64</f>
        <v>4.308</v>
      </c>
      <c r="AY64" s="514" t="n">
        <f aca="false">AX64/B64</f>
        <v>0.1371581393868</v>
      </c>
      <c r="AZ64" s="2222" t="n">
        <v>13.3166666666667</v>
      </c>
      <c r="BA64" s="401"/>
      <c r="BB64" s="401" t="n">
        <v>84.7</v>
      </c>
      <c r="BC64" s="401" t="n">
        <v>87.3</v>
      </c>
      <c r="BD64" s="401"/>
      <c r="BE64" s="401"/>
      <c r="BF64" s="401"/>
      <c r="BG64" s="401" t="n">
        <v>84.3</v>
      </c>
      <c r="BH64" s="401" t="n">
        <v>85.0943704996727</v>
      </c>
      <c r="BI64" s="218" t="n">
        <v>56874</v>
      </c>
      <c r="BJ64" s="218" t="n">
        <f aca="false">BI64*(1-BN64)</f>
        <v>33257.6001938241</v>
      </c>
      <c r="BK64" s="401" t="n">
        <v>56874</v>
      </c>
      <c r="BL64" s="401"/>
      <c r="BM64" s="401" t="n">
        <f aca="false">BK64*(1-BN64)</f>
        <v>33257.6001938241</v>
      </c>
      <c r="BN64" s="2211" t="n">
        <f aca="false">BN63+(BN$73-BN$63)/10</f>
        <v>0.415240704120968</v>
      </c>
      <c r="BO64" s="218" t="n">
        <v>25617</v>
      </c>
      <c r="BP64" s="2221" t="n">
        <f aca="false">BO64-BQ64</f>
        <v>19963</v>
      </c>
      <c r="BQ64" s="2221" t="n">
        <f aca="false">BQ63+(BQ$70-BQ$58)/12</f>
        <v>5654</v>
      </c>
      <c r="BR64" s="1319" t="n">
        <f aca="false">BQ64/BO64</f>
        <v>0.220712807901003</v>
      </c>
      <c r="BS64" s="401" t="n">
        <f aca="false">BT64+CA64+CB64-CC64</f>
        <v>203.388</v>
      </c>
      <c r="BT64" s="115" t="n">
        <f aca="false">BU64+BW64+BX64+BY64</f>
        <v>171.15</v>
      </c>
      <c r="BU64" s="115" t="n">
        <v>48.5</v>
      </c>
      <c r="BV64" s="514" t="n">
        <f aca="false">BU64/B64</f>
        <v>1.544143398389</v>
      </c>
      <c r="BW64" s="115" t="n">
        <v>36.4</v>
      </c>
      <c r="BX64" s="115" t="n">
        <v>48.35</v>
      </c>
      <c r="BY64" s="115" t="n">
        <v>37.9</v>
      </c>
      <c r="BZ64" s="514" t="n">
        <f aca="false">BY64/B64</f>
        <v>1.20666051131841</v>
      </c>
      <c r="CA64" s="1509" t="n">
        <f aca="false">CQ64-CW64</f>
        <v>17.208</v>
      </c>
      <c r="CB64" s="2024" t="n">
        <v>15.03</v>
      </c>
      <c r="CC64" s="2019" t="n">
        <v>0</v>
      </c>
      <c r="CD64" s="485" t="n">
        <v>0</v>
      </c>
      <c r="CE64" s="2215" t="n">
        <f aca="false">CB64-CC64</f>
        <v>15.03</v>
      </c>
      <c r="CF64" s="2215" t="n">
        <f aca="false">CB64-CC64-CD64</f>
        <v>15.03</v>
      </c>
      <c r="CG64" s="2024" t="n">
        <f aca="false">CH64-CQ64</f>
        <v>12.2958461538462</v>
      </c>
      <c r="CH64" s="115" t="n">
        <f aca="false">CI64+CJ64+CN64</f>
        <v>29.5038461538462</v>
      </c>
      <c r="CI64" s="1509" t="n">
        <v>6.5</v>
      </c>
      <c r="CJ64" s="1509" t="n">
        <f aca="false">CK64*CL64*CM64</f>
        <v>13.4338461538462</v>
      </c>
      <c r="CK64" s="1509" t="n">
        <v>14.8</v>
      </c>
      <c r="CL64" s="514" t="n">
        <f aca="false">CL63+(CL$76-CL$63)/13</f>
        <v>0.907692307692308</v>
      </c>
      <c r="CM64" s="514" t="n">
        <v>1</v>
      </c>
      <c r="CN64" s="1509" t="n">
        <v>9.57</v>
      </c>
      <c r="CO64" s="2017" t="n">
        <f aca="false">CX64-CP64</f>
        <v>-18.048</v>
      </c>
      <c r="CP64" s="2017" t="n">
        <f aca="false">CQ64+9*(CQ65-CQ64)/12</f>
        <v>18.048</v>
      </c>
      <c r="CQ64" s="1509" t="n">
        <f aca="false">(CR63+CS64+CT64)/1000</f>
        <v>17.208</v>
      </c>
      <c r="CR64" s="115" t="n">
        <v>2826</v>
      </c>
      <c r="CS64" s="115" t="n">
        <v>11293</v>
      </c>
      <c r="CT64" s="2223" t="n">
        <f aca="false">CT63+(CT$70-CT$63)/7</f>
        <v>3412</v>
      </c>
      <c r="CU64" s="485" t="n">
        <v>0</v>
      </c>
      <c r="CV64" s="2017" t="n">
        <v>16.503</v>
      </c>
      <c r="CW64" s="2217" t="n">
        <v>0</v>
      </c>
      <c r="CX64" s="2019" t="n">
        <f aca="false">CY64+(CU63+9/12*(CU64-CU63))/1000</f>
        <v>0</v>
      </c>
      <c r="CY64" s="2019" t="n">
        <f aca="false">CZ64+DA64</f>
        <v>0</v>
      </c>
      <c r="CZ64" s="2017" t="n">
        <v>0</v>
      </c>
      <c r="DA64" s="2017" t="n">
        <v>0</v>
      </c>
      <c r="DB64" s="2019" t="n">
        <v>2.261</v>
      </c>
      <c r="DC64" s="2220" t="n">
        <f aca="false">CG64+BS64</f>
        <v>215.683846153846</v>
      </c>
    </row>
    <row r="65" customFormat="false" ht="12" hidden="false" customHeight="false" outlineLevel="0" collapsed="false">
      <c r="A65" s="31" t="n">
        <v>1902</v>
      </c>
      <c r="B65" s="1994" t="n">
        <f aca="false">H65</f>
        <v>31.888</v>
      </c>
      <c r="C65" s="395" t="n">
        <v>37.536</v>
      </c>
      <c r="D65" s="111" t="n">
        <v>34.246</v>
      </c>
      <c r="E65" s="111" t="n">
        <v>39.729</v>
      </c>
      <c r="F65" s="2219" t="n">
        <v>1.88224712095184</v>
      </c>
      <c r="G65" s="2202" t="n">
        <f aca="false">B65-F65</f>
        <v>30.0057528790482</v>
      </c>
      <c r="H65" s="2000" t="n">
        <f aca="false">I65+J65+O65+Q65+T65</f>
        <v>31.888</v>
      </c>
      <c r="I65" s="1997" t="n">
        <v>25.214</v>
      </c>
      <c r="J65" s="1997" t="n">
        <v>2.7</v>
      </c>
      <c r="K65" s="1997"/>
      <c r="L65" s="1997"/>
      <c r="M65" s="514"/>
      <c r="N65" s="1997"/>
      <c r="O65" s="1997" t="n">
        <v>3.52</v>
      </c>
      <c r="P65" s="1997" t="n">
        <v>0.839999999999999</v>
      </c>
      <c r="Q65" s="1997" t="n">
        <f aca="false">R65-S65</f>
        <v>0.024</v>
      </c>
      <c r="R65" s="1997" t="n">
        <v>5.83</v>
      </c>
      <c r="S65" s="1997" t="n">
        <v>5.806</v>
      </c>
      <c r="T65" s="1997" t="n">
        <v>0.43</v>
      </c>
      <c r="U65" s="1997" t="n">
        <v>0</v>
      </c>
      <c r="V65" s="1999" t="n">
        <v>0.494</v>
      </c>
      <c r="W65" s="384" t="n">
        <f aca="false">X65+AD65</f>
        <v>29.128</v>
      </c>
      <c r="X65" s="2204" t="n">
        <f aca="false">Y65+Z65+AA65+AB65</f>
        <v>8.229</v>
      </c>
      <c r="Y65" s="2008" t="n">
        <v>3.882</v>
      </c>
      <c r="Z65" s="2008" t="n">
        <v>1.731</v>
      </c>
      <c r="AA65" s="2008" t="n">
        <v>2.189</v>
      </c>
      <c r="AB65" s="2009" t="n">
        <v>0.427</v>
      </c>
      <c r="AC65" s="384" t="n">
        <v>0.62</v>
      </c>
      <c r="AD65" s="2204" t="n">
        <f aca="false">AE65+AF65</f>
        <v>20.899</v>
      </c>
      <c r="AE65" s="2008" t="n">
        <v>15.727</v>
      </c>
      <c r="AF65" s="2023" t="n">
        <v>5.172</v>
      </c>
      <c r="AG65" s="2206"/>
      <c r="AH65" s="387"/>
      <c r="AI65" s="1999"/>
      <c r="AJ65" s="2009" t="n">
        <v>7.361</v>
      </c>
      <c r="AK65" s="2207" t="n">
        <v>9947</v>
      </c>
      <c r="AL65" s="2207" t="e">
        <f aca="false">NA()</f>
        <v>#N/A</v>
      </c>
      <c r="AM65" s="2207" t="e">
        <f aca="false">NA()</f>
        <v>#N/A</v>
      </c>
      <c r="AN65" s="2208" t="n">
        <v>2.417</v>
      </c>
      <c r="AO65" s="2023" t="n">
        <v>0.431</v>
      </c>
      <c r="AP65" s="2023" t="n">
        <v>0.47</v>
      </c>
      <c r="AQ65" s="2023" t="n">
        <v>0</v>
      </c>
      <c r="AR65" s="2023" t="n">
        <v>1.047</v>
      </c>
      <c r="AS65" s="2023" t="n">
        <f aca="false">AN65+AO65-AP65-AC65+AQ65+AR65</f>
        <v>2.805</v>
      </c>
      <c r="AT65" s="2023" t="n">
        <v>0.13</v>
      </c>
      <c r="AU65" s="2105"/>
      <c r="AV65" s="2023"/>
      <c r="AW65" s="2000" t="n">
        <f aca="false">B65+AC65-AN65-AO65+AP65</f>
        <v>30.13</v>
      </c>
      <c r="AX65" s="1997" t="n">
        <f aca="false">V65+O65</f>
        <v>4.014</v>
      </c>
      <c r="AY65" s="514" t="n">
        <f aca="false">AX65/B65</f>
        <v>0.125878073256397</v>
      </c>
      <c r="AZ65" s="2222" t="n">
        <v>13.4666666666667</v>
      </c>
      <c r="BA65" s="401"/>
      <c r="BB65" s="401" t="n">
        <v>84.8</v>
      </c>
      <c r="BC65" s="401" t="n">
        <v>86.2</v>
      </c>
      <c r="BD65" s="401"/>
      <c r="BE65" s="401"/>
      <c r="BF65" s="401"/>
      <c r="BG65" s="401" t="n">
        <v>84.5</v>
      </c>
      <c r="BH65" s="401" t="n">
        <v>85.0579066998593</v>
      </c>
      <c r="BI65" s="218" t="n">
        <v>57767</v>
      </c>
      <c r="BJ65" s="218" t="n">
        <f aca="false">BI65*(1-BN65)</f>
        <v>33673.1781156424</v>
      </c>
      <c r="BK65" s="401" t="n">
        <v>57767</v>
      </c>
      <c r="BL65" s="401"/>
      <c r="BM65" s="401" t="n">
        <f aca="false">BK65*(1-BN65)</f>
        <v>33673.1781156424</v>
      </c>
      <c r="BN65" s="2211" t="n">
        <f aca="false">BN64+(BN$73-BN$63)/10</f>
        <v>0.41708625831976</v>
      </c>
      <c r="BO65" s="218" t="n">
        <v>25869</v>
      </c>
      <c r="BP65" s="2221" t="n">
        <f aca="false">BO65-BQ65</f>
        <v>20204.5</v>
      </c>
      <c r="BQ65" s="2221" t="n">
        <f aca="false">BQ64+(BQ$70-BQ$58)/12</f>
        <v>5664.5</v>
      </c>
      <c r="BR65" s="1319" t="n">
        <f aca="false">BQ65/BO65</f>
        <v>0.218968649735204</v>
      </c>
      <c r="BS65" s="401" t="n">
        <f aca="false">BT65+CA65+CB65-CC65</f>
        <v>202.19</v>
      </c>
      <c r="BT65" s="115" t="n">
        <f aca="false">BU65+BW65+BX65+BY65</f>
        <v>168.5</v>
      </c>
      <c r="BU65" s="115" t="n">
        <v>49.5</v>
      </c>
      <c r="BV65" s="514" t="n">
        <f aca="false">BU65/B65</f>
        <v>1.55230807827396</v>
      </c>
      <c r="BW65" s="115" t="n">
        <v>36.15</v>
      </c>
      <c r="BX65" s="115" t="n">
        <v>43.4</v>
      </c>
      <c r="BY65" s="115" t="n">
        <v>39.45</v>
      </c>
      <c r="BZ65" s="514" t="n">
        <f aca="false">BY65/B65</f>
        <v>1.23714249874561</v>
      </c>
      <c r="CA65" s="1509" t="n">
        <f aca="false">CQ65-CW65</f>
        <v>18.328</v>
      </c>
      <c r="CB65" s="2024" t="n">
        <v>15.362</v>
      </c>
      <c r="CC65" s="2019" t="n">
        <v>0</v>
      </c>
      <c r="CD65" s="485" t="n">
        <v>0</v>
      </c>
      <c r="CE65" s="2215" t="n">
        <f aca="false">CB65-CC65</f>
        <v>15.362</v>
      </c>
      <c r="CF65" s="2215" t="n">
        <f aca="false">CB65-CC65-CD65</f>
        <v>15.362</v>
      </c>
      <c r="CG65" s="2024" t="n">
        <f aca="false">CH65-CQ65</f>
        <v>11.0481538461538</v>
      </c>
      <c r="CH65" s="115" t="n">
        <f aca="false">CI65+CJ65+CN65</f>
        <v>29.3761538461538</v>
      </c>
      <c r="CI65" s="1509" t="n">
        <v>6.775</v>
      </c>
      <c r="CJ65" s="1509" t="n">
        <f aca="false">CK65*CL65*CM65</f>
        <v>12.8611538461538</v>
      </c>
      <c r="CK65" s="1509" t="n">
        <v>14.05</v>
      </c>
      <c r="CL65" s="514" t="n">
        <f aca="false">CL64+(CL$76-CL$63)/13</f>
        <v>0.915384615384615</v>
      </c>
      <c r="CM65" s="514" t="n">
        <v>1</v>
      </c>
      <c r="CN65" s="1509" t="n">
        <v>9.74</v>
      </c>
      <c r="CO65" s="2017" t="n">
        <f aca="false">CX65-CP65</f>
        <v>-18.7855</v>
      </c>
      <c r="CP65" s="2017" t="n">
        <f aca="false">CQ65+9*(CQ66-CQ65)/12</f>
        <v>18.7855</v>
      </c>
      <c r="CQ65" s="1509" t="n">
        <f aca="false">(CR64+CS65+CT65)/1000</f>
        <v>18.328</v>
      </c>
      <c r="CR65" s="115" t="n">
        <v>2995</v>
      </c>
      <c r="CS65" s="115" t="n">
        <v>11776</v>
      </c>
      <c r="CT65" s="2223" t="n">
        <f aca="false">CT64+(CT$70-CT$63)/7</f>
        <v>3726</v>
      </c>
      <c r="CU65" s="485" t="n">
        <v>0</v>
      </c>
      <c r="CV65" s="2017" t="n">
        <v>17.135</v>
      </c>
      <c r="CW65" s="2217" t="n">
        <v>0</v>
      </c>
      <c r="CX65" s="2019" t="n">
        <f aca="false">CY65+(CU64+9/12*(CU65-CU64))/1000</f>
        <v>0</v>
      </c>
      <c r="CY65" s="2019" t="n">
        <f aca="false">CZ65+DA65</f>
        <v>0</v>
      </c>
      <c r="CZ65" s="2017" t="n">
        <v>0</v>
      </c>
      <c r="DA65" s="2017" t="n">
        <v>0</v>
      </c>
      <c r="DB65" s="2019" t="n">
        <v>2.29</v>
      </c>
      <c r="DC65" s="2220" t="n">
        <f aca="false">CG65+BS65</f>
        <v>213.238153846154</v>
      </c>
    </row>
    <row r="66" customFormat="false" ht="12" hidden="false" customHeight="false" outlineLevel="0" collapsed="false">
      <c r="A66" s="31" t="n">
        <v>1903</v>
      </c>
      <c r="B66" s="1994" t="n">
        <f aca="false">H66</f>
        <v>34.2</v>
      </c>
      <c r="C66" s="395" t="n">
        <v>40.539</v>
      </c>
      <c r="D66" s="111" t="n">
        <v>35.484</v>
      </c>
      <c r="E66" s="111" t="n">
        <v>41.26</v>
      </c>
      <c r="F66" s="2219" t="n">
        <v>1.92747329053537</v>
      </c>
      <c r="G66" s="2202" t="n">
        <f aca="false">B66-F66</f>
        <v>32.2725267094646</v>
      </c>
      <c r="H66" s="2000" t="n">
        <f aca="false">I66+J66+O66+Q66+T66</f>
        <v>34.2</v>
      </c>
      <c r="I66" s="1997" t="n">
        <v>26.215</v>
      </c>
      <c r="J66" s="1997" t="n">
        <v>2.783</v>
      </c>
      <c r="K66" s="1997"/>
      <c r="L66" s="1997"/>
      <c r="M66" s="514"/>
      <c r="N66" s="1997"/>
      <c r="O66" s="1997" t="n">
        <v>4.96</v>
      </c>
      <c r="P66" s="1997" t="n">
        <v>0.9438</v>
      </c>
      <c r="Q66" s="1997" t="n">
        <f aca="false">R66-S66</f>
        <v>-0.198</v>
      </c>
      <c r="R66" s="1997" t="n">
        <v>6.123</v>
      </c>
      <c r="S66" s="1997" t="n">
        <v>6.321</v>
      </c>
      <c r="T66" s="1997" t="n">
        <v>0.44</v>
      </c>
      <c r="U66" s="1997" t="n">
        <v>0</v>
      </c>
      <c r="V66" s="1999" t="n">
        <v>0.444</v>
      </c>
      <c r="W66" s="384" t="n">
        <f aca="false">X66+AD66</f>
        <v>30.505</v>
      </c>
      <c r="X66" s="2204" t="n">
        <f aca="false">Y66+Z66+AA66+AB66</f>
        <v>8.691</v>
      </c>
      <c r="Y66" s="2008" t="n">
        <v>4.204</v>
      </c>
      <c r="Z66" s="2008" t="n">
        <v>1.81</v>
      </c>
      <c r="AA66" s="2008" t="n">
        <v>2.242</v>
      </c>
      <c r="AB66" s="2009" t="n">
        <v>0.435</v>
      </c>
      <c r="AC66" s="384" t="n">
        <v>0.645</v>
      </c>
      <c r="AD66" s="2204" t="n">
        <f aca="false">AE66+AF66</f>
        <v>21.814</v>
      </c>
      <c r="AE66" s="2008" t="n">
        <v>16.541</v>
      </c>
      <c r="AF66" s="2023" t="n">
        <v>5.273</v>
      </c>
      <c r="AG66" s="2206"/>
      <c r="AH66" s="387"/>
      <c r="AI66" s="1999"/>
      <c r="AJ66" s="2009" t="n">
        <v>7.515</v>
      </c>
      <c r="AK66" s="2207" t="n">
        <v>9987</v>
      </c>
      <c r="AL66" s="2207" t="e">
        <f aca="false">NA()</f>
        <v>#N/A</v>
      </c>
      <c r="AM66" s="2207" t="e">
        <f aca="false">NA()</f>
        <v>#N/A</v>
      </c>
      <c r="AN66" s="2208" t="n">
        <v>2.464</v>
      </c>
      <c r="AO66" s="2023" t="n">
        <v>0.458</v>
      </c>
      <c r="AP66" s="2023" t="n">
        <v>0.486</v>
      </c>
      <c r="AQ66" s="2023" t="n">
        <v>0</v>
      </c>
      <c r="AR66" s="2023" t="n">
        <v>1.177</v>
      </c>
      <c r="AS66" s="2023" t="n">
        <f aca="false">AN66+AO66-AP66-AC66+AQ66+AR66</f>
        <v>2.968</v>
      </c>
      <c r="AT66" s="2023" t="n">
        <v>0.214</v>
      </c>
      <c r="AU66" s="2105"/>
      <c r="AV66" s="2023"/>
      <c r="AW66" s="2000" t="n">
        <f aca="false">B66+AC66-AN66-AO66+AP66</f>
        <v>32.409</v>
      </c>
      <c r="AX66" s="1997" t="n">
        <f aca="false">V66+O66</f>
        <v>5.404</v>
      </c>
      <c r="AY66" s="514" t="n">
        <f aca="false">AX66/B66</f>
        <v>0.158011695906433</v>
      </c>
      <c r="AZ66" s="2222" t="n">
        <v>13.3416666666667</v>
      </c>
      <c r="BA66" s="401"/>
      <c r="BB66" s="401" t="n">
        <v>85.1</v>
      </c>
      <c r="BC66" s="401" t="n">
        <v>86</v>
      </c>
      <c r="BD66" s="401"/>
      <c r="BE66" s="401"/>
      <c r="BF66" s="401"/>
      <c r="BG66" s="401" t="n">
        <v>84.5</v>
      </c>
      <c r="BH66" s="401" t="n">
        <v>84.7741967696033</v>
      </c>
      <c r="BI66" s="218" t="n">
        <v>58630</v>
      </c>
      <c r="BJ66" s="218" t="n">
        <f aca="false">BI66*(1-BN66)</f>
        <v>34068.0278320373</v>
      </c>
      <c r="BK66" s="401" t="n">
        <v>58629</v>
      </c>
      <c r="BL66" s="401"/>
      <c r="BM66" s="401" t="n">
        <f aca="false">BK66*(1-BN66)</f>
        <v>34067.4467638498</v>
      </c>
      <c r="BN66" s="2211" t="n">
        <f aca="false">BN65+(BN$73-BN$63)/10</f>
        <v>0.418931812518552</v>
      </c>
      <c r="BO66" s="218" t="n">
        <v>26349</v>
      </c>
      <c r="BP66" s="2221" t="n">
        <f aca="false">BO66-BQ66</f>
        <v>20674</v>
      </c>
      <c r="BQ66" s="2221" t="n">
        <f aca="false">BQ65+(BQ$70-BQ$58)/12</f>
        <v>5675</v>
      </c>
      <c r="BR66" s="1319" t="n">
        <f aca="false">BQ66/BO66</f>
        <v>0.215378192720786</v>
      </c>
      <c r="BS66" s="401" t="n">
        <f aca="false">BT66+CA66+CB66-CC66</f>
        <v>206.498</v>
      </c>
      <c r="BT66" s="115" t="n">
        <f aca="false">BU66+BW66+BX66+BY66</f>
        <v>171.85</v>
      </c>
      <c r="BU66" s="115" t="n">
        <v>50.85</v>
      </c>
      <c r="BV66" s="514" t="n">
        <f aca="false">BU66/B66</f>
        <v>1.48684210526316</v>
      </c>
      <c r="BW66" s="115" t="n">
        <v>36.4</v>
      </c>
      <c r="BX66" s="115" t="n">
        <v>43.4</v>
      </c>
      <c r="BY66" s="115" t="n">
        <v>41.2</v>
      </c>
      <c r="BZ66" s="514" t="n">
        <f aca="false">BY66/B66</f>
        <v>1.2046783625731</v>
      </c>
      <c r="CA66" s="1509" t="n">
        <f aca="false">CQ66-CW66</f>
        <v>18.938</v>
      </c>
      <c r="CB66" s="2024" t="n">
        <v>15.71</v>
      </c>
      <c r="CC66" s="2019" t="n">
        <v>0</v>
      </c>
      <c r="CD66" s="485" t="n">
        <v>0</v>
      </c>
      <c r="CE66" s="2215" t="n">
        <f aca="false">CB66-CC66</f>
        <v>15.71</v>
      </c>
      <c r="CF66" s="2215" t="n">
        <f aca="false">CB66-CC66-CD66</f>
        <v>15.71</v>
      </c>
      <c r="CG66" s="2024" t="n">
        <f aca="false">CH66-CQ66</f>
        <v>11.2285384615385</v>
      </c>
      <c r="CH66" s="115" t="n">
        <f aca="false">CI66+CJ66+CN66</f>
        <v>30.1665384615385</v>
      </c>
      <c r="CI66" s="1509" t="n">
        <v>7.13</v>
      </c>
      <c r="CJ66" s="1509" t="n">
        <f aca="false">CK66*CL66*CM66</f>
        <v>13.0615384615385</v>
      </c>
      <c r="CK66" s="1509" t="n">
        <v>14.15</v>
      </c>
      <c r="CL66" s="514" t="n">
        <f aca="false">CL65+(CL$76-CL$63)/13</f>
        <v>0.923076923076923</v>
      </c>
      <c r="CM66" s="514" t="n">
        <v>1</v>
      </c>
      <c r="CN66" s="1509" t="n">
        <v>9.975</v>
      </c>
      <c r="CO66" s="2017" t="n">
        <f aca="false">CX66-CP66</f>
        <v>-19.604</v>
      </c>
      <c r="CP66" s="2017" t="n">
        <f aca="false">CQ66+9*(CQ67-CQ66)/12</f>
        <v>19.604</v>
      </c>
      <c r="CQ66" s="1509" t="n">
        <f aca="false">(CR65+CS66+CT66)/1000</f>
        <v>18.938</v>
      </c>
      <c r="CR66" s="115" t="n">
        <v>3227</v>
      </c>
      <c r="CS66" s="115" t="n">
        <v>11903</v>
      </c>
      <c r="CT66" s="2223" t="n">
        <f aca="false">CT65+(CT$70-CT$63)/7</f>
        <v>4040</v>
      </c>
      <c r="CU66" s="485" t="n">
        <v>0</v>
      </c>
      <c r="CV66" s="2017" t="n">
        <v>17.713</v>
      </c>
      <c r="CW66" s="2217" t="n">
        <v>0</v>
      </c>
      <c r="CX66" s="2019" t="n">
        <f aca="false">CY66+(CU65+9/12*(CU66-CU65))/1000</f>
        <v>0</v>
      </c>
      <c r="CY66" s="2019" t="n">
        <f aca="false">CZ66+DA66</f>
        <v>0</v>
      </c>
      <c r="CZ66" s="2017" t="n">
        <v>0</v>
      </c>
      <c r="DA66" s="2017" t="n">
        <v>0</v>
      </c>
      <c r="DB66" s="2019" t="n">
        <v>2.379</v>
      </c>
      <c r="DC66" s="2220" t="n">
        <f aca="false">CG66+BS66</f>
        <v>217.726538461538</v>
      </c>
    </row>
    <row r="67" customFormat="false" ht="12" hidden="false" customHeight="false" outlineLevel="0" collapsed="false">
      <c r="A67" s="31" t="n">
        <v>1904</v>
      </c>
      <c r="B67" s="1994" t="n">
        <f aca="false">H67</f>
        <v>35.877</v>
      </c>
      <c r="C67" s="395" t="n">
        <v>42.462</v>
      </c>
      <c r="D67" s="111" t="n">
        <v>36.958</v>
      </c>
      <c r="E67" s="111" t="n">
        <v>43.025</v>
      </c>
      <c r="F67" s="2219" t="n">
        <v>1.95766446907</v>
      </c>
      <c r="G67" s="2202" t="n">
        <f aca="false">B67-F67</f>
        <v>33.91933553093</v>
      </c>
      <c r="H67" s="2000" t="n">
        <f aca="false">I67+J67+O67+Q67+T67</f>
        <v>35.877</v>
      </c>
      <c r="I67" s="1997" t="n">
        <v>27.064</v>
      </c>
      <c r="J67" s="1997" t="n">
        <v>2.951</v>
      </c>
      <c r="K67" s="1997"/>
      <c r="L67" s="1997"/>
      <c r="M67" s="514"/>
      <c r="N67" s="1997"/>
      <c r="O67" s="1997" t="n">
        <v>5.63</v>
      </c>
      <c r="P67" s="1997" t="n">
        <v>0.896700000000002</v>
      </c>
      <c r="Q67" s="1997" t="n">
        <f aca="false">R67-S67</f>
        <v>-0.208</v>
      </c>
      <c r="R67" s="1997" t="n">
        <v>6.646</v>
      </c>
      <c r="S67" s="1997" t="n">
        <v>6.854</v>
      </c>
      <c r="T67" s="1997" t="n">
        <v>0.44</v>
      </c>
      <c r="U67" s="1997" t="n">
        <v>0</v>
      </c>
      <c r="V67" s="1999" t="n">
        <v>0.639</v>
      </c>
      <c r="W67" s="384" t="n">
        <f aca="false">X67+AD67</f>
        <v>32.023</v>
      </c>
      <c r="X67" s="2204" t="n">
        <f aca="false">Y67+Z67+AA67+AB67</f>
        <v>9.223</v>
      </c>
      <c r="Y67" s="2008" t="n">
        <v>4.462</v>
      </c>
      <c r="Z67" s="2008" t="n">
        <v>1.889</v>
      </c>
      <c r="AA67" s="2008" t="n">
        <v>2.429</v>
      </c>
      <c r="AB67" s="2009" t="n">
        <v>0.443</v>
      </c>
      <c r="AC67" s="384" t="n">
        <v>0.676</v>
      </c>
      <c r="AD67" s="2204" t="n">
        <f aca="false">AE67+AF67</f>
        <v>22.8</v>
      </c>
      <c r="AE67" s="2008" t="n">
        <v>17.441</v>
      </c>
      <c r="AF67" s="2023" t="n">
        <v>5.359</v>
      </c>
      <c r="AG67" s="2206"/>
      <c r="AH67" s="387"/>
      <c r="AI67" s="1999"/>
      <c r="AJ67" s="2009" t="n">
        <v>7.788</v>
      </c>
      <c r="AK67" s="2207" t="n">
        <v>9999</v>
      </c>
      <c r="AL67" s="2207" t="e">
        <f aca="false">NA()</f>
        <v>#N/A</v>
      </c>
      <c r="AM67" s="2207" t="e">
        <f aca="false">NA()</f>
        <v>#N/A</v>
      </c>
      <c r="AN67" s="2208" t="n">
        <v>2.533</v>
      </c>
      <c r="AO67" s="2023" t="n">
        <v>0.479</v>
      </c>
      <c r="AP67" s="2023" t="n">
        <v>0.512</v>
      </c>
      <c r="AQ67" s="2023" t="n">
        <v>0</v>
      </c>
      <c r="AR67" s="2023" t="n">
        <v>1.191</v>
      </c>
      <c r="AS67" s="2023" t="n">
        <f aca="false">AN67+AO67-AP67-AC67+AQ67+AR67</f>
        <v>3.015</v>
      </c>
      <c r="AT67" s="2023" t="n">
        <v>0.098</v>
      </c>
      <c r="AU67" s="2105"/>
      <c r="AV67" s="2023"/>
      <c r="AW67" s="2000" t="n">
        <f aca="false">B67+AC67-AN67-AO67+AP67</f>
        <v>34.053</v>
      </c>
      <c r="AX67" s="1997" t="n">
        <f aca="false">V67+O67</f>
        <v>6.269</v>
      </c>
      <c r="AY67" s="514" t="n">
        <f aca="false">AX67/B67</f>
        <v>0.174735903224907</v>
      </c>
      <c r="AZ67" s="2222" t="n">
        <v>13.4416666666667</v>
      </c>
      <c r="BA67" s="401"/>
      <c r="BB67" s="401" t="n">
        <v>85.5</v>
      </c>
      <c r="BC67" s="401" t="n">
        <v>85.9</v>
      </c>
      <c r="BD67" s="401"/>
      <c r="BE67" s="401"/>
      <c r="BF67" s="401"/>
      <c r="BG67" s="401" t="n">
        <v>85</v>
      </c>
      <c r="BH67" s="401" t="n">
        <v>85.3057317219098</v>
      </c>
      <c r="BI67" s="218" t="n">
        <v>59475</v>
      </c>
      <c r="BJ67" s="218" t="n">
        <f aca="false">BI67*(1-BN67)</f>
        <v>34449.266114486</v>
      </c>
      <c r="BK67" s="401" t="n">
        <v>59475</v>
      </c>
      <c r="BL67" s="401"/>
      <c r="BM67" s="401" t="n">
        <f aca="false">BK67*(1-BN67)</f>
        <v>34449.266114486</v>
      </c>
      <c r="BN67" s="2211" t="n">
        <f aca="false">BN66+(BN$73-BN$63)/10</f>
        <v>0.420777366717344</v>
      </c>
      <c r="BO67" s="218" t="n">
        <v>26834</v>
      </c>
      <c r="BP67" s="2221" t="n">
        <f aca="false">BO67-BQ67</f>
        <v>21148.5</v>
      </c>
      <c r="BQ67" s="2221" t="n">
        <f aca="false">BQ66+(BQ$70-BQ$58)/12</f>
        <v>5685.5</v>
      </c>
      <c r="BR67" s="1319" t="n">
        <f aca="false">BQ67/BO67</f>
        <v>0.211876723559663</v>
      </c>
      <c r="BS67" s="401" t="n">
        <f aca="false">BT67+CA67+CB67-CC67</f>
        <v>214.823</v>
      </c>
      <c r="BT67" s="115" t="n">
        <f aca="false">BU67+BW67+BX67+BY67</f>
        <v>179.05</v>
      </c>
      <c r="BU67" s="115" t="n">
        <v>52.6</v>
      </c>
      <c r="BV67" s="514" t="n">
        <f aca="false">BU67/B67</f>
        <v>1.46612035565962</v>
      </c>
      <c r="BW67" s="115" t="n">
        <v>36.95</v>
      </c>
      <c r="BX67" s="115" t="n">
        <v>46.45</v>
      </c>
      <c r="BY67" s="115" t="n">
        <v>43.05</v>
      </c>
      <c r="BZ67" s="514" t="n">
        <f aca="false">BY67/B67</f>
        <v>1.19993310477465</v>
      </c>
      <c r="CA67" s="1509" t="n">
        <f aca="false">CQ67-CW67</f>
        <v>19.826</v>
      </c>
      <c r="CB67" s="2024" t="n">
        <v>15.947</v>
      </c>
      <c r="CC67" s="2019" t="n">
        <v>0</v>
      </c>
      <c r="CD67" s="485" t="n">
        <v>0</v>
      </c>
      <c r="CE67" s="2215" t="n">
        <f aca="false">CB67-CC67</f>
        <v>15.947</v>
      </c>
      <c r="CF67" s="2215" t="n">
        <f aca="false">CB67-CC67-CD67</f>
        <v>15.947</v>
      </c>
      <c r="CG67" s="2024" t="n">
        <f aca="false">CH67-CQ67</f>
        <v>11.6547692307692</v>
      </c>
      <c r="CH67" s="115" t="n">
        <f aca="false">CI67+CJ67+CN67</f>
        <v>31.4807692307692</v>
      </c>
      <c r="CI67" s="1509" t="n">
        <v>7.495</v>
      </c>
      <c r="CJ67" s="1509" t="n">
        <f aca="false">CK67*CL67*CM67</f>
        <v>13.6357692307692</v>
      </c>
      <c r="CK67" s="1509" t="n">
        <v>14.65</v>
      </c>
      <c r="CL67" s="514" t="n">
        <f aca="false">CL66+(CL$76-CL$63)/13</f>
        <v>0.930769230769231</v>
      </c>
      <c r="CM67" s="514" t="n">
        <v>1</v>
      </c>
      <c r="CN67" s="1509" t="n">
        <v>10.35</v>
      </c>
      <c r="CO67" s="2017" t="n">
        <f aca="false">CX67-CP67</f>
        <v>-20.471</v>
      </c>
      <c r="CP67" s="2017" t="n">
        <f aca="false">CQ67+9*(CQ68-CQ67)/12</f>
        <v>20.471</v>
      </c>
      <c r="CQ67" s="1509" t="n">
        <f aca="false">(CR66+CS67+CT67)/1000</f>
        <v>19.826</v>
      </c>
      <c r="CR67" s="115" t="n">
        <v>3523</v>
      </c>
      <c r="CS67" s="115" t="n">
        <v>12245</v>
      </c>
      <c r="CT67" s="2223" t="n">
        <f aca="false">CT66+(CT$70-CT$63)/7</f>
        <v>4354</v>
      </c>
      <c r="CU67" s="485" t="n">
        <v>0</v>
      </c>
      <c r="CV67" s="2017" t="n">
        <v>18.341</v>
      </c>
      <c r="CW67" s="2217" t="n">
        <v>0</v>
      </c>
      <c r="CX67" s="2019" t="n">
        <f aca="false">CY67+(CU66+9/12*(CU67-CU66))/1000</f>
        <v>0</v>
      </c>
      <c r="CY67" s="2019" t="n">
        <f aca="false">CZ67+DA67</f>
        <v>0</v>
      </c>
      <c r="CZ67" s="2017" t="n">
        <v>0</v>
      </c>
      <c r="DA67" s="2017" t="n">
        <v>0</v>
      </c>
      <c r="DB67" s="2019" t="n">
        <v>2.469</v>
      </c>
      <c r="DC67" s="2220" t="n">
        <f aca="false">CG67+BS67</f>
        <v>226.477769230769</v>
      </c>
    </row>
    <row r="68" customFormat="false" ht="12" hidden="false" customHeight="false" outlineLevel="0" collapsed="false">
      <c r="A68" s="31" t="n">
        <v>1905</v>
      </c>
      <c r="B68" s="1994" t="n">
        <f aca="false">H68</f>
        <v>38.681</v>
      </c>
      <c r="C68" s="395" t="n">
        <v>44.181</v>
      </c>
      <c r="D68" s="111" t="n">
        <v>38.909</v>
      </c>
      <c r="E68" s="111" t="n">
        <v>43.28</v>
      </c>
      <c r="F68" s="2219" t="n">
        <v>2.06496111569478</v>
      </c>
      <c r="G68" s="2202" t="n">
        <f aca="false">B68-F68</f>
        <v>36.6160388843052</v>
      </c>
      <c r="H68" s="2000" t="n">
        <f aca="false">I68+J68+O68+Q68+T68</f>
        <v>38.681</v>
      </c>
      <c r="I68" s="1997" t="n">
        <v>28.307</v>
      </c>
      <c r="J68" s="1997" t="n">
        <v>3.216</v>
      </c>
      <c r="K68" s="1997"/>
      <c r="L68" s="1997"/>
      <c r="M68" s="514"/>
      <c r="N68" s="1997"/>
      <c r="O68" s="1997" t="n">
        <v>6.05</v>
      </c>
      <c r="P68" s="1997" t="n">
        <v>0.944459999999997</v>
      </c>
      <c r="Q68" s="1997" t="n">
        <f aca="false">R68-S68</f>
        <v>0.628</v>
      </c>
      <c r="R68" s="1997" t="n">
        <v>8.064</v>
      </c>
      <c r="S68" s="1997" t="n">
        <v>7.436</v>
      </c>
      <c r="T68" s="1997" t="n">
        <v>0.48</v>
      </c>
      <c r="U68" s="1997" t="n">
        <v>0</v>
      </c>
      <c r="V68" s="1999" t="n">
        <v>1.305</v>
      </c>
      <c r="W68" s="384" t="n">
        <f aca="false">X68+AD68</f>
        <v>34.31</v>
      </c>
      <c r="X68" s="2204" t="n">
        <f aca="false">Y68+Z68+AA68+AB68</f>
        <v>10.457</v>
      </c>
      <c r="Y68" s="2008" t="n">
        <v>4.896</v>
      </c>
      <c r="Z68" s="2008" t="n">
        <v>1.964</v>
      </c>
      <c r="AA68" s="2008" t="n">
        <v>3.116</v>
      </c>
      <c r="AB68" s="2009" t="n">
        <v>0.481</v>
      </c>
      <c r="AC68" s="384" t="n">
        <v>0.708</v>
      </c>
      <c r="AD68" s="2204" t="n">
        <f aca="false">AE68+AF68</f>
        <v>23.853</v>
      </c>
      <c r="AE68" s="2008" t="n">
        <v>18.384</v>
      </c>
      <c r="AF68" s="2023" t="n">
        <v>5.469</v>
      </c>
      <c r="AG68" s="2206"/>
      <c r="AH68" s="387"/>
      <c r="AI68" s="1999"/>
      <c r="AJ68" s="2009" t="n">
        <v>8.585</v>
      </c>
      <c r="AK68" s="2207" t="n">
        <v>9926</v>
      </c>
      <c r="AL68" s="2207" t="e">
        <f aca="false">NA()</f>
        <v>#N/A</v>
      </c>
      <c r="AM68" s="2207" t="e">
        <f aca="false">NA()</f>
        <v>#N/A</v>
      </c>
      <c r="AN68" s="2208" t="n">
        <v>2.761</v>
      </c>
      <c r="AO68" s="2023" t="n">
        <v>0.511</v>
      </c>
      <c r="AP68" s="2023" t="n">
        <v>0.53</v>
      </c>
      <c r="AQ68" s="2023" t="n">
        <v>0</v>
      </c>
      <c r="AR68" s="2023" t="n">
        <v>1.27</v>
      </c>
      <c r="AS68" s="2023" t="n">
        <f aca="false">AN68+AO68-AP68-AC68+AQ68+AR68</f>
        <v>3.304</v>
      </c>
      <c r="AT68" s="2023" t="n">
        <v>0.124</v>
      </c>
      <c r="AU68" s="2105"/>
      <c r="AV68" s="2023"/>
      <c r="AW68" s="2000" t="n">
        <f aca="false">B68+AC68-AN68-AO68+AP68</f>
        <v>36.647</v>
      </c>
      <c r="AX68" s="1997" t="n">
        <f aca="false">V68+O68</f>
        <v>7.355</v>
      </c>
      <c r="AY68" s="514" t="n">
        <f aca="false">AX68/B68</f>
        <v>0.19014503244487</v>
      </c>
      <c r="AZ68" s="2222" t="n">
        <v>13.85</v>
      </c>
      <c r="BA68" s="401"/>
      <c r="BB68" s="401" t="n">
        <v>88.2</v>
      </c>
      <c r="BC68" s="401" t="n">
        <v>89.9</v>
      </c>
      <c r="BD68" s="401"/>
      <c r="BE68" s="401"/>
      <c r="BF68" s="401"/>
      <c r="BG68" s="401" t="n">
        <v>87.7</v>
      </c>
      <c r="BH68" s="401" t="n">
        <v>87.9435446119277</v>
      </c>
      <c r="BI68" s="218" t="n">
        <v>60314</v>
      </c>
      <c r="BJ68" s="218" t="n">
        <f aca="false">BI68*(1-BN68)</f>
        <v>34823.9211478642</v>
      </c>
      <c r="BK68" s="401" t="n">
        <v>60314</v>
      </c>
      <c r="BL68" s="401"/>
      <c r="BM68" s="401" t="n">
        <f aca="false">BK68*(1-BN68)</f>
        <v>34823.9211478642</v>
      </c>
      <c r="BN68" s="2211" t="n">
        <f aca="false">BN67+(BN$73-BN$63)/10</f>
        <v>0.422622920916136</v>
      </c>
      <c r="BO68" s="218" t="n">
        <v>27221</v>
      </c>
      <c r="BP68" s="2221" t="n">
        <f aca="false">BO68-BQ68</f>
        <v>21525</v>
      </c>
      <c r="BQ68" s="2221" t="n">
        <f aca="false">BQ67+(BQ$70-BQ$58)/12</f>
        <v>5696</v>
      </c>
      <c r="BR68" s="1319" t="n">
        <f aca="false">BQ68/BO68</f>
        <v>0.209250211233974</v>
      </c>
      <c r="BS68" s="401" t="n">
        <f aca="false">BT68+CA68+CB68-CC68</f>
        <v>226.553</v>
      </c>
      <c r="BT68" s="115" t="n">
        <f aca="false">BU68+BW68+BX68+BY68</f>
        <v>189.25</v>
      </c>
      <c r="BU68" s="115" t="n">
        <v>54.4</v>
      </c>
      <c r="BV68" s="514" t="n">
        <f aca="false">BU68/B68</f>
        <v>1.40637522297769</v>
      </c>
      <c r="BW68" s="115" t="n">
        <v>38.9</v>
      </c>
      <c r="BX68" s="115" t="n">
        <v>50.55</v>
      </c>
      <c r="BY68" s="115" t="n">
        <v>45.4</v>
      </c>
      <c r="BZ68" s="514" t="n">
        <f aca="false">BY68/B68</f>
        <v>1.17370285152917</v>
      </c>
      <c r="CA68" s="1509" t="n">
        <f aca="false">CQ68-CW68</f>
        <v>20.686</v>
      </c>
      <c r="CB68" s="2024" t="n">
        <v>16.617</v>
      </c>
      <c r="CC68" s="2019" t="n">
        <v>0</v>
      </c>
      <c r="CD68" s="485" t="n">
        <v>0</v>
      </c>
      <c r="CE68" s="2215" t="n">
        <f aca="false">CB68-CC68</f>
        <v>16.617</v>
      </c>
      <c r="CF68" s="2215" t="n">
        <f aca="false">CB68-CC68-CD68</f>
        <v>16.617</v>
      </c>
      <c r="CG68" s="2024" t="n">
        <f aca="false">CH68-CQ68</f>
        <v>12.4993846153846</v>
      </c>
      <c r="CH68" s="115" t="n">
        <f aca="false">CI68+CJ68+CN68</f>
        <v>33.1853846153846</v>
      </c>
      <c r="CI68" s="1509" t="n">
        <v>7.93</v>
      </c>
      <c r="CJ68" s="1509" t="n">
        <f aca="false">CK68*CL68*CM68</f>
        <v>14.4053846153846</v>
      </c>
      <c r="CK68" s="1509" t="n">
        <v>15.35</v>
      </c>
      <c r="CL68" s="514" t="n">
        <f aca="false">CL67+(CL$76-CL$63)/13</f>
        <v>0.938461538461538</v>
      </c>
      <c r="CM68" s="514" t="n">
        <v>1</v>
      </c>
      <c r="CN68" s="1509" t="n">
        <v>10.85</v>
      </c>
      <c r="CO68" s="2017" t="n">
        <f aca="false">CX68-CP68</f>
        <v>-21.4915</v>
      </c>
      <c r="CP68" s="2017" t="n">
        <f aca="false">CQ68+9*(CQ69-CQ68)/12</f>
        <v>21.4915</v>
      </c>
      <c r="CQ68" s="1509" t="n">
        <f aca="false">(CR67+CS68+CT68)/1000</f>
        <v>20.686</v>
      </c>
      <c r="CR68" s="115" t="n">
        <v>3818</v>
      </c>
      <c r="CS68" s="115" t="n">
        <v>12495</v>
      </c>
      <c r="CT68" s="2223" t="n">
        <f aca="false">CT67+(CT$70-CT$63)/7</f>
        <v>4668</v>
      </c>
      <c r="CU68" s="485" t="n">
        <v>0</v>
      </c>
      <c r="CV68" s="2017" t="n">
        <v>19.165</v>
      </c>
      <c r="CW68" s="2217" t="n">
        <v>0</v>
      </c>
      <c r="CX68" s="2019" t="n">
        <f aca="false">CY68+(CU67+9/12*(CU68-CU67))/1000</f>
        <v>0</v>
      </c>
      <c r="CY68" s="2019" t="n">
        <f aca="false">CZ68+DA68</f>
        <v>0</v>
      </c>
      <c r="CZ68" s="2017" t="n">
        <v>0</v>
      </c>
      <c r="DA68" s="2017" t="n">
        <v>0</v>
      </c>
      <c r="DB68" s="2019" t="n">
        <v>2.577</v>
      </c>
      <c r="DC68" s="2220" t="n">
        <f aca="false">CG68+BS68</f>
        <v>239.052384615385</v>
      </c>
    </row>
    <row r="69" customFormat="false" ht="12" hidden="false" customHeight="false" outlineLevel="0" collapsed="false">
      <c r="A69" s="31" t="n">
        <v>1906</v>
      </c>
      <c r="B69" s="1994" t="n">
        <f aca="false">H69</f>
        <v>40.346</v>
      </c>
      <c r="C69" s="395" t="n">
        <v>44.091</v>
      </c>
      <c r="D69" s="111" t="n">
        <v>41.824</v>
      </c>
      <c r="E69" s="111" t="n">
        <v>45.362</v>
      </c>
      <c r="F69" s="2219" t="n">
        <v>2.1030147788162</v>
      </c>
      <c r="G69" s="2202" t="n">
        <f aca="false">B69-F69</f>
        <v>38.2429852211838</v>
      </c>
      <c r="H69" s="2000" t="n">
        <f aca="false">I69+J69+O69+Q69+T69</f>
        <v>40.346</v>
      </c>
      <c r="I69" s="1997" t="n">
        <v>29.945</v>
      </c>
      <c r="J69" s="1997" t="n">
        <v>3.5</v>
      </c>
      <c r="K69" s="1997"/>
      <c r="L69" s="1997"/>
      <c r="M69" s="514"/>
      <c r="N69" s="1997"/>
      <c r="O69" s="1997" t="n">
        <v>6.68</v>
      </c>
      <c r="P69" s="1997" t="n">
        <v>1.0351</v>
      </c>
      <c r="Q69" s="1997" t="n">
        <f aca="false">R69-S69</f>
        <v>-0.269</v>
      </c>
      <c r="R69" s="1997" t="n">
        <v>8.17</v>
      </c>
      <c r="S69" s="1997" t="n">
        <v>8.439</v>
      </c>
      <c r="T69" s="1997" t="n">
        <v>0.49</v>
      </c>
      <c r="U69" s="1997" t="n">
        <v>0</v>
      </c>
      <c r="V69" s="1999" t="n">
        <v>0.518</v>
      </c>
      <c r="W69" s="384" t="n">
        <f aca="false">X69+AD69</f>
        <v>36.67</v>
      </c>
      <c r="X69" s="2204" t="n">
        <f aca="false">Y69+Z69+AA69+AB69</f>
        <v>11.223</v>
      </c>
      <c r="Y69" s="2008" t="n">
        <v>5.556</v>
      </c>
      <c r="Z69" s="2008" t="n">
        <v>2.051</v>
      </c>
      <c r="AA69" s="2008" t="n">
        <v>3.128</v>
      </c>
      <c r="AB69" s="2009" t="n">
        <v>0.488</v>
      </c>
      <c r="AC69" s="384" t="n">
        <v>0.748</v>
      </c>
      <c r="AD69" s="2204" t="n">
        <f aca="false">AE69+AF69</f>
        <v>25.447</v>
      </c>
      <c r="AE69" s="2008" t="n">
        <v>19.821</v>
      </c>
      <c r="AF69" s="2023" t="n">
        <v>5.626</v>
      </c>
      <c r="AG69" s="2206"/>
      <c r="AH69" s="387"/>
      <c r="AI69" s="1999"/>
      <c r="AJ69" s="2009" t="n">
        <v>8.754</v>
      </c>
      <c r="AK69" s="2207" t="n">
        <v>9888</v>
      </c>
      <c r="AL69" s="2207" t="e">
        <f aca="false">NA()</f>
        <v>#N/A</v>
      </c>
      <c r="AM69" s="2207" t="e">
        <f aca="false">NA()</f>
        <v>#N/A</v>
      </c>
      <c r="AN69" s="2208" t="n">
        <v>2.931</v>
      </c>
      <c r="AO69" s="2023" t="n">
        <v>0.543</v>
      </c>
      <c r="AP69" s="2023" t="n">
        <v>0.554</v>
      </c>
      <c r="AQ69" s="2023" t="n">
        <v>0</v>
      </c>
      <c r="AR69" s="2023" t="n">
        <v>1.322</v>
      </c>
      <c r="AS69" s="2023" t="n">
        <f aca="false">AN69+AO69-AP69-AC69+AQ69+AR69</f>
        <v>3.494</v>
      </c>
      <c r="AT69" s="2023" t="n">
        <v>0.034</v>
      </c>
      <c r="AU69" s="2105"/>
      <c r="AV69" s="2023"/>
      <c r="AW69" s="2000" t="n">
        <f aca="false">B69+AC69-AN69-AO69+AP69</f>
        <v>38.174</v>
      </c>
      <c r="AX69" s="1997" t="n">
        <f aca="false">V69+O69</f>
        <v>7.198</v>
      </c>
      <c r="AY69" s="514" t="n">
        <f aca="false">AX69/B69</f>
        <v>0.178406781341397</v>
      </c>
      <c r="AZ69" s="2222" t="n">
        <v>14.7916666666667</v>
      </c>
      <c r="BA69" s="401"/>
      <c r="BB69" s="401" t="n">
        <v>92.6</v>
      </c>
      <c r="BC69" s="401" t="n">
        <v>92.2</v>
      </c>
      <c r="BD69" s="401"/>
      <c r="BE69" s="401"/>
      <c r="BF69" s="401"/>
      <c r="BG69" s="401" t="n">
        <v>92.5</v>
      </c>
      <c r="BH69" s="401" t="n">
        <v>92.1058672298228</v>
      </c>
      <c r="BI69" s="218" t="n">
        <v>61153</v>
      </c>
      <c r="BJ69" s="218" t="n">
        <f aca="false">BI69*(1-BN69)</f>
        <v>35195.4793412968</v>
      </c>
      <c r="BK69" s="401" t="n">
        <v>61153</v>
      </c>
      <c r="BL69" s="401"/>
      <c r="BM69" s="401" t="n">
        <f aca="false">BK69*(1-BN69)</f>
        <v>35195.4793412968</v>
      </c>
      <c r="BN69" s="2211" t="n">
        <f aca="false">BN68+(BN$73-BN$63)/10</f>
        <v>0.424468475114928</v>
      </c>
      <c r="BO69" s="218" t="n">
        <v>27734</v>
      </c>
      <c r="BP69" s="2221" t="n">
        <f aca="false">BO69-BQ69</f>
        <v>22027.5</v>
      </c>
      <c r="BQ69" s="2221" t="n">
        <f aca="false">BQ68+(BQ$70-BQ$58)/12</f>
        <v>5706.5</v>
      </c>
      <c r="BR69" s="1319" t="n">
        <f aca="false">BQ69/BO69</f>
        <v>0.205758275041465</v>
      </c>
      <c r="BS69" s="401" t="n">
        <f aca="false">BT69+CA69+CB69-CC69</f>
        <v>242.3915</v>
      </c>
      <c r="BT69" s="115" t="n">
        <f aca="false">BU69+BW69+BX69+BY69</f>
        <v>203.35</v>
      </c>
      <c r="BU69" s="115" t="n">
        <v>56.05</v>
      </c>
      <c r="BV69" s="514" t="n">
        <f aca="false">BU69/B69</f>
        <v>1.38923313339612</v>
      </c>
      <c r="BW69" s="115" t="n">
        <v>41.65</v>
      </c>
      <c r="BX69" s="115" t="n">
        <v>57.55</v>
      </c>
      <c r="BY69" s="115" t="n">
        <v>48.1</v>
      </c>
      <c r="BZ69" s="514" t="n">
        <f aca="false">BY69/B69</f>
        <v>1.19218757745501</v>
      </c>
      <c r="CA69" s="1509" t="n">
        <f aca="false">CQ69-CW69</f>
        <v>21.76</v>
      </c>
      <c r="CB69" s="2024" t="n">
        <v>17.2815</v>
      </c>
      <c r="CC69" s="2019" t="n">
        <v>0</v>
      </c>
      <c r="CD69" s="485" t="n">
        <v>0</v>
      </c>
      <c r="CE69" s="2215" t="n">
        <f aca="false">CB69-CC69</f>
        <v>17.2815</v>
      </c>
      <c r="CF69" s="2215" t="n">
        <f aca="false">CB69-CC69-CD69</f>
        <v>17.2815</v>
      </c>
      <c r="CG69" s="2024" t="n">
        <f aca="false">CH69-CQ69</f>
        <v>13.7811538461538</v>
      </c>
      <c r="CH69" s="115" t="n">
        <f aca="false">CI69+CJ69+CN69</f>
        <v>35.5411538461539</v>
      </c>
      <c r="CI69" s="1509" t="n">
        <v>8.385</v>
      </c>
      <c r="CJ69" s="1509" t="n">
        <f aca="false">CK69*CL69*CM69</f>
        <v>15.7061538461538</v>
      </c>
      <c r="CK69" s="1509" t="n">
        <v>16.6</v>
      </c>
      <c r="CL69" s="514" t="n">
        <f aca="false">CL68+(CL$76-CL$63)/13</f>
        <v>0.946153846153846</v>
      </c>
      <c r="CM69" s="514" t="n">
        <v>1</v>
      </c>
      <c r="CN69" s="1509" t="n">
        <v>11.45</v>
      </c>
      <c r="CO69" s="2017" t="n">
        <f aca="false">CX69-CP69</f>
        <v>-22.48375</v>
      </c>
      <c r="CP69" s="2017" t="n">
        <f aca="false">CQ69+9*(CQ70-CQ69)/12</f>
        <v>22.48375</v>
      </c>
      <c r="CQ69" s="1509" t="n">
        <f aca="false">(CR68+CS69+CT69)/1000</f>
        <v>21.76</v>
      </c>
      <c r="CR69" s="115" t="n">
        <v>4127</v>
      </c>
      <c r="CS69" s="115" t="n">
        <v>12960</v>
      </c>
      <c r="CT69" s="2223" t="n">
        <f aca="false">CT68+(CT$70-CT$63)/7</f>
        <v>4982</v>
      </c>
      <c r="CU69" s="485" t="n">
        <v>0</v>
      </c>
      <c r="CV69" s="2017" t="n">
        <v>20.165</v>
      </c>
      <c r="CW69" s="2217" t="n">
        <v>0</v>
      </c>
      <c r="CX69" s="2019" t="n">
        <f aca="false">CY69+(CU68+9/12*(CU69-CU68))/1000</f>
        <v>0</v>
      </c>
      <c r="CY69" s="2019" t="n">
        <f aca="false">CZ69+DA69</f>
        <v>0</v>
      </c>
      <c r="CZ69" s="2017" t="n">
        <v>0</v>
      </c>
      <c r="DA69" s="2017" t="n">
        <v>0</v>
      </c>
      <c r="DB69" s="2019" t="n">
        <v>2.738</v>
      </c>
      <c r="DC69" s="2220" t="n">
        <f aca="false">CG69+BS69</f>
        <v>256.172653846154</v>
      </c>
    </row>
    <row r="70" customFormat="false" ht="12" hidden="false" customHeight="false" outlineLevel="0" collapsed="false">
      <c r="A70" s="31" t="n">
        <v>1907</v>
      </c>
      <c r="B70" s="1994" t="n">
        <f aca="false">H70</f>
        <v>42.973</v>
      </c>
      <c r="C70" s="395" t="n">
        <v>46.12</v>
      </c>
      <c r="D70" s="111" t="n">
        <v>43.809</v>
      </c>
      <c r="E70" s="111" t="n">
        <v>47.056</v>
      </c>
      <c r="F70" s="2219" t="n">
        <v>2.222131947688</v>
      </c>
      <c r="G70" s="2202" t="n">
        <f aca="false">B70-F70</f>
        <v>40.750868052312</v>
      </c>
      <c r="H70" s="2000" t="n">
        <f aca="false">I70+J70+O70+Q70+T70</f>
        <v>42.973</v>
      </c>
      <c r="I70" s="1997" t="n">
        <v>31.468</v>
      </c>
      <c r="J70" s="1997" t="n">
        <v>3.742</v>
      </c>
      <c r="K70" s="1997"/>
      <c r="L70" s="1997"/>
      <c r="M70" s="514"/>
      <c r="N70" s="1997"/>
      <c r="O70" s="1997" t="n">
        <v>7.61</v>
      </c>
      <c r="P70" s="1997" t="n">
        <v>1.31271</v>
      </c>
      <c r="Q70" s="1997" t="n">
        <f aca="false">R70-S70</f>
        <v>-0.337</v>
      </c>
      <c r="R70" s="1997" t="n">
        <v>8.664</v>
      </c>
      <c r="S70" s="1997" t="n">
        <v>9.001</v>
      </c>
      <c r="T70" s="1997" t="n">
        <v>0.49</v>
      </c>
      <c r="U70" s="1997" t="n">
        <v>0</v>
      </c>
      <c r="V70" s="1999" t="n">
        <v>0.156</v>
      </c>
      <c r="W70" s="384" t="n">
        <f aca="false">X70+AD70</f>
        <v>38.664</v>
      </c>
      <c r="X70" s="2204" t="n">
        <f aca="false">Y70+Z70+AA70+AB70</f>
        <v>11.671</v>
      </c>
      <c r="Y70" s="2008" t="n">
        <v>5.954</v>
      </c>
      <c r="Z70" s="2008" t="n">
        <v>2.145</v>
      </c>
      <c r="AA70" s="2008" t="n">
        <v>3.079</v>
      </c>
      <c r="AB70" s="2009" t="n">
        <v>0.493</v>
      </c>
      <c r="AC70" s="384" t="n">
        <v>0.791</v>
      </c>
      <c r="AD70" s="2204" t="n">
        <f aca="false">AE70+AF70</f>
        <v>26.993</v>
      </c>
      <c r="AE70" s="2008" t="n">
        <v>21.213</v>
      </c>
      <c r="AF70" s="2023" t="n">
        <v>5.78</v>
      </c>
      <c r="AG70" s="2206"/>
      <c r="AH70" s="387"/>
      <c r="AI70" s="1999"/>
      <c r="AJ70" s="2009" t="n">
        <v>8.859</v>
      </c>
      <c r="AK70" s="2207" t="n">
        <v>9897</v>
      </c>
      <c r="AL70" s="2207" t="n">
        <v>2497</v>
      </c>
      <c r="AM70" s="2207" t="n">
        <v>5717</v>
      </c>
      <c r="AN70" s="2208" t="n">
        <v>3.174</v>
      </c>
      <c r="AO70" s="2023" t="n">
        <v>0.569</v>
      </c>
      <c r="AP70" s="2023" t="n">
        <v>0.577</v>
      </c>
      <c r="AQ70" s="2023" t="n">
        <v>0</v>
      </c>
      <c r="AR70" s="2023" t="n">
        <v>1.143</v>
      </c>
      <c r="AS70" s="2023" t="n">
        <f aca="false">AN70+AO70-AP70-AC70+AQ70+AR70</f>
        <v>3.518</v>
      </c>
      <c r="AT70" s="2023" t="n">
        <v>-0.181</v>
      </c>
      <c r="AU70" s="2105"/>
      <c r="AV70" s="2023"/>
      <c r="AW70" s="2000" t="n">
        <f aca="false">B70+AC70-AN70-AO70+AP70</f>
        <v>40.598</v>
      </c>
      <c r="AX70" s="1997" t="n">
        <f aca="false">V70+O70</f>
        <v>7.766</v>
      </c>
      <c r="AY70" s="514" t="n">
        <f aca="false">AX70/B70</f>
        <v>0.180718125334512</v>
      </c>
      <c r="AZ70" s="2222" t="n">
        <v>15.05</v>
      </c>
      <c r="BA70" s="401"/>
      <c r="BB70" s="401" t="n">
        <v>93.2</v>
      </c>
      <c r="BC70" s="401" t="n">
        <v>93.1</v>
      </c>
      <c r="BD70" s="401"/>
      <c r="BE70" s="401"/>
      <c r="BF70" s="401"/>
      <c r="BG70" s="401" t="n">
        <v>92</v>
      </c>
      <c r="BH70" s="401" t="n">
        <v>93.1537842365175</v>
      </c>
      <c r="BI70" s="218" t="n">
        <v>62013</v>
      </c>
      <c r="BJ70" s="218" t="n">
        <f aca="false">BI70*(1-BN70)</f>
        <v>35575.9881001683</v>
      </c>
      <c r="BK70" s="401" t="n">
        <v>62013</v>
      </c>
      <c r="BL70" s="401"/>
      <c r="BM70" s="401" t="n">
        <f aca="false">BK70*(1-BN70)</f>
        <v>35575.9881001683</v>
      </c>
      <c r="BN70" s="2211" t="n">
        <f aca="false">BN69+(BN$73-BN$63)/10</f>
        <v>0.42631402931372</v>
      </c>
      <c r="BO70" s="218" t="n">
        <v>28166</v>
      </c>
      <c r="BP70" s="218" t="n">
        <f aca="false">BO70-BQ70</f>
        <v>22449</v>
      </c>
      <c r="BQ70" s="218" t="n">
        <v>5717</v>
      </c>
      <c r="BR70" s="1319" t="n">
        <f aca="false">BQ70/BO70</f>
        <v>0.202975218348363</v>
      </c>
      <c r="BS70" s="401" t="n">
        <f aca="false">BT70+CA70+CB70-CC70</f>
        <v>257.393</v>
      </c>
      <c r="BT70" s="115" t="n">
        <f aca="false">BU70+BW70+BX70+BY70</f>
        <v>217.2</v>
      </c>
      <c r="BU70" s="115" t="n">
        <v>57.55</v>
      </c>
      <c r="BV70" s="514" t="n">
        <f aca="false">BU70/B70</f>
        <v>1.33921299420566</v>
      </c>
      <c r="BW70" s="115" t="n">
        <v>43.4</v>
      </c>
      <c r="BX70" s="115" t="n">
        <v>65.2</v>
      </c>
      <c r="BY70" s="115" t="n">
        <v>51.05</v>
      </c>
      <c r="BZ70" s="514" t="n">
        <f aca="false">BY70/B70</f>
        <v>1.18795522770111</v>
      </c>
      <c r="CA70" s="1509" t="n">
        <f aca="false">CQ70-CW70</f>
        <v>22.725</v>
      </c>
      <c r="CB70" s="2024" t="n">
        <v>17.468</v>
      </c>
      <c r="CC70" s="2019" t="n">
        <v>0</v>
      </c>
      <c r="CD70" s="485" t="n">
        <v>0</v>
      </c>
      <c r="CE70" s="2215" t="n">
        <f aca="false">CB70-CC70</f>
        <v>17.468</v>
      </c>
      <c r="CF70" s="2215" t="n">
        <f aca="false">CB70-CC70-CD70</f>
        <v>17.468</v>
      </c>
      <c r="CG70" s="2024" t="n">
        <f aca="false">CH70-CQ70</f>
        <v>15.5119230769231</v>
      </c>
      <c r="CH70" s="115" t="n">
        <f aca="false">CI70+CJ70+CN70</f>
        <v>38.2369230769231</v>
      </c>
      <c r="CI70" s="1509" t="n">
        <v>8.87</v>
      </c>
      <c r="CJ70" s="1509" t="n">
        <f aca="false">CK70*CL70*CM70</f>
        <v>17.2169230769231</v>
      </c>
      <c r="CK70" s="1509" t="n">
        <v>18.05</v>
      </c>
      <c r="CL70" s="514" t="n">
        <f aca="false">CL69+(CL$76-CL$63)/13</f>
        <v>0.953846153846154</v>
      </c>
      <c r="CM70" s="514" t="n">
        <v>1</v>
      </c>
      <c r="CN70" s="1509" t="n">
        <v>12.15</v>
      </c>
      <c r="CO70" s="2017" t="n">
        <f aca="false">CX70-CP70</f>
        <v>-24.31525</v>
      </c>
      <c r="CP70" s="2017" t="n">
        <f aca="false">CQ70+9*(CQ71-CQ70)/12</f>
        <v>24.31525</v>
      </c>
      <c r="CQ70" s="1509" t="n">
        <f aca="false">(CR69+CS70+CT70)/1000</f>
        <v>22.725</v>
      </c>
      <c r="CR70" s="115" t="n">
        <v>4352</v>
      </c>
      <c r="CS70" s="115" t="n">
        <v>13302</v>
      </c>
      <c r="CT70" s="115" t="n">
        <v>5296</v>
      </c>
      <c r="CU70" s="485" t="n">
        <v>0</v>
      </c>
      <c r="CV70" s="2017" t="n">
        <v>20.968</v>
      </c>
      <c r="CW70" s="2217" t="n">
        <v>0</v>
      </c>
      <c r="CX70" s="2019" t="n">
        <f aca="false">CY70+(CU69+9/12*(CU70-CU69))/1000</f>
        <v>0</v>
      </c>
      <c r="CY70" s="2019" t="n">
        <f aca="false">CZ70+DA70</f>
        <v>0</v>
      </c>
      <c r="CZ70" s="2017" t="n">
        <v>0</v>
      </c>
      <c r="DA70" s="2017" t="n">
        <v>0</v>
      </c>
      <c r="DB70" s="2019" t="n">
        <v>2.873</v>
      </c>
      <c r="DC70" s="2220" t="n">
        <f aca="false">CG70+BS70</f>
        <v>272.904923076923</v>
      </c>
    </row>
    <row r="71" customFormat="false" ht="12" hidden="false" customHeight="false" outlineLevel="0" collapsed="false">
      <c r="A71" s="31" t="n">
        <v>1908</v>
      </c>
      <c r="B71" s="1994" t="n">
        <f aca="false">H71</f>
        <v>42.112</v>
      </c>
      <c r="C71" s="395" t="n">
        <v>46.19</v>
      </c>
      <c r="D71" s="111" t="n">
        <v>45.028</v>
      </c>
      <c r="E71" s="111" t="n">
        <v>49.319</v>
      </c>
      <c r="F71" s="2219" t="n">
        <v>2.25092963900296</v>
      </c>
      <c r="G71" s="2202" t="n">
        <f aca="false">B71-F71</f>
        <v>39.861070360997</v>
      </c>
      <c r="H71" s="2000" t="n">
        <f aca="false">I71+J71+O71+Q71+T71</f>
        <v>42.112</v>
      </c>
      <c r="I71" s="1997" t="n">
        <v>32.533</v>
      </c>
      <c r="J71" s="1997" t="n">
        <v>3.741</v>
      </c>
      <c r="K71" s="1997"/>
      <c r="L71" s="1997"/>
      <c r="M71" s="514"/>
      <c r="N71" s="1997"/>
      <c r="O71" s="1997" t="n">
        <v>5.61</v>
      </c>
      <c r="P71" s="1997" t="n">
        <v>1.26451</v>
      </c>
      <c r="Q71" s="1997" t="n">
        <f aca="false">R71-S71</f>
        <v>-0.271999999999999</v>
      </c>
      <c r="R71" s="1997" t="n">
        <v>7.806</v>
      </c>
      <c r="S71" s="1997" t="n">
        <v>8.078</v>
      </c>
      <c r="T71" s="1997" t="n">
        <v>0.5</v>
      </c>
      <c r="U71" s="1997" t="n">
        <v>0</v>
      </c>
      <c r="V71" s="1999" t="n">
        <v>0.557</v>
      </c>
      <c r="W71" s="384" t="n">
        <f aca="false">X71+AD71</f>
        <v>38.542</v>
      </c>
      <c r="X71" s="2204" t="n">
        <f aca="false">Y71+Z71+AA71+AB71</f>
        <v>11.275</v>
      </c>
      <c r="Y71" s="2008" t="n">
        <v>5.376</v>
      </c>
      <c r="Z71" s="2008" t="n">
        <v>2.241</v>
      </c>
      <c r="AA71" s="2008" t="n">
        <v>3.158</v>
      </c>
      <c r="AB71" s="2009" t="n">
        <v>0.5</v>
      </c>
      <c r="AC71" s="384" t="n">
        <v>0.85</v>
      </c>
      <c r="AD71" s="2204" t="n">
        <f aca="false">AE71+AF71</f>
        <v>27.267</v>
      </c>
      <c r="AE71" s="2008" t="n">
        <v>21.28</v>
      </c>
      <c r="AF71" s="2023" t="n">
        <v>5.987</v>
      </c>
      <c r="AG71" s="2206"/>
      <c r="AH71" s="387"/>
      <c r="AI71" s="1999"/>
      <c r="AJ71" s="2009" t="n">
        <v>9.145</v>
      </c>
      <c r="AK71" s="2207" t="n">
        <v>10096</v>
      </c>
      <c r="AL71" s="2207" t="e">
        <f aca="false">NA()</f>
        <v>#N/A</v>
      </c>
      <c r="AM71" s="2207" t="e">
        <f aca="false">NA()</f>
        <v>#N/A</v>
      </c>
      <c r="AN71" s="2208" t="n">
        <v>3.269</v>
      </c>
      <c r="AO71" s="2023" t="n">
        <v>0.598</v>
      </c>
      <c r="AP71" s="2023" t="n">
        <v>0.596</v>
      </c>
      <c r="AQ71" s="2023" t="n">
        <v>0</v>
      </c>
      <c r="AR71" s="2023" t="n">
        <v>1.181</v>
      </c>
      <c r="AS71" s="2023" t="n">
        <f aca="false">AN71+AO71-AP71-AC71+AQ71+AR71</f>
        <v>3.602</v>
      </c>
      <c r="AT71" s="2023" t="n">
        <v>-0.092</v>
      </c>
      <c r="AU71" s="2105"/>
      <c r="AV71" s="2023"/>
      <c r="AW71" s="2000" t="n">
        <f aca="false">B71+AC71-AN71-AO71+AP71</f>
        <v>39.691</v>
      </c>
      <c r="AX71" s="1997" t="n">
        <f aca="false">V71+O71</f>
        <v>6.167</v>
      </c>
      <c r="AY71" s="514" t="n">
        <f aca="false">AX71/B71</f>
        <v>0.146442819148936</v>
      </c>
      <c r="AZ71" s="2222" t="n">
        <v>15</v>
      </c>
      <c r="BA71" s="401" t="n">
        <v>100</v>
      </c>
      <c r="BB71" s="401" t="n">
        <v>91.8</v>
      </c>
      <c r="BC71" s="401" t="n">
        <v>91.3</v>
      </c>
      <c r="BD71" s="401"/>
      <c r="BE71" s="401"/>
      <c r="BF71" s="401"/>
      <c r="BG71" s="401" t="n">
        <v>91.5</v>
      </c>
      <c r="BH71" s="401" t="n">
        <v>91.828725526737</v>
      </c>
      <c r="BI71" s="218" t="n">
        <v>62863</v>
      </c>
      <c r="BJ71" s="218" t="n">
        <f aca="false">BI71*(1-BN71)</f>
        <v>35947.604101653</v>
      </c>
      <c r="BK71" s="401" t="n">
        <v>62863</v>
      </c>
      <c r="BL71" s="401"/>
      <c r="BM71" s="401" t="n">
        <f aca="false">BK71*(1-BN71)</f>
        <v>35947.604101653</v>
      </c>
      <c r="BN71" s="2211" t="n">
        <f aca="false">BN70+(BN$73-BN$63)/10</f>
        <v>0.428159583512512</v>
      </c>
      <c r="BO71" s="218" t="n">
        <v>28350</v>
      </c>
      <c r="BP71" s="218"/>
      <c r="BQ71" s="218"/>
      <c r="BR71" s="2212"/>
      <c r="BS71" s="401" t="n">
        <f aca="false">BT71+CA71+CB71-CC71</f>
        <v>263.503333333333</v>
      </c>
      <c r="BT71" s="115" t="n">
        <f aca="false">BU71+BW71+BX71+BY71</f>
        <v>221</v>
      </c>
      <c r="BU71" s="115" t="n">
        <v>59.1</v>
      </c>
      <c r="BV71" s="514" t="n">
        <f aca="false">BU71/B71</f>
        <v>1.40340045592705</v>
      </c>
      <c r="BW71" s="115" t="n">
        <v>43.6</v>
      </c>
      <c r="BX71" s="115" t="n">
        <v>65</v>
      </c>
      <c r="BY71" s="115" t="n">
        <v>53.3</v>
      </c>
      <c r="BZ71" s="514" t="n">
        <f aca="false">BY71/B71</f>
        <v>1.26567249240122</v>
      </c>
      <c r="CA71" s="1509" t="n">
        <f aca="false">CQ71-CW71</f>
        <v>24.8453333333333</v>
      </c>
      <c r="CB71" s="2024" t="n">
        <v>17.658</v>
      </c>
      <c r="CC71" s="2019" t="n">
        <v>0</v>
      </c>
      <c r="CD71" s="485" t="n">
        <v>0</v>
      </c>
      <c r="CE71" s="2215" t="n">
        <f aca="false">CB71-CC71</f>
        <v>17.658</v>
      </c>
      <c r="CF71" s="2215" t="n">
        <f aca="false">CB71-CC71-CD71</f>
        <v>17.658</v>
      </c>
      <c r="CG71" s="2024" t="n">
        <f aca="false">CH71-CQ71</f>
        <v>14.7500512820513</v>
      </c>
      <c r="CH71" s="115" t="n">
        <f aca="false">CI71+CJ71+CN71</f>
        <v>39.5953846153846</v>
      </c>
      <c r="CI71" s="1509" t="n">
        <v>9.255</v>
      </c>
      <c r="CJ71" s="1509" t="n">
        <f aca="false">CK71*CL71*CM71</f>
        <v>17.7403846153846</v>
      </c>
      <c r="CK71" s="1509" t="n">
        <v>18.45</v>
      </c>
      <c r="CL71" s="514" t="n">
        <f aca="false">CL70+(CL$76-CL$63)/13</f>
        <v>0.961538461538461</v>
      </c>
      <c r="CM71" s="514" t="n">
        <v>1</v>
      </c>
      <c r="CN71" s="1509" t="n">
        <v>12.6</v>
      </c>
      <c r="CO71" s="2017" t="n">
        <f aca="false">CX71-CP71</f>
        <v>-26.7640833333333</v>
      </c>
      <c r="CP71" s="2017" t="n">
        <f aca="false">CQ71+9*(CQ72-CQ71)/12</f>
        <v>26.7640833333333</v>
      </c>
      <c r="CQ71" s="1509" t="n">
        <f aca="false">(CR70+CS71+CT71)/1000</f>
        <v>24.8453333333333</v>
      </c>
      <c r="CR71" s="115" t="n">
        <v>4847</v>
      </c>
      <c r="CS71" s="115" t="n">
        <v>14280</v>
      </c>
      <c r="CT71" s="2223" t="n">
        <f aca="false">CT70+(CT$76-CT$70)/6</f>
        <v>6213.33333333333</v>
      </c>
      <c r="CU71" s="485" t="n">
        <v>0</v>
      </c>
      <c r="CV71" s="2017" t="n">
        <v>22.454</v>
      </c>
      <c r="CW71" s="2217" t="n">
        <v>0</v>
      </c>
      <c r="CX71" s="2019" t="n">
        <f aca="false">CY71+(CU70+9/12*(CU71-CU70))/1000</f>
        <v>0</v>
      </c>
      <c r="CY71" s="2019" t="n">
        <f aca="false">CZ71+DA71</f>
        <v>0</v>
      </c>
      <c r="CZ71" s="2017" t="n">
        <v>0</v>
      </c>
      <c r="DA71" s="2017" t="n">
        <v>0</v>
      </c>
      <c r="DB71" s="2019" t="n">
        <v>2.943</v>
      </c>
      <c r="DC71" s="2220" t="n">
        <f aca="false">CG71+BS71</f>
        <v>278.253384615385</v>
      </c>
    </row>
    <row r="72" customFormat="false" ht="12" hidden="false" customHeight="false" outlineLevel="0" collapsed="false">
      <c r="A72" s="31" t="n">
        <v>1909</v>
      </c>
      <c r="B72" s="1994" t="n">
        <f aca="false">H72</f>
        <v>44.289</v>
      </c>
      <c r="C72" s="395" t="n">
        <v>47.321</v>
      </c>
      <c r="D72" s="111" t="n">
        <v>47.14</v>
      </c>
      <c r="E72" s="111" t="n">
        <v>50.417</v>
      </c>
      <c r="F72" s="2219" t="n">
        <v>2.51582248924694</v>
      </c>
      <c r="G72" s="2202" t="n">
        <f aca="false">B72-F72</f>
        <v>41.7731775107531</v>
      </c>
      <c r="H72" s="2000" t="n">
        <f aca="false">I72+J72+O72+Q72+T72</f>
        <v>44.289</v>
      </c>
      <c r="I72" s="1997" t="n">
        <v>33.919</v>
      </c>
      <c r="J72" s="1997" t="n">
        <v>3.982</v>
      </c>
      <c r="K72" s="1997"/>
      <c r="L72" s="1997"/>
      <c r="M72" s="514"/>
      <c r="N72" s="1997"/>
      <c r="O72" s="1997" t="n">
        <v>6.04</v>
      </c>
      <c r="P72" s="1997" t="n">
        <v>1.33152</v>
      </c>
      <c r="Q72" s="1997" t="n">
        <f aca="false">R72-S72</f>
        <v>-0.162000000000001</v>
      </c>
      <c r="R72" s="1997" t="n">
        <v>8.699</v>
      </c>
      <c r="S72" s="1997" t="n">
        <v>8.861</v>
      </c>
      <c r="T72" s="1997" t="n">
        <v>0.51</v>
      </c>
      <c r="U72" s="1997" t="n">
        <v>0</v>
      </c>
      <c r="V72" s="1999" t="n">
        <v>0.417</v>
      </c>
      <c r="W72" s="384" t="n">
        <f aca="false">X72+AD72</f>
        <v>39.508</v>
      </c>
      <c r="X72" s="2204" t="n">
        <f aca="false">Y72+Z72+AA72+AB72</f>
        <v>11.548</v>
      </c>
      <c r="Y72" s="2008" t="n">
        <v>5.432</v>
      </c>
      <c r="Z72" s="2008" t="n">
        <v>2.314</v>
      </c>
      <c r="AA72" s="2008" t="n">
        <v>3.291</v>
      </c>
      <c r="AB72" s="2009" t="n">
        <v>0.511</v>
      </c>
      <c r="AC72" s="384" t="n">
        <v>0.937</v>
      </c>
      <c r="AD72" s="2204" t="n">
        <f aca="false">AE72+AF72</f>
        <v>27.96</v>
      </c>
      <c r="AE72" s="2008" t="n">
        <v>21.657</v>
      </c>
      <c r="AF72" s="2023" t="n">
        <v>6.303</v>
      </c>
      <c r="AG72" s="2206"/>
      <c r="AH72" s="387"/>
      <c r="AI72" s="1999"/>
      <c r="AJ72" s="2009" t="n">
        <v>9.594</v>
      </c>
      <c r="AK72" s="2207" t="n">
        <v>10350</v>
      </c>
      <c r="AL72" s="2207" t="e">
        <f aca="false">NA()</f>
        <v>#N/A</v>
      </c>
      <c r="AM72" s="2207" t="e">
        <f aca="false">NA()</f>
        <v>#N/A</v>
      </c>
      <c r="AN72" s="2208" t="n">
        <v>3.691</v>
      </c>
      <c r="AO72" s="2023" t="n">
        <v>0.641</v>
      </c>
      <c r="AP72" s="2023" t="n">
        <v>0.579</v>
      </c>
      <c r="AQ72" s="2023" t="n">
        <v>0</v>
      </c>
      <c r="AR72" s="2023" t="n">
        <v>1.17</v>
      </c>
      <c r="AS72" s="2023" t="n">
        <f aca="false">AN72+AO72-AP72-AC72+AQ72+AR72</f>
        <v>3.986</v>
      </c>
      <c r="AT72" s="2023" t="n">
        <v>0.056</v>
      </c>
      <c r="AU72" s="2105"/>
      <c r="AV72" s="2023"/>
      <c r="AW72" s="2000" t="n">
        <f aca="false">B72+AC72-AN72-AO72+AP72</f>
        <v>41.473</v>
      </c>
      <c r="AX72" s="1997" t="n">
        <f aca="false">V72+O72</f>
        <v>6.457</v>
      </c>
      <c r="AY72" s="514" t="n">
        <f aca="false">AX72/B72</f>
        <v>0.145792408950304</v>
      </c>
      <c r="AZ72" s="2222" t="n">
        <v>15.2916666666667</v>
      </c>
      <c r="BA72" s="401" t="n">
        <v>100</v>
      </c>
      <c r="BB72" s="401" t="n">
        <v>93.9</v>
      </c>
      <c r="BC72" s="401" t="n">
        <v>93.5</v>
      </c>
      <c r="BD72" s="401"/>
      <c r="BE72" s="401"/>
      <c r="BF72" s="401"/>
      <c r="BG72" s="401" t="n">
        <v>94.5</v>
      </c>
      <c r="BH72" s="401" t="n">
        <v>93.726803464016</v>
      </c>
      <c r="BI72" s="218" t="n">
        <v>63717</v>
      </c>
      <c r="BJ72" s="218" t="n">
        <f aca="false">BI72*(1-BN72)</f>
        <v>36318.3626404489</v>
      </c>
      <c r="BK72" s="401" t="n">
        <v>63717</v>
      </c>
      <c r="BL72" s="401"/>
      <c r="BM72" s="401" t="n">
        <f aca="false">BK72*(1-BN72)</f>
        <v>36318.3626404489</v>
      </c>
      <c r="BN72" s="2211" t="n">
        <f aca="false">BN71+(BN$73-BN$63)/10</f>
        <v>0.430005137711303</v>
      </c>
      <c r="BO72" s="218" t="n">
        <v>28762</v>
      </c>
      <c r="BP72" s="218"/>
      <c r="BQ72" s="218"/>
      <c r="BR72" s="2212"/>
      <c r="BS72" s="401" t="n">
        <f aca="false">BT72+CA72+CB72-CC72</f>
        <v>266.949666666667</v>
      </c>
      <c r="BT72" s="115" t="n">
        <f aca="false">BU72+BW72+BX72+BY72</f>
        <v>221.6</v>
      </c>
      <c r="BU72" s="115" t="n">
        <v>61.25</v>
      </c>
      <c r="BV72" s="514" t="n">
        <f aca="false">BU72/B72</f>
        <v>1.3829619092777</v>
      </c>
      <c r="BW72" s="115" t="n">
        <v>43.85</v>
      </c>
      <c r="BX72" s="115" t="n">
        <v>61.35</v>
      </c>
      <c r="BY72" s="115" t="n">
        <v>55.15</v>
      </c>
      <c r="BZ72" s="514" t="n">
        <f aca="false">BY72/B72</f>
        <v>1.24523019259861</v>
      </c>
      <c r="CA72" s="1509" t="n">
        <f aca="false">CQ72-CW72</f>
        <v>27.4036666666667</v>
      </c>
      <c r="CB72" s="2024" t="n">
        <v>17.946</v>
      </c>
      <c r="CC72" s="2019" t="n">
        <v>0</v>
      </c>
      <c r="CD72" s="485" t="n">
        <v>0</v>
      </c>
      <c r="CE72" s="2215" t="n">
        <f aca="false">CB72-CC72</f>
        <v>17.946</v>
      </c>
      <c r="CF72" s="2215" t="n">
        <f aca="false">CB72-CC72-CD72</f>
        <v>17.946</v>
      </c>
      <c r="CG72" s="2024" t="n">
        <f aca="false">CH72-CQ72</f>
        <v>12.7982564102564</v>
      </c>
      <c r="CH72" s="115" t="n">
        <f aca="false">CI72+CJ72+CN72</f>
        <v>40.2019230769231</v>
      </c>
      <c r="CI72" s="1509" t="n">
        <v>9.615</v>
      </c>
      <c r="CJ72" s="1509" t="n">
        <f aca="false">CK72*CL72*CM72</f>
        <v>17.7369230769231</v>
      </c>
      <c r="CK72" s="1509" t="n">
        <v>18.3</v>
      </c>
      <c r="CL72" s="514" t="n">
        <f aca="false">CL71+(CL$76-CL$63)/13</f>
        <v>0.969230769230769</v>
      </c>
      <c r="CM72" s="514" t="n">
        <v>1</v>
      </c>
      <c r="CN72" s="1509" t="n">
        <v>12.85</v>
      </c>
      <c r="CO72" s="2017" t="n">
        <f aca="false">CX72-CP72</f>
        <v>-28.4201666666667</v>
      </c>
      <c r="CP72" s="2017" t="n">
        <f aca="false">CQ72+9*(CQ73-CQ72)/12</f>
        <v>28.4201666666667</v>
      </c>
      <c r="CQ72" s="1509" t="n">
        <f aca="false">(CR71+CS72+CT72)/1000</f>
        <v>27.4036666666667</v>
      </c>
      <c r="CR72" s="115" t="n">
        <v>5140</v>
      </c>
      <c r="CS72" s="115" t="n">
        <v>15426</v>
      </c>
      <c r="CT72" s="2223" t="n">
        <f aca="false">CT71+(CT$76-CT$70)/6</f>
        <v>7130.66666666667</v>
      </c>
      <c r="CU72" s="485" t="n">
        <v>0</v>
      </c>
      <c r="CV72" s="2017" t="n">
        <v>24.369</v>
      </c>
      <c r="CW72" s="2217" t="n">
        <v>0</v>
      </c>
      <c r="CX72" s="2019" t="n">
        <f aca="false">CY72+(CU71+9/12*(CU72-CU71))/1000</f>
        <v>0</v>
      </c>
      <c r="CY72" s="2019" t="n">
        <f aca="false">CZ72+DA72</f>
        <v>0</v>
      </c>
      <c r="CZ72" s="2017" t="n">
        <v>0</v>
      </c>
      <c r="DA72" s="2017" t="n">
        <v>0</v>
      </c>
      <c r="DB72" s="2019" t="n">
        <v>3.047</v>
      </c>
      <c r="DC72" s="2220" t="n">
        <f aca="false">CG72+BS72</f>
        <v>279.747923076923</v>
      </c>
    </row>
    <row r="73" customFormat="false" ht="12" hidden="false" customHeight="false" outlineLevel="0" collapsed="false">
      <c r="A73" s="31" t="n">
        <v>1910</v>
      </c>
      <c r="B73" s="1994" t="n">
        <f aca="false">H73</f>
        <v>45.579</v>
      </c>
      <c r="C73" s="395" t="n">
        <v>47.064</v>
      </c>
      <c r="D73" s="111" t="n">
        <v>49.576</v>
      </c>
      <c r="E73" s="111" t="n">
        <v>51.374</v>
      </c>
      <c r="F73" s="2219" t="n">
        <v>2.68157750982613</v>
      </c>
      <c r="G73" s="2202" t="n">
        <f aca="false">B73-F73</f>
        <v>42.8974224901739</v>
      </c>
      <c r="H73" s="2000" t="n">
        <f aca="false">I73+J73+O73+Q73+T73</f>
        <v>45.579</v>
      </c>
      <c r="I73" s="1997" t="n">
        <v>34.843</v>
      </c>
      <c r="J73" s="1997" t="n">
        <v>4.09</v>
      </c>
      <c r="K73" s="1997"/>
      <c r="L73" s="1997"/>
      <c r="M73" s="514"/>
      <c r="N73" s="1997"/>
      <c r="O73" s="1997" t="n">
        <v>6.1</v>
      </c>
      <c r="P73" s="1997" t="n">
        <v>1.21437</v>
      </c>
      <c r="Q73" s="1997" t="n">
        <f aca="false">R73-S73</f>
        <v>0.016</v>
      </c>
      <c r="R73" s="1997" t="n">
        <v>9.326</v>
      </c>
      <c r="S73" s="1997" t="n">
        <v>9.31</v>
      </c>
      <c r="T73" s="1997" t="n">
        <v>0.53</v>
      </c>
      <c r="U73" s="1997" t="n">
        <v>0</v>
      </c>
      <c r="V73" s="1999" t="n">
        <v>0.752</v>
      </c>
      <c r="W73" s="384" t="n">
        <f aca="false">X73+AD73</f>
        <v>41.885</v>
      </c>
      <c r="X73" s="2204" t="n">
        <f aca="false">Y73+Z73+AA73+AB73</f>
        <v>12.46</v>
      </c>
      <c r="Y73" s="2008" t="n">
        <v>5.96</v>
      </c>
      <c r="Z73" s="2008" t="n">
        <v>2.416</v>
      </c>
      <c r="AA73" s="2008" t="n">
        <v>3.555</v>
      </c>
      <c r="AB73" s="2009" t="n">
        <v>0.529</v>
      </c>
      <c r="AC73" s="384" t="n">
        <v>0.977</v>
      </c>
      <c r="AD73" s="2204" t="n">
        <f aca="false">AE73+AF73</f>
        <v>29.425</v>
      </c>
      <c r="AE73" s="2008" t="n">
        <v>22.91</v>
      </c>
      <c r="AF73" s="2023" t="n">
        <v>6.515</v>
      </c>
      <c r="AG73" s="2206"/>
      <c r="AH73" s="387"/>
      <c r="AI73" s="1999"/>
      <c r="AJ73" s="2009" t="n">
        <v>10.07</v>
      </c>
      <c r="AK73" s="2207" t="n">
        <v>10542</v>
      </c>
      <c r="AL73" s="2207" t="e">
        <f aca="false">NA()</f>
        <v>#N/A</v>
      </c>
      <c r="AM73" s="2207" t="e">
        <f aca="false">NA()</f>
        <v>#N/A</v>
      </c>
      <c r="AN73" s="2208" t="n">
        <v>4.02</v>
      </c>
      <c r="AO73" s="2023" t="n">
        <v>0.663</v>
      </c>
      <c r="AP73" s="2023" t="n">
        <v>0.617</v>
      </c>
      <c r="AQ73" s="2023" t="n">
        <v>0</v>
      </c>
      <c r="AR73" s="2023" t="n">
        <v>1.475</v>
      </c>
      <c r="AS73" s="2023" t="n">
        <f aca="false">AN73+AO73-AP73-AC73+AQ73+AR73</f>
        <v>4.564</v>
      </c>
      <c r="AT73" s="2023" t="n">
        <v>0.529</v>
      </c>
      <c r="AU73" s="2105"/>
      <c r="AV73" s="2023"/>
      <c r="AW73" s="2000" t="n">
        <f aca="false">B73+AC73-AN73-AO73+AP73</f>
        <v>42.49</v>
      </c>
      <c r="AX73" s="1997" t="n">
        <f aca="false">V73+O73</f>
        <v>6.852</v>
      </c>
      <c r="AY73" s="514" t="n">
        <f aca="false">AX73/B73</f>
        <v>0.150332389916409</v>
      </c>
      <c r="AZ73" s="2222" t="n">
        <v>15.6083333333333</v>
      </c>
      <c r="BA73" s="401" t="n">
        <v>100</v>
      </c>
      <c r="BB73" s="401" t="n">
        <v>97.3</v>
      </c>
      <c r="BC73" s="401" t="n">
        <v>96.5</v>
      </c>
      <c r="BD73" s="401"/>
      <c r="BE73" s="401"/>
      <c r="BF73" s="401"/>
      <c r="BG73" s="401" t="n">
        <v>98.4</v>
      </c>
      <c r="BH73" s="401" t="n">
        <v>97.3307685657474</v>
      </c>
      <c r="BI73" s="218" t="n">
        <v>64568</v>
      </c>
      <c r="BJ73" s="218" t="n">
        <f aca="false">BI73*(1-BN73)</f>
        <v>36684.264524749</v>
      </c>
      <c r="BK73" s="401" t="n">
        <v>64568</v>
      </c>
      <c r="BL73" s="401"/>
      <c r="BM73" s="401" t="n">
        <f aca="false">BK73*(1-BN73)</f>
        <v>36684.264524749</v>
      </c>
      <c r="BN73" s="387" t="n">
        <v>0.431850691910095</v>
      </c>
      <c r="BO73" s="218" t="n">
        <v>29420</v>
      </c>
      <c r="BP73" s="218"/>
      <c r="BQ73" s="218"/>
      <c r="BR73" s="2212"/>
      <c r="BS73" s="401" t="n">
        <f aca="false">BT73+CA73+CB73-CC73</f>
        <v>277.152</v>
      </c>
      <c r="BT73" s="115" t="n">
        <f aca="false">BU73+BW73+BX73+BY73</f>
        <v>230</v>
      </c>
      <c r="BU73" s="115" t="n">
        <v>63.9</v>
      </c>
      <c r="BV73" s="514" t="n">
        <f aca="false">BU73/B73</f>
        <v>1.40196142960574</v>
      </c>
      <c r="BW73" s="115" t="n">
        <v>44.95</v>
      </c>
      <c r="BX73" s="115" t="n">
        <v>63.6</v>
      </c>
      <c r="BY73" s="115" t="n">
        <v>57.55</v>
      </c>
      <c r="BZ73" s="514" t="n">
        <f aca="false">BY73/B73</f>
        <v>1.2626428837842</v>
      </c>
      <c r="CA73" s="1509" t="n">
        <f aca="false">CQ73-CW73</f>
        <v>28.759</v>
      </c>
      <c r="CB73" s="2024" t="n">
        <v>18.393</v>
      </c>
      <c r="CC73" s="2019" t="n">
        <v>0</v>
      </c>
      <c r="CD73" s="485" t="n">
        <v>0</v>
      </c>
      <c r="CE73" s="2215" t="n">
        <f aca="false">CB73-CC73</f>
        <v>18.393</v>
      </c>
      <c r="CF73" s="2215" t="n">
        <f aca="false">CB73-CC73-CD73</f>
        <v>18.393</v>
      </c>
      <c r="CG73" s="2024" t="n">
        <f aca="false">CH73-CQ73</f>
        <v>13.036</v>
      </c>
      <c r="CH73" s="115" t="n">
        <f aca="false">CI73+CJ73+CN73</f>
        <v>41.795</v>
      </c>
      <c r="CI73" s="1509" t="n">
        <v>10.08</v>
      </c>
      <c r="CJ73" s="1509" t="n">
        <f aca="false">CK73*CL73*CM73</f>
        <v>18.415</v>
      </c>
      <c r="CK73" s="1509" t="n">
        <v>18.85</v>
      </c>
      <c r="CL73" s="514" t="n">
        <f aca="false">CL72+(CL$76-CL$63)/13</f>
        <v>0.976923076923077</v>
      </c>
      <c r="CM73" s="514" t="n">
        <v>1</v>
      </c>
      <c r="CN73" s="1509" t="n">
        <v>13.3</v>
      </c>
      <c r="CO73" s="2017" t="n">
        <f aca="false">CX73-CP73</f>
        <v>-29.369</v>
      </c>
      <c r="CP73" s="2017" t="n">
        <f aca="false">CQ73+9*(CQ74-CQ73)/12</f>
        <v>29.369</v>
      </c>
      <c r="CQ73" s="1509" t="n">
        <f aca="false">(CR72+CS73+CT73)/1000</f>
        <v>28.759</v>
      </c>
      <c r="CR73" s="115" t="n">
        <v>4910</v>
      </c>
      <c r="CS73" s="115" t="n">
        <v>15571</v>
      </c>
      <c r="CT73" s="2223" t="n">
        <f aca="false">CT72+(CT$76-CT$70)/6</f>
        <v>8048</v>
      </c>
      <c r="CU73" s="485" t="n">
        <v>0</v>
      </c>
      <c r="CV73" s="2017" t="n">
        <v>24.557</v>
      </c>
      <c r="CW73" s="2217" t="n">
        <v>0</v>
      </c>
      <c r="CX73" s="2019" t="n">
        <f aca="false">CY73+(CU72+9/12*(CU73-CU72))/1000</f>
        <v>0</v>
      </c>
      <c r="CY73" s="2019" t="n">
        <f aca="false">CZ73+DA73</f>
        <v>0</v>
      </c>
      <c r="CZ73" s="2017" t="n">
        <v>0</v>
      </c>
      <c r="DA73" s="2017" t="n">
        <v>0</v>
      </c>
      <c r="DB73" s="2019" t="n">
        <v>3.083</v>
      </c>
      <c r="DC73" s="2220" t="n">
        <f aca="false">CG73+BS73</f>
        <v>290.188</v>
      </c>
    </row>
    <row r="74" customFormat="false" ht="13" hidden="false" customHeight="true" outlineLevel="0" collapsed="false">
      <c r="A74" s="31" t="n">
        <v>1911</v>
      </c>
      <c r="B74" s="1994" t="n">
        <f aca="false">H74</f>
        <v>47.923</v>
      </c>
      <c r="C74" s="395" t="n">
        <v>49.513</v>
      </c>
      <c r="D74" s="111" t="n">
        <v>51.805</v>
      </c>
      <c r="E74" s="111" t="n">
        <v>53.518</v>
      </c>
      <c r="F74" s="2219" t="n">
        <v>2.87858626719761</v>
      </c>
      <c r="G74" s="2202" t="n">
        <f aca="false">B74-F74</f>
        <v>45.0444137328024</v>
      </c>
      <c r="H74" s="2000" t="n">
        <f aca="false">I74+J74+O74+Q74+T74</f>
        <v>47.923</v>
      </c>
      <c r="I74" s="1997" t="n">
        <v>35.933</v>
      </c>
      <c r="J74" s="1997" t="n">
        <v>4.26</v>
      </c>
      <c r="K74" s="1997"/>
      <c r="L74" s="514"/>
      <c r="M74" s="514"/>
      <c r="N74" s="1997"/>
      <c r="O74" s="1997" t="n">
        <v>7.27</v>
      </c>
      <c r="P74" s="1997" t="n">
        <v>1.28297</v>
      </c>
      <c r="Q74" s="1997" t="n">
        <f aca="false">R74-S74</f>
        <v>-0.0799999999999983</v>
      </c>
      <c r="R74" s="1997" t="n">
        <v>9.928</v>
      </c>
      <c r="S74" s="1997" t="n">
        <v>10.008</v>
      </c>
      <c r="T74" s="1997" t="n">
        <v>0.54</v>
      </c>
      <c r="U74" s="1997" t="n">
        <v>0</v>
      </c>
      <c r="V74" s="1999" t="n">
        <v>0.643</v>
      </c>
      <c r="W74" s="384" t="n">
        <f aca="false">X74+AD74</f>
        <v>44.194</v>
      </c>
      <c r="X74" s="2204" t="n">
        <f aca="false">Y74+Z74+AA74+AB74</f>
        <v>13.02</v>
      </c>
      <c r="Y74" s="2008" t="n">
        <v>6.442</v>
      </c>
      <c r="Z74" s="2008" t="n">
        <v>2.508</v>
      </c>
      <c r="AA74" s="2008" t="n">
        <v>3.526</v>
      </c>
      <c r="AB74" s="2009" t="n">
        <v>0.544</v>
      </c>
      <c r="AC74" s="384" t="n">
        <v>1.005</v>
      </c>
      <c r="AD74" s="2204" t="n">
        <f aca="false">AE74+AF74</f>
        <v>31.174</v>
      </c>
      <c r="AE74" s="2008" t="n">
        <v>24.415</v>
      </c>
      <c r="AF74" s="2023" t="n">
        <v>6.759</v>
      </c>
      <c r="AG74" s="2206"/>
      <c r="AH74" s="387"/>
      <c r="AI74" s="1999"/>
      <c r="AJ74" s="2009" t="n">
        <v>10.285</v>
      </c>
      <c r="AK74" s="2207" t="n">
        <v>10627</v>
      </c>
      <c r="AL74" s="2207" t="e">
        <f aca="false">NA()</f>
        <v>#N/A</v>
      </c>
      <c r="AM74" s="2207" t="e">
        <f aca="false">NA()</f>
        <v>#N/A</v>
      </c>
      <c r="AN74" s="2208" t="n">
        <v>4.336</v>
      </c>
      <c r="AO74" s="2023" t="n">
        <v>0.724</v>
      </c>
      <c r="AP74" s="2023" t="n">
        <v>0.636</v>
      </c>
      <c r="AQ74" s="2023" t="n">
        <v>0</v>
      </c>
      <c r="AR74" s="2023" t="n">
        <v>1.548</v>
      </c>
      <c r="AS74" s="2023" t="n">
        <f aca="false">AN74+AO74-AP74-AC74+AQ74+AR74</f>
        <v>4.967</v>
      </c>
      <c r="AT74" s="2023" t="n">
        <v>0.766</v>
      </c>
      <c r="AU74" s="2105"/>
      <c r="AV74" s="2023"/>
      <c r="AW74" s="2000" t="n">
        <f aca="false">B74+AC74-AN74-AO74+AP74</f>
        <v>44.504</v>
      </c>
      <c r="AX74" s="1997" t="n">
        <f aca="false">V74+O74</f>
        <v>7.913</v>
      </c>
      <c r="AY74" s="514" t="n">
        <f aca="false">AX74/B74</f>
        <v>0.165119045134904</v>
      </c>
      <c r="AZ74" s="2222" t="n">
        <v>16.1</v>
      </c>
      <c r="BA74" s="401" t="n">
        <v>100</v>
      </c>
      <c r="BB74" s="401" t="n">
        <v>97</v>
      </c>
      <c r="BC74" s="401" t="n">
        <v>96.8</v>
      </c>
      <c r="BD74" s="401"/>
      <c r="BE74" s="401"/>
      <c r="BF74" s="401"/>
      <c r="BG74" s="401" t="n">
        <v>97.9</v>
      </c>
      <c r="BH74" s="401" t="n">
        <v>97.2004915011264</v>
      </c>
      <c r="BI74" s="218" t="n">
        <v>65359</v>
      </c>
      <c r="BJ74" s="218" t="n">
        <f aca="false">BI74*(1-BN74)</f>
        <v>37133.6706274481</v>
      </c>
      <c r="BK74" s="401" t="n">
        <v>65359</v>
      </c>
      <c r="BL74" s="401"/>
      <c r="BM74" s="401" t="n">
        <f aca="false">BK74*(1-BN74)</f>
        <v>37133.6706274481</v>
      </c>
      <c r="BN74" s="2211" t="n">
        <f aca="false">BN73</f>
        <v>0.431850691910095</v>
      </c>
      <c r="BO74" s="218" t="n">
        <v>30034</v>
      </c>
      <c r="BP74" s="218"/>
      <c r="BQ74" s="218"/>
      <c r="BR74" s="2212"/>
      <c r="BS74" s="401" t="n">
        <f aca="false">BT74+CA74+CB74-CC74</f>
        <v>289.818333333333</v>
      </c>
      <c r="BT74" s="115" t="n">
        <f aca="false">BU74+BW74+BX74+BY74</f>
        <v>241.35</v>
      </c>
      <c r="BU74" s="115" t="n">
        <v>66.5</v>
      </c>
      <c r="BV74" s="514" t="n">
        <f aca="false">BU74/B74</f>
        <v>1.38764267679402</v>
      </c>
      <c r="BW74" s="115" t="n">
        <v>46.25</v>
      </c>
      <c r="BX74" s="115" t="n">
        <v>68.2</v>
      </c>
      <c r="BY74" s="115" t="n">
        <v>60.4</v>
      </c>
      <c r="BZ74" s="514" t="n">
        <f aca="false">BY74/B74</f>
        <v>1.26035515305803</v>
      </c>
      <c r="CA74" s="1509" t="n">
        <f aca="false">CQ74-CW74</f>
        <v>29.5723333333333</v>
      </c>
      <c r="CB74" s="2024" t="n">
        <v>18.896</v>
      </c>
      <c r="CC74" s="2019" t="n">
        <v>0</v>
      </c>
      <c r="CD74" s="485" t="n">
        <v>0</v>
      </c>
      <c r="CE74" s="2215" t="n">
        <f aca="false">CB74-CC74</f>
        <v>18.896</v>
      </c>
      <c r="CF74" s="2215" t="n">
        <f aca="false">CB74-CC74-CD74</f>
        <v>18.896</v>
      </c>
      <c r="CG74" s="2024" t="n">
        <f aca="false">CH74-CQ74</f>
        <v>14.5238205128205</v>
      </c>
      <c r="CH74" s="115" t="n">
        <f aca="false">CI74+CJ74+CN74</f>
        <v>44.0961538461538</v>
      </c>
      <c r="CI74" s="1509" t="n">
        <v>10.6</v>
      </c>
      <c r="CJ74" s="1509" t="n">
        <f aca="false">CK74*CL74*CM74</f>
        <v>19.4461538461538</v>
      </c>
      <c r="CK74" s="1509" t="n">
        <v>19.75</v>
      </c>
      <c r="CL74" s="514" t="n">
        <f aca="false">CL73+(CL$76-CL$63)/13</f>
        <v>0.984615384615384</v>
      </c>
      <c r="CM74" s="514" t="n">
        <v>1</v>
      </c>
      <c r="CN74" s="1509" t="n">
        <v>14.05</v>
      </c>
      <c r="CO74" s="2017" t="n">
        <f aca="false">CX74-CP74</f>
        <v>-30.6308333333333</v>
      </c>
      <c r="CP74" s="2017" t="n">
        <f aca="false">CQ74+9*(CQ75-CQ74)/12</f>
        <v>30.6308333333333</v>
      </c>
      <c r="CQ74" s="1509" t="n">
        <f aca="false">(CR73+CS74+CT74)/1000</f>
        <v>29.5723333333333</v>
      </c>
      <c r="CR74" s="115" t="n">
        <v>4904</v>
      </c>
      <c r="CS74" s="115" t="n">
        <v>15697</v>
      </c>
      <c r="CT74" s="2223" t="n">
        <f aca="false">CT73+(CT$76-CT$70)/6</f>
        <v>8965.33333333333</v>
      </c>
      <c r="CU74" s="485" t="n">
        <v>0</v>
      </c>
      <c r="CV74" s="2017" t="n">
        <v>24.892</v>
      </c>
      <c r="CW74" s="2217" t="n">
        <v>0</v>
      </c>
      <c r="CX74" s="2019" t="n">
        <f aca="false">CY74+(CU73+9/12*(CU74-CU73))/1000</f>
        <v>0</v>
      </c>
      <c r="CY74" s="2019" t="n">
        <f aca="false">CZ74+DA74</f>
        <v>0</v>
      </c>
      <c r="CZ74" s="2017" t="n">
        <v>0</v>
      </c>
      <c r="DA74" s="2017" t="n">
        <v>0</v>
      </c>
      <c r="DB74" s="2019" t="n">
        <v>3.262</v>
      </c>
      <c r="DC74" s="2220" t="n">
        <f aca="false">CG74+BS74</f>
        <v>304.342153846154</v>
      </c>
    </row>
    <row r="75" customFormat="false" ht="12" hidden="false" customHeight="false" outlineLevel="0" collapsed="false">
      <c r="A75" s="31" t="n">
        <v>1912</v>
      </c>
      <c r="B75" s="1994" t="n">
        <f aca="false">H75</f>
        <v>51.38</v>
      </c>
      <c r="C75" s="395" t="n">
        <v>51.874</v>
      </c>
      <c r="D75" s="111" t="n">
        <v>54.34</v>
      </c>
      <c r="E75" s="111" t="n">
        <v>54.724</v>
      </c>
      <c r="F75" s="2219" t="n">
        <v>2.83414120524359</v>
      </c>
      <c r="G75" s="2202" t="n">
        <f aca="false">B75-F75</f>
        <v>48.5458587947564</v>
      </c>
      <c r="H75" s="2000" t="n">
        <f aca="false">I75+J75+O75+Q75+T75</f>
        <v>51.38</v>
      </c>
      <c r="I75" s="1997" t="n">
        <v>37.983</v>
      </c>
      <c r="J75" s="1997" t="n">
        <v>4.557</v>
      </c>
      <c r="K75" s="1997"/>
      <c r="L75" s="514"/>
      <c r="M75" s="514"/>
      <c r="N75" s="1997"/>
      <c r="O75" s="1997" t="n">
        <v>8.57</v>
      </c>
      <c r="P75" s="1997" t="n">
        <v>1.51696</v>
      </c>
      <c r="Q75" s="1997" t="n">
        <f aca="false">R75-S75</f>
        <v>-0.280000000000001</v>
      </c>
      <c r="R75" s="1997" t="n">
        <v>10.738</v>
      </c>
      <c r="S75" s="1997" t="n">
        <v>11.018</v>
      </c>
      <c r="T75" s="1997" t="n">
        <v>0.55</v>
      </c>
      <c r="U75" s="1997" t="n">
        <v>0</v>
      </c>
      <c r="V75" s="1999" t="n">
        <v>0.453</v>
      </c>
      <c r="W75" s="384" t="n">
        <f aca="false">X75+AD75</f>
        <v>47.298</v>
      </c>
      <c r="X75" s="2204" t="n">
        <f aca="false">Y75+Z75+AA75+AB75</f>
        <v>14.476</v>
      </c>
      <c r="Y75" s="2008" t="n">
        <v>7.17</v>
      </c>
      <c r="Z75" s="2008" t="n">
        <v>2.605</v>
      </c>
      <c r="AA75" s="2008" t="n">
        <v>4.149</v>
      </c>
      <c r="AB75" s="2009" t="n">
        <v>0.552</v>
      </c>
      <c r="AC75" s="384" t="n">
        <v>1.045</v>
      </c>
      <c r="AD75" s="2204" t="n">
        <f aca="false">AE75+AF75</f>
        <v>32.822</v>
      </c>
      <c r="AE75" s="2008" t="n">
        <v>25.827</v>
      </c>
      <c r="AF75" s="2023" t="n">
        <v>6.995</v>
      </c>
      <c r="AG75" s="2206"/>
      <c r="AH75" s="387"/>
      <c r="AI75" s="1999"/>
      <c r="AJ75" s="2009" t="n">
        <v>11.144</v>
      </c>
      <c r="AK75" s="2207" t="n">
        <v>10663</v>
      </c>
      <c r="AL75" s="2207" t="e">
        <f aca="false">NA()</f>
        <v>#N/A</v>
      </c>
      <c r="AM75" s="2207" t="e">
        <f aca="false">NA()</f>
        <v>#N/A</v>
      </c>
      <c r="AN75" s="2208" t="n">
        <v>4.528</v>
      </c>
      <c r="AO75" s="2023" t="n">
        <v>0.791</v>
      </c>
      <c r="AP75" s="2023" t="n">
        <v>0.663</v>
      </c>
      <c r="AQ75" s="2023" t="n">
        <v>0</v>
      </c>
      <c r="AR75" s="2023" t="n">
        <v>1.608</v>
      </c>
      <c r="AS75" s="2023" t="n">
        <f aca="false">AN75+AO75-AP75-AC75+AQ75+AR75</f>
        <v>5.219</v>
      </c>
      <c r="AT75" s="2023" t="n">
        <v>0.719</v>
      </c>
      <c r="AU75" s="2105"/>
      <c r="AV75" s="2023"/>
      <c r="AW75" s="2000" t="n">
        <f aca="false">B75+AC75-AN75-AO75+AP75</f>
        <v>47.769</v>
      </c>
      <c r="AX75" s="1997" t="n">
        <f aca="false">V75+O75</f>
        <v>9.023</v>
      </c>
      <c r="AY75" s="514" t="n">
        <f aca="false">AX75/B75</f>
        <v>0.175613079019074</v>
      </c>
      <c r="AZ75" s="2222" t="n">
        <v>16.975</v>
      </c>
      <c r="BA75" s="401" t="n">
        <v>100</v>
      </c>
      <c r="BB75" s="401" t="n">
        <v>99.4</v>
      </c>
      <c r="BC75" s="401" t="n">
        <v>99.3</v>
      </c>
      <c r="BD75" s="401"/>
      <c r="BE75" s="401"/>
      <c r="BF75" s="401"/>
      <c r="BG75" s="401" t="n">
        <v>99.3</v>
      </c>
      <c r="BH75" s="401" t="n">
        <v>99.3951887361195</v>
      </c>
      <c r="BI75" s="218" t="n">
        <v>66146</v>
      </c>
      <c r="BJ75" s="218" t="n">
        <f aca="false">BI75*(1-BN75)</f>
        <v>37580.8041329148</v>
      </c>
      <c r="BK75" s="401" t="n">
        <v>66146</v>
      </c>
      <c r="BL75" s="401"/>
      <c r="BM75" s="401" t="n">
        <f aca="false">BK75*(1-BN75)</f>
        <v>37580.8041329148</v>
      </c>
      <c r="BN75" s="2211" t="n">
        <f aca="false">BN74</f>
        <v>0.431850691910095</v>
      </c>
      <c r="BO75" s="218" t="n">
        <v>30549</v>
      </c>
      <c r="BP75" s="2160"/>
      <c r="BQ75" s="218"/>
      <c r="BR75" s="2212"/>
      <c r="BS75" s="401" t="n">
        <f aca="false">BT75+CA75+CB75-CC75</f>
        <v>307.144666666667</v>
      </c>
      <c r="BT75" s="115" t="n">
        <f aca="false">BU75+BW75+BX75+BY75</f>
        <v>256.9</v>
      </c>
      <c r="BU75" s="115" t="n">
        <v>69.1</v>
      </c>
      <c r="BV75" s="514" t="n">
        <f aca="false">BU75/B75</f>
        <v>1.34488127676139</v>
      </c>
      <c r="BW75" s="115" t="n">
        <v>49.1</v>
      </c>
      <c r="BX75" s="115" t="n">
        <v>75.45</v>
      </c>
      <c r="BY75" s="115" t="n">
        <v>63.25</v>
      </c>
      <c r="BZ75" s="514" t="n">
        <f aca="false">BY75/B75</f>
        <v>1.23102374464772</v>
      </c>
      <c r="CA75" s="1509" t="n">
        <f aca="false">CQ75-CW75</f>
        <v>30.9836666666667</v>
      </c>
      <c r="CB75" s="2024" t="n">
        <v>19.261</v>
      </c>
      <c r="CC75" s="2019" t="n">
        <v>0</v>
      </c>
      <c r="CD75" s="485" t="n">
        <v>0</v>
      </c>
      <c r="CE75" s="2215" t="n">
        <f aca="false">CB75-CC75</f>
        <v>19.261</v>
      </c>
      <c r="CF75" s="2215" t="n">
        <f aca="false">CB75-CC75-CD75</f>
        <v>19.261</v>
      </c>
      <c r="CG75" s="2024" t="n">
        <f aca="false">CH75-CQ75</f>
        <v>15.8551794871795</v>
      </c>
      <c r="CH75" s="115" t="n">
        <f aca="false">CI75+CJ75+CN75</f>
        <v>46.8388461538462</v>
      </c>
      <c r="CI75" s="1509" t="n">
        <v>11.15</v>
      </c>
      <c r="CJ75" s="1509" t="n">
        <f aca="false">CK75*CL75*CM75</f>
        <v>20.7888461538461</v>
      </c>
      <c r="CK75" s="1509" t="n">
        <v>20.95</v>
      </c>
      <c r="CL75" s="514" t="n">
        <f aca="false">CL74+(CL$76-CL$63)/13</f>
        <v>0.992307692307692</v>
      </c>
      <c r="CM75" s="514" t="n">
        <v>1</v>
      </c>
      <c r="CN75" s="1509" t="n">
        <v>14.9</v>
      </c>
      <c r="CO75" s="2017" t="n">
        <f aca="false">CX75-CP75</f>
        <v>-32.0819166666667</v>
      </c>
      <c r="CP75" s="2017" t="n">
        <f aca="false">CQ75+9*(CQ76-CQ75)/12</f>
        <v>32.0819166666667</v>
      </c>
      <c r="CQ75" s="1509" t="n">
        <f aca="false">(CR74+CS75+CT75)/1000</f>
        <v>30.9836666666667</v>
      </c>
      <c r="CR75" s="115" t="n">
        <v>4807</v>
      </c>
      <c r="CS75" s="115" t="n">
        <v>16197</v>
      </c>
      <c r="CT75" s="2223" t="n">
        <f aca="false">CT74+(CT$76-CT$70)/6</f>
        <v>9882.66666666667</v>
      </c>
      <c r="CU75" s="485" t="n">
        <v>0</v>
      </c>
      <c r="CV75" s="2017" t="n">
        <v>25.726</v>
      </c>
      <c r="CW75" s="2217" t="n">
        <v>0</v>
      </c>
      <c r="CX75" s="2019" t="n">
        <f aca="false">CY75+(CU74+9/12*(CU75-CU74))/1000</f>
        <v>0</v>
      </c>
      <c r="CY75" s="2019" t="n">
        <f aca="false">CZ75+DA75</f>
        <v>0</v>
      </c>
      <c r="CZ75" s="2017" t="n">
        <v>0</v>
      </c>
      <c r="DA75" s="2017" t="n">
        <v>0</v>
      </c>
      <c r="DB75" s="2019" t="n">
        <v>3.585</v>
      </c>
      <c r="DC75" s="2220" t="n">
        <f aca="false">CG75+BS75</f>
        <v>322.999846153846</v>
      </c>
    </row>
    <row r="76" customFormat="false" ht="12" hidden="false" customHeight="false" outlineLevel="0" collapsed="false">
      <c r="A76" s="31" t="n">
        <v>1913</v>
      </c>
      <c r="B76" s="1994" t="n">
        <f aca="false">H76</f>
        <v>52.105</v>
      </c>
      <c r="C76" s="395" t="n">
        <v>52.44</v>
      </c>
      <c r="D76" s="1478" t="n">
        <v>56.618</v>
      </c>
      <c r="E76" s="1478" t="n">
        <v>56.618</v>
      </c>
      <c r="F76" s="2219" t="n">
        <v>2.867</v>
      </c>
      <c r="G76" s="2202" t="n">
        <f aca="false">B76-F76</f>
        <v>49.238</v>
      </c>
      <c r="H76" s="2000" t="n">
        <f aca="false">I76+J76+O76+Q76+T76</f>
        <v>52.105</v>
      </c>
      <c r="I76" s="1997" t="n">
        <v>38.202</v>
      </c>
      <c r="J76" s="2224" t="n">
        <v>5.129</v>
      </c>
      <c r="K76" s="1997"/>
      <c r="L76" s="514"/>
      <c r="M76" s="514"/>
      <c r="N76" s="1997"/>
      <c r="O76" s="1997" t="n">
        <v>8.17</v>
      </c>
      <c r="P76" s="1997" t="n">
        <v>1.64</v>
      </c>
      <c r="Q76" s="1997" t="n">
        <f aca="false">R76-S76</f>
        <v>0.0340000000000007</v>
      </c>
      <c r="R76" s="1997" t="n">
        <v>11.24</v>
      </c>
      <c r="S76" s="1997" t="n">
        <v>11.206</v>
      </c>
      <c r="T76" s="1997" t="n">
        <v>0.57</v>
      </c>
      <c r="U76" s="1997" t="n">
        <v>0</v>
      </c>
      <c r="V76" s="1999" t="n">
        <v>0.939</v>
      </c>
      <c r="W76" s="384" t="n">
        <f aca="false">X76+AD76</f>
        <v>48.806</v>
      </c>
      <c r="X76" s="2204" t="n">
        <f aca="false">Y76+Z76+AA76+AB76</f>
        <v>14.694</v>
      </c>
      <c r="Y76" s="2008" t="n">
        <v>7.465</v>
      </c>
      <c r="Z76" s="2008" t="n">
        <v>2.687</v>
      </c>
      <c r="AA76" s="2008" t="n">
        <v>3.972</v>
      </c>
      <c r="AB76" s="2009" t="n">
        <v>0.57</v>
      </c>
      <c r="AC76" s="384" t="n">
        <v>1.096</v>
      </c>
      <c r="AD76" s="2204" t="n">
        <f aca="false">AE76+AF76</f>
        <v>34.112</v>
      </c>
      <c r="AE76" s="2008" t="n">
        <v>26.814</v>
      </c>
      <c r="AF76" s="2023" t="n">
        <v>7.298</v>
      </c>
      <c r="AG76" s="2206"/>
      <c r="AH76" s="387"/>
      <c r="AI76" s="1999"/>
      <c r="AJ76" s="2009" t="n">
        <v>11.27</v>
      </c>
      <c r="AK76" s="2207" t="n">
        <v>10701</v>
      </c>
      <c r="AL76" s="2207" t="e">
        <f aca="false">NA()</f>
        <v>#N/A</v>
      </c>
      <c r="AM76" s="2212" t="e">
        <f aca="false">NA()</f>
        <v>#N/A</v>
      </c>
      <c r="AN76" s="2023" t="n">
        <v>4.737</v>
      </c>
      <c r="AO76" s="2023" t="n">
        <v>0.822</v>
      </c>
      <c r="AP76" s="2023" t="n">
        <v>0.683</v>
      </c>
      <c r="AQ76" s="2023" t="n">
        <v>0</v>
      </c>
      <c r="AR76" s="2023" t="n">
        <v>1.49</v>
      </c>
      <c r="AS76" s="2023" t="n">
        <f aca="false">AN76+AO76-AP76-AC76+AQ76+AR76</f>
        <v>5.27</v>
      </c>
      <c r="AT76" s="2023" t="n">
        <v>0.21</v>
      </c>
      <c r="AU76" s="2105"/>
      <c r="AV76" s="2209"/>
      <c r="AW76" s="2000" t="n">
        <f aca="false">B76+AC76-AN76-AO76+AP76</f>
        <v>48.325</v>
      </c>
      <c r="AX76" s="1997" t="n">
        <f aca="false">V76+O76</f>
        <v>9.109</v>
      </c>
      <c r="AY76" s="514" t="n">
        <f aca="false">AX76/B76</f>
        <v>0.174820074848863</v>
      </c>
      <c r="AZ76" s="2222" t="n">
        <v>17.0833333333333</v>
      </c>
      <c r="BA76" s="401" t="n">
        <v>100</v>
      </c>
      <c r="BB76" s="401" t="n">
        <v>100</v>
      </c>
      <c r="BC76" s="401" t="n">
        <v>100</v>
      </c>
      <c r="BD76" s="401"/>
      <c r="BE76" s="401"/>
      <c r="BF76" s="401"/>
      <c r="BG76" s="401" t="n">
        <v>100</v>
      </c>
      <c r="BH76" s="401" t="n">
        <v>100</v>
      </c>
      <c r="BI76" s="218" t="n">
        <v>66978</v>
      </c>
      <c r="BJ76" s="218" t="n">
        <f aca="false">BI76*(1-BN76)</f>
        <v>38053.5043572456</v>
      </c>
      <c r="BK76" s="401" t="n">
        <v>66978</v>
      </c>
      <c r="BL76" s="401"/>
      <c r="BM76" s="401" t="n">
        <f aca="false">BK76*(1-BN76)</f>
        <v>38053.5043572456</v>
      </c>
      <c r="BN76" s="387" t="n">
        <f aca="false">BN75</f>
        <v>0.431850691910095</v>
      </c>
      <c r="BO76" s="218" t="n">
        <v>30968</v>
      </c>
      <c r="BP76" s="218"/>
      <c r="BQ76" s="218"/>
      <c r="BR76" s="2212"/>
      <c r="BS76" s="401" t="n">
        <f aca="false">BT76+CA76+CB76-CC76</f>
        <v>324.696</v>
      </c>
      <c r="BT76" s="115" t="n">
        <f aca="false">BU76+BW76+BX76+BY76</f>
        <v>272.55</v>
      </c>
      <c r="BU76" s="115" t="n">
        <v>71.75</v>
      </c>
      <c r="BV76" s="514" t="n">
        <f aca="false">BU76/B76</f>
        <v>1.37702715670281</v>
      </c>
      <c r="BW76" s="115" t="n">
        <v>52.2</v>
      </c>
      <c r="BX76" s="115" t="n">
        <v>82.9</v>
      </c>
      <c r="BY76" s="115" t="n">
        <v>65.7</v>
      </c>
      <c r="BZ76" s="514" t="n">
        <f aca="false">BY76/B76</f>
        <v>1.26091545916899</v>
      </c>
      <c r="CA76" s="1509" t="n">
        <f aca="false">CQ76-CW76</f>
        <v>32.448</v>
      </c>
      <c r="CB76" s="2024" t="n">
        <v>19.698</v>
      </c>
      <c r="CC76" s="2019" t="n">
        <v>0</v>
      </c>
      <c r="CD76" s="485" t="n">
        <v>0</v>
      </c>
      <c r="CE76" s="2215" t="n">
        <f aca="false">CB76-CC76</f>
        <v>19.698</v>
      </c>
      <c r="CF76" s="2215" t="n">
        <f aca="false">CB76-CC76-CD76</f>
        <v>19.698</v>
      </c>
      <c r="CG76" s="2024" t="n">
        <f aca="false">CH76-CQ76</f>
        <v>17.102</v>
      </c>
      <c r="CH76" s="115" t="n">
        <f aca="false">CI76+CJ76+CN76</f>
        <v>49.55</v>
      </c>
      <c r="CI76" s="1509" t="n">
        <v>11.6</v>
      </c>
      <c r="CJ76" s="1509" t="n">
        <f aca="false">CK76*CL76*CM76</f>
        <v>22.3</v>
      </c>
      <c r="CK76" s="1509" t="n">
        <v>22.3</v>
      </c>
      <c r="CL76" s="855" t="n">
        <v>1</v>
      </c>
      <c r="CM76" s="514" t="n">
        <v>1</v>
      </c>
      <c r="CN76" s="1509" t="n">
        <v>15.65</v>
      </c>
      <c r="CO76" s="2017" t="n">
        <f aca="false">CX76-CP76</f>
        <v>-33.6884032717772</v>
      </c>
      <c r="CP76" s="2017" t="n">
        <f aca="false">CQ76+9*(CQ77-CQ76)/12</f>
        <v>33.6884032717772</v>
      </c>
      <c r="CQ76" s="1509" t="n">
        <f aca="false">(CR75+CS76+CT76)/1000</f>
        <v>32.448</v>
      </c>
      <c r="CR76" s="115" t="n">
        <v>5202</v>
      </c>
      <c r="CS76" s="115" t="n">
        <v>16841</v>
      </c>
      <c r="CT76" s="115" t="n">
        <v>10800</v>
      </c>
      <c r="CU76" s="485" t="n">
        <v>0</v>
      </c>
      <c r="CV76" s="2017" t="n">
        <v>26.691</v>
      </c>
      <c r="CW76" s="2217" t="n">
        <v>0</v>
      </c>
      <c r="CX76" s="2019" t="n">
        <f aca="false">CY76+(CU75+9/12*(CU76-CU75))/1000</f>
        <v>0</v>
      </c>
      <c r="CY76" s="2019" t="n">
        <f aca="false">CZ76+DA76</f>
        <v>0</v>
      </c>
      <c r="CZ76" s="2017" t="n">
        <v>0</v>
      </c>
      <c r="DA76" s="2017" t="n">
        <v>0</v>
      </c>
      <c r="DB76" s="2017" t="n">
        <v>3.72</v>
      </c>
      <c r="DC76" s="2220" t="n">
        <f aca="false">CG76+BS76</f>
        <v>341.798</v>
      </c>
    </row>
    <row r="77" customFormat="false" ht="12" hidden="false" customHeight="false" outlineLevel="0" collapsed="false">
      <c r="A77" s="31" t="n">
        <v>1914</v>
      </c>
      <c r="B77" s="111"/>
      <c r="C77" s="1994" t="n">
        <f aca="false">C76*E77/E76</f>
        <v>48.417482072839</v>
      </c>
      <c r="E77" s="111" t="n">
        <v>52.275</v>
      </c>
      <c r="F77" s="2219"/>
      <c r="G77" s="911"/>
      <c r="H77" s="933"/>
      <c r="I77" s="32"/>
      <c r="J77" s="32"/>
      <c r="K77" s="32"/>
      <c r="L77" s="514"/>
      <c r="M77" s="32"/>
      <c r="N77" s="32"/>
      <c r="O77" s="218"/>
      <c r="P77" s="218"/>
      <c r="Q77" s="1997" t="n">
        <f aca="false">R77-S77</f>
        <v>-1.1</v>
      </c>
      <c r="R77" s="1997" t="n">
        <v>7.4</v>
      </c>
      <c r="S77" s="218" t="n">
        <v>8.5</v>
      </c>
      <c r="T77" s="1997"/>
      <c r="U77" s="218"/>
      <c r="V77" s="2212"/>
      <c r="AB77" s="2009"/>
      <c r="AF77" s="32"/>
      <c r="AG77" s="2225"/>
      <c r="AH77" s="32"/>
      <c r="AI77" s="911"/>
      <c r="AK77" s="2207"/>
      <c r="AL77" s="2207"/>
      <c r="AM77" s="2212"/>
      <c r="AN77" s="2009"/>
      <c r="AO77" s="32"/>
      <c r="AP77" s="32"/>
      <c r="AQ77" s="32"/>
      <c r="AR77" s="32"/>
      <c r="AS77" s="32"/>
      <c r="AT77" s="32"/>
      <c r="AU77" s="32"/>
      <c r="AV77" s="2023" t="n">
        <f aca="false">-7.48</f>
        <v>-7.48</v>
      </c>
      <c r="AW77" s="933"/>
      <c r="AX77" s="1997"/>
      <c r="AY77" s="1997"/>
      <c r="AZ77" s="2222" t="n">
        <v>17.6083333333333</v>
      </c>
      <c r="BA77" s="947" t="n">
        <f aca="false">AVERAGE(100,100,100,100,100,100,100,100,100,104,110,107)</f>
        <v>101.75</v>
      </c>
      <c r="BC77" s="401"/>
      <c r="BD77" s="401"/>
      <c r="BE77" s="401"/>
      <c r="BF77" s="401"/>
      <c r="BG77" s="401"/>
      <c r="BI77" s="2207" t="n">
        <v>67790</v>
      </c>
      <c r="BJ77" s="218" t="n">
        <f aca="false">BI77*(1-BN77)</f>
        <v>38901.0866138482</v>
      </c>
      <c r="BK77" s="401" t="n">
        <v>67790</v>
      </c>
      <c r="BL77" s="401"/>
      <c r="BM77" s="401" t="n">
        <f aca="false">BK77*(1-BN77)</f>
        <v>38901.0866138482</v>
      </c>
      <c r="BN77" s="2211" t="n">
        <f aca="false">BN76+(BN$88-BN$76)/12</f>
        <v>0.42615302236542</v>
      </c>
      <c r="BO77" s="218"/>
      <c r="BP77" s="218"/>
      <c r="BQ77" s="218"/>
      <c r="BR77" s="2212"/>
      <c r="BT77" s="115"/>
      <c r="BU77" s="115"/>
      <c r="BV77" s="115"/>
      <c r="BW77" s="115"/>
      <c r="BX77" s="115"/>
      <c r="BY77" s="115"/>
      <c r="BZ77" s="115"/>
      <c r="CB77" s="2213" t="n">
        <f aca="false">CB76</f>
        <v>19.698</v>
      </c>
      <c r="CC77" s="2019" t="n">
        <v>0</v>
      </c>
      <c r="CD77" s="485" t="n">
        <v>0</v>
      </c>
      <c r="CE77" s="2215" t="n">
        <f aca="false">CB77-CC77</f>
        <v>19.698</v>
      </c>
      <c r="CF77" s="2215" t="n">
        <f aca="false">CB77-CC77-CD77</f>
        <v>19.698</v>
      </c>
      <c r="CG77" s="2216"/>
      <c r="CH77" s="115" t="n">
        <f aca="false">CI77+CJ77+CN77</f>
        <v>50.2077857631759</v>
      </c>
      <c r="CI77" s="2217" t="n">
        <f aca="false">CI76+(CI$88-CI$76)/12</f>
        <v>12.0791666666667</v>
      </c>
      <c r="CJ77" s="1509" t="n">
        <f aca="false">CK77*CL77*CM77</f>
        <v>21.8661190965092</v>
      </c>
      <c r="CK77" s="2217" t="n">
        <f aca="false">CK76+(CK$88-CK$76)/12</f>
        <v>22.95</v>
      </c>
      <c r="CL77" s="995" t="n">
        <f aca="false">CL$76</f>
        <v>1</v>
      </c>
      <c r="CM77" s="514" t="n">
        <f aca="false">CM65*TableDE15a!I53/TableDE15a!I$52</f>
        <v>0.952772073921971</v>
      </c>
      <c r="CN77" s="2217" t="n">
        <f aca="false">CN76+(CN$88-CN$76)/12</f>
        <v>16.2625</v>
      </c>
      <c r="CO77" s="2017" t="n">
        <f aca="false">CX77-CP77</f>
        <v>-39.5867724897571</v>
      </c>
      <c r="CP77" s="1509" t="n">
        <f aca="false">CQ77+9*(CQ78-CQ77)/12</f>
        <v>43.1957724897572</v>
      </c>
      <c r="CQ77" s="1509" t="n">
        <f aca="false">(CR76+CS77+CT77)/1000</f>
        <v>34.1018710290363</v>
      </c>
      <c r="CR77" s="115" t="n">
        <v>16715</v>
      </c>
      <c r="CS77" s="115" t="n">
        <v>17608</v>
      </c>
      <c r="CT77" s="2223" t="n">
        <f aca="false">CT76*CS77/CS76</f>
        <v>11291.8710290363</v>
      </c>
      <c r="CU77" s="485" t="n">
        <v>0</v>
      </c>
      <c r="CW77" s="2217"/>
      <c r="CX77" s="2019" t="n">
        <f aca="false">CY77+(CU76+9/12*(CU77-CU76))/1000</f>
        <v>3.609</v>
      </c>
      <c r="CY77" s="2019" t="n">
        <f aca="false">CZ77+DA77</f>
        <v>3.609</v>
      </c>
      <c r="CZ77" s="2017" t="n">
        <v>0.871</v>
      </c>
      <c r="DA77" s="2017" t="n">
        <v>2.738</v>
      </c>
      <c r="DB77" s="2017" t="n">
        <v>7.218</v>
      </c>
      <c r="DC77" s="2218"/>
    </row>
    <row r="78" customFormat="false" ht="12" hidden="false" customHeight="false" outlineLevel="0" collapsed="false">
      <c r="A78" s="31" t="n">
        <v>1915</v>
      </c>
      <c r="B78" s="111"/>
      <c r="C78" s="1994" t="n">
        <f aca="false">C77*E78/E77</f>
        <v>44.4783227948709</v>
      </c>
      <c r="E78" s="111" t="n">
        <v>48.022</v>
      </c>
      <c r="F78" s="2219"/>
      <c r="G78" s="911"/>
      <c r="H78" s="933"/>
      <c r="I78" s="1997"/>
      <c r="J78" s="1997"/>
      <c r="K78" s="1997"/>
      <c r="L78" s="514"/>
      <c r="M78" s="1997"/>
      <c r="N78" s="1997"/>
      <c r="O78" s="218"/>
      <c r="P78" s="218"/>
      <c r="Q78" s="1997" t="n">
        <f aca="false">R78-S78</f>
        <v>-4</v>
      </c>
      <c r="R78" s="1997" t="n">
        <v>3.1</v>
      </c>
      <c r="S78" s="218" t="n">
        <v>7.1</v>
      </c>
      <c r="T78" s="218"/>
      <c r="U78" s="218"/>
      <c r="V78" s="2212"/>
      <c r="AB78" s="2009"/>
      <c r="AF78" s="32"/>
      <c r="AG78" s="2225"/>
      <c r="AH78" s="32"/>
      <c r="AI78" s="911"/>
      <c r="AK78" s="2207"/>
      <c r="AL78" s="2207"/>
      <c r="AM78" s="2212"/>
      <c r="AN78" s="2009"/>
      <c r="AO78" s="32"/>
      <c r="AP78" s="32"/>
      <c r="AQ78" s="32"/>
      <c r="AR78" s="32"/>
      <c r="AS78" s="32"/>
      <c r="AT78" s="32"/>
      <c r="AU78" s="32"/>
      <c r="AV78" s="2023" t="n">
        <v>-24.618</v>
      </c>
      <c r="AW78" s="933"/>
      <c r="AX78" s="218"/>
      <c r="AY78" s="218"/>
      <c r="AZ78" s="2222" t="n">
        <v>22.05</v>
      </c>
      <c r="BA78" s="947" t="n">
        <f aca="false">AVERAGE(110,112,115,116,115,116,117,117,115,116,118,123)</f>
        <v>115.833333333333</v>
      </c>
      <c r="BC78" s="401"/>
      <c r="BD78" s="401"/>
      <c r="BE78" s="401"/>
      <c r="BF78" s="401"/>
      <c r="BG78" s="401"/>
      <c r="BI78" s="2207" t="n">
        <v>67883</v>
      </c>
      <c r="BJ78" s="218" t="n">
        <f aca="false">BI78*(1-BN78)</f>
        <v>39341.2292844693</v>
      </c>
      <c r="BK78" s="401" t="n">
        <v>67883</v>
      </c>
      <c r="BL78" s="401"/>
      <c r="BM78" s="401" t="n">
        <f aca="false">BK78*(1-BN78)</f>
        <v>39341.2292844693</v>
      </c>
      <c r="BN78" s="2211" t="n">
        <f aca="false">BN77+(BN$88-BN$76)/12</f>
        <v>0.420455352820745</v>
      </c>
      <c r="BO78" s="218"/>
      <c r="BP78" s="218"/>
      <c r="BQ78" s="218"/>
      <c r="BR78" s="2212"/>
      <c r="BS78" s="1002"/>
      <c r="BT78" s="115"/>
      <c r="BU78" s="387"/>
      <c r="BV78" s="387"/>
      <c r="BW78" s="115"/>
      <c r="BX78" s="115"/>
      <c r="BY78" s="115"/>
      <c r="BZ78" s="115"/>
      <c r="CA78" s="1002"/>
      <c r="CB78" s="2213" t="n">
        <f aca="false">CB77+(CB$81-CB$77)/4</f>
        <v>14.7735</v>
      </c>
      <c r="CC78" s="2019" t="n">
        <v>0</v>
      </c>
      <c r="CD78" s="485" t="n">
        <v>0</v>
      </c>
      <c r="CE78" s="2215" t="n">
        <f aca="false">CB78-CC78</f>
        <v>14.7735</v>
      </c>
      <c r="CF78" s="2215" t="n">
        <f aca="false">CB78-CC78-CD78</f>
        <v>14.7735</v>
      </c>
      <c r="CG78" s="2216"/>
      <c r="CH78" s="115" t="n">
        <f aca="false">CI78+CJ78+CN78</f>
        <v>46.2904761904762</v>
      </c>
      <c r="CI78" s="2217" t="n">
        <f aca="false">CI77+(CI$88-CI$76)/12</f>
        <v>12.5583333333333</v>
      </c>
      <c r="CJ78" s="1509" t="n">
        <f aca="false">CK78*CL78*CM78</f>
        <v>16.8571428571429</v>
      </c>
      <c r="CK78" s="2217" t="n">
        <f aca="false">CK77+(CK$88-CK$76)/12</f>
        <v>23.6</v>
      </c>
      <c r="CL78" s="995" t="n">
        <f aca="false">CL$76</f>
        <v>1</v>
      </c>
      <c r="CM78" s="514" t="n">
        <f aca="false">CM66*TableDE15a!I54/TableDE15a!I$52</f>
        <v>0.714285714285714</v>
      </c>
      <c r="CN78" s="2217" t="n">
        <f aca="false">CN77+(CN$88-CN$76)/12</f>
        <v>16.875</v>
      </c>
      <c r="CO78" s="2017" t="n">
        <f aca="false">CX78-CP78</f>
        <v>-57.1611059022623</v>
      </c>
      <c r="CP78" s="1509" t="n">
        <f aca="false">CQ78+9*(CQ79-CQ78)/12</f>
        <v>63.6341059022623</v>
      </c>
      <c r="CQ78" s="1509" t="n">
        <f aca="false">(CR77+CS78+CT78)/1000</f>
        <v>46.2270729766641</v>
      </c>
      <c r="CR78" s="115" t="n">
        <v>39496</v>
      </c>
      <c r="CS78" s="115" t="n">
        <v>17981</v>
      </c>
      <c r="CT78" s="2223" t="n">
        <f aca="false">CT77*CS78/CS77</f>
        <v>11531.0729766641</v>
      </c>
      <c r="CU78" s="485" t="n">
        <v>0</v>
      </c>
      <c r="CX78" s="2019" t="n">
        <f aca="false">CY78+(CU77+9/12*(CU78-CU77))/1000</f>
        <v>6.473</v>
      </c>
      <c r="CY78" s="2019" t="n">
        <f aca="false">CZ78+DA78</f>
        <v>6.473</v>
      </c>
      <c r="CZ78" s="2017" t="n">
        <v>1.255</v>
      </c>
      <c r="DA78" s="2017" t="n">
        <v>5.218</v>
      </c>
      <c r="DB78" s="2017" t="n">
        <v>9.908</v>
      </c>
      <c r="DC78" s="1403"/>
    </row>
    <row r="79" customFormat="false" ht="12" hidden="false" customHeight="false" outlineLevel="0" collapsed="false">
      <c r="A79" s="31" t="n">
        <v>1916</v>
      </c>
      <c r="B79" s="111"/>
      <c r="C79" s="1994" t="n">
        <f aca="false">C78*E79/E78</f>
        <v>42.4175117453813</v>
      </c>
      <c r="E79" s="111" t="n">
        <v>45.797</v>
      </c>
      <c r="F79" s="384"/>
      <c r="G79" s="911"/>
      <c r="H79" s="933"/>
      <c r="I79" s="1997"/>
      <c r="J79" s="1997"/>
      <c r="K79" s="1997"/>
      <c r="L79" s="514"/>
      <c r="M79" s="1997"/>
      <c r="N79" s="1997"/>
      <c r="O79" s="218"/>
      <c r="P79" s="218"/>
      <c r="Q79" s="1997" t="n">
        <f aca="false">R79-S79</f>
        <v>-4.6</v>
      </c>
      <c r="R79" s="1997" t="n">
        <v>3.8</v>
      </c>
      <c r="S79" s="218" t="n">
        <v>8.4</v>
      </c>
      <c r="T79" s="218"/>
      <c r="U79" s="218"/>
      <c r="V79" s="2212"/>
      <c r="AB79" s="2009"/>
      <c r="AF79" s="32"/>
      <c r="AG79" s="2225"/>
      <c r="AH79" s="32"/>
      <c r="AI79" s="911"/>
      <c r="AK79" s="2207"/>
      <c r="AL79" s="2207"/>
      <c r="AM79" s="2212"/>
      <c r="AN79" s="2009"/>
      <c r="AO79" s="32"/>
      <c r="AP79" s="32"/>
      <c r="AQ79" s="32"/>
      <c r="AR79" s="32"/>
      <c r="AS79" s="32"/>
      <c r="AT79" s="32"/>
      <c r="AU79" s="32"/>
      <c r="AV79" s="2023" t="n">
        <f aca="false">-25.612</f>
        <v>-25.612</v>
      </c>
      <c r="AW79" s="933"/>
      <c r="AX79" s="218"/>
      <c r="AY79" s="218"/>
      <c r="AZ79" s="2222" t="n">
        <v>28.7333333333333</v>
      </c>
      <c r="BA79" s="947" t="n">
        <f aca="false">AVERAGE(127,128,132,130,124,126,131,133,137,136,138,136)</f>
        <v>131.5</v>
      </c>
      <c r="BC79" s="401"/>
      <c r="BD79" s="401"/>
      <c r="BE79" s="401"/>
      <c r="BF79" s="401"/>
      <c r="BG79" s="401"/>
      <c r="BI79" s="2207" t="n">
        <v>67715</v>
      </c>
      <c r="BJ79" s="218" t="n">
        <f aca="false">BI79*(1-BN79)</f>
        <v>39629.6834769609</v>
      </c>
      <c r="BK79" s="401" t="n">
        <v>67715</v>
      </c>
      <c r="BL79" s="401"/>
      <c r="BM79" s="401" t="n">
        <f aca="false">BK79*(1-BN79)</f>
        <v>39629.6834769609</v>
      </c>
      <c r="BN79" s="2211" t="n">
        <f aca="false">BN78+(BN$88-BN$76)/12</f>
        <v>0.41475768327607</v>
      </c>
      <c r="BO79" s="218"/>
      <c r="BP79" s="218"/>
      <c r="BQ79" s="218"/>
      <c r="BR79" s="2212"/>
      <c r="CB79" s="2213" t="n">
        <f aca="false">CB78+(CB$81-CB$77)/4</f>
        <v>9.849</v>
      </c>
      <c r="CC79" s="2019" t="n">
        <v>0</v>
      </c>
      <c r="CD79" s="485" t="n">
        <v>0</v>
      </c>
      <c r="CE79" s="2215" t="n">
        <f aca="false">CB79-CC79</f>
        <v>9.849</v>
      </c>
      <c r="CF79" s="2215" t="n">
        <f aca="false">CB79-CC79-CD79</f>
        <v>9.849</v>
      </c>
      <c r="CG79" s="2216"/>
      <c r="CH79" s="115" t="n">
        <f aca="false">CI79+CJ79+CN79</f>
        <v>46.7562811674978</v>
      </c>
      <c r="CI79" s="2217" t="n">
        <f aca="false">CI78+(CI$88-CI$76)/12</f>
        <v>13.0375</v>
      </c>
      <c r="CJ79" s="1509" t="n">
        <f aca="false">CK79*CL79*CM79</f>
        <v>16.2312811674978</v>
      </c>
      <c r="CK79" s="2217" t="n">
        <f aca="false">CK78+(CK$88-CK$76)/12</f>
        <v>24.25</v>
      </c>
      <c r="CL79" s="995" t="n">
        <f aca="false">CL$76</f>
        <v>1</v>
      </c>
      <c r="CM79" s="514" t="n">
        <f aca="false">CM67*TableDE15a!I55/TableDE15a!I$52</f>
        <v>0.669331182164858</v>
      </c>
      <c r="CN79" s="2217" t="n">
        <f aca="false">CN78+(CN$88-CN$76)/12</f>
        <v>17.4875</v>
      </c>
      <c r="CO79" s="2017" t="n">
        <f aca="false">CX79-CP79</f>
        <v>-85.0666678196069</v>
      </c>
      <c r="CP79" s="1509" t="n">
        <f aca="false">CQ79+9*(CQ80-CQ79)/12</f>
        <v>94.3526678196069</v>
      </c>
      <c r="CQ79" s="1509" t="n">
        <f aca="false">(CR78+CS79+CT79)/1000</f>
        <v>69.4364502107951</v>
      </c>
      <c r="CR79" s="115" t="n">
        <v>68877</v>
      </c>
      <c r="CS79" s="115" t="n">
        <v>18242</v>
      </c>
      <c r="CT79" s="2223" t="n">
        <f aca="false">CT78*CS79/CS78</f>
        <v>11698.4502107951</v>
      </c>
      <c r="CU79" s="485" t="n">
        <v>0</v>
      </c>
      <c r="CX79" s="2019" t="n">
        <f aca="false">CY79+(CU78+9/12*(CU79-CU78))/1000</f>
        <v>9.286</v>
      </c>
      <c r="CY79" s="2019" t="n">
        <f aca="false">CZ79+DA79</f>
        <v>9.286</v>
      </c>
      <c r="CZ79" s="2017" t="n">
        <v>0.415</v>
      </c>
      <c r="DA79" s="2017" t="n">
        <v>8.871</v>
      </c>
      <c r="DB79" s="2017" t="n">
        <v>13.448</v>
      </c>
      <c r="DC79" s="1403"/>
    </row>
    <row r="80" customFormat="false" ht="12" hidden="false" customHeight="false" outlineLevel="0" collapsed="false">
      <c r="A80" s="31" t="n">
        <v>1917</v>
      </c>
      <c r="B80" s="111"/>
      <c r="C80" s="1994" t="n">
        <f aca="false">C79*E80/E79</f>
        <v>41.3996100180155</v>
      </c>
      <c r="E80" s="111" t="n">
        <v>44.698</v>
      </c>
      <c r="F80" s="384"/>
      <c r="G80" s="911"/>
      <c r="H80" s="933"/>
      <c r="I80" s="1997"/>
      <c r="J80" s="1997"/>
      <c r="K80" s="1997"/>
      <c r="L80" s="514"/>
      <c r="M80" s="1997"/>
      <c r="N80" s="1997"/>
      <c r="O80" s="218"/>
      <c r="P80" s="218"/>
      <c r="Q80" s="1997" t="n">
        <f aca="false">R80-S80</f>
        <v>-3.6</v>
      </c>
      <c r="R80" s="1997" t="n">
        <v>3.5</v>
      </c>
      <c r="S80" s="218" t="n">
        <v>7.1</v>
      </c>
      <c r="T80" s="218"/>
      <c r="U80" s="218"/>
      <c r="V80" s="2212"/>
      <c r="AB80" s="2009"/>
      <c r="AF80" s="32"/>
      <c r="AG80" s="2225"/>
      <c r="AH80" s="32"/>
      <c r="AI80" s="911"/>
      <c r="AK80" s="2207"/>
      <c r="AL80" s="2207"/>
      <c r="AM80" s="2212"/>
      <c r="AO80" s="32"/>
      <c r="AP80" s="32"/>
      <c r="AQ80" s="32"/>
      <c r="AR80" s="32"/>
      <c r="AS80" s="32"/>
      <c r="AT80" s="32"/>
      <c r="AU80" s="32"/>
      <c r="AV80" s="2023" t="n">
        <f aca="false">-46.272</f>
        <v>-46.272</v>
      </c>
      <c r="AW80" s="933"/>
      <c r="AX80" s="218"/>
      <c r="AY80" s="218"/>
      <c r="AZ80" s="2222" t="n">
        <v>42.8083333333333</v>
      </c>
      <c r="BA80" s="947" t="n">
        <f aca="false">AVERAGE(138,140,139,154,156,169,170,170,172,174,165,135)</f>
        <v>156.833333333333</v>
      </c>
      <c r="BC80" s="401"/>
      <c r="BD80" s="401"/>
      <c r="BE80" s="401"/>
      <c r="BF80" s="401"/>
      <c r="BG80" s="401"/>
      <c r="BI80" s="2207" t="n">
        <v>65462</v>
      </c>
      <c r="BJ80" s="218" t="n">
        <f aca="false">BI80*(1-BN80)</f>
        <v>38684.1133811154</v>
      </c>
      <c r="BK80" s="401" t="n">
        <v>67368</v>
      </c>
      <c r="BL80" s="401"/>
      <c r="BM80" s="401" t="n">
        <f aca="false">BK80*(1-BN80)</f>
        <v>39810.4449949434</v>
      </c>
      <c r="BN80" s="2211" t="n">
        <f aca="false">BN79+(BN$88-BN$76)/12</f>
        <v>0.409060013731396</v>
      </c>
      <c r="BO80" s="218"/>
      <c r="BP80" s="218"/>
      <c r="BQ80" s="218"/>
      <c r="BR80" s="2212"/>
      <c r="BU80" s="115"/>
      <c r="BV80" s="115"/>
      <c r="CB80" s="2213" t="n">
        <f aca="false">CB79+(CB$81-CB$77)/4</f>
        <v>4.9245</v>
      </c>
      <c r="CC80" s="2019" t="n">
        <v>0</v>
      </c>
      <c r="CD80" s="485" t="n">
        <v>0</v>
      </c>
      <c r="CE80" s="2215" t="n">
        <f aca="false">CB80-CC80</f>
        <v>4.9245</v>
      </c>
      <c r="CF80" s="2215" t="n">
        <f aca="false">CB80-CC80-CD80</f>
        <v>4.9245</v>
      </c>
      <c r="CG80" s="2216"/>
      <c r="CH80" s="115" t="n">
        <f aca="false">CI80+CJ80+CN80</f>
        <v>45.8196734135132</v>
      </c>
      <c r="CI80" s="2217" t="n">
        <f aca="false">CI79+(CI$88-CI$76)/12</f>
        <v>13.5166666666667</v>
      </c>
      <c r="CJ80" s="1509" t="n">
        <f aca="false">CK80*CL80*CM80</f>
        <v>14.2030067468466</v>
      </c>
      <c r="CK80" s="2217" t="n">
        <f aca="false">CK79+(CK$88-CK$76)/12</f>
        <v>24.9</v>
      </c>
      <c r="CL80" s="995" t="n">
        <f aca="false">CL$76</f>
        <v>1</v>
      </c>
      <c r="CM80" s="514" t="n">
        <f aca="false">CM68*TableDE15a!I56/TableDE15a!I$52</f>
        <v>0.570401877383397</v>
      </c>
      <c r="CN80" s="2217" t="n">
        <f aca="false">CN79+(CN$88-CN$76)/12</f>
        <v>18.1</v>
      </c>
      <c r="CO80" s="2017" t="n">
        <f aca="false">CX80-CP80</f>
        <v>-117.129472967757</v>
      </c>
      <c r="CP80" s="1509" t="n">
        <f aca="false">CQ80+9*(CQ81-CQ80)/12</f>
        <v>132.642472967757</v>
      </c>
      <c r="CQ80" s="1509" t="n">
        <f aca="false">(CR79+CS80+CT80)/1000</f>
        <v>102.658073689211</v>
      </c>
      <c r="CR80" s="115" t="n">
        <v>104945</v>
      </c>
      <c r="CS80" s="115" t="n">
        <v>20582</v>
      </c>
      <c r="CT80" s="2223" t="n">
        <f aca="false">CT79*CS80/CS79</f>
        <v>13199.0736892109</v>
      </c>
      <c r="CU80" s="485" t="n">
        <v>0</v>
      </c>
      <c r="CX80" s="1284" t="n">
        <f aca="false">CY80+(CU79+9/12*(CU80-CU79))/1000</f>
        <v>15.513</v>
      </c>
      <c r="CY80" s="2019" t="n">
        <f aca="false">CZ80+DA80</f>
        <v>15.513</v>
      </c>
      <c r="CZ80" s="2017" t="n">
        <v>1.305</v>
      </c>
      <c r="DA80" s="2017" t="n">
        <v>14.208</v>
      </c>
      <c r="DB80" s="2017" t="n">
        <v>20.685</v>
      </c>
      <c r="DC80" s="1403"/>
    </row>
    <row r="81" customFormat="false" ht="12" hidden="false" customHeight="false" outlineLevel="0" collapsed="false">
      <c r="A81" s="31" t="n">
        <v>1918</v>
      </c>
      <c r="B81" s="111"/>
      <c r="C81" s="1994" t="n">
        <f aca="false">C80*E81/E80</f>
        <v>40.291866190964</v>
      </c>
      <c r="E81" s="111" t="n">
        <v>43.502</v>
      </c>
      <c r="F81" s="384"/>
      <c r="G81" s="911"/>
      <c r="H81" s="933"/>
      <c r="I81" s="1997"/>
      <c r="J81" s="1997"/>
      <c r="K81" s="1997"/>
      <c r="L81" s="514"/>
      <c r="M81" s="1997"/>
      <c r="N81" s="1997"/>
      <c r="O81" s="218"/>
      <c r="P81" s="218"/>
      <c r="Q81" s="1997" t="n">
        <f aca="false">R81-S81</f>
        <v>-2.4</v>
      </c>
      <c r="R81" s="1997" t="n">
        <v>4.7</v>
      </c>
      <c r="S81" s="218" t="n">
        <v>7.1</v>
      </c>
      <c r="T81" s="218"/>
      <c r="U81" s="218"/>
      <c r="V81" s="2212"/>
      <c r="AB81" s="2009"/>
      <c r="AF81" s="32"/>
      <c r="AG81" s="2225"/>
      <c r="AH81" s="32"/>
      <c r="AI81" s="911"/>
      <c r="AK81" s="2207"/>
      <c r="AL81" s="2207"/>
      <c r="AM81" s="2212"/>
      <c r="AN81" s="32"/>
      <c r="AO81" s="32"/>
      <c r="AP81" s="32"/>
      <c r="AQ81" s="32"/>
      <c r="AR81" s="32"/>
      <c r="AS81" s="32"/>
      <c r="AT81" s="32"/>
      <c r="AU81" s="32"/>
      <c r="AV81" s="2023" t="n">
        <f aca="false">-58.379</f>
        <v>-58.379</v>
      </c>
      <c r="AW81" s="933"/>
      <c r="AX81" s="218"/>
      <c r="AY81" s="218"/>
      <c r="AZ81" s="2222" t="n">
        <v>51.3166666666667</v>
      </c>
      <c r="BA81" s="947" t="n">
        <f aca="false">AVERAGE(124,126,124,122,122,128,138,145,157,157,177,197)</f>
        <v>143.083333333333</v>
      </c>
      <c r="BC81" s="401"/>
      <c r="BD81" s="401"/>
      <c r="BE81" s="401"/>
      <c r="BF81" s="401"/>
      <c r="BG81" s="401"/>
      <c r="BI81" s="2207" t="n">
        <v>64905</v>
      </c>
      <c r="BJ81" s="218" t="n">
        <f aca="false">BI81*(1-BN81)</f>
        <v>38724.7670505609</v>
      </c>
      <c r="BK81" s="401" t="n">
        <v>66811</v>
      </c>
      <c r="BL81" s="401"/>
      <c r="BM81" s="401" t="n">
        <f aca="false">BK81*(1-BN81)</f>
        <v>39861.958422541</v>
      </c>
      <c r="BN81" s="2211" t="n">
        <f aca="false">BN80+(BN$88-BN$76)/12</f>
        <v>0.403362344186721</v>
      </c>
      <c r="BO81" s="218"/>
      <c r="BP81" s="218"/>
      <c r="BQ81" s="218"/>
      <c r="BR81" s="2212"/>
      <c r="BU81" s="115"/>
      <c r="BV81" s="115"/>
      <c r="CB81" s="2213" t="n">
        <f aca="false">0</f>
        <v>0</v>
      </c>
      <c r="CC81" s="2019" t="n">
        <v>0</v>
      </c>
      <c r="CD81" s="485" t="n">
        <v>0</v>
      </c>
      <c r="CE81" s="2215" t="n">
        <f aca="false">CB81-CC81</f>
        <v>0</v>
      </c>
      <c r="CF81" s="2215" t="n">
        <f aca="false">CB81-CC81-CD81</f>
        <v>0</v>
      </c>
      <c r="CG81" s="2216"/>
      <c r="CH81" s="115" t="n">
        <f aca="false">CI81+CJ81+CN81</f>
        <v>45.7344113620808</v>
      </c>
      <c r="CI81" s="2217" t="n">
        <f aca="false">CI80+(CI$88-CI$76)/12</f>
        <v>13.9958333333333</v>
      </c>
      <c r="CJ81" s="1509" t="n">
        <f aca="false">CK81*CL81*CM81</f>
        <v>13.0260780287474</v>
      </c>
      <c r="CK81" s="2217" t="n">
        <f aca="false">CK80+(CK$88-CK$76)/12</f>
        <v>25.55</v>
      </c>
      <c r="CL81" s="995" t="n">
        <f aca="false">CL$76</f>
        <v>1</v>
      </c>
      <c r="CM81" s="514" t="n">
        <f aca="false">CM69*TableDE15a!I57/TableDE15a!I$52</f>
        <v>0.509826928718099</v>
      </c>
      <c r="CN81" s="2217" t="n">
        <f aca="false">CN80+(CN$88-CN$76)/12</f>
        <v>18.7125</v>
      </c>
      <c r="CO81" s="2017" t="n">
        <f aca="false">CX81-CP81</f>
        <v>-133.178099741702</v>
      </c>
      <c r="CP81" s="1509" t="n">
        <f aca="false">CQ81+9*(CQ82-CQ81)/12</f>
        <v>165.598099741702</v>
      </c>
      <c r="CQ81" s="1509" t="n">
        <f aca="false">(CR80+CS81+CT81)/1000</f>
        <v>142.637272727273</v>
      </c>
      <c r="CR81" s="115" t="n">
        <v>156092</v>
      </c>
      <c r="CS81" s="115" t="n">
        <v>22965</v>
      </c>
      <c r="CT81" s="2223" t="n">
        <f aca="false">CT80*CS81/CS80</f>
        <v>14727.2727272727</v>
      </c>
      <c r="CU81" s="485" t="n">
        <v>0</v>
      </c>
      <c r="CX81" s="1284" t="n">
        <f aca="false">CY81+(CU80+9/12*(CU81-CU80))/1000</f>
        <v>32.42</v>
      </c>
      <c r="CY81" s="2019" t="n">
        <f aca="false">CZ81+DA81</f>
        <v>32.42</v>
      </c>
      <c r="CZ81" s="2017" t="n">
        <v>5.263</v>
      </c>
      <c r="DA81" s="2017" t="n">
        <v>27.157</v>
      </c>
      <c r="DB81" s="2017" t="n">
        <v>37.519</v>
      </c>
      <c r="DC81" s="1403"/>
    </row>
    <row r="82" customFormat="false" ht="12" hidden="false" customHeight="false" outlineLevel="0" collapsed="false">
      <c r="A82" s="31" t="n">
        <v>1919</v>
      </c>
      <c r="B82" s="111"/>
      <c r="C82" s="1994" t="n">
        <f aca="false">C81*E82/E81</f>
        <v>35.8331046663605</v>
      </c>
      <c r="E82" s="111" t="n">
        <v>38.688</v>
      </c>
      <c r="F82" s="384"/>
      <c r="G82" s="911"/>
      <c r="H82" s="933"/>
      <c r="I82" s="1997"/>
      <c r="J82" s="1997"/>
      <c r="K82" s="1997"/>
      <c r="L82" s="1997"/>
      <c r="M82" s="1997"/>
      <c r="N82" s="1997"/>
      <c r="O82" s="218"/>
      <c r="P82" s="218"/>
      <c r="Q82" s="218"/>
      <c r="R82" s="1997"/>
      <c r="S82" s="218"/>
      <c r="T82" s="218"/>
      <c r="U82" s="218"/>
      <c r="V82" s="2212"/>
      <c r="AB82" s="2009"/>
      <c r="AF82" s="32"/>
      <c r="AG82" s="2225"/>
      <c r="AH82" s="32"/>
      <c r="AI82" s="911"/>
      <c r="AK82" s="2207"/>
      <c r="AL82" s="2207"/>
      <c r="AM82" s="2212"/>
      <c r="AN82" s="32"/>
      <c r="AO82" s="32"/>
      <c r="AP82" s="32"/>
      <c r="AQ82" s="32"/>
      <c r="AR82" s="32"/>
      <c r="AS82" s="32"/>
      <c r="AT82" s="32"/>
      <c r="AU82" s="32"/>
      <c r="AV82" s="32"/>
      <c r="AW82" s="933"/>
      <c r="AX82" s="218"/>
      <c r="AY82" s="218"/>
      <c r="AZ82" s="2222" t="n">
        <v>70.375</v>
      </c>
      <c r="BA82" s="947" t="n">
        <f aca="false">AVERAGE(195,217,247,300,306,334,359,448,573,639,912,1114)</f>
        <v>470.333333333333</v>
      </c>
      <c r="BC82" s="401"/>
      <c r="BD82" s="401"/>
      <c r="BE82" s="401"/>
      <c r="BF82" s="401"/>
      <c r="BG82" s="401"/>
      <c r="BI82" s="2207" t="n">
        <v>62897</v>
      </c>
      <c r="BJ82" s="218" t="n">
        <f aca="false">BI82*(1-BN82)</f>
        <v>37885.0849590393</v>
      </c>
      <c r="BK82" s="401" t="n">
        <v>62897</v>
      </c>
      <c r="BL82" s="401"/>
      <c r="BM82" s="401" t="n">
        <f aca="false">BK82*(1-BN82)</f>
        <v>37885.0849590393</v>
      </c>
      <c r="BN82" s="2211" t="n">
        <f aca="false">BN81+(BN$88-BN$76)/12</f>
        <v>0.397664674642046</v>
      </c>
      <c r="BO82" s="218"/>
      <c r="BP82" s="218"/>
      <c r="BQ82" s="218"/>
      <c r="BR82" s="2212"/>
      <c r="BU82" s="115"/>
      <c r="BV82" s="115"/>
      <c r="CB82" s="2226" t="n">
        <f aca="false">CB81+(CB$89-CB$81)/8</f>
        <v>0.8875</v>
      </c>
      <c r="CC82" s="2019" t="n">
        <v>0</v>
      </c>
      <c r="CD82" s="2214" t="n">
        <f aca="false">CD84</f>
        <v>132</v>
      </c>
      <c r="CE82" s="2215" t="n">
        <f aca="false">CB82-CC82</f>
        <v>0.8875</v>
      </c>
      <c r="CF82" s="2215" t="n">
        <f aca="false">CB82-CC82-CD82</f>
        <v>-131.1125</v>
      </c>
      <c r="CG82" s="2216"/>
      <c r="CH82" s="115" t="n">
        <f aca="false">CI82+CJ82+CN82</f>
        <v>41.464403050748</v>
      </c>
      <c r="CI82" s="2217" t="n">
        <f aca="false">CI81+(CI$88-CI$76)/12</f>
        <v>14.475</v>
      </c>
      <c r="CJ82" s="1509" t="n">
        <f aca="false">CK82*CL82*CM82</f>
        <v>7.66440305074802</v>
      </c>
      <c r="CK82" s="2217" t="n">
        <f aca="false">CK81+(CK$88-CK$76)/12</f>
        <v>26.2</v>
      </c>
      <c r="CL82" s="995" t="n">
        <f aca="false">CL$76</f>
        <v>1</v>
      </c>
      <c r="CM82" s="514" t="n">
        <f aca="false">CM70*TableDE15a!I58/TableDE15a!I$52</f>
        <v>0.292534467585802</v>
      </c>
      <c r="CN82" s="2217" t="n">
        <f aca="false">CN81+(CN$88-CN$76)/12</f>
        <v>19.325</v>
      </c>
      <c r="CO82" s="2017" t="n">
        <f aca="false">CX82-CP82</f>
        <v>-140.864927186628</v>
      </c>
      <c r="CP82" s="1509" t="n">
        <f aca="false">CQ82+9*(CQ83-CQ82)/12</f>
        <v>193.108927186628</v>
      </c>
      <c r="CQ82" s="1509" t="n">
        <f aca="false">(CR81+CS82+CT82)/1000</f>
        <v>173.251708746512</v>
      </c>
      <c r="CR82" s="115" t="n">
        <v>199728</v>
      </c>
      <c r="CS82" s="115" t="n">
        <v>10455</v>
      </c>
      <c r="CT82" s="2223" t="n">
        <f aca="false">CT81*CS82/CS81</f>
        <v>6704.70874651149</v>
      </c>
      <c r="CU82" s="485" t="n">
        <v>0</v>
      </c>
      <c r="CX82" s="1284" t="n">
        <f aca="false">CY82+(CU81+9/12*(CU82-CU81))/1000</f>
        <v>52.244</v>
      </c>
      <c r="CY82" s="2019" t="n">
        <f aca="false">CZ82+DA82</f>
        <v>52.244</v>
      </c>
      <c r="CZ82" s="2017" t="n">
        <v>10.993</v>
      </c>
      <c r="DA82" s="2017" t="n">
        <v>41.251</v>
      </c>
      <c r="DB82" s="2017" t="n">
        <v>56.516</v>
      </c>
      <c r="DC82" s="2227"/>
    </row>
    <row r="83" customFormat="false" ht="12" hidden="false" customHeight="false" outlineLevel="0" collapsed="false">
      <c r="A83" s="31" t="n">
        <v>1920</v>
      </c>
      <c r="B83" s="111"/>
      <c r="C83" s="1994" t="n">
        <f aca="false">C82*E83/E82</f>
        <v>40.0955102617542</v>
      </c>
      <c r="E83" s="111" t="n">
        <v>43.29</v>
      </c>
      <c r="F83" s="384"/>
      <c r="G83" s="911"/>
      <c r="H83" s="933"/>
      <c r="I83" s="1997"/>
      <c r="J83" s="1997"/>
      <c r="K83" s="1997"/>
      <c r="L83" s="1997"/>
      <c r="M83" s="1997"/>
      <c r="N83" s="1997"/>
      <c r="O83" s="218"/>
      <c r="P83" s="218"/>
      <c r="Q83" s="218"/>
      <c r="R83" s="1997"/>
      <c r="S83" s="218"/>
      <c r="T83" s="218"/>
      <c r="U83" s="218"/>
      <c r="V83" s="1319"/>
      <c r="AB83" s="2009"/>
      <c r="AF83" s="32"/>
      <c r="AG83" s="2225"/>
      <c r="AH83" s="32"/>
      <c r="AI83" s="911"/>
      <c r="AK83" s="2207"/>
      <c r="AL83" s="2207"/>
      <c r="AM83" s="2212"/>
      <c r="AO83" s="32"/>
      <c r="AP83" s="32"/>
      <c r="AQ83" s="32"/>
      <c r="AR83" s="32"/>
      <c r="AS83" s="32"/>
      <c r="AT83" s="32"/>
      <c r="AU83" s="32"/>
      <c r="AV83" s="32"/>
      <c r="AW83" s="933"/>
      <c r="AX83" s="218"/>
      <c r="AY83" s="218"/>
      <c r="AZ83" s="2222" t="n">
        <v>172.7</v>
      </c>
      <c r="BA83" s="947" t="n">
        <f aca="false">AVERAGE(1540,2360,2000,1420,1110,930,940,1140,1380,1620,1840,1740)</f>
        <v>1501.66666666667</v>
      </c>
      <c r="BC83" s="401"/>
      <c r="BD83" s="401"/>
      <c r="BE83" s="401"/>
      <c r="BF83" s="401"/>
      <c r="BG83" s="401"/>
      <c r="BH83" s="514"/>
      <c r="BI83" s="2207" t="n">
        <v>61797</v>
      </c>
      <c r="BJ83" s="218" t="n">
        <f aca="false">BI83*(1-BN83)</f>
        <v>37574.6149859978</v>
      </c>
      <c r="BK83" s="401" t="n">
        <v>61090</v>
      </c>
      <c r="BL83" s="401"/>
      <c r="BM83" s="401" t="n">
        <f aca="false">BK83*(1-BN83)</f>
        <v>37144.7356586016</v>
      </c>
      <c r="BN83" s="2211" t="n">
        <f aca="false">BN82+(BN$88-BN$76)/12</f>
        <v>0.391967005097371</v>
      </c>
      <c r="BO83" s="218"/>
      <c r="BP83" s="218"/>
      <c r="BQ83" s="218"/>
      <c r="BR83" s="2212"/>
      <c r="BU83" s="115"/>
      <c r="BV83" s="115"/>
      <c r="CB83" s="2226" t="n">
        <f aca="false">CB82+(CB$89-CB$81)/8</f>
        <v>1.775</v>
      </c>
      <c r="CC83" s="2217" t="n">
        <f aca="false">CC82+(CC$88-CC$82)/6</f>
        <v>1.08541666666667</v>
      </c>
      <c r="CD83" s="2214" t="n">
        <f aca="false">CD84</f>
        <v>132</v>
      </c>
      <c r="CE83" s="2215" t="n">
        <f aca="false">CB83-CC83</f>
        <v>0.689583333333333</v>
      </c>
      <c r="CF83" s="2215" t="n">
        <f aca="false">CB83-CC83-CD83</f>
        <v>-131.310416666667</v>
      </c>
      <c r="CG83" s="2216"/>
      <c r="CH83" s="115" t="n">
        <f aca="false">CI83+CJ83+CN83</f>
        <v>41.3304683680454</v>
      </c>
      <c r="CI83" s="2217" t="n">
        <f aca="false">CI82+(CI$88-CI$76)/12</f>
        <v>14.9541666666667</v>
      </c>
      <c r="CJ83" s="1509" t="n">
        <f aca="false">CK83*CL83*CM83</f>
        <v>6.4388017013787</v>
      </c>
      <c r="CK83" s="2217" t="n">
        <f aca="false">CK82+(CK$88-CK$76)/12</f>
        <v>26.85</v>
      </c>
      <c r="CL83" s="995" t="n">
        <f aca="false">CL$76</f>
        <v>1</v>
      </c>
      <c r="CM83" s="514" t="n">
        <f aca="false">CM71*TableDE15a!I59/TableDE15a!I$52</f>
        <v>0.239806394837196</v>
      </c>
      <c r="CN83" s="2217" t="n">
        <f aca="false">CN82+(CN$88-CN$76)/12</f>
        <v>19.9375</v>
      </c>
      <c r="CO83" s="2017" t="n">
        <f aca="false">CX83-CP83</f>
        <v>-168.09125</v>
      </c>
      <c r="CP83" s="1509" t="n">
        <f aca="false">CQ83+9*(CQ84-CQ83)/12</f>
        <v>249.08925</v>
      </c>
      <c r="CQ83" s="1509" t="n">
        <f aca="false">(CR82+CS83+CT83)/1000</f>
        <v>199.728</v>
      </c>
      <c r="CR83" s="115" t="n">
        <v>265543</v>
      </c>
      <c r="CS83" s="2223"/>
      <c r="CT83" s="115"/>
      <c r="CU83" s="485" t="n">
        <v>0</v>
      </c>
      <c r="CV83" s="1509"/>
      <c r="CW83" s="1509"/>
      <c r="CX83" s="1284" t="n">
        <f aca="false">CY83+(CU82+9/12*(CU83-CU82))/1000</f>
        <v>80.998</v>
      </c>
      <c r="CY83" s="2019" t="n">
        <f aca="false">CZ83+DA83</f>
        <v>80.998</v>
      </c>
      <c r="CZ83" s="2017" t="n">
        <v>23.372</v>
      </c>
      <c r="DA83" s="2017" t="n">
        <v>57.626</v>
      </c>
      <c r="DB83" s="2017" t="n">
        <v>95.066</v>
      </c>
      <c r="DC83" s="2227"/>
    </row>
    <row r="84" customFormat="false" ht="12" hidden="false" customHeight="false" outlineLevel="0" collapsed="false">
      <c r="A84" s="31" t="n">
        <v>1921</v>
      </c>
      <c r="B84" s="111"/>
      <c r="C84" s="1994" t="n">
        <f aca="false">C83*E84/E83</f>
        <v>42.5045752234272</v>
      </c>
      <c r="E84" s="111" t="n">
        <v>45.891</v>
      </c>
      <c r="F84" s="384"/>
      <c r="G84" s="911"/>
      <c r="H84" s="933"/>
      <c r="I84" s="1997"/>
      <c r="J84" s="1997"/>
      <c r="K84" s="1997"/>
      <c r="L84" s="1997"/>
      <c r="M84" s="1997"/>
      <c r="N84" s="1997"/>
      <c r="O84" s="218"/>
      <c r="P84" s="218"/>
      <c r="Q84" s="218"/>
      <c r="R84" s="1997"/>
      <c r="S84" s="218"/>
      <c r="T84" s="218"/>
      <c r="U84" s="218"/>
      <c r="V84" s="1319"/>
      <c r="AB84" s="2009"/>
      <c r="AF84" s="32"/>
      <c r="AG84" s="2225"/>
      <c r="AH84" s="32"/>
      <c r="AI84" s="911"/>
      <c r="AK84" s="2207"/>
      <c r="AL84" s="2207"/>
      <c r="AM84" s="2212"/>
      <c r="AO84" s="32"/>
      <c r="AP84" s="32"/>
      <c r="AQ84" s="32"/>
      <c r="AR84" s="32"/>
      <c r="AS84" s="32"/>
      <c r="AT84" s="32"/>
      <c r="AU84" s="32"/>
      <c r="AV84" s="32"/>
      <c r="AW84" s="933"/>
      <c r="AX84" s="218"/>
      <c r="AY84" s="218"/>
      <c r="AZ84" s="2222" t="n">
        <v>227.066666666667</v>
      </c>
      <c r="BA84" s="947" t="n">
        <f aca="false">AVERAGE(1550,1460,1490,1510,1480,1650,1830,2010,2500,3580,6260,4570)</f>
        <v>2490.83333333333</v>
      </c>
      <c r="BC84" s="401"/>
      <c r="BD84" s="401"/>
      <c r="BE84" s="401"/>
      <c r="BF84" s="401"/>
      <c r="BG84" s="387"/>
      <c r="BH84" s="387"/>
      <c r="BI84" s="2207" t="n">
        <v>61771</v>
      </c>
      <c r="BJ84" s="218" t="n">
        <f aca="false">BI84*(1-BN84)</f>
        <v>37910.7568735744</v>
      </c>
      <c r="BK84" s="401" t="n">
        <v>61757</v>
      </c>
      <c r="BL84" s="401"/>
      <c r="BM84" s="401" t="n">
        <f aca="false">BK84*(1-BN84)</f>
        <v>37902.1646442722</v>
      </c>
      <c r="BN84" s="2211" t="n">
        <f aca="false">BN83+(BN$88-BN$76)/12</f>
        <v>0.386269335552696</v>
      </c>
      <c r="BO84" s="218"/>
      <c r="BP84" s="218"/>
      <c r="BQ84" s="218"/>
      <c r="BR84" s="2212"/>
      <c r="BU84" s="115"/>
      <c r="BV84" s="115"/>
      <c r="CB84" s="2226" t="n">
        <f aca="false">CB83+(CB$89-CB$81)/8</f>
        <v>2.6625</v>
      </c>
      <c r="CC84" s="2217" t="n">
        <f aca="false">CC83+(CC$88-CC$82)/6</f>
        <v>2.17083333333333</v>
      </c>
      <c r="CD84" s="1017" t="n">
        <v>132</v>
      </c>
      <c r="CE84" s="2215" t="n">
        <f aca="false">CB84-CC84</f>
        <v>0.491666666666667</v>
      </c>
      <c r="CF84" s="2215" t="n">
        <f aca="false">CB84-CC84-CD84</f>
        <v>-131.508333333333</v>
      </c>
      <c r="CG84" s="2216"/>
      <c r="CH84" s="115" t="n">
        <f aca="false">CI84+CJ84+CN84</f>
        <v>46.4037278771878</v>
      </c>
      <c r="CI84" s="2217" t="n">
        <f aca="false">CI83+(CI$88-CI$76)/12</f>
        <v>15.4333333333333</v>
      </c>
      <c r="CJ84" s="1509" t="n">
        <f aca="false">CK84*CL84*CM84</f>
        <v>10.4203945438545</v>
      </c>
      <c r="CK84" s="2217" t="n">
        <f aca="false">CK83+(CK$88-CK$76)/12</f>
        <v>27.5</v>
      </c>
      <c r="CL84" s="995" t="n">
        <f aca="false">CL$76</f>
        <v>1</v>
      </c>
      <c r="CM84" s="514" t="n">
        <f aca="false">CM72*TableDE15a!I60/TableDE15a!I$52</f>
        <v>0.378923437958346</v>
      </c>
      <c r="CN84" s="2217" t="n">
        <f aca="false">CN83+(CN$88-CN$76)/12</f>
        <v>20.55</v>
      </c>
      <c r="CO84" s="2017" t="n">
        <f aca="false">CX84-CP84</f>
        <v>-191.34475</v>
      </c>
      <c r="CP84" s="1509" t="n">
        <f aca="false">CQ84+9*(CQ85-CQ84)/12</f>
        <v>330.53875</v>
      </c>
      <c r="CQ84" s="1509" t="n">
        <f aca="false">(CR83+CS84+CT84)/1000</f>
        <v>265.543</v>
      </c>
      <c r="CR84" s="115" t="n">
        <v>352204</v>
      </c>
      <c r="CS84" s="2223"/>
      <c r="CT84" s="115"/>
      <c r="CU84" s="485" t="n">
        <v>0</v>
      </c>
      <c r="CV84" s="1509"/>
      <c r="CW84" s="1509"/>
      <c r="CX84" s="1284" t="n">
        <f aca="false">CY84+(CU83+9/12*(CU84-CU83))/1000</f>
        <v>139.194</v>
      </c>
      <c r="CY84" s="2019" t="n">
        <f aca="false">CZ84+DA84</f>
        <v>139.194</v>
      </c>
      <c r="CZ84" s="2017" t="n">
        <v>6.863</v>
      </c>
      <c r="DA84" s="2017" t="n">
        <v>132.331</v>
      </c>
      <c r="DB84" s="2017" t="n">
        <v>149.791</v>
      </c>
      <c r="DC84" s="2227"/>
    </row>
    <row r="85" customFormat="false" ht="12" hidden="false" customHeight="false" outlineLevel="0" collapsed="false">
      <c r="A85" s="31" t="n">
        <v>1922</v>
      </c>
      <c r="B85" s="111"/>
      <c r="C85" s="1994" t="n">
        <f aca="false">C84*E85/E84</f>
        <v>45.0433091949557</v>
      </c>
      <c r="E85" s="111" t="n">
        <v>48.632</v>
      </c>
      <c r="F85" s="387"/>
      <c r="G85" s="911"/>
      <c r="H85" s="933"/>
      <c r="I85" s="1997"/>
      <c r="J85" s="1997"/>
      <c r="K85" s="1997"/>
      <c r="L85" s="1997"/>
      <c r="M85" s="1997"/>
      <c r="N85" s="1997"/>
      <c r="O85" s="218"/>
      <c r="P85" s="218"/>
      <c r="Q85" s="218"/>
      <c r="R85" s="218"/>
      <c r="S85" s="218"/>
      <c r="T85" s="218"/>
      <c r="U85" s="218"/>
      <c r="V85" s="1319"/>
      <c r="AB85" s="2009"/>
      <c r="AF85" s="32"/>
      <c r="AG85" s="2225"/>
      <c r="AH85" s="32"/>
      <c r="AI85" s="911"/>
      <c r="AK85" s="2207"/>
      <c r="AL85" s="2207"/>
      <c r="AM85" s="2212"/>
      <c r="AO85" s="32"/>
      <c r="AP85" s="32"/>
      <c r="AQ85" s="32"/>
      <c r="AR85" s="32"/>
      <c r="AS85" s="32"/>
      <c r="AT85" s="32"/>
      <c r="AU85" s="32"/>
      <c r="AV85" s="32"/>
      <c r="AW85" s="933"/>
      <c r="AX85" s="218"/>
      <c r="AY85" s="218"/>
      <c r="AZ85" s="2210" t="n">
        <f aca="false">AZ84*BA85/BA84</f>
        <v>4095.02464592394</v>
      </c>
      <c r="BA85" s="947" t="n">
        <f aca="false">AVERAGE(4570,4950,6770,6930,6910,7560,11750,27030,34920,75770,171110,180780)</f>
        <v>44920.8333333333</v>
      </c>
      <c r="BC85" s="401"/>
      <c r="BD85" s="401"/>
      <c r="BE85" s="401"/>
      <c r="BF85" s="401"/>
      <c r="BG85" s="401"/>
      <c r="BH85" s="514"/>
      <c r="BI85" s="2207" t="n">
        <v>61327</v>
      </c>
      <c r="BJ85" s="218" t="n">
        <f aca="false">BI85*(1-BN85)</f>
        <v>37987.6814387261</v>
      </c>
      <c r="BK85" s="401" t="n">
        <v>61313</v>
      </c>
      <c r="BL85" s="401"/>
      <c r="BM85" s="401" t="n">
        <f aca="false">BK85*(1-BN85)</f>
        <v>37979.0094420502</v>
      </c>
      <c r="BN85" s="2211" t="n">
        <f aca="false">BN84+(BN$88-BN$76)/12</f>
        <v>0.380571666008021</v>
      </c>
      <c r="BO85" s="218"/>
      <c r="BP85" s="218"/>
      <c r="BQ85" s="218"/>
      <c r="BR85" s="2212"/>
      <c r="BU85" s="115"/>
      <c r="BV85" s="115"/>
      <c r="CB85" s="2226" t="n">
        <f aca="false">CB84+(CB$89-CB$81)/8</f>
        <v>3.55</v>
      </c>
      <c r="CC85" s="2217" t="n">
        <f aca="false">CC84+(CC$88-CC$82)/6</f>
        <v>3.25625</v>
      </c>
      <c r="CD85" s="1017" t="n">
        <v>132</v>
      </c>
      <c r="CE85" s="2215" t="n">
        <f aca="false">CB85-CC85</f>
        <v>0.29375</v>
      </c>
      <c r="CF85" s="2215" t="n">
        <f aca="false">CB85-CC85-CD85</f>
        <v>-131.70625</v>
      </c>
      <c r="CG85" s="2216"/>
      <c r="CH85" s="115" t="n">
        <f aca="false">CI85+CJ85+CN85</f>
        <v>44.5584078908771</v>
      </c>
      <c r="CI85" s="2217" t="n">
        <f aca="false">CI84+(CI$88-CI$76)/12</f>
        <v>15.9125</v>
      </c>
      <c r="CJ85" s="1509" t="n">
        <f aca="false">CK85*CL85*CM85</f>
        <v>7.48340789087709</v>
      </c>
      <c r="CK85" s="2217" t="n">
        <f aca="false">CK84+(CK$88-CK$76)/12</f>
        <v>28.15</v>
      </c>
      <c r="CL85" s="995" t="n">
        <f aca="false">CL$76</f>
        <v>1</v>
      </c>
      <c r="CM85" s="514" t="n">
        <f aca="false">CM73*TableDE15a!I61/TableDE15a!I$52</f>
        <v>0.265840422411264</v>
      </c>
      <c r="CN85" s="2217" t="n">
        <f aca="false">CN84+(CN$88-CN$76)/12</f>
        <v>21.1625</v>
      </c>
      <c r="CO85" s="2017" t="n">
        <f aca="false">CX85-CP85</f>
        <v>-3671.4</v>
      </c>
      <c r="CP85" s="1509" t="n">
        <f aca="false">CQ85+9*(CQ86-CQ85)/12</f>
        <v>5094.337</v>
      </c>
      <c r="CQ85" s="1509" t="n">
        <f aca="false">(CR84+CS85+CT85)/1000</f>
        <v>352.204</v>
      </c>
      <c r="CR85" s="115" t="n">
        <v>6675048</v>
      </c>
      <c r="CS85" s="2223"/>
      <c r="CT85" s="115"/>
      <c r="CU85" s="485" t="n">
        <v>0</v>
      </c>
      <c r="CV85" s="1509"/>
      <c r="CW85" s="1509"/>
      <c r="CX85" s="1284" t="n">
        <f aca="false">CY85+(CU84+9/12*(CU85-CU84))/1000</f>
        <v>1422.937</v>
      </c>
      <c r="CY85" s="1284" t="n">
        <f aca="false">CZ85+DA85</f>
        <v>1422.937</v>
      </c>
      <c r="CZ85" s="1284" t="n">
        <v>238.473</v>
      </c>
      <c r="DA85" s="1284" t="n">
        <v>1184.464</v>
      </c>
      <c r="DB85" s="1284" t="n">
        <v>1926.331</v>
      </c>
      <c r="DC85" s="2227"/>
    </row>
    <row r="86" customFormat="false" ht="12" hidden="false" customHeight="false" outlineLevel="0" collapsed="false">
      <c r="A86" s="31" t="n">
        <v>1923</v>
      </c>
      <c r="B86" s="111"/>
      <c r="C86" s="1994" t="n">
        <f aca="false">C85*E86/E85</f>
        <v>39.1730078773535</v>
      </c>
      <c r="E86" s="111" t="n">
        <v>42.294</v>
      </c>
      <c r="F86" s="384"/>
      <c r="G86" s="911"/>
      <c r="H86" s="933"/>
      <c r="I86" s="1997"/>
      <c r="J86" s="1997"/>
      <c r="K86" s="1997"/>
      <c r="L86" s="1997"/>
      <c r="M86" s="1997"/>
      <c r="N86" s="1997"/>
      <c r="O86" s="218"/>
      <c r="P86" s="218"/>
      <c r="Q86" s="218"/>
      <c r="R86" s="218"/>
      <c r="S86" s="218"/>
      <c r="T86" s="218"/>
      <c r="U86" s="218"/>
      <c r="V86" s="1319"/>
      <c r="AB86" s="2009"/>
      <c r="AF86" s="32"/>
      <c r="AG86" s="2225"/>
      <c r="AH86" s="32"/>
      <c r="AI86" s="911"/>
      <c r="AK86" s="2207"/>
      <c r="AL86" s="2207"/>
      <c r="AM86" s="2212"/>
      <c r="AO86" s="32"/>
      <c r="AP86" s="32"/>
      <c r="AQ86" s="32"/>
      <c r="AR86" s="32"/>
      <c r="AS86" s="32"/>
      <c r="AT86" s="32"/>
      <c r="AU86" s="32"/>
      <c r="AV86" s="32"/>
      <c r="AW86" s="933"/>
      <c r="AX86" s="218"/>
      <c r="AY86" s="218"/>
      <c r="AZ86" s="2228" t="n">
        <f aca="false">AZ85*BA86/BA85</f>
        <v>1161105091707.43</v>
      </c>
      <c r="BA86" s="2229" t="n">
        <f aca="false">AVERAGE(428100,665000,504700,582500,1135500,2620200,8418600,110063200,2350000000,610000000000,52230000000000,100000000000000)</f>
        <v>12736872868150</v>
      </c>
      <c r="BB86" s="2230"/>
      <c r="BC86" s="401"/>
      <c r="BD86" s="401"/>
      <c r="BE86" s="401"/>
      <c r="BF86" s="401"/>
      <c r="BG86" s="2231"/>
      <c r="BH86" s="514"/>
      <c r="BI86" s="2207" t="n">
        <v>61732</v>
      </c>
      <c r="BJ86" s="218" t="n">
        <f aca="false">BI86*(1-BN86)</f>
        <v>38590.2784503247</v>
      </c>
      <c r="BK86" s="401" t="n">
        <v>61718</v>
      </c>
      <c r="BL86" s="401"/>
      <c r="BM86" s="401" t="n">
        <f aca="false">BK86*(1-BN86)</f>
        <v>38581.5266862752</v>
      </c>
      <c r="BN86" s="2211" t="n">
        <f aca="false">BN85+(BN$88-BN$76)/12</f>
        <v>0.374873996463346</v>
      </c>
      <c r="BO86" s="218"/>
      <c r="BP86" s="218"/>
      <c r="BQ86" s="218"/>
      <c r="BR86" s="2212"/>
      <c r="BU86" s="115"/>
      <c r="BV86" s="115"/>
      <c r="CB86" s="2226" t="n">
        <f aca="false">CB85+(CB$89-CB$81)/8</f>
        <v>4.4375</v>
      </c>
      <c r="CC86" s="2217" t="n">
        <f aca="false">CC85+(CC$88-CC$82)/6</f>
        <v>4.34166666666667</v>
      </c>
      <c r="CD86" s="1017" t="n">
        <v>132</v>
      </c>
      <c r="CE86" s="2215" t="n">
        <f aca="false">CB86-CC86</f>
        <v>0.0958333333333332</v>
      </c>
      <c r="CF86" s="2215" t="n">
        <f aca="false">CB86-CC86-CD86</f>
        <v>-131.904166666667</v>
      </c>
      <c r="CG86" s="2216"/>
      <c r="CH86" s="115" t="n">
        <f aca="false">CI86+CJ86+CN86</f>
        <v>48.3193214041263</v>
      </c>
      <c r="CI86" s="2217" t="n">
        <f aca="false">CI85+(CI$88-CI$76)/12</f>
        <v>16.3916666666667</v>
      </c>
      <c r="CJ86" s="1509" t="n">
        <f aca="false">CK86*CL86*CM86</f>
        <v>10.1526547374597</v>
      </c>
      <c r="CK86" s="2217" t="n">
        <f aca="false">CK85+(CK$88-CK$76)/12</f>
        <v>28.8</v>
      </c>
      <c r="CL86" s="995" t="n">
        <f aca="false">CL$76</f>
        <v>1</v>
      </c>
      <c r="CM86" s="514" t="n">
        <f aca="false">CM74*TableDE15a!I62/TableDE15a!I$52</f>
        <v>0.352522733939572</v>
      </c>
      <c r="CN86" s="2217" t="n">
        <f aca="false">CN85+(CN$88-CN$76)/12</f>
        <v>21.775</v>
      </c>
      <c r="CO86" s="2232" t="n">
        <f aca="false">CX86-CP86</f>
        <v>-191999990695791</v>
      </c>
      <c r="CP86" s="2232" t="n">
        <v>192000000000000</v>
      </c>
      <c r="CQ86" s="1509" t="n">
        <f aca="false">(CR85+CS85+CT85)/1000</f>
        <v>6675.048</v>
      </c>
      <c r="CR86" s="115" t="n">
        <v>1958</v>
      </c>
      <c r="CS86" s="2223" t="n">
        <f aca="false">CS87*CR86/CR87</f>
        <v>464.85682232506</v>
      </c>
      <c r="CT86" s="2223" t="n">
        <f aca="false">CT87*CR86/CR87</f>
        <v>1585.67522086664</v>
      </c>
      <c r="CU86" s="485" t="n">
        <v>0</v>
      </c>
      <c r="CV86" s="1509"/>
      <c r="CW86" s="1509"/>
      <c r="CX86" s="2232" t="n">
        <f aca="false">CY86+(CU85+9/12*(CU86-CU85))/1000</f>
        <v>9304209</v>
      </c>
      <c r="CY86" s="2232" t="n">
        <f aca="false">CZ86+DA86</f>
        <v>9304209</v>
      </c>
      <c r="CZ86" s="2232" t="n">
        <v>9304209</v>
      </c>
      <c r="DA86" s="1509" t="n">
        <v>0</v>
      </c>
      <c r="DB86" s="2232" t="n">
        <v>1106992603</v>
      </c>
      <c r="DC86" s="2227"/>
    </row>
    <row r="87" customFormat="false" ht="12" hidden="false" customHeight="false" outlineLevel="0" collapsed="false">
      <c r="A87" s="31" t="n">
        <v>1924</v>
      </c>
      <c r="B87" s="111"/>
      <c r="C87" s="1994" t="n">
        <f aca="false">C86*E87/E86</f>
        <v>43.6456625101558</v>
      </c>
      <c r="E87" s="111" t="n">
        <v>47.123</v>
      </c>
      <c r="F87" s="384"/>
      <c r="G87" s="911"/>
      <c r="H87" s="933"/>
      <c r="I87" s="1997"/>
      <c r="J87" s="1997"/>
      <c r="K87" s="1997"/>
      <c r="L87" s="1997"/>
      <c r="M87" s="1997"/>
      <c r="N87" s="1997"/>
      <c r="O87" s="218"/>
      <c r="P87" s="218"/>
      <c r="Q87" s="218"/>
      <c r="R87" s="218"/>
      <c r="S87" s="218"/>
      <c r="T87" s="218"/>
      <c r="U87" s="218"/>
      <c r="V87" s="1319"/>
      <c r="AB87" s="2009"/>
      <c r="AF87" s="32"/>
      <c r="AG87" s="2225"/>
      <c r="AH87" s="32"/>
      <c r="AI87" s="911"/>
      <c r="AK87" s="2207"/>
      <c r="AL87" s="2207"/>
      <c r="AM87" s="2212"/>
      <c r="AN87" s="2009" t="n">
        <v>3.0895113</v>
      </c>
      <c r="AO87" s="32"/>
      <c r="AP87" s="32"/>
      <c r="AQ87" s="32"/>
      <c r="AR87" s="32"/>
      <c r="AS87" s="32"/>
      <c r="AT87" s="32"/>
      <c r="AU87" s="32"/>
      <c r="AV87" s="32"/>
      <c r="AW87" s="933"/>
      <c r="AX87" s="218"/>
      <c r="AY87" s="218"/>
      <c r="AZ87" s="2222" t="n">
        <v>21.6916666666667</v>
      </c>
      <c r="BA87" s="32" t="n">
        <v>100</v>
      </c>
      <c r="BC87" s="401"/>
      <c r="BD87" s="401"/>
      <c r="BE87" s="401"/>
      <c r="BF87" s="401"/>
      <c r="BG87" s="401"/>
      <c r="BH87" s="514"/>
      <c r="BI87" s="2207" t="n">
        <v>62121</v>
      </c>
      <c r="BJ87" s="218" t="n">
        <f aca="false">BI87*(1-BN87)</f>
        <v>39187.3973954852</v>
      </c>
      <c r="BK87" s="401" t="n">
        <v>62107</v>
      </c>
      <c r="BL87" s="401"/>
      <c r="BM87" s="401" t="n">
        <f aca="false">BK87*(1-BN87)</f>
        <v>39178.5658640621</v>
      </c>
      <c r="BN87" s="2211" t="n">
        <f aca="false">BN86+(BN$88-BN$76)/12</f>
        <v>0.369176326918671</v>
      </c>
      <c r="BO87" s="218"/>
      <c r="BP87" s="218"/>
      <c r="BQ87" s="218"/>
      <c r="BR87" s="2212"/>
      <c r="BU87" s="115"/>
      <c r="BV87" s="115"/>
      <c r="CB87" s="2226" t="n">
        <f aca="false">CB86+(CB$89-CB$81)/8</f>
        <v>5.325</v>
      </c>
      <c r="CC87" s="2217" t="n">
        <f aca="false">CC86+(CC$88-CC$82)/6</f>
        <v>5.42708333333333</v>
      </c>
      <c r="CD87" s="1017" t="n">
        <v>132</v>
      </c>
      <c r="CE87" s="2215" t="n">
        <f aca="false">CB87-CC87</f>
        <v>-0.102083333333334</v>
      </c>
      <c r="CF87" s="2215" t="n">
        <f aca="false">CB87-CC87-CD87</f>
        <v>-132.102083333333</v>
      </c>
      <c r="CG87" s="2216"/>
      <c r="CH87" s="115" t="n">
        <f aca="false">CI87+CJ87+CN87</f>
        <v>47.3465006844627</v>
      </c>
      <c r="CI87" s="2217" t="n">
        <f aca="false">CI86+(CI$88-CI$76)/12</f>
        <v>16.8708333333333</v>
      </c>
      <c r="CJ87" s="1509" t="n">
        <f aca="false">CK87*CL87*CM87</f>
        <v>8.08816735112936</v>
      </c>
      <c r="CK87" s="2217" t="n">
        <f aca="false">CK86+(CK$88-CK$76)/12</f>
        <v>29.45</v>
      </c>
      <c r="CL87" s="995" t="n">
        <f aca="false">CL$76</f>
        <v>1</v>
      </c>
      <c r="CM87" s="514" t="n">
        <f aca="false">CM75*TableDE15a!I63/TableDE15a!I$52</f>
        <v>0.274640657084189</v>
      </c>
      <c r="CN87" s="2217" t="n">
        <f aca="false">CN86+(CN$88-CN$76)/12</f>
        <v>22.3875</v>
      </c>
      <c r="CO87" s="2017" t="n">
        <f aca="false">CX87-CP87</f>
        <v>-5.15243770158463</v>
      </c>
      <c r="CP87" s="1509" t="n">
        <f aca="false">CQ87+9*(CQ88-CQ87)/12</f>
        <v>5.15243770158463</v>
      </c>
      <c r="CQ87" s="1509" t="n">
        <f aca="false">(CR86+CS86+CT86)/1000</f>
        <v>4.0085320431917</v>
      </c>
      <c r="CR87" s="115" t="n">
        <v>2703</v>
      </c>
      <c r="CS87" s="2223" t="n">
        <f aca="false">CS88*CR87/CR88</f>
        <v>641.730332351704</v>
      </c>
      <c r="CT87" s="2223" t="n">
        <f aca="false">CT88*CR87/CR88</f>
        <v>2189.0092553639</v>
      </c>
      <c r="CU87" s="485" t="n">
        <v>0</v>
      </c>
      <c r="CV87" s="1509"/>
      <c r="CW87" s="1509"/>
      <c r="CX87" s="2019" t="n">
        <f aca="false">CY87+(CU86+9/12*(CU87-CU86))/1000</f>
        <v>0</v>
      </c>
      <c r="CY87" s="2019" t="n">
        <f aca="false">CZ87+DA87</f>
        <v>0</v>
      </c>
      <c r="CZ87" s="2017" t="n">
        <v>0</v>
      </c>
      <c r="DA87" s="1509" t="n">
        <v>0</v>
      </c>
      <c r="DB87" s="1509" t="n">
        <v>4.88</v>
      </c>
      <c r="DC87" s="2227"/>
    </row>
    <row r="88" customFormat="false" ht="12" hidden="false" customHeight="false" outlineLevel="0" collapsed="false">
      <c r="A88" s="31" t="n">
        <v>1925</v>
      </c>
      <c r="B88" s="1994" t="n">
        <f aca="false">H88</f>
        <v>65.5139</v>
      </c>
      <c r="C88" s="1994" t="n">
        <f aca="false">C87*E88/E87</f>
        <v>46.8160698011233</v>
      </c>
      <c r="D88" s="1995" t="n">
        <f aca="false">I88+J88+K88+M88+Q88+T88</f>
        <v>71.1449</v>
      </c>
      <c r="E88" s="2044" t="n">
        <v>50.546</v>
      </c>
      <c r="F88" s="384" t="n">
        <v>8.2799</v>
      </c>
      <c r="G88" s="2202" t="n">
        <f aca="false">B88-F88</f>
        <v>57.234</v>
      </c>
      <c r="H88" s="2000" t="n">
        <f aca="false">I88+J88+O88+Q88+T88</f>
        <v>65.5139</v>
      </c>
      <c r="I88" s="1997" t="n">
        <v>53.442125</v>
      </c>
      <c r="J88" s="1997" t="n">
        <v>8.058775</v>
      </c>
      <c r="K88" s="1997" t="n">
        <v>10.312</v>
      </c>
      <c r="L88" s="1997" t="n">
        <v>1.407</v>
      </c>
      <c r="M88" s="1997" t="n">
        <v>1.32</v>
      </c>
      <c r="N88" s="1997" t="n">
        <v>5.631</v>
      </c>
      <c r="O88" s="1997" t="n">
        <f aca="false">K88+M88-N88</f>
        <v>6.001</v>
      </c>
      <c r="P88" s="1997" t="n">
        <f aca="false">L88*(1-N88/K88)</f>
        <v>0.638689584949573</v>
      </c>
      <c r="Q88" s="1997" t="n">
        <f aca="false">R88-S88</f>
        <v>-1.982</v>
      </c>
      <c r="R88" s="1997" t="n">
        <v>10.602</v>
      </c>
      <c r="S88" s="1997" t="n">
        <v>12.584</v>
      </c>
      <c r="T88" s="1997" t="n">
        <v>-0.006</v>
      </c>
      <c r="U88" s="1997" t="n">
        <v>-1.057</v>
      </c>
      <c r="V88" s="1999" t="n">
        <v>-3.045</v>
      </c>
      <c r="W88" s="395" t="n">
        <f aca="false">AG88+AH88-AC88-AI88</f>
        <v>57.234</v>
      </c>
      <c r="X88" s="2233" t="n">
        <f aca="false">W88-AD88</f>
        <v>14.6317325643301</v>
      </c>
      <c r="Y88" s="514"/>
      <c r="Z88" s="2234"/>
      <c r="AA88" s="387"/>
      <c r="AB88" s="2009" t="n">
        <f aca="false">T88</f>
        <v>-0.006</v>
      </c>
      <c r="AC88" s="1997" t="n">
        <v>0.163</v>
      </c>
      <c r="AD88" s="2233" t="n">
        <f aca="false">AH88+AF88</f>
        <v>42.6022674356699</v>
      </c>
      <c r="AE88" s="2008"/>
      <c r="AF88" s="2235" t="n">
        <f aca="false">AJ88*AF$76/AJ$76</f>
        <v>6.35126743566992</v>
      </c>
      <c r="AG88" s="2236" t="n">
        <v>20.909</v>
      </c>
      <c r="AH88" s="2023" t="n">
        <v>36.251</v>
      </c>
      <c r="AI88" s="1999" t="n">
        <v>-0.237</v>
      </c>
      <c r="AJ88" s="2009" t="n">
        <v>9.808</v>
      </c>
      <c r="AK88" s="2207" t="n">
        <v>9778</v>
      </c>
      <c r="AL88" s="2207" t="n">
        <v>2193</v>
      </c>
      <c r="AM88" s="2207" t="n">
        <v>5864</v>
      </c>
      <c r="AN88" s="2208" t="n">
        <v>2.9759</v>
      </c>
      <c r="AO88" s="2023" t="n">
        <v>2.5505</v>
      </c>
      <c r="AP88" s="2023" t="n">
        <v>5.334</v>
      </c>
      <c r="AQ88" s="2023" t="n">
        <v>-1.843</v>
      </c>
      <c r="AR88" s="2009" t="n">
        <v>2.477575</v>
      </c>
      <c r="AS88" s="2023" t="n">
        <f aca="false">F88+AN88+AO88-AP88+AQ88-AC88+AR88</f>
        <v>8.943875</v>
      </c>
      <c r="AT88" s="2023" t="n">
        <f aca="false">AS88-J88-(L88-P88)</f>
        <v>0.116789584949576</v>
      </c>
      <c r="AU88" s="2023" t="n">
        <f aca="false">P88</f>
        <v>0.638689584949573</v>
      </c>
      <c r="AV88" s="2023" t="n">
        <f aca="false">AT88-AU88</f>
        <v>-0.521899999999997</v>
      </c>
      <c r="AW88" s="2000" t="n">
        <f aca="false">B88-F88+AC88-AN88-AO88+AP88</f>
        <v>57.2046</v>
      </c>
      <c r="AX88" s="218"/>
      <c r="AY88" s="218"/>
      <c r="AZ88" s="2222" t="n">
        <v>23.725</v>
      </c>
      <c r="BA88" s="401" t="n">
        <v>100</v>
      </c>
      <c r="BB88" s="401" t="n">
        <v>141.8</v>
      </c>
      <c r="BC88" s="401" t="n">
        <v>140.9</v>
      </c>
      <c r="BD88" s="401" t="n">
        <v>46.7270099728692</v>
      </c>
      <c r="BE88" s="401" t="n">
        <f aca="false">1000000*BD88/BI88</f>
        <v>748.698305953585</v>
      </c>
      <c r="BF88" s="401" t="n">
        <f aca="false">100*H88/BD88</f>
        <v>140.2056327551</v>
      </c>
      <c r="BG88" s="401" t="n">
        <v>141.9</v>
      </c>
      <c r="BH88" s="2237"/>
      <c r="BI88" s="218" t="n">
        <v>62411</v>
      </c>
      <c r="BJ88" s="218" t="n">
        <f aca="false">BI88*(1-BN88)</f>
        <v>39725.9335146315</v>
      </c>
      <c r="BK88" s="401" t="n">
        <v>62410</v>
      </c>
      <c r="BL88" s="401"/>
      <c r="BM88" s="401" t="n">
        <f aca="false">BK88*(1-BN88)</f>
        <v>39725.2969932889</v>
      </c>
      <c r="BN88" s="387" t="n">
        <v>0.363478657373996</v>
      </c>
      <c r="BO88" s="218" t="n">
        <v>31033</v>
      </c>
      <c r="BP88" s="218" t="n">
        <f aca="false">BO88-BQ88</f>
        <v>25169</v>
      </c>
      <c r="BQ88" s="218" t="n">
        <v>5864</v>
      </c>
      <c r="BR88" s="388" t="n">
        <f aca="false">BQ88/BO88</f>
        <v>0.188960139206651</v>
      </c>
      <c r="BS88" s="401" t="n">
        <f aca="false">0.555*BT88+CA88+CE88</f>
        <v>199.334974501509</v>
      </c>
      <c r="BT88" s="115" t="n">
        <f aca="false">BU88+BW88+BX88+BY88</f>
        <v>350.913936781609</v>
      </c>
      <c r="BU88" s="2223" t="n">
        <f aca="false">BW88*BU$76/BW$76</f>
        <v>85.5639367816092</v>
      </c>
      <c r="BV88" s="2223"/>
      <c r="BW88" s="115" t="n">
        <v>62.25</v>
      </c>
      <c r="BX88" s="115" t="n">
        <v>106.2</v>
      </c>
      <c r="BY88" s="115" t="n">
        <v>96.9</v>
      </c>
      <c r="BZ88" s="514"/>
      <c r="CA88" s="1509" t="n">
        <f aca="false">CQ88-CW88</f>
        <v>4.87773958771561</v>
      </c>
      <c r="CB88" s="2226" t="n">
        <f aca="false">CB87+(CB$89-CB$81)/8</f>
        <v>6.2125</v>
      </c>
      <c r="CC88" s="2238" t="n">
        <f aca="false">-CE88+CB88</f>
        <v>6.5125</v>
      </c>
      <c r="CD88" s="1017" t="n">
        <v>132</v>
      </c>
      <c r="CE88" s="2239" t="n">
        <f aca="false">1.8-2.1</f>
        <v>-0.3</v>
      </c>
      <c r="CF88" s="2215" t="n">
        <f aca="false">CB88-CC88-CD88</f>
        <v>-132.3</v>
      </c>
      <c r="CG88" s="2024" t="n">
        <f aca="false">CH88-CQ88</f>
        <v>43.550911336309</v>
      </c>
      <c r="CH88" s="115" t="n">
        <f aca="false">CI88+CJ88+CN88</f>
        <v>49.0846509240246</v>
      </c>
      <c r="CI88" s="485" t="n">
        <v>17.35</v>
      </c>
      <c r="CJ88" s="1509" t="n">
        <f aca="false">CK88*CL88*CM88</f>
        <v>8.73465092402464</v>
      </c>
      <c r="CK88" s="485" t="n">
        <v>30.1</v>
      </c>
      <c r="CL88" s="995" t="n">
        <f aca="false">CL$76</f>
        <v>1</v>
      </c>
      <c r="CM88" s="514" t="n">
        <f aca="false">CM76*TableDE15a!I64/TableDE15a!I$52</f>
        <v>0.290187738339689</v>
      </c>
      <c r="CN88" s="485" t="n">
        <v>23</v>
      </c>
      <c r="CO88" s="2017" t="n">
        <f aca="false">CX88-CP88</f>
        <v>-12.3480393352966</v>
      </c>
      <c r="CP88" s="1509" t="n">
        <f aca="false">CQ88+9*(CQ89-CQ88)/12</f>
        <v>12.3480393352966</v>
      </c>
      <c r="CQ88" s="1509" t="n">
        <f aca="false">(CR87+CS87+CT87)/1000</f>
        <v>5.53373958771561</v>
      </c>
      <c r="CR88" s="115" t="n">
        <v>7141</v>
      </c>
      <c r="CS88" s="2223" t="n">
        <f aca="false">CS89*CR88/CR89</f>
        <v>1695.37414107418</v>
      </c>
      <c r="CT88" s="2223" t="n">
        <f aca="false">CT89*CR88/CR89</f>
        <v>5783.09844341607</v>
      </c>
      <c r="CU88" s="485" t="n">
        <v>0</v>
      </c>
      <c r="CV88" s="1509"/>
      <c r="CW88" s="1509" t="n">
        <v>0.656</v>
      </c>
      <c r="CX88" s="2019" t="n">
        <f aca="false">CY88+(CU87+9/12*(CU88-CU87))/1000</f>
        <v>0</v>
      </c>
      <c r="CY88" s="2019" t="n">
        <f aca="false">CZ88+DA88</f>
        <v>0</v>
      </c>
      <c r="CZ88" s="2017" t="n">
        <v>0</v>
      </c>
      <c r="DA88" s="1509" t="n">
        <v>0</v>
      </c>
      <c r="DB88" s="1509" t="n">
        <v>4.43</v>
      </c>
      <c r="DC88" s="2227"/>
    </row>
    <row r="89" customFormat="false" ht="12" hidden="false" customHeight="false" outlineLevel="0" collapsed="false">
      <c r="A89" s="31" t="n">
        <v>1926</v>
      </c>
      <c r="B89" s="1994" t="n">
        <f aca="false">H89</f>
        <v>67.7779154339143</v>
      </c>
      <c r="C89" s="1994" t="n">
        <f aca="false">C88*E89/E88</f>
        <v>47.3190003179201</v>
      </c>
      <c r="D89" s="1995" t="n">
        <f aca="false">I89+J89+K89+M89+Q89+T89</f>
        <v>73.6569154339143</v>
      </c>
      <c r="E89" s="2044" t="n">
        <v>51.089</v>
      </c>
      <c r="F89" s="384" t="n">
        <v>7.9494</v>
      </c>
      <c r="G89" s="2202" t="n">
        <f aca="false">B89-F89</f>
        <v>59.8285154339143</v>
      </c>
      <c r="H89" s="2000" t="n">
        <f aca="false">I89+J89+O89+Q89+T89</f>
        <v>67.7779154339143</v>
      </c>
      <c r="I89" s="1997" t="n">
        <v>55.185815421219</v>
      </c>
      <c r="J89" s="1997" t="n">
        <v>7.47310001269531</v>
      </c>
      <c r="K89" s="1997" t="n">
        <v>10.676</v>
      </c>
      <c r="L89" s="1997" t="n">
        <v>2.285</v>
      </c>
      <c r="M89" s="1997" t="n">
        <v>-0.83</v>
      </c>
      <c r="N89" s="1997" t="n">
        <v>5.879</v>
      </c>
      <c r="O89" s="1997" t="n">
        <f aca="false">K89+M89-N89</f>
        <v>3.967</v>
      </c>
      <c r="P89" s="1997" t="n">
        <f aca="false">L89*(1-N89/K89)</f>
        <v>1.02670897339828</v>
      </c>
      <c r="Q89" s="1997" t="n">
        <f aca="false">R89-S89</f>
        <v>1.325</v>
      </c>
      <c r="R89" s="1997" t="n">
        <v>11.903</v>
      </c>
      <c r="S89" s="1997" t="n">
        <v>10.578</v>
      </c>
      <c r="T89" s="1997" t="n">
        <v>-0.173</v>
      </c>
      <c r="U89" s="1997" t="n">
        <v>-1.191</v>
      </c>
      <c r="V89" s="1999" t="n">
        <v>-0.039</v>
      </c>
      <c r="W89" s="395" t="n">
        <f aca="false">AG89+AH89-AC89-AI89</f>
        <v>59.8275154339143</v>
      </c>
      <c r="X89" s="2233" t="n">
        <f aca="false">W89-AD89</f>
        <v>16.0315670754405</v>
      </c>
      <c r="Y89" s="514"/>
      <c r="Z89" s="2234"/>
      <c r="AA89" s="387"/>
      <c r="AB89" s="2009" t="n">
        <f aca="false">T89</f>
        <v>-0.173</v>
      </c>
      <c r="AC89" s="1997" t="n">
        <v>0.221484566085674</v>
      </c>
      <c r="AD89" s="2233" t="n">
        <f aca="false">AH89+AF89</f>
        <v>43.7959483584738</v>
      </c>
      <c r="AE89" s="2008"/>
      <c r="AF89" s="2235" t="n">
        <f aca="false">AJ89*AF$76/AJ$76</f>
        <v>6.09094835847382</v>
      </c>
      <c r="AG89" s="2236" t="n">
        <v>22.021</v>
      </c>
      <c r="AH89" s="2023" t="n">
        <v>37.705</v>
      </c>
      <c r="AI89" s="1999" t="n">
        <v>-0.323</v>
      </c>
      <c r="AJ89" s="2009" t="n">
        <v>9.406</v>
      </c>
      <c r="AK89" s="2207" t="n">
        <v>9680</v>
      </c>
      <c r="AL89" s="2240" t="n">
        <f aca="false">0.23*AK89</f>
        <v>2226.4</v>
      </c>
      <c r="AM89" s="2207"/>
      <c r="AN89" s="2208" t="n">
        <v>3.0207</v>
      </c>
      <c r="AO89" s="2023" t="n">
        <v>2.9337</v>
      </c>
      <c r="AP89" s="2023" t="n">
        <v>6.899</v>
      </c>
      <c r="AQ89" s="2023" t="n">
        <v>-2.145</v>
      </c>
      <c r="AR89" s="2023" t="n">
        <v>3.20942654611779</v>
      </c>
      <c r="AS89" s="2023" t="n">
        <f aca="false">F89+AN89+AO89-AP89+AQ89-AC89+AR89</f>
        <v>7.84774198003211</v>
      </c>
      <c r="AT89" s="2023" t="n">
        <f aca="false">AS89-J89-(L89-P89)</f>
        <v>-0.88364905926492</v>
      </c>
      <c r="AU89" s="2023" t="n">
        <f aca="false">P89</f>
        <v>1.02670897339828</v>
      </c>
      <c r="AV89" s="2023" t="n">
        <f aca="false">AT89-AU89</f>
        <v>-1.9103580326632</v>
      </c>
      <c r="AW89" s="2000" t="n">
        <f aca="false">B89-F89+AC89-AN89-AO89+AP89</f>
        <v>60.9946</v>
      </c>
      <c r="AX89" s="218"/>
      <c r="AY89" s="218"/>
      <c r="AZ89" s="2222" t="n">
        <v>23.9833333333333</v>
      </c>
      <c r="BA89" s="32" t="n">
        <v>100</v>
      </c>
      <c r="BB89" s="401" t="n">
        <v>137.9</v>
      </c>
      <c r="BC89" s="401" t="n">
        <v>144.2</v>
      </c>
      <c r="BD89" s="401" t="n">
        <v>47.0622359728288</v>
      </c>
      <c r="BE89" s="401" t="n">
        <f aca="false">1000000*BD89/BI89</f>
        <v>748.611904253949</v>
      </c>
      <c r="BF89" s="401" t="n">
        <f aca="false">100*H89/BD89</f>
        <v>144.017626942004</v>
      </c>
      <c r="BG89" s="401" t="n">
        <v>142.2</v>
      </c>
      <c r="BH89" s="2237"/>
      <c r="BI89" s="218" t="n">
        <v>62866</v>
      </c>
      <c r="BJ89" s="218" t="n">
        <f aca="false">BI89*(1-BN89)</f>
        <v>40444.6475228833</v>
      </c>
      <c r="BK89" s="401" t="n">
        <v>62867</v>
      </c>
      <c r="BL89" s="401"/>
      <c r="BM89" s="401" t="n">
        <f aca="false">BK89*(1-BN89)</f>
        <v>40445.2908698041</v>
      </c>
      <c r="BN89" s="2211" t="n">
        <f aca="false">BN88+(BN$96-BN$88)/8</f>
        <v>0.35665307920206</v>
      </c>
      <c r="BO89" s="218" t="n">
        <v>29852</v>
      </c>
      <c r="BP89" s="218" t="n">
        <f aca="false">BO89-BQ89</f>
        <v>23974</v>
      </c>
      <c r="BQ89" s="2221" t="n">
        <f aca="false">BQ88+(BQ$96-BQ$88)/8</f>
        <v>5878</v>
      </c>
      <c r="BR89" s="388" t="n">
        <f aca="false">BQ89/BO89</f>
        <v>0.19690473000134</v>
      </c>
      <c r="BS89" s="401" t="n">
        <f aca="false">0.555*BT89+CA89+CE89</f>
        <v>220.021004193686</v>
      </c>
      <c r="BT89" s="115" t="n">
        <f aca="false">BU89+BW89+BX89+BY89</f>
        <v>380.867624521073</v>
      </c>
      <c r="BU89" s="2223" t="n">
        <f aca="false">BW89*BU$76/BW$76</f>
        <v>92.9176245210728</v>
      </c>
      <c r="BV89" s="2223"/>
      <c r="BW89" s="115" t="n">
        <v>67.6</v>
      </c>
      <c r="BX89" s="115" t="n">
        <v>113.3</v>
      </c>
      <c r="BY89" s="115" t="n">
        <v>107.05</v>
      </c>
      <c r="BZ89" s="514"/>
      <c r="CA89" s="1509" t="n">
        <f aca="false">CQ89-CW89</f>
        <v>13.2394725844903</v>
      </c>
      <c r="CB89" s="2216" t="n">
        <f aca="false">5.4-2.8+4.5</f>
        <v>7.1</v>
      </c>
      <c r="CC89" s="485" t="n">
        <v>11.7</v>
      </c>
      <c r="CD89" s="1017" t="n">
        <v>132</v>
      </c>
      <c r="CE89" s="2239" t="n">
        <f aca="false">CB89-CC89</f>
        <v>-4.6</v>
      </c>
      <c r="CF89" s="2215" t="n">
        <f aca="false">CB89-CC89-CD89</f>
        <v>-136.6</v>
      </c>
      <c r="CG89" s="2024" t="n">
        <f aca="false">CH89-CQ89</f>
        <v>39.2738979053895</v>
      </c>
      <c r="CH89" s="115" t="n">
        <f aca="false">CI89+CJ89+CN89</f>
        <v>53.8933704898797</v>
      </c>
      <c r="CI89" s="485" t="n">
        <v>19.25</v>
      </c>
      <c r="CJ89" s="1509" t="n">
        <f aca="false">CK89*CL89*CM89</f>
        <v>11.1433704898797</v>
      </c>
      <c r="CK89" s="485" t="n">
        <v>30.5</v>
      </c>
      <c r="CL89" s="995" t="n">
        <f aca="false">CL$76</f>
        <v>1</v>
      </c>
      <c r="CM89" s="514" t="n">
        <f aca="false">CM88*TableDE15a!I65/TableDE15a!I64</f>
        <v>0.365356409504254</v>
      </c>
      <c r="CN89" s="485" t="n">
        <v>23.5</v>
      </c>
      <c r="CO89" s="2017" t="n">
        <f aca="false">CX89-CP89</f>
        <v>-14.8636081545365</v>
      </c>
      <c r="CP89" s="2017" t="n">
        <f aca="false">CQ89+9*(CQ90-CQ89)/12</f>
        <v>14.8636081545365</v>
      </c>
      <c r="CQ89" s="1509" t="n">
        <f aca="false">(CR88+CS88+CT88)/1000</f>
        <v>14.6194725844903</v>
      </c>
      <c r="CR89" s="115" t="n">
        <v>7300</v>
      </c>
      <c r="CS89" s="2223" t="n">
        <f aca="false">CS90*CR89/CR90</f>
        <v>1733.1229841537</v>
      </c>
      <c r="CT89" s="2223" t="n">
        <f aca="false">CT90*CR89/CR90</f>
        <v>5911.86369373159</v>
      </c>
      <c r="CU89" s="485" t="n">
        <v>0</v>
      </c>
      <c r="CV89" s="1509"/>
      <c r="CW89" s="1509" t="n">
        <v>1.38</v>
      </c>
      <c r="CX89" s="2019" t="n">
        <f aca="false">CY89+(CU88+9/12*(CU89-CU88))/1000</f>
        <v>0</v>
      </c>
      <c r="CY89" s="2019" t="n">
        <f aca="false">CZ89+DA89</f>
        <v>0</v>
      </c>
      <c r="CZ89" s="2017" t="n">
        <v>0</v>
      </c>
      <c r="DA89" s="1509" t="n">
        <v>0</v>
      </c>
      <c r="DB89" s="1509" t="n">
        <v>4.918</v>
      </c>
      <c r="DC89" s="2227"/>
    </row>
    <row r="90" customFormat="false" ht="12" hidden="false" customHeight="false" outlineLevel="0" collapsed="false">
      <c r="A90" s="31" t="n">
        <v>1927</v>
      </c>
      <c r="B90" s="1994" t="n">
        <f aca="false">H90</f>
        <v>76.393523741984</v>
      </c>
      <c r="C90" s="1994" t="n">
        <f aca="false">C89*E90/E89</f>
        <v>52.0537715920732</v>
      </c>
      <c r="D90" s="1995" t="n">
        <f aca="false">I90+J90+K90+M90+Q90+T90</f>
        <v>82.820523741984</v>
      </c>
      <c r="E90" s="2044" t="n">
        <v>56.201</v>
      </c>
      <c r="F90" s="384" t="n">
        <v>9.4419</v>
      </c>
      <c r="G90" s="2202" t="n">
        <f aca="false">B90-F90</f>
        <v>66.951623741984</v>
      </c>
      <c r="H90" s="2000" t="n">
        <f aca="false">I90+J90+O90+Q90+T90</f>
        <v>76.393523741984</v>
      </c>
      <c r="I90" s="1997" t="n">
        <v>61.3341912968096</v>
      </c>
      <c r="J90" s="1997" t="n">
        <v>8.8003324451744</v>
      </c>
      <c r="K90" s="1997" t="n">
        <v>12.966</v>
      </c>
      <c r="L90" s="1997" t="n">
        <v>2.69</v>
      </c>
      <c r="M90" s="1997" t="n">
        <v>2.38</v>
      </c>
      <c r="N90" s="1997" t="n">
        <v>6.427</v>
      </c>
      <c r="O90" s="1997" t="n">
        <f aca="false">K90+M90-N90</f>
        <v>8.919</v>
      </c>
      <c r="P90" s="1997" t="n">
        <f aca="false">L90*(1-N90/K90)</f>
        <v>1.35661807805029</v>
      </c>
      <c r="Q90" s="1997" t="n">
        <f aca="false">R90-S90</f>
        <v>-2.315</v>
      </c>
      <c r="R90" s="1997" t="n">
        <v>12.66</v>
      </c>
      <c r="S90" s="1997" t="n">
        <v>14.975</v>
      </c>
      <c r="T90" s="1997" t="n">
        <v>-0.345</v>
      </c>
      <c r="U90" s="1997" t="n">
        <v>-1.584</v>
      </c>
      <c r="V90" s="1999" t="n">
        <v>-4.244</v>
      </c>
      <c r="W90" s="395" t="n">
        <f aca="false">AG90+AH90-AC90-AI90</f>
        <v>66.951623741984</v>
      </c>
      <c r="X90" s="2233" t="n">
        <f aca="false">W90-AD90</f>
        <v>17.2967655343531</v>
      </c>
      <c r="Y90" s="514"/>
      <c r="Z90" s="2234"/>
      <c r="AA90" s="387"/>
      <c r="AB90" s="2009" t="n">
        <f aca="false">T90</f>
        <v>-0.345</v>
      </c>
      <c r="AC90" s="1997" t="n">
        <v>0.333376258016031</v>
      </c>
      <c r="AD90" s="2233" t="n">
        <f aca="false">AH90+AF90</f>
        <v>49.6548582076309</v>
      </c>
      <c r="AE90" s="2008"/>
      <c r="AF90" s="2235" t="n">
        <f aca="false">AJ90*AF$76/AJ$76</f>
        <v>7.49485820763088</v>
      </c>
      <c r="AG90" s="2236" t="n">
        <v>24.769</v>
      </c>
      <c r="AH90" s="2023" t="n">
        <v>42.16</v>
      </c>
      <c r="AI90" s="1999" t="n">
        <v>-0.356</v>
      </c>
      <c r="AJ90" s="2009" t="n">
        <v>11.574</v>
      </c>
      <c r="AK90" s="2207" t="n">
        <v>9590</v>
      </c>
      <c r="AL90" s="2240" t="n">
        <f aca="false">0.23*AK90</f>
        <v>2205.7</v>
      </c>
      <c r="AM90" s="2207"/>
      <c r="AN90" s="2208" t="n">
        <v>3.6858</v>
      </c>
      <c r="AO90" s="2023" t="n">
        <v>4.2002</v>
      </c>
      <c r="AP90" s="2023" t="n">
        <v>7.193</v>
      </c>
      <c r="AQ90" s="2023" t="n">
        <v>-2.754</v>
      </c>
      <c r="AR90" s="2023" t="n">
        <v>3.50816377957354</v>
      </c>
      <c r="AS90" s="2023" t="n">
        <f aca="false">F90+AN90+AO90-AP90+AQ90-AC90+AR90</f>
        <v>10.5556875215575</v>
      </c>
      <c r="AT90" s="2023" t="n">
        <f aca="false">AS90-J90-(L90-P90)</f>
        <v>0.421973154433388</v>
      </c>
      <c r="AU90" s="2023" t="n">
        <f aca="false">P90</f>
        <v>1.35661807805029</v>
      </c>
      <c r="AV90" s="2023" t="n">
        <f aca="false">AT90-AU90</f>
        <v>-0.934644923616898</v>
      </c>
      <c r="AW90" s="2000" t="n">
        <f aca="false">B90-F90+AC90-AN90-AO90+AP90</f>
        <v>66.592</v>
      </c>
      <c r="AX90" s="218"/>
      <c r="AY90" s="218"/>
      <c r="AZ90" s="2222" t="n">
        <v>25.0833333333333</v>
      </c>
      <c r="BA90" s="401" t="n">
        <v>100</v>
      </c>
      <c r="BB90" s="401" t="n">
        <v>147.2</v>
      </c>
      <c r="BC90" s="401" t="n">
        <v>147.3</v>
      </c>
      <c r="BD90" s="401" t="n">
        <v>51.8462578487172</v>
      </c>
      <c r="BE90" s="401" t="n">
        <f aca="false">1000000*BD90/BI90</f>
        <v>819.677762738209</v>
      </c>
      <c r="BF90" s="401" t="n">
        <f aca="false">100*H90/BD90</f>
        <v>147.346263571989</v>
      </c>
      <c r="BG90" s="401" t="n">
        <v>147.9</v>
      </c>
      <c r="BH90" s="2237"/>
      <c r="BI90" s="218" t="n">
        <v>63252</v>
      </c>
      <c r="BJ90" s="218" t="n">
        <f aca="false">BI90*(1-BN90)</f>
        <v>41124.7109048426</v>
      </c>
      <c r="BK90" s="401" t="n">
        <v>63253</v>
      </c>
      <c r="BL90" s="401"/>
      <c r="BM90" s="401" t="n">
        <f aca="false">BK90*(1-BN90)</f>
        <v>41125.3610773416</v>
      </c>
      <c r="BN90" s="2211" t="n">
        <f aca="false">BN89+(BN$96-BN$88)/8</f>
        <v>0.349827501030123</v>
      </c>
      <c r="BO90" s="218" t="n">
        <v>31963</v>
      </c>
      <c r="BP90" s="218" t="n">
        <f aca="false">BO90-BQ90</f>
        <v>26071</v>
      </c>
      <c r="BQ90" s="2221" t="n">
        <f aca="false">BQ89+(BQ$96-BQ$88)/8</f>
        <v>5892</v>
      </c>
      <c r="BR90" s="388" t="n">
        <f aca="false">BQ90/BO90</f>
        <v>0.184338140975503</v>
      </c>
      <c r="BS90" s="401" t="n">
        <f aca="false">0.555*BT90+CA90+CE90</f>
        <v>218.256876045701</v>
      </c>
      <c r="BT90" s="115" t="n">
        <f aca="false">BU90+BW90+BX90+BY90</f>
        <v>384.779980842912</v>
      </c>
      <c r="BU90" s="2223" t="n">
        <f aca="false">BW90*BU$76/BW$76</f>
        <v>93.3299808429119</v>
      </c>
      <c r="BV90" s="2223"/>
      <c r="BW90" s="115" t="n">
        <v>67.9</v>
      </c>
      <c r="BX90" s="115" t="n">
        <v>115.2</v>
      </c>
      <c r="BY90" s="115" t="n">
        <v>108.35</v>
      </c>
      <c r="BZ90" s="514"/>
      <c r="CA90" s="1509" t="n">
        <f aca="false">CQ90-CW90</f>
        <v>13.2039866778853</v>
      </c>
      <c r="CB90" s="2216" t="n">
        <f aca="false">5.8-2.3+4.5</f>
        <v>8</v>
      </c>
      <c r="CC90" s="485" t="n">
        <v>16.5</v>
      </c>
      <c r="CD90" s="1017" t="n">
        <v>132</v>
      </c>
      <c r="CE90" s="2239" t="n">
        <f aca="false">CB90-CC90</f>
        <v>-8.5</v>
      </c>
      <c r="CF90" s="2215" t="n">
        <f aca="false">CB90-CC90-CD90</f>
        <v>-140.5</v>
      </c>
      <c r="CG90" s="2024" t="n">
        <f aca="false">CH90-CQ90</f>
        <v>46.0077340613344</v>
      </c>
      <c r="CH90" s="115" t="n">
        <f aca="false">CI90+CJ90+CN90</f>
        <v>60.9527207392197</v>
      </c>
      <c r="CI90" s="485" t="n">
        <v>19.6</v>
      </c>
      <c r="CJ90" s="1509" t="n">
        <f aca="false">CK90*CL90*CM90</f>
        <v>16.5527207392197</v>
      </c>
      <c r="CK90" s="485" t="n">
        <v>31.15</v>
      </c>
      <c r="CL90" s="995" t="n">
        <f aca="false">CL$76</f>
        <v>1</v>
      </c>
      <c r="CM90" s="514" t="n">
        <f aca="false">CM89*TableDE15a!I66/TableDE15a!I65</f>
        <v>0.531387503666765</v>
      </c>
      <c r="CN90" s="485" t="n">
        <v>24.8</v>
      </c>
      <c r="CO90" s="2017" t="n">
        <f aca="false">CX90-CP90</f>
        <v>-14.6854966694713</v>
      </c>
      <c r="CP90" s="2017" t="n">
        <f aca="false">CQ90+9*(CQ91-CQ90)/12</f>
        <v>14.6854966694713</v>
      </c>
      <c r="CQ90" s="1509" t="n">
        <f aca="false">(CR89+CS89+CT89)/1000</f>
        <v>14.9449866778853</v>
      </c>
      <c r="CR90" s="115" t="n">
        <v>7131</v>
      </c>
      <c r="CS90" s="115" t="n">
        <v>1693</v>
      </c>
      <c r="CT90" s="115" t="n">
        <v>5775</v>
      </c>
      <c r="CU90" s="485" t="n">
        <v>0</v>
      </c>
      <c r="CV90" s="1509"/>
      <c r="CW90" s="1509" t="n">
        <v>1.741</v>
      </c>
      <c r="CX90" s="2019" t="n">
        <f aca="false">CY90+(CU89+9/12*(CU90-CU89))/1000</f>
        <v>0</v>
      </c>
      <c r="CY90" s="2019" t="n">
        <f aca="false">CZ90+DA90</f>
        <v>0</v>
      </c>
      <c r="CZ90" s="2017" t="n">
        <v>0</v>
      </c>
      <c r="DA90" s="1509" t="n">
        <v>0</v>
      </c>
      <c r="DB90" s="1509" t="n">
        <v>5.994</v>
      </c>
      <c r="DC90" s="2227"/>
    </row>
    <row r="91" customFormat="false" ht="12" hidden="false" customHeight="false" outlineLevel="0" collapsed="false">
      <c r="A91" s="31" t="n">
        <v>1928</v>
      </c>
      <c r="B91" s="1994" t="n">
        <f aca="false">H91</f>
        <v>81.7836226599453</v>
      </c>
      <c r="C91" s="1994" t="n">
        <f aca="false">C90*E91/E90</f>
        <v>53.6236928185383</v>
      </c>
      <c r="D91" s="1995" t="n">
        <f aca="false">I91+J91+K91+M91+Q91+T91</f>
        <v>88.4856226599453</v>
      </c>
      <c r="E91" s="2044" t="n">
        <v>57.896</v>
      </c>
      <c r="F91" s="384" t="n">
        <v>9.8658</v>
      </c>
      <c r="G91" s="2202" t="n">
        <f aca="false">B91-F91</f>
        <v>71.9178226599453</v>
      </c>
      <c r="H91" s="2000" t="n">
        <f aca="false">I91+J91+O91+Q91+T91</f>
        <v>81.7836226599453</v>
      </c>
      <c r="I91" s="1997" t="n">
        <v>65.8559755077873</v>
      </c>
      <c r="J91" s="1997" t="n">
        <v>8.845647152158</v>
      </c>
      <c r="K91" s="1997" t="n">
        <v>13.676</v>
      </c>
      <c r="L91" s="1997" t="n">
        <v>2.658</v>
      </c>
      <c r="M91" s="1997" t="n">
        <v>1.31</v>
      </c>
      <c r="N91" s="1997" t="n">
        <v>6.702</v>
      </c>
      <c r="O91" s="1997" t="n">
        <f aca="false">K91+M91-N91</f>
        <v>8.284</v>
      </c>
      <c r="P91" s="1997" t="n">
        <f aca="false">L91*(1-N91/K91)</f>
        <v>1.35543229014332</v>
      </c>
      <c r="Q91" s="1997" t="n">
        <f aca="false">R91-S91</f>
        <v>-0.638999999999999</v>
      </c>
      <c r="R91" s="1997" t="n">
        <v>14.262</v>
      </c>
      <c r="S91" s="1997" t="n">
        <v>14.901</v>
      </c>
      <c r="T91" s="1997" t="n">
        <v>-0.563</v>
      </c>
      <c r="U91" s="1997" t="n">
        <v>-1.99</v>
      </c>
      <c r="V91" s="1999" t="n">
        <v>-3.192</v>
      </c>
      <c r="W91" s="395" t="n">
        <f aca="false">AG91+AH91-AC91-AI91</f>
        <v>71.9178226599453</v>
      </c>
      <c r="X91" s="2233" t="n">
        <f aca="false">W91-AD91</f>
        <v>17.5020799802647</v>
      </c>
      <c r="Y91" s="514"/>
      <c r="Z91" s="2234"/>
      <c r="AA91" s="387"/>
      <c r="AB91" s="2009" t="n">
        <f aca="false">T91</f>
        <v>-0.563</v>
      </c>
      <c r="AC91" s="1997" t="n">
        <v>0.477177340054707</v>
      </c>
      <c r="AD91" s="2233" t="n">
        <f aca="false">AH91+AF91</f>
        <v>54.4157426796806</v>
      </c>
      <c r="AE91" s="2008"/>
      <c r="AF91" s="2235" t="n">
        <f aca="false">AJ91*AF$76/AJ$76</f>
        <v>8.02974267968057</v>
      </c>
      <c r="AG91" s="2236" t="n">
        <v>25.632</v>
      </c>
      <c r="AH91" s="2023" t="n">
        <v>46.386</v>
      </c>
      <c r="AI91" s="1999" t="n">
        <v>-0.377</v>
      </c>
      <c r="AJ91" s="2009" t="n">
        <v>12.4</v>
      </c>
      <c r="AK91" s="2207" t="n">
        <v>9500</v>
      </c>
      <c r="AL91" s="2240" t="n">
        <f aca="false">0.23*AK91</f>
        <v>2185</v>
      </c>
      <c r="AM91" s="2207"/>
      <c r="AN91" s="2208" t="n">
        <v>4.2236</v>
      </c>
      <c r="AO91" s="2023" t="n">
        <v>4.8902</v>
      </c>
      <c r="AP91" s="2023" t="n">
        <v>8.215</v>
      </c>
      <c r="AQ91" s="2023" t="n">
        <v>-3.363</v>
      </c>
      <c r="AR91" s="2023" t="n">
        <v>3.93783480562685</v>
      </c>
      <c r="AS91" s="2023" t="n">
        <f aca="false">F91+AN91+AO91-AP91+AQ91-AC91+AR91</f>
        <v>10.8622574655721</v>
      </c>
      <c r="AT91" s="2023" t="n">
        <f aca="false">AS91-J91-(L91-P91)</f>
        <v>0.714042603557465</v>
      </c>
      <c r="AU91" s="2023" t="n">
        <f aca="false">P91</f>
        <v>1.35543229014332</v>
      </c>
      <c r="AV91" s="2023" t="n">
        <f aca="false">AT91-AU91</f>
        <v>-0.641389686585852</v>
      </c>
      <c r="AW91" s="2000" t="n">
        <f aca="false">B91-F91+AC91-AN91-AO91+AP91</f>
        <v>71.4962</v>
      </c>
      <c r="AX91" s="218"/>
      <c r="AY91" s="218"/>
      <c r="AZ91" s="2222" t="n">
        <v>25.7666666666667</v>
      </c>
      <c r="BA91" s="32" t="n">
        <v>100</v>
      </c>
      <c r="BB91" s="401" t="n">
        <v>150.1</v>
      </c>
      <c r="BC91" s="401" t="n">
        <v>152.8</v>
      </c>
      <c r="BD91" s="401" t="n">
        <v>53.5709335396716</v>
      </c>
      <c r="BE91" s="401" t="n">
        <f aca="false">1000000*BD91/BI91</f>
        <v>842.07195353</v>
      </c>
      <c r="BF91" s="401" t="n">
        <f aca="false">100*H91/BD91</f>
        <v>152.664173006022</v>
      </c>
      <c r="BG91" s="401" t="n">
        <v>151.7</v>
      </c>
      <c r="BH91" s="2237"/>
      <c r="BI91" s="218" t="n">
        <v>63618</v>
      </c>
      <c r="BJ91" s="218" t="n">
        <f aca="false">BI91*(1-BN91)</f>
        <v>41796.9036716079</v>
      </c>
      <c r="BK91" s="401" t="n">
        <v>63618</v>
      </c>
      <c r="BL91" s="401"/>
      <c r="BM91" s="401" t="n">
        <f aca="false">BK91*(1-BN91)</f>
        <v>41796.9036716079</v>
      </c>
      <c r="BN91" s="2211" t="n">
        <f aca="false">BN90+(BN$96-BN$88)/8</f>
        <v>0.343001922858187</v>
      </c>
      <c r="BO91" s="218" t="n">
        <v>32531</v>
      </c>
      <c r="BP91" s="218" t="n">
        <f aca="false">BO91-BQ91</f>
        <v>26625</v>
      </c>
      <c r="BQ91" s="2221" t="n">
        <f aca="false">BQ90+(BQ$96-BQ$88)/8</f>
        <v>5906</v>
      </c>
      <c r="BR91" s="388" t="n">
        <f aca="false">BQ91/BO91</f>
        <v>0.181549906243276</v>
      </c>
      <c r="BS91" s="401" t="n">
        <f aca="false">0.555*BT91+CA91+CE91</f>
        <v>222.582501436782</v>
      </c>
      <c r="BT91" s="115" t="n">
        <f aca="false">BU91+BW91+BX91+BY91</f>
        <v>403.928831417625</v>
      </c>
      <c r="BU91" s="2223" t="n">
        <f aca="false">BW91*BU$76/BW$76</f>
        <v>96.6288314176245</v>
      </c>
      <c r="BV91" s="2223"/>
      <c r="BW91" s="115" t="n">
        <v>70.3</v>
      </c>
      <c r="BX91" s="115" t="n">
        <v>123.25</v>
      </c>
      <c r="BY91" s="115" t="n">
        <v>113.75</v>
      </c>
      <c r="BZ91" s="514"/>
      <c r="CA91" s="1509" t="n">
        <f aca="false">CQ91-CW91</f>
        <v>11.502</v>
      </c>
      <c r="CB91" s="2216" t="n">
        <f aca="false">7.2-3.3+4.5</f>
        <v>8.4</v>
      </c>
      <c r="CC91" s="485" t="n">
        <v>21.5</v>
      </c>
      <c r="CD91" s="1017" t="n">
        <v>132</v>
      </c>
      <c r="CE91" s="2239" t="n">
        <f aca="false">CB91-CC91</f>
        <v>-13.1</v>
      </c>
      <c r="CF91" s="2215" t="n">
        <f aca="false">CB91-CC91-CD91</f>
        <v>-145.1</v>
      </c>
      <c r="CG91" s="2024" t="n">
        <f aca="false">CH91-CQ91</f>
        <v>49.2790617483133</v>
      </c>
      <c r="CH91" s="115" t="n">
        <f aca="false">CI91+CJ91+CN91</f>
        <v>63.8780617483133</v>
      </c>
      <c r="CI91" s="485" t="n">
        <v>20.75</v>
      </c>
      <c r="CJ91" s="1509" t="n">
        <f aca="false">CK91*CL91*CM91</f>
        <v>16.3780617483133</v>
      </c>
      <c r="CK91" s="485" t="n">
        <v>32.25</v>
      </c>
      <c r="CL91" s="995" t="n">
        <f aca="false">CL$76</f>
        <v>1</v>
      </c>
      <c r="CM91" s="514" t="n">
        <f aca="false">CM90*TableDE15a!I67/TableDE15a!I66</f>
        <v>0.507846875916691</v>
      </c>
      <c r="CN91" s="485" t="n">
        <v>26.75</v>
      </c>
      <c r="CO91" s="2017" t="n">
        <f aca="false">CX91-CP91</f>
        <v>-17.21875</v>
      </c>
      <c r="CP91" s="2017" t="n">
        <f aca="false">CQ91+9*(CQ92-CQ91)/12</f>
        <v>17.26975</v>
      </c>
      <c r="CQ91" s="1509" t="n">
        <f aca="false">(CR90+CS90+CT90)/1000</f>
        <v>14.599</v>
      </c>
      <c r="CR91" s="115" t="n">
        <v>8229</v>
      </c>
      <c r="CS91" s="115" t="n">
        <v>2202</v>
      </c>
      <c r="CT91" s="115" t="n">
        <v>7729</v>
      </c>
      <c r="CU91" s="485" t="n">
        <v>0</v>
      </c>
      <c r="CV91" s="1509" t="n">
        <v>8.431</v>
      </c>
      <c r="CW91" s="1509" t="n">
        <v>3.097</v>
      </c>
      <c r="CX91" s="2019" t="n">
        <f aca="false">CY91+(CU90+9/12*(CU91-CU90))/1000</f>
        <v>0.051</v>
      </c>
      <c r="CY91" s="2019" t="n">
        <f aca="false">CZ91+DA91</f>
        <v>0.051</v>
      </c>
      <c r="CZ91" s="2017" t="n">
        <v>0</v>
      </c>
      <c r="DA91" s="1509" t="n">
        <v>0.051</v>
      </c>
      <c r="DB91" s="1509" t="n">
        <v>6.451</v>
      </c>
      <c r="DC91" s="2227"/>
    </row>
    <row r="92" customFormat="false" ht="12" hidden="false" customHeight="false" outlineLevel="0" collapsed="false">
      <c r="A92" s="31" t="n">
        <v>1929</v>
      </c>
      <c r="B92" s="1994" t="n">
        <f aca="false">H92</f>
        <v>81.5096417897266</v>
      </c>
      <c r="C92" s="1994" t="n">
        <f aca="false">C91*E92/E91</f>
        <v>52.6632159383941</v>
      </c>
      <c r="D92" s="1995" t="n">
        <f aca="false">I92+J92+K92+M92+Q92+T92</f>
        <v>88.4476417897267</v>
      </c>
      <c r="E92" s="2044" t="n">
        <v>56.859</v>
      </c>
      <c r="F92" s="384" t="n">
        <v>9.9084</v>
      </c>
      <c r="G92" s="2202" t="n">
        <f aca="false">B92-F92</f>
        <v>71.6012417897266</v>
      </c>
      <c r="H92" s="2000" t="n">
        <f aca="false">I92+J92+O92+Q92+T92</f>
        <v>81.5096417897266</v>
      </c>
      <c r="I92" s="1997" t="n">
        <v>65.207006968942</v>
      </c>
      <c r="J92" s="1997" t="n">
        <v>10.2266348207846</v>
      </c>
      <c r="K92" s="1997" t="n">
        <v>12.786</v>
      </c>
      <c r="L92" s="1997" t="n">
        <v>2.67</v>
      </c>
      <c r="M92" s="1997" t="n">
        <v>0.36</v>
      </c>
      <c r="N92" s="1997" t="n">
        <v>6.938</v>
      </c>
      <c r="O92" s="1997" t="n">
        <f aca="false">K92+M92-N92</f>
        <v>6.208</v>
      </c>
      <c r="P92" s="1997" t="n">
        <f aca="false">L92*(1-N92/K92)</f>
        <v>1.22119192867199</v>
      </c>
      <c r="Q92" s="1997" t="n">
        <f aca="false">R92-S92</f>
        <v>0.667999999999999</v>
      </c>
      <c r="R92" s="1997" t="n">
        <v>15.889</v>
      </c>
      <c r="S92" s="1997" t="n">
        <v>15.221</v>
      </c>
      <c r="T92" s="1997" t="n">
        <v>-0.8</v>
      </c>
      <c r="U92" s="1997" t="n">
        <v>-2.337</v>
      </c>
      <c r="V92" s="1999" t="n">
        <v>-2.469</v>
      </c>
      <c r="W92" s="395" t="n">
        <f aca="false">AG92+AH92-AC92-AI92</f>
        <v>71.6012417897266</v>
      </c>
      <c r="X92" s="2233" t="n">
        <f aca="false">W92-AD92</f>
        <v>17.0730203167896</v>
      </c>
      <c r="Y92" s="514"/>
      <c r="Z92" s="2234"/>
      <c r="AA92" s="387"/>
      <c r="AB92" s="2009" t="n">
        <f aca="false">T92</f>
        <v>-0.8</v>
      </c>
      <c r="AC92" s="1997" t="n">
        <v>0.695758210273374</v>
      </c>
      <c r="AD92" s="2233" t="n">
        <f aca="false">AH92+AF92</f>
        <v>54.528221472937</v>
      </c>
      <c r="AE92" s="2008"/>
      <c r="AF92" s="2235" t="n">
        <f aca="false">AJ92*AF$76/AJ$76</f>
        <v>7.584221472937</v>
      </c>
      <c r="AG92" s="2236" t="n">
        <v>24.947</v>
      </c>
      <c r="AH92" s="2023" t="n">
        <v>46.944</v>
      </c>
      <c r="AI92" s="1999" t="n">
        <v>-0.406</v>
      </c>
      <c r="AJ92" s="2009" t="n">
        <v>11.712</v>
      </c>
      <c r="AK92" s="2207" t="n">
        <v>9410</v>
      </c>
      <c r="AL92" s="2240" t="n">
        <f aca="false">0.23*AK92</f>
        <v>2164.3</v>
      </c>
      <c r="AM92" s="2207"/>
      <c r="AN92" s="2208" t="n">
        <v>4.2346</v>
      </c>
      <c r="AO92" s="2023" t="n">
        <v>5.1736</v>
      </c>
      <c r="AP92" s="2023" t="n">
        <v>8.97</v>
      </c>
      <c r="AQ92" s="2023" t="n">
        <v>-3.306</v>
      </c>
      <c r="AR92" s="2023" t="n">
        <v>4.32172332541794</v>
      </c>
      <c r="AS92" s="2023" t="n">
        <f aca="false">F92+AN92+AO92-AP92+AQ92-AC92+AR92</f>
        <v>10.6665651151446</v>
      </c>
      <c r="AT92" s="2023" t="n">
        <f aca="false">AS92-J92-(L92-P92)</f>
        <v>-1.00887777696808</v>
      </c>
      <c r="AU92" s="2023" t="n">
        <f aca="false">P92</f>
        <v>1.22119192867199</v>
      </c>
      <c r="AV92" s="2023" t="n">
        <f aca="false">AT92-AU92</f>
        <v>-2.23006970564006</v>
      </c>
      <c r="AW92" s="2000" t="n">
        <f aca="false">B92-F92+AC92-AN92-AO92+AP92</f>
        <v>71.8588</v>
      </c>
      <c r="AX92" s="218"/>
      <c r="AY92" s="218"/>
      <c r="AZ92" s="2222" t="n">
        <v>26.1666666666667</v>
      </c>
      <c r="BA92" s="401" t="n">
        <v>100</v>
      </c>
      <c r="BB92" s="401" t="n">
        <v>151.4</v>
      </c>
      <c r="BC92" s="401" t="n">
        <v>155.7</v>
      </c>
      <c r="BD92" s="401" t="n">
        <v>52.4661721160873</v>
      </c>
      <c r="BE92" s="401" t="n">
        <f aca="false">1000000*BD92/BI92</f>
        <v>820.322275807362</v>
      </c>
      <c r="BF92" s="401" t="n">
        <f aca="false">100*H92/BD92</f>
        <v>155.356563100082</v>
      </c>
      <c r="BG92" s="401" t="n">
        <v>154</v>
      </c>
      <c r="BH92" s="2237"/>
      <c r="BI92" s="218" t="n">
        <v>63958</v>
      </c>
      <c r="BJ92" s="218" t="n">
        <f aca="false">BI92*(1-BN92)</f>
        <v>42456.8333465568</v>
      </c>
      <c r="BK92" s="401" t="n">
        <v>63958</v>
      </c>
      <c r="BL92" s="401"/>
      <c r="BM92" s="401" t="n">
        <f aca="false">BK92*(1-BN92)</f>
        <v>42456.8333465568</v>
      </c>
      <c r="BN92" s="2211" t="n">
        <f aca="false">BN91+(BN$96-BN$88)/8</f>
        <v>0.336176344686251</v>
      </c>
      <c r="BO92" s="218" t="n">
        <v>32266</v>
      </c>
      <c r="BP92" s="218" t="n">
        <f aca="false">BO92-BQ92</f>
        <v>26346</v>
      </c>
      <c r="BQ92" s="2221" t="n">
        <f aca="false">BQ91+(BQ$96-BQ$88)/8</f>
        <v>5920</v>
      </c>
      <c r="BR92" s="388" t="n">
        <f aca="false">BQ92/BO92</f>
        <v>0.183474865183165</v>
      </c>
      <c r="BS92" s="401" t="n">
        <f aca="false">0.555*BT92+CA92+CE92</f>
        <v>234.220221982759</v>
      </c>
      <c r="BT92" s="115" t="n">
        <f aca="false">BU92+BW92+BX92+BY92</f>
        <v>423.521120689655</v>
      </c>
      <c r="BU92" s="2223" t="n">
        <f aca="false">BW92*BU$76/BW$76</f>
        <v>100.821120689655</v>
      </c>
      <c r="BV92" s="2223"/>
      <c r="BW92" s="115" t="n">
        <v>73.35</v>
      </c>
      <c r="BX92" s="115" t="n">
        <v>129.85</v>
      </c>
      <c r="BY92" s="115" t="n">
        <v>119.5</v>
      </c>
      <c r="BZ92" s="514"/>
      <c r="CA92" s="1509" t="n">
        <f aca="false">CQ92-CW92</f>
        <v>14.966</v>
      </c>
      <c r="CB92" s="2216" t="n">
        <f aca="false">7.8-3.1+4.5</f>
        <v>9.2</v>
      </c>
      <c r="CC92" s="485" t="n">
        <v>25</v>
      </c>
      <c r="CD92" s="1017" t="n">
        <v>121</v>
      </c>
      <c r="CE92" s="2239" t="n">
        <f aca="false">CB92-CC92</f>
        <v>-15.8</v>
      </c>
      <c r="CF92" s="2215" t="n">
        <f aca="false">CB92-CC92-CD92</f>
        <v>-136.8</v>
      </c>
      <c r="CG92" s="2024" t="n">
        <f aca="false">CH92-CQ92</f>
        <v>48.5275770020534</v>
      </c>
      <c r="CH92" s="115" t="n">
        <f aca="false">CI92+CJ92+CN92</f>
        <v>66.6875770020534</v>
      </c>
      <c r="CI92" s="485" t="n">
        <v>22</v>
      </c>
      <c r="CJ92" s="1509" t="n">
        <f aca="false">CK92*CL92*CM92</f>
        <v>15.9375770020534</v>
      </c>
      <c r="CK92" s="485" t="n">
        <v>33.6</v>
      </c>
      <c r="CL92" s="995" t="n">
        <f aca="false">CL$76</f>
        <v>1</v>
      </c>
      <c r="CM92" s="514" t="n">
        <f aca="false">CM91*TableDE15a!I68/TableDE15a!I67</f>
        <v>0.474332648870637</v>
      </c>
      <c r="CN92" s="485" t="n">
        <v>28.75</v>
      </c>
      <c r="CO92" s="2017" t="n">
        <f aca="false">CX92-CP92</f>
        <v>-20.28825</v>
      </c>
      <c r="CP92" s="2017" t="n">
        <f aca="false">CQ92+9*(CQ93-CQ92)/12</f>
        <v>20.52925</v>
      </c>
      <c r="CQ92" s="1509" t="n">
        <f aca="false">(CR91+CS91+CT91)/1000</f>
        <v>18.16</v>
      </c>
      <c r="CR92" s="115" t="n">
        <v>9630</v>
      </c>
      <c r="CS92" s="115" t="n">
        <v>2590</v>
      </c>
      <c r="CT92" s="115" t="n">
        <v>9099</v>
      </c>
      <c r="CU92" s="485" t="n">
        <v>0</v>
      </c>
      <c r="CV92" s="1509" t="n">
        <v>9.705</v>
      </c>
      <c r="CW92" s="1509" t="n">
        <v>3.194</v>
      </c>
      <c r="CX92" s="2019" t="n">
        <f aca="false">CY92+(CU91+9/12*(CU92-CU91))/1000</f>
        <v>0.241</v>
      </c>
      <c r="CY92" s="2019" t="n">
        <f aca="false">CZ92+DA92</f>
        <v>0.241</v>
      </c>
      <c r="CZ92" s="2017" t="n">
        <v>0</v>
      </c>
      <c r="DA92" s="1509" t="n">
        <v>0.241</v>
      </c>
      <c r="DB92" s="1509" t="n">
        <v>6.535</v>
      </c>
      <c r="DC92" s="2227"/>
    </row>
    <row r="93" customFormat="false" ht="12" hidden="false" customHeight="false" outlineLevel="0" collapsed="false">
      <c r="A93" s="31" t="n">
        <v>1930</v>
      </c>
      <c r="B93" s="1994" t="n">
        <f aca="false">H93</f>
        <v>75.0535904259243</v>
      </c>
      <c r="C93" s="1994" t="n">
        <f aca="false">C92*E93/E92</f>
        <v>48.9954353739094</v>
      </c>
      <c r="D93" s="1995" t="n">
        <f aca="false">I93+J93+K93+M93+Q93+T93</f>
        <v>81.9345904259243</v>
      </c>
      <c r="E93" s="2044" t="n">
        <v>52.899</v>
      </c>
      <c r="F93" s="384" t="n">
        <v>9.6957</v>
      </c>
      <c r="G93" s="2202" t="n">
        <f aca="false">B93-F93</f>
        <v>65.3578904259243</v>
      </c>
      <c r="H93" s="2000" t="n">
        <f aca="false">I93+J93+O93+Q93+T93</f>
        <v>75.0535904259243</v>
      </c>
      <c r="I93" s="1997" t="n">
        <v>62.2801088786273</v>
      </c>
      <c r="J93" s="1997" t="n">
        <v>9.92648154729706</v>
      </c>
      <c r="K93" s="1997" t="n">
        <v>10.372</v>
      </c>
      <c r="L93" s="1997" t="n">
        <v>2.092</v>
      </c>
      <c r="M93" s="1997" t="n">
        <v>-1.74</v>
      </c>
      <c r="N93" s="1997" t="n">
        <v>6.881</v>
      </c>
      <c r="O93" s="1997" t="n">
        <f aca="false">K93+M93-N93</f>
        <v>1.751</v>
      </c>
      <c r="P93" s="1997" t="n">
        <f aca="false">L93*(1-N93/K93)</f>
        <v>0.704123794832241</v>
      </c>
      <c r="Q93" s="1997" t="n">
        <f aca="false">R93-S93</f>
        <v>2.096</v>
      </c>
      <c r="R93" s="1997" t="n">
        <v>14.016</v>
      </c>
      <c r="S93" s="1997" t="n">
        <v>11.92</v>
      </c>
      <c r="T93" s="1997" t="n">
        <v>-1</v>
      </c>
      <c r="U93" s="1997" t="n">
        <v>-1.706</v>
      </c>
      <c r="V93" s="1999" t="n">
        <v>-0.61</v>
      </c>
      <c r="W93" s="395" t="n">
        <f aca="false">AG93+AH93-AC93-AI93</f>
        <v>65.3918904259243</v>
      </c>
      <c r="X93" s="2233" t="n">
        <f aca="false">W93-AD93</f>
        <v>14.4798780035641</v>
      </c>
      <c r="Y93" s="514"/>
      <c r="Z93" s="2234"/>
      <c r="AA93" s="387"/>
      <c r="AB93" s="2009" t="n">
        <f aca="false">T93</f>
        <v>-1</v>
      </c>
      <c r="AC93" s="1997" t="n">
        <v>0.84110957407567</v>
      </c>
      <c r="AD93" s="2233" t="n">
        <f aca="false">AH93+AF93</f>
        <v>50.9120124223603</v>
      </c>
      <c r="AE93" s="2008"/>
      <c r="AF93" s="2235" t="n">
        <f aca="false">AJ93*AF$76/AJ$76</f>
        <v>7.16201242236025</v>
      </c>
      <c r="AG93" s="2236" t="n">
        <v>22.079</v>
      </c>
      <c r="AH93" s="2023" t="n">
        <v>43.75</v>
      </c>
      <c r="AI93" s="1999" t="n">
        <v>-0.404</v>
      </c>
      <c r="AJ93" s="2009" t="n">
        <v>11.06</v>
      </c>
      <c r="AK93" s="2207" t="n">
        <v>9310</v>
      </c>
      <c r="AL93" s="2240" t="n">
        <f aca="false">0.23*AK93</f>
        <v>2141.3</v>
      </c>
      <c r="AM93" s="2207"/>
      <c r="AN93" s="2208" t="n">
        <v>4.3961</v>
      </c>
      <c r="AO93" s="2023" t="n">
        <v>5.0428</v>
      </c>
      <c r="AP93" s="2023" t="n">
        <v>9.776</v>
      </c>
      <c r="AQ93" s="2023" t="n">
        <v>-3.347</v>
      </c>
      <c r="AR93" s="2023" t="n">
        <v>4.4900254063044</v>
      </c>
      <c r="AS93" s="2023" t="n">
        <f aca="false">F93+AN93+AO93-AP93+AQ93-AC93+AR93</f>
        <v>9.66051583222874</v>
      </c>
      <c r="AT93" s="2023" t="n">
        <f aca="false">AS93-J93-(L93-P93)</f>
        <v>-1.65384192023608</v>
      </c>
      <c r="AU93" s="2023" t="n">
        <f aca="false">P93</f>
        <v>0.704123794832241</v>
      </c>
      <c r="AV93" s="2023" t="n">
        <f aca="false">AT93-AU93</f>
        <v>-2.35796571506832</v>
      </c>
      <c r="AW93" s="2000" t="n">
        <f aca="false">B93-F93+AC93-AN93-AO93+AP93</f>
        <v>66.5361</v>
      </c>
      <c r="AX93" s="218"/>
      <c r="AY93" s="218"/>
      <c r="AZ93" s="2222" t="n">
        <v>25.1666666666667</v>
      </c>
      <c r="BA93" s="32" t="n">
        <v>100</v>
      </c>
      <c r="BB93" s="401" t="n">
        <v>141.9</v>
      </c>
      <c r="BC93" s="401" t="n">
        <v>154.9</v>
      </c>
      <c r="BD93" s="401" t="n">
        <v>48.4345074931464</v>
      </c>
      <c r="BE93" s="401" t="n">
        <f aca="false">1000000*BD93/BI93</f>
        <v>753.328576432426</v>
      </c>
      <c r="BF93" s="401" t="n">
        <f aca="false">100*H93/BD93</f>
        <v>154.958921460169</v>
      </c>
      <c r="BG93" s="401" t="n">
        <v>148.1</v>
      </c>
      <c r="BH93" s="2237"/>
      <c r="BI93" s="218" t="n">
        <v>64294</v>
      </c>
      <c r="BJ93" s="218" t="n">
        <f aca="false">BI93*(1-BN93)</f>
        <v>43118.7218177287</v>
      </c>
      <c r="BK93" s="401" t="n">
        <v>64295</v>
      </c>
      <c r="BL93" s="401"/>
      <c r="BM93" s="401" t="n">
        <f aca="false">BK93*(1-BN93)</f>
        <v>43119.3924669622</v>
      </c>
      <c r="BN93" s="2211" t="n">
        <f aca="false">BN92+(BN$96-BN$88)/8</f>
        <v>0.329350766514314</v>
      </c>
      <c r="BO93" s="218" t="n">
        <v>30483</v>
      </c>
      <c r="BP93" s="218" t="n">
        <f aca="false">BO93-BQ93</f>
        <v>24549</v>
      </c>
      <c r="BQ93" s="2221" t="n">
        <f aca="false">BQ92+(BQ$96-BQ$88)/8</f>
        <v>5934</v>
      </c>
      <c r="BR93" s="388" t="n">
        <f aca="false">BQ93/BO93</f>
        <v>0.194665879342584</v>
      </c>
      <c r="BS93" s="401" t="n">
        <f aca="false">0.555*BT93+CA93+CE93</f>
        <v>228.112721982759</v>
      </c>
      <c r="BT93" s="115" t="n">
        <f aca="false">BU93+BW93+BX93+BY93</f>
        <v>423.621120689655</v>
      </c>
      <c r="BU93" s="2223" t="n">
        <f aca="false">BW93*BU$76/BW$76</f>
        <v>100.821120689655</v>
      </c>
      <c r="BV93" s="2223"/>
      <c r="BW93" s="115" t="n">
        <v>73.35</v>
      </c>
      <c r="BX93" s="115" t="n">
        <v>129.4</v>
      </c>
      <c r="BY93" s="115" t="n">
        <v>120.05</v>
      </c>
      <c r="BZ93" s="514"/>
      <c r="CA93" s="1509" t="n">
        <f aca="false">CQ93-CW93</f>
        <v>16.353</v>
      </c>
      <c r="CB93" s="2216" t="n">
        <f aca="false">7.5-3+4.5</f>
        <v>9</v>
      </c>
      <c r="CC93" s="485" t="n">
        <v>32.35</v>
      </c>
      <c r="CD93" s="1017" t="n">
        <v>121</v>
      </c>
      <c r="CE93" s="2239" t="n">
        <f aca="false">CB93-CC93</f>
        <v>-23.35</v>
      </c>
      <c r="CF93" s="2215" t="n">
        <f aca="false">CB93-CC93-CD93</f>
        <v>-144.35</v>
      </c>
      <c r="CG93" s="2024" t="n">
        <f aca="false">CH93-CQ93</f>
        <v>45.1709383983573</v>
      </c>
      <c r="CH93" s="115" t="n">
        <f aca="false">CI93+CJ93+CN93</f>
        <v>66.4899383983573</v>
      </c>
      <c r="CI93" s="485" t="n">
        <v>22.35</v>
      </c>
      <c r="CJ93" s="1509" t="n">
        <f aca="false">CK93*CL93*CM93</f>
        <v>14.6899383983573</v>
      </c>
      <c r="CK93" s="485" t="n">
        <v>34.3</v>
      </c>
      <c r="CL93" s="995" t="n">
        <f aca="false">CL$76</f>
        <v>1</v>
      </c>
      <c r="CM93" s="514" t="n">
        <f aca="false">CM92*TableDE15a!I69/TableDE15a!I68</f>
        <v>0.428278087415665</v>
      </c>
      <c r="CN93" s="485" t="n">
        <v>29.45</v>
      </c>
      <c r="CO93" s="2017" t="n">
        <f aca="false">CX93-CP93</f>
        <v>-23.14025</v>
      </c>
      <c r="CP93" s="2017" t="n">
        <f aca="false">CQ93+9*(CQ94-CQ93)/12</f>
        <v>23.34625</v>
      </c>
      <c r="CQ93" s="1509" t="n">
        <f aca="false">(CR92+CS92+CT92)/1000</f>
        <v>21.319</v>
      </c>
      <c r="CR93" s="115" t="n">
        <v>11342</v>
      </c>
      <c r="CS93" s="115" t="n">
        <v>2752</v>
      </c>
      <c r="CT93" s="115" t="n">
        <v>9928</v>
      </c>
      <c r="CU93" s="485" t="n">
        <v>0</v>
      </c>
      <c r="CV93" s="1509" t="n">
        <v>10.162</v>
      </c>
      <c r="CW93" s="1509" t="n">
        <v>4.966</v>
      </c>
      <c r="CX93" s="2019" t="n">
        <f aca="false">CY93+(CU92+9/12*(CU93-CU92))/1000</f>
        <v>0.206</v>
      </c>
      <c r="CY93" s="2019" t="n">
        <f aca="false">CZ93+DA93</f>
        <v>0.206</v>
      </c>
      <c r="CZ93" s="2017" t="n">
        <v>0</v>
      </c>
      <c r="DA93" s="1509" t="n">
        <v>0.206</v>
      </c>
      <c r="DB93" s="1509" t="n">
        <v>6.253</v>
      </c>
      <c r="DC93" s="2227"/>
    </row>
    <row r="94" customFormat="false" ht="12" hidden="false" customHeight="false" outlineLevel="0" collapsed="false">
      <c r="A94" s="31" t="n">
        <v>1931</v>
      </c>
      <c r="B94" s="1994" t="n">
        <f aca="false">H94</f>
        <v>61.589964635664</v>
      </c>
      <c r="C94" s="1994" t="n">
        <f aca="false">C93*E94/E93</f>
        <v>42.5082800522802</v>
      </c>
      <c r="D94" s="1995" t="n">
        <f aca="false">I94+J94+K94+M94+Q94+T94</f>
        <v>67.952964635664</v>
      </c>
      <c r="E94" s="2044" t="n">
        <v>45.895</v>
      </c>
      <c r="F94" s="384" t="n">
        <v>8.702</v>
      </c>
      <c r="G94" s="2202" t="n">
        <f aca="false">B94-F94</f>
        <v>52.887964635664</v>
      </c>
      <c r="H94" s="2000" t="n">
        <f aca="false">I94+J94+O94+Q94+T94</f>
        <v>61.589964635664</v>
      </c>
      <c r="I94" s="1997" t="n">
        <v>54.6667922931773</v>
      </c>
      <c r="J94" s="1997" t="n">
        <v>7.95017234248667</v>
      </c>
      <c r="K94" s="1997" t="n">
        <v>6.438</v>
      </c>
      <c r="L94" s="1997" t="n">
        <v>1.456</v>
      </c>
      <c r="M94" s="1997" t="n">
        <v>-3.13</v>
      </c>
      <c r="N94" s="1997" t="n">
        <v>6.363</v>
      </c>
      <c r="O94" s="1997" t="n">
        <f aca="false">K94+M94-N94</f>
        <v>-3.055</v>
      </c>
      <c r="P94" s="1997" t="n">
        <f aca="false">L94*(1-N94/K94)</f>
        <v>0.0169617893755824</v>
      </c>
      <c r="Q94" s="1997" t="n">
        <f aca="false">R94-S94</f>
        <v>3.228</v>
      </c>
      <c r="R94" s="1997" t="n">
        <v>11.249</v>
      </c>
      <c r="S94" s="1997" t="n">
        <v>8.021</v>
      </c>
      <c r="T94" s="1997" t="n">
        <v>-1.2</v>
      </c>
      <c r="U94" s="1997" t="n">
        <v>-0.988</v>
      </c>
      <c r="V94" s="1999" t="n">
        <v>1.04</v>
      </c>
      <c r="W94" s="395" t="n">
        <f aca="false">AG94+AH94-AC94-AI94</f>
        <v>53.555964635664</v>
      </c>
      <c r="X94" s="2233" t="n">
        <f aca="false">W94-AD94</f>
        <v>10.5489357093108</v>
      </c>
      <c r="Y94" s="514"/>
      <c r="Z94" s="2234"/>
      <c r="AA94" s="387"/>
      <c r="AB94" s="2009" t="n">
        <f aca="false">T94</f>
        <v>-1.2</v>
      </c>
      <c r="AC94" s="1997" t="n">
        <v>0.906035364336056</v>
      </c>
      <c r="AD94" s="2233" t="n">
        <f aca="false">AH94+AF94</f>
        <v>43.0070289263532</v>
      </c>
      <c r="AE94" s="2008"/>
      <c r="AF94" s="2235" t="n">
        <f aca="false">AJ94*AF$76/AJ$76</f>
        <v>6.04302892635315</v>
      </c>
      <c r="AG94" s="2236" t="n">
        <v>16.408</v>
      </c>
      <c r="AH94" s="2023" t="n">
        <v>36.964</v>
      </c>
      <c r="AI94" s="1999" t="n">
        <v>-1.09</v>
      </c>
      <c r="AJ94" s="2009" t="n">
        <v>9.332</v>
      </c>
      <c r="AK94" s="2207" t="n">
        <v>9220</v>
      </c>
      <c r="AL94" s="2240" t="n">
        <f aca="false">0.23*AK94</f>
        <v>2120.6</v>
      </c>
      <c r="AM94" s="2207"/>
      <c r="AN94" s="2208" t="n">
        <v>3.5502</v>
      </c>
      <c r="AO94" s="2023" t="n">
        <v>4.5594</v>
      </c>
      <c r="AP94" s="2023" t="n">
        <v>9.862</v>
      </c>
      <c r="AQ94" s="2023" t="n">
        <v>-2.24</v>
      </c>
      <c r="AR94" s="2023" t="n">
        <v>4.53166408307706</v>
      </c>
      <c r="AS94" s="2023" t="n">
        <f aca="false">F94+AN94+AO94-AP94+AQ94-AC94+AR94</f>
        <v>8.335228718741</v>
      </c>
      <c r="AT94" s="2023" t="n">
        <f aca="false">AS94-J94-(L94-P94)</f>
        <v>-1.05398183437009</v>
      </c>
      <c r="AU94" s="2023" t="n">
        <f aca="false">P94</f>
        <v>0.0169617893755824</v>
      </c>
      <c r="AV94" s="2023" t="n">
        <f aca="false">AT94-AU94</f>
        <v>-1.07094362374568</v>
      </c>
      <c r="AW94" s="2000" t="n">
        <f aca="false">B94-F94+AC94-AN94-AO94+AP94</f>
        <v>55.5464</v>
      </c>
      <c r="AX94" s="218"/>
      <c r="AY94" s="218"/>
      <c r="AZ94" s="2222" t="n">
        <v>23.125</v>
      </c>
      <c r="BA94" s="401" t="n">
        <v>100</v>
      </c>
      <c r="BB94" s="401" t="n">
        <v>129.3</v>
      </c>
      <c r="BC94" s="401" t="n">
        <v>146.1</v>
      </c>
      <c r="BD94" s="401" t="n">
        <v>42.0736315595933</v>
      </c>
      <c r="BE94" s="401" t="n">
        <f aca="false">1000000*BD94/BI94</f>
        <v>651.022506995424</v>
      </c>
      <c r="BF94" s="401" t="n">
        <f aca="false">100*H94/BD94</f>
        <v>146.386138663661</v>
      </c>
      <c r="BG94" s="401" t="n">
        <v>136.1</v>
      </c>
      <c r="BH94" s="2237"/>
      <c r="BI94" s="218" t="n">
        <v>64627</v>
      </c>
      <c r="BJ94" s="218" t="n">
        <f aca="false">BI94*(1-BN94)</f>
        <v>43783.1646529971</v>
      </c>
      <c r="BK94" s="401" t="n">
        <v>64631</v>
      </c>
      <c r="BL94" s="401"/>
      <c r="BM94" s="401" t="n">
        <f aca="false">BK94*(1-BN94)</f>
        <v>43785.8745522438</v>
      </c>
      <c r="BN94" s="2211" t="n">
        <f aca="false">BN93+(BN$96-BN$88)/8</f>
        <v>0.322525188342378</v>
      </c>
      <c r="BO94" s="218" t="n">
        <v>28115</v>
      </c>
      <c r="BP94" s="218" t="n">
        <f aca="false">BO94-BQ94</f>
        <v>22167</v>
      </c>
      <c r="BQ94" s="2221" t="n">
        <f aca="false">BQ93+(BQ$96-BQ$88)/8</f>
        <v>5948</v>
      </c>
      <c r="BR94" s="388" t="n">
        <f aca="false">BQ94/BO94</f>
        <v>0.211559665658901</v>
      </c>
      <c r="BS94" s="401" t="n">
        <f aca="false">0.555*BT94+CA94+CE94</f>
        <v>216.932676005747</v>
      </c>
      <c r="BT94" s="115" t="n">
        <f aca="false">BU94+BW94+BX94+BY94</f>
        <v>397.09851532567</v>
      </c>
      <c r="BU94" s="2223" t="n">
        <f aca="false">BW94*BU$76/BW$76</f>
        <v>93.9485153256705</v>
      </c>
      <c r="BV94" s="2223"/>
      <c r="BW94" s="115" t="n">
        <v>68.35</v>
      </c>
      <c r="BX94" s="115" t="n">
        <v>121.25</v>
      </c>
      <c r="BY94" s="115" t="n">
        <v>113.55</v>
      </c>
      <c r="BZ94" s="514"/>
      <c r="CA94" s="1509" t="n">
        <f aca="false">CQ94-CW94</f>
        <v>18.853</v>
      </c>
      <c r="CB94" s="2024" t="n">
        <f aca="false">MAX(CB93-CC93+CC94+V94,0)</f>
        <v>4.29</v>
      </c>
      <c r="CC94" s="485" t="n">
        <v>26.6</v>
      </c>
      <c r="CD94" s="1017" t="n">
        <v>121</v>
      </c>
      <c r="CE94" s="2239" t="n">
        <f aca="false">CB94-CC94</f>
        <v>-22.31</v>
      </c>
      <c r="CF94" s="2215" t="n">
        <f aca="false">CB94-CC94-CD94</f>
        <v>-143.31</v>
      </c>
      <c r="CG94" s="2024" t="n">
        <f aca="false">CH94-CQ94</f>
        <v>36.3621815781754</v>
      </c>
      <c r="CH94" s="115" t="n">
        <f aca="false">CI94+CJ94+CN94</f>
        <v>60.3841815781754</v>
      </c>
      <c r="CI94" s="485" t="n">
        <v>21.2</v>
      </c>
      <c r="CJ94" s="1509" t="n">
        <f aca="false">CK94*CL94*CM94</f>
        <v>11.5341815781754</v>
      </c>
      <c r="CK94" s="485" t="n">
        <v>33.65</v>
      </c>
      <c r="CL94" s="995" t="n">
        <f aca="false">CL$76</f>
        <v>1</v>
      </c>
      <c r="CM94" s="514" t="n">
        <f aca="false">CM93*TableDE15a!I70/TableDE15a!I69</f>
        <v>0.342769140510414</v>
      </c>
      <c r="CN94" s="485" t="n">
        <v>27.65</v>
      </c>
      <c r="CO94" s="2017" t="n">
        <f aca="false">CX94-CP94</f>
        <v>-24.04025</v>
      </c>
      <c r="CP94" s="2017" t="n">
        <f aca="false">CQ94+9*(CQ95-CQ94)/12</f>
        <v>24.13825</v>
      </c>
      <c r="CQ94" s="1509" t="n">
        <f aca="false">(CR93+CS93+CT93)/1000</f>
        <v>24.022</v>
      </c>
      <c r="CR94" s="115" t="n">
        <v>11434</v>
      </c>
      <c r="CS94" s="115" t="n">
        <v>2794</v>
      </c>
      <c r="CT94" s="115" t="n">
        <v>9949</v>
      </c>
      <c r="CU94" s="485" t="n">
        <v>0</v>
      </c>
      <c r="CV94" s="1509" t="n">
        <v>10.626</v>
      </c>
      <c r="CW94" s="1509" t="n">
        <v>5.169</v>
      </c>
      <c r="CX94" s="2019" t="n">
        <f aca="false">CY94+(CU93+9/12*(CU94-CU93))/1000</f>
        <v>0.098</v>
      </c>
      <c r="CY94" s="2019" t="n">
        <f aca="false">CZ94+DA94</f>
        <v>0.098</v>
      </c>
      <c r="CZ94" s="2017" t="n">
        <v>0</v>
      </c>
      <c r="DA94" s="1509" t="n">
        <v>0.098</v>
      </c>
      <c r="DB94" s="1509" t="n">
        <v>6.868</v>
      </c>
      <c r="DC94" s="2227"/>
    </row>
    <row r="95" customFormat="false" ht="12" hidden="false" customHeight="false" outlineLevel="0" collapsed="false">
      <c r="A95" s="31" t="n">
        <v>1932</v>
      </c>
      <c r="B95" s="1994" t="n">
        <f aca="false">H95</f>
        <v>49.7167544944325</v>
      </c>
      <c r="C95" s="1994" t="n">
        <f aca="false">C94*E95/E94</f>
        <v>39.0924278498004</v>
      </c>
      <c r="D95" s="1995" t="n">
        <f aca="false">I95+J95+K95+M95+Q95+T95</f>
        <v>55.5437544944325</v>
      </c>
      <c r="E95" s="2044" t="n">
        <v>42.207</v>
      </c>
      <c r="F95" s="384" t="n">
        <v>7.9471</v>
      </c>
      <c r="G95" s="2202" t="n">
        <f aca="false">B95-F95</f>
        <v>41.7696544944325</v>
      </c>
      <c r="H95" s="2000" t="n">
        <f aca="false">I95+J95+O95+Q95+T95</f>
        <v>49.7167544944325</v>
      </c>
      <c r="I95" s="1997" t="n">
        <v>45.9317792536301</v>
      </c>
      <c r="J95" s="1997" t="n">
        <v>6.48997524080236</v>
      </c>
      <c r="K95" s="1997" t="n">
        <v>4.225</v>
      </c>
      <c r="L95" s="1997" t="n">
        <v>1.095</v>
      </c>
      <c r="M95" s="1997" t="n">
        <v>-1.52</v>
      </c>
      <c r="N95" s="1997" t="n">
        <v>5.827</v>
      </c>
      <c r="O95" s="1997" t="n">
        <f aca="false">K95+M95-N95</f>
        <v>-3.122</v>
      </c>
      <c r="P95" s="1997" t="n">
        <f aca="false">L95*(1-N95/K95)</f>
        <v>-0.415192899408284</v>
      </c>
      <c r="Q95" s="1997" t="n">
        <f aca="false">R95-S95</f>
        <v>1.317</v>
      </c>
      <c r="R95" s="1997" t="n">
        <v>6.997</v>
      </c>
      <c r="S95" s="1997" t="n">
        <v>5.68</v>
      </c>
      <c r="T95" s="1997" t="n">
        <v>-0.9</v>
      </c>
      <c r="U95" s="1997" t="n">
        <v>-0.16</v>
      </c>
      <c r="V95" s="1999" t="n">
        <v>0.257</v>
      </c>
      <c r="W95" s="395" t="n">
        <f aca="false">AG95+AH95-AC95-AI95</f>
        <v>41.7716544944325</v>
      </c>
      <c r="X95" s="2233" t="n">
        <f aca="false">W95-AD95</f>
        <v>8.15047969407758</v>
      </c>
      <c r="Y95" s="514"/>
      <c r="Z95" s="2234"/>
      <c r="AA95" s="387"/>
      <c r="AB95" s="2009" t="n">
        <f aca="false">T95</f>
        <v>-0.9</v>
      </c>
      <c r="AC95" s="1997" t="n">
        <v>0.827345505567501</v>
      </c>
      <c r="AD95" s="2233" t="n">
        <f aca="false">AH95+AF95</f>
        <v>33.6211748003549</v>
      </c>
      <c r="AE95" s="2008"/>
      <c r="AF95" s="2235" t="n">
        <f aca="false">AJ95*AF$76/AJ$76</f>
        <v>4.86317480035492</v>
      </c>
      <c r="AG95" s="2236" t="n">
        <v>13.531</v>
      </c>
      <c r="AH95" s="2023" t="n">
        <v>28.758</v>
      </c>
      <c r="AI95" s="1999" t="n">
        <v>-0.31</v>
      </c>
      <c r="AJ95" s="2009" t="n">
        <v>7.51</v>
      </c>
      <c r="AK95" s="2207" t="n">
        <v>9139</v>
      </c>
      <c r="AL95" s="2240" t="n">
        <f aca="false">0.23*AK95</f>
        <v>2101.97</v>
      </c>
      <c r="AM95" s="2207"/>
      <c r="AN95" s="2208" t="n">
        <v>2.5888</v>
      </c>
      <c r="AO95" s="2023" t="n">
        <v>3.7365</v>
      </c>
      <c r="AP95" s="2023" t="n">
        <v>9.14</v>
      </c>
      <c r="AQ95" s="2023" t="n">
        <v>-1.047</v>
      </c>
      <c r="AR95" s="2023" t="n">
        <v>3.72198680200578</v>
      </c>
      <c r="AS95" s="2023" t="n">
        <f aca="false">F95+AN95+AO95-AP95+AQ95-AC95+AR95</f>
        <v>6.98004129643828</v>
      </c>
      <c r="AT95" s="2023" t="n">
        <f aca="false">AS95-J95-(L95-P95)</f>
        <v>-1.02012684377237</v>
      </c>
      <c r="AU95" s="2023" t="n">
        <f aca="false">P95</f>
        <v>-0.415192899408284</v>
      </c>
      <c r="AV95" s="2023" t="n">
        <f aca="false">AT95-AU95</f>
        <v>-0.604933944364083</v>
      </c>
      <c r="AW95" s="2000" t="n">
        <f aca="false">B95-F95+AC95-AN95-AO95+AP95</f>
        <v>45.4117</v>
      </c>
      <c r="AX95" s="218"/>
      <c r="AY95" s="218"/>
      <c r="AZ95" s="2222" t="n">
        <v>20.4833333333333</v>
      </c>
      <c r="BA95" s="32" t="n">
        <v>100</v>
      </c>
      <c r="BB95" s="401" t="n">
        <v>115.2</v>
      </c>
      <c r="BC95" s="401" t="n">
        <v>131.6</v>
      </c>
      <c r="BD95" s="401" t="n">
        <v>38.38563143205</v>
      </c>
      <c r="BE95" s="401" t="n">
        <f aca="false">1000000*BD95/BI95</f>
        <v>591.376102421081</v>
      </c>
      <c r="BF95" s="401" t="n">
        <f aca="false">100*H95/BD95</f>
        <v>129.519178504178</v>
      </c>
      <c r="BG95" s="401" t="n">
        <v>117.7</v>
      </c>
      <c r="BH95" s="2237"/>
      <c r="BI95" s="218" t="n">
        <v>64909</v>
      </c>
      <c r="BJ95" s="218" t="n">
        <f aca="false">BI95*(1-BN95)</f>
        <v>44417.2540034468</v>
      </c>
      <c r="BK95" s="401" t="n">
        <v>64912</v>
      </c>
      <c r="BL95" s="401"/>
      <c r="BM95" s="401" t="n">
        <f aca="false">BK95*(1-BN95)</f>
        <v>44419.3069046163</v>
      </c>
      <c r="BN95" s="2211" t="n">
        <f aca="false">BN94+(BN$96-BN$88)/8</f>
        <v>0.315699610170442</v>
      </c>
      <c r="BO95" s="218" t="n">
        <v>26113</v>
      </c>
      <c r="BP95" s="218" t="n">
        <f aca="false">BO95-BQ95</f>
        <v>20151</v>
      </c>
      <c r="BQ95" s="2221" t="n">
        <f aca="false">BQ94+(BQ$96-BQ$88)/8</f>
        <v>5962</v>
      </c>
      <c r="BR95" s="388" t="n">
        <f aca="false">BQ95/BO95</f>
        <v>0.228315398460537</v>
      </c>
      <c r="BS95" s="401" t="n">
        <f aca="false">0.555*BT95+CA95+CE95</f>
        <v>191.599194683908</v>
      </c>
      <c r="BT95" s="115" t="n">
        <f aca="false">BU95+BW95+BX95+BY95</f>
        <v>350.439990421456</v>
      </c>
      <c r="BU95" s="2223" t="n">
        <f aca="false">BW95*BU$76/BW$76</f>
        <v>82.5399904214559</v>
      </c>
      <c r="BV95" s="2223"/>
      <c r="BW95" s="115" t="n">
        <v>60.05</v>
      </c>
      <c r="BX95" s="115" t="n">
        <v>107.2</v>
      </c>
      <c r="BY95" s="115" t="n">
        <v>100.65</v>
      </c>
      <c r="BZ95" s="514"/>
      <c r="CA95" s="1509" t="n">
        <f aca="false">CQ95-CW95</f>
        <v>19.158</v>
      </c>
      <c r="CB95" s="2024" t="n">
        <f aca="false">MAX(CB94-CC94+CC95+V95,0)</f>
        <v>1.147</v>
      </c>
      <c r="CC95" s="485" t="n">
        <v>23.2</v>
      </c>
      <c r="CD95" s="1017" t="n">
        <v>3</v>
      </c>
      <c r="CE95" s="2239" t="n">
        <f aca="false">CB95-CC95</f>
        <v>-22.053</v>
      </c>
      <c r="CF95" s="2215" t="n">
        <f aca="false">CB95-CC95-CD95</f>
        <v>-25.053</v>
      </c>
      <c r="CG95" s="2024" t="n">
        <f aca="false">CH95-CQ95</f>
        <v>27.6943735699619</v>
      </c>
      <c r="CH95" s="115" t="n">
        <f aca="false">CI95+CJ95+CN95</f>
        <v>51.8713735699619</v>
      </c>
      <c r="CI95" s="485" t="n">
        <v>18.6</v>
      </c>
      <c r="CJ95" s="1509" t="n">
        <f aca="false">CK95*CL95*CM95</f>
        <v>9.62137356996187</v>
      </c>
      <c r="CK95" s="485" t="n">
        <v>30.95</v>
      </c>
      <c r="CL95" s="995" t="n">
        <f aca="false">CL$76</f>
        <v>1</v>
      </c>
      <c r="CM95" s="514" t="n">
        <f aca="false">CM94*TableDE15a!I71/TableDE15a!I70</f>
        <v>0.310868289821062</v>
      </c>
      <c r="CN95" s="485" t="n">
        <v>23.65</v>
      </c>
      <c r="CO95" s="2017" t="n">
        <f aca="false">CX95-CP95</f>
        <v>-24.3045</v>
      </c>
      <c r="CP95" s="2017" t="n">
        <f aca="false">CQ95+9*(CQ96-CQ95)/12</f>
        <v>24.6795</v>
      </c>
      <c r="CQ95" s="1509" t="n">
        <f aca="false">(CR94+CS94+CT94)/1000</f>
        <v>24.177</v>
      </c>
      <c r="CR95" s="115" t="n">
        <v>11690</v>
      </c>
      <c r="CS95" s="115" t="n">
        <v>2951</v>
      </c>
      <c r="CT95" s="115" t="n">
        <v>9706</v>
      </c>
      <c r="CU95" s="115" t="n">
        <v>500</v>
      </c>
      <c r="CV95" s="1509" t="n">
        <v>10.774</v>
      </c>
      <c r="CW95" s="1509" t="n">
        <v>5.019</v>
      </c>
      <c r="CX95" s="2019" t="n">
        <f aca="false">CY95+(CU94+9/12*(CU95-CU94))/1000</f>
        <v>0.375</v>
      </c>
      <c r="CY95" s="2019" t="n">
        <f aca="false">CZ95+DA95</f>
        <v>0</v>
      </c>
      <c r="CZ95" s="2017" t="n">
        <v>0</v>
      </c>
      <c r="DA95" s="1509" t="n">
        <v>0</v>
      </c>
      <c r="DB95" s="1509" t="n">
        <v>5.414</v>
      </c>
      <c r="DC95" s="2227"/>
    </row>
    <row r="96" customFormat="false" ht="12" hidden="false" customHeight="false" outlineLevel="0" collapsed="false">
      <c r="A96" s="31" t="n">
        <v>1933</v>
      </c>
      <c r="B96" s="1994" t="n">
        <f aca="false">H96</f>
        <v>51.2088000306728</v>
      </c>
      <c r="C96" s="1994" t="n">
        <f aca="false">C95*E96/E95</f>
        <v>42.1674357978028</v>
      </c>
      <c r="D96" s="1995" t="n">
        <f aca="false">I96+J96+K96+M96+Q96+T96</f>
        <v>57.0258000306728</v>
      </c>
      <c r="E96" s="2044" t="n">
        <v>45.527</v>
      </c>
      <c r="F96" s="384" t="n">
        <v>8.0091</v>
      </c>
      <c r="G96" s="2202" t="n">
        <f aca="false">B96-F96</f>
        <v>43.1997000306728</v>
      </c>
      <c r="H96" s="2000" t="n">
        <f aca="false">I96+J96+O96+Q96+T96</f>
        <v>51.2088000306728</v>
      </c>
      <c r="I96" s="1997" t="n">
        <v>43.3440163089421</v>
      </c>
      <c r="J96" s="1997" t="n">
        <v>7.89678372173065</v>
      </c>
      <c r="K96" s="1997" t="n">
        <v>5.064</v>
      </c>
      <c r="L96" s="1997" t="n">
        <v>1.416</v>
      </c>
      <c r="M96" s="1997" t="n">
        <v>0.44</v>
      </c>
      <c r="N96" s="1997" t="n">
        <v>5.817</v>
      </c>
      <c r="O96" s="1997" t="n">
        <f aca="false">K96+M96-N96</f>
        <v>-0.313</v>
      </c>
      <c r="P96" s="1997" t="n">
        <f aca="false">L96*(1-N96/K96)</f>
        <v>-0.210554502369668</v>
      </c>
      <c r="Q96" s="1997" t="n">
        <f aca="false">R96-S96</f>
        <v>0.979</v>
      </c>
      <c r="R96" s="1997" t="n">
        <v>5.692</v>
      </c>
      <c r="S96" s="1997" t="n">
        <v>4.713</v>
      </c>
      <c r="T96" s="1997" t="n">
        <v>-0.698</v>
      </c>
      <c r="U96" s="1997" t="n">
        <v>-0.149</v>
      </c>
      <c r="V96" s="1999" t="n">
        <v>0.132</v>
      </c>
      <c r="W96" s="395" t="n">
        <f aca="false">AG96+AH96-AC96-AI96</f>
        <v>43.2017000306728</v>
      </c>
      <c r="X96" s="2233" t="n">
        <f aca="false">W96-AD96</f>
        <v>8.70111405019361</v>
      </c>
      <c r="Y96" s="514"/>
      <c r="Z96" s="2234"/>
      <c r="AA96" s="387"/>
      <c r="AB96" s="2009" t="n">
        <f aca="false">T96</f>
        <v>-0.698</v>
      </c>
      <c r="AC96" s="1997" t="n">
        <v>0.849299969327243</v>
      </c>
      <c r="AD96" s="2233" t="n">
        <f aca="false">AH96+AF96</f>
        <v>34.5005859804792</v>
      </c>
      <c r="AE96" s="2008"/>
      <c r="AF96" s="2235" t="n">
        <f aca="false">AJ96*AF$76/AJ$76</f>
        <v>5.47058598047915</v>
      </c>
      <c r="AG96" s="2236" t="n">
        <v>14.716</v>
      </c>
      <c r="AH96" s="2023" t="n">
        <v>29.03</v>
      </c>
      <c r="AI96" s="1999" t="n">
        <v>-0.305</v>
      </c>
      <c r="AJ96" s="2009" t="n">
        <v>8.448</v>
      </c>
      <c r="AK96" s="2207" t="n">
        <v>9034</v>
      </c>
      <c r="AL96" s="2207" t="n">
        <v>2172</v>
      </c>
      <c r="AM96" s="2207" t="n">
        <v>5976</v>
      </c>
      <c r="AN96" s="2208" t="n">
        <v>2.2869</v>
      </c>
      <c r="AO96" s="2023" t="n">
        <v>3.9901</v>
      </c>
      <c r="AP96" s="2023" t="n">
        <v>8.282</v>
      </c>
      <c r="AQ96" s="2023" t="n">
        <v>-1.079</v>
      </c>
      <c r="AR96" s="2023" t="n">
        <v>4.4567990992206</v>
      </c>
      <c r="AS96" s="2023" t="n">
        <f aca="false">F96+AN96+AO96-AP96+AQ96-AC96+AR96</f>
        <v>8.53259912989336</v>
      </c>
      <c r="AT96" s="2023" t="n">
        <f aca="false">AS96-J96-(L96-P96)</f>
        <v>-0.990739094206957</v>
      </c>
      <c r="AU96" s="2023" t="n">
        <f aca="false">P96</f>
        <v>-0.210554502369668</v>
      </c>
      <c r="AV96" s="2023" t="n">
        <f aca="false">AT96-AU96</f>
        <v>-0.780184591837288</v>
      </c>
      <c r="AW96" s="2000" t="n">
        <f aca="false">B96-F96+AC96-AN96-AO96+AP96</f>
        <v>46.054</v>
      </c>
      <c r="AX96" s="218"/>
      <c r="AY96" s="218"/>
      <c r="AZ96" s="2222" t="n">
        <v>20.0333333333333</v>
      </c>
      <c r="BA96" s="401" t="n">
        <v>100</v>
      </c>
      <c r="BB96" s="401" t="n">
        <v>113.9</v>
      </c>
      <c r="BC96" s="401" t="n">
        <v>125.3</v>
      </c>
      <c r="BD96" s="401" t="n">
        <v>41.3714767145239</v>
      </c>
      <c r="BE96" s="401" t="n">
        <f aca="false">1000000*BD96/BI96</f>
        <v>634.356722293292</v>
      </c>
      <c r="BF96" s="401" t="n">
        <f aca="false">100*H96/BD96</f>
        <v>123.778032831725</v>
      </c>
      <c r="BG96" s="401" t="n">
        <v>115.4</v>
      </c>
      <c r="BH96" s="2237"/>
      <c r="BI96" s="218" t="n">
        <v>65218</v>
      </c>
      <c r="BJ96" s="218" t="n">
        <f aca="false">BI96*(1-BN96)</f>
        <v>45073.8533811215</v>
      </c>
      <c r="BK96" s="401" t="n">
        <v>65225</v>
      </c>
      <c r="BL96" s="401"/>
      <c r="BM96" s="401" t="n">
        <f aca="false">BK96*(1-BN96)</f>
        <v>45078.6912628975</v>
      </c>
      <c r="BN96" s="387" t="n">
        <v>0.308874031998506</v>
      </c>
      <c r="BO96" s="218" t="n">
        <v>26687</v>
      </c>
      <c r="BP96" s="218" t="n">
        <f aca="false">BO96-BQ96</f>
        <v>20711</v>
      </c>
      <c r="BQ96" s="218" t="n">
        <v>5976</v>
      </c>
      <c r="BR96" s="388" t="n">
        <f aca="false">BQ96/BO96</f>
        <v>0.223929253943868</v>
      </c>
      <c r="BS96" s="401" t="n">
        <f aca="false">0.555*BT96+CA96+CE96</f>
        <v>178.443683189655</v>
      </c>
      <c r="BT96" s="115" t="n">
        <f aca="false">BU96+BW96+BX96+BY96</f>
        <v>317.642672413793</v>
      </c>
      <c r="BU96" s="2223" t="n">
        <f aca="false">BW96*BU$76/BW$76</f>
        <v>74.8426724137931</v>
      </c>
      <c r="BV96" s="2223"/>
      <c r="BW96" s="115" t="n">
        <v>54.45</v>
      </c>
      <c r="BX96" s="115" t="n">
        <v>97.4</v>
      </c>
      <c r="BY96" s="115" t="n">
        <v>90.95</v>
      </c>
      <c r="BZ96" s="514"/>
      <c r="CA96" s="1509" t="n">
        <f aca="false">CQ96-CW96</f>
        <v>20.252</v>
      </c>
      <c r="CB96" s="2241" t="n">
        <f aca="false">MAX(CB95-CC95+CC96+V96,0)</f>
        <v>0</v>
      </c>
      <c r="CC96" s="485" t="n">
        <v>18.1</v>
      </c>
      <c r="CD96" s="1017" t="n">
        <v>3</v>
      </c>
      <c r="CE96" s="2239" t="n">
        <f aca="false">CB96-CC96</f>
        <v>-18.1</v>
      </c>
      <c r="CF96" s="2215" t="n">
        <f aca="false">CB96-CC96-CD96</f>
        <v>-21.1</v>
      </c>
      <c r="CG96" s="2024" t="n">
        <f aca="false">CH96-CQ96</f>
        <v>24.4579831328835</v>
      </c>
      <c r="CH96" s="115" t="n">
        <f aca="false">CI96+CJ96+CN96</f>
        <v>49.3049831328836</v>
      </c>
      <c r="CI96" s="485" t="n">
        <v>16.65</v>
      </c>
      <c r="CJ96" s="1509" t="n">
        <f aca="false">CK96*CL96*CM96</f>
        <v>11.7049831328835</v>
      </c>
      <c r="CK96" s="485" t="n">
        <v>28.65</v>
      </c>
      <c r="CL96" s="995" t="n">
        <f aca="false">CL$76</f>
        <v>1</v>
      </c>
      <c r="CM96" s="514" t="n">
        <f aca="false">CM95*TableDE15a!I72/TableDE15a!I71</f>
        <v>0.408550894690525</v>
      </c>
      <c r="CN96" s="485" t="n">
        <v>20.95</v>
      </c>
      <c r="CO96" s="2017" t="n">
        <f aca="false">CX96-CP96</f>
        <v>-24.43525</v>
      </c>
      <c r="CP96" s="2017" t="n">
        <f aca="false">CQ96+9*(CQ97-CQ96)/12</f>
        <v>25.65925</v>
      </c>
      <c r="CQ96" s="1509" t="n">
        <f aca="false">(CR95+CS95+CT95+CU95)/1000</f>
        <v>24.847</v>
      </c>
      <c r="CR96" s="115" t="n">
        <v>11793</v>
      </c>
      <c r="CS96" s="115" t="n">
        <v>2886</v>
      </c>
      <c r="CT96" s="115" t="n">
        <v>9851</v>
      </c>
      <c r="CU96" s="115" t="n">
        <v>1400</v>
      </c>
      <c r="CV96" s="1509" t="n">
        <v>10.837</v>
      </c>
      <c r="CW96" s="1509" t="n">
        <v>4.595</v>
      </c>
      <c r="CX96" s="2019" t="n">
        <f aca="false">CY96+(CU95+9/12*(CU96-CU95))/1000</f>
        <v>1.224</v>
      </c>
      <c r="CY96" s="2019" t="n">
        <f aca="false">CZ96+DA96</f>
        <v>0.049</v>
      </c>
      <c r="CZ96" s="2017" t="n">
        <v>0</v>
      </c>
      <c r="DA96" s="1509" t="n">
        <v>0.049</v>
      </c>
      <c r="DB96" s="1509" t="n">
        <v>5.12</v>
      </c>
      <c r="DC96" s="2227"/>
    </row>
    <row r="97" customFormat="false" ht="12" hidden="false" customHeight="false" outlineLevel="0" collapsed="false">
      <c r="A97" s="31" t="n">
        <v>1934</v>
      </c>
      <c r="B97" s="1994" t="n">
        <f aca="false">H97</f>
        <v>57.9260605695827</v>
      </c>
      <c r="C97" s="1994" t="n">
        <f aca="false">C96*E97/E96</f>
        <v>46.7030725211064</v>
      </c>
      <c r="D97" s="1995" t="n">
        <f aca="false">I97+J97+K97+M97+Q97+T97</f>
        <v>63.7540605695827</v>
      </c>
      <c r="E97" s="2044" t="n">
        <v>50.424</v>
      </c>
      <c r="F97" s="384" t="n">
        <v>8.3918</v>
      </c>
      <c r="G97" s="2202" t="n">
        <f aca="false">B97-F97</f>
        <v>49.5342605695827</v>
      </c>
      <c r="H97" s="2000" t="n">
        <f aca="false">I97+J97+O97+Q97+T97</f>
        <v>57.9260605695827</v>
      </c>
      <c r="I97" s="1997" t="n">
        <v>44.8860048929405</v>
      </c>
      <c r="J97" s="1997" t="n">
        <v>10.1730556766422</v>
      </c>
      <c r="K97" s="1997" t="n">
        <v>8.179</v>
      </c>
      <c r="L97" s="1997" t="n">
        <v>2.943</v>
      </c>
      <c r="M97" s="1997" t="n">
        <v>1.05</v>
      </c>
      <c r="N97" s="1997" t="n">
        <v>5.828</v>
      </c>
      <c r="O97" s="1997" t="n">
        <f aca="false">K97+M97-N97</f>
        <v>3.401</v>
      </c>
      <c r="P97" s="1997" t="n">
        <f aca="false">L97*(1-N97/K97)</f>
        <v>0.845946081428047</v>
      </c>
      <c r="Q97" s="1997" t="n">
        <f aca="false">R97-S97</f>
        <v>0.0910000000000002</v>
      </c>
      <c r="R97" s="1997" t="n">
        <v>5.126</v>
      </c>
      <c r="S97" s="1997" t="n">
        <v>5.035</v>
      </c>
      <c r="T97" s="1997" t="n">
        <v>-0.625</v>
      </c>
      <c r="U97" s="1997" t="n">
        <v>0</v>
      </c>
      <c r="V97" s="1999" t="n">
        <v>-0.534</v>
      </c>
      <c r="W97" s="395" t="n">
        <f aca="false">AG97+AH97-AC97-AI97</f>
        <v>49.5342605695827</v>
      </c>
      <c r="X97" s="2233" t="n">
        <f aca="false">W97-AD97</f>
        <v>11.2657675793431</v>
      </c>
      <c r="Y97" s="514"/>
      <c r="Z97" s="2234"/>
      <c r="AA97" s="387"/>
      <c r="AB97" s="2009" t="n">
        <f aca="false">T97</f>
        <v>-0.625</v>
      </c>
      <c r="AC97" s="1997" t="n">
        <v>0.90873943041729</v>
      </c>
      <c r="AD97" s="2233" t="n">
        <f aca="false">AH97+AF97</f>
        <v>38.2684929902396</v>
      </c>
      <c r="AE97" s="2008"/>
      <c r="AF97" s="2235" t="n">
        <f aca="false">AJ97*AF$76/AJ$76</f>
        <v>5.65449299023957</v>
      </c>
      <c r="AG97" s="2236" t="n">
        <v>17.493</v>
      </c>
      <c r="AH97" s="2023" t="n">
        <v>32.614</v>
      </c>
      <c r="AI97" s="1999" t="n">
        <v>-0.336</v>
      </c>
      <c r="AJ97" s="2009" t="n">
        <v>8.732</v>
      </c>
      <c r="AK97" s="2207" t="n">
        <v>9030</v>
      </c>
      <c r="AL97" s="2240" t="n">
        <f aca="false">0.23*AK97</f>
        <v>2076.9</v>
      </c>
      <c r="AM97" s="2207"/>
      <c r="AN97" s="2208" t="n">
        <v>2.7369</v>
      </c>
      <c r="AO97" s="2023" t="n">
        <v>4.4267</v>
      </c>
      <c r="AP97" s="2023" t="n">
        <v>7.665</v>
      </c>
      <c r="AQ97" s="2023" t="n">
        <v>-1.092</v>
      </c>
      <c r="AR97" s="2023" t="n">
        <v>4.40557778024502</v>
      </c>
      <c r="AS97" s="2023" t="n">
        <f aca="false">F97+AN97+AO97-AP97+AQ97-AC97+AR97</f>
        <v>10.2952383498277</v>
      </c>
      <c r="AT97" s="2023" t="n">
        <f aca="false">AS97-J97-(L97-P97)</f>
        <v>-1.97487124538646</v>
      </c>
      <c r="AU97" s="2023" t="n">
        <f aca="false">P97</f>
        <v>0.845946081428047</v>
      </c>
      <c r="AV97" s="2023" t="n">
        <f aca="false">AT97-AU97</f>
        <v>-2.82081732681451</v>
      </c>
      <c r="AW97" s="2000" t="n">
        <f aca="false">B97-F97+AC97-AN97-AO97+AP97</f>
        <v>50.9444</v>
      </c>
      <c r="AX97" s="218"/>
      <c r="AY97" s="218"/>
      <c r="AZ97" s="2222" t="n">
        <v>20.575</v>
      </c>
      <c r="BA97" s="32" t="n">
        <v>100</v>
      </c>
      <c r="BB97" s="401" t="n">
        <v>118.5</v>
      </c>
      <c r="BC97" s="401" t="n">
        <v>126.4</v>
      </c>
      <c r="BD97" s="401" t="n">
        <v>46.6722156678579</v>
      </c>
      <c r="BE97" s="401" t="n">
        <f aca="false">1000000*BD97/BI97</f>
        <v>711.553477068208</v>
      </c>
      <c r="BF97" s="401" t="n">
        <f aca="false">100*H97/BD97</f>
        <v>124.112514781412</v>
      </c>
      <c r="BG97" s="401" t="n">
        <v>117.6</v>
      </c>
      <c r="BH97" s="2237"/>
      <c r="BI97" s="218" t="n">
        <v>65592</v>
      </c>
      <c r="BJ97" s="218" t="n">
        <f aca="false">BI97*(1-BN97)</f>
        <v>45339.5474516436</v>
      </c>
      <c r="BK97" s="401" t="n">
        <v>65243</v>
      </c>
      <c r="BL97" s="401"/>
      <c r="BM97" s="401" t="n">
        <f aca="false">BK97*(1-BN97)</f>
        <v>45098.3061103119</v>
      </c>
      <c r="BN97" s="2242" t="n">
        <f aca="false">BN96+(BN$112-BN$96)/16</f>
        <v>0.308764064952379</v>
      </c>
      <c r="BO97" s="218" t="n">
        <v>28811</v>
      </c>
      <c r="BP97" s="218" t="n">
        <f aca="false">BO97-BQ97</f>
        <v>22892.8333333333</v>
      </c>
      <c r="BQ97" s="2221" t="n">
        <f aca="false">BQ96+(BQ$102-BQ$96)/6</f>
        <v>5918.16666666667</v>
      </c>
      <c r="BR97" s="388" t="n">
        <f aca="false">BQ97/BO97</f>
        <v>0.205413441625305</v>
      </c>
      <c r="BS97" s="401" t="n">
        <f aca="false">0.555*BT97+CA97+CE97</f>
        <v>182.747255028736</v>
      </c>
      <c r="BT97" s="115" t="n">
        <f aca="false">BU97+BW97+BX97+BY97</f>
        <v>319.317576628352</v>
      </c>
      <c r="BU97" s="2223" t="n">
        <f aca="false">BW97*BU$76/BW$76</f>
        <v>75.1175766283525</v>
      </c>
      <c r="BV97" s="2223"/>
      <c r="BW97" s="115" t="n">
        <v>54.65</v>
      </c>
      <c r="BX97" s="115" t="n">
        <v>97.55</v>
      </c>
      <c r="BY97" s="115" t="n">
        <v>92</v>
      </c>
      <c r="BZ97" s="514"/>
      <c r="CA97" s="1509" t="n">
        <f aca="false">CQ97-CW97</f>
        <v>22.776</v>
      </c>
      <c r="CB97" s="2241" t="n">
        <f aca="false">MAX(CB96-CC96+CC97+V97,0)</f>
        <v>0</v>
      </c>
      <c r="CC97" s="2243" t="n">
        <f aca="false">CC96+(CC98-CC96)/2</f>
        <v>17.25</v>
      </c>
      <c r="CD97" s="485" t="n">
        <v>3</v>
      </c>
      <c r="CE97" s="2239" t="n">
        <f aca="false">CB97-CC97</f>
        <v>-17.25</v>
      </c>
      <c r="CF97" s="2215" t="n">
        <f aca="false">CB97-CC97-CD97</f>
        <v>-20.25</v>
      </c>
      <c r="CG97" s="2024" t="n">
        <f aca="false">CH97-CQ97</f>
        <v>25.9025718685832</v>
      </c>
      <c r="CH97" s="115" t="n">
        <f aca="false">CI97+CJ97+CN97</f>
        <v>51.8325718685832</v>
      </c>
      <c r="CI97" s="485" t="n">
        <v>16.9</v>
      </c>
      <c r="CJ97" s="1509" t="n">
        <f aca="false">CK97*CL97*CM97</f>
        <v>13.5325718685832</v>
      </c>
      <c r="CK97" s="485" t="n">
        <v>28.35</v>
      </c>
      <c r="CL97" s="995" t="n">
        <f aca="false">CL$76</f>
        <v>1</v>
      </c>
      <c r="CM97" s="514" t="n">
        <f aca="false">CM96*TableDE15a!I73/TableDE15a!I72</f>
        <v>0.477339395717219</v>
      </c>
      <c r="CN97" s="485" t="n">
        <v>21.4</v>
      </c>
      <c r="CO97" s="2017" t="n">
        <f aca="false">CX97-CP97</f>
        <v>-24.88475</v>
      </c>
      <c r="CP97" s="2017" t="n">
        <f aca="false">CQ97+9*(CQ98-CQ97)/12</f>
        <v>28.42975</v>
      </c>
      <c r="CQ97" s="1509" t="n">
        <f aca="false">(CR96+CS96+CT96+CU96)/1000</f>
        <v>25.93</v>
      </c>
      <c r="CR97" s="115" t="n">
        <v>12452</v>
      </c>
      <c r="CS97" s="115" t="n">
        <v>2887</v>
      </c>
      <c r="CT97" s="115" t="n">
        <v>9724</v>
      </c>
      <c r="CU97" s="115" t="n">
        <v>4200</v>
      </c>
      <c r="CV97" s="1509" t="n">
        <v>10.395</v>
      </c>
      <c r="CW97" s="1509" t="n">
        <v>3.154</v>
      </c>
      <c r="CX97" s="2019" t="n">
        <f aca="false">CY97+(CU96+9/12*(CU97-CU96))/1000</f>
        <v>3.545</v>
      </c>
      <c r="CY97" s="2019" t="n">
        <f aca="false">CZ97+DA97</f>
        <v>0.045</v>
      </c>
      <c r="CZ97" s="2017" t="n">
        <v>0</v>
      </c>
      <c r="DA97" s="1509" t="n">
        <v>0.045</v>
      </c>
      <c r="DB97" s="1509" t="n">
        <v>5.885</v>
      </c>
      <c r="DC97" s="2227"/>
    </row>
    <row r="98" customFormat="false" ht="12" hidden="false" customHeight="false" outlineLevel="0" collapsed="false">
      <c r="A98" s="31" t="n">
        <v>1935</v>
      </c>
      <c r="B98" s="1994" t="n">
        <f aca="false">H98</f>
        <v>64.7971041536662</v>
      </c>
      <c r="C98" s="1994" t="n">
        <f aca="false">C97*E98/E97</f>
        <v>52.5196538203398</v>
      </c>
      <c r="D98" s="1995" t="n">
        <f aca="false">I98+J98+K98+M98+Q98+T98</f>
        <v>71.1971041536662</v>
      </c>
      <c r="E98" s="2044" t="n">
        <v>56.704</v>
      </c>
      <c r="F98" s="384" t="n">
        <v>9.0276</v>
      </c>
      <c r="G98" s="2202" t="n">
        <f aca="false">B98-F98</f>
        <v>55.7695041536662</v>
      </c>
      <c r="H98" s="2000" t="n">
        <f aca="false">I98+J98+O98+Q98+T98</f>
        <v>64.7971041536662</v>
      </c>
      <c r="I98" s="1997" t="n">
        <v>48.4974375880217</v>
      </c>
      <c r="J98" s="1997" t="n">
        <v>9.96666656564449</v>
      </c>
      <c r="K98" s="1997" t="n">
        <v>11.6</v>
      </c>
      <c r="L98" s="1997" t="n">
        <v>4.9</v>
      </c>
      <c r="M98" s="1997" t="n">
        <v>1.24</v>
      </c>
      <c r="N98" s="1997" t="n">
        <v>6.4</v>
      </c>
      <c r="O98" s="1997" t="n">
        <f aca="false">K98+M98-N98</f>
        <v>6.44</v>
      </c>
      <c r="P98" s="1997" t="n">
        <f aca="false">L98*(1-N98/K98)</f>
        <v>2.19655172413793</v>
      </c>
      <c r="Q98" s="1997" t="n">
        <f aca="false">R98-S98</f>
        <v>0.443000000000001</v>
      </c>
      <c r="R98" s="1997" t="n">
        <v>5.272</v>
      </c>
      <c r="S98" s="1997" t="n">
        <v>4.829</v>
      </c>
      <c r="T98" s="1997" t="n">
        <v>-0.55</v>
      </c>
      <c r="U98" s="1997" t="n">
        <v>0</v>
      </c>
      <c r="V98" s="1999" t="n">
        <v>-0.107</v>
      </c>
      <c r="W98" s="395" t="n">
        <f aca="false">AG98+AH98-AC98-AI98</f>
        <v>55.7695041536662</v>
      </c>
      <c r="X98" s="2233" t="n">
        <f aca="false">W98-AD98</f>
        <v>13.7684860525127</v>
      </c>
      <c r="Y98" s="514"/>
      <c r="Z98" s="2234"/>
      <c r="AA98" s="387"/>
      <c r="AB98" s="2009" t="n">
        <f aca="false">T98</f>
        <v>-0.55</v>
      </c>
      <c r="AC98" s="1997" t="n">
        <v>1.07949584633378</v>
      </c>
      <c r="AD98" s="2233" t="n">
        <f aca="false">AH98+AF98</f>
        <v>42.0010181011535</v>
      </c>
      <c r="AE98" s="2008"/>
      <c r="AF98" s="2235" t="n">
        <f aca="false">AJ98*AF$76/AJ$76</f>
        <v>5.95301810115351</v>
      </c>
      <c r="AG98" s="2236" t="n">
        <v>20.45</v>
      </c>
      <c r="AH98" s="2023" t="n">
        <v>36.048</v>
      </c>
      <c r="AI98" s="1999" t="n">
        <v>-0.351</v>
      </c>
      <c r="AJ98" s="2009" t="n">
        <v>9.193</v>
      </c>
      <c r="AK98" s="2207" t="n">
        <v>9030</v>
      </c>
      <c r="AL98" s="2240" t="n">
        <f aca="false">0.23*AK98</f>
        <v>2076.9</v>
      </c>
      <c r="AM98" s="2207"/>
      <c r="AN98" s="2208" t="n">
        <v>3.785</v>
      </c>
      <c r="AO98" s="2023" t="n">
        <v>4.5087</v>
      </c>
      <c r="AP98" s="2023" t="n">
        <v>7.672</v>
      </c>
      <c r="AQ98" s="2023" t="n">
        <v>-1.139</v>
      </c>
      <c r="AR98" s="2023" t="n">
        <v>4.21701501263123</v>
      </c>
      <c r="AS98" s="2023" t="n">
        <f aca="false">F98+AN98+AO98-AP98+AQ98-AC98+AR98</f>
        <v>11.6478191662975</v>
      </c>
      <c r="AT98" s="2023" t="n">
        <f aca="false">AS98-J98-(L98-P98)</f>
        <v>-1.02229567520911</v>
      </c>
      <c r="AU98" s="2023" t="n">
        <f aca="false">P98</f>
        <v>2.19655172413793</v>
      </c>
      <c r="AV98" s="2023" t="n">
        <f aca="false">AT98-AU98</f>
        <v>-3.21884739934704</v>
      </c>
      <c r="AW98" s="2000" t="n">
        <f aca="false">B98-F98+AC98-AN98-AO98+AP98</f>
        <v>56.2273</v>
      </c>
      <c r="AX98" s="218"/>
      <c r="AY98" s="218"/>
      <c r="AZ98" s="2222" t="n">
        <v>20.9166666666667</v>
      </c>
      <c r="BA98" s="401" t="n">
        <v>100</v>
      </c>
      <c r="BB98" s="401" t="n">
        <v>119.2</v>
      </c>
      <c r="BC98" s="401" t="n">
        <v>125.6</v>
      </c>
      <c r="BD98" s="401" t="n">
        <v>52.437510929005</v>
      </c>
      <c r="BE98" s="401" t="n">
        <f aca="false">1000000*BD98/BI98</f>
        <v>784.159215938224</v>
      </c>
      <c r="BF98" s="401" t="n">
        <f aca="false">100*H98/BD98</f>
        <v>123.570137113096</v>
      </c>
      <c r="BG98" s="401" t="n">
        <v>119.8</v>
      </c>
      <c r="BH98" s="2237"/>
      <c r="BI98" s="218" t="n">
        <v>66871</v>
      </c>
      <c r="BJ98" s="218" t="n">
        <f aca="false">BI98*(1-BN98)</f>
        <v>46230.991818911</v>
      </c>
      <c r="BK98" s="401" t="n">
        <v>66871</v>
      </c>
      <c r="BL98" s="387"/>
      <c r="BM98" s="401" t="n">
        <f aca="false">BK98*(1-BN98)</f>
        <v>46230.991818911</v>
      </c>
      <c r="BN98" s="2242" t="n">
        <f aca="false">BN97+(BN$112-BN$96)/16</f>
        <v>0.308654097906253</v>
      </c>
      <c r="BO98" s="218" t="n">
        <v>30086</v>
      </c>
      <c r="BP98" s="218" t="n">
        <f aca="false">BO98-BQ98</f>
        <v>24225.6666666667</v>
      </c>
      <c r="BQ98" s="2221" t="n">
        <f aca="false">BQ97+(BQ$102-BQ$96)/6</f>
        <v>5860.33333333333</v>
      </c>
      <c r="BR98" s="388" t="n">
        <f aca="false">BQ98/BO98</f>
        <v>0.194786057745574</v>
      </c>
      <c r="BS98" s="401" t="n">
        <f aca="false">0.555*BT98+CA98+CE98</f>
        <v>193.67097341954</v>
      </c>
      <c r="BT98" s="115" t="n">
        <f aca="false">BU98+BW98+BX98+BY98</f>
        <v>331.266618773946</v>
      </c>
      <c r="BU98" s="2223" t="n">
        <f aca="false">BW98*BU$76/BW$76</f>
        <v>77.8666187739464</v>
      </c>
      <c r="BV98" s="2223"/>
      <c r="BW98" s="115" t="n">
        <v>56.65</v>
      </c>
      <c r="BX98" s="115" t="n">
        <v>101.2</v>
      </c>
      <c r="BY98" s="115" t="n">
        <v>95.55</v>
      </c>
      <c r="BZ98" s="514"/>
      <c r="CA98" s="1509" t="n">
        <f aca="false">CQ98-CW98</f>
        <v>26.218</v>
      </c>
      <c r="CB98" s="2241" t="n">
        <f aca="false">MAX(CB97-CC97+CC98+V98,0)</f>
        <v>0</v>
      </c>
      <c r="CC98" s="485" t="n">
        <v>16.4</v>
      </c>
      <c r="CD98" s="485" t="n">
        <v>3</v>
      </c>
      <c r="CE98" s="2239" t="n">
        <f aca="false">CB98-CC98</f>
        <v>-16.4</v>
      </c>
      <c r="CF98" s="2215" t="n">
        <f aca="false">CB98-CC98-CD98</f>
        <v>-19.4</v>
      </c>
      <c r="CG98" s="2024" t="n">
        <f aca="false">CH98-CQ98</f>
        <v>28.1107716339102</v>
      </c>
      <c r="CH98" s="115" t="n">
        <f aca="false">CI98+CJ98+CN98</f>
        <v>57.3737716339102</v>
      </c>
      <c r="CI98" s="485" t="n">
        <v>17.95</v>
      </c>
      <c r="CJ98" s="1509" t="n">
        <f aca="false">CK98*CL98*CM98</f>
        <v>16.5737716339102</v>
      </c>
      <c r="CK98" s="485" t="n">
        <v>29.15</v>
      </c>
      <c r="CL98" s="995" t="n">
        <f aca="false">CL$76</f>
        <v>1</v>
      </c>
      <c r="CM98" s="514" t="n">
        <f aca="false">CM97*TableDE15a!I74/TableDE15a!I73</f>
        <v>0.568568495159871</v>
      </c>
      <c r="CN98" s="485" t="n">
        <v>22.85</v>
      </c>
      <c r="CO98" s="2017" t="n">
        <f aca="false">CX98-CP98</f>
        <v>-26.23925</v>
      </c>
      <c r="CP98" s="2017" t="n">
        <f aca="false">CQ98+9*(CQ99-CQ98)/12</f>
        <v>31.69225</v>
      </c>
      <c r="CQ98" s="1509" t="n">
        <f aca="false">(CR97+CS97+CT97+CU97)/1000</f>
        <v>29.263</v>
      </c>
      <c r="CR98" s="115" t="n">
        <v>14372</v>
      </c>
      <c r="CS98" s="115" t="n">
        <v>2850</v>
      </c>
      <c r="CT98" s="115" t="n">
        <v>9480</v>
      </c>
      <c r="CU98" s="115" t="n">
        <v>5800</v>
      </c>
      <c r="CV98" s="1509" t="n">
        <v>12.203</v>
      </c>
      <c r="CW98" s="1509" t="n">
        <v>3.045</v>
      </c>
      <c r="CX98" s="2019" t="n">
        <f aca="false">CY98+(CU97+9/12*(CU98-CU97))/1000</f>
        <v>5.453</v>
      </c>
      <c r="CY98" s="2019" t="n">
        <f aca="false">CZ98+DA98</f>
        <v>0.053</v>
      </c>
      <c r="CZ98" s="2017" t="n">
        <v>0</v>
      </c>
      <c r="DA98" s="1509" t="n">
        <v>0.053</v>
      </c>
      <c r="DB98" s="1509" t="n">
        <v>6.24</v>
      </c>
      <c r="DC98" s="2227"/>
    </row>
    <row r="99" customFormat="false" ht="12" hidden="false" customHeight="false" outlineLevel="0" collapsed="false">
      <c r="A99" s="31" t="n">
        <v>1936</v>
      </c>
      <c r="B99" s="1994" t="n">
        <f aca="false">H99</f>
        <v>72.1712546618537</v>
      </c>
      <c r="C99" s="1994" t="n">
        <f aca="false">C98*E99/E98</f>
        <v>58.6261379773217</v>
      </c>
      <c r="D99" s="1995" t="n">
        <f aca="false">I99+J99+K99+M99+Q99+T99</f>
        <v>79.1712546618537</v>
      </c>
      <c r="E99" s="2044" t="n">
        <v>63.297</v>
      </c>
      <c r="F99" s="384" t="n">
        <v>9.7951</v>
      </c>
      <c r="G99" s="2202" t="n">
        <f aca="false">B99-F99</f>
        <v>62.3761546618537</v>
      </c>
      <c r="H99" s="2000" t="n">
        <f aca="false">I99+J99+O99+Q99+T99</f>
        <v>72.1712546618537</v>
      </c>
      <c r="I99" s="1997" t="n">
        <v>52.6213269600046</v>
      </c>
      <c r="J99" s="1997" t="n">
        <v>10.7149277018491</v>
      </c>
      <c r="K99" s="1997" t="n">
        <v>13.8</v>
      </c>
      <c r="L99" s="1997" t="n">
        <v>5.4</v>
      </c>
      <c r="M99" s="1997" t="n">
        <v>1.42</v>
      </c>
      <c r="N99" s="1997" t="n">
        <v>7</v>
      </c>
      <c r="O99" s="1997" t="n">
        <f aca="false">K99+M99-N99</f>
        <v>8.22</v>
      </c>
      <c r="P99" s="1997" t="n">
        <f aca="false">L99*(1-N99/K99)</f>
        <v>2.66086956521739</v>
      </c>
      <c r="Q99" s="1997" t="n">
        <f aca="false">R99-S99</f>
        <v>1.09</v>
      </c>
      <c r="R99" s="1997" t="n">
        <v>6.45</v>
      </c>
      <c r="S99" s="1997" t="n">
        <v>5.36</v>
      </c>
      <c r="T99" s="1997" t="n">
        <v>-0.475</v>
      </c>
      <c r="U99" s="1997" t="n">
        <v>0</v>
      </c>
      <c r="V99" s="1999" t="n">
        <v>0.615</v>
      </c>
      <c r="W99" s="395" t="n">
        <f aca="false">AG99+AH99-AC99-AI99</f>
        <v>62.3761546618537</v>
      </c>
      <c r="X99" s="2233" t="n">
        <f aca="false">W99-AD99</f>
        <v>16.1621871374527</v>
      </c>
      <c r="Y99" s="514"/>
      <c r="Z99" s="2234"/>
      <c r="AA99" s="387"/>
      <c r="AB99" s="2009" t="n">
        <f aca="false">T99</f>
        <v>-0.475</v>
      </c>
      <c r="AC99" s="1997" t="n">
        <v>1.22284533814629</v>
      </c>
      <c r="AD99" s="2233" t="n">
        <f aca="false">AH99+AF99</f>
        <v>46.2139675244011</v>
      </c>
      <c r="AE99" s="2008"/>
      <c r="AF99" s="2235" t="n">
        <f aca="false">AJ99*AF$76/AJ$76</f>
        <v>7.02796752440106</v>
      </c>
      <c r="AG99" s="2236" t="n">
        <v>24.05</v>
      </c>
      <c r="AH99" s="2023" t="n">
        <v>39.186</v>
      </c>
      <c r="AI99" s="1999" t="n">
        <v>-0.363</v>
      </c>
      <c r="AJ99" s="2009" t="n">
        <v>10.853</v>
      </c>
      <c r="AK99" s="2207" t="n">
        <v>9020</v>
      </c>
      <c r="AL99" s="2240" t="n">
        <f aca="false">0.23*AK99</f>
        <v>2074.6</v>
      </c>
      <c r="AM99" s="2207"/>
      <c r="AN99" s="2208" t="n">
        <v>5.0348</v>
      </c>
      <c r="AO99" s="2023" t="n">
        <v>4.9412</v>
      </c>
      <c r="AP99" s="2023" t="n">
        <v>7.542</v>
      </c>
      <c r="AQ99" s="2023" t="n">
        <v>-1.175</v>
      </c>
      <c r="AR99" s="2023" t="n">
        <v>4.61539204159609</v>
      </c>
      <c r="AS99" s="2023" t="n">
        <f aca="false">F99+AN99+AO99-AP99+AQ99-AC99+AR99</f>
        <v>14.4466467034498</v>
      </c>
      <c r="AT99" s="2023" t="n">
        <f aca="false">AS99-J99-(L99-P99)</f>
        <v>0.992588566818115</v>
      </c>
      <c r="AU99" s="2023" t="n">
        <f aca="false">P99</f>
        <v>2.66086956521739</v>
      </c>
      <c r="AV99" s="2023" t="n">
        <f aca="false">AT99-AU99</f>
        <v>-1.66828099839928</v>
      </c>
      <c r="AW99" s="2000" t="n">
        <f aca="false">B99-F99+AC99-AN99-AO99+AP99</f>
        <v>61.165</v>
      </c>
      <c r="AX99" s="218"/>
      <c r="AY99" s="218"/>
      <c r="AZ99" s="2222" t="n">
        <v>21.1333333333333</v>
      </c>
      <c r="BA99" s="32" t="n">
        <v>100</v>
      </c>
      <c r="BB99" s="401" t="n">
        <v>119.2</v>
      </c>
      <c r="BC99" s="401" t="n">
        <v>125.1</v>
      </c>
      <c r="BD99" s="401" t="n">
        <v>58.6645398416392</v>
      </c>
      <c r="BE99" s="401" t="n">
        <f aca="false">1000000*BD99/BI99</f>
        <v>871.05287148494</v>
      </c>
      <c r="BF99" s="401" t="n">
        <f aca="false">100*H99/BD99</f>
        <v>123.023644021883</v>
      </c>
      <c r="BG99" s="401" t="n">
        <v>120.9</v>
      </c>
      <c r="BH99" s="2237"/>
      <c r="BI99" s="218" t="n">
        <v>67349</v>
      </c>
      <c r="BJ99" s="218" t="n">
        <f aca="false">BI99*(1-BN99)</f>
        <v>46568.8613307014</v>
      </c>
      <c r="BK99" s="401" t="n">
        <v>67349</v>
      </c>
      <c r="BL99" s="401"/>
      <c r="BM99" s="401" t="n">
        <f aca="false">BK99*(1-BN99)</f>
        <v>46568.8613307014</v>
      </c>
      <c r="BN99" s="2242" t="n">
        <f aca="false">BN98+(BN$112-BN$96)/16</f>
        <v>0.308544130860126</v>
      </c>
      <c r="BO99" s="218" t="n">
        <v>31409</v>
      </c>
      <c r="BP99" s="218" t="n">
        <f aca="false">BO99-BQ99</f>
        <v>25606.5</v>
      </c>
      <c r="BQ99" s="2221" t="n">
        <f aca="false">BQ98+(BQ$102-BQ$96)/6</f>
        <v>5802.5</v>
      </c>
      <c r="BR99" s="388" t="n">
        <f aca="false">BQ99/BO99</f>
        <v>0.184740042662931</v>
      </c>
      <c r="BS99" s="401" t="n">
        <f aca="false">0.555*BT99+CA99+CE99</f>
        <v>204.205119971264</v>
      </c>
      <c r="BT99" s="115" t="n">
        <f aca="false">BU99+BW99+BX99+BY99</f>
        <v>340.340756704981</v>
      </c>
      <c r="BU99" s="2223" t="n">
        <f aca="false">BW99*BU$76/BW$76</f>
        <v>80.3407567049809</v>
      </c>
      <c r="BV99" s="2223"/>
      <c r="BW99" s="115" t="n">
        <v>58.45</v>
      </c>
      <c r="BX99" s="115" t="n">
        <v>104.2</v>
      </c>
      <c r="BY99" s="115" t="n">
        <v>97.35</v>
      </c>
      <c r="BZ99" s="514"/>
      <c r="CA99" s="1509" t="n">
        <f aca="false">CQ99-CW99</f>
        <v>30.116</v>
      </c>
      <c r="CB99" s="2241" t="n">
        <f aca="false">MAX(CB98-CC98+CC99+V99,0)</f>
        <v>0</v>
      </c>
      <c r="CC99" s="485" t="n">
        <v>14.8</v>
      </c>
      <c r="CD99" s="485" t="n">
        <v>3</v>
      </c>
      <c r="CE99" s="2239" t="n">
        <f aca="false">CB99-CC99</f>
        <v>-14.8</v>
      </c>
      <c r="CF99" s="2215" t="n">
        <f aca="false">CB99-CC99-CD99</f>
        <v>-17.8</v>
      </c>
      <c r="CG99" s="2024" t="n">
        <f aca="false">CH99-CQ99</f>
        <v>29.8574749193312</v>
      </c>
      <c r="CH99" s="115" t="n">
        <f aca="false">CI99+CJ99+CN99</f>
        <v>62.3594749193312</v>
      </c>
      <c r="CI99" s="485" t="n">
        <v>18.95</v>
      </c>
      <c r="CJ99" s="1509" t="n">
        <f aca="false">CK99*CL99*CM99</f>
        <v>19.0594749193312</v>
      </c>
      <c r="CK99" s="485" t="n">
        <v>29.5</v>
      </c>
      <c r="CL99" s="995" t="n">
        <f aca="false">CL$76</f>
        <v>1</v>
      </c>
      <c r="CM99" s="514" t="n">
        <f aca="false">CM98*TableDE15a!I75/TableDE15a!I74</f>
        <v>0.646083895570549</v>
      </c>
      <c r="CN99" s="485" t="n">
        <v>24.35</v>
      </c>
      <c r="CO99" s="2017" t="n">
        <f aca="false">CX99-CP99</f>
        <v>-27.47025</v>
      </c>
      <c r="CP99" s="2017" t="n">
        <f aca="false">CQ99+9*(CQ100-CQ99)/12</f>
        <v>36.40725</v>
      </c>
      <c r="CQ99" s="1509" t="n">
        <f aca="false">(CR98+CS98+CT98+CU98)/1000</f>
        <v>32.502</v>
      </c>
      <c r="CR99" s="115" t="n">
        <v>16058</v>
      </c>
      <c r="CS99" s="115" t="n">
        <v>2758</v>
      </c>
      <c r="CT99" s="115" t="n">
        <v>8993</v>
      </c>
      <c r="CU99" s="115" t="n">
        <v>9900</v>
      </c>
      <c r="CV99" s="1509" t="n">
        <v>14.395</v>
      </c>
      <c r="CW99" s="1509" t="n">
        <v>2.386</v>
      </c>
      <c r="CX99" s="2019" t="n">
        <f aca="false">CY99+(CU98+9/12*(CU99-CU98))/1000</f>
        <v>8.937</v>
      </c>
      <c r="CY99" s="2019" t="n">
        <f aca="false">CZ99+DA99</f>
        <v>0.062</v>
      </c>
      <c r="CZ99" s="2017" t="n">
        <v>0</v>
      </c>
      <c r="DA99" s="1509" t="n">
        <v>0.062</v>
      </c>
      <c r="DB99" s="1509" t="n">
        <v>6.946</v>
      </c>
      <c r="DC99" s="2227"/>
    </row>
    <row r="100" customFormat="false" ht="12" hidden="false" customHeight="false" outlineLevel="0" collapsed="false">
      <c r="A100" s="31" t="n">
        <v>1937</v>
      </c>
      <c r="B100" s="1994" t="n">
        <f aca="false">H100</f>
        <v>81.2178823542437</v>
      </c>
      <c r="C100" s="1994" t="n">
        <f aca="false">C99*E100/E99</f>
        <v>65.1688657317461</v>
      </c>
      <c r="D100" s="1995" t="n">
        <f aca="false">I100+J100+K100+M100+Q100+T100</f>
        <v>88.6178823542438</v>
      </c>
      <c r="E100" s="2044" t="n">
        <v>70.361</v>
      </c>
      <c r="F100" s="384" t="n">
        <v>11.1073</v>
      </c>
      <c r="G100" s="2202" t="n">
        <f aca="false">B100-F100</f>
        <v>70.1105823542438</v>
      </c>
      <c r="H100" s="2000" t="n">
        <f aca="false">I100+J100+O100+Q100+T100</f>
        <v>81.2178823542437</v>
      </c>
      <c r="I100" s="1997" t="n">
        <v>55.0854889620059</v>
      </c>
      <c r="J100" s="1997" t="n">
        <v>15.6833933922379</v>
      </c>
      <c r="K100" s="1997" t="n">
        <v>16</v>
      </c>
      <c r="L100" s="1997" t="n">
        <v>6.1</v>
      </c>
      <c r="M100" s="1997" t="n">
        <v>1.59</v>
      </c>
      <c r="N100" s="1997" t="n">
        <v>7.4</v>
      </c>
      <c r="O100" s="1997" t="n">
        <f aca="false">K100+M100-N100</f>
        <v>10.19</v>
      </c>
      <c r="P100" s="1997" t="n">
        <f aca="false">L100*(1-N100/K100)</f>
        <v>3.27875</v>
      </c>
      <c r="Q100" s="1997" t="n">
        <f aca="false">R100-S100</f>
        <v>0.749999999999999</v>
      </c>
      <c r="R100" s="1997" t="n">
        <v>8.203</v>
      </c>
      <c r="S100" s="1997" t="n">
        <v>7.453</v>
      </c>
      <c r="T100" s="1997" t="n">
        <v>-0.491</v>
      </c>
      <c r="U100" s="1997" t="n">
        <v>0</v>
      </c>
      <c r="V100" s="1999" t="n">
        <v>0.259</v>
      </c>
      <c r="W100" s="395" t="n">
        <f aca="false">AG100+AH100-AC100-AI100</f>
        <v>70.1105823542437</v>
      </c>
      <c r="X100" s="2233" t="n">
        <f aca="false">W100-AD100</f>
        <v>20.4767603489199</v>
      </c>
      <c r="Y100" s="514"/>
      <c r="Z100" s="2234"/>
      <c r="AA100" s="387"/>
      <c r="AB100" s="2009" t="n">
        <f aca="false">T100</f>
        <v>-0.491</v>
      </c>
      <c r="AC100" s="1997" t="n">
        <v>1.36641764575627</v>
      </c>
      <c r="AD100" s="2233" t="n">
        <f aca="false">AH100+AF100</f>
        <v>49.6338220053239</v>
      </c>
      <c r="AE100" s="2008"/>
      <c r="AF100" s="2235" t="n">
        <f aca="false">AJ100*AF$76/AJ$76</f>
        <v>6.53582200532387</v>
      </c>
      <c r="AG100" s="2236" t="n">
        <v>27.99</v>
      </c>
      <c r="AH100" s="2023" t="n">
        <v>43.098</v>
      </c>
      <c r="AI100" s="1999" t="n">
        <v>-0.389</v>
      </c>
      <c r="AJ100" s="2009" t="n">
        <v>10.093</v>
      </c>
      <c r="AK100" s="2207" t="n">
        <v>9010</v>
      </c>
      <c r="AL100" s="2240" t="n">
        <f aca="false">0.23*AK100</f>
        <v>2072.3</v>
      </c>
      <c r="AM100" s="2207"/>
      <c r="AN100" s="2208" t="n">
        <v>6.5535</v>
      </c>
      <c r="AO100" s="2023" t="n">
        <v>5.4718</v>
      </c>
      <c r="AP100" s="2023" t="n">
        <v>7.35</v>
      </c>
      <c r="AQ100" s="2023" t="n">
        <v>-1.215</v>
      </c>
      <c r="AR100" s="2023" t="n">
        <v>4.97643790318646</v>
      </c>
      <c r="AS100" s="2023" t="n">
        <f aca="false">F100+AN100+AO100-AP100+AQ100-AC100+AR100</f>
        <v>18.1776202574302</v>
      </c>
      <c r="AT100" s="2023" t="n">
        <f aca="false">AS100-J100-(L100-P100)</f>
        <v>-0.32702313480771</v>
      </c>
      <c r="AU100" s="2023" t="n">
        <f aca="false">P100</f>
        <v>3.27875</v>
      </c>
      <c r="AV100" s="2023" t="n">
        <f aca="false">AT100-AU100</f>
        <v>-3.60577313480771</v>
      </c>
      <c r="AW100" s="2000" t="n">
        <f aca="false">B100-F100+AC100-AN100-AO100+AP100</f>
        <v>66.8017</v>
      </c>
      <c r="AX100" s="218"/>
      <c r="AY100" s="218"/>
      <c r="AZ100" s="2222" t="n">
        <v>21.2333333333333</v>
      </c>
      <c r="BA100" s="401" t="n">
        <v>100</v>
      </c>
      <c r="BB100" s="401" t="n">
        <v>119.8</v>
      </c>
      <c r="BC100" s="401" t="n">
        <v>126</v>
      </c>
      <c r="BD100" s="401" t="n">
        <v>65.499605529659</v>
      </c>
      <c r="BE100" s="401" t="n">
        <f aca="false">1000000*BD100/BI100</f>
        <v>965.629366066533</v>
      </c>
      <c r="BF100" s="401" t="n">
        <f aca="false">100*H100/BD100</f>
        <v>123.997513721617</v>
      </c>
      <c r="BG100" s="401" t="n">
        <v>121.6</v>
      </c>
      <c r="BH100" s="2237"/>
      <c r="BI100" s="218" t="n">
        <v>67831</v>
      </c>
      <c r="BJ100" s="218" t="n">
        <f aca="false">BI100*(1-BN100)</f>
        <v>46909.6022343326</v>
      </c>
      <c r="BK100" s="401" t="n">
        <v>67831</v>
      </c>
      <c r="BL100" s="401"/>
      <c r="BM100" s="401" t="n">
        <f aca="false">BK100*(1-BN100)</f>
        <v>46909.6022343326</v>
      </c>
      <c r="BN100" s="2242" t="n">
        <f aca="false">BN99+(BN$112-BN$96)/16</f>
        <v>0.308434163814</v>
      </c>
      <c r="BO100" s="218" t="n">
        <v>32739</v>
      </c>
      <c r="BP100" s="218" t="n">
        <f aca="false">BO100-BQ100</f>
        <v>26994.3333333333</v>
      </c>
      <c r="BQ100" s="2221" t="n">
        <f aca="false">BQ99+(BQ$102-BQ$96)/6</f>
        <v>5744.66666666667</v>
      </c>
      <c r="BR100" s="388" t="n">
        <f aca="false">BQ100/BO100</f>
        <v>0.175468605231274</v>
      </c>
      <c r="BS100" s="401" t="n">
        <f aca="false">0.555*BT100+CA100+CE100</f>
        <v>217.709230603448</v>
      </c>
      <c r="BT100" s="115" t="n">
        <f aca="false">BU100+BW100+BX100+BY100</f>
        <v>353.427442528736</v>
      </c>
      <c r="BU100" s="2223" t="n">
        <f aca="false">BW100*BU$76/BW$76</f>
        <v>82.6774425287356</v>
      </c>
      <c r="BV100" s="2223"/>
      <c r="BW100" s="115" t="n">
        <v>60.15</v>
      </c>
      <c r="BX100" s="115" t="n">
        <v>110.25</v>
      </c>
      <c r="BY100" s="115" t="n">
        <v>100.35</v>
      </c>
      <c r="BZ100" s="514"/>
      <c r="CA100" s="1509" t="n">
        <f aca="false">CQ100-CW100</f>
        <v>35.457</v>
      </c>
      <c r="CB100" s="2241" t="n">
        <f aca="false">MAX(CB99-CC99+CC100+V100,0)</f>
        <v>0</v>
      </c>
      <c r="CC100" s="485" t="n">
        <v>13.9</v>
      </c>
      <c r="CD100" s="485" t="n">
        <v>3</v>
      </c>
      <c r="CE100" s="2239" t="n">
        <f aca="false">CB100-CC100</f>
        <v>-13.9</v>
      </c>
      <c r="CF100" s="2215" t="n">
        <f aca="false">CB100-CC100-CD100</f>
        <v>-16.9</v>
      </c>
      <c r="CG100" s="2024" t="n">
        <f aca="false">CH100-CQ100</f>
        <v>30.7155379876797</v>
      </c>
      <c r="CH100" s="115" t="n">
        <f aca="false">CI100+CJ100+CN100</f>
        <v>68.4245379876797</v>
      </c>
      <c r="CI100" s="485" t="n">
        <v>20.35</v>
      </c>
      <c r="CJ100" s="1509" t="n">
        <f aca="false">CK100*CL100*CM100</f>
        <v>21.9745379876797</v>
      </c>
      <c r="CK100" s="485" t="n">
        <v>29.4</v>
      </c>
      <c r="CL100" s="995" t="n">
        <f aca="false">CL$76</f>
        <v>1</v>
      </c>
      <c r="CM100" s="514" t="n">
        <f aca="false">CM99*TableDE15a!I76/TableDE15a!I75</f>
        <v>0.747433264887064</v>
      </c>
      <c r="CN100" s="485" t="n">
        <v>26.1</v>
      </c>
      <c r="CO100" s="2017" t="n">
        <f aca="false">CX100-CP100</f>
        <v>-29.574</v>
      </c>
      <c r="CP100" s="2017" t="n">
        <f aca="false">CQ100+9*(CQ101-CQ100)/12</f>
        <v>41.468</v>
      </c>
      <c r="CQ100" s="1509" t="n">
        <f aca="false">(CR99+CS99+CT99+CU99)/1000</f>
        <v>37.709</v>
      </c>
      <c r="CR100" s="115" t="n">
        <v>19098</v>
      </c>
      <c r="CS100" s="115" t="n">
        <v>2555</v>
      </c>
      <c r="CT100" s="115" t="n">
        <v>8668</v>
      </c>
      <c r="CU100" s="115" t="n">
        <v>12400</v>
      </c>
      <c r="CV100" s="1509" t="n">
        <v>17.044</v>
      </c>
      <c r="CW100" s="1509" t="n">
        <v>2.252</v>
      </c>
      <c r="CX100" s="2019" t="n">
        <f aca="false">CY100+(CU99+9/12*(CU100-CU99))/1000</f>
        <v>11.894</v>
      </c>
      <c r="CY100" s="2019" t="n">
        <f aca="false">CZ100+DA100</f>
        <v>0.119</v>
      </c>
      <c r="CZ100" s="2017" t="n">
        <v>0</v>
      </c>
      <c r="DA100" s="1509" t="n">
        <v>0.119</v>
      </c>
      <c r="DB100" s="1509" t="n">
        <v>7.521</v>
      </c>
      <c r="DC100" s="2227"/>
    </row>
    <row r="101" customFormat="false" ht="12" hidden="false" customHeight="false" outlineLevel="0" collapsed="false">
      <c r="A101" s="31" t="n">
        <v>1938</v>
      </c>
      <c r="B101" s="1994" t="n">
        <f aca="false">H101</f>
        <v>90.9199159348286</v>
      </c>
      <c r="C101" s="1994" t="n">
        <f aca="false">C100*E101/E100</f>
        <v>71.3883471687449</v>
      </c>
      <c r="D101" s="1995" t="n">
        <f aca="false">I101+J101+K101+M101+Q101+T101</f>
        <v>98.7199159348286</v>
      </c>
      <c r="E101" s="2044" t="n">
        <v>77.076</v>
      </c>
      <c r="F101" s="384" t="n">
        <v>12.7827</v>
      </c>
      <c r="G101" s="2202" t="n">
        <f aca="false">B101-F101</f>
        <v>78.1372159348286</v>
      </c>
      <c r="H101" s="2000" t="n">
        <f aca="false">I101+J101+O101+Q101+T101</f>
        <v>90.9199159348286</v>
      </c>
      <c r="I101" s="1997" t="n">
        <v>56.3179277621166</v>
      </c>
      <c r="J101" s="1997" t="n">
        <v>22.197988172712</v>
      </c>
      <c r="K101" s="1997" t="n">
        <v>19</v>
      </c>
      <c r="L101" s="1997" t="n">
        <v>7.9</v>
      </c>
      <c r="M101" s="1997" t="n">
        <v>1.77</v>
      </c>
      <c r="N101" s="1997" t="n">
        <v>7.8</v>
      </c>
      <c r="O101" s="1997" t="n">
        <f aca="false">K101+M101-N101</f>
        <v>12.97</v>
      </c>
      <c r="P101" s="1997" t="n">
        <f aca="false">L101*(1-N101/K101)</f>
        <v>4.65684210526316</v>
      </c>
      <c r="Q101" s="1997" t="n">
        <f aca="false">R101-S101</f>
        <v>-0.0960000000000001</v>
      </c>
      <c r="R101" s="1997" t="n">
        <v>7.763</v>
      </c>
      <c r="S101" s="1997" t="n">
        <v>7.859</v>
      </c>
      <c r="T101" s="1997" t="n">
        <v>-0.47</v>
      </c>
      <c r="U101" s="1997" t="n">
        <v>0</v>
      </c>
      <c r="V101" s="1999" t="n">
        <v>-0.566</v>
      </c>
      <c r="W101" s="395" t="n">
        <f aca="false">AG101+AH101-AC101-AI101</f>
        <v>78.1372159348286</v>
      </c>
      <c r="X101" s="2233" t="n">
        <f aca="false">W101-AD101</f>
        <v>23.4855962365145</v>
      </c>
      <c r="Y101" s="514"/>
      <c r="Z101" s="2234"/>
      <c r="AA101" s="387"/>
      <c r="AB101" s="2009" t="n">
        <f aca="false">T101</f>
        <v>-0.47</v>
      </c>
      <c r="AC101" s="1997" t="n">
        <v>1.66078406517143</v>
      </c>
      <c r="AD101" s="2233" t="n">
        <f aca="false">AH101+AF101</f>
        <v>54.6516196983141</v>
      </c>
      <c r="AE101" s="2008"/>
      <c r="AF101" s="2235" t="n">
        <f aca="false">AJ101*AF$76/AJ$76</f>
        <v>7.18661969831411</v>
      </c>
      <c r="AG101" s="2236" t="n">
        <v>32.11</v>
      </c>
      <c r="AH101" s="2023" t="n">
        <v>47.465</v>
      </c>
      <c r="AI101" s="1999" t="n">
        <v>-0.223</v>
      </c>
      <c r="AJ101" s="2009" t="n">
        <v>11.098</v>
      </c>
      <c r="AK101" s="2207" t="n">
        <v>9010</v>
      </c>
      <c r="AL101" s="2240" t="n">
        <f aca="false">0.23*AK101</f>
        <v>2072.3</v>
      </c>
      <c r="AM101" s="2207"/>
      <c r="AN101" s="2208" t="n">
        <v>8.5732</v>
      </c>
      <c r="AO101" s="2023" t="n">
        <v>5.8248</v>
      </c>
      <c r="AP101" s="2023" t="n">
        <v>7.719</v>
      </c>
      <c r="AQ101" s="2023" t="n">
        <v>-1.448</v>
      </c>
      <c r="AR101" s="2023" t="n">
        <v>5.9679682433703</v>
      </c>
      <c r="AS101" s="2023" t="n">
        <f aca="false">F101+AN101+AO101-AP101+AQ101-AC101+AR101</f>
        <v>22.3208841781989</v>
      </c>
      <c r="AT101" s="2023" t="n">
        <f aca="false">AS101-J101-(L101-P101)</f>
        <v>-3.12026188925</v>
      </c>
      <c r="AU101" s="2023" t="n">
        <f aca="false">P101</f>
        <v>4.65684210526316</v>
      </c>
      <c r="AV101" s="2023" t="n">
        <f aca="false">AT101-AU101</f>
        <v>-7.77710399451316</v>
      </c>
      <c r="AW101" s="2000" t="n">
        <f aca="false">B101-F101+AC101-AN101-AO101+AP101</f>
        <v>73.119</v>
      </c>
      <c r="AX101" s="218"/>
      <c r="AY101" s="218"/>
      <c r="AZ101" s="2222" t="n">
        <v>21.3333333333333</v>
      </c>
      <c r="BA101" s="401"/>
      <c r="BB101" s="401" t="n">
        <v>120.7</v>
      </c>
      <c r="BC101" s="401" t="n">
        <v>128.1</v>
      </c>
      <c r="BD101" s="401" t="n">
        <v>71.4528053127032</v>
      </c>
      <c r="BE101" s="401" t="n">
        <f aca="false">1000000*BD101/BI101</f>
        <v>1042.22417971211</v>
      </c>
      <c r="BF101" s="401" t="n">
        <f aca="false">100*H101/BD101</f>
        <v>127.244711438453</v>
      </c>
      <c r="BG101" s="2244" t="n">
        <v>123.7</v>
      </c>
      <c r="BH101" s="2237"/>
      <c r="BI101" s="218" t="n">
        <v>68558</v>
      </c>
      <c r="BJ101" s="218" t="n">
        <f aca="false">BI101*(1-BN101)</f>
        <v>47419.9097179882</v>
      </c>
      <c r="BK101" s="401" t="n">
        <v>75396</v>
      </c>
      <c r="BL101" s="401"/>
      <c r="BM101" s="401" t="n">
        <f aca="false">BK101*(1-BN101)</f>
        <v>52149.5888604894</v>
      </c>
      <c r="BN101" s="2242" t="n">
        <f aca="false">BN100+(BN$112-BN$96)/16</f>
        <v>0.308324196767873</v>
      </c>
      <c r="BO101" s="218" t="n">
        <v>33881</v>
      </c>
      <c r="BP101" s="218" t="n">
        <f aca="false">BO101-BQ101</f>
        <v>28194.1666666667</v>
      </c>
      <c r="BQ101" s="2221" t="n">
        <f aca="false">BQ100+(BQ$102-BQ$96)/6</f>
        <v>5686.83333333334</v>
      </c>
      <c r="BR101" s="388" t="n">
        <f aca="false">BQ101/BO101</f>
        <v>0.167847269364344</v>
      </c>
      <c r="BS101" s="401" t="n">
        <f aca="false">0.555*BT101+CA101+CE101</f>
        <v>232.121805316092</v>
      </c>
      <c r="BT101" s="115" t="n">
        <f aca="false">BU101+BW101+BX101+BY101</f>
        <v>369.226676245211</v>
      </c>
      <c r="BU101" s="2223" t="n">
        <f aca="false">BW101*BU$76/BW$76</f>
        <v>84.8766762452107</v>
      </c>
      <c r="BV101" s="2223"/>
      <c r="BW101" s="115" t="n">
        <v>61.75</v>
      </c>
      <c r="BX101" s="115" t="n">
        <v>119.1</v>
      </c>
      <c r="BY101" s="115" t="n">
        <v>103.5</v>
      </c>
      <c r="BZ101" s="514"/>
      <c r="CA101" s="1509" t="n">
        <f aca="false">CQ101-CW101</f>
        <v>40.601</v>
      </c>
      <c r="CB101" s="2213" t="n">
        <f aca="false">CB100</f>
        <v>0</v>
      </c>
      <c r="CC101" s="2214" t="n">
        <f aca="false">CC$103</f>
        <v>13.4</v>
      </c>
      <c r="CD101" s="2214" t="n">
        <v>3</v>
      </c>
      <c r="CE101" s="2239" t="n">
        <f aca="false">CB101-CC101</f>
        <v>-13.4</v>
      </c>
      <c r="CF101" s="2215" t="n">
        <f aca="false">CB101-CC101-CD101</f>
        <v>-16.4</v>
      </c>
      <c r="CG101" s="2024" t="n">
        <f aca="false">CH101-CQ101</f>
        <v>30.1375948958639</v>
      </c>
      <c r="CH101" s="115" t="n">
        <f aca="false">CI101+CJ101+CN101</f>
        <v>72.8585948958639</v>
      </c>
      <c r="CI101" s="485" t="n">
        <v>21.85</v>
      </c>
      <c r="CJ101" s="1509" t="n">
        <f aca="false">CK101*CL101*CM101</f>
        <v>22.6085948958639</v>
      </c>
      <c r="CK101" s="485" t="n">
        <v>29.85</v>
      </c>
      <c r="CL101" s="995" t="n">
        <f aca="false">CL$76</f>
        <v>1</v>
      </c>
      <c r="CM101" s="514" t="n">
        <f aca="false">CM100*TableDE15a!I77/TableDE15a!I76</f>
        <v>0.757406864183045</v>
      </c>
      <c r="CN101" s="485" t="n">
        <v>28.4</v>
      </c>
      <c r="CO101" s="2017" t="n">
        <f aca="false">CX101-CP101</f>
        <v>-38.38775</v>
      </c>
      <c r="CP101" s="2017" t="n">
        <f aca="false">CQ101+9*(CQ102-CQ101)/12</f>
        <v>50.60875</v>
      </c>
      <c r="CQ101" s="1509" t="n">
        <f aca="false">(CR100+CS100+CT100+CU100)/1000</f>
        <v>42.721</v>
      </c>
      <c r="CR101" s="115" t="n">
        <v>30676</v>
      </c>
      <c r="CS101" s="115" t="n">
        <v>2112</v>
      </c>
      <c r="CT101" s="115" t="n">
        <v>8450</v>
      </c>
      <c r="CU101" s="115" t="n">
        <v>12000</v>
      </c>
      <c r="CV101" s="1509" t="n">
        <v>24.13</v>
      </c>
      <c r="CW101" s="1509" t="n">
        <v>2.12</v>
      </c>
      <c r="CX101" s="2019" t="n">
        <f aca="false">CY101+(CU100+9/12*(CU101-CU100))/1000</f>
        <v>12.221</v>
      </c>
      <c r="CY101" s="2019" t="n">
        <f aca="false">CZ101+DA101</f>
        <v>0.121</v>
      </c>
      <c r="CZ101" s="2017" t="n">
        <v>0</v>
      </c>
      <c r="DA101" s="1509" t="n">
        <v>0.121</v>
      </c>
      <c r="DB101" s="1509" t="n">
        <v>10.841</v>
      </c>
      <c r="DC101" s="2227"/>
    </row>
    <row r="102" customFormat="false" ht="12" hidden="false" customHeight="false" outlineLevel="0" collapsed="false">
      <c r="A102" s="31" t="n">
        <v>1939</v>
      </c>
      <c r="B102" s="2245" t="n">
        <f aca="false">B101*D102/D101</f>
        <v>109.816837196195</v>
      </c>
      <c r="C102" s="1994" t="n">
        <f aca="false">C101*E102/E101</f>
        <v>84.8729979865061</v>
      </c>
      <c r="D102" s="111" t="n">
        <v>119.238</v>
      </c>
      <c r="E102" s="111" t="n">
        <v>91.635</v>
      </c>
      <c r="F102" s="2246" t="n">
        <f aca="false">F101*B102/B101</f>
        <v>15.4394740733594</v>
      </c>
      <c r="G102" s="2202" t="n">
        <f aca="false">B102-F102</f>
        <v>94.3773631228353</v>
      </c>
      <c r="H102" s="933"/>
      <c r="I102" s="1997"/>
      <c r="J102" s="1997"/>
      <c r="K102" s="1997"/>
      <c r="L102" s="1997"/>
      <c r="M102" s="1997"/>
      <c r="N102" s="1997"/>
      <c r="O102" s="1997"/>
      <c r="P102" s="1997"/>
      <c r="Q102" s="1997"/>
      <c r="R102" s="1997"/>
      <c r="S102" s="1997"/>
      <c r="T102" s="1997"/>
      <c r="U102" s="1997"/>
      <c r="V102" s="1999"/>
      <c r="W102" s="395"/>
      <c r="X102" s="2239"/>
      <c r="Y102" s="2008"/>
      <c r="Z102" s="2234"/>
      <c r="AA102" s="387"/>
      <c r="AB102" s="2009"/>
      <c r="AC102" s="2008" t="n">
        <f aca="false">AC101</f>
        <v>1.66078406517143</v>
      </c>
      <c r="AD102" s="2239"/>
      <c r="AE102" s="2008"/>
      <c r="AF102" s="2023"/>
      <c r="AG102" s="2236" t="n">
        <v>35.94</v>
      </c>
      <c r="AH102" s="2023" t="n">
        <v>51.274</v>
      </c>
      <c r="AI102" s="1999"/>
      <c r="AJ102" s="2009"/>
      <c r="AK102" s="2207" t="n">
        <v>10855</v>
      </c>
      <c r="AL102" s="2207" t="n">
        <v>2420</v>
      </c>
      <c r="AM102" s="2207" t="n">
        <v>5629</v>
      </c>
      <c r="AN102" s="933"/>
      <c r="AO102" s="32"/>
      <c r="AP102" s="32"/>
      <c r="AQ102" s="32"/>
      <c r="AR102" s="32"/>
      <c r="AS102" s="32"/>
      <c r="AT102" s="32"/>
      <c r="AU102" s="32"/>
      <c r="AV102" s="32"/>
      <c r="AW102" s="2241" t="n">
        <f aca="false">AW101*B102/B101</f>
        <v>88.3161542373647</v>
      </c>
      <c r="AX102" s="2008"/>
      <c r="AY102" s="2008"/>
      <c r="AZ102" s="2222" t="n">
        <v>21.45</v>
      </c>
      <c r="BA102" s="401"/>
      <c r="BC102" s="401" t="n">
        <v>130.1</v>
      </c>
      <c r="BD102" s="401"/>
      <c r="BE102" s="401"/>
      <c r="BF102" s="401"/>
      <c r="BG102" s="2247" t="n">
        <f aca="false">BG101*BC102/BC101</f>
        <v>125.631303669009</v>
      </c>
      <c r="BI102" s="218" t="n">
        <v>69286</v>
      </c>
      <c r="BJ102" s="218" t="n">
        <f aca="false">BI102*(1-BN102)</f>
        <v>47931.0688794991</v>
      </c>
      <c r="BK102" s="401" t="n">
        <v>86910</v>
      </c>
      <c r="BL102" s="401"/>
      <c r="BM102" s="401" t="n">
        <f aca="false">BK102*(1-BN102)</f>
        <v>60123.101294883</v>
      </c>
      <c r="BN102" s="2242" t="n">
        <f aca="false">BN101+(BN$112-BN$96)/16</f>
        <v>0.308214229721747</v>
      </c>
      <c r="BO102" s="218" t="n">
        <v>39680</v>
      </c>
      <c r="BP102" s="218" t="n">
        <f aca="false">BO102-BQ102</f>
        <v>34051</v>
      </c>
      <c r="BQ102" s="218" t="n">
        <v>5629</v>
      </c>
      <c r="BR102" s="388" t="n">
        <f aca="false">BQ102/BO102</f>
        <v>0.141859879032258</v>
      </c>
      <c r="BS102" s="401" t="n">
        <f aca="false">0.555*BT102+CA102+CE102</f>
        <v>249.657380028736</v>
      </c>
      <c r="BT102" s="115" t="n">
        <f aca="false">BU102+BW102+BX102+BY102</f>
        <v>381.825909961686</v>
      </c>
      <c r="BU102" s="2223" t="n">
        <f aca="false">BW102*BU$76/BW$76</f>
        <v>87.0759099616858</v>
      </c>
      <c r="BV102" s="2223"/>
      <c r="BW102" s="115" t="n">
        <v>63.35</v>
      </c>
      <c r="BX102" s="115" t="n">
        <v>125.3</v>
      </c>
      <c r="BY102" s="115" t="n">
        <v>106.1</v>
      </c>
      <c r="BZ102" s="514"/>
      <c r="CA102" s="1509" t="n">
        <f aca="false">CQ102-CW102</f>
        <v>51.144</v>
      </c>
      <c r="CB102" s="2213" t="n">
        <f aca="false">CB100</f>
        <v>0</v>
      </c>
      <c r="CC102" s="2214" t="n">
        <f aca="false">CC$103</f>
        <v>13.4</v>
      </c>
      <c r="CD102" s="2214" t="n">
        <v>3</v>
      </c>
      <c r="CE102" s="2239" t="n">
        <f aca="false">CB102-CC102</f>
        <v>-13.4</v>
      </c>
      <c r="CF102" s="2215" t="n">
        <f aca="false">CB102-CC102-CD102</f>
        <v>-16.4</v>
      </c>
      <c r="CG102" s="2024" t="n">
        <f aca="false">CH102-CQ102</f>
        <v>22.1368973305955</v>
      </c>
      <c r="CH102" s="115" t="n">
        <f aca="false">CI102+CJ102+CN102</f>
        <v>75.3748973305955</v>
      </c>
      <c r="CI102" s="485" t="n">
        <v>23.15</v>
      </c>
      <c r="CJ102" s="1509" t="n">
        <f aca="false">CK102*CL102*CM102</f>
        <v>22.4248973305955</v>
      </c>
      <c r="CK102" s="485" t="n">
        <v>30.1</v>
      </c>
      <c r="CL102" s="995" t="n">
        <f aca="false">CL$76</f>
        <v>1</v>
      </c>
      <c r="CM102" s="514" t="n">
        <f aca="false">CM101*TableDE15a!I78/TableDE15a!I77</f>
        <v>0.74501320035201</v>
      </c>
      <c r="CN102" s="485" t="n">
        <v>29.8</v>
      </c>
      <c r="CO102" s="2017" t="n">
        <f aca="false">CX102-CP102</f>
        <v>-51.31375</v>
      </c>
      <c r="CP102" s="2017" t="n">
        <f aca="false">CQ102+9*(CQ103-CQ102)/12</f>
        <v>68.41875</v>
      </c>
      <c r="CQ102" s="1509" t="n">
        <f aca="false">(CR101+CS101+CT101+CU101)/1000</f>
        <v>53.238</v>
      </c>
      <c r="CR102" s="115" t="n">
        <v>47889</v>
      </c>
      <c r="CS102" s="115" t="n">
        <v>2124</v>
      </c>
      <c r="CT102" s="115" t="n">
        <v>7966</v>
      </c>
      <c r="CU102" s="115" t="n">
        <v>15500</v>
      </c>
      <c r="CV102" s="1509" t="n">
        <v>28.996</v>
      </c>
      <c r="CW102" s="1509" t="n">
        <v>2.094</v>
      </c>
      <c r="CX102" s="2019" t="n">
        <f aca="false">CY102+(CU101+9/12*(CU102-CU101))/1000</f>
        <v>17.105</v>
      </c>
      <c r="CY102" s="2019" t="n">
        <f aca="false">CZ102+DA102</f>
        <v>2.48</v>
      </c>
      <c r="CZ102" s="2017" t="n">
        <v>0</v>
      </c>
      <c r="DA102" s="1509" t="n">
        <v>2.48</v>
      </c>
      <c r="DB102" s="1509" t="n">
        <v>15.194</v>
      </c>
      <c r="DC102" s="2227"/>
    </row>
    <row r="103" customFormat="false" ht="12" hidden="false" customHeight="false" outlineLevel="0" collapsed="false">
      <c r="A103" s="31" t="n">
        <v>1940</v>
      </c>
      <c r="B103" s="2245"/>
      <c r="C103" s="1994" t="n">
        <f aca="false">C102*E103/E102</f>
        <v>98.5512261118372</v>
      </c>
      <c r="D103" s="111" t="n">
        <v>133.839</v>
      </c>
      <c r="E103" s="111" t="n">
        <v>106.403</v>
      </c>
      <c r="G103" s="2202"/>
      <c r="H103" s="933"/>
      <c r="I103" s="32"/>
      <c r="J103" s="32"/>
      <c r="K103" s="32"/>
      <c r="L103" s="32"/>
      <c r="M103" s="32"/>
      <c r="N103" s="32"/>
      <c r="O103" s="1997"/>
      <c r="P103" s="1997"/>
      <c r="Q103" s="1997"/>
      <c r="R103" s="1997"/>
      <c r="S103" s="1997"/>
      <c r="T103" s="1997"/>
      <c r="U103" s="1997"/>
      <c r="V103" s="911"/>
      <c r="W103" s="395"/>
      <c r="X103" s="2239"/>
      <c r="Z103" s="2234"/>
      <c r="AA103" s="387"/>
      <c r="AF103" s="32"/>
      <c r="AG103" s="2225"/>
      <c r="AH103" s="32"/>
      <c r="AI103" s="911"/>
      <c r="AJ103" s="2009"/>
      <c r="AK103" s="2207"/>
      <c r="AL103" s="2207"/>
      <c r="AM103" s="2207"/>
      <c r="AN103" s="933"/>
      <c r="AO103" s="32"/>
      <c r="AP103" s="32"/>
      <c r="AQ103" s="32"/>
      <c r="AR103" s="32"/>
      <c r="AS103" s="32"/>
      <c r="AT103" s="32"/>
      <c r="AU103" s="32"/>
      <c r="AV103" s="32"/>
      <c r="AW103" s="933"/>
      <c r="AZ103" s="2222" t="n">
        <v>22.125</v>
      </c>
      <c r="BA103" s="401"/>
      <c r="BC103" s="401" t="n">
        <v>125.8</v>
      </c>
      <c r="BD103" s="401"/>
      <c r="BE103" s="401"/>
      <c r="BF103" s="401"/>
      <c r="BG103" s="401"/>
      <c r="BI103" s="2240" t="n">
        <f aca="false">BI102*BI102/BI101</f>
        <v>70021.7304472126</v>
      </c>
      <c r="BJ103" s="2207"/>
      <c r="BK103" s="401" t="n">
        <v>98173</v>
      </c>
      <c r="BL103" s="401"/>
      <c r="BM103" s="401" t="n">
        <f aca="false">BK103*(1-BN103)</f>
        <v>67925.4802203463</v>
      </c>
      <c r="BN103" s="2242" t="n">
        <f aca="false">BN102+(BN$112-BN$96)/16</f>
        <v>0.30810426267562</v>
      </c>
      <c r="BO103" s="218"/>
      <c r="BQ103" s="218"/>
      <c r="BR103" s="2212"/>
      <c r="BS103" s="401"/>
      <c r="BT103" s="115"/>
      <c r="BU103" s="115"/>
      <c r="BV103" s="115"/>
      <c r="BW103" s="115"/>
      <c r="BX103" s="115"/>
      <c r="BY103" s="115"/>
      <c r="BZ103" s="115"/>
      <c r="CB103" s="2216"/>
      <c r="CC103" s="485" t="n">
        <f aca="false">13.4</f>
        <v>13.4</v>
      </c>
      <c r="CD103" s="485" t="n">
        <v>3</v>
      </c>
      <c r="CE103" s="2248"/>
      <c r="CF103" s="2248"/>
      <c r="CG103" s="2216"/>
      <c r="CO103" s="2017" t="n">
        <f aca="false">CX103-CP103</f>
        <v>-76.178</v>
      </c>
      <c r="CP103" s="2017" t="n">
        <f aca="false">CQ103+9*(CQ104-CQ103)/12</f>
        <v>101.292</v>
      </c>
      <c r="CQ103" s="1509" t="n">
        <f aca="false">(CR102+CS102+CT102+CU102)/1000</f>
        <v>73.479</v>
      </c>
      <c r="CR103" s="115" t="n">
        <v>85935</v>
      </c>
      <c r="CS103" s="115" t="n">
        <v>2162</v>
      </c>
      <c r="CT103" s="2223" t="n">
        <f aca="false">$CT$102</f>
        <v>7966</v>
      </c>
      <c r="CU103" s="115" t="n">
        <v>14500</v>
      </c>
      <c r="CX103" s="2019" t="n">
        <f aca="false">CY103+(CU102+9/12*(CU103-CU102))/1000</f>
        <v>25.114</v>
      </c>
      <c r="CY103" s="2019" t="n">
        <f aca="false">CZ103+DA103</f>
        <v>10.364</v>
      </c>
      <c r="CZ103" s="2017" t="n">
        <v>0</v>
      </c>
      <c r="DA103" s="1509" t="n">
        <v>10.364</v>
      </c>
      <c r="DB103" s="1509" t="n">
        <v>17.99</v>
      </c>
      <c r="DC103" s="2227"/>
    </row>
    <row r="104" customFormat="false" ht="12" hidden="false" customHeight="false" outlineLevel="0" collapsed="false">
      <c r="A104" s="31" t="n">
        <v>1941</v>
      </c>
      <c r="B104" s="2245"/>
      <c r="C104" s="1994" t="n">
        <f aca="false">C103*E104/E103</f>
        <v>112.586970221484</v>
      </c>
      <c r="D104" s="111" t="n">
        <v>146.006</v>
      </c>
      <c r="E104" s="111" t="n">
        <v>121.557</v>
      </c>
      <c r="G104" s="2202"/>
      <c r="H104" s="933"/>
      <c r="I104" s="1997"/>
      <c r="J104" s="32"/>
      <c r="K104" s="32"/>
      <c r="L104" s="32"/>
      <c r="M104" s="32"/>
      <c r="N104" s="32"/>
      <c r="O104" s="1997"/>
      <c r="P104" s="1997"/>
      <c r="Q104" s="1997"/>
      <c r="R104" s="1997"/>
      <c r="S104" s="1997"/>
      <c r="T104" s="1997"/>
      <c r="U104" s="1997"/>
      <c r="V104" s="911"/>
      <c r="Z104" s="2234"/>
      <c r="AA104" s="387"/>
      <c r="AF104" s="32"/>
      <c r="AG104" s="2225"/>
      <c r="AH104" s="32"/>
      <c r="AI104" s="911"/>
      <c r="AK104" s="2207"/>
      <c r="AL104" s="2207"/>
      <c r="AM104" s="2207"/>
      <c r="AN104" s="933"/>
      <c r="AO104" s="32"/>
      <c r="AP104" s="32"/>
      <c r="AQ104" s="32"/>
      <c r="AR104" s="32"/>
      <c r="AS104" s="32"/>
      <c r="AT104" s="32"/>
      <c r="AU104" s="32"/>
      <c r="AV104" s="32"/>
      <c r="AW104" s="933"/>
      <c r="AZ104" s="2222" t="n">
        <v>22.6333333333333</v>
      </c>
      <c r="BA104" s="401"/>
      <c r="BC104" s="401" t="n">
        <v>120.1</v>
      </c>
      <c r="BD104" s="401"/>
      <c r="BE104" s="387"/>
      <c r="BF104" s="401"/>
      <c r="BG104" s="401"/>
      <c r="BI104" s="2207"/>
      <c r="BJ104" s="2207"/>
      <c r="BK104" s="401" t="n">
        <v>98791</v>
      </c>
      <c r="BL104" s="401"/>
      <c r="BM104" s="401" t="n">
        <f aca="false">BK104*(1-BN104)</f>
        <v>68363.9355404667</v>
      </c>
      <c r="BN104" s="2242" t="n">
        <f aca="false">BN103+(BN$112-BN$96)/16</f>
        <v>0.307994295629494</v>
      </c>
      <c r="BO104" s="218"/>
      <c r="BQ104" s="218"/>
      <c r="BR104" s="2212"/>
      <c r="BS104" s="401"/>
      <c r="BT104" s="115"/>
      <c r="BU104" s="115"/>
      <c r="BV104" s="115"/>
      <c r="BW104" s="115"/>
      <c r="BX104" s="115"/>
      <c r="BY104" s="115"/>
      <c r="BZ104" s="115"/>
      <c r="CB104" s="2216"/>
      <c r="CC104" s="485" t="n">
        <f aca="false">CC103+4</f>
        <v>17.4</v>
      </c>
      <c r="CD104" s="485" t="n">
        <v>3</v>
      </c>
      <c r="CG104" s="2216"/>
      <c r="CO104" s="2017" t="n">
        <f aca="false">CX104-CP104</f>
        <v>-115.04275</v>
      </c>
      <c r="CP104" s="2017" t="n">
        <f aca="false">CQ104+9*(CQ105-CQ104)/12</f>
        <v>148.57075</v>
      </c>
      <c r="CQ104" s="1509" t="n">
        <f aca="false">(CR103+CS103+CT103+CU103)/1000</f>
        <v>110.563</v>
      </c>
      <c r="CR104" s="115" t="n">
        <v>137629</v>
      </c>
      <c r="CS104" s="115" t="n">
        <v>1945</v>
      </c>
      <c r="CT104" s="2223" t="n">
        <f aca="false">$CT$102</f>
        <v>7966</v>
      </c>
      <c r="CU104" s="115" t="n">
        <v>13700</v>
      </c>
      <c r="CX104" s="2019" t="n">
        <f aca="false">CY104+(CU103+9/12*(CU104-CU103))/1000</f>
        <v>33.528</v>
      </c>
      <c r="CY104" s="2019" t="n">
        <f aca="false">CZ104+DA104</f>
        <v>19.628</v>
      </c>
      <c r="CZ104" s="2017" t="n">
        <v>0</v>
      </c>
      <c r="DA104" s="1509" t="n">
        <v>19.628</v>
      </c>
      <c r="DB104" s="1509" t="n">
        <v>24.466</v>
      </c>
      <c r="DC104" s="2227"/>
    </row>
    <row r="105" customFormat="false" ht="12" hidden="false" customHeight="false" outlineLevel="0" collapsed="false">
      <c r="A105" s="31" t="n">
        <v>1942</v>
      </c>
      <c r="B105" s="2245"/>
      <c r="C105" s="1994" t="n">
        <f aca="false">C104*E105/E104</f>
        <v>118.949087569324</v>
      </c>
      <c r="D105" s="111" t="n">
        <v>152.089</v>
      </c>
      <c r="E105" s="111" t="n">
        <v>128.426</v>
      </c>
      <c r="G105" s="2202"/>
      <c r="H105" s="933"/>
      <c r="I105" s="32"/>
      <c r="J105" s="32"/>
      <c r="K105" s="32"/>
      <c r="L105" s="32"/>
      <c r="M105" s="32"/>
      <c r="N105" s="32"/>
      <c r="O105" s="1997"/>
      <c r="P105" s="1997"/>
      <c r="Q105" s="1997"/>
      <c r="R105" s="1997"/>
      <c r="S105" s="1997"/>
      <c r="T105" s="1997"/>
      <c r="U105" s="1997"/>
      <c r="V105" s="911"/>
      <c r="AA105" s="387"/>
      <c r="AF105" s="32"/>
      <c r="AG105" s="2225"/>
      <c r="AH105" s="32"/>
      <c r="AI105" s="911"/>
      <c r="AK105" s="2207"/>
      <c r="AL105" s="2207"/>
      <c r="AM105" s="2207"/>
      <c r="AN105" s="933"/>
      <c r="AO105" s="32"/>
      <c r="AP105" s="32"/>
      <c r="AQ105" s="32"/>
      <c r="AR105" s="32"/>
      <c r="AS105" s="32"/>
      <c r="AT105" s="32"/>
      <c r="AU105" s="32"/>
      <c r="AV105" s="32"/>
      <c r="AW105" s="933"/>
      <c r="AZ105" s="2222" t="n">
        <v>23.3416666666667</v>
      </c>
      <c r="BA105" s="401"/>
      <c r="BC105" s="401" t="n">
        <v>118.4</v>
      </c>
      <c r="BD105" s="401"/>
      <c r="BE105" s="401"/>
      <c r="BF105" s="401"/>
      <c r="BG105" s="401"/>
      <c r="BI105" s="2207"/>
      <c r="BJ105" s="2207"/>
      <c r="BK105" s="401" t="n">
        <v>99000</v>
      </c>
      <c r="BL105" s="401"/>
      <c r="BM105" s="401" t="n">
        <f aca="false">BK105*(1-BN105)</f>
        <v>68519.4514702466</v>
      </c>
      <c r="BN105" s="2242" t="n">
        <f aca="false">BN104+(BN$112-BN$96)/16</f>
        <v>0.307884328583367</v>
      </c>
      <c r="BO105" s="218"/>
      <c r="BQ105" s="218"/>
      <c r="BR105" s="2212"/>
      <c r="BS105" s="401"/>
      <c r="BT105" s="115"/>
      <c r="BU105" s="115"/>
      <c r="BV105" s="115"/>
      <c r="BW105" s="115"/>
      <c r="BX105" s="115"/>
      <c r="BY105" s="115"/>
      <c r="BZ105" s="115"/>
      <c r="CB105" s="2216"/>
      <c r="CC105" s="485" t="n">
        <f aca="false">CC104+6.7</f>
        <v>24.1</v>
      </c>
      <c r="CD105" s="485" t="n">
        <v>3</v>
      </c>
      <c r="CG105" s="2216"/>
      <c r="CO105" s="2017" t="n">
        <f aca="false">CX105-CP105</f>
        <v>-162.3325</v>
      </c>
      <c r="CP105" s="2017" t="n">
        <f aca="false">CQ105+9*(CQ106-CQ105)/12</f>
        <v>202.2845</v>
      </c>
      <c r="CQ105" s="1509" t="n">
        <f aca="false">(CR104+CS104+CT104+CU104)/1000</f>
        <v>161.24</v>
      </c>
      <c r="CR105" s="115" t="n">
        <v>195554</v>
      </c>
      <c r="CS105" s="115" t="n">
        <v>1746</v>
      </c>
      <c r="CT105" s="2223" t="n">
        <f aca="false">$CT$102</f>
        <v>7966</v>
      </c>
      <c r="CU105" s="115" t="n">
        <v>10700</v>
      </c>
      <c r="CX105" s="2019" t="n">
        <f aca="false">CY105+(CU104+9/12*(CU105-CU104))/1000</f>
        <v>39.952</v>
      </c>
      <c r="CY105" s="2019" t="n">
        <f aca="false">CZ105+DA105</f>
        <v>28.502</v>
      </c>
      <c r="CZ105" s="2017" t="n">
        <v>0</v>
      </c>
      <c r="DA105" s="1509" t="n">
        <v>28.502</v>
      </c>
      <c r="DB105" s="1509" t="n">
        <v>31.346</v>
      </c>
      <c r="DC105" s="2227"/>
    </row>
    <row r="106" customFormat="false" ht="12" hidden="false" customHeight="false" outlineLevel="0" collapsed="false">
      <c r="A106" s="31" t="n">
        <v>1943</v>
      </c>
      <c r="B106" s="2245"/>
      <c r="C106" s="1994" t="n">
        <f aca="false">C105*E106/E105</f>
        <v>126.545839132431</v>
      </c>
      <c r="D106" s="111" t="n">
        <v>164.256</v>
      </c>
      <c r="E106" s="111" t="n">
        <v>136.628</v>
      </c>
      <c r="G106" s="911"/>
      <c r="H106" s="933"/>
      <c r="I106" s="32"/>
      <c r="J106" s="32"/>
      <c r="K106" s="32"/>
      <c r="L106" s="32"/>
      <c r="M106" s="32"/>
      <c r="N106" s="32"/>
      <c r="O106" s="1997"/>
      <c r="P106" s="1997"/>
      <c r="Q106" s="1997"/>
      <c r="R106" s="1997"/>
      <c r="S106" s="1997"/>
      <c r="T106" s="1997"/>
      <c r="U106" s="1997"/>
      <c r="V106" s="911"/>
      <c r="AA106" s="387"/>
      <c r="AF106" s="32"/>
      <c r="AG106" s="2225"/>
      <c r="AH106" s="32"/>
      <c r="AI106" s="911"/>
      <c r="AK106" s="2207"/>
      <c r="AL106" s="2207"/>
      <c r="AM106" s="2207"/>
      <c r="AN106" s="933"/>
      <c r="AO106" s="32"/>
      <c r="AP106" s="32"/>
      <c r="AQ106" s="32"/>
      <c r="AR106" s="32"/>
      <c r="AS106" s="32"/>
      <c r="AT106" s="32"/>
      <c r="AU106" s="32"/>
      <c r="AV106" s="32"/>
      <c r="AW106" s="933"/>
      <c r="AZ106" s="2222" t="n">
        <v>23.5166666666667</v>
      </c>
      <c r="BA106" s="401"/>
      <c r="BC106" s="401" t="n">
        <v>120.2</v>
      </c>
      <c r="BD106" s="401"/>
      <c r="BE106" s="401"/>
      <c r="BF106" s="401"/>
      <c r="BG106" s="401"/>
      <c r="BI106" s="2207"/>
      <c r="BJ106" s="2207"/>
      <c r="BK106" s="401" t="n">
        <v>99000</v>
      </c>
      <c r="BL106" s="401"/>
      <c r="BM106" s="401" t="n">
        <f aca="false">BK106*(1-BN106)</f>
        <v>68530.3382078132</v>
      </c>
      <c r="BN106" s="2242" t="n">
        <f aca="false">BN105+(BN$112-BN$96)/16</f>
        <v>0.307774361537241</v>
      </c>
      <c r="BO106" s="218"/>
      <c r="BQ106" s="218"/>
      <c r="BR106" s="2212"/>
      <c r="BS106" s="401"/>
      <c r="BT106" s="115"/>
      <c r="BU106" s="115"/>
      <c r="BV106" s="115"/>
      <c r="BW106" s="115"/>
      <c r="BX106" s="115"/>
      <c r="BY106" s="115"/>
      <c r="BZ106" s="115"/>
      <c r="CB106" s="2216"/>
      <c r="CC106" s="485" t="n">
        <f aca="false">CC105+9.3</f>
        <v>33.4</v>
      </c>
      <c r="CD106" s="485" t="n">
        <v>3</v>
      </c>
      <c r="CG106" s="2216"/>
      <c r="CO106" s="2017" t="n">
        <f aca="false">CX106-CP106</f>
        <v>-223.22125</v>
      </c>
      <c r="CP106" s="2017" t="n">
        <f aca="false">CQ106+9*(CQ107-CQ106)/12</f>
        <v>273.60425</v>
      </c>
      <c r="CQ106" s="1509" t="n">
        <f aca="false">(CR105+CS105+CT105+CU105)/1000</f>
        <v>215.966</v>
      </c>
      <c r="CR106" s="115" t="n">
        <v>273354</v>
      </c>
      <c r="CS106" s="115" t="n">
        <v>1697</v>
      </c>
      <c r="CT106" s="2223" t="n">
        <f aca="false">$CT$102</f>
        <v>7966</v>
      </c>
      <c r="CU106" s="115" t="n">
        <v>9800</v>
      </c>
      <c r="CX106" s="2019" t="n">
        <f aca="false">CY106+(CU105+9/12*(CU106-CU105))/1000</f>
        <v>50.383</v>
      </c>
      <c r="CY106" s="2019" t="n">
        <f aca="false">CZ106+DA106</f>
        <v>40.358</v>
      </c>
      <c r="CZ106" s="2017" t="n">
        <v>0</v>
      </c>
      <c r="DA106" s="1509" t="n">
        <v>40.358</v>
      </c>
      <c r="DB106" s="1509" t="n">
        <v>43.849</v>
      </c>
      <c r="DC106" s="2227"/>
    </row>
    <row r="107" customFormat="false" ht="12" hidden="false" customHeight="false" outlineLevel="0" collapsed="false">
      <c r="A107" s="31" t="n">
        <v>1944</v>
      </c>
      <c r="B107" s="2245"/>
      <c r="C107" s="1994" t="n">
        <f aca="false">C106*E107/E106</f>
        <v>115.803687873115</v>
      </c>
      <c r="D107" s="111" t="n">
        <v>158.173</v>
      </c>
      <c r="E107" s="111" t="n">
        <v>125.03</v>
      </c>
      <c r="F107" s="32"/>
      <c r="G107" s="911"/>
      <c r="H107" s="933"/>
      <c r="I107" s="32"/>
      <c r="J107" s="32"/>
      <c r="K107" s="32"/>
      <c r="L107" s="32"/>
      <c r="M107" s="32"/>
      <c r="N107" s="32"/>
      <c r="O107" s="1997"/>
      <c r="P107" s="1997"/>
      <c r="Q107" s="1997"/>
      <c r="R107" s="1997"/>
      <c r="S107" s="1997"/>
      <c r="T107" s="1997"/>
      <c r="U107" s="1997"/>
      <c r="V107" s="911"/>
      <c r="AF107" s="32"/>
      <c r="AG107" s="2225"/>
      <c r="AH107" s="32"/>
      <c r="AI107" s="911"/>
      <c r="AK107" s="2207"/>
      <c r="AL107" s="2207"/>
      <c r="AM107" s="2207"/>
      <c r="AN107" s="933"/>
      <c r="AO107" s="32"/>
      <c r="AP107" s="32"/>
      <c r="AQ107" s="32"/>
      <c r="AR107" s="32"/>
      <c r="AS107" s="32"/>
      <c r="AT107" s="32"/>
      <c r="AU107" s="32"/>
      <c r="AV107" s="32"/>
      <c r="AW107" s="933"/>
      <c r="AZ107" s="2222" t="n">
        <v>24.1</v>
      </c>
      <c r="BA107" s="401"/>
      <c r="BC107" s="401" t="n">
        <v>126.5</v>
      </c>
      <c r="BD107" s="401"/>
      <c r="BE107" s="401"/>
      <c r="BF107" s="401"/>
      <c r="BG107" s="401"/>
      <c r="BI107" s="2207"/>
      <c r="BJ107" s="2207"/>
      <c r="BK107" s="401" t="n">
        <v>99000</v>
      </c>
      <c r="BL107" s="401"/>
      <c r="BM107" s="401" t="n">
        <f aca="false">BK107*(1-BN107)</f>
        <v>68541.2249453797</v>
      </c>
      <c r="BN107" s="2242" t="n">
        <f aca="false">BN106+(BN$112-BN$96)/16</f>
        <v>0.307664394491114</v>
      </c>
      <c r="BO107" s="218"/>
      <c r="BQ107" s="218"/>
      <c r="BR107" s="2212"/>
      <c r="BS107" s="401"/>
      <c r="BU107" s="115"/>
      <c r="BV107" s="115"/>
      <c r="CB107" s="2216"/>
      <c r="CC107" s="485" t="n">
        <f aca="false">CC106+8.9</f>
        <v>42.3</v>
      </c>
      <c r="CD107" s="485" t="n">
        <v>3</v>
      </c>
      <c r="CG107" s="2216"/>
      <c r="CO107" s="2017" t="n">
        <f aca="false">CX107-CP107</f>
        <v>-301.2375</v>
      </c>
      <c r="CP107" s="2017" t="n">
        <f aca="false">CQ107+9*(CQ108-CQ107)/12</f>
        <v>372.6515</v>
      </c>
      <c r="CQ107" s="1509" t="n">
        <f aca="false">(CR106+CS106+CT106+CU106)/1000</f>
        <v>292.817</v>
      </c>
      <c r="CR107" s="115" t="n">
        <v>379800</v>
      </c>
      <c r="CS107" s="115" t="n">
        <f aca="false">CS106</f>
        <v>1697</v>
      </c>
      <c r="CT107" s="2223" t="n">
        <f aca="false">$CT$102</f>
        <v>7966</v>
      </c>
      <c r="CU107" s="2223" t="n">
        <f aca="false">CU106</f>
        <v>9800</v>
      </c>
      <c r="CX107" s="2019" t="n">
        <f aca="false">CY107+(CU106+9/12*(CU107-CU106))/1000</f>
        <v>71.414</v>
      </c>
      <c r="CY107" s="2019" t="n">
        <f aca="false">CZ107+DA107</f>
        <v>61.614</v>
      </c>
      <c r="CZ107" s="2017" t="n">
        <v>0</v>
      </c>
      <c r="DA107" s="1509" t="n">
        <v>61.614</v>
      </c>
      <c r="DB107" s="1509" t="n">
        <v>66.082</v>
      </c>
      <c r="DC107" s="2227"/>
    </row>
    <row r="108" customFormat="false" ht="12" hidden="false" customHeight="false" outlineLevel="0" collapsed="false">
      <c r="A108" s="31" t="n">
        <v>1945</v>
      </c>
      <c r="B108" s="2245"/>
      <c r="C108" s="2245" t="n">
        <f aca="false">C107*E108/E107</f>
        <v>32.341895089818</v>
      </c>
      <c r="D108" s="2223"/>
      <c r="E108" s="2249" t="n">
        <f aca="false">E109/((1-0.158)*(BK109/BK108))</f>
        <v>34.9186387527711</v>
      </c>
      <c r="F108" s="32"/>
      <c r="G108" s="911"/>
      <c r="H108" s="933"/>
      <c r="I108" s="32"/>
      <c r="J108" s="32"/>
      <c r="K108" s="32"/>
      <c r="L108" s="32"/>
      <c r="M108" s="32"/>
      <c r="N108" s="32"/>
      <c r="O108" s="1997"/>
      <c r="P108" s="1997"/>
      <c r="Q108" s="1997"/>
      <c r="R108" s="1997"/>
      <c r="S108" s="1997"/>
      <c r="T108" s="1997"/>
      <c r="U108" s="1997"/>
      <c r="V108" s="911"/>
      <c r="AF108" s="32"/>
      <c r="AG108" s="2225"/>
      <c r="AH108" s="32"/>
      <c r="AI108" s="911"/>
      <c r="AK108" s="2207"/>
      <c r="AL108" s="2207"/>
      <c r="AM108" s="2207"/>
      <c r="AN108" s="933"/>
      <c r="AO108" s="32"/>
      <c r="AP108" s="32"/>
      <c r="AQ108" s="32"/>
      <c r="AR108" s="32"/>
      <c r="AS108" s="32"/>
      <c r="AT108" s="32"/>
      <c r="AU108" s="32"/>
      <c r="AV108" s="32"/>
      <c r="AW108" s="933"/>
      <c r="AZ108" s="2222" t="n">
        <v>24.9833333333333</v>
      </c>
      <c r="BA108" s="401"/>
      <c r="BC108" s="2243" t="n">
        <f aca="false">(BC109-BC107)/2+BC107</f>
        <v>143.95</v>
      </c>
      <c r="BD108" s="2243"/>
      <c r="BE108" s="2243"/>
      <c r="BF108" s="2243"/>
      <c r="BG108" s="401"/>
      <c r="BI108" s="2207"/>
      <c r="BJ108" s="2207"/>
      <c r="BK108" s="2240" t="n">
        <f aca="false">BK109*45000/46190</f>
        <v>59840.5499025763</v>
      </c>
      <c r="BL108" s="2250" t="n">
        <f aca="false">BL109*BK108/BK109</f>
        <v>3351.35093687555</v>
      </c>
      <c r="BM108" s="401" t="n">
        <f aca="false">BK108*(1-BN108)</f>
        <v>41436.3238392962</v>
      </c>
      <c r="BN108" s="2242" t="n">
        <f aca="false">BN107+(BN$112-BN$96)/16</f>
        <v>0.307554427444988</v>
      </c>
      <c r="BO108" s="218"/>
      <c r="BQ108" s="218"/>
      <c r="BR108" s="2212"/>
      <c r="BS108" s="401"/>
      <c r="BU108" s="115"/>
      <c r="BV108" s="115"/>
      <c r="CB108" s="2216"/>
      <c r="CC108" s="2214"/>
      <c r="CD108" s="485" t="n">
        <v>3</v>
      </c>
      <c r="CG108" s="2216"/>
      <c r="CP108" s="2017"/>
      <c r="CQ108" s="1509" t="n">
        <f aca="false">(CR107+CS107+CT107+CU107)/1000</f>
        <v>399.263</v>
      </c>
      <c r="CU108" s="485" t="n">
        <v>0</v>
      </c>
      <c r="CX108" s="2019"/>
      <c r="CY108" s="2019" t="n">
        <f aca="false">CZ108+DA108</f>
        <v>70.192</v>
      </c>
      <c r="CZ108" s="2017" t="n">
        <v>0</v>
      </c>
      <c r="DA108" s="1509" t="n">
        <v>70.192</v>
      </c>
      <c r="DB108" s="1509"/>
      <c r="DC108" s="2227"/>
    </row>
    <row r="109" customFormat="false" ht="12" hidden="false" customHeight="false" outlineLevel="0" collapsed="false">
      <c r="A109" s="31" t="n">
        <v>1946</v>
      </c>
      <c r="B109" s="2245"/>
      <c r="C109" s="1994" t="n">
        <f aca="false">C107*E109/E107</f>
        <v>27.9520074887845</v>
      </c>
      <c r="D109" s="111" t="n">
        <v>48.706</v>
      </c>
      <c r="E109" s="111" t="n">
        <v>30.179</v>
      </c>
      <c r="F109" s="32"/>
      <c r="G109" s="911"/>
      <c r="H109" s="933"/>
      <c r="I109" s="32"/>
      <c r="J109" s="32"/>
      <c r="K109" s="32"/>
      <c r="L109" s="32"/>
      <c r="M109" s="32"/>
      <c r="N109" s="32"/>
      <c r="O109" s="1997"/>
      <c r="P109" s="1997"/>
      <c r="Q109" s="1997"/>
      <c r="R109" s="1997"/>
      <c r="S109" s="1997"/>
      <c r="T109" s="1997"/>
      <c r="U109" s="1997"/>
      <c r="V109" s="911"/>
      <c r="AF109" s="32"/>
      <c r="AG109" s="2225"/>
      <c r="AH109" s="32"/>
      <c r="AI109" s="911"/>
      <c r="AK109" s="2207"/>
      <c r="AL109" s="2207"/>
      <c r="AM109" s="2207"/>
      <c r="AN109" s="933"/>
      <c r="AO109" s="32"/>
      <c r="AP109" s="32"/>
      <c r="AQ109" s="32"/>
      <c r="AR109" s="32"/>
      <c r="AS109" s="32"/>
      <c r="AT109" s="32"/>
      <c r="AU109" s="32"/>
      <c r="AV109" s="32"/>
      <c r="AW109" s="933"/>
      <c r="AZ109" s="2222" t="n">
        <v>27.5583333333333</v>
      </c>
      <c r="BA109" s="401"/>
      <c r="BC109" s="401" t="n">
        <v>161.4</v>
      </c>
      <c r="BD109" s="401"/>
      <c r="BE109" s="401"/>
      <c r="BF109" s="401"/>
      <c r="BG109" s="401"/>
      <c r="BI109" s="2207"/>
      <c r="BJ109" s="2207"/>
      <c r="BK109" s="401" t="n">
        <v>61423</v>
      </c>
      <c r="BL109" s="2250" t="n">
        <f aca="false">BL110*BK109/BK110</f>
        <v>3439.97555053959</v>
      </c>
      <c r="BM109" s="401" t="n">
        <f aca="false">BK109*(1-BN109)</f>
        <v>42538.8389089207</v>
      </c>
      <c r="BN109" s="2242" t="n">
        <f aca="false">BN108+(BN$112-BN$96)/16</f>
        <v>0.307444460398861</v>
      </c>
      <c r="BO109" s="218"/>
      <c r="BQ109" s="218"/>
      <c r="BR109" s="2212"/>
      <c r="BS109" s="401"/>
      <c r="BU109" s="115"/>
      <c r="BV109" s="115"/>
      <c r="CB109" s="2216"/>
      <c r="CD109" s="485" t="n">
        <v>3</v>
      </c>
      <c r="CG109" s="2216"/>
      <c r="CX109" s="2019"/>
      <c r="CY109" s="2019"/>
      <c r="DC109" s="2227"/>
      <c r="DD109" s="1509" t="n">
        <v>7.538</v>
      </c>
      <c r="DE109" s="2017" t="n">
        <v>161.39</v>
      </c>
      <c r="DF109" s="1509" t="n">
        <f aca="false">DD109*DE109/100</f>
        <v>12.1655782</v>
      </c>
      <c r="DG109" s="1509" t="n">
        <f aca="false">DF109*C109/E109</f>
        <v>11.2678462822424</v>
      </c>
      <c r="DH109" s="1509" t="n">
        <f aca="false">(DG109/1.95583)*TableDE15a!B$149/TableDE15a!B85</f>
        <v>32.3827334142231</v>
      </c>
      <c r="DI109" s="115" t="n">
        <v>18100</v>
      </c>
      <c r="DJ109" s="995" t="n">
        <f aca="false">TableDE1!N86</f>
        <v>2.35122106335948</v>
      </c>
      <c r="DK109" s="1509" t="n">
        <f aca="false">DJ109*DH109</f>
        <v>76.1389648926763</v>
      </c>
      <c r="DM109" s="485" t="n">
        <v>22.641</v>
      </c>
    </row>
    <row r="110" customFormat="false" ht="12" hidden="false" customHeight="false" outlineLevel="0" collapsed="false">
      <c r="A110" s="31" t="n">
        <v>1947</v>
      </c>
      <c r="B110" s="381"/>
      <c r="C110" s="1994" t="n">
        <f aca="false">C109*E110/E109</f>
        <v>33.097088558409</v>
      </c>
      <c r="D110" s="111" t="n">
        <v>61.334</v>
      </c>
      <c r="E110" s="111" t="n">
        <v>35.734</v>
      </c>
      <c r="F110" s="32"/>
      <c r="G110" s="911"/>
      <c r="H110" s="933"/>
      <c r="I110" s="32"/>
      <c r="J110" s="32"/>
      <c r="K110" s="32"/>
      <c r="L110" s="32"/>
      <c r="M110" s="32"/>
      <c r="N110" s="32"/>
      <c r="O110" s="1997"/>
      <c r="P110" s="1997"/>
      <c r="Q110" s="1997"/>
      <c r="R110" s="1997"/>
      <c r="S110" s="1997"/>
      <c r="T110" s="1997"/>
      <c r="U110" s="1997"/>
      <c r="V110" s="911"/>
      <c r="AF110" s="32"/>
      <c r="AG110" s="2225"/>
      <c r="AH110" s="32"/>
      <c r="AI110" s="911"/>
      <c r="AK110" s="2207"/>
      <c r="AL110" s="2207"/>
      <c r="AM110" s="2207"/>
      <c r="AN110" s="933"/>
      <c r="AO110" s="32"/>
      <c r="AP110" s="32"/>
      <c r="AQ110" s="32"/>
      <c r="AR110" s="32"/>
      <c r="AS110" s="32"/>
      <c r="AT110" s="32"/>
      <c r="AU110" s="32"/>
      <c r="AV110" s="32"/>
      <c r="AW110" s="933"/>
      <c r="AZ110" s="2222" t="n">
        <v>28.6833333333333</v>
      </c>
      <c r="BA110" s="401"/>
      <c r="BC110" s="401" t="n">
        <v>171.6</v>
      </c>
      <c r="BD110" s="401"/>
      <c r="BE110" s="401"/>
      <c r="BF110" s="401"/>
      <c r="BG110" s="401"/>
      <c r="BI110" s="2207"/>
      <c r="BJ110" s="2207"/>
      <c r="BK110" s="401" t="n">
        <v>62667</v>
      </c>
      <c r="BL110" s="2250" t="n">
        <f aca="false">BL111*BK110/BK111</f>
        <v>3509.64537430058</v>
      </c>
      <c r="BM110" s="401" t="n">
        <f aca="false">BK110*(1-BN110)</f>
        <v>43407.2693050642</v>
      </c>
      <c r="BN110" s="2242" t="n">
        <f aca="false">BN109+(BN$112-BN$96)/16</f>
        <v>0.307334493352735</v>
      </c>
      <c r="BO110" s="218"/>
      <c r="BQ110" s="218"/>
      <c r="BR110" s="2212"/>
      <c r="BS110" s="401"/>
      <c r="BU110" s="115"/>
      <c r="BV110" s="115"/>
      <c r="CB110" s="2216"/>
      <c r="CD110" s="485" t="n">
        <v>3</v>
      </c>
      <c r="CG110" s="2216"/>
      <c r="CX110" s="2217"/>
      <c r="CY110" s="2019"/>
      <c r="DC110" s="2227"/>
      <c r="DD110" s="1509" t="n">
        <v>8.149</v>
      </c>
      <c r="DE110" s="2017" t="n">
        <v>171.64</v>
      </c>
      <c r="DF110" s="1509" t="n">
        <f aca="false">DD110*DE110/100</f>
        <v>13.9869436</v>
      </c>
      <c r="DG110" s="1509" t="n">
        <f aca="false">DF110*C110/E110</f>
        <v>12.9548080536932</v>
      </c>
      <c r="DH110" s="1509" t="n">
        <f aca="false">(DG110/1.95583)*TableDE15a!B$149/TableDE15a!B86</f>
        <v>35.7706558110573</v>
      </c>
      <c r="DI110" s="115" t="n">
        <v>18600</v>
      </c>
      <c r="DJ110" s="995" t="n">
        <f aca="false">TableDE1!N87</f>
        <v>2.14452547648039</v>
      </c>
      <c r="DK110" s="1509" t="n">
        <f aca="false">DJ110*DH110</f>
        <v>76.7110826972237</v>
      </c>
      <c r="DM110" s="485" t="n">
        <v>27.586</v>
      </c>
    </row>
    <row r="111" customFormat="false" ht="12" hidden="false" customHeight="false" outlineLevel="0" collapsed="false">
      <c r="A111" s="31" t="n">
        <v>1948</v>
      </c>
      <c r="B111" s="381"/>
      <c r="C111" s="1994" t="n">
        <f aca="false">C110*E111/E110</f>
        <v>39.3202748242608</v>
      </c>
      <c r="D111" s="111" t="n">
        <v>84.286</v>
      </c>
      <c r="E111" s="111" t="n">
        <v>42.453</v>
      </c>
      <c r="F111" s="32"/>
      <c r="G111" s="911"/>
      <c r="H111" s="933"/>
      <c r="I111" s="32"/>
      <c r="J111" s="32"/>
      <c r="K111" s="32"/>
      <c r="L111" s="32"/>
      <c r="M111" s="32"/>
      <c r="N111" s="32"/>
      <c r="O111" s="1997"/>
      <c r="P111" s="1997"/>
      <c r="Q111" s="1997"/>
      <c r="R111" s="1997"/>
      <c r="S111" s="1997"/>
      <c r="T111" s="1997"/>
      <c r="U111" s="1997"/>
      <c r="V111" s="911"/>
      <c r="AF111" s="32"/>
      <c r="AG111" s="2225"/>
      <c r="AH111" s="32"/>
      <c r="AI111" s="911"/>
      <c r="AK111" s="2207"/>
      <c r="AL111" s="2207"/>
      <c r="AM111" s="2207"/>
      <c r="AN111" s="933"/>
      <c r="AO111" s="32"/>
      <c r="AP111" s="32"/>
      <c r="AQ111" s="32"/>
      <c r="AR111" s="32"/>
      <c r="AS111" s="32"/>
      <c r="AT111" s="32"/>
      <c r="AU111" s="32"/>
      <c r="AV111" s="32"/>
      <c r="AW111" s="933"/>
      <c r="AZ111" s="2222" t="n">
        <v>32.025</v>
      </c>
      <c r="BA111" s="401"/>
      <c r="BC111" s="401" t="n">
        <v>198.5</v>
      </c>
      <c r="BD111" s="401"/>
      <c r="BE111" s="401"/>
      <c r="BF111" s="401"/>
      <c r="BG111" s="401"/>
      <c r="BI111" s="2207"/>
      <c r="BJ111" s="2207"/>
      <c r="BK111" s="401" t="n">
        <v>64347</v>
      </c>
      <c r="BL111" s="2250" t="n">
        <f aca="false">BL112*BK111/BK112</f>
        <v>3603.7332391868</v>
      </c>
      <c r="BM111" s="401" t="n">
        <f aca="false">BK111*(1-BN111)</f>
        <v>44578.0234057487</v>
      </c>
      <c r="BN111" s="2242" t="n">
        <f aca="false">BN110+(BN$112-BN$96)/16</f>
        <v>0.307224526306608</v>
      </c>
      <c r="BO111" s="218"/>
      <c r="BQ111" s="218"/>
      <c r="BR111" s="2212"/>
      <c r="BS111" s="401"/>
      <c r="BU111" s="115"/>
      <c r="BV111" s="115"/>
      <c r="CB111" s="2216"/>
      <c r="CD111" s="485" t="n">
        <v>0</v>
      </c>
      <c r="CG111" s="2216"/>
      <c r="CX111" s="2217"/>
      <c r="DC111" s="2227"/>
      <c r="DD111" s="1509" t="n">
        <v>7.913</v>
      </c>
      <c r="DE111" s="2017" t="n">
        <v>198.54</v>
      </c>
      <c r="DF111" s="1509" t="n">
        <f aca="false">DD111*DE111/100</f>
        <v>15.7104702</v>
      </c>
      <c r="DG111" s="1509" t="n">
        <f aca="false">DF111*C111/E111</f>
        <v>14.5511508228479</v>
      </c>
      <c r="DH111" s="1509" t="n">
        <f aca="false">(DG111/1.95583)*TableDE15a!B$149/TableDE15a!B87</f>
        <v>35.9860139199198</v>
      </c>
      <c r="DI111" s="115" t="n">
        <v>19100</v>
      </c>
      <c r="DJ111" s="995" t="n">
        <f aca="false">TableDE1!N88</f>
        <v>1.98808149388641</v>
      </c>
      <c r="DK111" s="1509" t="n">
        <f aca="false">DJ111*DH111</f>
        <v>71.5431283129312</v>
      </c>
      <c r="DM111" s="485" t="n">
        <v>34.54</v>
      </c>
    </row>
    <row r="112" customFormat="false" ht="12" hidden="false" customHeight="false" outlineLevel="0" collapsed="false">
      <c r="A112" s="31" t="n">
        <v>1949</v>
      </c>
      <c r="B112" s="381"/>
      <c r="C112" s="1994" t="n">
        <f aca="false">C111*E112/E111</f>
        <v>47.2402727047935</v>
      </c>
      <c r="D112" s="111" t="n">
        <v>107.908</v>
      </c>
      <c r="E112" s="111" t="n">
        <v>51.004</v>
      </c>
      <c r="F112" s="32"/>
      <c r="G112" s="911"/>
      <c r="H112" s="933"/>
      <c r="I112" s="32"/>
      <c r="J112" s="32"/>
      <c r="K112" s="32"/>
      <c r="L112" s="32"/>
      <c r="M112" s="32"/>
      <c r="N112" s="32"/>
      <c r="O112" s="1997"/>
      <c r="P112" s="1997"/>
      <c r="Q112" s="1997"/>
      <c r="R112" s="1997"/>
      <c r="S112" s="1997"/>
      <c r="T112" s="1997"/>
      <c r="U112" s="1997"/>
      <c r="V112" s="911"/>
      <c r="AF112" s="32"/>
      <c r="AG112" s="2225"/>
      <c r="AH112" s="32"/>
      <c r="AI112" s="911"/>
      <c r="AK112" s="2207"/>
      <c r="AL112" s="2207"/>
      <c r="AM112" s="2207"/>
      <c r="AN112" s="933"/>
      <c r="AO112" s="32"/>
      <c r="AP112" s="32"/>
      <c r="AQ112" s="32"/>
      <c r="AR112" s="32"/>
      <c r="AS112" s="32"/>
      <c r="AT112" s="32"/>
      <c r="AU112" s="32"/>
      <c r="AV112" s="32"/>
      <c r="AW112" s="933"/>
      <c r="AZ112" s="2222" t="n">
        <v>34.25</v>
      </c>
      <c r="BA112" s="401"/>
      <c r="BC112" s="401" t="n">
        <v>211.6</v>
      </c>
      <c r="BD112" s="401"/>
      <c r="BE112" s="401"/>
      <c r="BF112" s="401"/>
      <c r="BG112" s="401"/>
      <c r="BI112" s="2207"/>
      <c r="BJ112" s="2207"/>
      <c r="BK112" s="401" t="n">
        <v>65069</v>
      </c>
      <c r="BL112" s="2250" t="n">
        <f aca="false">BL113*BK112/BK113</f>
        <v>3644.16861921529</v>
      </c>
      <c r="BM112" s="401" t="n">
        <f aca="false">BK112*(1-BN112)</f>
        <v>45085.3627434797</v>
      </c>
      <c r="BN112" s="387" t="n">
        <f aca="false">DataDE1!GL10</f>
        <v>0.307114559260482</v>
      </c>
      <c r="BO112" s="218"/>
      <c r="BQ112" s="218"/>
      <c r="BR112" s="2212"/>
      <c r="BS112" s="401"/>
      <c r="BU112" s="115"/>
      <c r="BV112" s="115"/>
      <c r="CB112" s="2216"/>
      <c r="CG112" s="2216"/>
      <c r="CR112" s="115"/>
      <c r="CX112" s="2217"/>
      <c r="DC112" s="2227"/>
      <c r="DD112" s="1509" t="n">
        <v>8.195</v>
      </c>
      <c r="DE112" s="2017" t="n">
        <v>211.57</v>
      </c>
      <c r="DF112" s="1509" t="n">
        <f aca="false">DD112*DE112/100</f>
        <v>17.3381615</v>
      </c>
      <c r="DG112" s="1509" t="n">
        <f aca="false">DF112*C112/E112</f>
        <v>16.0587302458582</v>
      </c>
      <c r="DH112" s="1509" t="n">
        <f aca="false">(DG112/1.95583)*TableDE15a!B$149/TableDE15a!B88</f>
        <v>37.1343791117342</v>
      </c>
      <c r="DI112" s="115" t="n">
        <v>18900</v>
      </c>
      <c r="DJ112" s="995" t="n">
        <f aca="false">TableDE1!N89</f>
        <v>1.83084764388668</v>
      </c>
      <c r="DK112" s="1509" t="n">
        <f aca="false">DJ112*DH112</f>
        <v>67.9873905039133</v>
      </c>
      <c r="DM112" s="485" t="n">
        <v>42.808</v>
      </c>
    </row>
    <row r="113" customFormat="false" ht="12" hidden="false" customHeight="false" outlineLevel="0" collapsed="false">
      <c r="A113" s="31" t="n">
        <v>1950</v>
      </c>
      <c r="B113" s="381"/>
      <c r="C113" s="1994" t="n">
        <f aca="false">C112*E113/E112</f>
        <v>53.0781567699318</v>
      </c>
      <c r="D113" s="111" t="n">
        <v>117.376</v>
      </c>
      <c r="E113" s="111" t="n">
        <v>57.307</v>
      </c>
      <c r="F113" s="32"/>
      <c r="G113" s="911"/>
      <c r="H113" s="933"/>
      <c r="I113" s="32"/>
      <c r="J113" s="32"/>
      <c r="K113" s="32"/>
      <c r="L113" s="32"/>
      <c r="M113" s="32"/>
      <c r="N113" s="32"/>
      <c r="O113" s="1479"/>
      <c r="P113" s="1479"/>
      <c r="Q113" s="1479"/>
      <c r="R113" s="1479"/>
      <c r="S113" s="1479"/>
      <c r="T113" s="1479"/>
      <c r="U113" s="1479"/>
      <c r="V113" s="911"/>
      <c r="X113" s="2204"/>
      <c r="Y113" s="2008"/>
      <c r="Z113" s="2008"/>
      <c r="AA113" s="2008"/>
      <c r="AD113" s="2204"/>
      <c r="AE113" s="2008"/>
      <c r="AF113" s="2023"/>
      <c r="AG113" s="2236"/>
      <c r="AH113" s="2023"/>
      <c r="AI113" s="1999"/>
      <c r="AJ113" s="2009"/>
      <c r="AK113" s="2207"/>
      <c r="AL113" s="2207"/>
      <c r="AM113" s="2207" t="n">
        <v>3485</v>
      </c>
      <c r="AN113" s="2208"/>
      <c r="AO113" s="2023"/>
      <c r="AP113" s="2023"/>
      <c r="AQ113" s="2023"/>
      <c r="AR113" s="2023"/>
      <c r="AS113" s="2023"/>
      <c r="AT113" s="2023"/>
      <c r="AU113" s="2023"/>
      <c r="AV113" s="2023"/>
      <c r="AW113" s="933"/>
      <c r="AZ113" s="2222" t="n">
        <v>31.6666666666667</v>
      </c>
      <c r="BA113" s="401"/>
      <c r="BB113" s="401" t="n">
        <v>203.9</v>
      </c>
      <c r="BC113" s="401" t="n">
        <v>204.8</v>
      </c>
      <c r="BD113" s="401"/>
      <c r="BE113" s="401"/>
      <c r="BF113" s="401"/>
      <c r="BG113" s="401"/>
      <c r="BH113" s="387"/>
      <c r="BI113" s="218"/>
      <c r="BJ113" s="218"/>
      <c r="BK113" s="401" t="n">
        <v>65469</v>
      </c>
      <c r="BL113" s="2250" t="n">
        <f aca="false">DI113+TableDE1!R90-BK113</f>
        <v>3666.57049180724</v>
      </c>
      <c r="BM113" s="401" t="n">
        <f aca="false">BK113*(1-BN113)</f>
        <v>45362.5169197755</v>
      </c>
      <c r="BN113" s="2242" t="n">
        <f aca="false">BN112</f>
        <v>0.307114559260482</v>
      </c>
      <c r="BO113" s="218" t="n">
        <v>20459</v>
      </c>
      <c r="BQ113" s="218" t="n">
        <v>3485</v>
      </c>
      <c r="BR113" s="1319" t="n">
        <f aca="false">BQ113/BO113</f>
        <v>0.170340681362725</v>
      </c>
      <c r="BU113" s="115"/>
      <c r="BV113" s="115"/>
      <c r="CB113" s="2216"/>
      <c r="CG113" s="2216"/>
      <c r="CX113" s="2217"/>
      <c r="DC113" s="2227"/>
      <c r="DD113" s="1509" t="n">
        <v>9.167</v>
      </c>
      <c r="DE113" s="2017" t="n">
        <v>207.5</v>
      </c>
      <c r="DF113" s="1509" t="n">
        <f aca="false">DD113*DE113/100</f>
        <v>19.021525</v>
      </c>
      <c r="DG113" s="1509" t="n">
        <f aca="false">DF113*DataDE1!B11/DataDE1!G11</f>
        <v>17.5353924306401</v>
      </c>
      <c r="DH113" s="1509" t="n">
        <f aca="false">(DG113/1.95583)*TableDE15a!B$149/TableDE15a!B89</f>
        <v>43.8569755604485</v>
      </c>
      <c r="DI113" s="115" t="n">
        <v>18388</v>
      </c>
      <c r="DJ113" s="995" t="n">
        <f aca="false">TableDE1!N90</f>
        <v>1.81096491207406</v>
      </c>
      <c r="DK113" s="1509" t="n">
        <f aca="false">DJ113*DH113</f>
        <v>79.4234438896619</v>
      </c>
      <c r="DL113" s="485" t="n">
        <v>78.8</v>
      </c>
      <c r="DM113" s="485" t="n">
        <v>48.14</v>
      </c>
    </row>
    <row r="114" customFormat="false" ht="12" hidden="false" customHeight="false" outlineLevel="0" collapsed="false">
      <c r="A114" s="31" t="n">
        <v>1951</v>
      </c>
      <c r="B114" s="381"/>
      <c r="C114" s="1994"/>
      <c r="D114" s="31"/>
      <c r="E114" s="31"/>
      <c r="F114" s="32"/>
      <c r="G114" s="911"/>
      <c r="H114" s="933"/>
      <c r="I114" s="32"/>
      <c r="J114" s="32"/>
      <c r="K114" s="32"/>
      <c r="L114" s="32"/>
      <c r="M114" s="32"/>
      <c r="N114" s="32"/>
      <c r="O114" s="1479"/>
      <c r="P114" s="1479"/>
      <c r="Q114" s="1479"/>
      <c r="R114" s="1479"/>
      <c r="S114" s="1479"/>
      <c r="T114" s="1479"/>
      <c r="U114" s="1479"/>
      <c r="V114" s="911"/>
      <c r="X114" s="2204"/>
      <c r="Y114" s="2008"/>
      <c r="Z114" s="2008"/>
      <c r="AA114" s="2008"/>
      <c r="AD114" s="2204"/>
      <c r="AE114" s="2008"/>
      <c r="AF114" s="2023"/>
      <c r="AG114" s="2236"/>
      <c r="AH114" s="2023"/>
      <c r="AI114" s="1999"/>
      <c r="AJ114" s="2009"/>
      <c r="AK114" s="2207"/>
      <c r="AL114" s="2207"/>
      <c r="AM114" s="2207" t="n">
        <v>3472</v>
      </c>
      <c r="AN114" s="2208"/>
      <c r="AO114" s="2023"/>
      <c r="AP114" s="2023"/>
      <c r="AQ114" s="2023"/>
      <c r="AR114" s="2023"/>
      <c r="AS114" s="2023"/>
      <c r="AT114" s="2023"/>
      <c r="AU114" s="2023"/>
      <c r="AV114" s="2023"/>
      <c r="AW114" s="933"/>
      <c r="AZ114" s="2222" t="n">
        <v>34.1583333333333</v>
      </c>
      <c r="BA114" s="401"/>
      <c r="BB114" s="401" t="n">
        <v>219.4</v>
      </c>
      <c r="BC114" s="401"/>
      <c r="BD114" s="401"/>
      <c r="BE114" s="401"/>
      <c r="BF114" s="401"/>
      <c r="BG114" s="401"/>
      <c r="BH114" s="401"/>
      <c r="BI114" s="218"/>
      <c r="BJ114" s="218"/>
      <c r="BK114" s="401"/>
      <c r="BL114" s="401"/>
      <c r="BM114" s="401"/>
      <c r="BN114" s="32"/>
      <c r="BO114" s="218" t="n">
        <v>21145</v>
      </c>
      <c r="BQ114" s="218" t="n">
        <v>3472</v>
      </c>
      <c r="BR114" s="1319" t="n">
        <f aca="false">BQ114/BO114</f>
        <v>0.164199574367463</v>
      </c>
      <c r="CB114" s="2216"/>
      <c r="CG114" s="2216"/>
      <c r="CX114" s="2217"/>
      <c r="DC114" s="2227"/>
      <c r="DD114" s="1509" t="n">
        <v>9.804</v>
      </c>
      <c r="DE114" s="2017" t="n">
        <v>231.92</v>
      </c>
      <c r="DF114" s="1509" t="n">
        <f aca="false">DD114*DE114/100</f>
        <v>22.7374368</v>
      </c>
      <c r="DG114" s="1509" t="n">
        <f aca="false">DF114*DataDE1!B12/DataDE1!G12</f>
        <v>20.9477346268398</v>
      </c>
      <c r="DH114" s="1509" t="n">
        <f aca="false">(DG114/1.95583)*TableDE15a!B$149/TableDE15a!B90</f>
        <v>48.7018927038166</v>
      </c>
      <c r="DI114" s="115" t="n">
        <v>18351</v>
      </c>
      <c r="DJ114" s="2251" t="n">
        <f aca="false">DJ113+(DJ$153-DJ$113)/40</f>
        <v>1.80013595724343</v>
      </c>
      <c r="DK114" s="1509" t="n">
        <f aca="false">DJ114*DH114</f>
        <v>87.6700282419517</v>
      </c>
      <c r="DL114" s="485" t="n">
        <v>84.3</v>
      </c>
      <c r="DM114" s="485" t="n">
        <v>52.647</v>
      </c>
    </row>
    <row r="115" customFormat="false" ht="12" hidden="false" customHeight="false" outlineLevel="0" collapsed="false">
      <c r="A115" s="31" t="n">
        <v>1952</v>
      </c>
      <c r="B115" s="381"/>
      <c r="C115" s="1994"/>
      <c r="D115" s="31"/>
      <c r="E115" s="31"/>
      <c r="F115" s="32"/>
      <c r="G115" s="911"/>
      <c r="H115" s="933"/>
      <c r="I115" s="32"/>
      <c r="J115" s="32"/>
      <c r="K115" s="32"/>
      <c r="L115" s="32"/>
      <c r="M115" s="32"/>
      <c r="N115" s="32"/>
      <c r="O115" s="1479"/>
      <c r="P115" s="1479"/>
      <c r="Q115" s="1479"/>
      <c r="R115" s="1479"/>
      <c r="S115" s="1479"/>
      <c r="T115" s="1479"/>
      <c r="U115" s="1479"/>
      <c r="V115" s="911"/>
      <c r="X115" s="2204"/>
      <c r="Y115" s="2008"/>
      <c r="Z115" s="2008"/>
      <c r="AA115" s="2008"/>
      <c r="AD115" s="2204"/>
      <c r="AE115" s="2008"/>
      <c r="AF115" s="2023"/>
      <c r="AG115" s="2236"/>
      <c r="AH115" s="2023"/>
      <c r="AI115" s="1999"/>
      <c r="AJ115" s="2009"/>
      <c r="AK115" s="2207"/>
      <c r="AL115" s="2207"/>
      <c r="AM115" s="2207" t="n">
        <v>3461</v>
      </c>
      <c r="AN115" s="2208"/>
      <c r="AO115" s="2023"/>
      <c r="AP115" s="2023"/>
      <c r="AQ115" s="2023"/>
      <c r="AR115" s="2023"/>
      <c r="AS115" s="2023"/>
      <c r="AT115" s="2023"/>
      <c r="AU115" s="2023"/>
      <c r="AV115" s="2023"/>
      <c r="AW115" s="933"/>
      <c r="AZ115" s="2222" t="n">
        <v>34.8916666666667</v>
      </c>
      <c r="BA115" s="401"/>
      <c r="BB115" s="401" t="n">
        <v>232.5</v>
      </c>
      <c r="BC115" s="401"/>
      <c r="BD115" s="401"/>
      <c r="BE115" s="401"/>
      <c r="BF115" s="401"/>
      <c r="BG115" s="401"/>
      <c r="BH115" s="401"/>
      <c r="BI115" s="218"/>
      <c r="BJ115" s="218"/>
      <c r="BK115" s="401"/>
      <c r="BL115" s="401"/>
      <c r="BM115" s="401"/>
      <c r="BN115" s="32"/>
      <c r="BO115" s="218" t="n">
        <v>21454</v>
      </c>
      <c r="BQ115" s="218" t="n">
        <v>3461</v>
      </c>
      <c r="BR115" s="1319" t="n">
        <f aca="false">BQ115/BO115</f>
        <v>0.161321898014356</v>
      </c>
      <c r="CB115" s="2216"/>
      <c r="CG115" s="2216"/>
      <c r="CX115" s="2217"/>
      <c r="DC115" s="2227"/>
      <c r="DD115" s="1509" t="n">
        <v>10.415</v>
      </c>
      <c r="DE115" s="2017" t="n">
        <v>242.84</v>
      </c>
      <c r="DF115" s="1509" t="n">
        <f aca="false">DD115*DE115/100</f>
        <v>25.291786</v>
      </c>
      <c r="DG115" s="1509" t="n">
        <f aca="false">DF115*DataDE1!B13/DataDE1!G13</f>
        <v>23.2952361676985</v>
      </c>
      <c r="DH115" s="1509" t="n">
        <f aca="false">(DG115/1.95583)*TableDE15a!B$149/TableDE15a!B91</f>
        <v>53.0391109714349</v>
      </c>
      <c r="DI115" s="115" t="n">
        <v>18328</v>
      </c>
      <c r="DJ115" s="2251" t="n">
        <f aca="false">DJ114+(DJ$153-DJ$113)/40</f>
        <v>1.7893070024128</v>
      </c>
      <c r="DK115" s="1509" t="n">
        <f aca="false">DJ115*DH115</f>
        <v>94.903252662938</v>
      </c>
      <c r="DL115" s="485" t="n">
        <v>89.5</v>
      </c>
      <c r="DM115" s="485" t="n">
        <v>57.371</v>
      </c>
    </row>
    <row r="116" customFormat="false" ht="12" hidden="false" customHeight="false" outlineLevel="0" collapsed="false">
      <c r="A116" s="31" t="n">
        <v>1953</v>
      </c>
      <c r="B116" s="381"/>
      <c r="D116" s="31"/>
      <c r="E116" s="31"/>
      <c r="F116" s="32"/>
      <c r="G116" s="911"/>
      <c r="H116" s="933"/>
      <c r="I116" s="32"/>
      <c r="J116" s="32"/>
      <c r="K116" s="32"/>
      <c r="L116" s="32"/>
      <c r="M116" s="32"/>
      <c r="N116" s="32"/>
      <c r="O116" s="1479"/>
      <c r="P116" s="1479"/>
      <c r="Q116" s="1479"/>
      <c r="R116" s="1479"/>
      <c r="S116" s="1479"/>
      <c r="T116" s="1479"/>
      <c r="U116" s="1479"/>
      <c r="V116" s="911"/>
      <c r="X116" s="2204"/>
      <c r="Y116" s="2008"/>
      <c r="Z116" s="2008"/>
      <c r="AA116" s="2008"/>
      <c r="AD116" s="2204"/>
      <c r="AE116" s="2008"/>
      <c r="AF116" s="2023"/>
      <c r="AG116" s="2236"/>
      <c r="AH116" s="2023"/>
      <c r="AI116" s="1999"/>
      <c r="AJ116" s="2009"/>
      <c r="AK116" s="2207"/>
      <c r="AL116" s="2207"/>
      <c r="AM116" s="2207" t="n">
        <v>3453</v>
      </c>
      <c r="AN116" s="2208"/>
      <c r="AO116" s="2023"/>
      <c r="AP116" s="2023"/>
      <c r="AQ116" s="2023"/>
      <c r="AR116" s="2023"/>
      <c r="AS116" s="2023"/>
      <c r="AT116" s="2023"/>
      <c r="AU116" s="2023"/>
      <c r="AV116" s="2023"/>
      <c r="AW116" s="933"/>
      <c r="AZ116" s="2222" t="n">
        <v>34.3</v>
      </c>
      <c r="BA116" s="401"/>
      <c r="BB116" s="401" t="n">
        <v>228.1</v>
      </c>
      <c r="BC116" s="401"/>
      <c r="BD116" s="401"/>
      <c r="BE116" s="401"/>
      <c r="BF116" s="401"/>
      <c r="BG116" s="401"/>
      <c r="BH116" s="401"/>
      <c r="BI116" s="218"/>
      <c r="BJ116" s="218"/>
      <c r="BK116" s="401"/>
      <c r="BL116" s="401"/>
      <c r="BM116" s="401"/>
      <c r="BN116" s="32"/>
      <c r="BO116" s="218" t="n">
        <v>22011</v>
      </c>
      <c r="BQ116" s="218" t="n">
        <v>3453</v>
      </c>
      <c r="BR116" s="1319" t="n">
        <f aca="false">BQ116/BO116</f>
        <v>0.156876107400845</v>
      </c>
      <c r="CB116" s="2216"/>
      <c r="CC116" s="485" t="n">
        <f aca="false">29.7</f>
        <v>29.7</v>
      </c>
      <c r="CG116" s="2216"/>
      <c r="CX116" s="2217"/>
      <c r="DC116" s="2227"/>
      <c r="DD116" s="1509" t="n">
        <v>10.657</v>
      </c>
      <c r="DE116" s="2017" t="n">
        <v>239.69</v>
      </c>
      <c r="DF116" s="1509" t="n">
        <f aca="false">DD116*DE116/100</f>
        <v>25.5437633</v>
      </c>
      <c r="DG116" s="1509" t="n">
        <f aca="false">DF116*DataDE1!B14/DataDE1!G14</f>
        <v>23.5774376965027</v>
      </c>
      <c r="DH116" s="1509" t="n">
        <f aca="false">(DG116/1.95583)*TableDE15a!B$149/TableDE15a!B92</f>
        <v>54.6234167254196</v>
      </c>
      <c r="DI116" s="115" t="n">
        <v>18178</v>
      </c>
      <c r="DJ116" s="2251" t="n">
        <f aca="false">DJ115+(DJ$153-DJ$113)/40</f>
        <v>1.77847804758217</v>
      </c>
      <c r="DK116" s="1509" t="n">
        <f aca="false">DJ116*DH116</f>
        <v>97.1465475300914</v>
      </c>
      <c r="DL116" s="485" t="n">
        <v>91.7</v>
      </c>
    </row>
    <row r="117" customFormat="false" ht="12" hidden="false" customHeight="false" outlineLevel="0" collapsed="false">
      <c r="A117" s="31" t="n">
        <v>1954</v>
      </c>
      <c r="D117" s="31"/>
      <c r="E117" s="31"/>
      <c r="F117" s="32"/>
      <c r="G117" s="911"/>
      <c r="H117" s="933"/>
      <c r="I117" s="32"/>
      <c r="J117" s="32"/>
      <c r="K117" s="32"/>
      <c r="L117" s="32"/>
      <c r="M117" s="32"/>
      <c r="N117" s="32"/>
      <c r="O117" s="1479"/>
      <c r="P117" s="1479"/>
      <c r="Q117" s="1479"/>
      <c r="R117" s="1479"/>
      <c r="S117" s="1479"/>
      <c r="T117" s="1479"/>
      <c r="U117" s="1479"/>
      <c r="V117" s="911"/>
      <c r="X117" s="2204"/>
      <c r="Y117" s="2008"/>
      <c r="Z117" s="2008"/>
      <c r="AA117" s="2008"/>
      <c r="AD117" s="2204"/>
      <c r="AE117" s="2008"/>
      <c r="AF117" s="2023"/>
      <c r="AG117" s="2236"/>
      <c r="AH117" s="2023"/>
      <c r="AI117" s="1999"/>
      <c r="AJ117" s="2009"/>
      <c r="AK117" s="2207"/>
      <c r="AL117" s="2207"/>
      <c r="AM117" s="2207" t="n">
        <v>3453</v>
      </c>
      <c r="AN117" s="2208"/>
      <c r="AO117" s="2023"/>
      <c r="AP117" s="2023"/>
      <c r="AQ117" s="2023"/>
      <c r="AR117" s="2023"/>
      <c r="AS117" s="2023"/>
      <c r="AT117" s="2023"/>
      <c r="AU117" s="2023"/>
      <c r="AV117" s="2023"/>
      <c r="AW117" s="933"/>
      <c r="AZ117" s="2222" t="n">
        <v>34.3583333333333</v>
      </c>
      <c r="BA117" s="401"/>
      <c r="BB117" s="401" t="n">
        <v>229.6</v>
      </c>
      <c r="BC117" s="401"/>
      <c r="BD117" s="401"/>
      <c r="BE117" s="401"/>
      <c r="BF117" s="401"/>
      <c r="BG117" s="401"/>
      <c r="BH117" s="401"/>
      <c r="BI117" s="218"/>
      <c r="BJ117" s="218"/>
      <c r="BK117" s="401"/>
      <c r="BL117" s="387"/>
      <c r="BM117" s="401"/>
      <c r="BN117" s="32"/>
      <c r="BO117" s="218" t="n">
        <v>22640</v>
      </c>
      <c r="BQ117" s="218" t="n">
        <v>3453</v>
      </c>
      <c r="BR117" s="1319" t="n">
        <f aca="false">BQ117/BO117</f>
        <v>0.152517667844523</v>
      </c>
      <c r="CB117" s="2216"/>
      <c r="CG117" s="2216"/>
      <c r="CX117" s="2217"/>
      <c r="DC117" s="2227"/>
      <c r="DD117" s="1509" t="n">
        <v>11.001</v>
      </c>
      <c r="DE117" s="2017" t="n">
        <v>238.96</v>
      </c>
      <c r="DF117" s="1509" t="n">
        <f aca="false">DD117*DE117/100</f>
        <v>26.2879896</v>
      </c>
      <c r="DG117" s="1509" t="n">
        <f aca="false">DF117*DataDE1!B15/DataDE1!G15</f>
        <v>24.2184897425239</v>
      </c>
      <c r="DH117" s="1509" t="n">
        <f aca="false">(DG117/1.95583)*TableDE15a!B$149/TableDE15a!B93</f>
        <v>55.9124007386385</v>
      </c>
      <c r="DI117" s="115" t="n">
        <v>18059</v>
      </c>
      <c r="DJ117" s="2251" t="n">
        <f aca="false">DJ116+(DJ$153-DJ$113)/40</f>
        <v>1.76764909275154</v>
      </c>
      <c r="DK117" s="1509" t="n">
        <f aca="false">DJ117*DH117</f>
        <v>98.8335044392146</v>
      </c>
      <c r="DL117" s="485" t="n">
        <v>94.6</v>
      </c>
    </row>
    <row r="118" customFormat="false" ht="12" hidden="false" customHeight="false" outlineLevel="0" collapsed="false">
      <c r="A118" s="31" t="n">
        <v>1955</v>
      </c>
      <c r="D118" s="31"/>
      <c r="E118" s="31"/>
      <c r="F118" s="32"/>
      <c r="G118" s="911"/>
      <c r="H118" s="933"/>
      <c r="I118" s="32"/>
      <c r="J118" s="32"/>
      <c r="K118" s="32"/>
      <c r="L118" s="32"/>
      <c r="M118" s="32"/>
      <c r="N118" s="32"/>
      <c r="O118" s="1479"/>
      <c r="P118" s="1479"/>
      <c r="Q118" s="1479"/>
      <c r="R118" s="1479"/>
      <c r="S118" s="1479"/>
      <c r="T118" s="1479"/>
      <c r="U118" s="1479"/>
      <c r="V118" s="911"/>
      <c r="X118" s="2204"/>
      <c r="Y118" s="2008"/>
      <c r="Z118" s="2008"/>
      <c r="AA118" s="2008"/>
      <c r="AD118" s="2204"/>
      <c r="AE118" s="2008"/>
      <c r="AF118" s="2023"/>
      <c r="AG118" s="2236"/>
      <c r="AH118" s="2023"/>
      <c r="AI118" s="1999"/>
      <c r="AJ118" s="2009"/>
      <c r="AK118" s="2207"/>
      <c r="AL118" s="2207"/>
      <c r="AM118" s="2207" t="n">
        <v>3454</v>
      </c>
      <c r="AN118" s="2208"/>
      <c r="AO118" s="2023"/>
      <c r="AP118" s="2023"/>
      <c r="AQ118" s="2023"/>
      <c r="AR118" s="2023"/>
      <c r="AS118" s="2023"/>
      <c r="AT118" s="2023"/>
      <c r="AU118" s="2023"/>
      <c r="AV118" s="2023"/>
      <c r="AW118" s="933"/>
      <c r="AZ118" s="2222" t="n">
        <v>34.8833333333333</v>
      </c>
      <c r="BA118" s="401"/>
      <c r="BB118" s="401" t="n">
        <v>235.7</v>
      </c>
      <c r="BC118" s="401"/>
      <c r="BD118" s="401"/>
      <c r="BE118" s="401"/>
      <c r="BF118" s="401"/>
      <c r="BG118" s="401"/>
      <c r="BH118" s="401"/>
      <c r="BI118" s="218"/>
      <c r="BJ118" s="218"/>
      <c r="BK118" s="401"/>
      <c r="BL118" s="401"/>
      <c r="BM118" s="401"/>
      <c r="BN118" s="32"/>
      <c r="BO118" s="218" t="n">
        <v>23590</v>
      </c>
      <c r="BQ118" s="218" t="n">
        <v>3454</v>
      </c>
      <c r="BR118" s="1319" t="n">
        <f aca="false">BQ118/BO118</f>
        <v>0.146417973717677</v>
      </c>
      <c r="CB118" s="2216"/>
      <c r="CG118" s="2216"/>
      <c r="CX118" s="2217"/>
      <c r="DC118" s="2227"/>
      <c r="DD118" s="1509" t="n">
        <v>11.561</v>
      </c>
      <c r="DE118" s="2017" t="n">
        <v>243.79</v>
      </c>
      <c r="DF118" s="1509" t="n">
        <f aca="false">DD118*DE118/100</f>
        <v>28.1845619</v>
      </c>
      <c r="DG118" s="1509" t="n">
        <f aca="false">DF118*DataDE1!B16/DataDE1!G16</f>
        <v>26.0223991993114</v>
      </c>
      <c r="DH118" s="1509" t="n">
        <f aca="false">(DG118/1.95583)*TableDE15a!B$149/TableDE15a!B94</f>
        <v>59.2483763177754</v>
      </c>
      <c r="DI118" s="115" t="n">
        <v>17944</v>
      </c>
      <c r="DJ118" s="2251" t="n">
        <f aca="false">DJ117+(DJ$153-DJ$113)/40</f>
        <v>1.7568201379209</v>
      </c>
      <c r="DK118" s="1509" t="n">
        <f aca="false">DJ118*DH118</f>
        <v>104.088740654184</v>
      </c>
      <c r="DL118" s="485" t="n">
        <v>99.4</v>
      </c>
    </row>
    <row r="119" customFormat="false" ht="12" hidden="false" customHeight="false" outlineLevel="0" collapsed="false">
      <c r="A119" s="31" t="n">
        <v>1956</v>
      </c>
      <c r="D119" s="31"/>
      <c r="E119" s="31"/>
      <c r="F119" s="32"/>
      <c r="G119" s="911"/>
      <c r="H119" s="933"/>
      <c r="I119" s="32"/>
      <c r="J119" s="32"/>
      <c r="K119" s="32"/>
      <c r="L119" s="32"/>
      <c r="M119" s="32"/>
      <c r="N119" s="32"/>
      <c r="O119" s="1479"/>
      <c r="P119" s="1479"/>
      <c r="Q119" s="1479"/>
      <c r="R119" s="1479"/>
      <c r="S119" s="1479"/>
      <c r="T119" s="1479"/>
      <c r="U119" s="1479"/>
      <c r="V119" s="911"/>
      <c r="X119" s="2204"/>
      <c r="Y119" s="2008"/>
      <c r="Z119" s="2008"/>
      <c r="AA119" s="2008"/>
      <c r="AD119" s="2204"/>
      <c r="AE119" s="2008"/>
      <c r="AF119" s="2023"/>
      <c r="AG119" s="2236"/>
      <c r="AH119" s="2023"/>
      <c r="AI119" s="1999"/>
      <c r="AJ119" s="2009"/>
      <c r="AK119" s="2207"/>
      <c r="AL119" s="2207"/>
      <c r="AM119" s="2207" t="n">
        <v>3450</v>
      </c>
      <c r="AN119" s="2208"/>
      <c r="AO119" s="2023"/>
      <c r="AP119" s="2023"/>
      <c r="AQ119" s="2023"/>
      <c r="AR119" s="2023"/>
      <c r="AS119" s="2023"/>
      <c r="AT119" s="2023"/>
      <c r="AU119" s="2023"/>
      <c r="AV119" s="2023"/>
      <c r="AW119" s="933"/>
      <c r="AZ119" s="2222" t="n">
        <v>35.7833333333333</v>
      </c>
      <c r="BA119" s="401"/>
      <c r="BB119" s="401" t="n">
        <v>241</v>
      </c>
      <c r="BC119" s="401"/>
      <c r="BD119" s="401"/>
      <c r="BE119" s="401"/>
      <c r="BF119" s="401"/>
      <c r="BG119" s="401"/>
      <c r="BH119" s="401"/>
      <c r="BI119" s="218"/>
      <c r="BJ119" s="218"/>
      <c r="BK119" s="401"/>
      <c r="BL119" s="401"/>
      <c r="BM119" s="401"/>
      <c r="BN119" s="32"/>
      <c r="BO119" s="218" t="n">
        <v>24193</v>
      </c>
      <c r="BQ119" s="218" t="n">
        <v>3450</v>
      </c>
      <c r="BR119" s="1319" t="n">
        <f aca="false">BQ119/BO119</f>
        <v>0.142603232339933</v>
      </c>
      <c r="CB119" s="2216"/>
      <c r="CG119" s="2216"/>
      <c r="CX119" s="2217"/>
      <c r="DC119" s="2227"/>
      <c r="DD119" s="1509" t="n">
        <v>11.879</v>
      </c>
      <c r="DE119" s="2017" t="n">
        <v>250.44</v>
      </c>
      <c r="DF119" s="1509" t="n">
        <f aca="false">DD119*DE119/100</f>
        <v>29.7497676</v>
      </c>
      <c r="DG119" s="1509" t="n">
        <f aca="false">DF119*DataDE1!B17/DataDE1!G17</f>
        <v>27.4196872683476</v>
      </c>
      <c r="DH119" s="1509" t="n">
        <f aca="false">(DG119/1.95583)*TableDE15a!B$149/TableDE15a!B95</f>
        <v>60.7537863011327</v>
      </c>
      <c r="DI119" s="115" t="n">
        <v>17716</v>
      </c>
      <c r="DJ119" s="2251" t="n">
        <f aca="false">DJ118+(DJ$153-DJ$113)/40</f>
        <v>1.74599118309027</v>
      </c>
      <c r="DK119" s="1509" t="n">
        <f aca="false">DJ119*DH119</f>
        <v>106.075575221128</v>
      </c>
      <c r="DL119" s="485" t="n">
        <v>102.1</v>
      </c>
    </row>
    <row r="120" customFormat="false" ht="12" hidden="false" customHeight="false" outlineLevel="0" collapsed="false">
      <c r="A120" s="31" t="n">
        <v>1957</v>
      </c>
      <c r="D120" s="31"/>
      <c r="E120" s="31"/>
      <c r="F120" s="32"/>
      <c r="G120" s="911"/>
      <c r="H120" s="933"/>
      <c r="I120" s="32"/>
      <c r="J120" s="32"/>
      <c r="K120" s="32"/>
      <c r="L120" s="32"/>
      <c r="M120" s="32"/>
      <c r="N120" s="32"/>
      <c r="O120" s="1479"/>
      <c r="P120" s="1479"/>
      <c r="Q120" s="1479"/>
      <c r="R120" s="1479"/>
      <c r="S120" s="1479"/>
      <c r="T120" s="1479"/>
      <c r="U120" s="1479"/>
      <c r="V120" s="911"/>
      <c r="X120" s="2204"/>
      <c r="Y120" s="2008"/>
      <c r="Z120" s="2008"/>
      <c r="AA120" s="2008"/>
      <c r="AD120" s="2204"/>
      <c r="AE120" s="2008"/>
      <c r="AF120" s="2023"/>
      <c r="AG120" s="2236"/>
      <c r="AH120" s="2023"/>
      <c r="AI120" s="1999"/>
      <c r="AJ120" s="2009"/>
      <c r="AK120" s="2207"/>
      <c r="AL120" s="2207"/>
      <c r="AM120" s="2207" t="n">
        <v>3478</v>
      </c>
      <c r="AN120" s="2208"/>
      <c r="AO120" s="2023"/>
      <c r="AP120" s="2023"/>
      <c r="AQ120" s="2023"/>
      <c r="AR120" s="2023"/>
      <c r="AS120" s="2023"/>
      <c r="AT120" s="2023"/>
      <c r="AU120" s="2023"/>
      <c r="AV120" s="2023"/>
      <c r="AW120" s="933"/>
      <c r="AZ120" s="2222" t="n">
        <v>36.5083333333333</v>
      </c>
      <c r="BA120" s="401"/>
      <c r="BB120" s="401" t="n">
        <v>247.4</v>
      </c>
      <c r="BC120" s="401"/>
      <c r="BD120" s="401"/>
      <c r="BE120" s="401"/>
      <c r="BF120" s="401"/>
      <c r="BG120" s="401"/>
      <c r="BH120" s="401"/>
      <c r="BI120" s="218"/>
      <c r="BJ120" s="218"/>
      <c r="BK120" s="401"/>
      <c r="BL120" s="401"/>
      <c r="BM120" s="401"/>
      <c r="BN120" s="32"/>
      <c r="BO120" s="218" t="n">
        <v>24690</v>
      </c>
      <c r="BQ120" s="218" t="n">
        <v>3478</v>
      </c>
      <c r="BR120" s="1319" t="n">
        <f aca="false">BQ120/BO120</f>
        <v>0.140866747671122</v>
      </c>
      <c r="CB120" s="2216"/>
      <c r="CG120" s="2216"/>
      <c r="CX120" s="2217"/>
      <c r="DC120" s="2227"/>
      <c r="DD120" s="1509" t="n">
        <v>12.299</v>
      </c>
      <c r="DE120" s="2017" t="n">
        <v>257.7</v>
      </c>
      <c r="DF120" s="1509" t="n">
        <f aca="false">DD120*DE120/100</f>
        <v>31.694523</v>
      </c>
      <c r="DG120" s="1509" t="n">
        <f aca="false">DF120*DataDE1!B18/DataDE1!G18</f>
        <v>29.1469232719457</v>
      </c>
      <c r="DH120" s="1509" t="n">
        <f aca="false">(DG120/1.95583)*TableDE15a!B$149/TableDE15a!B96</f>
        <v>63.3062006928563</v>
      </c>
      <c r="DI120" s="115" t="n">
        <v>17517</v>
      </c>
      <c r="DJ120" s="2251" t="n">
        <f aca="false">DJ119+(DJ$153-DJ$113)/40</f>
        <v>1.73516222825964</v>
      </c>
      <c r="DK120" s="1509" t="n">
        <f aca="false">DJ120*DH120</f>
        <v>109.846528256869</v>
      </c>
      <c r="DL120" s="485" t="n">
        <v>105.7</v>
      </c>
    </row>
    <row r="121" customFormat="false" ht="12" hidden="false" customHeight="false" outlineLevel="0" collapsed="false">
      <c r="A121" s="31" t="n">
        <v>1958</v>
      </c>
      <c r="D121" s="31"/>
      <c r="E121" s="31"/>
      <c r="F121" s="32"/>
      <c r="G121" s="911"/>
      <c r="H121" s="933"/>
      <c r="I121" s="32"/>
      <c r="J121" s="32"/>
      <c r="K121" s="32"/>
      <c r="L121" s="32"/>
      <c r="M121" s="32"/>
      <c r="N121" s="32"/>
      <c r="O121" s="1479"/>
      <c r="P121" s="1479"/>
      <c r="Q121" s="1479"/>
      <c r="R121" s="1479"/>
      <c r="S121" s="1479"/>
      <c r="T121" s="1479"/>
      <c r="U121" s="1479"/>
      <c r="V121" s="911"/>
      <c r="X121" s="2204"/>
      <c r="Y121" s="2008"/>
      <c r="Z121" s="2008"/>
      <c r="AA121" s="2008"/>
      <c r="AD121" s="2204"/>
      <c r="AE121" s="2008"/>
      <c r="AF121" s="2023"/>
      <c r="AG121" s="2236"/>
      <c r="AH121" s="2023"/>
      <c r="AI121" s="1999"/>
      <c r="AJ121" s="2009"/>
      <c r="AK121" s="2207"/>
      <c r="AL121" s="2207"/>
      <c r="AM121" s="2207" t="n">
        <v>3541</v>
      </c>
      <c r="AN121" s="2208"/>
      <c r="AO121" s="2023"/>
      <c r="AP121" s="2023"/>
      <c r="AQ121" s="2023"/>
      <c r="AR121" s="2023"/>
      <c r="AS121" s="2023"/>
      <c r="AT121" s="2023"/>
      <c r="AU121" s="2023"/>
      <c r="AV121" s="2023"/>
      <c r="AW121" s="933"/>
      <c r="AZ121" s="2222" t="n">
        <v>37.1833333333333</v>
      </c>
      <c r="BA121" s="401"/>
      <c r="BB121" s="401" t="n">
        <v>250</v>
      </c>
      <c r="BC121" s="401"/>
      <c r="BD121" s="401"/>
      <c r="BE121" s="401"/>
      <c r="BF121" s="401"/>
      <c r="BG121" s="401"/>
      <c r="BH121" s="401"/>
      <c r="BI121" s="218"/>
      <c r="BJ121" s="218"/>
      <c r="BK121" s="401"/>
      <c r="BL121" s="401"/>
      <c r="BM121" s="401"/>
      <c r="BN121" s="32"/>
      <c r="BO121" s="218" t="n">
        <v>24945</v>
      </c>
      <c r="BQ121" s="218" t="n">
        <v>3541</v>
      </c>
      <c r="BR121" s="1319" t="n">
        <f aca="false">BQ121/BO121</f>
        <v>0.141952295049108</v>
      </c>
      <c r="CB121" s="2216"/>
      <c r="CG121" s="2216"/>
      <c r="CX121" s="2217"/>
      <c r="DC121" s="2227"/>
      <c r="DD121" s="1509" t="n">
        <v>12.592</v>
      </c>
      <c r="DE121" s="2017" t="n">
        <v>265.37</v>
      </c>
      <c r="DF121" s="1509" t="n">
        <f aca="false">DD121*DE121/100</f>
        <v>33.4153904</v>
      </c>
      <c r="DG121" s="1509" t="n">
        <f aca="false">DF121*DataDE1!B19/DataDE1!G19</f>
        <v>30.6046620498769</v>
      </c>
      <c r="DH121" s="1509" t="n">
        <f aca="false">(DG121/1.95583)*TableDE15a!B$149/TableDE15a!B97</f>
        <v>64.9762009515737</v>
      </c>
      <c r="DI121" s="115" t="n">
        <v>17355</v>
      </c>
      <c r="DJ121" s="2251" t="n">
        <f aca="false">DJ120+(DJ$153-DJ$113)/40</f>
        <v>1.72433327342901</v>
      </c>
      <c r="DK121" s="1509" t="n">
        <f aca="false">DJ121*DH121</f>
        <v>112.040625281808</v>
      </c>
      <c r="DL121" s="485" t="n">
        <v>108.3</v>
      </c>
    </row>
    <row r="122" customFormat="false" ht="12" hidden="false" customHeight="false" outlineLevel="0" collapsed="false">
      <c r="A122" s="31" t="n">
        <v>1959</v>
      </c>
      <c r="D122" s="31"/>
      <c r="E122" s="31"/>
      <c r="F122" s="32"/>
      <c r="G122" s="911"/>
      <c r="H122" s="933"/>
      <c r="I122" s="32"/>
      <c r="J122" s="32"/>
      <c r="K122" s="32"/>
      <c r="L122" s="32"/>
      <c r="M122" s="32"/>
      <c r="N122" s="32"/>
      <c r="O122" s="1479"/>
      <c r="P122" s="1479"/>
      <c r="Q122" s="1479"/>
      <c r="R122" s="1479"/>
      <c r="S122" s="1479"/>
      <c r="T122" s="1479"/>
      <c r="U122" s="1479"/>
      <c r="V122" s="911"/>
      <c r="X122" s="2204"/>
      <c r="Y122" s="2008"/>
      <c r="Z122" s="2008"/>
      <c r="AA122" s="2008"/>
      <c r="AD122" s="2204"/>
      <c r="AE122" s="2008"/>
      <c r="AF122" s="2023"/>
      <c r="AG122" s="2236"/>
      <c r="AH122" s="2023"/>
      <c r="AI122" s="1999"/>
      <c r="AJ122" s="2009"/>
      <c r="AK122" s="2207"/>
      <c r="AL122" s="2207"/>
      <c r="AM122" s="2207" t="n">
        <v>3536</v>
      </c>
      <c r="AN122" s="2208"/>
      <c r="AO122" s="2023"/>
      <c r="AP122" s="2023"/>
      <c r="AQ122" s="2023"/>
      <c r="AR122" s="2023"/>
      <c r="AS122" s="2023"/>
      <c r="AT122" s="2023"/>
      <c r="AU122" s="2023"/>
      <c r="AV122" s="2023"/>
      <c r="AW122" s="933"/>
      <c r="AZ122" s="2222" t="n">
        <v>37.425</v>
      </c>
      <c r="BA122" s="401"/>
      <c r="BB122" s="401" t="n">
        <v>260.1</v>
      </c>
      <c r="BC122" s="401"/>
      <c r="BD122" s="401"/>
      <c r="BE122" s="401"/>
      <c r="BF122" s="401"/>
      <c r="BG122" s="401"/>
      <c r="BH122" s="401"/>
      <c r="BI122" s="218"/>
      <c r="BJ122" s="218"/>
      <c r="BK122" s="401"/>
      <c r="BL122" s="401"/>
      <c r="BM122" s="401"/>
      <c r="BN122" s="32"/>
      <c r="BO122" s="218" t="n">
        <v>25189</v>
      </c>
      <c r="BQ122" s="218" t="n">
        <v>3536</v>
      </c>
      <c r="BR122" s="1319" t="n">
        <f aca="false">BQ122/BO122</f>
        <v>0.140378736750169</v>
      </c>
      <c r="CB122" s="2216"/>
      <c r="CG122" s="2216"/>
      <c r="CX122" s="2217"/>
      <c r="DC122" s="2227"/>
      <c r="DD122" s="1509" t="n">
        <v>12.872</v>
      </c>
      <c r="DE122" s="2017" t="n">
        <v>269.7</v>
      </c>
      <c r="DF122" s="1509" t="n">
        <f aca="false">DD122*DE122/100</f>
        <v>34.715784</v>
      </c>
      <c r="DG122" s="1509" t="n">
        <f aca="false">DF122*DataDE1!B20/DataDE1!G20</f>
        <v>31.7332390788631</v>
      </c>
      <c r="DH122" s="1509" t="n">
        <f aca="false">(DG122/1.95583)*TableDE15a!B$149/TableDE15a!B98</f>
        <v>66.9417686113566</v>
      </c>
      <c r="DI122" s="115" t="n">
        <v>17298</v>
      </c>
      <c r="DJ122" s="2251" t="n">
        <f aca="false">DJ121+(DJ$153-DJ$113)/40</f>
        <v>1.71350431859838</v>
      </c>
      <c r="DK122" s="1509" t="n">
        <f aca="false">DJ122*DH122</f>
        <v>114.705009610173</v>
      </c>
      <c r="DL122" s="485" t="n">
        <v>110.8</v>
      </c>
    </row>
    <row r="123" customFormat="false" ht="12" hidden="false" customHeight="false" outlineLevel="0" collapsed="false">
      <c r="A123" s="31" t="n">
        <v>1960</v>
      </c>
      <c r="D123" s="31"/>
      <c r="E123" s="31"/>
      <c r="F123" s="32"/>
      <c r="G123" s="911"/>
      <c r="H123" s="933"/>
      <c r="I123" s="32"/>
      <c r="J123" s="32"/>
      <c r="K123" s="32"/>
      <c r="L123" s="32"/>
      <c r="M123" s="32"/>
      <c r="N123" s="32"/>
      <c r="O123" s="31"/>
      <c r="P123" s="31"/>
      <c r="Q123" s="31"/>
      <c r="R123" s="31"/>
      <c r="S123" s="31"/>
      <c r="T123" s="31"/>
      <c r="U123" s="31"/>
      <c r="V123" s="911"/>
      <c r="Y123" s="2008"/>
      <c r="Z123" s="2008"/>
      <c r="AA123" s="2008"/>
      <c r="AF123" s="2023"/>
      <c r="AG123" s="2236"/>
      <c r="AH123" s="2023"/>
      <c r="AI123" s="911"/>
      <c r="AJ123" s="2009"/>
      <c r="AK123" s="2207"/>
      <c r="AL123" s="2207"/>
      <c r="AM123" s="2207"/>
      <c r="AN123" s="2208"/>
      <c r="AO123" s="2023"/>
      <c r="AP123" s="2023"/>
      <c r="AQ123" s="2023"/>
      <c r="AR123" s="2023"/>
      <c r="AS123" s="2023"/>
      <c r="AT123" s="2023"/>
      <c r="AU123" s="2023"/>
      <c r="AV123" s="2023"/>
      <c r="AW123" s="933"/>
      <c r="AZ123" s="2222" t="n">
        <v>38.0916666666667</v>
      </c>
      <c r="BA123" s="401"/>
      <c r="BG123" s="401"/>
      <c r="BI123" s="218"/>
      <c r="BJ123" s="218"/>
      <c r="BN123" s="32"/>
      <c r="BO123" s="218"/>
      <c r="BQ123" s="218"/>
      <c r="BR123" s="2212"/>
      <c r="CB123" s="2216"/>
      <c r="CG123" s="2216"/>
      <c r="CX123" s="2217"/>
      <c r="DC123" s="2227"/>
      <c r="DD123" s="1509" t="n">
        <v>13.152</v>
      </c>
      <c r="DE123" s="2017" t="n">
        <v>277.59</v>
      </c>
      <c r="DF123" s="1509" t="n">
        <f aca="false">DD123*DE123/100</f>
        <v>36.5086368</v>
      </c>
      <c r="DG123" s="1509" t="n">
        <f aca="false">DF123*DataDE1!B21/DataDE1!G21</f>
        <v>33.3834568563478</v>
      </c>
      <c r="DH123" s="1509" t="n">
        <f aca="false">(DG123/1.95583)*TableDE15a!B$149/TableDE15a!B99</f>
        <v>69.3156502959236</v>
      </c>
      <c r="DI123" s="115" t="n">
        <v>17241</v>
      </c>
      <c r="DJ123" s="2251" t="n">
        <f aca="false">DJ122+(DJ$153-DJ$113)/40</f>
        <v>1.70267536376775</v>
      </c>
      <c r="DK123" s="1509" t="n">
        <f aca="false">DJ123*DH123</f>
        <v>118.022050082409</v>
      </c>
      <c r="DL123" s="485" t="n">
        <v>113.1</v>
      </c>
    </row>
    <row r="124" customFormat="false" ht="12" hidden="false" customHeight="false" outlineLevel="0" collapsed="false">
      <c r="A124" s="31" t="n">
        <v>1961</v>
      </c>
      <c r="D124" s="31"/>
      <c r="E124" s="31"/>
      <c r="F124" s="32"/>
      <c r="G124" s="911"/>
      <c r="H124" s="933"/>
      <c r="I124" s="32"/>
      <c r="J124" s="32"/>
      <c r="K124" s="32"/>
      <c r="L124" s="32"/>
      <c r="M124" s="32"/>
      <c r="N124" s="32"/>
      <c r="O124" s="31"/>
      <c r="P124" s="31"/>
      <c r="Q124" s="31"/>
      <c r="R124" s="31"/>
      <c r="S124" s="31"/>
      <c r="T124" s="31"/>
      <c r="U124" s="31"/>
      <c r="V124" s="911"/>
      <c r="Z124" s="2008"/>
      <c r="AA124" s="2008"/>
      <c r="AF124" s="2023"/>
      <c r="AG124" s="2236"/>
      <c r="AH124" s="2023"/>
      <c r="AI124" s="911"/>
      <c r="AJ124" s="2009"/>
      <c r="AK124" s="2207"/>
      <c r="AL124" s="2207"/>
      <c r="AM124" s="2207"/>
      <c r="AN124" s="2208"/>
      <c r="AO124" s="2023"/>
      <c r="AP124" s="2023"/>
      <c r="AQ124" s="2023"/>
      <c r="AR124" s="2023"/>
      <c r="AS124" s="2023"/>
      <c r="AT124" s="2023"/>
      <c r="AU124" s="2023"/>
      <c r="AV124" s="2023"/>
      <c r="AW124" s="933"/>
      <c r="AZ124" s="2222" t="n">
        <v>38.9666666666667</v>
      </c>
      <c r="BA124" s="401"/>
      <c r="BG124" s="401"/>
      <c r="BI124" s="218"/>
      <c r="BJ124" s="218"/>
      <c r="BN124" s="32"/>
      <c r="BO124" s="218"/>
      <c r="BQ124" s="218"/>
      <c r="BR124" s="2212"/>
      <c r="CB124" s="2216"/>
      <c r="CG124" s="2216"/>
      <c r="CX124" s="2217"/>
      <c r="DC124" s="2227"/>
      <c r="DD124" s="1509" t="n">
        <v>13.216</v>
      </c>
      <c r="DE124" s="2017" t="n">
        <v>291.03</v>
      </c>
      <c r="DF124" s="1509" t="n">
        <f aca="false">DD124*DE124/100</f>
        <v>38.4625248</v>
      </c>
      <c r="DG124" s="1509" t="n">
        <f aca="false">DF124*DataDE1!B22/DataDE1!G22</f>
        <v>34.9606062847917</v>
      </c>
      <c r="DH124" s="1509" t="n">
        <f aca="false">(DG124/1.95583)*TableDE15a!B$149/TableDE15a!B100</f>
        <v>70.8090017097553</v>
      </c>
      <c r="DI124" s="115" t="n">
        <v>17125</v>
      </c>
      <c r="DJ124" s="2251" t="n">
        <f aca="false">DJ123+(DJ$153-DJ$113)/40</f>
        <v>1.69184640893711</v>
      </c>
      <c r="DK124" s="1509" t="n">
        <f aca="false">DJ124*DH124</f>
        <v>119.797955263072</v>
      </c>
      <c r="DL124" s="485" t="n">
        <v>113.6</v>
      </c>
    </row>
    <row r="125" customFormat="false" ht="12" hidden="false" customHeight="false" outlineLevel="0" collapsed="false">
      <c r="A125" s="31" t="n">
        <v>1962</v>
      </c>
      <c r="D125" s="31"/>
      <c r="E125" s="31"/>
      <c r="F125" s="32"/>
      <c r="G125" s="911"/>
      <c r="H125" s="933"/>
      <c r="I125" s="32"/>
      <c r="J125" s="32"/>
      <c r="K125" s="32"/>
      <c r="L125" s="32"/>
      <c r="M125" s="32"/>
      <c r="N125" s="32"/>
      <c r="O125" s="31"/>
      <c r="P125" s="31"/>
      <c r="Q125" s="31"/>
      <c r="R125" s="31"/>
      <c r="S125" s="31"/>
      <c r="T125" s="31"/>
      <c r="U125" s="31"/>
      <c r="V125" s="911"/>
      <c r="Z125" s="2008"/>
      <c r="AA125" s="2008"/>
      <c r="AF125" s="32"/>
      <c r="AG125" s="2225"/>
      <c r="AH125" s="32"/>
      <c r="AI125" s="911"/>
      <c r="AM125" s="2207"/>
      <c r="AN125" s="933"/>
      <c r="AO125" s="32"/>
      <c r="AP125" s="32"/>
      <c r="AQ125" s="32"/>
      <c r="AR125" s="32"/>
      <c r="AS125" s="32"/>
      <c r="AT125" s="32"/>
      <c r="AU125" s="32"/>
      <c r="AV125" s="32"/>
      <c r="AW125" s="933"/>
      <c r="AZ125" s="2222" t="n">
        <v>40.0916666666667</v>
      </c>
      <c r="BA125" s="401"/>
      <c r="BG125" s="401"/>
      <c r="BI125" s="218"/>
      <c r="BJ125" s="218"/>
      <c r="BN125" s="32"/>
      <c r="BO125" s="218"/>
      <c r="BQ125" s="218"/>
      <c r="BR125" s="2212"/>
      <c r="CB125" s="2216"/>
      <c r="CG125" s="2216"/>
      <c r="CX125" s="2217"/>
      <c r="DC125" s="2227"/>
      <c r="DD125" s="1509" t="n">
        <v>13.305</v>
      </c>
      <c r="DE125" s="2017" t="n">
        <v>302.65</v>
      </c>
      <c r="DF125" s="1509" t="n">
        <f aca="false">DD125*DE125/100</f>
        <v>40.2675825</v>
      </c>
      <c r="DG125" s="1509" t="n">
        <f aca="false">DF125*DataDE1!B23/DataDE1!G23</f>
        <v>36.4004984110592</v>
      </c>
      <c r="DH125" s="1509" t="n">
        <f aca="false">(DG125/1.95583)*TableDE15a!B$149/TableDE15a!B101</f>
        <v>71.744669502635</v>
      </c>
      <c r="DI125" s="115" t="n">
        <v>17102</v>
      </c>
      <c r="DJ125" s="2251" t="n">
        <f aca="false">DJ124+(DJ$153-DJ$113)/40</f>
        <v>1.68101745410648</v>
      </c>
      <c r="DK125" s="1509" t="n">
        <f aca="false">DJ125*DH125</f>
        <v>120.604041673031</v>
      </c>
      <c r="DL125" s="485" t="n">
        <v>114.4</v>
      </c>
    </row>
    <row r="126" customFormat="false" ht="12" hidden="false" customHeight="false" outlineLevel="0" collapsed="false">
      <c r="A126" s="31" t="n">
        <v>1963</v>
      </c>
      <c r="D126" s="31"/>
      <c r="E126" s="31"/>
      <c r="F126" s="32"/>
      <c r="G126" s="911"/>
      <c r="H126" s="933"/>
      <c r="I126" s="32"/>
      <c r="J126" s="32"/>
      <c r="K126" s="32"/>
      <c r="L126" s="32"/>
      <c r="M126" s="32"/>
      <c r="N126" s="32"/>
      <c r="O126" s="31"/>
      <c r="P126" s="31"/>
      <c r="Q126" s="31"/>
      <c r="R126" s="31"/>
      <c r="S126" s="31"/>
      <c r="T126" s="31"/>
      <c r="U126" s="31"/>
      <c r="V126" s="911"/>
      <c r="Z126" s="2008"/>
      <c r="AA126" s="2008"/>
      <c r="AF126" s="32"/>
      <c r="AG126" s="2225"/>
      <c r="AH126" s="32"/>
      <c r="AI126" s="911"/>
      <c r="AM126" s="2207"/>
      <c r="AN126" s="933"/>
      <c r="AO126" s="32"/>
      <c r="AP126" s="32"/>
      <c r="AQ126" s="32"/>
      <c r="AR126" s="32"/>
      <c r="AS126" s="32"/>
      <c r="AT126" s="32"/>
      <c r="AU126" s="32"/>
      <c r="AV126" s="32"/>
      <c r="AW126" s="933"/>
      <c r="AZ126" s="2222" t="n">
        <v>41.1916666666667</v>
      </c>
      <c r="BA126" s="401"/>
      <c r="BG126" s="401"/>
      <c r="BI126" s="218"/>
      <c r="BJ126" s="218"/>
      <c r="BN126" s="32"/>
      <c r="BQ126" s="218"/>
      <c r="BR126" s="2212"/>
      <c r="CB126" s="2216"/>
      <c r="CG126" s="2216"/>
      <c r="CX126" s="2217"/>
      <c r="DC126" s="2227"/>
      <c r="DD126" s="1509" t="n">
        <v>13.547</v>
      </c>
      <c r="DE126" s="2017" t="n">
        <v>312.1</v>
      </c>
      <c r="DF126" s="1509" t="n">
        <f aca="false">DD126*DE126/100</f>
        <v>42.280187</v>
      </c>
      <c r="DG126" s="1509" t="n">
        <f aca="false">DF126*DataDE1!B24/DataDE1!G24</f>
        <v>37.9917111618111</v>
      </c>
      <c r="DH126" s="1509" t="n">
        <f aca="false">(DG126/1.95583)*TableDE15a!B$149/TableDE15a!B102</f>
        <v>72.6785387111899</v>
      </c>
      <c r="DI126" s="115" t="n">
        <v>17155</v>
      </c>
      <c r="DJ126" s="2251" t="n">
        <f aca="false">DJ125+(DJ$153-DJ$113)/40</f>
        <v>1.67018849927585</v>
      </c>
      <c r="DK126" s="1509" t="n">
        <f aca="false">DJ126*DH126</f>
        <v>121.386859499604</v>
      </c>
      <c r="DL126" s="485" t="n">
        <v>116.5</v>
      </c>
    </row>
    <row r="127" customFormat="false" ht="12" hidden="false" customHeight="false" outlineLevel="0" collapsed="false">
      <c r="A127" s="31" t="n">
        <v>1964</v>
      </c>
      <c r="D127" s="31"/>
      <c r="E127" s="31"/>
      <c r="F127" s="32"/>
      <c r="G127" s="911"/>
      <c r="H127" s="933"/>
      <c r="I127" s="32"/>
      <c r="J127" s="32"/>
      <c r="K127" s="32"/>
      <c r="L127" s="32"/>
      <c r="M127" s="32"/>
      <c r="N127" s="32"/>
      <c r="O127" s="31"/>
      <c r="P127" s="31"/>
      <c r="Q127" s="31"/>
      <c r="R127" s="31"/>
      <c r="S127" s="31"/>
      <c r="T127" s="31"/>
      <c r="U127" s="31"/>
      <c r="V127" s="911"/>
      <c r="Z127" s="2008"/>
      <c r="AA127" s="2008"/>
      <c r="AF127" s="32"/>
      <c r="AG127" s="2225"/>
      <c r="AH127" s="32"/>
      <c r="AI127" s="911"/>
      <c r="AM127" s="2207"/>
      <c r="AN127" s="933"/>
      <c r="AO127" s="32"/>
      <c r="AP127" s="32"/>
      <c r="AQ127" s="32"/>
      <c r="AR127" s="32"/>
      <c r="AS127" s="32"/>
      <c r="AT127" s="32"/>
      <c r="AU127" s="32"/>
      <c r="AV127" s="32"/>
      <c r="AW127" s="933"/>
      <c r="AZ127" s="2222" t="n">
        <v>42.6333333333333</v>
      </c>
      <c r="BA127" s="401"/>
      <c r="BG127" s="401"/>
      <c r="BI127" s="218"/>
      <c r="BJ127" s="218"/>
      <c r="BN127" s="32"/>
      <c r="BQ127" s="218"/>
      <c r="BR127" s="2212"/>
      <c r="CB127" s="2216"/>
      <c r="CG127" s="2216"/>
      <c r="CX127" s="2217"/>
      <c r="DC127" s="2227"/>
      <c r="DD127" s="1509" t="n">
        <v>13.776</v>
      </c>
      <c r="DE127" s="2017" t="n">
        <v>321.55</v>
      </c>
      <c r="DF127" s="1509" t="n">
        <f aca="false">DD127*DE127/100</f>
        <v>44.296728</v>
      </c>
      <c r="DG127" s="1509" t="n">
        <f aca="false">DF127*DataDE1!B25/DataDE1!G25</f>
        <v>39.7189734108318</v>
      </c>
      <c r="DH127" s="1509" t="n">
        <f aca="false">(DG127/1.95583)*TableDE15a!B$149/TableDE15a!B103</f>
        <v>74.2360781139397</v>
      </c>
      <c r="DI127" s="115" t="n">
        <v>16992</v>
      </c>
      <c r="DJ127" s="2251" t="n">
        <f aca="false">DJ126+(DJ$153-DJ$113)/40</f>
        <v>1.65935954444522</v>
      </c>
      <c r="DK127" s="1509" t="n">
        <f aca="false">DJ127*DH127</f>
        <v>123.184344760547</v>
      </c>
      <c r="DL127" s="485" t="n">
        <v>118.5</v>
      </c>
    </row>
    <row r="128" customFormat="false" ht="12" hidden="false" customHeight="false" outlineLevel="0" collapsed="false">
      <c r="A128" s="31" t="n">
        <v>1965</v>
      </c>
      <c r="D128" s="31"/>
      <c r="E128" s="31"/>
      <c r="F128" s="32"/>
      <c r="G128" s="911"/>
      <c r="H128" s="933"/>
      <c r="I128" s="32"/>
      <c r="J128" s="32"/>
      <c r="K128" s="32"/>
      <c r="L128" s="32"/>
      <c r="M128" s="32"/>
      <c r="N128" s="32"/>
      <c r="O128" s="31"/>
      <c r="P128" s="31"/>
      <c r="Q128" s="31"/>
      <c r="R128" s="31"/>
      <c r="S128" s="31"/>
      <c r="T128" s="31"/>
      <c r="U128" s="31"/>
      <c r="V128" s="911"/>
      <c r="Z128" s="2008"/>
      <c r="AA128" s="2008"/>
      <c r="AF128" s="32"/>
      <c r="AG128" s="2225"/>
      <c r="AH128" s="32"/>
      <c r="AI128" s="911"/>
      <c r="AM128" s="2207"/>
      <c r="AN128" s="933"/>
      <c r="AO128" s="32"/>
      <c r="AP128" s="32"/>
      <c r="AQ128" s="32"/>
      <c r="AR128" s="32"/>
      <c r="AS128" s="32"/>
      <c r="AT128" s="32"/>
      <c r="AU128" s="32"/>
      <c r="AV128" s="32"/>
      <c r="AW128" s="933"/>
      <c r="AZ128" s="2222" t="n">
        <v>43.925</v>
      </c>
      <c r="BA128" s="401"/>
      <c r="BG128" s="401"/>
      <c r="BI128" s="218"/>
      <c r="BJ128" s="218"/>
      <c r="BN128" s="32"/>
      <c r="BQ128" s="218"/>
      <c r="BR128" s="2212"/>
      <c r="CB128" s="2216"/>
      <c r="CG128" s="2216"/>
      <c r="CX128" s="2217"/>
      <c r="DC128" s="2227"/>
      <c r="DD128" s="1509" t="n">
        <v>14.196</v>
      </c>
      <c r="DE128" s="2017" t="n">
        <v>333.48</v>
      </c>
      <c r="DF128" s="1509" t="n">
        <f aca="false">DD128*DE128/100</f>
        <v>47.3408208</v>
      </c>
      <c r="DG128" s="1509" t="n">
        <f aca="false">DF128*DataDE1!B26/DataDE1!G26</f>
        <v>42.3357457677455</v>
      </c>
      <c r="DH128" s="1509" t="n">
        <f aca="false">(DG128/1.95583)*TableDE15a!B$149/TableDE15a!B104</f>
        <v>76.7024109090082</v>
      </c>
      <c r="DI128" s="115" t="n">
        <v>17028</v>
      </c>
      <c r="DJ128" s="2251" t="n">
        <f aca="false">DJ127+(DJ$153-DJ$113)/40</f>
        <v>1.64853058961459</v>
      </c>
      <c r="DK128" s="1509" t="n">
        <f aca="false">DJ128*DH128</f>
        <v>126.446270680688</v>
      </c>
      <c r="DL128" s="485" t="n">
        <v>122.1</v>
      </c>
    </row>
    <row r="129" customFormat="false" ht="12" hidden="false" customHeight="false" outlineLevel="0" collapsed="false">
      <c r="A129" s="31" t="n">
        <v>1966</v>
      </c>
      <c r="D129" s="31"/>
      <c r="E129" s="31"/>
      <c r="F129" s="32"/>
      <c r="G129" s="911"/>
      <c r="H129" s="933"/>
      <c r="I129" s="32"/>
      <c r="J129" s="32"/>
      <c r="K129" s="32"/>
      <c r="L129" s="32"/>
      <c r="M129" s="32"/>
      <c r="N129" s="32"/>
      <c r="O129" s="31"/>
      <c r="P129" s="31"/>
      <c r="Q129" s="31"/>
      <c r="R129" s="31"/>
      <c r="S129" s="31"/>
      <c r="T129" s="31"/>
      <c r="U129" s="31"/>
      <c r="V129" s="911"/>
      <c r="Z129" s="2008"/>
      <c r="AA129" s="2008"/>
      <c r="AF129" s="32"/>
      <c r="AG129" s="2225"/>
      <c r="AH129" s="32"/>
      <c r="AI129" s="911"/>
      <c r="AM129" s="2207"/>
      <c r="AN129" s="933"/>
      <c r="AO129" s="32"/>
      <c r="AP129" s="32"/>
      <c r="AQ129" s="32"/>
      <c r="AR129" s="32"/>
      <c r="AS129" s="32"/>
      <c r="AT129" s="32"/>
      <c r="AU129" s="32"/>
      <c r="AV129" s="32"/>
      <c r="AW129" s="933"/>
      <c r="AZ129" s="2222" t="n">
        <v>45.5166666666667</v>
      </c>
      <c r="BA129" s="401"/>
      <c r="BG129" s="401"/>
      <c r="BI129" s="218"/>
      <c r="BJ129" s="218"/>
      <c r="BN129" s="32"/>
      <c r="BQ129" s="218"/>
      <c r="BR129" s="2212"/>
      <c r="CB129" s="2216"/>
      <c r="CG129" s="2216"/>
      <c r="CX129" s="2217"/>
      <c r="DC129" s="2227"/>
      <c r="DD129" s="1509" t="n">
        <v>14.693</v>
      </c>
      <c r="DE129" s="2017" t="n">
        <v>344.85</v>
      </c>
      <c r="DF129" s="1509" t="n">
        <f aca="false">DD129*DE129/100</f>
        <v>50.6688105</v>
      </c>
      <c r="DG129" s="1509" t="n">
        <f aca="false">DF129*DataDE1!B27/DataDE1!G27</f>
        <v>45.1295532973383</v>
      </c>
      <c r="DH129" s="1509" t="n">
        <f aca="false">(DG129/1.95583)*TableDE15a!B$149/TableDE15a!B105</f>
        <v>79.1194708686166</v>
      </c>
      <c r="DI129" s="115" t="n">
        <v>17066</v>
      </c>
      <c r="DJ129" s="2251" t="n">
        <f aca="false">DJ128+(DJ$153-DJ$113)/40</f>
        <v>1.63770163478396</v>
      </c>
      <c r="DK129" s="1509" t="n">
        <f aca="false">DJ129*DH129</f>
        <v>129.574086784775</v>
      </c>
      <c r="DL129" s="485" t="n">
        <v>126.4</v>
      </c>
    </row>
    <row r="130" customFormat="false" ht="12" hidden="false" customHeight="false" outlineLevel="0" collapsed="false">
      <c r="A130" s="31" t="n">
        <v>1967</v>
      </c>
      <c r="D130" s="31"/>
      <c r="E130" s="31"/>
      <c r="F130" s="32"/>
      <c r="G130" s="911"/>
      <c r="H130" s="933"/>
      <c r="I130" s="32"/>
      <c r="J130" s="32"/>
      <c r="K130" s="32"/>
      <c r="L130" s="32"/>
      <c r="M130" s="32"/>
      <c r="N130" s="32"/>
      <c r="O130" s="31"/>
      <c r="P130" s="31"/>
      <c r="Q130" s="31"/>
      <c r="R130" s="31"/>
      <c r="S130" s="31"/>
      <c r="T130" s="31"/>
      <c r="U130" s="31"/>
      <c r="V130" s="911"/>
      <c r="Z130" s="2008"/>
      <c r="AA130" s="2008"/>
      <c r="AF130" s="32"/>
      <c r="AG130" s="2225"/>
      <c r="AH130" s="32"/>
      <c r="AI130" s="911"/>
      <c r="AM130" s="2207"/>
      <c r="AN130" s="933"/>
      <c r="AO130" s="32"/>
      <c r="AP130" s="32"/>
      <c r="AQ130" s="32"/>
      <c r="AR130" s="32"/>
      <c r="AS130" s="32"/>
      <c r="AT130" s="32"/>
      <c r="AU130" s="32"/>
      <c r="AV130" s="32"/>
      <c r="AW130" s="933"/>
      <c r="AZ130" s="2222" t="n">
        <v>46.3</v>
      </c>
      <c r="BA130" s="401"/>
      <c r="BG130" s="401"/>
      <c r="BI130" s="218"/>
      <c r="BJ130" s="218"/>
      <c r="BN130" s="32"/>
      <c r="BQ130" s="218"/>
      <c r="BR130" s="2212"/>
      <c r="CB130" s="2216"/>
      <c r="CG130" s="2216"/>
      <c r="CX130" s="2217"/>
      <c r="DC130" s="2227"/>
      <c r="DD130" s="1509" t="n">
        <v>15.202</v>
      </c>
      <c r="DE130" s="2017" t="n">
        <v>350.19</v>
      </c>
      <c r="DF130" s="1509" t="n">
        <f aca="false">DD130*DE130/100</f>
        <v>53.2358838</v>
      </c>
      <c r="DG130" s="1509" t="n">
        <f aca="false">DF130*DataDE1!B28/DataDE1!G28</f>
        <v>47.1810521058301</v>
      </c>
      <c r="DH130" s="1509" t="n">
        <f aca="false">(DG130/1.95583)*TableDE15a!B$149/TableDE15a!B106</f>
        <v>81.1843037143786</v>
      </c>
      <c r="DI130" s="115" t="n">
        <v>17082</v>
      </c>
      <c r="DJ130" s="2251" t="n">
        <f aca="false">DJ129+(DJ$153-DJ$113)/40</f>
        <v>1.62687267995332</v>
      </c>
      <c r="DK130" s="1509" t="n">
        <f aca="false">DJ130*DH130</f>
        <v>132.076525753956</v>
      </c>
      <c r="DL130" s="485" t="n">
        <v>130.7</v>
      </c>
    </row>
    <row r="131" customFormat="false" ht="12" hidden="false" customHeight="false" outlineLevel="0" collapsed="false">
      <c r="A131" s="31" t="n">
        <v>1968</v>
      </c>
      <c r="D131" s="31"/>
      <c r="E131" s="31"/>
      <c r="F131" s="32"/>
      <c r="G131" s="911"/>
      <c r="H131" s="933"/>
      <c r="I131" s="32"/>
      <c r="J131" s="32"/>
      <c r="K131" s="32"/>
      <c r="L131" s="32"/>
      <c r="M131" s="32"/>
      <c r="N131" s="32"/>
      <c r="O131" s="31"/>
      <c r="P131" s="31"/>
      <c r="Q131" s="31"/>
      <c r="R131" s="31"/>
      <c r="S131" s="31"/>
      <c r="T131" s="31"/>
      <c r="U131" s="31"/>
      <c r="V131" s="911"/>
      <c r="Z131" s="2008"/>
      <c r="AA131" s="2008"/>
      <c r="AF131" s="32"/>
      <c r="AG131" s="2225"/>
      <c r="AH131" s="32"/>
      <c r="AI131" s="911"/>
      <c r="AM131" s="2207"/>
      <c r="AN131" s="933"/>
      <c r="AO131" s="32"/>
      <c r="AP131" s="32"/>
      <c r="AQ131" s="32"/>
      <c r="AR131" s="32"/>
      <c r="AS131" s="32"/>
      <c r="AT131" s="32"/>
      <c r="AU131" s="32"/>
      <c r="AV131" s="32"/>
      <c r="AW131" s="933"/>
      <c r="AZ131" s="2222" t="n">
        <v>47</v>
      </c>
      <c r="BA131" s="401"/>
      <c r="BG131" s="401"/>
      <c r="BI131" s="218"/>
      <c r="BJ131" s="218"/>
      <c r="BN131" s="32"/>
      <c r="BQ131" s="218"/>
      <c r="BR131" s="2212"/>
      <c r="CB131" s="2216"/>
      <c r="CG131" s="2216"/>
      <c r="DC131" s="2227"/>
      <c r="DD131" s="1509" t="n">
        <v>15.788</v>
      </c>
      <c r="DE131" s="2017" t="n">
        <v>357.99</v>
      </c>
      <c r="DF131" s="1509" t="n">
        <f aca="false">DD131*DE131/100</f>
        <v>56.5194612</v>
      </c>
      <c r="DG131" s="1509" t="n">
        <f aca="false">DF131*DataDE1!B29/DataDE1!G29</f>
        <v>50.2792703541433</v>
      </c>
      <c r="DH131" s="1509" t="n">
        <f aca="false">(DG131/1.95583)*TableDE15a!B$149/TableDE15a!B107</f>
        <v>85.163596032341</v>
      </c>
      <c r="DI131" s="115" t="n">
        <v>17084</v>
      </c>
      <c r="DJ131" s="2251" t="n">
        <f aca="false">DJ130+(DJ$153-DJ$113)/40</f>
        <v>1.61604372512269</v>
      </c>
      <c r="DK131" s="1509" t="n">
        <f aca="false">DJ131*DH131</f>
        <v>137.628094976948</v>
      </c>
      <c r="DL131" s="485" t="n">
        <v>135.7</v>
      </c>
    </row>
    <row r="132" customFormat="false" ht="12" hidden="false" customHeight="false" outlineLevel="0" collapsed="false">
      <c r="A132" s="31" t="n">
        <v>1969</v>
      </c>
      <c r="D132" s="31"/>
      <c r="E132" s="31"/>
      <c r="F132" s="32"/>
      <c r="G132" s="911"/>
      <c r="H132" s="933"/>
      <c r="I132" s="32"/>
      <c r="J132" s="32"/>
      <c r="K132" s="32"/>
      <c r="L132" s="32"/>
      <c r="M132" s="32"/>
      <c r="N132" s="32"/>
      <c r="O132" s="31"/>
      <c r="P132" s="31"/>
      <c r="Q132" s="31"/>
      <c r="R132" s="31"/>
      <c r="S132" s="31"/>
      <c r="T132" s="31"/>
      <c r="U132" s="31"/>
      <c r="V132" s="911"/>
      <c r="Z132" s="2008"/>
      <c r="AA132" s="2008"/>
      <c r="AF132" s="32"/>
      <c r="AG132" s="2225"/>
      <c r="AH132" s="32"/>
      <c r="AI132" s="911"/>
      <c r="AM132" s="2207" t="e">
        <f aca="false">NA()</f>
        <v>#N/A</v>
      </c>
      <c r="AN132" s="933"/>
      <c r="AO132" s="32"/>
      <c r="AP132" s="32"/>
      <c r="AQ132" s="32"/>
      <c r="AR132" s="32"/>
      <c r="AS132" s="32"/>
      <c r="AT132" s="32"/>
      <c r="AU132" s="32"/>
      <c r="AV132" s="32"/>
      <c r="AW132" s="933"/>
      <c r="AZ132" s="2222" t="n">
        <v>48.1833333333333</v>
      </c>
      <c r="BA132" s="401"/>
      <c r="BG132" s="401"/>
      <c r="BI132" s="218"/>
      <c r="BJ132" s="218"/>
      <c r="BN132" s="32"/>
      <c r="BQ132" s="218"/>
      <c r="BR132" s="2212"/>
      <c r="CB132" s="2216"/>
      <c r="CG132" s="2216"/>
      <c r="DC132" s="2227"/>
      <c r="DD132" s="1509" t="n">
        <v>16.373</v>
      </c>
      <c r="DE132" s="2017" t="n">
        <v>372.97</v>
      </c>
      <c r="DF132" s="1509" t="n">
        <f aca="false">DD132*DE132/100</f>
        <v>61.0663781</v>
      </c>
      <c r="DG132" s="1509" t="n">
        <f aca="false">DF132*DataDE1!B30/DataDE1!G30</f>
        <v>54.5402127199429</v>
      </c>
      <c r="DH132" s="1509" t="n">
        <f aca="false">(DG132/1.95583)*TableDE15a!B$149/TableDE15a!B108</f>
        <v>90.7269516168748</v>
      </c>
      <c r="DI132" s="115" t="n">
        <v>17076</v>
      </c>
      <c r="DJ132" s="2251" t="n">
        <f aca="false">DJ131+(DJ$153-DJ$113)/40</f>
        <v>1.60521477029206</v>
      </c>
      <c r="DK132" s="1509" t="n">
        <f aca="false">DJ132*DH132</f>
        <v>145.63624279898</v>
      </c>
      <c r="DL132" s="485" t="n">
        <v>140.8</v>
      </c>
    </row>
    <row r="133" customFormat="false" ht="12" hidden="false" customHeight="false" outlineLevel="0" collapsed="false">
      <c r="A133" s="31" t="n">
        <v>1970</v>
      </c>
      <c r="D133" s="31"/>
      <c r="E133" s="31"/>
      <c r="F133" s="32"/>
      <c r="G133" s="911"/>
      <c r="H133" s="933"/>
      <c r="I133" s="32"/>
      <c r="J133" s="32"/>
      <c r="K133" s="32"/>
      <c r="L133" s="32"/>
      <c r="M133" s="32"/>
      <c r="N133" s="32"/>
      <c r="O133" s="31"/>
      <c r="P133" s="31"/>
      <c r="Q133" s="31"/>
      <c r="R133" s="31"/>
      <c r="S133" s="31"/>
      <c r="T133" s="31"/>
      <c r="U133" s="31"/>
      <c r="V133" s="911"/>
      <c r="Z133" s="2008"/>
      <c r="AA133" s="2008"/>
      <c r="AF133" s="32"/>
      <c r="AG133" s="2225"/>
      <c r="AH133" s="32"/>
      <c r="AI133" s="911"/>
      <c r="AN133" s="933"/>
      <c r="AO133" s="32"/>
      <c r="AP133" s="32"/>
      <c r="AQ133" s="32"/>
      <c r="AR133" s="32"/>
      <c r="AS133" s="32"/>
      <c r="AT133" s="32"/>
      <c r="AU133" s="32"/>
      <c r="AV133" s="32"/>
      <c r="AW133" s="933"/>
      <c r="AZ133" s="2222" t="n">
        <v>50.0333333333333</v>
      </c>
      <c r="BA133" s="401"/>
      <c r="BG133" s="401"/>
      <c r="BI133" s="218"/>
      <c r="BJ133" s="218"/>
      <c r="BN133" s="32"/>
      <c r="BQ133" s="218"/>
      <c r="BR133" s="2212"/>
      <c r="CB133" s="2216"/>
      <c r="CG133" s="2216"/>
      <c r="DC133" s="2227"/>
      <c r="DD133" s="1509" t="n">
        <v>16.832</v>
      </c>
      <c r="DE133" s="2017" t="n">
        <v>401.39</v>
      </c>
      <c r="DF133" s="1509" t="n">
        <f aca="false">DD133*DE133/100</f>
        <v>67.5619648</v>
      </c>
      <c r="DG133" s="1509" t="n">
        <f aca="false">DF133*DataDE1!B31/DataDE1!G31</f>
        <v>60.1649976055907</v>
      </c>
      <c r="DH133" s="1509" t="n">
        <f aca="false">(DG133/1.95583)*TableDE15a!B$149/TableDE15a!B109</f>
        <v>96.6240260840786</v>
      </c>
      <c r="DI133" s="115" t="n">
        <v>17058</v>
      </c>
      <c r="DJ133" s="2251" t="n">
        <f aca="false">DJ132+(DJ$153-DJ$113)/40</f>
        <v>1.59438581546143</v>
      </c>
      <c r="DK133" s="1509" t="n">
        <f aca="false">DJ133*DH133</f>
        <v>154.05597662123</v>
      </c>
      <c r="DL133" s="485" t="n">
        <v>144.8</v>
      </c>
    </row>
    <row r="134" customFormat="false" ht="12" hidden="false" customHeight="false" outlineLevel="0" collapsed="false">
      <c r="A134" s="31" t="n">
        <v>1971</v>
      </c>
      <c r="D134" s="31"/>
      <c r="E134" s="31"/>
      <c r="F134" s="32"/>
      <c r="G134" s="911"/>
      <c r="Z134" s="2008"/>
      <c r="AA134" s="2008"/>
      <c r="AF134" s="32"/>
      <c r="AG134" s="2225"/>
      <c r="AH134" s="32"/>
      <c r="AI134" s="911"/>
      <c r="AN134" s="933"/>
      <c r="AO134" s="32"/>
      <c r="AP134" s="32"/>
      <c r="AQ134" s="32"/>
      <c r="AR134" s="32"/>
      <c r="AS134" s="32"/>
      <c r="AT134" s="32"/>
      <c r="AU134" s="32"/>
      <c r="AV134" s="32"/>
      <c r="AW134" s="933"/>
      <c r="AZ134" s="2222" t="n">
        <v>52.5</v>
      </c>
      <c r="BA134" s="401"/>
      <c r="BG134" s="401"/>
      <c r="BI134" s="218"/>
      <c r="BJ134" s="218"/>
      <c r="BN134" s="32"/>
      <c r="BQ134" s="218"/>
      <c r="BR134" s="2212"/>
      <c r="CB134" s="2216"/>
      <c r="CG134" s="2216"/>
      <c r="DC134" s="2227"/>
      <c r="DD134" s="1509" t="n">
        <v>17.316</v>
      </c>
      <c r="DE134" s="2017" t="n">
        <v>432.62</v>
      </c>
      <c r="DF134" s="1509" t="n">
        <f aca="false">DD134*DE134/100</f>
        <v>74.9124792</v>
      </c>
      <c r="DG134" s="1509" t="n">
        <f aca="false">DF134*DataDE1!B32/DataDE1!G32</f>
        <v>66.3588606225465</v>
      </c>
      <c r="DH134" s="1509" t="n">
        <f aca="false">(DG134/1.95583)*TableDE15a!B$149/TableDE15a!B110</f>
        <v>101.317757880444</v>
      </c>
      <c r="DI134" s="115" t="n">
        <v>17061</v>
      </c>
      <c r="DJ134" s="2251" t="n">
        <f aca="false">DJ133+(DJ$153-DJ$113)/40</f>
        <v>1.5835568606308</v>
      </c>
      <c r="DK134" s="1509" t="n">
        <f aca="false">DJ134*DH134</f>
        <v>160.442430595306</v>
      </c>
      <c r="DL134" s="485" t="n">
        <v>149</v>
      </c>
    </row>
    <row r="135" customFormat="false" ht="12" hidden="false" customHeight="false" outlineLevel="0" collapsed="false">
      <c r="A135" s="31" t="n">
        <v>1972</v>
      </c>
      <c r="Z135" s="2008"/>
      <c r="AA135" s="2008"/>
      <c r="AG135" s="2225"/>
      <c r="AH135" s="32"/>
      <c r="AI135" s="911"/>
      <c r="AN135" s="933"/>
      <c r="AO135" s="32"/>
      <c r="AP135" s="32"/>
      <c r="AQ135" s="32"/>
      <c r="AR135" s="32"/>
      <c r="AS135" s="32"/>
      <c r="AT135" s="32"/>
      <c r="AU135" s="32"/>
      <c r="AV135" s="32"/>
      <c r="AW135" s="933"/>
      <c r="AZ135" s="2222" t="n">
        <v>55.3833333333334</v>
      </c>
      <c r="BA135" s="401"/>
      <c r="BG135" s="401"/>
      <c r="BI135" s="218"/>
      <c r="BJ135" s="218"/>
      <c r="BN135" s="32"/>
      <c r="BQ135" s="218"/>
      <c r="BR135" s="2212"/>
      <c r="DC135" s="2227"/>
      <c r="DD135" s="1509" t="n">
        <v>17.952</v>
      </c>
      <c r="DE135" s="2017" t="n">
        <v>455.56</v>
      </c>
      <c r="DF135" s="1509" t="n">
        <f aca="false">DD135*DE135/100</f>
        <v>81.7821312</v>
      </c>
      <c r="DG135" s="1509" t="n">
        <f aca="false">DF135*DataDE1!B33/DataDE1!G33</f>
        <v>72.2371030312075</v>
      </c>
      <c r="DH135" s="1509" t="n">
        <f aca="false">(DG135/1.95583)*TableDE15a!B$149/TableDE15a!B111</f>
        <v>104.643011308676</v>
      </c>
      <c r="DI135" s="115" t="n">
        <v>17043</v>
      </c>
      <c r="DJ135" s="2251" t="n">
        <f aca="false">DJ134+(DJ$153-DJ$113)/40</f>
        <v>1.57272790580017</v>
      </c>
      <c r="DK135" s="1509" t="n">
        <f aca="false">DJ135*DH135</f>
        <v>164.574984032116</v>
      </c>
      <c r="DL135" s="485" t="n">
        <v>154.4</v>
      </c>
    </row>
    <row r="136" customFormat="false" ht="12" hidden="false" customHeight="false" outlineLevel="0" collapsed="false">
      <c r="A136" s="31" t="n">
        <v>1973</v>
      </c>
      <c r="Z136" s="2008"/>
      <c r="AA136" s="2008"/>
      <c r="AN136" s="933"/>
      <c r="AO136" s="32"/>
      <c r="AP136" s="32"/>
      <c r="AQ136" s="32"/>
      <c r="AR136" s="32"/>
      <c r="AS136" s="32"/>
      <c r="AT136" s="32"/>
      <c r="AU136" s="32"/>
      <c r="AV136" s="32"/>
      <c r="AW136" s="933"/>
      <c r="AZ136" s="2222" t="n">
        <v>59.1916666666667</v>
      </c>
      <c r="BA136" s="401"/>
      <c r="BG136" s="401"/>
      <c r="BI136" s="218"/>
      <c r="BJ136" s="218"/>
      <c r="BN136" s="32"/>
      <c r="BQ136" s="218"/>
      <c r="BR136" s="2212"/>
      <c r="DC136" s="2227"/>
      <c r="DD136" s="1509" t="n">
        <v>18.818</v>
      </c>
      <c r="DE136" s="2017" t="n">
        <v>484.09</v>
      </c>
      <c r="DF136" s="1509" t="n">
        <f aca="false">DD136*DE136/100</f>
        <v>91.0960562</v>
      </c>
      <c r="DG136" s="1509" t="n">
        <f aca="false">DF136*DataDE1!B34/DataDE1!G34</f>
        <v>80.5098555206535</v>
      </c>
      <c r="DH136" s="1509" t="n">
        <f aca="false">(DG136/1.95583)*TableDE15a!B$149/TableDE15a!B112</f>
        <v>108.867993794091</v>
      </c>
      <c r="DI136" s="115" t="n">
        <v>16980</v>
      </c>
      <c r="DJ136" s="2251" t="n">
        <f aca="false">DJ135+(DJ$153-DJ$113)/40</f>
        <v>1.56189895096953</v>
      </c>
      <c r="DK136" s="1509" t="n">
        <f aca="false">DJ136*DH136</f>
        <v>170.040805301148</v>
      </c>
      <c r="DL136" s="485" t="n">
        <v>161.8</v>
      </c>
    </row>
    <row r="137" customFormat="false" ht="12" hidden="false" customHeight="false" outlineLevel="0" collapsed="false">
      <c r="A137" s="31" t="n">
        <v>1974</v>
      </c>
      <c r="AN137" s="933"/>
      <c r="AO137" s="32"/>
      <c r="AP137" s="32"/>
      <c r="AQ137" s="32"/>
      <c r="AR137" s="32"/>
      <c r="AS137" s="32"/>
      <c r="AT137" s="32"/>
      <c r="AU137" s="32"/>
      <c r="AV137" s="32"/>
      <c r="AZ137" s="2222" t="n">
        <v>63.3333333333333</v>
      </c>
      <c r="BA137" s="401"/>
      <c r="BG137" s="401"/>
      <c r="BI137" s="218"/>
      <c r="BJ137" s="218"/>
      <c r="BN137" s="32"/>
      <c r="BQ137" s="218"/>
      <c r="BR137" s="218"/>
      <c r="DC137" s="2227"/>
      <c r="DD137" s="1509" t="n">
        <v>19.315</v>
      </c>
      <c r="DE137" s="2017" t="n">
        <v>517.93</v>
      </c>
      <c r="DF137" s="1509" t="n">
        <f aca="false">DD137*DE137/100</f>
        <v>100.0381795</v>
      </c>
      <c r="DG137" s="1509" t="n">
        <f aca="false">DF137*DataDE1!B35/DataDE1!G35</f>
        <v>87.9332592970134</v>
      </c>
      <c r="DH137" s="1509" t="n">
        <f aca="false">(DG137/1.95583)*TableDE15a!B$149/TableDE15a!B113</f>
        <v>111.272104198359</v>
      </c>
      <c r="DI137" s="115" t="n">
        <v>16925</v>
      </c>
      <c r="DJ137" s="2251" t="n">
        <f aca="false">DJ136+(DJ$153-DJ$113)/40</f>
        <v>1.5510699961389</v>
      </c>
      <c r="DK137" s="1509" t="n">
        <f aca="false">DJ137*DH137</f>
        <v>172.590822229316</v>
      </c>
      <c r="DL137" s="485" t="n">
        <v>166.1</v>
      </c>
    </row>
    <row r="138" customFormat="false" ht="12" hidden="false" customHeight="false" outlineLevel="0" collapsed="false">
      <c r="A138" s="31" t="n">
        <v>1975</v>
      </c>
      <c r="AZ138" s="2222" t="n">
        <v>67.1083333333333</v>
      </c>
      <c r="BA138" s="401"/>
      <c r="BG138" s="401"/>
      <c r="BI138" s="218"/>
      <c r="BJ138" s="218"/>
      <c r="BQ138" s="218"/>
      <c r="BR138" s="218"/>
      <c r="DC138" s="2227"/>
      <c r="DD138" s="1509" t="n">
        <v>19.888</v>
      </c>
      <c r="DE138" s="2017" t="n">
        <v>548.07</v>
      </c>
      <c r="DF138" s="1509" t="n">
        <f aca="false">DD138*DE138/100</f>
        <v>109.0001616</v>
      </c>
      <c r="DG138" s="1509" t="n">
        <f aca="false">DF138*DataDE1!B36/DataDE1!G36</f>
        <v>95.4693526247727</v>
      </c>
      <c r="DH138" s="1509" t="n">
        <f aca="false">(DG138/1.95583)*TableDE15a!B$149/TableDE15a!B114</f>
        <v>113.936723004757</v>
      </c>
      <c r="DI138" s="115" t="n">
        <v>16850</v>
      </c>
      <c r="DJ138" s="2251" t="n">
        <f aca="false">DJ137+(DJ$153-DJ$113)/40</f>
        <v>1.54024104130827</v>
      </c>
      <c r="DK138" s="1509" t="n">
        <f aca="false">DJ138*DH138</f>
        <v>175.490016884099</v>
      </c>
      <c r="DL138" s="485" t="n">
        <v>171.1</v>
      </c>
    </row>
    <row r="139" customFormat="false" ht="12" hidden="false" customHeight="false" outlineLevel="0" collapsed="false">
      <c r="A139" s="31" t="n">
        <v>1976</v>
      </c>
      <c r="AZ139" s="2222" t="n">
        <v>70.1416666666667</v>
      </c>
      <c r="BA139" s="401"/>
      <c r="BG139" s="401"/>
      <c r="BI139" s="218"/>
      <c r="BJ139" s="218"/>
      <c r="DC139" s="2227"/>
      <c r="DD139" s="1509" t="n">
        <v>20.728</v>
      </c>
      <c r="DE139" s="2017" t="n">
        <v>567.85</v>
      </c>
      <c r="DF139" s="1509" t="n">
        <f aca="false">DD139*DE139/100</f>
        <v>117.703948</v>
      </c>
      <c r="DG139" s="1509" t="n">
        <f aca="false">DF139*DataDE1!B37/DataDE1!G37</f>
        <v>103.40569639913</v>
      </c>
      <c r="DH139" s="1509" t="n">
        <f aca="false">(DG139/1.95583)*TableDE15a!B$149/TableDE15a!B115</f>
        <v>118.411089486812</v>
      </c>
      <c r="DI139" s="115" t="n">
        <v>16786</v>
      </c>
      <c r="DJ139" s="2251" t="n">
        <f aca="false">DJ138+(DJ$153-DJ$113)/40</f>
        <v>1.52941208647764</v>
      </c>
      <c r="DK139" s="1509" t="n">
        <f aca="false">DJ139*DH139</f>
        <v>181.099351434116</v>
      </c>
      <c r="DL139" s="485" t="n">
        <v>178.2</v>
      </c>
    </row>
    <row r="140" customFormat="false" ht="12" hidden="false" customHeight="false" outlineLevel="0" collapsed="false">
      <c r="A140" s="31" t="n">
        <v>1977</v>
      </c>
      <c r="AZ140" s="2222" t="n">
        <v>72.8666666666667</v>
      </c>
      <c r="BA140" s="401"/>
      <c r="BG140" s="401"/>
      <c r="BI140" s="218"/>
      <c r="BJ140" s="218"/>
      <c r="DC140" s="2227"/>
      <c r="DD140" s="1509" t="n">
        <v>21.173</v>
      </c>
      <c r="DE140" s="2017" t="n">
        <v>588.99</v>
      </c>
      <c r="DF140" s="1509" t="n">
        <f aca="false">DD140*DE140/100</f>
        <v>124.7068527</v>
      </c>
      <c r="DG140" s="1509" t="n">
        <f aca="false">DF140*DataDE1!B38/DataDE1!G38</f>
        <v>109.35702093916</v>
      </c>
      <c r="DH140" s="1509" t="n">
        <f aca="false">(DG140/1.95583)*TableDE15a!B$149/TableDE15a!B116</f>
        <v>120.761257024506</v>
      </c>
      <c r="DI140" s="115" t="n">
        <v>16765</v>
      </c>
      <c r="DJ140" s="2251" t="n">
        <f aca="false">DJ139+(DJ$153-DJ$113)/40</f>
        <v>1.51858313164701</v>
      </c>
      <c r="DK140" s="1509" t="n">
        <f aca="false">DJ140*DH140</f>
        <v>183.386007873904</v>
      </c>
      <c r="DL140" s="485" t="n">
        <v>182.1</v>
      </c>
    </row>
    <row r="141" customFormat="false" ht="12" hidden="false" customHeight="false" outlineLevel="0" collapsed="false">
      <c r="A141" s="31" t="n">
        <v>1978</v>
      </c>
      <c r="AZ141" s="2222" t="n">
        <v>75.0916666666667</v>
      </c>
      <c r="BA141" s="401"/>
      <c r="BG141" s="401"/>
      <c r="BI141" s="218"/>
      <c r="BJ141" s="218"/>
      <c r="DC141" s="2227"/>
      <c r="DD141" s="1509" t="n">
        <v>21.517</v>
      </c>
      <c r="DE141" s="2017" t="n">
        <v>614.09</v>
      </c>
      <c r="DF141" s="1509" t="n">
        <f aca="false">DD141*DE141/100</f>
        <v>132.1337453</v>
      </c>
      <c r="DG141" s="1509" t="n">
        <f aca="false">DF141*DataDE1!B39/DataDE1!G39</f>
        <v>116.13227751409</v>
      </c>
      <c r="DH141" s="1509" t="n">
        <f aca="false">(DG141/1.95583)*TableDE15a!B$149/TableDE15a!B117</f>
        <v>124.851515264446</v>
      </c>
      <c r="DI141" s="115" t="n">
        <v>16756</v>
      </c>
      <c r="DJ141" s="2251" t="n">
        <f aca="false">DJ140+(DJ$153-DJ$113)/40</f>
        <v>1.50775417681637</v>
      </c>
      <c r="DK141" s="1509" t="n">
        <f aca="false">DJ141*DH141</f>
        <v>188.245393621822</v>
      </c>
      <c r="DL141" s="485" t="n">
        <v>185</v>
      </c>
    </row>
    <row r="142" customFormat="false" ht="12" hidden="false" customHeight="false" outlineLevel="0" collapsed="false">
      <c r="A142" s="31" t="n">
        <v>1979</v>
      </c>
      <c r="AZ142" s="2222" t="n">
        <v>78.375</v>
      </c>
      <c r="BA142" s="401"/>
      <c r="BG142" s="401"/>
      <c r="BI142" s="218"/>
      <c r="BJ142" s="218"/>
      <c r="DC142" s="2227"/>
      <c r="DD142" s="1509" t="n">
        <v>21.836</v>
      </c>
      <c r="DE142" s="2017" t="n">
        <v>638.03</v>
      </c>
      <c r="DF142" s="1509" t="n">
        <f aca="false">DD142*DE142/100</f>
        <v>139.3202308</v>
      </c>
      <c r="DG142" s="1509" t="n">
        <f aca="false">DF142*DataDE1!B40/DataDE1!G40</f>
        <v>121.871428550953</v>
      </c>
      <c r="DH142" s="1509" t="n">
        <f aca="false">(DG142/1.95583)*TableDE15a!B$149/TableDE15a!B118</f>
        <v>125.822294688038</v>
      </c>
      <c r="DI142" s="115" t="n">
        <v>16745</v>
      </c>
      <c r="DJ142" s="2251" t="n">
        <f aca="false">DJ141+(DJ$153-DJ$113)/40</f>
        <v>1.49692522198574</v>
      </c>
      <c r="DK142" s="1509" t="n">
        <f aca="false">DJ142*DH142</f>
        <v>188.346566406647</v>
      </c>
      <c r="DL142" s="485" t="n">
        <v>187.8</v>
      </c>
    </row>
    <row r="143" customFormat="false" ht="12" hidden="false" customHeight="false" outlineLevel="0" collapsed="false">
      <c r="A143" s="31" t="n">
        <v>1980</v>
      </c>
      <c r="AZ143" s="2222" t="n">
        <v>82.6166666666667</v>
      </c>
      <c r="BA143" s="401"/>
      <c r="BG143" s="401"/>
      <c r="BI143" s="218"/>
      <c r="BJ143" s="218"/>
      <c r="DC143" s="2227"/>
      <c r="DD143" s="1509" t="n">
        <v>21.734</v>
      </c>
      <c r="DE143" s="2017" t="n">
        <v>669.27</v>
      </c>
      <c r="DF143" s="1509" t="n">
        <f aca="false">DD143*DE143/100</f>
        <v>145.4591418</v>
      </c>
      <c r="DG143" s="1509" t="n">
        <f aca="false">DF143*DataDE1!B41/DataDE1!G41</f>
        <v>126.519495261414</v>
      </c>
      <c r="DH143" s="1509" t="n">
        <f aca="false">(DG143/1.95583)*TableDE15a!B$149/TableDE15a!B119</f>
        <v>123.932616935047</v>
      </c>
      <c r="DI143" s="115" t="n">
        <v>16737</v>
      </c>
      <c r="DJ143" s="2251" t="n">
        <f aca="false">DJ142+(DJ$153-DJ$113)/40</f>
        <v>1.48609626715511</v>
      </c>
      <c r="DK143" s="1509" t="n">
        <f aca="false">DJ143*DH143</f>
        <v>184.175799405938</v>
      </c>
      <c r="DL143" s="485" t="n">
        <v>186.9</v>
      </c>
    </row>
    <row r="144" customFormat="false" ht="12" hidden="false" customHeight="false" outlineLevel="0" collapsed="false">
      <c r="A144" s="31" t="n">
        <v>1981</v>
      </c>
      <c r="AZ144" s="2222" t="n">
        <v>87.85</v>
      </c>
      <c r="BA144" s="401"/>
      <c r="BG144" s="401"/>
      <c r="BI144" s="218"/>
      <c r="BJ144" s="218"/>
      <c r="DC144" s="2227"/>
      <c r="DD144" s="1509" t="n">
        <v>21.925</v>
      </c>
      <c r="DE144" s="2017" t="n">
        <v>696.66</v>
      </c>
      <c r="DF144" s="1509" t="n">
        <f aca="false">DD144*DE144/100</f>
        <v>152.742705</v>
      </c>
      <c r="DG144" s="1509" t="n">
        <f aca="false">DF144*DataDE1!B42/DataDE1!G42</f>
        <v>131.821251164824</v>
      </c>
      <c r="DH144" s="1509" t="n">
        <f aca="false">(DG144/1.95583)*TableDE15a!B$149/TableDE15a!B120</f>
        <v>121.444255628115</v>
      </c>
      <c r="DI144" s="115" t="n">
        <v>16736</v>
      </c>
      <c r="DJ144" s="2251" t="n">
        <f aca="false">DJ143+(DJ$153-DJ$113)/40</f>
        <v>1.47526731232448</v>
      </c>
      <c r="DK144" s="1509" t="n">
        <f aca="false">DJ144*DH144</f>
        <v>179.162740597736</v>
      </c>
      <c r="DL144" s="485" t="n">
        <v>188.5</v>
      </c>
    </row>
    <row r="145" customFormat="false" ht="12" hidden="false" customHeight="false" outlineLevel="0" collapsed="false">
      <c r="A145" s="31" t="n">
        <v>1982</v>
      </c>
      <c r="AZ145" s="2222" t="n">
        <v>92.5</v>
      </c>
      <c r="BA145" s="401"/>
      <c r="BG145" s="401"/>
      <c r="BI145" s="218"/>
      <c r="BJ145" s="218"/>
      <c r="DC145" s="2227"/>
      <c r="DD145" s="1509" t="n">
        <v>21.683</v>
      </c>
      <c r="DE145" s="2017" t="n">
        <v>727.66</v>
      </c>
      <c r="DF145" s="1509" t="n">
        <f aca="false">DD145*DE145/100</f>
        <v>157.7785178</v>
      </c>
      <c r="DG145" s="1509" t="n">
        <f aca="false">DF145*DataDE1!B43/DataDE1!G43</f>
        <v>135.493157349994</v>
      </c>
      <c r="DH145" s="1509" t="n">
        <f aca="false">(DG145/1.95583)*TableDE15a!B$149/TableDE15a!B121</f>
        <v>118.610953812957</v>
      </c>
      <c r="DI145" s="115" t="n">
        <v>16697</v>
      </c>
      <c r="DJ145" s="2251" t="n">
        <f aca="false">DJ144+(DJ$153-DJ$113)/40</f>
        <v>1.46443835749385</v>
      </c>
      <c r="DK145" s="1509" t="n">
        <f aca="false">DJ145*DH145</f>
        <v>173.698430382626</v>
      </c>
      <c r="DL145" s="485" t="n">
        <v>186.5</v>
      </c>
    </row>
    <row r="146" customFormat="false" ht="12" hidden="false" customHeight="false" outlineLevel="0" collapsed="false">
      <c r="A146" s="31" t="n">
        <v>1983</v>
      </c>
      <c r="AZ146" s="2222" t="n">
        <v>95.525</v>
      </c>
      <c r="BA146" s="401"/>
      <c r="BG146" s="401"/>
      <c r="BI146" s="218"/>
      <c r="BJ146" s="218"/>
      <c r="DC146" s="2227"/>
      <c r="DD146" s="1509" t="n">
        <v>21.836</v>
      </c>
      <c r="DE146" s="2017" t="n">
        <v>752.77</v>
      </c>
      <c r="DF146" s="1509" t="n">
        <f aca="false">DD146*DE146/100</f>
        <v>164.3748572</v>
      </c>
      <c r="DG146" s="1509" t="n">
        <f aca="false">DF146*DataDE1!B44/DataDE1!G44</f>
        <v>141.533985662819</v>
      </c>
      <c r="DH146" s="1509" t="n">
        <f aca="false">(DG146/1.95583)*TableDE15a!B$149/TableDE15a!B122</f>
        <v>120.022210694204</v>
      </c>
      <c r="DI146" s="115" t="n">
        <v>16699</v>
      </c>
      <c r="DJ146" s="2251" t="n">
        <f aca="false">DJ145+(DJ$153-DJ$113)/40</f>
        <v>1.45360940266322</v>
      </c>
      <c r="DK146" s="1509" t="n">
        <f aca="false">DJ146*DH146</f>
        <v>174.465413993521</v>
      </c>
      <c r="DL146" s="485" t="n">
        <v>187.8</v>
      </c>
    </row>
    <row r="147" customFormat="false" ht="12" hidden="false" customHeight="false" outlineLevel="0" collapsed="false">
      <c r="A147" s="31" t="n">
        <v>1984</v>
      </c>
      <c r="AZ147" s="2222" t="n">
        <v>97.85</v>
      </c>
      <c r="BA147" s="401"/>
      <c r="BG147" s="401"/>
      <c r="BI147" s="218"/>
      <c r="BJ147" s="218"/>
      <c r="DC147" s="2227"/>
      <c r="DD147" s="1509" t="n">
        <v>22.294</v>
      </c>
      <c r="DE147" s="2017" t="n">
        <v>768.54</v>
      </c>
      <c r="DF147" s="1509" t="n">
        <f aca="false">DD147*DE147/100</f>
        <v>171.3383076</v>
      </c>
      <c r="DG147" s="1509" t="n">
        <f aca="false">DF147*DataDE1!B45/DataDE1!G45</f>
        <v>148.040299298</v>
      </c>
      <c r="DH147" s="1509" t="n">
        <f aca="false">(DG147/1.95583)*TableDE15a!B$149/TableDE15a!B123</f>
        <v>122.504955638433</v>
      </c>
      <c r="DI147" s="115" t="n">
        <v>16671</v>
      </c>
      <c r="DJ147" s="2251" t="n">
        <f aca="false">DJ146+(DJ$153-DJ$113)/40</f>
        <v>1.44278044783258</v>
      </c>
      <c r="DK147" s="1509" t="n">
        <f aca="false">DJ147*DH147</f>
        <v>176.747754757729</v>
      </c>
      <c r="DL147" s="485" t="n">
        <v>191.8</v>
      </c>
    </row>
    <row r="148" customFormat="false" ht="12" hidden="false" customHeight="false" outlineLevel="0" collapsed="false">
      <c r="A148" s="31" t="n">
        <v>1985</v>
      </c>
      <c r="AZ148" s="2222" t="n">
        <v>99.9833333333333</v>
      </c>
      <c r="BA148" s="401"/>
      <c r="BG148" s="401"/>
      <c r="BI148" s="218"/>
      <c r="BJ148" s="218"/>
      <c r="DC148" s="2227"/>
      <c r="DD148" s="1509" t="n">
        <v>22.816</v>
      </c>
      <c r="DE148" s="2017" t="n">
        <v>785.42</v>
      </c>
      <c r="DF148" s="1509" t="n">
        <f aca="false">DD148*DE148/100</f>
        <v>179.2014272</v>
      </c>
      <c r="DG148" s="1509" t="n">
        <f aca="false">DF148*DataDE1!B46/DataDE1!G46</f>
        <v>154.899164391617</v>
      </c>
      <c r="DH148" s="1509" t="n">
        <f aca="false">(DG148/1.95583)*TableDE15a!B$149/TableDE15a!B124</f>
        <v>125.623519236705</v>
      </c>
      <c r="DI148" s="115" t="n">
        <v>16644</v>
      </c>
      <c r="DJ148" s="2251" t="n">
        <f aca="false">DJ147+(DJ$153-DJ$113)/40</f>
        <v>1.43195149300195</v>
      </c>
      <c r="DK148" s="1509" t="n">
        <f aca="false">DJ148*DH148</f>
        <v>179.886785927159</v>
      </c>
      <c r="DL148" s="485" t="n">
        <v>196.2</v>
      </c>
    </row>
    <row r="149" customFormat="false" ht="12" hidden="false" customHeight="false" outlineLevel="0" collapsed="false">
      <c r="A149" s="31" t="n">
        <v>1986</v>
      </c>
      <c r="AZ149" s="2222" t="n">
        <v>99.875</v>
      </c>
      <c r="BA149" s="401"/>
      <c r="BG149" s="401"/>
      <c r="BI149" s="218"/>
      <c r="BJ149" s="218"/>
      <c r="DC149" s="2227"/>
      <c r="DD149" s="1509" t="n">
        <v>22.689</v>
      </c>
      <c r="DE149" s="2017" t="n">
        <v>811.34</v>
      </c>
      <c r="DF149" s="1509" t="n">
        <f aca="false">DD149*DE149/100</f>
        <v>184.0849326</v>
      </c>
      <c r="DG149" s="1509" t="n">
        <f aca="false">DF149*DataDE1!B47/DataDE1!G47</f>
        <v>158.997851545856</v>
      </c>
      <c r="DH149" s="1509" t="n">
        <f aca="false">(DG149/1.95583)*TableDE15a!B$149/TableDE15a!B125</f>
        <v>129.108545599211</v>
      </c>
      <c r="DI149" s="115" t="n">
        <v>16624</v>
      </c>
      <c r="DJ149" s="2251" t="n">
        <f aca="false">DJ148+(DJ$153-DJ$113)/40</f>
        <v>1.42112253817132</v>
      </c>
      <c r="DK149" s="1509" t="n">
        <f aca="false">DJ149*DH149</f>
        <v>183.479064021559</v>
      </c>
      <c r="DL149" s="485" t="n">
        <v>195.1</v>
      </c>
    </row>
    <row r="150" customFormat="false" ht="12" hidden="false" customHeight="false" outlineLevel="0" collapsed="false">
      <c r="A150" s="31" t="n">
        <v>1987</v>
      </c>
      <c r="AZ150" s="2222" t="n">
        <v>100.116666666667</v>
      </c>
      <c r="BA150" s="401"/>
      <c r="BG150" s="401"/>
      <c r="BI150" s="218"/>
      <c r="BJ150" s="218"/>
      <c r="DC150" s="2227"/>
      <c r="DD150" s="1509" t="n">
        <v>22.599</v>
      </c>
      <c r="DE150" s="2017" t="n">
        <v>827.05</v>
      </c>
      <c r="DF150" s="1509" t="n">
        <f aca="false">DD150*DE150/100</f>
        <v>186.9050295</v>
      </c>
      <c r="DG150" s="1509" t="n">
        <f aca="false">DF150*DataDE1!B48/DataDE1!G48</f>
        <v>160.904711960343</v>
      </c>
      <c r="DH150" s="1509" t="n">
        <f aca="false">(DG150/1.95583)*TableDE15a!B$149/TableDE15a!B126</f>
        <v>130.331521694756</v>
      </c>
      <c r="DI150" s="115" t="n">
        <v>16641</v>
      </c>
      <c r="DJ150" s="2251" t="n">
        <f aca="false">DJ149+(DJ$153-DJ$113)/40</f>
        <v>1.41029358334069</v>
      </c>
      <c r="DK150" s="1509" t="n">
        <f aca="false">DJ150*DH150</f>
        <v>183.805708753142</v>
      </c>
      <c r="DL150" s="485" t="n">
        <v>194.3</v>
      </c>
    </row>
    <row r="151" customFormat="false" ht="12" hidden="false" customHeight="false" outlineLevel="0" collapsed="false">
      <c r="A151" s="31" t="n">
        <v>1988</v>
      </c>
      <c r="AZ151" s="2222" t="n">
        <v>101.375</v>
      </c>
      <c r="BA151" s="401"/>
      <c r="BG151" s="401"/>
      <c r="BI151" s="218"/>
      <c r="BJ151" s="218"/>
      <c r="DC151" s="2227"/>
      <c r="DD151" s="1509" t="n">
        <v>22.714</v>
      </c>
      <c r="DE151" s="2017" t="n">
        <v>837.11</v>
      </c>
      <c r="DF151" s="1509" t="n">
        <f aca="false">DD151*DE151/100</f>
        <v>190.1411654</v>
      </c>
      <c r="DG151" s="1509" t="n">
        <f aca="false">DF151*DataDE1!B49/DataDE1!G49</f>
        <v>164.853671788283</v>
      </c>
      <c r="DH151" s="1509" t="n">
        <f aca="false">(DG151/1.95583)*TableDE15a!B$149/TableDE15a!B127</f>
        <v>131.887710136308</v>
      </c>
      <c r="DI151" s="115" t="n">
        <v>16666</v>
      </c>
      <c r="DJ151" s="2251" t="n">
        <f aca="false">DJ150+(DJ$153-DJ$113)/40</f>
        <v>1.39946462851006</v>
      </c>
      <c r="DK151" s="1509" t="n">
        <f aca="false">DJ151*DH151</f>
        <v>184.57218527095</v>
      </c>
      <c r="DL151" s="485" t="n">
        <v>195.4</v>
      </c>
    </row>
    <row r="152" customFormat="false" ht="12" hidden="false" customHeight="false" outlineLevel="0" collapsed="false">
      <c r="A152" s="31" t="n">
        <v>1989</v>
      </c>
      <c r="AZ152" s="2222" t="n">
        <v>104.191666666667</v>
      </c>
      <c r="BA152" s="401"/>
      <c r="BG152" s="401"/>
      <c r="DC152" s="2227"/>
      <c r="DD152" s="1509" t="n">
        <v>22.599</v>
      </c>
      <c r="DE152" s="2017" t="n">
        <v>857.32</v>
      </c>
      <c r="DF152" s="1509" t="n">
        <f aca="false">DD152*DE152/100</f>
        <v>193.7457468</v>
      </c>
      <c r="DG152" s="1509" t="n">
        <f aca="false">DF152*DataDE1!B50/DataDE1!G50</f>
        <v>168.385460318325</v>
      </c>
      <c r="DH152" s="1509" t="n">
        <f aca="false">(DG152/1.95583)*TableDE15a!B$149/TableDE15a!B128</f>
        <v>131.007017619032</v>
      </c>
      <c r="DI152" s="115" t="n">
        <v>16614</v>
      </c>
      <c r="DJ152" s="2251" t="n">
        <f aca="false">DJ151+(DJ$153-DJ$113)/40</f>
        <v>1.38863567367943</v>
      </c>
      <c r="DK152" s="1509" t="n">
        <f aca="false">DJ152*DH152</f>
        <v>181.921018168137</v>
      </c>
      <c r="DL152" s="485" t="n">
        <v>194.4</v>
      </c>
    </row>
    <row r="153" customFormat="false" ht="12" hidden="false" customHeight="false" outlineLevel="0" collapsed="false">
      <c r="A153" s="31" t="n">
        <v>1990</v>
      </c>
      <c r="AZ153" s="2222" t="n">
        <v>107</v>
      </c>
      <c r="BA153" s="401"/>
      <c r="BG153" s="401"/>
      <c r="DC153" s="2227"/>
      <c r="DG153" s="2214" t="n">
        <f aca="false">DG152+(DG154-DG152)/2</f>
        <v>193.279148409162</v>
      </c>
      <c r="DH153" s="1509" t="n">
        <f aca="false">(DG153/1.95583)*TableDE15a!B$149/TableDE15a!B129</f>
        <v>146.519006286602</v>
      </c>
      <c r="DI153" s="115" t="n">
        <v>16111</v>
      </c>
      <c r="DJ153" s="995" t="n">
        <f aca="false">TableDE6g!B35</f>
        <v>1.3778067188488</v>
      </c>
      <c r="DK153" s="1509" t="n">
        <f aca="false">DJ153*DH153</f>
        <v>201.874871300729</v>
      </c>
      <c r="DL153" s="485" t="n">
        <v>0</v>
      </c>
    </row>
    <row r="154" customFormat="false" ht="12" hidden="false" customHeight="false" outlineLevel="0" collapsed="false">
      <c r="A154" s="31" t="n">
        <v>1991</v>
      </c>
      <c r="AZ154" s="2222" t="n">
        <v>110.716666666667</v>
      </c>
      <c r="BA154" s="401"/>
      <c r="BG154" s="401"/>
      <c r="DC154" s="2227"/>
      <c r="DG154" s="115" t="n">
        <f aca="false">TableDE6g!B34</f>
        <v>218.1728365</v>
      </c>
      <c r="DH154" s="1509" t="n">
        <f aca="false">(DG154/1.95583)*TableDE15a!B$149/TableDE15a!B130</f>
        <v>159.021212121212</v>
      </c>
    </row>
    <row r="155" customFormat="false" ht="12" hidden="false" customHeight="false" outlineLevel="0" collapsed="false">
      <c r="A155" s="31" t="n">
        <v>1992</v>
      </c>
      <c r="AZ155" s="2222" t="n">
        <v>115.133333333333</v>
      </c>
      <c r="BA155" s="401"/>
      <c r="BG155" s="401"/>
      <c r="DC155" s="2227"/>
    </row>
    <row r="156" customFormat="false" ht="12" hidden="false" customHeight="false" outlineLevel="0" collapsed="false">
      <c r="A156" s="31" t="n">
        <v>1993</v>
      </c>
      <c r="AZ156" s="2222"/>
      <c r="BA156" s="401"/>
      <c r="BG156" s="401"/>
      <c r="DC156" s="2227"/>
    </row>
    <row r="157" customFormat="false" ht="12" hidden="false" customHeight="false" outlineLevel="0" collapsed="false">
      <c r="AZ157" s="401"/>
      <c r="BA157" s="401"/>
      <c r="BG157" s="401"/>
    </row>
  </sheetData>
  <mergeCells count="7">
    <mergeCell ref="I8:J8"/>
    <mergeCell ref="K8:P8"/>
    <mergeCell ref="Q8:S8"/>
    <mergeCell ref="CQ10:CU10"/>
    <mergeCell ref="CY10:DB10"/>
    <mergeCell ref="BP12:BR12"/>
    <mergeCell ref="CY12:DB12"/>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Z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AO12" activePane="bottomRight" state="frozen"/>
      <selection pane="topLeft" activeCell="A1" activeCellId="0" sqref="A1"/>
      <selection pane="topRight" activeCell="AO1" activeCellId="0" sqref="AO1"/>
      <selection pane="bottomLeft" activeCell="A12" activeCellId="0" sqref="A12"/>
      <selection pane="bottomRight" activeCell="AW34" activeCellId="0" sqref="AW34"/>
    </sheetView>
  </sheetViews>
  <sheetFormatPr defaultColWidth="10.82421875" defaultRowHeight="12" zeroHeight="false" outlineLevelRow="0" outlineLevelCol="0"/>
  <cols>
    <col collapsed="false" customWidth="true" hidden="false" outlineLevel="0" max="1" min="1" style="2252" width="10.99"/>
    <col collapsed="false" customWidth="true" hidden="false" outlineLevel="0" max="13" min="2" style="2252" width="12.66"/>
    <col collapsed="false" customWidth="true" hidden="false" outlineLevel="0" max="45" min="14" style="2252" width="10.99"/>
    <col collapsed="false" customWidth="false" hidden="false" outlineLevel="0" max="48" min="46" style="2252" width="10.82"/>
    <col collapsed="false" customWidth="true" hidden="false" outlineLevel="0" max="49" min="49" style="2252" width="10.99"/>
    <col collapsed="false" customWidth="false" hidden="false" outlineLevel="0" max="257" min="50" style="2252" width="10.82"/>
  </cols>
  <sheetData>
    <row r="1" customFormat="false" ht="12" hidden="false" customHeight="false" outlineLevel="0" collapsed="false">
      <c r="A1" s="198" t="s">
        <v>1296</v>
      </c>
      <c r="B1" s="2253"/>
    </row>
    <row r="2" customFormat="false" ht="12" hidden="false" customHeight="false" outlineLevel="0" collapsed="false">
      <c r="A2" s="0" t="s">
        <v>1297</v>
      </c>
      <c r="B2" s="2253"/>
      <c r="I2" s="2254"/>
      <c r="J2" s="2255"/>
      <c r="K2" s="2254"/>
      <c r="U2" s="1432"/>
      <c r="Z2" s="2253"/>
      <c r="AC2" s="2253"/>
    </row>
    <row r="3" customFormat="false" ht="12" hidden="false" customHeight="false" outlineLevel="0" collapsed="false">
      <c r="A3" s="0" t="s">
        <v>663</v>
      </c>
      <c r="B3" s="1432"/>
      <c r="C3" s="1432"/>
      <c r="D3" s="1432"/>
      <c r="E3" s="1432"/>
      <c r="F3" s="1432"/>
      <c r="G3" s="1432"/>
      <c r="H3" s="1432"/>
      <c r="I3" s="1432"/>
      <c r="J3" s="1432"/>
      <c r="K3" s="1432"/>
      <c r="L3" s="1432"/>
      <c r="M3" s="2256"/>
      <c r="N3" s="1432"/>
      <c r="O3" s="1432"/>
      <c r="P3" s="1432"/>
      <c r="Q3" s="1432"/>
      <c r="R3" s="1432"/>
      <c r="S3" s="1432"/>
      <c r="T3" s="1432"/>
      <c r="U3" s="1432"/>
      <c r="V3" s="1432"/>
      <c r="W3" s="1432"/>
      <c r="X3" s="1432"/>
      <c r="Y3" s="2256"/>
      <c r="Z3" s="1432"/>
      <c r="AA3" s="1432"/>
      <c r="AB3" s="1432"/>
      <c r="AC3" s="1432"/>
      <c r="AD3" s="1432"/>
      <c r="AE3" s="1432"/>
      <c r="AF3" s="1432"/>
      <c r="AG3" s="1432"/>
      <c r="AH3" s="1432"/>
      <c r="AI3" s="1432"/>
      <c r="AJ3" s="1432"/>
      <c r="AK3" s="1432"/>
      <c r="AL3" s="1432"/>
      <c r="AM3" s="1432"/>
      <c r="AN3" s="1432"/>
      <c r="AO3" s="1432"/>
      <c r="AP3" s="1432"/>
      <c r="AQ3" s="1432"/>
      <c r="AR3" s="1432"/>
      <c r="AS3" s="1432"/>
      <c r="AW3" s="1432"/>
    </row>
    <row r="4" customFormat="false" ht="12" hidden="false" customHeight="false" outlineLevel="0" collapsed="false">
      <c r="A4" s="2257" t="s">
        <v>1298</v>
      </c>
      <c r="B4" s="2255" t="n">
        <v>1.95583</v>
      </c>
      <c r="C4" s="2258" t="s">
        <v>451</v>
      </c>
      <c r="D4" s="1432"/>
      <c r="I4" s="1432"/>
      <c r="J4" s="1432"/>
      <c r="K4" s="1432"/>
      <c r="L4" s="1432"/>
      <c r="M4" s="2256"/>
      <c r="N4" s="1432"/>
      <c r="O4" s="1432"/>
      <c r="P4" s="1432"/>
      <c r="Q4" s="1432"/>
      <c r="R4" s="1432"/>
      <c r="S4" s="1432"/>
      <c r="T4" s="1432"/>
      <c r="U4" s="1432"/>
      <c r="V4" s="1432"/>
      <c r="W4" s="1432"/>
      <c r="X4" s="1432"/>
      <c r="Y4" s="2256"/>
      <c r="Z4" s="1432"/>
      <c r="AA4" s="1432"/>
      <c r="AB4" s="2256"/>
      <c r="AC4" s="1432"/>
      <c r="AD4" s="1432"/>
      <c r="AE4" s="1432"/>
      <c r="AF4" s="1432"/>
      <c r="AG4" s="1432"/>
      <c r="AH4" s="1432"/>
      <c r="AI4" s="1432"/>
      <c r="AJ4" s="1432"/>
      <c r="AK4" s="1432"/>
      <c r="AL4" s="1432"/>
      <c r="AM4" s="1432"/>
      <c r="AN4" s="1432"/>
      <c r="AO4" s="1432"/>
      <c r="AP4" s="1432"/>
      <c r="AQ4" s="1432"/>
      <c r="AR4" s="1432"/>
      <c r="AS4" s="1432"/>
      <c r="AW4" s="1432"/>
    </row>
    <row r="5" customFormat="false" ht="12" hidden="true" customHeight="false" outlineLevel="0" collapsed="false">
      <c r="A5" s="2254"/>
      <c r="B5" s="2259" t="n">
        <v>1.95583</v>
      </c>
      <c r="C5" s="2260" t="s">
        <v>451</v>
      </c>
      <c r="D5" s="1432"/>
      <c r="E5" s="2259"/>
      <c r="F5" s="2260"/>
      <c r="I5" s="1432"/>
      <c r="J5" s="1432"/>
      <c r="K5" s="1432"/>
      <c r="L5" s="1432"/>
      <c r="M5" s="2256"/>
      <c r="N5" s="1432"/>
      <c r="O5" s="1432"/>
      <c r="P5" s="1432"/>
      <c r="Q5" s="1432"/>
      <c r="R5" s="1432"/>
      <c r="S5" s="1432"/>
      <c r="T5" s="1432"/>
      <c r="U5" s="1432"/>
      <c r="V5" s="1432"/>
      <c r="W5" s="1432"/>
      <c r="X5" s="1432"/>
      <c r="Y5" s="2256"/>
      <c r="Z5" s="1432"/>
      <c r="AA5" s="1432"/>
      <c r="AB5" s="2256"/>
      <c r="AC5" s="1432"/>
      <c r="AD5" s="1432"/>
      <c r="AE5" s="1432"/>
      <c r="AF5" s="1432"/>
      <c r="AG5" s="1432"/>
      <c r="AH5" s="1432"/>
      <c r="AI5" s="1432"/>
      <c r="AJ5" s="1432"/>
      <c r="AK5" s="1432"/>
      <c r="AL5" s="1432"/>
      <c r="AM5" s="1432"/>
      <c r="AN5" s="1432"/>
      <c r="AO5" s="1432"/>
      <c r="AP5" s="1432"/>
      <c r="AQ5" s="1432"/>
      <c r="AR5" s="1432"/>
      <c r="AS5" s="1432"/>
      <c r="AW5" s="1432"/>
    </row>
    <row r="6" customFormat="false" ht="12" hidden="false" customHeight="false" outlineLevel="0" collapsed="false">
      <c r="A6" s="2254"/>
      <c r="B6" s="2259"/>
      <c r="C6" s="2260"/>
      <c r="D6" s="1432"/>
      <c r="E6" s="2259"/>
      <c r="F6" s="2260"/>
      <c r="I6" s="1432"/>
      <c r="J6" s="1432"/>
      <c r="K6" s="1432"/>
      <c r="L6" s="1432"/>
      <c r="M6" s="2256"/>
      <c r="N6" s="1432"/>
      <c r="O6" s="1432"/>
      <c r="P6" s="1432"/>
      <c r="Q6" s="1432"/>
      <c r="R6" s="1432"/>
      <c r="S6" s="1432"/>
      <c r="T6" s="1432"/>
      <c r="U6" s="1432"/>
      <c r="V6" s="1432"/>
      <c r="W6" s="1432"/>
      <c r="X6" s="1432"/>
      <c r="Y6" s="2256"/>
      <c r="Z6" s="1432"/>
      <c r="AA6" s="1432"/>
      <c r="AB6" s="2256"/>
      <c r="AC6" s="1432"/>
      <c r="AD6" s="1432"/>
      <c r="AE6" s="1432"/>
      <c r="AF6" s="1432"/>
      <c r="AG6" s="1432"/>
      <c r="AH6" s="1432"/>
      <c r="AI6" s="1432"/>
      <c r="AJ6" s="1432"/>
      <c r="AK6" s="1432"/>
      <c r="AL6" s="1432"/>
      <c r="AM6" s="1432"/>
      <c r="AN6" s="1432"/>
      <c r="AO6" s="1432"/>
      <c r="AP6" s="1432"/>
      <c r="AQ6" s="1432"/>
      <c r="AR6" s="1432"/>
      <c r="AS6" s="1432"/>
      <c r="AW6" s="1432"/>
    </row>
    <row r="7" customFormat="false" ht="12" hidden="false" customHeight="false" outlineLevel="0" collapsed="false">
      <c r="A7" s="1432"/>
      <c r="B7" s="2169" t="s">
        <v>1299</v>
      </c>
      <c r="C7" s="1432"/>
      <c r="D7" s="1432"/>
      <c r="E7" s="1432"/>
      <c r="I7" s="1432"/>
      <c r="J7" s="1432"/>
      <c r="K7" s="1432"/>
      <c r="L7" s="1432"/>
      <c r="M7" s="2256"/>
      <c r="P7" s="1432"/>
      <c r="Q7" s="1432"/>
      <c r="R7" s="1432"/>
      <c r="S7" s="1432"/>
      <c r="T7" s="1432"/>
      <c r="U7" s="1432"/>
      <c r="V7" s="1432"/>
      <c r="W7" s="1432"/>
      <c r="X7" s="1432"/>
      <c r="Y7" s="2256"/>
      <c r="Z7" s="2169" t="s">
        <v>1300</v>
      </c>
      <c r="AA7" s="1432"/>
      <c r="AB7" s="2256"/>
      <c r="AC7" s="1937" t="s">
        <v>1301</v>
      </c>
      <c r="AD7" s="1432"/>
      <c r="AE7" s="1432"/>
      <c r="AF7" s="1432"/>
      <c r="AG7" s="1432"/>
      <c r="AH7" s="1432"/>
      <c r="AI7" s="1432"/>
      <c r="AJ7" s="1432"/>
      <c r="AK7" s="1432"/>
      <c r="AL7" s="1432"/>
      <c r="AM7" s="1432"/>
      <c r="AN7" s="1432"/>
      <c r="AO7" s="1432"/>
      <c r="AP7" s="1432"/>
      <c r="AQ7" s="1432"/>
      <c r="AR7" s="1432"/>
      <c r="AS7" s="1432"/>
      <c r="AW7" s="1432"/>
    </row>
    <row r="8" customFormat="false" ht="12" hidden="false" customHeight="false" outlineLevel="0" collapsed="false">
      <c r="A8" s="1432"/>
      <c r="B8" s="1432"/>
      <c r="C8" s="1432"/>
      <c r="D8" s="1432"/>
      <c r="E8" s="1432"/>
      <c r="F8" s="1432"/>
      <c r="G8" s="1432"/>
      <c r="H8" s="1432"/>
      <c r="I8" s="1432"/>
      <c r="J8" s="1432"/>
      <c r="K8" s="1432"/>
      <c r="L8" s="1432"/>
      <c r="M8" s="2256"/>
      <c r="N8" s="2169" t="s">
        <v>1302</v>
      </c>
      <c r="O8" s="2169"/>
      <c r="P8" s="1432"/>
      <c r="Q8" s="1432"/>
      <c r="R8" s="1432"/>
      <c r="S8" s="1432"/>
      <c r="T8" s="1432"/>
      <c r="U8" s="1432"/>
      <c r="V8" s="1432"/>
      <c r="W8" s="1432"/>
      <c r="X8" s="1432"/>
      <c r="Y8" s="2256"/>
      <c r="AA8" s="1432"/>
      <c r="AB8" s="2256"/>
      <c r="AC8" s="1432"/>
      <c r="AD8" s="1432"/>
      <c r="AE8" s="1432"/>
      <c r="AF8" s="1432"/>
      <c r="AG8" s="1432"/>
      <c r="AH8" s="1432"/>
      <c r="AI8" s="1432"/>
      <c r="AJ8" s="1432"/>
      <c r="AK8" s="1432"/>
      <c r="AL8" s="1432"/>
      <c r="AM8" s="1432"/>
      <c r="AN8" s="1432"/>
      <c r="AO8" s="1432"/>
      <c r="AP8" s="1432"/>
      <c r="AQ8" s="1432"/>
      <c r="AR8" s="1432"/>
      <c r="AS8" s="1432"/>
      <c r="AW8" s="1432"/>
    </row>
    <row r="9" customFormat="false" ht="12" hidden="false" customHeight="false" outlineLevel="0" collapsed="false">
      <c r="A9" s="1432" t="s">
        <v>1303</v>
      </c>
      <c r="B9" s="2182" t="s">
        <v>368</v>
      </c>
      <c r="C9" s="1432"/>
      <c r="D9" s="1432"/>
      <c r="E9" s="1432"/>
      <c r="F9" s="1432"/>
      <c r="G9" s="1432"/>
      <c r="H9" s="1432"/>
      <c r="I9" s="1432"/>
      <c r="J9" s="2182" t="s">
        <v>369</v>
      </c>
      <c r="K9" s="801" t="s">
        <v>370</v>
      </c>
      <c r="L9" s="2261" t="s">
        <v>1304</v>
      </c>
      <c r="M9" s="2256"/>
      <c r="N9" s="802" t="s">
        <v>345</v>
      </c>
      <c r="O9" s="802"/>
      <c r="P9" s="1432"/>
      <c r="Q9" s="1432"/>
      <c r="R9" s="1432"/>
      <c r="S9" s="1432"/>
      <c r="T9" s="1432"/>
      <c r="V9" s="1432"/>
      <c r="W9" s="802" t="s">
        <v>346</v>
      </c>
      <c r="X9" s="802" t="s">
        <v>347</v>
      </c>
      <c r="Y9" s="2256"/>
      <c r="Z9" s="2182" t="s">
        <v>372</v>
      </c>
      <c r="AA9" s="801" t="s">
        <v>373</v>
      </c>
      <c r="AB9" s="2256"/>
      <c r="AC9" s="802" t="s">
        <v>1305</v>
      </c>
      <c r="AD9" s="1432"/>
      <c r="AE9" s="1432"/>
      <c r="AF9" s="1432"/>
      <c r="AG9" s="1432"/>
      <c r="AH9" s="1432"/>
      <c r="AI9" s="1432"/>
      <c r="AJ9" s="1432"/>
      <c r="AK9" s="1432"/>
      <c r="AL9" s="1432"/>
      <c r="AM9" s="801" t="s">
        <v>1306</v>
      </c>
      <c r="AN9" s="2262" t="s">
        <v>1307</v>
      </c>
      <c r="AO9" s="1432"/>
      <c r="AQ9" s="1432"/>
      <c r="AR9" s="801" t="s">
        <v>1308</v>
      </c>
      <c r="AS9" s="1959" t="s">
        <v>340</v>
      </c>
      <c r="AW9" s="1432"/>
    </row>
    <row r="10" s="2270" customFormat="true" ht="72" hidden="false" customHeight="false" outlineLevel="0" collapsed="false">
      <c r="A10" s="2263"/>
      <c r="B10" s="2264" t="s">
        <v>332</v>
      </c>
      <c r="C10" s="2265" t="s">
        <v>1309</v>
      </c>
      <c r="D10" s="2265" t="s">
        <v>1310</v>
      </c>
      <c r="E10" s="2265" t="s">
        <v>1311</v>
      </c>
      <c r="F10" s="2265" t="s">
        <v>1312</v>
      </c>
      <c r="G10" s="2265" t="s">
        <v>1313</v>
      </c>
      <c r="H10" s="2266" t="s">
        <v>1314</v>
      </c>
      <c r="I10" s="2264" t="s">
        <v>1315</v>
      </c>
      <c r="J10" s="2266" t="s">
        <v>1316</v>
      </c>
      <c r="K10" s="2266" t="s">
        <v>433</v>
      </c>
      <c r="L10" s="2266" t="s">
        <v>1317</v>
      </c>
      <c r="M10" s="2267" t="s">
        <v>1318</v>
      </c>
      <c r="N10" s="2264" t="s">
        <v>332</v>
      </c>
      <c r="O10" s="2263" t="s">
        <v>1319</v>
      </c>
      <c r="P10" s="2265" t="s">
        <v>1320</v>
      </c>
      <c r="Q10" s="2265" t="s">
        <v>1310</v>
      </c>
      <c r="R10" s="2265" t="s">
        <v>1311</v>
      </c>
      <c r="S10" s="2265" t="s">
        <v>1312</v>
      </c>
      <c r="T10" s="2265" t="s">
        <v>1314</v>
      </c>
      <c r="U10" s="2263" t="s">
        <v>1313</v>
      </c>
      <c r="V10" s="2264" t="s">
        <v>1315</v>
      </c>
      <c r="W10" s="2266" t="s">
        <v>1316</v>
      </c>
      <c r="X10" s="2266" t="s">
        <v>433</v>
      </c>
      <c r="Y10" s="2267" t="s">
        <v>1318</v>
      </c>
      <c r="Z10" s="2263" t="s">
        <v>398</v>
      </c>
      <c r="AA10" s="2263" t="s">
        <v>399</v>
      </c>
      <c r="AB10" s="2268" t="s">
        <v>1321</v>
      </c>
      <c r="AC10" s="2264" t="s">
        <v>332</v>
      </c>
      <c r="AD10" s="2269" t="s">
        <v>1322</v>
      </c>
      <c r="AE10" s="2269" t="s">
        <v>1323</v>
      </c>
      <c r="AF10" s="2265" t="s">
        <v>1309</v>
      </c>
      <c r="AG10" s="2265" t="s">
        <v>1310</v>
      </c>
      <c r="AH10" s="2265" t="s">
        <v>1311</v>
      </c>
      <c r="AI10" s="2265" t="s">
        <v>1312</v>
      </c>
      <c r="AJ10" s="2265" t="s">
        <v>1313</v>
      </c>
      <c r="AK10" s="2266" t="s">
        <v>1314</v>
      </c>
      <c r="AL10" s="2264" t="s">
        <v>1315</v>
      </c>
      <c r="AM10" s="2266" t="s">
        <v>1316</v>
      </c>
      <c r="AN10" s="2266" t="s">
        <v>1324</v>
      </c>
      <c r="AO10" s="2266" t="s">
        <v>1325</v>
      </c>
      <c r="AP10" s="2266" t="s">
        <v>1326</v>
      </c>
      <c r="AQ10" s="2266" t="s">
        <v>1327</v>
      </c>
      <c r="AR10" s="2266" t="s">
        <v>433</v>
      </c>
      <c r="AS10" s="2264" t="s">
        <v>1318</v>
      </c>
      <c r="AU10" s="2270" t="s">
        <v>1328</v>
      </c>
      <c r="AV10" s="2270" t="s">
        <v>1329</v>
      </c>
      <c r="AW10" s="2269" t="s">
        <v>1330</v>
      </c>
      <c r="AY10" s="2270" t="s">
        <v>1331</v>
      </c>
      <c r="AZ10" s="2270" t="s">
        <v>1332</v>
      </c>
    </row>
    <row r="11" s="2270" customFormat="true" ht="19" hidden="false" customHeight="true" outlineLevel="0" collapsed="false">
      <c r="A11" s="2263" t="s">
        <v>1333</v>
      </c>
      <c r="C11" s="2265"/>
      <c r="D11" s="2265"/>
      <c r="E11" s="2265"/>
      <c r="F11" s="2265"/>
      <c r="G11" s="2265"/>
      <c r="H11" s="2266"/>
      <c r="I11" s="2264"/>
      <c r="K11" s="1987" t="s">
        <v>1334</v>
      </c>
      <c r="L11" s="1987" t="s">
        <v>1335</v>
      </c>
      <c r="M11" s="2267"/>
      <c r="N11" s="1987" t="s">
        <v>1336</v>
      </c>
      <c r="O11" s="1987"/>
      <c r="P11" s="2265"/>
      <c r="Q11" s="2265"/>
      <c r="R11" s="2265"/>
      <c r="S11" s="2265"/>
      <c r="T11" s="2265"/>
      <c r="U11" s="2265"/>
      <c r="V11" s="2264"/>
      <c r="W11" s="1987" t="s">
        <v>1337</v>
      </c>
      <c r="X11" s="1987" t="s">
        <v>1334</v>
      </c>
      <c r="Y11" s="2267"/>
      <c r="Z11" s="1432" t="s">
        <v>1338</v>
      </c>
      <c r="AA11" s="2263"/>
      <c r="AB11" s="2268"/>
      <c r="AC11" s="1987" t="s">
        <v>1336</v>
      </c>
      <c r="AD11" s="2266"/>
      <c r="AE11" s="2266"/>
      <c r="AF11" s="2265"/>
      <c r="AG11" s="2265"/>
      <c r="AH11" s="1987" t="s">
        <v>1339</v>
      </c>
      <c r="AI11" s="1987" t="s">
        <v>1340</v>
      </c>
      <c r="AJ11" s="1985" t="s">
        <v>1341</v>
      </c>
      <c r="AK11" s="2266"/>
      <c r="AL11" s="2264"/>
      <c r="AM11" s="1987" t="s">
        <v>1337</v>
      </c>
      <c r="AN11" s="1987" t="s">
        <v>1342</v>
      </c>
      <c r="AO11" s="2266"/>
      <c r="AP11" s="1987" t="s">
        <v>1343</v>
      </c>
      <c r="AQ11" s="1594" t="s">
        <v>1344</v>
      </c>
      <c r="AR11" s="1987" t="s">
        <v>1334</v>
      </c>
      <c r="AS11" s="1987" t="s">
        <v>1345</v>
      </c>
      <c r="AW11" s="2266"/>
    </row>
    <row r="12" s="2288" customFormat="true" ht="12" hidden="false" customHeight="false" outlineLevel="0" collapsed="false">
      <c r="A12" s="2252" t="n">
        <v>1950</v>
      </c>
      <c r="B12" s="2271"/>
      <c r="C12" s="2272"/>
      <c r="D12" s="2272"/>
      <c r="E12" s="2272"/>
      <c r="F12" s="2272"/>
      <c r="G12" s="2272"/>
      <c r="H12" s="2273"/>
      <c r="I12" s="2271"/>
      <c r="J12" s="2273"/>
      <c r="K12" s="2273"/>
      <c r="L12" s="2273"/>
      <c r="M12" s="2267"/>
      <c r="N12" s="2274" t="n">
        <f aca="false">O12+U12</f>
        <v>25.2931120655062</v>
      </c>
      <c r="O12" s="2275" t="n">
        <f aca="false">O13*DataDE2b!DM18/DataDE2b!DM19</f>
        <v>21.9940104917445</v>
      </c>
      <c r="P12" s="2276" t="n">
        <f aca="false">P13</f>
        <v>0</v>
      </c>
      <c r="Q12" s="2272"/>
      <c r="R12" s="2272"/>
      <c r="S12" s="2272"/>
      <c r="T12" s="2272"/>
      <c r="U12" s="2277" t="n">
        <f aca="false">0.15*O12</f>
        <v>3.29910157376168</v>
      </c>
      <c r="V12" s="2276" t="n">
        <f aca="false">W12-X12</f>
        <v>-6.9673092347114</v>
      </c>
      <c r="W12" s="2276" t="n">
        <f aca="false">W13*DataDE2b!DD17/DataDE2b!DD18</f>
        <v>9.21311356313449</v>
      </c>
      <c r="X12" s="2278" t="n">
        <f aca="false">X13*DataDE2b!DE17/DataDE2b!DE18</f>
        <v>16.1804227978459</v>
      </c>
      <c r="Y12" s="2279" t="n">
        <f aca="false">N12+V12</f>
        <v>18.3258028307948</v>
      </c>
      <c r="Z12" s="2280" t="n">
        <f aca="false">DataDE2b!EW17</f>
        <v>1.197</v>
      </c>
      <c r="AA12" s="2280" t="n">
        <f aca="false">DataDE2b!EX17</f>
        <v>10.4702671193304</v>
      </c>
      <c r="AB12" s="2281" t="n">
        <f aca="false">DataDE2b!EY17</f>
        <v>-1.541</v>
      </c>
      <c r="AC12" s="2282" t="n">
        <v>73.372800812545</v>
      </c>
      <c r="AD12" s="2282" t="n">
        <v>30.5590047211061</v>
      </c>
      <c r="AE12" s="2276" t="n">
        <f aca="false">AC12-AD12</f>
        <v>42.8137960914389</v>
      </c>
      <c r="AF12" s="2265"/>
      <c r="AG12" s="2276"/>
      <c r="AH12" s="2283"/>
      <c r="AI12" s="2284"/>
      <c r="AJ12" s="2276"/>
      <c r="AK12" s="2266"/>
      <c r="AL12" s="2276" t="n">
        <f aca="false">AM12-AR12</f>
        <v>12.9054613380052</v>
      </c>
      <c r="AM12" s="2285" t="n">
        <f aca="false">AM13*DataDE2b!P17/DataDE2b!P18</f>
        <v>14.4717319198774</v>
      </c>
      <c r="AN12" s="2286" t="n">
        <f aca="false">AN13*DataDE2b!Q17/DataDE2b!Q18</f>
        <v>3.22358346094947</v>
      </c>
      <c r="AO12" s="2276"/>
      <c r="AP12" s="2286" t="n">
        <f aca="false">AP13*DataDE2b!R17/DataDE2b!R18</f>
        <v>2.07319570602807</v>
      </c>
      <c r="AQ12" s="2276" t="n">
        <f aca="false">AM12-AN12-AP12-AO12</f>
        <v>9.1749527528999</v>
      </c>
      <c r="AR12" s="2287" t="n">
        <f aca="false">AR13*DataDE2b!V17/DataDE2b!V18</f>
        <v>1.56627058187227</v>
      </c>
      <c r="AS12" s="2283" t="n">
        <f aca="false">AC12+AL12</f>
        <v>86.2782621505502</v>
      </c>
      <c r="AW12" s="759" t="n">
        <f aca="false">AD12/DataDE1!B11</f>
        <v>0.602143330857413</v>
      </c>
    </row>
    <row r="13" s="2288" customFormat="true" ht="12" hidden="false" customHeight="false" outlineLevel="0" collapsed="false">
      <c r="A13" s="2252" t="n">
        <v>1951</v>
      </c>
      <c r="B13" s="2271"/>
      <c r="C13" s="2272"/>
      <c r="D13" s="2272"/>
      <c r="E13" s="2272"/>
      <c r="F13" s="2272"/>
      <c r="G13" s="2272"/>
      <c r="H13" s="2273"/>
      <c r="I13" s="2271"/>
      <c r="J13" s="2273"/>
      <c r="K13" s="2273"/>
      <c r="L13" s="2273"/>
      <c r="M13" s="2267"/>
      <c r="N13" s="2274" t="n">
        <f aca="false">O13+U13</f>
        <v>29.3250725712472</v>
      </c>
      <c r="O13" s="2275" t="n">
        <f aca="false">O14*DataDE2b!DM19/DataDE2b!DM20</f>
        <v>25.5000631054324</v>
      </c>
      <c r="P13" s="2276" t="n">
        <f aca="false">P14</f>
        <v>0</v>
      </c>
      <c r="Q13" s="2272"/>
      <c r="R13" s="2272"/>
      <c r="S13" s="2272"/>
      <c r="T13" s="2272"/>
      <c r="U13" s="2277" t="n">
        <f aca="false">0.15*O13</f>
        <v>3.82500946581485</v>
      </c>
      <c r="V13" s="2276" t="n">
        <f aca="false">W13-X13</f>
        <v>-4.94336255506711</v>
      </c>
      <c r="W13" s="2276" t="n">
        <f aca="false">W14*DataDE2b!DD18/DataDE2b!DD19</f>
        <v>12.0479177364066</v>
      </c>
      <c r="X13" s="2278" t="n">
        <f aca="false">X14*DataDE2b!DE18/DataDE2b!DE19</f>
        <v>16.9912802914738</v>
      </c>
      <c r="Y13" s="2279" t="n">
        <f aca="false">N13+V13</f>
        <v>24.3817100161801</v>
      </c>
      <c r="Z13" s="2280" t="n">
        <f aca="false">DataDE2b!EW18</f>
        <v>1.991</v>
      </c>
      <c r="AA13" s="2280" t="n">
        <f aca="false">DataDE2b!EX18</f>
        <v>12.2362671193304</v>
      </c>
      <c r="AB13" s="2281" t="n">
        <f aca="false">DataDE2b!EY18</f>
        <v>-2.513</v>
      </c>
      <c r="AC13" s="2282" t="n">
        <v>84.2574622737</v>
      </c>
      <c r="AD13" s="2282" t="n">
        <v>35.4084255220489</v>
      </c>
      <c r="AE13" s="2276" t="n">
        <f aca="false">AC13-AD13</f>
        <v>48.8490367516512</v>
      </c>
      <c r="AF13" s="2272"/>
      <c r="AG13" s="2276"/>
      <c r="AH13" s="2283"/>
      <c r="AI13" s="2283"/>
      <c r="AJ13" s="2276"/>
      <c r="AK13" s="2273"/>
      <c r="AL13" s="2276" t="n">
        <f aca="false">AM13-AR13</f>
        <v>13.2786017064612</v>
      </c>
      <c r="AM13" s="2276" t="n">
        <f aca="false">AM14*DataDE2b!P18/DataDE2b!P19</f>
        <v>16.8930722800126</v>
      </c>
      <c r="AN13" s="2276" t="n">
        <f aca="false">AN14*DataDE2b!Q18/DataDE2b!Q19</f>
        <v>3.86830015313936</v>
      </c>
      <c r="AO13" s="2276"/>
      <c r="AP13" s="2276" t="n">
        <f aca="false">AP14*DataDE2b!R18/DataDE2b!R19</f>
        <v>2.38731626754748</v>
      </c>
      <c r="AQ13" s="2276" t="n">
        <f aca="false">AM13-AN13-AP13-AO13</f>
        <v>10.6374558593257</v>
      </c>
      <c r="AR13" s="2278" t="n">
        <f aca="false">AR14*DataDE2b!V18/DataDE2b!V19</f>
        <v>3.61447057355138</v>
      </c>
      <c r="AS13" s="2283" t="n">
        <f aca="false">AC13+AL13</f>
        <v>97.5360639801612</v>
      </c>
      <c r="AW13" s="759" t="n">
        <f aca="false">AD13/DataDE1!B12</f>
        <v>0.569304575679059</v>
      </c>
    </row>
    <row r="14" s="2288" customFormat="true" ht="12" hidden="false" customHeight="false" outlineLevel="0" collapsed="false">
      <c r="A14" s="2252" t="n">
        <v>1952</v>
      </c>
      <c r="B14" s="2271"/>
      <c r="C14" s="2272"/>
      <c r="D14" s="2272"/>
      <c r="E14" s="2272"/>
      <c r="F14" s="2272"/>
      <c r="G14" s="2272"/>
      <c r="H14" s="2273"/>
      <c r="I14" s="2271"/>
      <c r="J14" s="2273"/>
      <c r="K14" s="2273"/>
      <c r="L14" s="2273"/>
      <c r="M14" s="2267"/>
      <c r="N14" s="2274" t="n">
        <f aca="false">O14+U14</f>
        <v>34.4247459193081</v>
      </c>
      <c r="O14" s="2275" t="n">
        <f aca="false">O15*DataDE2b!DM20/DataDE2b!DM21</f>
        <v>29.9345616689636</v>
      </c>
      <c r="P14" s="2276" t="n">
        <f aca="false">P15</f>
        <v>0</v>
      </c>
      <c r="Q14" s="2272"/>
      <c r="R14" s="2272"/>
      <c r="S14" s="2272"/>
      <c r="T14" s="2272"/>
      <c r="U14" s="2277" t="n">
        <f aca="false">0.15*O14</f>
        <v>4.49018425034453</v>
      </c>
      <c r="V14" s="2276" t="n">
        <f aca="false">W14-X14</f>
        <v>-1.41112642357607</v>
      </c>
      <c r="W14" s="2276" t="n">
        <f aca="false">W15*DataDE2b!DD19/DataDE2b!DD20</f>
        <v>16.7725913585269</v>
      </c>
      <c r="X14" s="2278" t="n">
        <f aca="false">X15*DataDE2b!DE19/DataDE2b!DE20</f>
        <v>18.183717782103</v>
      </c>
      <c r="Y14" s="2279" t="n">
        <f aca="false">N14+V14</f>
        <v>33.013619495732</v>
      </c>
      <c r="Z14" s="2280" t="n">
        <f aca="false">DataDE2b!EW19</f>
        <v>3.088</v>
      </c>
      <c r="AA14" s="2280" t="n">
        <f aca="false">DataDE2b!EX19</f>
        <v>12.2242671193304</v>
      </c>
      <c r="AB14" s="2281" t="n">
        <f aca="false">DataDE2b!EY19</f>
        <v>-1.404</v>
      </c>
      <c r="AC14" s="2289" t="n">
        <v>102.666273471823</v>
      </c>
      <c r="AD14" s="2282" t="n">
        <v>43.0393777582112</v>
      </c>
      <c r="AE14" s="2276" t="n">
        <f aca="false">AC14-AD14</f>
        <v>59.6268957136115</v>
      </c>
      <c r="AF14" s="2272"/>
      <c r="AG14" s="2276"/>
      <c r="AH14" s="2283"/>
      <c r="AI14" s="2283"/>
      <c r="AJ14" s="2276"/>
      <c r="AK14" s="2273"/>
      <c r="AL14" s="2276" t="n">
        <f aca="false">AM14-AR14</f>
        <v>14.4963956889178</v>
      </c>
      <c r="AM14" s="2276" t="n">
        <f aca="false">AM15*DataDE2b!P19/DataDE2b!P20</f>
        <v>20.1590662541483</v>
      </c>
      <c r="AN14" s="2276" t="n">
        <f aca="false">AN15*DataDE2b!Q19/DataDE2b!Q20</f>
        <v>4.51301684532925</v>
      </c>
      <c r="AO14" s="2276"/>
      <c r="AP14" s="2276" t="n">
        <f aca="false">AP15*DataDE2b!R19/DataDE2b!R20</f>
        <v>3.58097440132122</v>
      </c>
      <c r="AQ14" s="2276" t="n">
        <f aca="false">AM14-AN14-AP14-AO14</f>
        <v>12.0650750074979</v>
      </c>
      <c r="AR14" s="2278" t="n">
        <f aca="false">AR15*DataDE2b!V19/DataDE2b!V20</f>
        <v>5.66267056523051</v>
      </c>
      <c r="AS14" s="2283" t="n">
        <f aca="false">AC14+AL14</f>
        <v>117.162669160741</v>
      </c>
      <c r="AW14" s="759" t="n">
        <f aca="false">AD14/DataDE1!B13</f>
        <v>0.60566533150452</v>
      </c>
    </row>
    <row r="15" s="2288" customFormat="true" ht="12" hidden="false" customHeight="false" outlineLevel="0" collapsed="false">
      <c r="A15" s="2252" t="n">
        <v>1953</v>
      </c>
      <c r="B15" s="2271"/>
      <c r="C15" s="2272"/>
      <c r="D15" s="2272"/>
      <c r="E15" s="2272"/>
      <c r="F15" s="2272"/>
      <c r="G15" s="2272"/>
      <c r="H15" s="2273"/>
      <c r="I15" s="2271"/>
      <c r="J15" s="2273"/>
      <c r="K15" s="2273"/>
      <c r="L15" s="2273"/>
      <c r="M15" s="2267"/>
      <c r="N15" s="2274" t="n">
        <f aca="false">O15+U15</f>
        <v>35.2306641863884</v>
      </c>
      <c r="O15" s="2275" t="n">
        <f aca="false">O16*DataDE2b!DM21/DataDE2b!DM22</f>
        <v>30.6353601620768</v>
      </c>
      <c r="P15" s="2276" t="n">
        <f aca="false">P16</f>
        <v>0</v>
      </c>
      <c r="Q15" s="2272"/>
      <c r="R15" s="2272"/>
      <c r="S15" s="2272"/>
      <c r="T15" s="2272"/>
      <c r="U15" s="2277" t="n">
        <f aca="false">0.15*O15</f>
        <v>4.59530402431153</v>
      </c>
      <c r="V15" s="2276" t="n">
        <f aca="false">W15-X15</f>
        <v>3.48092530710371</v>
      </c>
      <c r="W15" s="2276" t="n">
        <f aca="false">W16*DataDE2b!DD20/DataDE2b!DD21</f>
        <v>22.2847105843339</v>
      </c>
      <c r="X15" s="2278" t="n">
        <f aca="false">X16*DataDE2b!DE20/DataDE2b!DE21</f>
        <v>18.8037852772301</v>
      </c>
      <c r="Y15" s="2279" t="n">
        <f aca="false">N15+V15</f>
        <v>38.7115894934921</v>
      </c>
      <c r="Z15" s="2280" t="n">
        <f aca="false">DataDE2b!EW20</f>
        <v>4.976</v>
      </c>
      <c r="AA15" s="2280" t="n">
        <f aca="false">DataDE2b!EX20</f>
        <v>12.5612671193304</v>
      </c>
      <c r="AB15" s="2281" t="n">
        <f aca="false">DataDE2b!EY20</f>
        <v>0.147</v>
      </c>
      <c r="AC15" s="2290" t="n">
        <v>107.473553427445</v>
      </c>
      <c r="AD15" s="2291" t="n">
        <v>44.9425563571476</v>
      </c>
      <c r="AE15" s="2276" t="n">
        <f aca="false">AC15-AD15</f>
        <v>62.5309970702975</v>
      </c>
      <c r="AF15" s="2292"/>
      <c r="AG15" s="2276"/>
      <c r="AH15" s="2283"/>
      <c r="AI15" s="2283"/>
      <c r="AJ15" s="2276"/>
      <c r="AK15" s="2273"/>
      <c r="AL15" s="2293" t="n">
        <f aca="false">AM15-AR15</f>
        <v>15.9564315231165</v>
      </c>
      <c r="AM15" s="2276" t="n">
        <f aca="false">AM16*DataDE2b!P20/DataDE2b!P21</f>
        <v>24.2697138422847</v>
      </c>
      <c r="AN15" s="2276" t="n">
        <f aca="false">AN16*DataDE2b!Q20/DataDE2b!Q21</f>
        <v>5.22220520673813</v>
      </c>
      <c r="AO15" s="2276"/>
      <c r="AP15" s="2276" t="n">
        <f aca="false">AP16*DataDE2b!R20/DataDE2b!R21</f>
        <v>4.14639141205615</v>
      </c>
      <c r="AQ15" s="2276" t="n">
        <f aca="false">AM15-AN15-AP15-AO15</f>
        <v>14.9011172234904</v>
      </c>
      <c r="AR15" s="2278" t="n">
        <f aca="false">AR16*DataDE2b!V20/DataDE2b!V21</f>
        <v>8.31328231916818</v>
      </c>
      <c r="AS15" s="2283" t="n">
        <f aca="false">AC15+AL15</f>
        <v>123.429984950562</v>
      </c>
      <c r="AW15" s="2294" t="n">
        <f aca="false">AD15/DataDE1!B14</f>
        <v>0.588134520383518</v>
      </c>
    </row>
    <row r="16" s="2288" customFormat="true" ht="12" hidden="false" customHeight="false" outlineLevel="0" collapsed="false">
      <c r="A16" s="2252" t="n">
        <v>1954</v>
      </c>
      <c r="B16" s="2271"/>
      <c r="C16" s="2272"/>
      <c r="D16" s="2272"/>
      <c r="E16" s="2272"/>
      <c r="F16" s="2272"/>
      <c r="G16" s="2272"/>
      <c r="H16" s="2273"/>
      <c r="I16" s="2271"/>
      <c r="J16" s="2273"/>
      <c r="K16" s="2273"/>
      <c r="L16" s="2273"/>
      <c r="M16" s="2267"/>
      <c r="N16" s="2274" t="n">
        <f aca="false">O16+U16</f>
        <v>36.2597763481016</v>
      </c>
      <c r="O16" s="2275" t="n">
        <f aca="false">O17*DataDE2b!DM22/DataDE2b!DM23</f>
        <v>31.5302403026971</v>
      </c>
      <c r="P16" s="2276" t="n">
        <f aca="false">P17</f>
        <v>0</v>
      </c>
      <c r="Q16" s="2272"/>
      <c r="R16" s="2272"/>
      <c r="S16" s="2272"/>
      <c r="T16" s="2272"/>
      <c r="U16" s="2277" t="n">
        <f aca="false">0.15*O16</f>
        <v>4.72953604540456</v>
      </c>
      <c r="V16" s="2276" t="n">
        <f aca="false">W16-X16</f>
        <v>11.9432293984263</v>
      </c>
      <c r="W16" s="2276" t="n">
        <f aca="false">W17*DataDE2b!DD21/DataDE2b!DD22</f>
        <v>29.6866992589889</v>
      </c>
      <c r="X16" s="2278" t="n">
        <f aca="false">X17*DataDE2b!DE21/DataDE2b!DE22</f>
        <v>17.7434698605627</v>
      </c>
      <c r="Y16" s="2279" t="n">
        <f aca="false">N16+V16</f>
        <v>48.2030057465279</v>
      </c>
      <c r="Z16" s="2280" t="n">
        <f aca="false">DataDE2b!EW21</f>
        <v>7.033</v>
      </c>
      <c r="AA16" s="2280" t="n">
        <f aca="false">DataDE2b!EX21</f>
        <v>11.477</v>
      </c>
      <c r="AB16" s="2281" t="n">
        <f aca="false">DataDE2b!EY21</f>
        <v>-4.445</v>
      </c>
      <c r="AC16" s="2282" t="n">
        <f aca="false">AC15+(AC$19-AC$15)/4</f>
        <v>116.101603922631</v>
      </c>
      <c r="AD16" s="2282" t="n">
        <f aca="false">AD15+(AD$19-AD$15)/4</f>
        <v>49.9532167928706</v>
      </c>
      <c r="AE16" s="2276" t="n">
        <f aca="false">AC16-AD16</f>
        <v>66.1483871297608</v>
      </c>
      <c r="AF16" s="2292"/>
      <c r="AG16" s="2276"/>
      <c r="AH16" s="2283"/>
      <c r="AI16" s="2283"/>
      <c r="AJ16" s="2276"/>
      <c r="AK16" s="2273"/>
      <c r="AL16" s="2276" t="n">
        <f aca="false">AM16-AR16</f>
        <v>17.3810889396829</v>
      </c>
      <c r="AM16" s="2276" t="n">
        <f aca="false">AM17*DataDE2b!P21/DataDE2b!P22</f>
        <v>28.8871535988215</v>
      </c>
      <c r="AN16" s="2276" t="n">
        <f aca="false">AN17*DataDE2b!Q21/DataDE2b!Q22</f>
        <v>5.28667687595712</v>
      </c>
      <c r="AO16" s="2276"/>
      <c r="AP16" s="2276" t="n">
        <f aca="false">AP17*DataDE2b!R21/DataDE2b!R22</f>
        <v>4.9631048720066</v>
      </c>
      <c r="AQ16" s="2276" t="n">
        <f aca="false">AM16-AN16-AP16-AO16</f>
        <v>18.6373718508578</v>
      </c>
      <c r="AR16" s="2278" t="n">
        <f aca="false">AR17*DataDE2b!V21/DataDE2b!V22</f>
        <v>11.5060646591386</v>
      </c>
      <c r="AS16" s="2283" t="n">
        <f aca="false">AC16+AL16</f>
        <v>133.482692862314</v>
      </c>
      <c r="AW16" s="759" t="n">
        <f aca="false">AD16/DataDE1!B15</f>
        <v>0.610302525909743</v>
      </c>
    </row>
    <row r="17" s="2288" customFormat="true" ht="12" hidden="false" customHeight="false" outlineLevel="0" collapsed="false">
      <c r="A17" s="2252" t="n">
        <v>1955</v>
      </c>
      <c r="B17" s="2271"/>
      <c r="C17" s="2272"/>
      <c r="D17" s="2272"/>
      <c r="E17" s="2272"/>
      <c r="F17" s="2272"/>
      <c r="G17" s="2272"/>
      <c r="H17" s="2273"/>
      <c r="I17" s="2271"/>
      <c r="J17" s="2273"/>
      <c r="K17" s="2273"/>
      <c r="L17" s="2273"/>
      <c r="M17" s="2267"/>
      <c r="N17" s="2274" t="n">
        <f aca="false">O17+U17</f>
        <v>38.5662370727916</v>
      </c>
      <c r="O17" s="2275" t="n">
        <f aca="false">O18*DataDE2b!DM23/DataDE2b!DM24</f>
        <v>33.5358583241666</v>
      </c>
      <c r="P17" s="2276" t="n">
        <f aca="false">P18</f>
        <v>0</v>
      </c>
      <c r="Q17" s="2272"/>
      <c r="R17" s="2272"/>
      <c r="S17" s="2272"/>
      <c r="T17" s="2272"/>
      <c r="U17" s="2277" t="n">
        <f aca="false">0.15*O17</f>
        <v>5.03037874862499</v>
      </c>
      <c r="V17" s="2276" t="n">
        <f aca="false">W17-X17</f>
        <v>18.4821554457886</v>
      </c>
      <c r="W17" s="2276" t="n">
        <f aca="false">W18*DataDE2b!DD22/DataDE2b!DD23</f>
        <v>37.561155295856</v>
      </c>
      <c r="X17" s="2278" t="n">
        <f aca="false">X18*DataDE2b!DE22/DataDE2b!DE23</f>
        <v>19.0789998500674</v>
      </c>
      <c r="Y17" s="2279" t="n">
        <f aca="false">N17+V17</f>
        <v>57.0483925185802</v>
      </c>
      <c r="Z17" s="2280" t="n">
        <f aca="false">DataDE2b!EW22</f>
        <v>9.236</v>
      </c>
      <c r="AA17" s="2280" t="n">
        <f aca="false">DataDE2b!EX22</f>
        <v>12.395</v>
      </c>
      <c r="AB17" s="2281" t="n">
        <f aca="false">DataDE2b!EY22</f>
        <v>-3.159</v>
      </c>
      <c r="AC17" s="2282" t="n">
        <f aca="false">AC16+(AC$19-AC$15)/4</f>
        <v>124.729654417818</v>
      </c>
      <c r="AD17" s="2282" t="n">
        <f aca="false">AD16+(AD$19-AD$15)/4</f>
        <v>54.9638772285935</v>
      </c>
      <c r="AE17" s="2276" t="n">
        <f aca="false">AC17-AD17</f>
        <v>69.765777189224</v>
      </c>
      <c r="AF17" s="2292"/>
      <c r="AG17" s="2276"/>
      <c r="AH17" s="2283"/>
      <c r="AI17" s="2283"/>
      <c r="AJ17" s="2276"/>
      <c r="AK17" s="2273"/>
      <c r="AL17" s="2276" t="n">
        <f aca="false">AM17-AR17</f>
        <v>20.4242967489859</v>
      </c>
      <c r="AM17" s="2276" t="n">
        <f aca="false">AM18*DataDE2b!P22/DataDE2b!P23</f>
        <v>36.2074849201603</v>
      </c>
      <c r="AN17" s="2276" t="n">
        <f aca="false">AN18*DataDE2b!Q22/DataDE2b!Q23</f>
        <v>7.2208269525268</v>
      </c>
      <c r="AO17" s="2276"/>
      <c r="AP17" s="2276" t="n">
        <f aca="false">AP18*DataDE2b!R22/DataDE2b!R23</f>
        <v>5.9682906688687</v>
      </c>
      <c r="AQ17" s="2276" t="n">
        <f aca="false">AM17-AN17-AP17-AO17</f>
        <v>23.0183672987648</v>
      </c>
      <c r="AR17" s="2278" t="n">
        <f aca="false">AR18*DataDE2b!V22/DataDE2b!V23</f>
        <v>15.7831881711744</v>
      </c>
      <c r="AS17" s="2283" t="n">
        <f aca="false">AC17+AL17</f>
        <v>145.153951166803</v>
      </c>
      <c r="AW17" s="759" t="n">
        <f aca="false">AD17/DataDE1!B16</f>
        <v>0.586582583186732</v>
      </c>
    </row>
    <row r="18" s="2288" customFormat="true" ht="12" hidden="false" customHeight="false" outlineLevel="0" collapsed="false">
      <c r="A18" s="2252" t="n">
        <v>1956</v>
      </c>
      <c r="B18" s="2271"/>
      <c r="C18" s="2272"/>
      <c r="D18" s="2272"/>
      <c r="E18" s="2272"/>
      <c r="F18" s="2272"/>
      <c r="G18" s="2272"/>
      <c r="H18" s="2273"/>
      <c r="I18" s="2271"/>
      <c r="J18" s="2273"/>
      <c r="K18" s="2273"/>
      <c r="L18" s="2273"/>
      <c r="M18" s="2267"/>
      <c r="N18" s="2274" t="n">
        <f aca="false">O18+U18</f>
        <v>43.1816726363304</v>
      </c>
      <c r="O18" s="2275" t="n">
        <f aca="false">O19*DataDE2b!DM24/DataDE2b!DM25</f>
        <v>37.5492805533308</v>
      </c>
      <c r="P18" s="2276" t="n">
        <f aca="false">P19</f>
        <v>0</v>
      </c>
      <c r="Q18" s="2272"/>
      <c r="R18" s="2272"/>
      <c r="S18" s="2272"/>
      <c r="T18" s="2272"/>
      <c r="U18" s="2277" t="n">
        <f aca="false">0.15*O18</f>
        <v>5.63239208299962</v>
      </c>
      <c r="V18" s="2276" t="n">
        <f aca="false">W18-X18</f>
        <v>25.6721960490217</v>
      </c>
      <c r="W18" s="2276" t="n">
        <f aca="false">W19*DataDE2b!DD23/DataDE2b!DD24</f>
        <v>45.5143558930918</v>
      </c>
      <c r="X18" s="2278" t="n">
        <f aca="false">X19*DataDE2b!DE23/DataDE2b!DE24</f>
        <v>19.8421598440701</v>
      </c>
      <c r="Y18" s="2279" t="n">
        <f aca="false">N18+V18</f>
        <v>68.8538686853521</v>
      </c>
      <c r="Z18" s="2280" t="n">
        <f aca="false">DataDE2b!EW23</f>
        <v>10.955</v>
      </c>
      <c r="AA18" s="2280" t="n">
        <f aca="false">DataDE2b!EX23</f>
        <v>13.146</v>
      </c>
      <c r="AB18" s="2281" t="n">
        <f aca="false">DataDE2b!EY23</f>
        <v>-2.191</v>
      </c>
      <c r="AC18" s="2282" t="n">
        <f aca="false">AC17+(AC$19-AC$15)/4</f>
        <v>133.357704913004</v>
      </c>
      <c r="AD18" s="2282" t="n">
        <f aca="false">AD17+(AD$19-AD$15)/4</f>
        <v>59.9745376643164</v>
      </c>
      <c r="AE18" s="2276" t="n">
        <f aca="false">AC18-AD18</f>
        <v>73.3831672486873</v>
      </c>
      <c r="AF18" s="2292"/>
      <c r="AG18" s="2276"/>
      <c r="AH18" s="2283"/>
      <c r="AI18" s="2283"/>
      <c r="AJ18" s="2276"/>
      <c r="AK18" s="2273"/>
      <c r="AL18" s="2276" t="n">
        <f aca="false">AM18-AR18</f>
        <v>21.7061633481843</v>
      </c>
      <c r="AM18" s="2276" t="n">
        <f aca="false">AM19*DataDE2b!P23/DataDE2b!P24</f>
        <v>42.0074397362979</v>
      </c>
      <c r="AN18" s="2276" t="n">
        <f aca="false">AN19*DataDE2b!Q23/DataDE2b!Q24</f>
        <v>8.05895865237366</v>
      </c>
      <c r="AO18" s="2276"/>
      <c r="AP18" s="2276" t="n">
        <f aca="false">AP19*DataDE2b!R23/DataDE2b!R24</f>
        <v>6.84782824112304</v>
      </c>
      <c r="AQ18" s="2276" t="n">
        <f aca="false">AM18-AN18-AP18-AO18</f>
        <v>27.1006528428012</v>
      </c>
      <c r="AR18" s="2278" t="n">
        <f aca="false">AR19*DataDE2b!V23/DataDE2b!V24</f>
        <v>20.3012763881136</v>
      </c>
      <c r="AS18" s="2283" t="n">
        <f aca="false">AC18+AL18</f>
        <v>155.063868261188</v>
      </c>
      <c r="AW18" s="759" t="n">
        <f aca="false">AD18/DataDE1!B17</f>
        <v>0.579813700045556</v>
      </c>
    </row>
    <row r="19" s="2288" customFormat="true" ht="12" hidden="false" customHeight="false" outlineLevel="0" collapsed="false">
      <c r="A19" s="2252" t="n">
        <v>1957</v>
      </c>
      <c r="B19" s="2271"/>
      <c r="C19" s="2272"/>
      <c r="D19" s="2272"/>
      <c r="E19" s="2272"/>
      <c r="F19" s="2272"/>
      <c r="G19" s="2272"/>
      <c r="H19" s="2273"/>
      <c r="I19" s="2271"/>
      <c r="J19" s="2273"/>
      <c r="K19" s="2273"/>
      <c r="L19" s="2273"/>
      <c r="M19" s="2267"/>
      <c r="N19" s="2274" t="n">
        <f aca="false">O19+U19</f>
        <v>46.9997738131609</v>
      </c>
      <c r="O19" s="2275" t="n">
        <f aca="false">O20*DataDE2b!DM25/DataDE2b!DM26</f>
        <v>40.8693685331834</v>
      </c>
      <c r="P19" s="2276" t="n">
        <f aca="false">P20</f>
        <v>0</v>
      </c>
      <c r="Q19" s="2272"/>
      <c r="R19" s="2272"/>
      <c r="S19" s="2272"/>
      <c r="T19" s="2272"/>
      <c r="U19" s="2277" t="n">
        <f aca="false">0.15*O19</f>
        <v>6.13040527997751</v>
      </c>
      <c r="V19" s="2276" t="n">
        <f aca="false">W19-X19</f>
        <v>33.5731915125926</v>
      </c>
      <c r="W19" s="2276" t="n">
        <f aca="false">W20*DataDE2b!DD24/DataDE2b!DD25</f>
        <v>53.9400238525395</v>
      </c>
      <c r="X19" s="2278" t="n">
        <f aca="false">X20*DataDE2b!DE24/DataDE2b!DE25</f>
        <v>20.3668323399469</v>
      </c>
      <c r="Y19" s="2279" t="n">
        <f aca="false">N19+V19</f>
        <v>80.5729653257535</v>
      </c>
      <c r="Z19" s="2280" t="n">
        <f aca="false">DataDE2b!EW24</f>
        <v>14.674</v>
      </c>
      <c r="AA19" s="2280" t="n">
        <f aca="false">DataDE2b!EX24</f>
        <v>14.54</v>
      </c>
      <c r="AB19" s="2281" t="n">
        <f aca="false">DataDE2b!EY24</f>
        <v>0.134</v>
      </c>
      <c r="AC19" s="2290" t="n">
        <v>141.98575540819</v>
      </c>
      <c r="AD19" s="2291" t="n">
        <v>64.9851981000394</v>
      </c>
      <c r="AE19" s="2276" t="n">
        <f aca="false">AC19-AD19</f>
        <v>77.0005573081505</v>
      </c>
      <c r="AF19" s="2292"/>
      <c r="AG19" s="2276"/>
      <c r="AH19" s="2283"/>
      <c r="AI19" s="2283"/>
      <c r="AJ19" s="2276"/>
      <c r="AK19" s="2273"/>
      <c r="AL19" s="2276" t="n">
        <f aca="false">AM19-AR19</f>
        <v>21.8212386289518</v>
      </c>
      <c r="AM19" s="2276" t="n">
        <f aca="false">AM20*DataDE2b!P24/DataDE2b!P25</f>
        <v>46.3996385291012</v>
      </c>
      <c r="AN19" s="2276" t="n">
        <f aca="false">AN20*DataDE2b!Q24/DataDE2b!Q25</f>
        <v>7.93001531393569</v>
      </c>
      <c r="AO19" s="2276"/>
      <c r="AP19" s="2276" t="n">
        <f aca="false">AP20*DataDE2b!R24/DataDE2b!R25</f>
        <v>7.72736581337737</v>
      </c>
      <c r="AQ19" s="2276" t="n">
        <f aca="false">AM19-AN19-AP19-AO19</f>
        <v>30.7422574017881</v>
      </c>
      <c r="AR19" s="2278" t="n">
        <f aca="false">AR20*DataDE2b!V24/DataDE2b!V25</f>
        <v>24.5783999001494</v>
      </c>
      <c r="AS19" s="2283" t="n">
        <f aca="false">AC19+AL19</f>
        <v>163.806994037142</v>
      </c>
      <c r="AW19" s="2294" t="n">
        <f aca="false">AD19/DataDE1!B18</f>
        <v>0.577455290407316</v>
      </c>
    </row>
    <row r="20" s="2288" customFormat="true" ht="12" hidden="false" customHeight="false" outlineLevel="0" collapsed="false">
      <c r="A20" s="2252" t="n">
        <v>1958</v>
      </c>
      <c r="B20" s="2271"/>
      <c r="C20" s="2272"/>
      <c r="D20" s="2272"/>
      <c r="E20" s="2272"/>
      <c r="F20" s="2272"/>
      <c r="G20" s="2272"/>
      <c r="H20" s="2273"/>
      <c r="I20" s="2271"/>
      <c r="J20" s="2273"/>
      <c r="K20" s="2273"/>
      <c r="L20" s="2273"/>
      <c r="M20" s="2267"/>
      <c r="N20" s="2274" t="n">
        <f aca="false">O20+U20</f>
        <v>52.366399671575</v>
      </c>
      <c r="O20" s="2275" t="n">
        <f aca="false">O21*DataDE2b!DM26/DataDE2b!DM27</f>
        <v>45.5359997144131</v>
      </c>
      <c r="P20" s="2276" t="n">
        <f aca="false">P21</f>
        <v>0</v>
      </c>
      <c r="Q20" s="2272"/>
      <c r="R20" s="2272"/>
      <c r="S20" s="2272"/>
      <c r="T20" s="2272"/>
      <c r="U20" s="2277" t="n">
        <f aca="false">0.15*O20</f>
        <v>6.83039995716196</v>
      </c>
      <c r="V20" s="2276" t="n">
        <f aca="false">W20-X20</f>
        <v>39.3791309069529</v>
      </c>
      <c r="W20" s="2276" t="n">
        <f aca="false">W21*DataDE2b!DD25/DataDE2b!DD26</f>
        <v>60.3183332424019</v>
      </c>
      <c r="X20" s="2278" t="n">
        <f aca="false">X21*DataDE2b!DE25/DataDE2b!DE26</f>
        <v>20.9392023354489</v>
      </c>
      <c r="Y20" s="2279" t="n">
        <f aca="false">N20+V20</f>
        <v>91.745530578528</v>
      </c>
      <c r="Z20" s="2280" t="n">
        <f aca="false">DataDE2b!EW25</f>
        <v>19.816</v>
      </c>
      <c r="AA20" s="2280" t="n">
        <f aca="false">DataDE2b!EX25</f>
        <v>16.439</v>
      </c>
      <c r="AB20" s="2281" t="n">
        <f aca="false">DataDE2b!EY25</f>
        <v>3.377</v>
      </c>
      <c r="AC20" s="2282" t="n">
        <f aca="false">AC19+(AC$22-AC$19)/3</f>
        <v>159.778712873818</v>
      </c>
      <c r="AD20" s="2282" t="n">
        <f aca="false">AD19+(AD$22-AD$19)/3</f>
        <v>77.4436769385206</v>
      </c>
      <c r="AE20" s="2276" t="n">
        <f aca="false">AC20-AD20</f>
        <v>82.3350359352977</v>
      </c>
      <c r="AF20" s="2292"/>
      <c r="AG20" s="2276"/>
      <c r="AH20" s="2283"/>
      <c r="AI20" s="2283"/>
      <c r="AJ20" s="2276"/>
      <c r="AK20" s="2273"/>
      <c r="AL20" s="2276" t="n">
        <f aca="false">AM20-AR20</f>
        <v>22.6198986715047</v>
      </c>
      <c r="AM20" s="2276" t="n">
        <f aca="false">AM21*DataDE2b!P25/DataDE2b!P26</f>
        <v>51.3549397312382</v>
      </c>
      <c r="AN20" s="2276" t="n">
        <f aca="false">AN21*DataDE2b!Q25/DataDE2b!Q26</f>
        <v>8.70367534456356</v>
      </c>
      <c r="AO20" s="2276"/>
      <c r="AP20" s="2276" t="n">
        <f aca="false">AP21*DataDE2b!R25/DataDE2b!R26</f>
        <v>8.85819983484723</v>
      </c>
      <c r="AQ20" s="2276" t="n">
        <f aca="false">AM20-AN20-AP20-AO20</f>
        <v>33.7930645518274</v>
      </c>
      <c r="AR20" s="2278" t="n">
        <f aca="false">AR21*DataDE2b!V25/DataDE2b!V26</f>
        <v>28.7350410597335</v>
      </c>
      <c r="AS20" s="2283" t="n">
        <f aca="false">AC20+AL20</f>
        <v>182.398611545323</v>
      </c>
      <c r="AW20" s="759" t="n">
        <f aca="false">AD20/DataDE1!B19</f>
        <v>0.643043040804833</v>
      </c>
    </row>
    <row r="21" s="2288" customFormat="true" ht="12" hidden="false" customHeight="false" outlineLevel="0" collapsed="false">
      <c r="A21" s="2252" t="n">
        <v>1959</v>
      </c>
      <c r="B21" s="2271"/>
      <c r="C21" s="2272"/>
      <c r="D21" s="2272"/>
      <c r="E21" s="2272"/>
      <c r="F21" s="2272"/>
      <c r="G21" s="2272"/>
      <c r="H21" s="2273"/>
      <c r="I21" s="2271"/>
      <c r="J21" s="2273"/>
      <c r="K21" s="2273"/>
      <c r="L21" s="2273"/>
      <c r="M21" s="2267"/>
      <c r="N21" s="2274" t="n">
        <f aca="false">O21+U21</f>
        <v>58.1745971591487</v>
      </c>
      <c r="O21" s="2275" t="n">
        <f aca="false">O22*DataDE2b!DM27/DataDE2b!DM28</f>
        <v>50.5866062253467</v>
      </c>
      <c r="P21" s="2276" t="n">
        <f aca="false">P22</f>
        <v>0</v>
      </c>
      <c r="Q21" s="2272"/>
      <c r="R21" s="2272"/>
      <c r="S21" s="2272"/>
      <c r="T21" s="2272"/>
      <c r="U21" s="2277" t="n">
        <f aca="false">0.15*O21</f>
        <v>7.587990933802</v>
      </c>
      <c r="V21" s="2276" t="n">
        <f aca="false">W21-X21</f>
        <v>42.6296896747326</v>
      </c>
      <c r="W21" s="2276" t="n">
        <f aca="false">W22*DataDE2b!DD26/DataDE2b!DD27</f>
        <v>64.5705395023101</v>
      </c>
      <c r="X21" s="2278" t="n">
        <f aca="false">X22*DataDE2b!DE26/DataDE2b!DE27</f>
        <v>21.9408498275775</v>
      </c>
      <c r="Y21" s="2279" t="n">
        <f aca="false">N21+V21</f>
        <v>100.804286833881</v>
      </c>
      <c r="Z21" s="2280" t="n">
        <f aca="false">DataDE2b!EW26</f>
        <v>23.005</v>
      </c>
      <c r="AA21" s="2280" t="n">
        <f aca="false">DataDE2b!EX26</f>
        <v>16.822</v>
      </c>
      <c r="AB21" s="2281" t="n">
        <f aca="false">DataDE2b!EY26</f>
        <v>6.183</v>
      </c>
      <c r="AC21" s="2282" t="n">
        <f aca="false">AC20+(AC$22-AC$19)/3</f>
        <v>177.571670339447</v>
      </c>
      <c r="AD21" s="2282" t="n">
        <f aca="false">AD20+(AD$22-AD$19)/3</f>
        <v>89.9021557770018</v>
      </c>
      <c r="AE21" s="2276" t="n">
        <f aca="false">AC21-AD21</f>
        <v>87.669514562445</v>
      </c>
      <c r="AF21" s="2272"/>
      <c r="AG21" s="2276"/>
      <c r="AH21" s="2283"/>
      <c r="AI21" s="2283"/>
      <c r="AJ21" s="2276"/>
      <c r="AK21" s="2273"/>
      <c r="AL21" s="2276" t="n">
        <f aca="false">AM21-AR21</f>
        <v>28.2219300814031</v>
      </c>
      <c r="AM21" s="2276" t="n">
        <f aca="false">AM22*DataDE2b!P26/DataDE2b!P27</f>
        <v>61.7160240629792</v>
      </c>
      <c r="AN21" s="2276" t="n">
        <f aca="false">AN22*DataDE2b!Q26/DataDE2b!Q27</f>
        <v>11.7338437978561</v>
      </c>
      <c r="AO21" s="2276"/>
      <c r="AP21" s="2276" t="n">
        <f aca="false">AP22*DataDE2b!R26/DataDE2b!R27</f>
        <v>10.1775061932287</v>
      </c>
      <c r="AQ21" s="2276" t="n">
        <f aca="false">AM21-AN21-AP21-AO21</f>
        <v>39.8046740718945</v>
      </c>
      <c r="AR21" s="2278" t="n">
        <f aca="false">AR22*DataDE2b!V26/DataDE2b!V27</f>
        <v>33.4940939815762</v>
      </c>
      <c r="AS21" s="2283" t="n">
        <f aca="false">AC21+AL21</f>
        <v>205.79360042085</v>
      </c>
      <c r="AW21" s="759" t="n">
        <f aca="false">AD21/DataDE1!B20</f>
        <v>0.682962406334037</v>
      </c>
    </row>
    <row r="22" s="2288" customFormat="true" ht="12" hidden="false" customHeight="false" outlineLevel="0" collapsed="false">
      <c r="A22" s="2252" t="n">
        <v>1960</v>
      </c>
      <c r="B22" s="2271"/>
      <c r="C22" s="2272"/>
      <c r="D22" s="2272"/>
      <c r="E22" s="2272"/>
      <c r="F22" s="2272"/>
      <c r="G22" s="2272"/>
      <c r="H22" s="2273"/>
      <c r="I22" s="2271"/>
      <c r="J22" s="2273"/>
      <c r="K22" s="2273"/>
      <c r="L22" s="2273"/>
      <c r="M22" s="2267"/>
      <c r="N22" s="2274" t="n">
        <f aca="false">O22+U22</f>
        <v>64.6779545818592</v>
      </c>
      <c r="O22" s="2275" t="n">
        <f aca="false">O23*DataDE2b!DM28/DataDE2b!DM29</f>
        <v>56.2416996363993</v>
      </c>
      <c r="P22" s="2276" t="n">
        <f aca="false">P23</f>
        <v>0</v>
      </c>
      <c r="Q22" s="2272"/>
      <c r="R22" s="2272"/>
      <c r="S22" s="2272"/>
      <c r="T22" s="2272"/>
      <c r="U22" s="2277" t="n">
        <f aca="false">0.15*O22</f>
        <v>8.4362549454599</v>
      </c>
      <c r="V22" s="2276" t="n">
        <f aca="false">W22-X22</f>
        <v>47.4051883332407</v>
      </c>
      <c r="W22" s="2276" t="n">
        <f aca="false">W23*DataDE2b!DD27/DataDE2b!DD28</f>
        <v>70.6338706506977</v>
      </c>
      <c r="X22" s="2278" t="n">
        <f aca="false">X23*DataDE2b!DE27/DataDE2b!DE28</f>
        <v>23.228682317457</v>
      </c>
      <c r="Y22" s="2279" t="n">
        <f aca="false">N22+V22</f>
        <v>112.0831429151</v>
      </c>
      <c r="Z22" s="2280" t="n">
        <f aca="false">DataDE2b!EW27</f>
        <v>26.003</v>
      </c>
      <c r="AA22" s="2280" t="n">
        <f aca="false">DataDE2b!EX27</f>
        <v>18.269</v>
      </c>
      <c r="AB22" s="2281" t="n">
        <f aca="false">DataDE2b!EY27</f>
        <v>7.733</v>
      </c>
      <c r="AC22" s="2290" t="n">
        <v>195.364627805075</v>
      </c>
      <c r="AD22" s="2291" t="n">
        <v>102.360634615483</v>
      </c>
      <c r="AE22" s="2276" t="n">
        <f aca="false">AC22-AD22</f>
        <v>93.0039931895922</v>
      </c>
      <c r="AF22" s="2272"/>
      <c r="AG22" s="2276"/>
      <c r="AH22" s="2283"/>
      <c r="AI22" s="2283"/>
      <c r="AJ22" s="2276"/>
      <c r="AK22" s="2273"/>
      <c r="AL22" s="2276" t="n">
        <f aca="false">AM22-AR22</f>
        <v>35.6650990593177</v>
      </c>
      <c r="AM22" s="2276" t="n">
        <f aca="false">AM23*DataDE2b!P27/DataDE2b!P28</f>
        <v>75.9062047781898</v>
      </c>
      <c r="AN22" s="2276" t="n">
        <f aca="false">AN23*DataDE2b!Q27/DataDE2b!Q28</f>
        <v>17.85865237366</v>
      </c>
      <c r="AO22" s="2276"/>
      <c r="AP22" s="2276" t="n">
        <f aca="false">AP23*DataDE2b!R27/DataDE2b!R28</f>
        <v>11.8737572254335</v>
      </c>
      <c r="AQ22" s="2276" t="n">
        <f aca="false">AM22-AN22-AP22-AO22</f>
        <v>46.1737951790962</v>
      </c>
      <c r="AR22" s="2278" t="n">
        <f aca="false">AR23*DataDE2b!V27/DataDE2b!V28</f>
        <v>40.2411057188721</v>
      </c>
      <c r="AS22" s="2283" t="n">
        <f aca="false">AC22+AL22</f>
        <v>231.029726864393</v>
      </c>
      <c r="AW22" s="2294" t="n">
        <f aca="false">AD22/DataDE1!B21</f>
        <v>0.693326647699501</v>
      </c>
    </row>
    <row r="23" s="2288" customFormat="true" ht="12" hidden="false" customHeight="false" outlineLevel="0" collapsed="false">
      <c r="A23" s="2252" t="n">
        <v>1961</v>
      </c>
      <c r="B23" s="2271"/>
      <c r="C23" s="2272"/>
      <c r="D23" s="2272"/>
      <c r="E23" s="2272"/>
      <c r="F23" s="2272"/>
      <c r="G23" s="2272"/>
      <c r="H23" s="2273"/>
      <c r="I23" s="2271"/>
      <c r="J23" s="2273"/>
      <c r="K23" s="2273"/>
      <c r="L23" s="2273"/>
      <c r="M23" s="2267"/>
      <c r="N23" s="2274" t="n">
        <f aca="false">O23+U23</f>
        <v>71.1378517123855</v>
      </c>
      <c r="O23" s="2275" t="n">
        <f aca="false">O24*DataDE2b!DM29/DataDE2b!DM30</f>
        <v>61.8590014890309</v>
      </c>
      <c r="P23" s="2276" t="n">
        <f aca="false">P24</f>
        <v>0</v>
      </c>
      <c r="Q23" s="2272"/>
      <c r="R23" s="2272"/>
      <c r="S23" s="2272"/>
      <c r="T23" s="2272"/>
      <c r="U23" s="2277" t="n">
        <f aca="false">0.15*O23</f>
        <v>9.27885022335463</v>
      </c>
      <c r="V23" s="2276" t="n">
        <f aca="false">W23-X23</f>
        <v>53.0468771558042</v>
      </c>
      <c r="W23" s="2276" t="n">
        <f aca="false">W24*DataDE2b!DD28/DataDE2b!DD29</f>
        <v>77.5633919631408</v>
      </c>
      <c r="X23" s="2278" t="n">
        <f aca="false">X24*DataDE2b!DE28/DataDE2b!DE29</f>
        <v>24.5165148073366</v>
      </c>
      <c r="Y23" s="2279" t="n">
        <f aca="false">N23+V23</f>
        <v>124.18472886819</v>
      </c>
      <c r="Z23" s="2280" t="n">
        <f aca="false">DataDE2b!EW28</f>
        <v>32.413</v>
      </c>
      <c r="AA23" s="2280" t="n">
        <f aca="false">DataDE2b!EX28</f>
        <v>22.109</v>
      </c>
      <c r="AB23" s="2281" t="n">
        <f aca="false">DataDE2b!EY28</f>
        <v>10.304</v>
      </c>
      <c r="AC23" s="2282" t="n">
        <f aca="false">AC22+($AC$25-$AC$22)/3</f>
        <v>231.20618867693</v>
      </c>
      <c r="AD23" s="2282" t="n">
        <f aca="false">AD22+($AC$25-$AC$22)/3</f>
        <v>138.202195487338</v>
      </c>
      <c r="AE23" s="2276" t="n">
        <f aca="false">AC23-AD23</f>
        <v>93.0039931895922</v>
      </c>
      <c r="AF23" s="2272"/>
      <c r="AG23" s="2276"/>
      <c r="AH23" s="2283"/>
      <c r="AI23" s="2283"/>
      <c r="AJ23" s="2276"/>
      <c r="AK23" s="2273"/>
      <c r="AL23" s="2276" t="n">
        <f aca="false">AM23-AR23</f>
        <v>46.4946448690433</v>
      </c>
      <c r="AM23" s="2276" t="n">
        <f aca="false">AM24*DataDE2b!P28/DataDE2b!P29</f>
        <v>95.9526505504714</v>
      </c>
      <c r="AN23" s="2276" t="n">
        <f aca="false">AN24*DataDE2b!Q28/DataDE2b!Q29</f>
        <v>26.6267993874426</v>
      </c>
      <c r="AO23" s="2276"/>
      <c r="AP23" s="2276" t="n">
        <f aca="false">AP24*DataDE2b!R28/DataDE2b!R29</f>
        <v>13.1302394715111</v>
      </c>
      <c r="AQ23" s="2276" t="n">
        <f aca="false">AM23-AN23-AP23-AO23</f>
        <v>56.1956116915177</v>
      </c>
      <c r="AR23" s="2278" t="n">
        <f aca="false">AR24*DataDE2b!V28/DataDE2b!V29</f>
        <v>49.4580056814281</v>
      </c>
      <c r="AS23" s="2283" t="n">
        <f aca="false">AC23+AL23</f>
        <v>277.700833545973</v>
      </c>
      <c r="AW23" s="759" t="n">
        <f aca="false">AD23/DataDE1!B22</f>
        <v>0.859568062502389</v>
      </c>
    </row>
    <row r="24" s="2288" customFormat="true" ht="12" hidden="false" customHeight="false" outlineLevel="0" collapsed="false">
      <c r="A24" s="2252" t="n">
        <v>1962</v>
      </c>
      <c r="B24" s="2271"/>
      <c r="C24" s="2272"/>
      <c r="D24" s="2272"/>
      <c r="E24" s="2272"/>
      <c r="F24" s="2272"/>
      <c r="G24" s="2272"/>
      <c r="H24" s="2273"/>
      <c r="I24" s="2271"/>
      <c r="J24" s="2273"/>
      <c r="K24" s="2273"/>
      <c r="L24" s="2273"/>
      <c r="M24" s="2267"/>
      <c r="N24" s="2274" t="n">
        <f aca="false">O24+U24</f>
        <v>82.3484005265941</v>
      </c>
      <c r="O24" s="2275" t="n">
        <f aca="false">O25*DataDE2b!DM30/DataDE2b!DM31</f>
        <v>71.607304805734</v>
      </c>
      <c r="P24" s="2276" t="n">
        <f aca="false">P25</f>
        <v>0</v>
      </c>
      <c r="Q24" s="2272"/>
      <c r="R24" s="2272"/>
      <c r="S24" s="2272"/>
      <c r="T24" s="2272"/>
      <c r="U24" s="2277" t="n">
        <f aca="false">0.15*O24</f>
        <v>10.7410957208601</v>
      </c>
      <c r="V24" s="2276" t="n">
        <f aca="false">W24-X24</f>
        <v>62.3585132549517</v>
      </c>
      <c r="W24" s="2276" t="n">
        <f aca="false">W25*DataDE2b!DD29/DataDE2b!DD30</f>
        <v>88.1151630525427</v>
      </c>
      <c r="X24" s="2278" t="n">
        <f aca="false">X25*DataDE2b!DE29/DataDE2b!DE30</f>
        <v>25.7566497975909</v>
      </c>
      <c r="Y24" s="2279" t="n">
        <f aca="false">N24+V24</f>
        <v>144.706913781546</v>
      </c>
      <c r="Z24" s="2280" t="n">
        <f aca="false">DataDE2b!EW29</f>
        <v>34.714</v>
      </c>
      <c r="AA24" s="2280" t="n">
        <f aca="false">DataDE2b!EX29</f>
        <v>23.245</v>
      </c>
      <c r="AB24" s="2281" t="n">
        <f aca="false">DataDE2b!EY29</f>
        <v>11.469</v>
      </c>
      <c r="AC24" s="2282" t="n">
        <f aca="false">AC23+($AC$25-$AC$22)/3</f>
        <v>267.047749548785</v>
      </c>
      <c r="AD24" s="2282" t="n">
        <f aca="false">AD23+($AC$25-$AC$22)/3</f>
        <v>174.043756359193</v>
      </c>
      <c r="AE24" s="2276" t="n">
        <f aca="false">AC24-AD24</f>
        <v>93.0039931895922</v>
      </c>
      <c r="AF24" s="2272"/>
      <c r="AG24" s="2276"/>
      <c r="AH24" s="2283"/>
      <c r="AI24" s="2283"/>
      <c r="AJ24" s="2276"/>
      <c r="AK24" s="2273"/>
      <c r="AL24" s="2276" t="n">
        <f aca="false">AM24-AR24</f>
        <v>50.4399941853423</v>
      </c>
      <c r="AM24" s="2276" t="n">
        <f aca="false">AM25*DataDE2b!P29/DataDE2b!P30</f>
        <v>107.60887042368</v>
      </c>
      <c r="AN24" s="2276" t="n">
        <f aca="false">AN25*DataDE2b!Q29/DataDE2b!Q30</f>
        <v>28.0451761102603</v>
      </c>
      <c r="AO24" s="2276"/>
      <c r="AP24" s="2276" t="n">
        <f aca="false">AP25*DataDE2b!R29/DataDE2b!R30</f>
        <v>15.0149628406276</v>
      </c>
      <c r="AQ24" s="2276" t="n">
        <f aca="false">AM24-AN24-AP24-AO24</f>
        <v>64.5487314727921</v>
      </c>
      <c r="AR24" s="2278" t="n">
        <f aca="false">AR25*DataDE2b!V29/DataDE2b!V30</f>
        <v>57.1688762383378</v>
      </c>
      <c r="AS24" s="2283" t="n">
        <f aca="false">AC24+AL24</f>
        <v>317.487743734127</v>
      </c>
      <c r="AW24" s="759" t="n">
        <f aca="false">AD24/DataDE1!B23</f>
        <v>1.00041105925813</v>
      </c>
    </row>
    <row r="25" s="2288" customFormat="true" ht="12" hidden="false" customHeight="false" outlineLevel="0" collapsed="false">
      <c r="A25" s="2252" t="n">
        <v>1963</v>
      </c>
      <c r="B25" s="2271"/>
      <c r="C25" s="2272"/>
      <c r="D25" s="2272"/>
      <c r="E25" s="2272"/>
      <c r="F25" s="2272"/>
      <c r="G25" s="2272"/>
      <c r="H25" s="2273"/>
      <c r="I25" s="2271"/>
      <c r="J25" s="2273"/>
      <c r="K25" s="2273"/>
      <c r="L25" s="2273"/>
      <c r="M25" s="2267"/>
      <c r="N25" s="2274" t="n">
        <f aca="false">O25+U25</f>
        <v>92.9788045752964</v>
      </c>
      <c r="O25" s="2275" t="n">
        <f aca="false">O26*DataDE2b!DM31/DataDE2b!DM32</f>
        <v>80.8511344133013</v>
      </c>
      <c r="P25" s="2276" t="n">
        <f aca="false">P26</f>
        <v>0</v>
      </c>
      <c r="Q25" s="2272"/>
      <c r="R25" s="2272"/>
      <c r="S25" s="2272"/>
      <c r="T25" s="2272"/>
      <c r="U25" s="2277" t="n">
        <f aca="false">0.15*O25</f>
        <v>12.1276701619952</v>
      </c>
      <c r="V25" s="2276" t="n">
        <f aca="false">W25-X25</f>
        <v>67.8404591397581</v>
      </c>
      <c r="W25" s="2276" t="n">
        <f aca="false">W26*DataDE2b!DD30/DataDE2b!DD31</f>
        <v>95.1234289253544</v>
      </c>
      <c r="X25" s="2278" t="n">
        <f aca="false">X26*DataDE2b!DE30/DataDE2b!DE31</f>
        <v>27.2829697855963</v>
      </c>
      <c r="Y25" s="2279" t="n">
        <f aca="false">N25+V25</f>
        <v>160.819263715055</v>
      </c>
      <c r="Z25" s="2280" t="n">
        <f aca="false">DataDE2b!EW30</f>
        <v>36.599</v>
      </c>
      <c r="AA25" s="2280" t="n">
        <f aca="false">DataDE2b!EX30</f>
        <v>25.147</v>
      </c>
      <c r="AB25" s="2281" t="n">
        <f aca="false">DataDE2b!EY30</f>
        <v>11.452</v>
      </c>
      <c r="AC25" s="2290" t="n">
        <v>302.88931042064</v>
      </c>
      <c r="AD25" s="2291" t="n">
        <v>182.633459963289</v>
      </c>
      <c r="AE25" s="2276" t="n">
        <f aca="false">AC25-AD25</f>
        <v>120.255850457351</v>
      </c>
      <c r="AF25" s="2272"/>
      <c r="AG25" s="2276"/>
      <c r="AH25" s="2283"/>
      <c r="AI25" s="2283"/>
      <c r="AJ25" s="2276"/>
      <c r="AK25" s="2273"/>
      <c r="AL25" s="2276" t="n">
        <f aca="false">AM25-AR25</f>
        <v>49.2715277409665</v>
      </c>
      <c r="AM25" s="2276" t="n">
        <f aca="false">AM26*DataDE2b!P30/DataDE2b!P31</f>
        <v>115.717545118086</v>
      </c>
      <c r="AN25" s="2276" t="n">
        <f aca="false">AN26*DataDE2b!Q30/DataDE2b!Q31</f>
        <v>23.983460949464</v>
      </c>
      <c r="AO25" s="2276"/>
      <c r="AP25" s="2276" t="n">
        <f aca="false">AP26*DataDE2b!R30/DataDE2b!R31</f>
        <v>17.2138067712634</v>
      </c>
      <c r="AQ25" s="2276" t="n">
        <f aca="false">AM25-AN25-AP25-AO25</f>
        <v>74.5202773973587</v>
      </c>
      <c r="AR25" s="2278" t="n">
        <f aca="false">AR26*DataDE2b!V30/DataDE2b!V31</f>
        <v>66.4460173771197</v>
      </c>
      <c r="AS25" s="2283" t="n">
        <f aca="false">AC25+AL25</f>
        <v>352.160838161606</v>
      </c>
      <c r="AW25" s="2294" t="n">
        <f aca="false">AD25/DataDE1!B24</f>
        <v>0.995955198283362</v>
      </c>
    </row>
    <row r="26" s="2288" customFormat="true" ht="12" hidden="false" customHeight="false" outlineLevel="0" collapsed="false">
      <c r="A26" s="2252" t="n">
        <v>1964</v>
      </c>
      <c r="B26" s="2271"/>
      <c r="C26" s="2272"/>
      <c r="D26" s="2272"/>
      <c r="E26" s="2272"/>
      <c r="F26" s="2272"/>
      <c r="G26" s="2272"/>
      <c r="H26" s="2273"/>
      <c r="I26" s="2271"/>
      <c r="J26" s="2273"/>
      <c r="K26" s="2273"/>
      <c r="L26" s="2273"/>
      <c r="M26" s="2267"/>
      <c r="N26" s="2274" t="n">
        <f aca="false">O26+U26</f>
        <v>103.685891793271</v>
      </c>
      <c r="O26" s="2275" t="n">
        <f aca="false">O27*DataDE2b!DM32/DataDE2b!DM33</f>
        <v>90.1616450376269</v>
      </c>
      <c r="P26" s="2276" t="n">
        <f aca="false">P27</f>
        <v>0</v>
      </c>
      <c r="Q26" s="2272"/>
      <c r="R26" s="2272"/>
      <c r="S26" s="2272"/>
      <c r="T26" s="2272"/>
      <c r="U26" s="2277" t="n">
        <f aca="false">0.15*O26</f>
        <v>13.524246755644</v>
      </c>
      <c r="V26" s="2276" t="n">
        <f aca="false">W26-X26</f>
        <v>72.6456247617327</v>
      </c>
      <c r="W26" s="2276" t="n">
        <f aca="false">W27*DataDE2b!DD31/DataDE2b!DD32</f>
        <v>103.07662952259</v>
      </c>
      <c r="X26" s="2278" t="n">
        <f aca="false">X27*DataDE2b!DE31/DataDE2b!DE32</f>
        <v>30.4310047608574</v>
      </c>
      <c r="Y26" s="2279" t="n">
        <f aca="false">N26+V26</f>
        <v>176.331516555004</v>
      </c>
      <c r="Z26" s="2280" t="n">
        <f aca="false">DataDE2b!EW31</f>
        <v>40.463</v>
      </c>
      <c r="AA26" s="2280" t="n">
        <f aca="false">DataDE2b!EX31</f>
        <v>28.034</v>
      </c>
      <c r="AB26" s="2281" t="n">
        <f aca="false">DataDE2b!EY31</f>
        <v>12.429</v>
      </c>
      <c r="AC26" s="2282" t="n">
        <f aca="false">AC25+(AC$28-AC$25)/3</f>
        <v>337.998019596114</v>
      </c>
      <c r="AD26" s="2282" t="n">
        <f aca="false">AD25+(AD$28-AD$25)/3</f>
        <v>207.141384135295</v>
      </c>
      <c r="AE26" s="2276" t="n">
        <f aca="false">AC26-AD26</f>
        <v>130.856635460819</v>
      </c>
      <c r="AF26" s="2272"/>
      <c r="AG26" s="2276"/>
      <c r="AH26" s="2283"/>
      <c r="AI26" s="2283"/>
      <c r="AJ26" s="2276"/>
      <c r="AK26" s="2273"/>
      <c r="AL26" s="2276" t="n">
        <f aca="false">AM26-AR26</f>
        <v>55.1497032838474</v>
      </c>
      <c r="AM26" s="2276" t="n">
        <f aca="false">AM27*DataDE2b!P31/DataDE2b!P32</f>
        <v>130.752379447297</v>
      </c>
      <c r="AN26" s="2276" t="n">
        <f aca="false">AN27*DataDE2b!Q31/DataDE2b!Q32</f>
        <v>25.3373660030628</v>
      </c>
      <c r="AO26" s="2276"/>
      <c r="AP26" s="2276" t="n">
        <f aca="false">AP27*DataDE2b!R31/DataDE2b!R32</f>
        <v>19.3498265895954</v>
      </c>
      <c r="AQ26" s="2276" t="n">
        <f aca="false">AM26-AN26-AP26-AO26</f>
        <v>86.0651868546391</v>
      </c>
      <c r="AR26" s="2278" t="n">
        <f aca="false">AR27*DataDE2b!V31/DataDE2b!V32</f>
        <v>75.6026761634498</v>
      </c>
      <c r="AS26" s="2283" t="n">
        <f aca="false">AC26+AL26</f>
        <v>393.147722879961</v>
      </c>
      <c r="AW26" s="759" t="n">
        <f aca="false">AD26/DataDE1!B25</f>
        <v>1.02981768023774</v>
      </c>
    </row>
    <row r="27" s="2288" customFormat="true" ht="12" hidden="false" customHeight="false" outlineLevel="0" collapsed="false">
      <c r="A27" s="2252" t="n">
        <v>1965</v>
      </c>
      <c r="B27" s="2271"/>
      <c r="C27" s="2272"/>
      <c r="D27" s="2272"/>
      <c r="E27" s="2272"/>
      <c r="F27" s="2272"/>
      <c r="G27" s="2272"/>
      <c r="H27" s="2273"/>
      <c r="I27" s="2271"/>
      <c r="J27" s="2273"/>
      <c r="K27" s="2273"/>
      <c r="L27" s="2273"/>
      <c r="M27" s="2267"/>
      <c r="N27" s="2274" t="n">
        <f aca="false">O27+U27</f>
        <v>111.851607895776</v>
      </c>
      <c r="O27" s="2275" t="n">
        <f aca="false">O28*DataDE2b!DM33/DataDE2b!DM34</f>
        <v>97.2622677354577</v>
      </c>
      <c r="P27" s="2276" t="n">
        <f aca="false">P28</f>
        <v>0</v>
      </c>
      <c r="Q27" s="2272"/>
      <c r="R27" s="2272"/>
      <c r="S27" s="2272"/>
      <c r="T27" s="2272"/>
      <c r="U27" s="2277" t="n">
        <f aca="false">0.15*O27</f>
        <v>14.5893401603187</v>
      </c>
      <c r="V27" s="2276" t="n">
        <f aca="false">W27-X27</f>
        <v>77.231207141483</v>
      </c>
      <c r="W27" s="2276" t="n">
        <f aca="false">W28*DataDE2b!DD32/DataDE2b!DD33</f>
        <v>110.714851878351</v>
      </c>
      <c r="X27" s="2278" t="n">
        <f aca="false">X28*DataDE2b!DE32/DataDE2b!DE33</f>
        <v>33.4836447368682</v>
      </c>
      <c r="Y27" s="2279" t="n">
        <f aca="false">N27+V27</f>
        <v>189.082815037259</v>
      </c>
      <c r="Z27" s="2280" t="n">
        <f aca="false">DataDE2b!EW32</f>
        <v>44.724</v>
      </c>
      <c r="AA27" s="2280" t="n">
        <f aca="false">DataDE2b!EX32</f>
        <v>31.527</v>
      </c>
      <c r="AB27" s="2281" t="n">
        <f aca="false">DataDE2b!EY32</f>
        <v>13.197</v>
      </c>
      <c r="AC27" s="2282" t="n">
        <f aca="false">AC26+(AC$28-AC$25)/3</f>
        <v>373.106728771587</v>
      </c>
      <c r="AD27" s="2282" t="n">
        <f aca="false">AD26+(AD$28-AD$25)/3</f>
        <v>231.6493083073</v>
      </c>
      <c r="AE27" s="2276" t="n">
        <f aca="false">AC27-AD27</f>
        <v>141.457420464287</v>
      </c>
      <c r="AF27" s="2272"/>
      <c r="AG27" s="2276"/>
      <c r="AH27" s="2283"/>
      <c r="AI27" s="2283"/>
      <c r="AJ27" s="2276"/>
      <c r="AK27" s="2273"/>
      <c r="AL27" s="2276" t="n">
        <f aca="false">AM27-AR27</f>
        <v>62.1199823746023</v>
      </c>
      <c r="AM27" s="2276" t="n">
        <f aca="false">AM28*DataDE2b!P32/DataDE2b!P33</f>
        <v>148.264864377577</v>
      </c>
      <c r="AN27" s="2276" t="n">
        <f aca="false">AN28*DataDE2b!Q32/DataDE2b!Q33</f>
        <v>26.6912710566616</v>
      </c>
      <c r="AO27" s="2276"/>
      <c r="AP27" s="2276" t="n">
        <f aca="false">AP28*DataDE2b!R32/DataDE2b!R33</f>
        <v>21.9256151940545</v>
      </c>
      <c r="AQ27" s="2276" t="n">
        <f aca="false">AM27-AN27-AP27-AO27</f>
        <v>99.6479781268609</v>
      </c>
      <c r="AR27" s="2278" t="n">
        <f aca="false">AR28*DataDE2b!V32/DataDE2b!V33</f>
        <v>86.1448820029747</v>
      </c>
      <c r="AS27" s="2283" t="n">
        <f aca="false">AC27+AL27</f>
        <v>435.22671114619</v>
      </c>
      <c r="AW27" s="759" t="n">
        <f aca="false">AD27/DataDE1!B26</f>
        <v>1.05621518145545</v>
      </c>
    </row>
    <row r="28" s="2288" customFormat="true" ht="12" hidden="false" customHeight="false" outlineLevel="0" collapsed="false">
      <c r="A28" s="2252" t="n">
        <v>1966</v>
      </c>
      <c r="B28" s="2271"/>
      <c r="C28" s="2272"/>
      <c r="D28" s="2272"/>
      <c r="E28" s="2272"/>
      <c r="F28" s="2272"/>
      <c r="G28" s="2272"/>
      <c r="H28" s="2273"/>
      <c r="I28" s="2271"/>
      <c r="J28" s="2273"/>
      <c r="K28" s="2273"/>
      <c r="L28" s="2273"/>
      <c r="M28" s="2267"/>
      <c r="N28" s="2274" t="n">
        <f aca="false">O28+U28</f>
        <v>121.874033061873</v>
      </c>
      <c r="O28" s="2275" t="n">
        <f aca="false">O29*DataDE2b!DM34/DataDE2b!DM35</f>
        <v>105.977420053803</v>
      </c>
      <c r="P28" s="2276" t="n">
        <f aca="false">P29</f>
        <v>0</v>
      </c>
      <c r="Q28" s="2272"/>
      <c r="R28" s="2272"/>
      <c r="S28" s="2272"/>
      <c r="T28" s="2272"/>
      <c r="U28" s="2277" t="n">
        <f aca="false">0.15*O28</f>
        <v>15.8966130080704</v>
      </c>
      <c r="V28" s="2276" t="n">
        <f aca="false">W28-X28</f>
        <v>78.0091310995562</v>
      </c>
      <c r="W28" s="2276" t="n">
        <f aca="false">W29*DataDE2b!DD33/DataDE2b!DD34</f>
        <v>115.833248302315</v>
      </c>
      <c r="X28" s="2278" t="n">
        <f aca="false">X29*DataDE2b!DE33/DataDE2b!DE34</f>
        <v>37.8241172027585</v>
      </c>
      <c r="Y28" s="2279" t="n">
        <f aca="false">N28+V28</f>
        <v>199.883164161429</v>
      </c>
      <c r="Z28" s="2280" t="n">
        <f aca="false">DataDE2b!EW33</f>
        <v>46.581</v>
      </c>
      <c r="AA28" s="2280" t="n">
        <f aca="false">DataDE2b!EX33</f>
        <v>35.699</v>
      </c>
      <c r="AB28" s="2281" t="n">
        <f aca="false">DataDE2b!EY33</f>
        <v>10.881</v>
      </c>
      <c r="AC28" s="2290" t="n">
        <v>408.215437947061</v>
      </c>
      <c r="AD28" s="2291" t="n">
        <v>256.157232479306</v>
      </c>
      <c r="AE28" s="2276" t="n">
        <f aca="false">AC28-AD28</f>
        <v>152.058205467755</v>
      </c>
      <c r="AF28" s="2272"/>
      <c r="AG28" s="2276"/>
      <c r="AH28" s="2283"/>
      <c r="AI28" s="2283"/>
      <c r="AJ28" s="2276"/>
      <c r="AK28" s="2273"/>
      <c r="AL28" s="2276" t="n">
        <f aca="false">AM28-AR28</f>
        <v>69.0312974359698</v>
      </c>
      <c r="AM28" s="2276" t="n">
        <f aca="false">AM29*DataDE2b!P33/DataDE2b!P34</f>
        <v>166.622002921857</v>
      </c>
      <c r="AN28" s="2276" t="n">
        <f aca="false">AN29*DataDE2b!Q33/DataDE2b!Q34</f>
        <v>26.1110260336907</v>
      </c>
      <c r="AO28" s="2276"/>
      <c r="AP28" s="2276" t="n">
        <f aca="false">AP29*DataDE2b!R33/DataDE2b!R34</f>
        <v>24.815524360033</v>
      </c>
      <c r="AQ28" s="2276" t="n">
        <f aca="false">AM28-AN28-AP28-AO28</f>
        <v>115.695452528134</v>
      </c>
      <c r="AR28" s="2278" t="n">
        <f aca="false">AR29*DataDE2b!V33/DataDE2b!V34</f>
        <v>97.5907054858874</v>
      </c>
      <c r="AS28" s="2283" t="n">
        <f aca="false">AC28+AL28</f>
        <v>477.246735383031</v>
      </c>
      <c r="AW28" s="2294" t="n">
        <f aca="false">AD28/DataDE1!B27</f>
        <v>1.10258889754755</v>
      </c>
    </row>
    <row r="29" s="2288" customFormat="true" ht="12" hidden="false" customHeight="false" outlineLevel="0" collapsed="false">
      <c r="A29" s="2252" t="n">
        <v>1967</v>
      </c>
      <c r="B29" s="2271"/>
      <c r="C29" s="2272"/>
      <c r="D29" s="2272"/>
      <c r="E29" s="2272"/>
      <c r="F29" s="2272"/>
      <c r="G29" s="2272"/>
      <c r="H29" s="2273"/>
      <c r="I29" s="2271"/>
      <c r="J29" s="2273"/>
      <c r="K29" s="2273"/>
      <c r="L29" s="2273"/>
      <c r="M29" s="2267"/>
      <c r="N29" s="2274" t="n">
        <f aca="false">O29+U29</f>
        <v>131.357093412639</v>
      </c>
      <c r="O29" s="2275" t="n">
        <f aca="false">O30*DataDE2b!DM35/DataDE2b!DM36</f>
        <v>114.223559489251</v>
      </c>
      <c r="P29" s="2276" t="n">
        <f aca="false">P30</f>
        <v>0</v>
      </c>
      <c r="Q29" s="2272"/>
      <c r="R29" s="2272"/>
      <c r="S29" s="2272"/>
      <c r="T29" s="2272"/>
      <c r="U29" s="2277" t="n">
        <f aca="false">0.15*O29</f>
        <v>17.1335339233877</v>
      </c>
      <c r="V29" s="2276" t="n">
        <f aca="false">W29-X29</f>
        <v>79.9749849142191</v>
      </c>
      <c r="W29" s="2276" t="n">
        <f aca="false">W30*DataDE2b!DD34/DataDE2b!DD35</f>
        <v>121.42411208849</v>
      </c>
      <c r="X29" s="2278" t="n">
        <f aca="false">X30*DataDE2b!DE34/DataDE2b!DE35</f>
        <v>41.4491271742713</v>
      </c>
      <c r="Y29" s="2279" t="n">
        <f aca="false">N29+V29</f>
        <v>211.332078326858</v>
      </c>
      <c r="Z29" s="2280" t="n">
        <f aca="false">DataDE2b!EW34</f>
        <v>50.644</v>
      </c>
      <c r="AA29" s="2280" t="n">
        <f aca="false">DataDE2b!EX34</f>
        <v>37.956</v>
      </c>
      <c r="AB29" s="2281" t="n">
        <f aca="false">DataDE2b!EY34</f>
        <v>12.688</v>
      </c>
      <c r="AC29" s="2282" t="n">
        <f aca="false">AC28+(AC$34-AC$28)/6</f>
        <v>448.701233406448</v>
      </c>
      <c r="AD29" s="2282" t="n">
        <f aca="false">AD28+(AD$34-AD$28)/6</f>
        <v>291.11255409042</v>
      </c>
      <c r="AE29" s="2276" t="n">
        <f aca="false">AC29-AD29</f>
        <v>157.588679316028</v>
      </c>
      <c r="AF29" s="2272"/>
      <c r="AG29" s="2276"/>
      <c r="AH29" s="2283"/>
      <c r="AI29" s="2283"/>
      <c r="AJ29" s="2276"/>
      <c r="AK29" s="2273"/>
      <c r="AL29" s="2276" t="n">
        <f aca="false">AM29-AR29</f>
        <v>76.1587144436474</v>
      </c>
      <c r="AM29" s="2276" t="n">
        <f aca="false">AM30*DataDE2b!P34/DataDE2b!P35</f>
        <v>184.472349297737</v>
      </c>
      <c r="AN29" s="2276" t="n">
        <f aca="false">AN30*DataDE2b!Q34/DataDE2b!Q35</f>
        <v>24.6926493108729</v>
      </c>
      <c r="AO29" s="2276"/>
      <c r="AP29" s="2276" t="n">
        <f aca="false">AP30*DataDE2b!R34/DataDE2b!R35</f>
        <v>27.9567299752271</v>
      </c>
      <c r="AQ29" s="2276" t="n">
        <f aca="false">AM29-AN29-AP29-AO29</f>
        <v>131.822970011637</v>
      </c>
      <c r="AR29" s="2278" t="n">
        <f aca="false">AR30*DataDE2b!V34/DataDE2b!V35</f>
        <v>108.31363485409</v>
      </c>
      <c r="AS29" s="2283" t="n">
        <f aca="false">AC29+AL29</f>
        <v>524.859947850095</v>
      </c>
      <c r="AW29" s="759" t="n">
        <f aca="false">AD29/DataDE1!B28</f>
        <v>1.24388514879324</v>
      </c>
    </row>
    <row r="30" s="2288" customFormat="true" ht="12" hidden="false" customHeight="false" outlineLevel="0" collapsed="false">
      <c r="A30" s="2252" t="n">
        <v>1968</v>
      </c>
      <c r="B30" s="2271"/>
      <c r="C30" s="2272"/>
      <c r="D30" s="2272"/>
      <c r="E30" s="2272"/>
      <c r="F30" s="2272"/>
      <c r="G30" s="2272"/>
      <c r="H30" s="2273"/>
      <c r="I30" s="2271"/>
      <c r="J30" s="2273"/>
      <c r="K30" s="2273"/>
      <c r="L30" s="2273"/>
      <c r="M30" s="2267"/>
      <c r="N30" s="2274" t="n">
        <f aca="false">O30+U30</f>
        <v>137.450037692801</v>
      </c>
      <c r="O30" s="2275" t="n">
        <f aca="false">O31*DataDE2b!DM36/DataDE2b!DM37</f>
        <v>119.521771906783</v>
      </c>
      <c r="P30" s="2276" t="n">
        <f aca="false">P31</f>
        <v>0</v>
      </c>
      <c r="Q30" s="2272"/>
      <c r="R30" s="2272"/>
      <c r="S30" s="2272"/>
      <c r="T30" s="2272"/>
      <c r="U30" s="2277" t="n">
        <f aca="false">0.15*O30</f>
        <v>17.9282657860175</v>
      </c>
      <c r="V30" s="2276" t="n">
        <f aca="false">W30-X30</f>
        <v>80.1292074628684</v>
      </c>
      <c r="W30" s="2276" t="n">
        <f aca="false">W31*DataDE2b!DD35/DataDE2b!DD36</f>
        <v>128.58986708204</v>
      </c>
      <c r="X30" s="2278" t="n">
        <f aca="false">X31*DataDE2b!DE35/DataDE2b!DE36</f>
        <v>48.4606596191711</v>
      </c>
      <c r="Y30" s="2279" t="n">
        <f aca="false">N30+V30</f>
        <v>217.579245155669</v>
      </c>
      <c r="Z30" s="2280" t="n">
        <f aca="false">DataDE2b!EW35</f>
        <v>58.437</v>
      </c>
      <c r="AA30" s="2280" t="n">
        <f aca="false">DataDE2b!EX35</f>
        <v>40.309</v>
      </c>
      <c r="AB30" s="2281" t="n">
        <f aca="false">DataDE2b!EY35</f>
        <v>18.128</v>
      </c>
      <c r="AC30" s="2282" t="n">
        <f aca="false">AC29+(AC$34-AC$28)/6</f>
        <v>489.187028865835</v>
      </c>
      <c r="AD30" s="2282" t="n">
        <f aca="false">AD29+(AD$34-AD$28)/6</f>
        <v>326.067875701535</v>
      </c>
      <c r="AE30" s="2276" t="n">
        <f aca="false">AC30-AD30</f>
        <v>163.1191531643</v>
      </c>
      <c r="AF30" s="2272"/>
      <c r="AG30" s="2276"/>
      <c r="AH30" s="2283"/>
      <c r="AI30" s="2283"/>
      <c r="AJ30" s="2276"/>
      <c r="AK30" s="2273"/>
      <c r="AL30" s="2276" t="n">
        <f aca="false">AM30-AR30</f>
        <v>91.5375969630989</v>
      </c>
      <c r="AM30" s="2276" t="n">
        <f aca="false">AM31*DataDE2b!P35/DataDE2b!P36</f>
        <v>209.248855308422</v>
      </c>
      <c r="AN30" s="2276" t="n">
        <f aca="false">AN31*DataDE2b!Q35/DataDE2b!Q36</f>
        <v>31.5911179173047</v>
      </c>
      <c r="AO30" s="2276"/>
      <c r="AP30" s="2276" t="n">
        <f aca="false">AP31*DataDE2b!R35/DataDE2b!R36</f>
        <v>31.4120561519405</v>
      </c>
      <c r="AQ30" s="2276" t="n">
        <f aca="false">AM30-AN30-AP30-AO30</f>
        <v>146.245681239177</v>
      </c>
      <c r="AR30" s="2278" t="n">
        <f aca="false">AR31*DataDE2b!V35/DataDE2b!V36</f>
        <v>117.711258345323</v>
      </c>
      <c r="AS30" s="2283" t="n">
        <f aca="false">AC30+AL30</f>
        <v>580.724625828934</v>
      </c>
      <c r="AW30" s="759" t="n">
        <f aca="false">AD30/DataDE1!B29</f>
        <v>1.28520714851435</v>
      </c>
    </row>
    <row r="31" s="2288" customFormat="true" ht="12" hidden="false" customHeight="false" outlineLevel="0" collapsed="false">
      <c r="A31" s="2252" t="n">
        <v>1969</v>
      </c>
      <c r="B31" s="2271"/>
      <c r="C31" s="2272"/>
      <c r="D31" s="2272"/>
      <c r="E31" s="2272"/>
      <c r="F31" s="2272"/>
      <c r="G31" s="2272"/>
      <c r="H31" s="2273"/>
      <c r="I31" s="2271"/>
      <c r="J31" s="2273"/>
      <c r="K31" s="2273"/>
      <c r="L31" s="2273"/>
      <c r="M31" s="2267"/>
      <c r="N31" s="2274" t="n">
        <f aca="false">O31+U31</f>
        <v>151.429327217251</v>
      </c>
      <c r="O31" s="2275" t="n">
        <f aca="false">O32*DataDE2b!DM37/DataDE2b!DM38</f>
        <v>131.677675841088</v>
      </c>
      <c r="P31" s="2276" t="n">
        <f aca="false">P32</f>
        <v>0</v>
      </c>
      <c r="Q31" s="2272"/>
      <c r="R31" s="2272"/>
      <c r="S31" s="2272"/>
      <c r="T31" s="2272"/>
      <c r="U31" s="2277" t="n">
        <f aca="false">0.15*O31</f>
        <v>19.7516513761632</v>
      </c>
      <c r="V31" s="2276" t="n">
        <f aca="false">W31-X31</f>
        <v>81.2274910161989</v>
      </c>
      <c r="W31" s="2276" t="n">
        <f aca="false">W32*DataDE2b!DD36/DataDE2b!DD37</f>
        <v>135.125665592639</v>
      </c>
      <c r="X31" s="2278" t="n">
        <f aca="false">X32*DataDE2b!DE36/DataDE2b!DE37</f>
        <v>53.8981745764403</v>
      </c>
      <c r="Y31" s="2279" t="n">
        <f aca="false">N31+V31</f>
        <v>232.65681823345</v>
      </c>
      <c r="Z31" s="2280" t="n">
        <f aca="false">DataDE2b!EW36</f>
        <v>70.994</v>
      </c>
      <c r="AA31" s="2280" t="n">
        <f aca="false">DataDE2b!EX36</f>
        <v>47.064</v>
      </c>
      <c r="AB31" s="2281" t="n">
        <f aca="false">DataDE2b!EY36</f>
        <v>23.931</v>
      </c>
      <c r="AC31" s="2282" t="n">
        <f aca="false">AC30+(AC$34-AC$28)/6</f>
        <v>529.672824325223</v>
      </c>
      <c r="AD31" s="2282" t="n">
        <f aca="false">AD30+(AD$34-AD$28)/6</f>
        <v>361.02319731265</v>
      </c>
      <c r="AE31" s="2276" t="n">
        <f aca="false">AC31-AD31</f>
        <v>168.649627012573</v>
      </c>
      <c r="AF31" s="2265"/>
      <c r="AG31" s="2276"/>
      <c r="AH31" s="2283"/>
      <c r="AI31" s="2283"/>
      <c r="AJ31" s="2276"/>
      <c r="AK31" s="2266"/>
      <c r="AL31" s="2276" t="n">
        <f aca="false">AM31-AR31</f>
        <v>108.358237281902</v>
      </c>
      <c r="AM31" s="2276" t="n">
        <f aca="false">AM32*DataDE2b!P36/DataDE2b!P37</f>
        <v>236.671942642976</v>
      </c>
      <c r="AN31" s="2276" t="n">
        <f aca="false">AN32*DataDE2b!Q36/DataDE2b!Q37</f>
        <v>36.7488514548239</v>
      </c>
      <c r="AO31" s="2276"/>
      <c r="AP31" s="2276" t="n">
        <f aca="false">AP32*DataDE2b!R36/DataDE2b!R37</f>
        <v>35.2443270024773</v>
      </c>
      <c r="AQ31" s="2276" t="n">
        <f aca="false">AM31-AN31-AP31-AO31</f>
        <v>164.678764185675</v>
      </c>
      <c r="AR31" s="2278" t="n">
        <f aca="false">AR32*DataDE2b!V36/DataDE2b!V37</f>
        <v>128.313705361074</v>
      </c>
      <c r="AS31" s="2283" t="n">
        <f aca="false">AC31+AL31</f>
        <v>638.031061607125</v>
      </c>
      <c r="AW31" s="759" t="n">
        <f aca="false">AD31/DataDE1!B30</f>
        <v>1.26796397735278</v>
      </c>
    </row>
    <row r="32" s="1432" customFormat="true" ht="12" hidden="false" customHeight="false" outlineLevel="0" collapsed="false">
      <c r="A32" s="1432" t="n">
        <v>1970</v>
      </c>
      <c r="B32" s="2283" t="n">
        <f aca="false">C32+D32+E32+F32+H32+G32</f>
        <v>516.554130332625</v>
      </c>
      <c r="C32" s="2276" t="n">
        <f aca="false">C33*DataDE2b!BK38/DataDE2b!BK39</f>
        <v>23.0683046683047</v>
      </c>
      <c r="D32" s="2276" t="n">
        <f aca="false">D33*DataDE2b!BB38/DataDE2b!BB39</f>
        <v>138.64436945125</v>
      </c>
      <c r="E32" s="2283" t="n">
        <f aca="false">E33*DataDE2b!AJ38/DataDE2b!AJ39</f>
        <v>65.2797384366784</v>
      </c>
      <c r="F32" s="2283" t="n">
        <f aca="false">F33*DataDE2b!AT38/DataDE2b!AT39</f>
        <v>147.376502941126</v>
      </c>
      <c r="G32" s="2276" t="n">
        <f aca="false">G33*E32/E33</f>
        <v>138.353277573303</v>
      </c>
      <c r="H32" s="2276" t="n">
        <f aca="false">H33*DataDE2b!BS38/DataDE2b!BS39</f>
        <v>3.83193726196225</v>
      </c>
      <c r="I32" s="2276"/>
      <c r="J32" s="2276"/>
      <c r="K32" s="2278"/>
      <c r="L32" s="2278"/>
      <c r="M32" s="2279"/>
      <c r="N32" s="2274" t="n">
        <f aca="false">O32+U32</f>
        <v>180.864320687396</v>
      </c>
      <c r="O32" s="2275" t="n">
        <f aca="false">P32+Q32+R32+S32+T32</f>
        <v>157.273322336866</v>
      </c>
      <c r="P32" s="2276" t="n">
        <f aca="false">P33</f>
        <v>0</v>
      </c>
      <c r="Q32" s="2276" t="n">
        <f aca="false">Q33*DataDE2b!BB38/DataDE2b!BB39</f>
        <v>7.066481159299</v>
      </c>
      <c r="R32" s="2283" t="n">
        <f aca="false">R33*DataDE2b!AJ38/DataDE2b!AJ39</f>
        <v>3.71867127022351</v>
      </c>
      <c r="S32" s="2283" t="n">
        <f aca="false">S33*DataDE2b!AT38/DataDE2b!AT39</f>
        <v>146.120625882915</v>
      </c>
      <c r="T32" s="2276" t="n">
        <f aca="false">T33*DataDE2b!BS38/DataDE2b!BS39</f>
        <v>0.36754402442865</v>
      </c>
      <c r="U32" s="2277" t="n">
        <f aca="false">0.15*O32</f>
        <v>23.5909983505299</v>
      </c>
      <c r="V32" s="2276" t="n">
        <f aca="false">W32-X32</f>
        <v>86.7949429124333</v>
      </c>
      <c r="W32" s="2276" t="n">
        <f aca="false">W33*DataDE2b!DD37/DataDE2b!DD38</f>
        <v>141.503974982502</v>
      </c>
      <c r="X32" s="2278" t="n">
        <f aca="false">X33*DataDE2b!DE37/DataDE2b!DE38</f>
        <v>54.7090320700682</v>
      </c>
      <c r="Y32" s="2279" t="n">
        <f aca="false">N32+V32</f>
        <v>267.65926359983</v>
      </c>
      <c r="Z32" s="2295" t="n">
        <f aca="false">DataDE2b!EW37</f>
        <v>77.286</v>
      </c>
      <c r="AA32" s="2295" t="n">
        <f aca="false">DataDE2b!EX37</f>
        <v>52.528</v>
      </c>
      <c r="AB32" s="2281" t="n">
        <f aca="false">DataDE2b!EY37</f>
        <v>24.759</v>
      </c>
      <c r="AC32" s="2282" t="n">
        <f aca="false">AC31+(AC$34-AC$28)/6</f>
        <v>570.15861978461</v>
      </c>
      <c r="AD32" s="2282" t="n">
        <f aca="false">AD31+(AD$34-AD$28)/6</f>
        <v>395.978518923765</v>
      </c>
      <c r="AE32" s="2276" t="n">
        <f aca="false">AC32-AD32</f>
        <v>174.180100860845</v>
      </c>
      <c r="AF32" s="2276"/>
      <c r="AG32" s="2276"/>
      <c r="AH32" s="2283"/>
      <c r="AI32" s="2283"/>
      <c r="AJ32" s="2276"/>
      <c r="AK32" s="2276"/>
      <c r="AL32" s="2276" t="n">
        <f aca="false">AM32-AR32</f>
        <v>125.931743061363</v>
      </c>
      <c r="AM32" s="2276" t="n">
        <f aca="false">AM33*DataDE2b!P37/DataDE2b!P38</f>
        <v>267.980436601933</v>
      </c>
      <c r="AN32" s="2276" t="n">
        <f aca="false">AN33*DataDE2b!Q37/DataDE2b!Q38</f>
        <v>43.3249617151608</v>
      </c>
      <c r="AO32" s="2276"/>
      <c r="AP32" s="2276" t="n">
        <f aca="false">AP33*DataDE2b!R37/DataDE2b!R38</f>
        <v>39.3278943022296</v>
      </c>
      <c r="AQ32" s="2276" t="n">
        <f aca="false">AM32-AN32-AP32-AO32</f>
        <v>185.327580584542</v>
      </c>
      <c r="AR32" s="2278" t="n">
        <f aca="false">AR33*DataDE2b!V37/DataDE2b!V38</f>
        <v>142.048693540569</v>
      </c>
      <c r="AS32" s="2283" t="n">
        <f aca="false">AC32+AL32</f>
        <v>696.090362845973</v>
      </c>
      <c r="AW32" s="759" t="n">
        <f aca="false">AD32/DataDE1!B31</f>
        <v>1.23311696226882</v>
      </c>
      <c r="AY32" s="2288"/>
    </row>
    <row r="33" customFormat="false" ht="12" hidden="false" customHeight="false" outlineLevel="0" collapsed="false">
      <c r="A33" s="2252" t="n">
        <v>1971</v>
      </c>
      <c r="B33" s="2275" t="n">
        <f aca="false">C33+D33+E33+F33+H33+G33</f>
        <v>587.720922921896</v>
      </c>
      <c r="C33" s="2277" t="n">
        <f aca="false">C34*DataDE2b!BK39/DataDE2b!BK40</f>
        <v>21.9469287469287</v>
      </c>
      <c r="D33" s="2277" t="n">
        <f aca="false">D34*DataDE2b!BB39/DataDE2b!BB40</f>
        <v>158.480107624625</v>
      </c>
      <c r="E33" s="2275" t="n">
        <f aca="false">E34*DataDE2b!AJ39/DataDE2b!AJ40</f>
        <v>74.5638090789934</v>
      </c>
      <c r="F33" s="2275" t="n">
        <f aca="false">F34*DataDE2b!AT39/DataDE2b!AT40</f>
        <v>170.581861024781</v>
      </c>
      <c r="G33" s="2277" t="n">
        <f aca="false">G34*E33/E34</f>
        <v>158.029851550883</v>
      </c>
      <c r="H33" s="2277" t="n">
        <f aca="false">H34*DataDE2b!BS39/DataDE2b!BS40</f>
        <v>4.11836489568468</v>
      </c>
      <c r="I33" s="2277" t="n">
        <f aca="false">J33-K33</f>
        <v>-198.143785611326</v>
      </c>
      <c r="J33" s="2277" t="n">
        <f aca="false">J38*DataDE2b!DR38/DataDE2b!DR43</f>
        <v>613.207973938546</v>
      </c>
      <c r="K33" s="2296" t="n">
        <f aca="false">K38*DataDE2b!EC38/DataDE2b!EC43</f>
        <v>811.351759549872</v>
      </c>
      <c r="L33" s="2276" t="n">
        <f aca="false">L38*DataDE2b!DY38/DataDE2b!DY43</f>
        <v>197.771943295924</v>
      </c>
      <c r="M33" s="2279" t="n">
        <f aca="false">B33+I33</f>
        <v>389.57713731057</v>
      </c>
      <c r="N33" s="2297" t="n">
        <f aca="false">O33+U33</f>
        <v>209.125512877424</v>
      </c>
      <c r="O33" s="2275" t="n">
        <f aca="false">P33+Q33+R33+S33+T33</f>
        <v>181.848272067325</v>
      </c>
      <c r="P33" s="2277" t="n">
        <f aca="false">P34</f>
        <v>0</v>
      </c>
      <c r="Q33" s="2277" t="n">
        <f aca="false">Q34*DataDE2b!BB39/DataDE2b!BB40</f>
        <v>8.07747692232728</v>
      </c>
      <c r="R33" s="2275" t="n">
        <f aca="false">R34*DataDE2b!AJ39/DataDE2b!AJ40</f>
        <v>4.24753991453941</v>
      </c>
      <c r="S33" s="2275" t="n">
        <f aca="false">S34*DataDE2b!AT39/DataDE2b!AT40</f>
        <v>169.128238218345</v>
      </c>
      <c r="T33" s="2277" t="n">
        <f aca="false">T34*DataDE2b!BS39/DataDE2b!BS40</f>
        <v>0.395017012113215</v>
      </c>
      <c r="U33" s="2277" t="n">
        <f aca="false">0.15*O33</f>
        <v>27.2772408100988</v>
      </c>
      <c r="V33" s="2277" t="n">
        <f aca="false">W33-X33</f>
        <v>90.2524357400613</v>
      </c>
      <c r="W33" s="2277" t="n">
        <f aca="false">W34*DataDE2b!DD38/DataDE2b!DD39</f>
        <v>149.063452777894</v>
      </c>
      <c r="X33" s="2296" t="n">
        <f aca="false">X34*DataDE2b!DE38/DataDE2b!DE39</f>
        <v>58.8110170378326</v>
      </c>
      <c r="Y33" s="2279" t="n">
        <f aca="false">N33+V33</f>
        <v>299.377948617485</v>
      </c>
      <c r="Z33" s="2280" t="n">
        <f aca="false">DataDE2b!EW38</f>
        <v>94.529</v>
      </c>
      <c r="AA33" s="2280" t="n">
        <f aca="false">DataDE2b!EX38</f>
        <v>68.183</v>
      </c>
      <c r="AB33" s="2281" t="n">
        <f aca="false">DataDE2b!EY38</f>
        <v>26.346</v>
      </c>
      <c r="AC33" s="2282" t="n">
        <f aca="false">AC32+(AC$34-AC$28)/6</f>
        <v>610.644415243997</v>
      </c>
      <c r="AD33" s="2282" t="n">
        <f aca="false">AD32+(AD$34-AD$28)/6</f>
        <v>430.93384053488</v>
      </c>
      <c r="AE33" s="2277" t="n">
        <f aca="false">AC33-AD33</f>
        <v>179.710574709117</v>
      </c>
      <c r="AF33" s="2277"/>
      <c r="AG33" s="2277"/>
      <c r="AH33" s="2275"/>
      <c r="AI33" s="2275"/>
      <c r="AJ33" s="2277"/>
      <c r="AK33" s="2277"/>
      <c r="AL33" s="2277" t="n">
        <f aca="false">AM33-AR33</f>
        <v>138.487052674008</v>
      </c>
      <c r="AM33" s="2277" t="n">
        <f aca="false">AM34*DataDE2b!P38/DataDE2b!P39</f>
        <v>295.234593213686</v>
      </c>
      <c r="AN33" s="2277" t="n">
        <f aca="false">AN34*DataDE2b!Q38/DataDE2b!Q39</f>
        <v>38.2316998468606</v>
      </c>
      <c r="AO33" s="2277"/>
      <c r="AP33" s="2277" t="n">
        <f aca="false">AP34*DataDE2b!R38/DataDE2b!R39</f>
        <v>43.7884062758051</v>
      </c>
      <c r="AQ33" s="2277" t="n">
        <f aca="false">AM33-AN33-AP33-AO33</f>
        <v>213.21448709102</v>
      </c>
      <c r="AR33" s="2296" t="n">
        <f aca="false">AR34*DataDE2b!V38/DataDE2b!V39</f>
        <v>156.747540539678</v>
      </c>
      <c r="AS33" s="2275" t="n">
        <f aca="false">AC33+AL33</f>
        <v>749.131467918005</v>
      </c>
      <c r="AW33" s="759" t="n">
        <f aca="false">AD33/DataDE1!B32</f>
        <v>1.21547312160794</v>
      </c>
      <c r="AY33" s="2288"/>
    </row>
    <row r="34" customFormat="false" ht="12" hidden="false" customHeight="false" outlineLevel="0" collapsed="false">
      <c r="A34" s="2252" t="n">
        <v>1972</v>
      </c>
      <c r="B34" s="2275" t="n">
        <f aca="false">C34+D34+E34+F34+H34+G34</f>
        <v>663.171981487422</v>
      </c>
      <c r="C34" s="2277" t="n">
        <f aca="false">C35*DataDE2b!BK40/DataDE2b!BK41</f>
        <v>23.9093366093366</v>
      </c>
      <c r="D34" s="2277" t="n">
        <f aca="false">D35*DataDE2b!BB40/DataDE2b!BB41</f>
        <v>175.094319287001</v>
      </c>
      <c r="E34" s="2275" t="n">
        <f aca="false">E35*DataDE2b!AJ40/DataDE2b!AJ41</f>
        <v>85.7096968131661</v>
      </c>
      <c r="F34" s="2275" t="n">
        <f aca="false">F35*DataDE2b!AT40/DataDE2b!AT41</f>
        <v>191.937015446028</v>
      </c>
      <c r="G34" s="2277" t="n">
        <f aca="false">G35*E34/E35</f>
        <v>181.652343558609</v>
      </c>
      <c r="H34" s="2277" t="n">
        <f aca="false">H35*DataDE2b!BS40/DataDE2b!BS41</f>
        <v>4.86926977328132</v>
      </c>
      <c r="I34" s="2277" t="n">
        <f aca="false">J34-K34</f>
        <v>-220.770307081332</v>
      </c>
      <c r="J34" s="2277" t="n">
        <f aca="false">J33+(J$38-J$33)/5</f>
        <v>705.623516396629</v>
      </c>
      <c r="K34" s="2277" t="n">
        <f aca="false">K33+(K$38-K$33)/5</f>
        <v>926.393823477962</v>
      </c>
      <c r="L34" s="2277" t="n">
        <f aca="false">L33+(L$38-L$33)/5</f>
        <v>214.220073242764</v>
      </c>
      <c r="M34" s="2279" t="n">
        <f aca="false">B34+I34</f>
        <v>442.401674406089</v>
      </c>
      <c r="N34" s="2297" t="n">
        <f aca="false">O34+U34</f>
        <v>235.26147795681</v>
      </c>
      <c r="O34" s="2275" t="n">
        <f aca="false">P34+Q34+R34+S34+T34</f>
        <v>204.575198223313</v>
      </c>
      <c r="P34" s="2277" t="n">
        <f aca="false">P35</f>
        <v>0</v>
      </c>
      <c r="Q34" s="2277" t="n">
        <f aca="false">Q35*DataDE2b!BB40/DataDE2b!BB41</f>
        <v>8.92427664562989</v>
      </c>
      <c r="R34" s="2275" t="n">
        <f aca="false">R35*DataDE2b!AJ40/DataDE2b!AJ41</f>
        <v>4.882467282369</v>
      </c>
      <c r="S34" s="2275" t="n">
        <f aca="false">S35*DataDE2b!AT40/DataDE2b!AT41</f>
        <v>190.301413504676</v>
      </c>
      <c r="T34" s="2277" t="n">
        <f aca="false">T35*DataDE2b!BS40/DataDE2b!BS41</f>
        <v>0.467040790637617</v>
      </c>
      <c r="U34" s="2277" t="n">
        <f aca="false">0.15*O34</f>
        <v>30.6862797334969</v>
      </c>
      <c r="V34" s="2277" t="n">
        <f aca="false">W34-X34</f>
        <v>93.0052287808767</v>
      </c>
      <c r="W34" s="2277" t="n">
        <f aca="false">W35*DataDE2b!DD39/DataDE2b!DD40</f>
        <v>158.827778263609</v>
      </c>
      <c r="X34" s="2296" t="n">
        <f aca="false">X35*DataDE2b!DE39/DataDE2b!DE40</f>
        <v>65.8225494827324</v>
      </c>
      <c r="Y34" s="2279" t="n">
        <f aca="false">N34+V34</f>
        <v>328.266706737687</v>
      </c>
      <c r="Z34" s="2280" t="n">
        <f aca="false">DataDE2b!EW39</f>
        <v>102.194</v>
      </c>
      <c r="AA34" s="2280" t="n">
        <f aca="false">DataDE2b!EX39</f>
        <v>77.251</v>
      </c>
      <c r="AB34" s="2281" t="n">
        <f aca="false">DataDE2b!EY39</f>
        <v>24.944</v>
      </c>
      <c r="AC34" s="2298" t="n">
        <v>651.130210703384</v>
      </c>
      <c r="AD34" s="2299" t="n">
        <v>465.889162145994</v>
      </c>
      <c r="AE34" s="2277" t="n">
        <f aca="false">AC34-AD34</f>
        <v>185.24104855739</v>
      </c>
      <c r="AF34" s="2277"/>
      <c r="AG34" s="2277"/>
      <c r="AH34" s="2275"/>
      <c r="AI34" s="2275"/>
      <c r="AJ34" s="2277"/>
      <c r="AK34" s="2277"/>
      <c r="AL34" s="2277" t="n">
        <f aca="false">AM34-AR34</f>
        <v>159.695662365992</v>
      </c>
      <c r="AM34" s="2277" t="n">
        <f aca="false">AM35*DataDE2b!P39/DataDE2b!P40</f>
        <v>334.877002830782</v>
      </c>
      <c r="AN34" s="2277" t="n">
        <f aca="false">AN35*DataDE2b!Q39/DataDE2b!Q40</f>
        <v>40.5526799387443</v>
      </c>
      <c r="AO34" s="2277"/>
      <c r="AP34" s="2277" t="n">
        <f aca="false">AP35*DataDE2b!R39/DataDE2b!R40</f>
        <v>49.3797522708505</v>
      </c>
      <c r="AQ34" s="2277" t="n">
        <f aca="false">AM34-AN34-AP34-AO34</f>
        <v>244.944570621188</v>
      </c>
      <c r="AR34" s="2296" t="n">
        <f aca="false">AR35*DataDE2b!V39/DataDE2b!V40</f>
        <v>175.18134046479</v>
      </c>
      <c r="AS34" s="2275" t="n">
        <f aca="false">AC34+AL34</f>
        <v>810.825873069376</v>
      </c>
      <c r="AW34" s="759" t="n">
        <f aca="false">AD34/DataDE1!B33</f>
        <v>1.20872032520235</v>
      </c>
      <c r="AY34" s="2288"/>
    </row>
    <row r="35" customFormat="false" ht="12" hidden="false" customHeight="false" outlineLevel="0" collapsed="false">
      <c r="A35" s="2252" t="n">
        <v>1973</v>
      </c>
      <c r="B35" s="2275" t="n">
        <f aca="false">C35+D35+E35+F35+H35+G35</f>
        <v>732.794904199601</v>
      </c>
      <c r="C35" s="2277" t="n">
        <f aca="false">C36*DataDE2b!BK41/DataDE2b!BK42</f>
        <v>29.3960687960688</v>
      </c>
      <c r="D35" s="2277" t="n">
        <f aca="false">D36*DataDE2b!BB41/DataDE2b!BB42</f>
        <v>190.299607806974</v>
      </c>
      <c r="E35" s="2275" t="n">
        <f aca="false">E36*DataDE2b!AJ41/DataDE2b!AJ42</f>
        <v>95.5744685637861</v>
      </c>
      <c r="F35" s="2275" t="n">
        <f aca="false">F36*DataDE2b!AT41/DataDE2b!AT42</f>
        <v>209.93327209697</v>
      </c>
      <c r="G35" s="2277" t="n">
        <f aca="false">G36*E35/E36</f>
        <v>202.559650127165</v>
      </c>
      <c r="H35" s="2277" t="n">
        <f aca="false">H36*DataDE2b!BS41/DataDE2b!BS42</f>
        <v>5.0318368086373</v>
      </c>
      <c r="I35" s="2277" t="n">
        <f aca="false">J35-K35</f>
        <v>-243.396828551339</v>
      </c>
      <c r="J35" s="2277" t="n">
        <f aca="false">J34+(J$38-J$33)/5</f>
        <v>798.039058854712</v>
      </c>
      <c r="K35" s="2277" t="n">
        <f aca="false">K34+(K$38-K$33)/5</f>
        <v>1041.43588740605</v>
      </c>
      <c r="L35" s="2277" t="n">
        <f aca="false">L34+(L$38-L$33)/5</f>
        <v>230.668203189604</v>
      </c>
      <c r="M35" s="2279" t="n">
        <f aca="false">B35+I35</f>
        <v>489.398075648263</v>
      </c>
      <c r="N35" s="2297" t="n">
        <f aca="false">O35+U35</f>
        <v>257.336223466087</v>
      </c>
      <c r="O35" s="2275" t="n">
        <f aca="false">P35+Q35+R35+S35+T35</f>
        <v>223.770629100945</v>
      </c>
      <c r="P35" s="2277" t="n">
        <f aca="false">P36</f>
        <v>0</v>
      </c>
      <c r="Q35" s="2277" t="n">
        <f aca="false">Q36*DataDE2b!BB41/DataDE2b!BB42</f>
        <v>9.69926581593209</v>
      </c>
      <c r="R35" s="2275" t="n">
        <f aca="false">R36*DataDE2b!AJ41/DataDE2b!AJ42</f>
        <v>5.44441566290558</v>
      </c>
      <c r="S35" s="2275" t="n">
        <f aca="false">S36*DataDE2b!AT41/DataDE2b!AT42</f>
        <v>208.144314054676</v>
      </c>
      <c r="T35" s="2277" t="n">
        <f aca="false">T36*DataDE2b!BS41/DataDE2b!BS42</f>
        <v>0.48263356743156</v>
      </c>
      <c r="U35" s="2277" t="n">
        <f aca="false">0.15*O35</f>
        <v>33.5655943651417</v>
      </c>
      <c r="V35" s="2277" t="n">
        <f aca="false">W35-X35</f>
        <v>93.469921936961</v>
      </c>
      <c r="W35" s="2277" t="n">
        <f aca="false">W36*DataDE2b!DD40/DataDE2b!DD41</f>
        <v>166.780978860845</v>
      </c>
      <c r="X35" s="2296" t="n">
        <f aca="false">X36*DataDE2b!DE40/DataDE2b!DE41</f>
        <v>73.3110569238838</v>
      </c>
      <c r="Y35" s="2279" t="n">
        <f aca="false">N35+V35</f>
        <v>350.806145403048</v>
      </c>
      <c r="Z35" s="2280" t="n">
        <f aca="false">DataDE2b!EW40</f>
        <v>112.81</v>
      </c>
      <c r="AA35" s="2280" t="n">
        <f aca="false">DataDE2b!EX40</f>
        <v>87.445</v>
      </c>
      <c r="AB35" s="2281" t="n">
        <f aca="false">DataDE2b!EY40</f>
        <v>25.365</v>
      </c>
      <c r="AC35" s="2300" t="n">
        <f aca="false">AC34+(AC36-AC34)/2</f>
        <v>719.898968724276</v>
      </c>
      <c r="AD35" s="2300" t="n">
        <f aca="false">AD34+(AD36-AD34)/2</f>
        <v>524.68772848356</v>
      </c>
      <c r="AE35" s="2277" t="n">
        <f aca="false">AC35-AD35</f>
        <v>195.211240240716</v>
      </c>
      <c r="AF35" s="2277"/>
      <c r="AG35" s="2277"/>
      <c r="AH35" s="2275"/>
      <c r="AI35" s="2275"/>
      <c r="AJ35" s="2277"/>
      <c r="AK35" s="2277"/>
      <c r="AL35" s="2277" t="n">
        <f aca="false">AM35-AR35</f>
        <v>178.963185981703</v>
      </c>
      <c r="AM35" s="2277" t="n">
        <f aca="false">AM36*DataDE2b!P40/DataDE2b!P41</f>
        <v>381.614502805484</v>
      </c>
      <c r="AN35" s="2277" t="n">
        <f aca="false">AN36*DataDE2b!Q40/DataDE2b!Q41</f>
        <v>43.1960183767228</v>
      </c>
      <c r="AO35" s="2277"/>
      <c r="AP35" s="2277" t="n">
        <f aca="false">AP36*DataDE2b!R40/DataDE2b!R41</f>
        <v>55.5993393889347</v>
      </c>
      <c r="AQ35" s="2277" t="n">
        <f aca="false">AM35-AN35-AP35-AO35</f>
        <v>282.819145039826</v>
      </c>
      <c r="AR35" s="2296" t="n">
        <f aca="false">AR36*DataDE2b!V40/DataDE2b!V41</f>
        <v>202.651316823781</v>
      </c>
      <c r="AS35" s="2275" t="n">
        <f aca="false">AC35+AL35</f>
        <v>898.862154705978</v>
      </c>
      <c r="AW35" s="759" t="n">
        <f aca="false">AD35/DataDE1!B34</f>
        <v>1.22151075216175</v>
      </c>
      <c r="AY35" s="2288"/>
    </row>
    <row r="36" customFormat="false" ht="12" hidden="false" customHeight="false" outlineLevel="0" collapsed="false">
      <c r="A36" s="2252" t="n">
        <v>1974</v>
      </c>
      <c r="B36" s="2275" t="n">
        <f aca="false">C36+D36+E36+F36+H36+G36</f>
        <v>808.792861806934</v>
      </c>
      <c r="C36" s="2277" t="n">
        <f aca="false">C37*DataDE2b!BK42/DataDE2b!BK43</f>
        <v>27.3535626535626</v>
      </c>
      <c r="D36" s="2277" t="n">
        <f aca="false">D37*DataDE2b!BB42/DataDE2b!BB43</f>
        <v>208.82140642058</v>
      </c>
      <c r="E36" s="2275" t="n">
        <f aca="false">E37*DataDE2b!AJ42/DataDE2b!AJ43</f>
        <v>106.623870575348</v>
      </c>
      <c r="F36" s="2275" t="n">
        <f aca="false">F37*DataDE2b!AT42/DataDE2b!AT43</f>
        <v>234.318783451273</v>
      </c>
      <c r="G36" s="2277" t="n">
        <f aca="false">G37*E36/E37</f>
        <v>225.977651181313</v>
      </c>
      <c r="H36" s="2277" t="n">
        <f aca="false">H37*DataDE2b!BS42/DataDE2b!BS43</f>
        <v>5.697587524857</v>
      </c>
      <c r="I36" s="2277" t="n">
        <f aca="false">J36-K36</f>
        <v>-266.023350021345</v>
      </c>
      <c r="J36" s="2277" t="n">
        <f aca="false">J35+(J$38-J$33)/5</f>
        <v>890.454601312796</v>
      </c>
      <c r="K36" s="2277" t="n">
        <f aca="false">K35+(K$38-K$33)/5</f>
        <v>1156.47795133414</v>
      </c>
      <c r="L36" s="2277" t="n">
        <f aca="false">L35+(L$38-L$33)/5</f>
        <v>247.116333136444</v>
      </c>
      <c r="M36" s="2279" t="n">
        <f aca="false">B36+I36</f>
        <v>542.769511785589</v>
      </c>
      <c r="N36" s="2297" t="n">
        <f aca="false">O36+U36</f>
        <v>287.023499239059</v>
      </c>
      <c r="O36" s="2275" t="n">
        <f aca="false">P36+Q36+R36+S36+T36</f>
        <v>249.585651512225</v>
      </c>
      <c r="P36" s="2277" t="n">
        <f aca="false">P37</f>
        <v>0</v>
      </c>
      <c r="Q36" s="2277" t="n">
        <f aca="false">Q37*DataDE2b!BB42/DataDE2b!BB43</f>
        <v>10.6432921868364</v>
      </c>
      <c r="R36" s="2275" t="n">
        <f aca="false">R37*DataDE2b!AJ42/DataDE2b!AJ43</f>
        <v>6.07384670533236</v>
      </c>
      <c r="S36" s="2275" t="n">
        <f aca="false">S37*DataDE2b!AT42/DataDE2b!AT43</f>
        <v>232.322022919087</v>
      </c>
      <c r="T36" s="2277" t="n">
        <f aca="false">T37*DataDE2b!BS42/DataDE2b!BS43</f>
        <v>0.546489700968659</v>
      </c>
      <c r="U36" s="2277" t="n">
        <f aca="false">0.15*O36</f>
        <v>37.4378477268337</v>
      </c>
      <c r="V36" s="2277" t="n">
        <f aca="false">W36-X36</f>
        <v>114.424483885573</v>
      </c>
      <c r="W36" s="2277" t="n">
        <f aca="false">W37*DataDE2b!DD41/DataDE2b!DD42</f>
        <v>190.16811329034</v>
      </c>
      <c r="X36" s="2296" t="n">
        <f aca="false">X37*DataDE2b!DE41/DataDE2b!DE42</f>
        <v>75.7436294047674</v>
      </c>
      <c r="Y36" s="2279" t="n">
        <f aca="false">N36+V36</f>
        <v>401.447983124631</v>
      </c>
      <c r="Z36" s="2280" t="n">
        <f aca="false">DataDE2b!EW41</f>
        <v>125.249</v>
      </c>
      <c r="AA36" s="2280" t="n">
        <f aca="false">DataDE2b!EX41</f>
        <v>97.146</v>
      </c>
      <c r="AB36" s="2281" t="n">
        <f aca="false">DataDE2b!EY41</f>
        <v>28.103</v>
      </c>
      <c r="AC36" s="2301" t="n">
        <v>788.667726745167</v>
      </c>
      <c r="AD36" s="2302" t="n">
        <v>583.486294821125</v>
      </c>
      <c r="AE36" s="2277" t="n">
        <f aca="false">AC36-AD36</f>
        <v>205.181431924042</v>
      </c>
      <c r="AF36" s="2277"/>
      <c r="AG36" s="2277"/>
      <c r="AH36" s="2275"/>
      <c r="AI36" s="2275"/>
      <c r="AJ36" s="2277"/>
      <c r="AK36" s="2277"/>
      <c r="AL36" s="2277" t="n">
        <f aca="false">AM36-AR36</f>
        <v>189.38734798242</v>
      </c>
      <c r="AM36" s="2277" t="n">
        <f aca="false">AM37*DataDE2b!P41/DataDE2b!P42</f>
        <v>420.412258808579</v>
      </c>
      <c r="AN36" s="2277" t="n">
        <f aca="false">AN37*DataDE2b!Q41/DataDE2b!Q42</f>
        <v>40.2303215926493</v>
      </c>
      <c r="AO36" s="2277"/>
      <c r="AP36" s="2277" t="n">
        <f aca="false">AP37*DataDE2b!R41/DataDE2b!R42</f>
        <v>62.3843435177539</v>
      </c>
      <c r="AQ36" s="2277" t="n">
        <f aca="false">AM36-AN36-AP36-AO36</f>
        <v>317.797593698176</v>
      </c>
      <c r="AR36" s="2296" t="n">
        <f aca="false">AR37*DataDE2b!V41/DataDE2b!V42</f>
        <v>231.024910826159</v>
      </c>
      <c r="AS36" s="2275" t="n">
        <f aca="false">AC36+AL36</f>
        <v>978.055074727587</v>
      </c>
      <c r="AW36" s="759" t="n">
        <f aca="false">AD36/DataDE1!B35</f>
        <v>1.26194669814461</v>
      </c>
      <c r="AY36" s="2288"/>
    </row>
    <row r="37" customFormat="false" ht="12" hidden="false" customHeight="false" outlineLevel="0" collapsed="false">
      <c r="A37" s="2252" t="n">
        <v>1975</v>
      </c>
      <c r="B37" s="2275" t="n">
        <f aca="false">C37+D37+E37+F37+H37+G37</f>
        <v>889.102242137521</v>
      </c>
      <c r="C37" s="2277" t="n">
        <f aca="false">C38*DataDE2b!BK43/DataDE2b!BK44</f>
        <v>28.595085995086</v>
      </c>
      <c r="D37" s="2277" t="n">
        <f aca="false">D38*DataDE2b!BB43/DataDE2b!BB44</f>
        <v>232.424826705099</v>
      </c>
      <c r="E37" s="2275" t="n">
        <f aca="false">E38*DataDE2b!AJ43/DataDE2b!AJ44</f>
        <v>116.731643405136</v>
      </c>
      <c r="F37" s="2275" t="n">
        <f aca="false">F38*DataDE2b!AT43/DataDE2b!AT44</f>
        <v>257.610599649994</v>
      </c>
      <c r="G37" s="2277" t="n">
        <f aca="false">G38*E37/E38</f>
        <v>247.399972003324</v>
      </c>
      <c r="H37" s="2277" t="n">
        <f aca="false">H38*DataDE2b!BS43/DataDE2b!BS44</f>
        <v>6.340114378883</v>
      </c>
      <c r="I37" s="2277" t="n">
        <f aca="false">J37-K37</f>
        <v>-288.649871491352</v>
      </c>
      <c r="J37" s="2277" t="n">
        <f aca="false">J36+(J$38-J$33)/5</f>
        <v>982.870143770879</v>
      </c>
      <c r="K37" s="2277" t="n">
        <f aca="false">K36+(K$38-K$33)/5</f>
        <v>1271.52001526223</v>
      </c>
      <c r="L37" s="2277" t="n">
        <f aca="false">L36+(L$38-L$33)/5</f>
        <v>263.564463083284</v>
      </c>
      <c r="M37" s="2279" t="n">
        <f aca="false">B37+I37</f>
        <v>600.45237064617</v>
      </c>
      <c r="N37" s="2297" t="n">
        <f aca="false">O37+U37</f>
        <v>315.697348242934</v>
      </c>
      <c r="O37" s="2275" t="n">
        <f aca="false">P37+Q37+R37+S37+T37</f>
        <v>274.519433254726</v>
      </c>
      <c r="P37" s="2277" t="n">
        <f aca="false">P38</f>
        <v>0</v>
      </c>
      <c r="Q37" s="2277" t="n">
        <f aca="false">Q38*DataDE2b!BB43/DataDE2b!BB44</f>
        <v>11.8463206646298</v>
      </c>
      <c r="R37" s="2275" t="n">
        <f aca="false">R38*DataDE2b!AJ43/DataDE2b!AJ44</f>
        <v>6.64963768317974</v>
      </c>
      <c r="S37" s="2275" t="n">
        <f aca="false">S38*DataDE2b!AT43/DataDE2b!AT44</f>
        <v>255.415356611952</v>
      </c>
      <c r="T37" s="2277" t="n">
        <f aca="false">T38*DataDE2b!BS43/DataDE2b!BS44</f>
        <v>0.608118294963766</v>
      </c>
      <c r="U37" s="2277" t="n">
        <f aca="false">0.15*O37</f>
        <v>41.1779149882088</v>
      </c>
      <c r="V37" s="2277" t="n">
        <f aca="false">W37-X37</f>
        <v>111.080138522703</v>
      </c>
      <c r="W37" s="2277" t="n">
        <f aca="false">W38*DataDE2b!DD42/DataDE2b!DD43</f>
        <v>197.412612844258</v>
      </c>
      <c r="X37" s="2296" t="n">
        <f aca="false">X38*DataDE2b!DE42/DataDE2b!DE43</f>
        <v>86.3324743215548</v>
      </c>
      <c r="Y37" s="2279" t="n">
        <f aca="false">N37+V37</f>
        <v>426.777486765637</v>
      </c>
      <c r="Z37" s="2280" t="n">
        <f aca="false">DataDE2b!EW42</f>
        <v>140.676</v>
      </c>
      <c r="AA37" s="2280" t="n">
        <f aca="false">DataDE2b!EX42</f>
        <v>103.897</v>
      </c>
      <c r="AB37" s="2281" t="n">
        <f aca="false">DataDE2b!EY42</f>
        <v>36.779</v>
      </c>
      <c r="AC37" s="2300" t="n">
        <f aca="false">AC36+(AC$39-AC$36)/3</f>
        <v>839.950302429148</v>
      </c>
      <c r="AD37" s="2300" t="n">
        <f aca="false">AD36+(AD$39-AD$36)/3</f>
        <v>629.281004313599</v>
      </c>
      <c r="AE37" s="2277" t="n">
        <f aca="false">AC37-AD37</f>
        <v>210.669298115549</v>
      </c>
      <c r="AF37" s="2277"/>
      <c r="AG37" s="2277"/>
      <c r="AH37" s="2275"/>
      <c r="AI37" s="2275"/>
      <c r="AJ37" s="2277"/>
      <c r="AK37" s="2277"/>
      <c r="AL37" s="2277" t="n">
        <f aca="false">AM37-AR37</f>
        <v>217.594250786089</v>
      </c>
      <c r="AM37" s="2277" t="n">
        <f aca="false">AM38*DataDE2b!P42/DataDE2b!P43</f>
        <v>464.221626254745</v>
      </c>
      <c r="AN37" s="2277" t="n">
        <f aca="false">AN38*DataDE2b!Q42/DataDE2b!Q43</f>
        <v>36.8133231240429</v>
      </c>
      <c r="AO37" s="2277"/>
      <c r="AP37" s="2277" t="n">
        <f aca="false">AP38*DataDE2b!R42/DataDE2b!R43</f>
        <v>69.7975887696119</v>
      </c>
      <c r="AQ37" s="2277" t="n">
        <f aca="false">AM37-AN37-AP37-AO37</f>
        <v>357.610714361091</v>
      </c>
      <c r="AR37" s="2296" t="n">
        <f aca="false">AR38*DataDE2b!V42/DataDE2b!V43</f>
        <v>246.627375468656</v>
      </c>
      <c r="AS37" s="2275" t="n">
        <f aca="false">AC37+AL37</f>
        <v>1057.54455321524</v>
      </c>
      <c r="AW37" s="759" t="n">
        <f aca="false">AD37/DataDE1!B36</f>
        <v>1.303912070437</v>
      </c>
      <c r="AY37" s="2288"/>
    </row>
    <row r="38" customFormat="false" ht="12" hidden="false" customHeight="false" outlineLevel="0" collapsed="false">
      <c r="A38" s="2252" t="n">
        <v>1976</v>
      </c>
      <c r="B38" s="2275" t="n">
        <f aca="false">C38+D38+E38+F38+H38+G38</f>
        <v>936.858368406128</v>
      </c>
      <c r="C38" s="2277" t="n">
        <f aca="false">C39*DataDE2b!BK44/DataDE2b!BK45</f>
        <v>32.3997542997543</v>
      </c>
      <c r="D38" s="2277" t="n">
        <f aca="false">D39*DataDE2b!BB44/DataDE2b!BB45</f>
        <v>247.210604401773</v>
      </c>
      <c r="E38" s="2275" t="n">
        <f aca="false">E39*DataDE2b!AJ44/DataDE2b!AJ45</f>
        <v>122.443955538215</v>
      </c>
      <c r="F38" s="2275" t="n">
        <f aca="false">F39*DataDE2b!AT44/DataDE2b!AT45</f>
        <v>268.283853954864</v>
      </c>
      <c r="G38" s="2277" t="n">
        <f aca="false">G39*E38/E39</f>
        <v>259.506593829021</v>
      </c>
      <c r="H38" s="2277" t="n">
        <f aca="false">H39*DataDE2b!BS44/DataDE2b!BS45</f>
        <v>7.0136063825006</v>
      </c>
      <c r="I38" s="2277" t="n">
        <f aca="false">J38-K38</f>
        <v>-311.276392961358</v>
      </c>
      <c r="J38" s="2277" t="n">
        <f aca="false">J43*DataDE2b!DR43/DataDE2b!DR48</f>
        <v>1075.28568622896</v>
      </c>
      <c r="K38" s="2296" t="n">
        <f aca="false">K43*DataDE2b!EC43/DataDE2b!EC48</f>
        <v>1386.56207919032</v>
      </c>
      <c r="L38" s="2276" t="n">
        <f aca="false">L43*DataDE2b!DY43/DataDE2b!DY48</f>
        <v>280.012593030124</v>
      </c>
      <c r="M38" s="2279" t="n">
        <f aca="false">B38+I38</f>
        <v>625.581975444771</v>
      </c>
      <c r="N38" s="2297" t="n">
        <f aca="false">O38+U38</f>
        <v>329.182145224843</v>
      </c>
      <c r="O38" s="2275" t="n">
        <f aca="false">P38+Q38+R38+S38+T38</f>
        <v>286.245343673776</v>
      </c>
      <c r="P38" s="2277" t="n">
        <f aca="false">P39</f>
        <v>0</v>
      </c>
      <c r="Q38" s="2277" t="n">
        <f aca="false">Q39*DataDE2b!BB44/DataDE2b!BB45</f>
        <v>12.5999280410611</v>
      </c>
      <c r="R38" s="2275" t="n">
        <f aca="false">R39*DataDE2b!AJ44/DataDE2b!AJ45</f>
        <v>6.97504050378751</v>
      </c>
      <c r="S38" s="2275" t="n">
        <f aca="false">S39*DataDE2b!AT44/DataDE2b!AT45</f>
        <v>265.997658187246</v>
      </c>
      <c r="T38" s="2277" t="n">
        <f aca="false">T39*DataDE2b!BS44/DataDE2b!BS45</f>
        <v>0.672716941681528</v>
      </c>
      <c r="U38" s="2277" t="n">
        <f aca="false">0.15*O38</f>
        <v>42.9368015510664</v>
      </c>
      <c r="V38" s="2277" t="n">
        <f aca="false">W38-X38</f>
        <v>88.1154703750075</v>
      </c>
      <c r="W38" s="2277" t="n">
        <f aca="false">W39*DataDE2b!DD43/DataDE2b!DD44</f>
        <v>204.735856958544</v>
      </c>
      <c r="X38" s="2296" t="n">
        <f aca="false">X39*DataDE2b!DE43/DataDE2b!DE44</f>
        <v>116.620386583537</v>
      </c>
      <c r="Y38" s="2279" t="n">
        <f aca="false">N38+V38</f>
        <v>417.29761559985</v>
      </c>
      <c r="Z38" s="2280" t="n">
        <f aca="false">DataDE2b!EW43</f>
        <v>164.104</v>
      </c>
      <c r="AA38" s="2280" t="n">
        <f aca="false">DataDE2b!EX43</f>
        <v>119.114</v>
      </c>
      <c r="AB38" s="2281" t="n">
        <f aca="false">DataDE2b!EY43</f>
        <v>44.99</v>
      </c>
      <c r="AC38" s="2300" t="n">
        <f aca="false">AC37+(AC$39-AC$36)/3</f>
        <v>891.232878113129</v>
      </c>
      <c r="AD38" s="2300" t="n">
        <f aca="false">AD37+(AD$39-AD$36)/3</f>
        <v>675.075713806074</v>
      </c>
      <c r="AE38" s="2277" t="n">
        <f aca="false">AC38-AD38</f>
        <v>216.157164307055</v>
      </c>
      <c r="AF38" s="2277"/>
      <c r="AG38" s="2277"/>
      <c r="AH38" s="2275"/>
      <c r="AI38" s="2275"/>
      <c r="AJ38" s="2277"/>
      <c r="AK38" s="2277"/>
      <c r="AL38" s="2277" t="n">
        <f aca="false">AM38-AR38</f>
        <v>266.068809895704</v>
      </c>
      <c r="AM38" s="2277" t="n">
        <f aca="false">AM39*DataDE2b!P43/DataDE2b!P44</f>
        <v>530.949261760795</v>
      </c>
      <c r="AN38" s="2277" t="n">
        <f aca="false">AN39*DataDE2b!Q43/DataDE2b!Q44</f>
        <v>44.3565084226646</v>
      </c>
      <c r="AO38" s="2277"/>
      <c r="AP38" s="2277" t="n">
        <f aca="false">AP39*DataDE2b!R43/DataDE2b!R44</f>
        <v>77.9018992568125</v>
      </c>
      <c r="AQ38" s="2277" t="n">
        <f aca="false">AM38-AN38-AP38-AO38</f>
        <v>408.690854081318</v>
      </c>
      <c r="AR38" s="2296" t="n">
        <f aca="false">AR39*DataDE2b!V43/DataDE2b!V44</f>
        <v>264.880451865091</v>
      </c>
      <c r="AS38" s="2275" t="n">
        <f aca="false">AC38+AL38</f>
        <v>1157.30168800883</v>
      </c>
      <c r="AW38" s="759" t="n">
        <f aca="false">AD38/DataDE1!B37</f>
        <v>1.28627501058643</v>
      </c>
      <c r="AY38" s="2288"/>
    </row>
    <row r="39" customFormat="false" ht="12" hidden="false" customHeight="false" outlineLevel="0" collapsed="false">
      <c r="A39" s="2252" t="n">
        <v>1977</v>
      </c>
      <c r="B39" s="2275" t="n">
        <f aca="false">C39+D39+E39+F39+H39+G39</f>
        <v>1001.20573551413</v>
      </c>
      <c r="C39" s="2277" t="n">
        <f aca="false">C40*DataDE2b!BK45/DataDE2b!BK46</f>
        <v>32.3597051597052</v>
      </c>
      <c r="D39" s="2277" t="n">
        <f aca="false">D40*DataDE2b!BB45/DataDE2b!BB46</f>
        <v>256.629809679632</v>
      </c>
      <c r="E39" s="2275" t="n">
        <f aca="false">E40*DataDE2b!AJ45/DataDE2b!AJ46</f>
        <v>133.475489823368</v>
      </c>
      <c r="F39" s="2275" t="n">
        <f aca="false">F40*DataDE2b!AT45/DataDE2b!AT46</f>
        <v>288.221095289033</v>
      </c>
      <c r="G39" s="2277" t="n">
        <f aca="false">G40*E39/E40</f>
        <v>282.886726188063</v>
      </c>
      <c r="H39" s="2277" t="n">
        <f aca="false">H40*DataDE2b!BS45/DataDE2b!BS46</f>
        <v>7.63290937433288</v>
      </c>
      <c r="I39" s="2277" t="n">
        <f aca="false">J39-K39</f>
        <v>-329.959318795242</v>
      </c>
      <c r="J39" s="2277" t="n">
        <f aca="false">J38+(J$43-J$38)/5</f>
        <v>1200.00991616245</v>
      </c>
      <c r="K39" s="2277" t="n">
        <f aca="false">K38+(K$43-K$38)/5</f>
        <v>1529.96923495769</v>
      </c>
      <c r="L39" s="2277" t="n">
        <f aca="false">L38+(L$43-L$38)/5</f>
        <v>290.173779090372</v>
      </c>
      <c r="M39" s="2279" t="n">
        <f aca="false">B39+I39</f>
        <v>671.246416718891</v>
      </c>
      <c r="N39" s="2297" t="n">
        <f aca="false">O39+U39</f>
        <v>353.257672455526</v>
      </c>
      <c r="O39" s="2275" t="n">
        <f aca="false">P39+Q39+R39+S39+T39</f>
        <v>307.180584743936</v>
      </c>
      <c r="P39" s="2277" t="n">
        <f aca="false">P40</f>
        <v>0</v>
      </c>
      <c r="Q39" s="2277" t="n">
        <f aca="false">Q40*DataDE2b!BB45/DataDE2b!BB46</f>
        <v>13.080009827974</v>
      </c>
      <c r="R39" s="2275" t="n">
        <f aca="false">R40*DataDE2b!AJ45/DataDE2b!AJ46</f>
        <v>7.60345370817672</v>
      </c>
      <c r="S39" s="2275" t="n">
        <f aca="false">S40*DataDE2b!AT45/DataDE2b!AT46</f>
        <v>285.765003211651</v>
      </c>
      <c r="T39" s="2277" t="n">
        <f aca="false">T40*DataDE2b!BS45/DataDE2b!BS46</f>
        <v>0.732117996134643</v>
      </c>
      <c r="U39" s="2277" t="n">
        <f aca="false">0.15*O39</f>
        <v>46.0770877115904</v>
      </c>
      <c r="V39" s="2277" t="n">
        <f aca="false">W39-X39</f>
        <v>72.6172778757992</v>
      </c>
      <c r="W39" s="2277" t="n">
        <f aca="false">W40*DataDE2b!DD44/DataDE2b!DD45</f>
        <v>211.035421788038</v>
      </c>
      <c r="X39" s="2296" t="n">
        <f aca="false">X40*DataDE2b!DE44/DataDE2b!DE45</f>
        <v>138.418143912239</v>
      </c>
      <c r="Y39" s="2279" t="n">
        <f aca="false">N39+V39</f>
        <v>425.874950331326</v>
      </c>
      <c r="Z39" s="2280" t="n">
        <f aca="false">DataDE2b!EW44</f>
        <v>183.393</v>
      </c>
      <c r="AA39" s="2280" t="n">
        <f aca="false">DataDE2b!EX44</f>
        <v>135.084</v>
      </c>
      <c r="AB39" s="2281" t="n">
        <f aca="false">DataDE2b!EY44</f>
        <v>48.308</v>
      </c>
      <c r="AC39" s="2301" t="n">
        <v>942.515453797109</v>
      </c>
      <c r="AD39" s="2302" t="n">
        <v>720.870423298549</v>
      </c>
      <c r="AE39" s="2277" t="n">
        <f aca="false">AC39-AD39</f>
        <v>221.645030498561</v>
      </c>
      <c r="AF39" s="2277"/>
      <c r="AG39" s="2277"/>
      <c r="AH39" s="2275"/>
      <c r="AI39" s="2275"/>
      <c r="AJ39" s="2277"/>
      <c r="AK39" s="2277"/>
      <c r="AL39" s="2277" t="n">
        <f aca="false">AM39-AR39</f>
        <v>300.512681511156</v>
      </c>
      <c r="AM39" s="2277" t="n">
        <f aca="false">AM40*DataDE2b!P44/DataDE2b!P45</f>
        <v>590.694427391106</v>
      </c>
      <c r="AN39" s="2277" t="n">
        <f aca="false">AN40*DataDE2b!Q44/DataDE2b!Q45</f>
        <v>42.293415007657</v>
      </c>
      <c r="AO39" s="2277"/>
      <c r="AP39" s="2277" t="n">
        <f aca="false">AP40*DataDE2b!R44/DataDE2b!R45</f>
        <v>87.137043765483</v>
      </c>
      <c r="AQ39" s="2277" t="n">
        <f aca="false">AM39-AN39-AP39-AO39</f>
        <v>461.263968617966</v>
      </c>
      <c r="AR39" s="2296" t="n">
        <f aca="false">AR40*DataDE2b!V44/DataDE2b!V45</f>
        <v>290.181745879951</v>
      </c>
      <c r="AS39" s="2275" t="n">
        <f aca="false">AC39+AL39</f>
        <v>1243.02813530826</v>
      </c>
      <c r="AW39" s="759" t="n">
        <f aca="false">AD39/DataDE1!B38</f>
        <v>1.29144274046212</v>
      </c>
      <c r="AY39" s="2288"/>
    </row>
    <row r="40" customFormat="false" ht="12" hidden="false" customHeight="false" outlineLevel="0" collapsed="false">
      <c r="A40" s="2252" t="n">
        <v>1978</v>
      </c>
      <c r="B40" s="2275" t="n">
        <f aca="false">C40+D40+E40+F40+H40+G40</f>
        <v>1072.44109037874</v>
      </c>
      <c r="C40" s="2277" t="n">
        <f aca="false">C41*DataDE2b!BK46/DataDE2b!BK47</f>
        <v>33.7614250614251</v>
      </c>
      <c r="D40" s="2277" t="n">
        <f aca="false">D41*DataDE2b!BB46/DataDE2b!BB47</f>
        <v>270.394513862992</v>
      </c>
      <c r="E40" s="2275" t="n">
        <f aca="false">E41*DataDE2b!AJ46/DataDE2b!AJ47</f>
        <v>144.408751613269</v>
      </c>
      <c r="F40" s="2275" t="n">
        <f aca="false">F41*DataDE2b!AT46/DataDE2b!AT47</f>
        <v>309.178542380977</v>
      </c>
      <c r="G40" s="2277" t="n">
        <f aca="false">G41*E40/E41</f>
        <v>306.058580724016</v>
      </c>
      <c r="H40" s="2277" t="n">
        <f aca="false">H41*DataDE2b!BS46/DataDE2b!BS47</f>
        <v>8.63927673606034</v>
      </c>
      <c r="I40" s="2277" t="n">
        <f aca="false">J40-K40</f>
        <v>-348.642244629127</v>
      </c>
      <c r="J40" s="2277" t="n">
        <f aca="false">J39+(J$43-J$38)/5</f>
        <v>1324.73414609594</v>
      </c>
      <c r="K40" s="2277" t="n">
        <f aca="false">K39+(K$43-K$38)/5</f>
        <v>1673.37639072506</v>
      </c>
      <c r="L40" s="2277" t="n">
        <f aca="false">L39+(L$43-L$38)/5</f>
        <v>300.33496515062</v>
      </c>
      <c r="M40" s="2279" t="n">
        <f aca="false">B40+I40</f>
        <v>723.798845749612</v>
      </c>
      <c r="N40" s="2297" t="n">
        <f aca="false">O40+U40</f>
        <v>378.787400765509</v>
      </c>
      <c r="O40" s="2275" t="n">
        <f aca="false">P40+Q40+R40+S40+T40</f>
        <v>329.380348491747</v>
      </c>
      <c r="P40" s="2277" t="n">
        <f aca="false">P41</f>
        <v>0</v>
      </c>
      <c r="Q40" s="2277" t="n">
        <f aca="false">Q41*DataDE2b!BB46/DataDE2b!BB47</f>
        <v>13.7815747249836</v>
      </c>
      <c r="R40" s="2275" t="n">
        <f aca="false">R41*DataDE2b!AJ46/DataDE2b!AJ47</f>
        <v>8.22626880335936</v>
      </c>
      <c r="S40" s="2275" t="n">
        <f aca="false">S41*DataDE2b!AT46/DataDE2b!AT47</f>
        <v>306.543860253783</v>
      </c>
      <c r="T40" s="2277" t="n">
        <f aca="false">T41*DataDE2b!BS46/DataDE2b!BS47</f>
        <v>0.828644709620955</v>
      </c>
      <c r="U40" s="2277" t="n">
        <f aca="false">0.15*O40</f>
        <v>49.407052273762</v>
      </c>
      <c r="V40" s="2277" t="n">
        <f aca="false">W40-X40</f>
        <v>61.7502504742719</v>
      </c>
      <c r="W40" s="2277" t="n">
        <f aca="false">W41*DataDE2b!DD45/DataDE2b!DD46</f>
        <v>216.862519255319</v>
      </c>
      <c r="X40" s="2296" t="n">
        <f aca="false">X41*DataDE2b!DE45/DataDE2b!DE46</f>
        <v>155.112268781048</v>
      </c>
      <c r="Y40" s="2279" t="n">
        <f aca="false">N40+V40</f>
        <v>440.537651239781</v>
      </c>
      <c r="Z40" s="2280" t="n">
        <f aca="false">DataDE2b!EW45</f>
        <v>195.924</v>
      </c>
      <c r="AA40" s="2280" t="n">
        <f aca="false">DataDE2b!EX45</f>
        <v>148.483</v>
      </c>
      <c r="AB40" s="2281" t="n">
        <f aca="false">DataDE2b!EY45</f>
        <v>47.441</v>
      </c>
      <c r="AC40" s="2300" t="n">
        <f aca="false">AC39+(AC$42-AC$39)/3</f>
        <v>1064.68012727759</v>
      </c>
      <c r="AD40" s="2300" t="n">
        <f aca="false">AD39+(AD$42-AD$39)/3</f>
        <v>812.528014534324</v>
      </c>
      <c r="AE40" s="2277" t="n">
        <f aca="false">AC40-AD40</f>
        <v>252.152112743269</v>
      </c>
      <c r="AF40" s="2277"/>
      <c r="AG40" s="2277"/>
      <c r="AH40" s="2275"/>
      <c r="AI40" s="2275"/>
      <c r="AJ40" s="2277"/>
      <c r="AK40" s="2277"/>
      <c r="AL40" s="2277" t="n">
        <f aca="false">AM40-AR40</f>
        <v>331.971911367585</v>
      </c>
      <c r="AM40" s="2277" t="n">
        <f aca="false">AM41*DataDE2b!P45/DataDE2b!P46</f>
        <v>652.635692417819</v>
      </c>
      <c r="AN40" s="2277" t="n">
        <f aca="false">AN41*DataDE2b!Q45/DataDE2b!Q46</f>
        <v>43.9696784073507</v>
      </c>
      <c r="AO40" s="2277"/>
      <c r="AP40" s="2277" t="n">
        <f aca="false">AP41*DataDE2b!R45/DataDE2b!R46</f>
        <v>97.3773740710156</v>
      </c>
      <c r="AQ40" s="2277" t="n">
        <f aca="false">AM40-AN40-AP40-AO40</f>
        <v>511.288639939452</v>
      </c>
      <c r="AR40" s="2296" t="n">
        <f aca="false">AR41*DataDE2b!V45/DataDE2b!V46</f>
        <v>320.663781050234</v>
      </c>
      <c r="AS40" s="2275" t="n">
        <f aca="false">AC40+AL40</f>
        <v>1396.65203864518</v>
      </c>
      <c r="AW40" s="759" t="n">
        <f aca="false">AD40/DataDE1!B39</f>
        <v>1.36165708294397</v>
      </c>
      <c r="AY40" s="2288"/>
    </row>
    <row r="41" customFormat="false" ht="12" hidden="false" customHeight="false" outlineLevel="0" collapsed="false">
      <c r="A41" s="2252" t="n">
        <v>1979</v>
      </c>
      <c r="B41" s="2275" t="n">
        <f aca="false">C41+D41+E41+F41+H41+G41</f>
        <v>1160.69766624707</v>
      </c>
      <c r="C41" s="2277" t="n">
        <f aca="false">C42*DataDE2b!BK47/DataDE2b!BK48</f>
        <v>32.6800982800983</v>
      </c>
      <c r="D41" s="2277" t="n">
        <f aca="false">D42*DataDE2b!BB47/DataDE2b!BB48</f>
        <v>287.649864708146</v>
      </c>
      <c r="E41" s="2275" t="n">
        <f aca="false">E42*DataDE2b!AJ47/DataDE2b!AJ48</f>
        <v>157.471846391168</v>
      </c>
      <c r="F41" s="2275" t="n">
        <f aca="false">F42*DataDE2b!AT47/DataDE2b!AT48</f>
        <v>339.745808962483</v>
      </c>
      <c r="G41" s="2277" t="n">
        <f aca="false">G42*E41/E42</f>
        <v>333.744383716719</v>
      </c>
      <c r="H41" s="2277" t="n">
        <f aca="false">H42*DataDE2b!BS47/DataDE2b!BS48</f>
        <v>9.4056641884528</v>
      </c>
      <c r="I41" s="2277" t="n">
        <f aca="false">J41-K41</f>
        <v>-367.325170463011</v>
      </c>
      <c r="J41" s="2277" t="n">
        <f aca="false">J40+(J$43-J$38)/5</f>
        <v>1449.45837602942</v>
      </c>
      <c r="K41" s="2277" t="n">
        <f aca="false">K40+(K$43-K$38)/5</f>
        <v>1816.78354649243</v>
      </c>
      <c r="L41" s="2277" t="n">
        <f aca="false">L40+(L$43-L$38)/5</f>
        <v>310.496151210868</v>
      </c>
      <c r="M41" s="2279" t="n">
        <f aca="false">B41+I41</f>
        <v>793.372495784057</v>
      </c>
      <c r="N41" s="2297" t="n">
        <f aca="false">O41+U41</f>
        <v>415.591901491006</v>
      </c>
      <c r="O41" s="2275" t="n">
        <f aca="false">P41+Q41+R41+S41+T41</f>
        <v>361.384262166092</v>
      </c>
      <c r="P41" s="2277" t="n">
        <f aca="false">P42</f>
        <v>0</v>
      </c>
      <c r="Q41" s="2277" t="n">
        <f aca="false">Q42*DataDE2b!BB47/DataDE2b!BB48</f>
        <v>14.6610522842022</v>
      </c>
      <c r="R41" s="2275" t="n">
        <f aca="false">R42*DataDE2b!AJ47/DataDE2b!AJ48</f>
        <v>8.97041019261908</v>
      </c>
      <c r="S41" s="2275" t="n">
        <f aca="false">S42*DataDE2b!AT47/DataDE2b!AT48</f>
        <v>336.850646174764</v>
      </c>
      <c r="T41" s="2277" t="n">
        <f aca="false">T42*DataDE2b!BS47/DataDE2b!BS48</f>
        <v>0.902153514506685</v>
      </c>
      <c r="U41" s="2277" t="n">
        <f aca="false">0.15*O41</f>
        <v>54.2076393249138</v>
      </c>
      <c r="V41" s="2277" t="n">
        <f aca="false">W41-X41</f>
        <v>51.0833956815333</v>
      </c>
      <c r="W41" s="2277" t="n">
        <f aca="false">W42*DataDE2b!DD46/DataDE2b!DD47</f>
        <v>226.705589301403</v>
      </c>
      <c r="X41" s="2296" t="n">
        <f aca="false">X42*DataDE2b!DE46/DataDE2b!DE47</f>
        <v>175.62219361987</v>
      </c>
      <c r="Y41" s="2279" t="n">
        <f aca="false">N41+V41</f>
        <v>466.675297172539</v>
      </c>
      <c r="Z41" s="2280" t="n">
        <f aca="false">DataDE2b!EW46</f>
        <v>219.19</v>
      </c>
      <c r="AA41" s="2280" t="n">
        <f aca="false">DataDE2b!EX46</f>
        <v>171.071</v>
      </c>
      <c r="AB41" s="2281" t="n">
        <f aca="false">DataDE2b!EY46</f>
        <v>48.12</v>
      </c>
      <c r="AC41" s="2300" t="n">
        <f aca="false">AC40+(AC$42-AC$39)/3</f>
        <v>1186.84480075808</v>
      </c>
      <c r="AD41" s="2300" t="n">
        <f aca="false">AD40+(AD$42-AD$39)/3</f>
        <v>904.185605770099</v>
      </c>
      <c r="AE41" s="2277" t="n">
        <f aca="false">AC41-AD41</f>
        <v>282.659194987976</v>
      </c>
      <c r="AF41" s="2277"/>
      <c r="AG41" s="2277"/>
      <c r="AH41" s="2275"/>
      <c r="AI41" s="2275"/>
      <c r="AJ41" s="2277"/>
      <c r="AK41" s="2277"/>
      <c r="AL41" s="2277" t="n">
        <f aca="false">AM41-AR41</f>
        <v>349.403008023528</v>
      </c>
      <c r="AM41" s="2277" t="n">
        <f aca="false">AM42*DataDE2b!P46/DataDE2b!P47</f>
        <v>709.283794796794</v>
      </c>
      <c r="AN41" s="2277" t="n">
        <f aca="false">AN42*DataDE2b!Q46/DataDE2b!Q47</f>
        <v>48.353751914242</v>
      </c>
      <c r="AO41" s="2277"/>
      <c r="AP41" s="2277" t="n">
        <f aca="false">AP42*DataDE2b!R46/DataDE2b!R47</f>
        <v>108.93701073493</v>
      </c>
      <c r="AQ41" s="2277" t="n">
        <f aca="false">AM41-AN41-AP41-AO41</f>
        <v>551.993032147622</v>
      </c>
      <c r="AR41" s="2296" t="n">
        <f aca="false">AR42*DataDE2b!V46/DataDE2b!V47</f>
        <v>359.880786773266</v>
      </c>
      <c r="AS41" s="2275" t="n">
        <f aca="false">AC41+AL41</f>
        <v>1536.2478087816</v>
      </c>
      <c r="AW41" s="759" t="n">
        <f aca="false">AD41/DataDE1!B40</f>
        <v>1.40179468197901</v>
      </c>
      <c r="AY41" s="2288"/>
    </row>
    <row r="42" customFormat="false" ht="12" hidden="false" customHeight="false" outlineLevel="0" collapsed="false">
      <c r="A42" s="2252" t="n">
        <v>1980</v>
      </c>
      <c r="B42" s="2275" t="n">
        <f aca="false">C42+D42+E42+F42+H42+G42</f>
        <v>1302.86791560376</v>
      </c>
      <c r="C42" s="2277" t="n">
        <f aca="false">C43*DataDE2b!BK48/DataDE2b!BK49</f>
        <v>33.7614250614251</v>
      </c>
      <c r="D42" s="2277" t="n">
        <f aca="false">D43*DataDE2b!BB48/DataDE2b!BB49</f>
        <v>309.179476771825</v>
      </c>
      <c r="E42" s="2275" t="n">
        <f aca="false">E43*DataDE2b!AJ48/DataDE2b!AJ49</f>
        <v>180.020917119809</v>
      </c>
      <c r="F42" s="2275" t="n">
        <f aca="false">F43*DataDE2b!AT48/DataDE2b!AT49</f>
        <v>387.665219237691</v>
      </c>
      <c r="G42" s="2277" t="n">
        <f aca="false">G43*E42/E43</f>
        <v>381.534676941711</v>
      </c>
      <c r="H42" s="2277" t="n">
        <f aca="false">H43*DataDE2b!BS48/DataDE2b!BS49</f>
        <v>10.7062004713006</v>
      </c>
      <c r="I42" s="2277" t="n">
        <f aca="false">J42-K42</f>
        <v>-386.008096296895</v>
      </c>
      <c r="J42" s="2277" t="n">
        <f aca="false">J41+(J$43-J$38)/5</f>
        <v>1574.18260596291</v>
      </c>
      <c r="K42" s="2277" t="n">
        <f aca="false">K41+(K$43-K$38)/5</f>
        <v>1960.1907022598</v>
      </c>
      <c r="L42" s="2277" t="n">
        <f aca="false">L41+(L$43-L$38)/5</f>
        <v>320.657337271116</v>
      </c>
      <c r="M42" s="2279" t="n">
        <f aca="false">B42+I42</f>
        <v>916.859819306866</v>
      </c>
      <c r="N42" s="2297" t="n">
        <f aca="false">O42+U42</f>
        <v>473.112194361684</v>
      </c>
      <c r="O42" s="2275" t="n">
        <f aca="false">P42+Q42+R42+S42+T42</f>
        <v>411.401908140595</v>
      </c>
      <c r="P42" s="2277" t="n">
        <f aca="false">P43</f>
        <v>0</v>
      </c>
      <c r="Q42" s="2277" t="n">
        <f aca="false">Q43*DataDE2b!BB48/DataDE2b!BB49</f>
        <v>15.7583820828601</v>
      </c>
      <c r="R42" s="2275" t="n">
        <f aca="false">R43*DataDE2b!AJ48/DataDE2b!AJ49</f>
        <v>10.2549217960191</v>
      </c>
      <c r="S42" s="2275" t="n">
        <f aca="false">S43*DataDE2b!AT48/DataDE2b!AT49</f>
        <v>384.361708532857</v>
      </c>
      <c r="T42" s="2277" t="n">
        <f aca="false">T43*DataDE2b!BS48/DataDE2b!BS49</f>
        <v>1.02689572885823</v>
      </c>
      <c r="U42" s="2277" t="n">
        <f aca="false">0.15*O42</f>
        <v>61.7102862210892</v>
      </c>
      <c r="V42" s="2277" t="n">
        <f aca="false">W42-X42</f>
        <v>35.5321243289174</v>
      </c>
      <c r="W42" s="2277" t="n">
        <f aca="false">W43*DataDE2b!DD47/DataDE2b!DD48</f>
        <v>231.902730285736</v>
      </c>
      <c r="X42" s="2296" t="n">
        <f aca="false">X43*DataDE2b!DE47/DataDE2b!DE48</f>
        <v>196.370605956818</v>
      </c>
      <c r="Y42" s="2279" t="n">
        <f aca="false">N42+V42</f>
        <v>508.644318690602</v>
      </c>
      <c r="Z42" s="2280" t="n">
        <f aca="false">DataDE2b!EW47</f>
        <v>231.563</v>
      </c>
      <c r="AA42" s="2280" t="n">
        <f aca="false">DataDE2b!EX47</f>
        <v>192.44</v>
      </c>
      <c r="AB42" s="2281" t="n">
        <f aca="false">DataDE2b!EY47</f>
        <v>39.123</v>
      </c>
      <c r="AC42" s="2303" t="n">
        <v>1309.00947423856</v>
      </c>
      <c r="AD42" s="2302" t="n">
        <v>995.843197005875</v>
      </c>
      <c r="AE42" s="2277" t="n">
        <f aca="false">AC42-AD42</f>
        <v>313.166277232684</v>
      </c>
      <c r="AF42" s="2277"/>
      <c r="AG42" s="2277"/>
      <c r="AH42" s="2275"/>
      <c r="AI42" s="2275"/>
      <c r="AJ42" s="2277"/>
      <c r="AK42" s="2277"/>
      <c r="AL42" s="2277" t="n">
        <f aca="false">AM42-AR42</f>
        <v>361.827402834202</v>
      </c>
      <c r="AM42" s="2277" t="n">
        <f aca="false">AM43*DataDE2b!P47/DataDE2b!P48</f>
        <v>769.479442354572</v>
      </c>
      <c r="AN42" s="2277" t="n">
        <f aca="false">AN43*DataDE2b!Q47/DataDE2b!Q48</f>
        <v>45.1301684532925</v>
      </c>
      <c r="AO42" s="2277"/>
      <c r="AP42" s="2277" t="n">
        <f aca="false">AP43*DataDE2b!R47/DataDE2b!R48</f>
        <v>121.627481420314</v>
      </c>
      <c r="AQ42" s="2277" t="n">
        <f aca="false">AM42-AN42-AP42-AO42</f>
        <v>602.721792480966</v>
      </c>
      <c r="AR42" s="2296" t="n">
        <f aca="false">AR43*DataDE2b!V47/DataDE2b!V48</f>
        <v>407.65203952037</v>
      </c>
      <c r="AS42" s="2275" t="n">
        <f aca="false">AC42+AL42</f>
        <v>1670.83687707276</v>
      </c>
      <c r="AW42" s="759" t="n">
        <f aca="false">AD42/DataDE1!B41</f>
        <v>1.45198395714205</v>
      </c>
      <c r="AY42" s="2288"/>
    </row>
    <row r="43" customFormat="false" ht="12" hidden="false" customHeight="false" outlineLevel="0" collapsed="false">
      <c r="A43" s="2252" t="n">
        <v>1981</v>
      </c>
      <c r="B43" s="2275" t="n">
        <f aca="false">C43+D43+E43+F43+H43+G43</f>
        <v>1432.85991677755</v>
      </c>
      <c r="C43" s="2277" t="n">
        <f aca="false">C44*DataDE2b!BK49/DataDE2b!BK50</f>
        <v>34.0818181818182</v>
      </c>
      <c r="D43" s="2277" t="n">
        <f aca="false">D44*DataDE2b!BB49/DataDE2b!BB50</f>
        <v>335.616573938255</v>
      </c>
      <c r="E43" s="2275" t="n">
        <f aca="false">E44*DataDE2b!AJ49/DataDE2b!AJ50</f>
        <v>199.593224628646</v>
      </c>
      <c r="F43" s="2275" t="n">
        <f aca="false">F44*DataDE2b!AT49/DataDE2b!AT50</f>
        <v>428.940323370094</v>
      </c>
      <c r="G43" s="2277" t="n">
        <f aca="false">G44*E43/E44</f>
        <v>423.016045561882</v>
      </c>
      <c r="H43" s="2277" t="n">
        <f aca="false">H44*DataDE2b!BS49/DataDE2b!BS50</f>
        <v>11.6119310968553</v>
      </c>
      <c r="I43" s="2277" t="n">
        <f aca="false">J43-K43</f>
        <v>-404.691022130779</v>
      </c>
      <c r="J43" s="2277" t="n">
        <f aca="false">J48*DataDE2b!DR48/DataDE2b!DR53</f>
        <v>1698.9068358964</v>
      </c>
      <c r="K43" s="2296" t="n">
        <f aca="false">K48*DataDE2b!EC48/DataDE2b!EC53</f>
        <v>2103.59785802717</v>
      </c>
      <c r="L43" s="2276" t="n">
        <f aca="false">L48*DataDE2b!DY48/DataDE2b!DY53</f>
        <v>330.818523331365</v>
      </c>
      <c r="M43" s="2279" t="n">
        <f aca="false">B43+I43</f>
        <v>1028.16889464677</v>
      </c>
      <c r="N43" s="2297" t="n">
        <f aca="false">O43+U43</f>
        <v>523.105737620104</v>
      </c>
      <c r="O43" s="2275" t="n">
        <f aca="false">P43+Q43+R43+S43+T43</f>
        <v>454.874554452264</v>
      </c>
      <c r="P43" s="2277" t="n">
        <f aca="false">P44</f>
        <v>0</v>
      </c>
      <c r="Q43" s="2277" t="n">
        <f aca="false">Q44*DataDE2b!BB49/DataDE2b!BB50</f>
        <v>17.1058385268005</v>
      </c>
      <c r="R43" s="2275" t="n">
        <f aca="false">R44*DataDE2b!AJ49/DataDE2b!AJ50</f>
        <v>11.3698615823618</v>
      </c>
      <c r="S43" s="2275" t="n">
        <f aca="false">S44*DataDE2b!AT49/DataDE2b!AT50</f>
        <v>425.285084572106</v>
      </c>
      <c r="T43" s="2277" t="n">
        <f aca="false">T44*DataDE2b!BS49/DataDE2b!BS50</f>
        <v>1.11376977099591</v>
      </c>
      <c r="U43" s="2277" t="n">
        <f aca="false">0.15*O43</f>
        <v>68.2311831678397</v>
      </c>
      <c r="V43" s="2277" t="n">
        <f aca="false">W43-X43</f>
        <v>19.585243699647</v>
      </c>
      <c r="W43" s="2277" t="n">
        <f aca="false">W44*DataDE2b!DD48/DataDE2b!DD49</f>
        <v>241.903289452557</v>
      </c>
      <c r="X43" s="2296" t="n">
        <f aca="false">X44*DataDE2b!DE48/DataDE2b!DE49</f>
        <v>222.31804575291</v>
      </c>
      <c r="Y43" s="2279" t="n">
        <f aca="false">N43+V43</f>
        <v>542.690981319751</v>
      </c>
      <c r="Z43" s="2280" t="n">
        <f aca="false">DataDE2b!EW48</f>
        <v>256.363</v>
      </c>
      <c r="AA43" s="2280" t="n">
        <f aca="false">DataDE2b!EX48</f>
        <v>227.026</v>
      </c>
      <c r="AB43" s="2281" t="n">
        <f aca="false">DataDE2b!EY48</f>
        <v>29.336</v>
      </c>
      <c r="AC43" s="2300" t="n">
        <f aca="false">AC42+(AC$52-AC$42)/10</f>
        <v>1415.28126095512</v>
      </c>
      <c r="AD43" s="2300" t="n">
        <f aca="false">AD42+(AD$52-AD$42)/10</f>
        <v>1090.98818407003</v>
      </c>
      <c r="AE43" s="2277" t="n">
        <f aca="false">AC43-AD43</f>
        <v>324.293076885092</v>
      </c>
      <c r="AF43" s="2277"/>
      <c r="AG43" s="2277"/>
      <c r="AH43" s="2275"/>
      <c r="AI43" s="2275"/>
      <c r="AJ43" s="2277"/>
      <c r="AK43" s="2277"/>
      <c r="AL43" s="2277" t="n">
        <f aca="false">AM43-AR43</f>
        <v>383.794567257601</v>
      </c>
      <c r="AM43" s="2277" t="n">
        <f aca="false">AM44*DataDE2b!P48/DataDE2b!P49</f>
        <v>835.362424246621</v>
      </c>
      <c r="AN43" s="2277" t="n">
        <f aca="false">AN44*DataDE2b!Q48/DataDE2b!Q49</f>
        <v>45.6459418070444</v>
      </c>
      <c r="AO43" s="2277"/>
      <c r="AP43" s="2277" t="n">
        <f aca="false">AP44*DataDE2b!R48/DataDE2b!R49</f>
        <v>135.448786127168</v>
      </c>
      <c r="AQ43" s="2277" t="n">
        <f aca="false">AM43-AN43-AP43-AO43</f>
        <v>654.267696312409</v>
      </c>
      <c r="AR43" s="2296" t="n">
        <f aca="false">AR44*DataDE2b!V48/DataDE2b!V49</f>
        <v>451.56785698902</v>
      </c>
      <c r="AS43" s="2275" t="n">
        <f aca="false">AC43+AL43</f>
        <v>1799.07582821272</v>
      </c>
      <c r="AW43" s="759" t="n">
        <f aca="false">AD43/DataDE1!B42</f>
        <v>1.53082475173995</v>
      </c>
      <c r="AY43" s="2288"/>
    </row>
    <row r="44" customFormat="false" ht="12" hidden="false" customHeight="false" outlineLevel="0" collapsed="false">
      <c r="A44" s="2252" t="n">
        <v>1982</v>
      </c>
      <c r="B44" s="2275" t="n">
        <f aca="false">C44+D44+E44+F44+H44+G44</f>
        <v>1538.43370515438</v>
      </c>
      <c r="C44" s="2277" t="n">
        <f aca="false">C45*DataDE2b!BK50/DataDE2b!BK51</f>
        <v>37.8464373464373</v>
      </c>
      <c r="D44" s="2277" t="n">
        <f aca="false">D45*DataDE2b!BB50/DataDE2b!BB51</f>
        <v>362.781878571544</v>
      </c>
      <c r="E44" s="2275" t="n">
        <f aca="false">E45*DataDE2b!AJ50/DataDE2b!AJ51</f>
        <v>215.050594745403</v>
      </c>
      <c r="F44" s="2275" t="n">
        <f aca="false">F45*DataDE2b!AT50/DataDE2b!AT51</f>
        <v>453.593854881101</v>
      </c>
      <c r="G44" s="2277" t="n">
        <f aca="false">G45*E44/E45</f>
        <v>455.776253698919</v>
      </c>
      <c r="H44" s="2277" t="n">
        <f aca="false">H45*DataDE2b!BS50/DataDE2b!BS51</f>
        <v>13.3846859109752</v>
      </c>
      <c r="I44" s="2277" t="n">
        <f aca="false">J44-K44</f>
        <v>-431.148549423266</v>
      </c>
      <c r="J44" s="2277" t="n">
        <f aca="false">J43+(J$48-J$43)/5</f>
        <v>1867.46663766828</v>
      </c>
      <c r="K44" s="2277" t="n">
        <f aca="false">K43+(K$48-K$43)/5</f>
        <v>2298.61518709154</v>
      </c>
      <c r="L44" s="2277" t="n">
        <f aca="false">L43+(L$48-L$43)/5</f>
        <v>403.802750147667</v>
      </c>
      <c r="M44" s="2279" t="n">
        <f aca="false">B44+I44</f>
        <v>1107.28515573111</v>
      </c>
      <c r="N44" s="2297" t="n">
        <f aca="false">O44+U44</f>
        <v>554.016109551055</v>
      </c>
      <c r="O44" s="2275" t="n">
        <f aca="false">P44+Q44+R44+S44+T44</f>
        <v>481.753138740048</v>
      </c>
      <c r="P44" s="2277" t="n">
        <f aca="false">P45</f>
        <v>0</v>
      </c>
      <c r="Q44" s="2277" t="n">
        <f aca="false">Q45*DataDE2b!BB50/DataDE2b!BB51</f>
        <v>18.4904105374601</v>
      </c>
      <c r="R44" s="2275" t="n">
        <f aca="false">R45*DataDE2b!AJ50/DataDE2b!AJ51</f>
        <v>12.2503932686545</v>
      </c>
      <c r="S44" s="2275" t="n">
        <f aca="false">S45*DataDE2b!AT50/DataDE2b!AT51</f>
        <v>449.728529644565</v>
      </c>
      <c r="T44" s="2277" t="n">
        <f aca="false">T45*DataDE2b!BS50/DataDE2b!BS51</f>
        <v>1.28380528936795</v>
      </c>
      <c r="U44" s="2277" t="n">
        <f aca="false">0.15*O44</f>
        <v>72.2629708110071</v>
      </c>
      <c r="V44" s="2277" t="n">
        <f aca="false">W44-X44</f>
        <v>-2.56194453868659</v>
      </c>
      <c r="W44" s="2277" t="n">
        <f aca="false">W45*DataDE2b!DD49/DataDE2b!DD50</f>
        <v>256.864755922604</v>
      </c>
      <c r="X44" s="2296" t="n">
        <f aca="false">X45*DataDE2b!DE49/DataDE2b!DE50</f>
        <v>259.426700461291</v>
      </c>
      <c r="Y44" s="2279" t="n">
        <f aca="false">N44+V44</f>
        <v>551.454165012368</v>
      </c>
      <c r="Z44" s="2280" t="n">
        <f aca="false">DataDE2b!EW49</f>
        <v>287.566</v>
      </c>
      <c r="AA44" s="2280" t="n">
        <f aca="false">DataDE2b!EX49</f>
        <v>258.021</v>
      </c>
      <c r="AB44" s="2281" t="n">
        <f aca="false">DataDE2b!EY49</f>
        <v>29.546</v>
      </c>
      <c r="AC44" s="2300" t="n">
        <f aca="false">AC43+(AC$52-AC$42)/10</f>
        <v>1521.55304767169</v>
      </c>
      <c r="AD44" s="2300" t="n">
        <f aca="false">AD43+(AD$52-AD$42)/10</f>
        <v>1186.13317113419</v>
      </c>
      <c r="AE44" s="2277" t="n">
        <f aca="false">AC44-AD44</f>
        <v>335.4198765375</v>
      </c>
      <c r="AF44" s="2277"/>
      <c r="AG44" s="2277"/>
      <c r="AH44" s="2275"/>
      <c r="AI44" s="2275"/>
      <c r="AJ44" s="2277"/>
      <c r="AK44" s="2277"/>
      <c r="AL44" s="2277" t="n">
        <f aca="false">AM44-AR44</f>
        <v>414.002880523289</v>
      </c>
      <c r="AM44" s="2277" t="n">
        <f aca="false">AM45*DataDE2b!P49/DataDE2b!P50</f>
        <v>904.004607944406</v>
      </c>
      <c r="AN44" s="2277" t="n">
        <f aca="false">AN45*DataDE2b!Q49/DataDE2b!Q50</f>
        <v>42.8736600306279</v>
      </c>
      <c r="AO44" s="2277"/>
      <c r="AP44" s="2277" t="n">
        <f aca="false">AP45*DataDE2b!R49/DataDE2b!R50</f>
        <v>151.406110652353</v>
      </c>
      <c r="AQ44" s="2277" t="n">
        <f aca="false">AM44-AN44-AP44-AO44</f>
        <v>709.724837261424</v>
      </c>
      <c r="AR44" s="2296" t="n">
        <f aca="false">AR45*DataDE2b!V49/DataDE2b!V50</f>
        <v>490.001727421116</v>
      </c>
      <c r="AS44" s="2275" t="n">
        <f aca="false">AC44+AL44</f>
        <v>1935.55592819498</v>
      </c>
      <c r="AW44" s="759" t="n">
        <f aca="false">AD44/DataDE1!B43</f>
        <v>1.60568175756953</v>
      </c>
      <c r="AY44" s="2288"/>
    </row>
    <row r="45" customFormat="false" ht="12" hidden="false" customHeight="false" outlineLevel="0" collapsed="false">
      <c r="A45" s="2252" t="n">
        <v>1983</v>
      </c>
      <c r="B45" s="2275" t="n">
        <f aca="false">C45+D45+E45+F45+H45+G45</f>
        <v>1593.57165385475</v>
      </c>
      <c r="C45" s="2277" t="n">
        <f aca="false">C46*DataDE2b!BK51/DataDE2b!BK52</f>
        <v>38.5673218673219</v>
      </c>
      <c r="D45" s="2277" t="n">
        <f aca="false">D46*DataDE2b!BB51/DataDE2b!BB52</f>
        <v>380.345926060258</v>
      </c>
      <c r="E45" s="2275" t="n">
        <f aca="false">E46*DataDE2b!AJ51/DataDE2b!AJ52</f>
        <v>224.282848981131</v>
      </c>
      <c r="F45" s="2275" t="n">
        <f aca="false">F46*DataDE2b!AT51/DataDE2b!AT52</f>
        <v>460.726649374027</v>
      </c>
      <c r="G45" s="2277" t="n">
        <f aca="false">G46*E45/E46</f>
        <v>475.343008460689</v>
      </c>
      <c r="H45" s="2277" t="n">
        <f aca="false">H46*DataDE2b!BS51/DataDE2b!BS52</f>
        <v>14.3058991113257</v>
      </c>
      <c r="I45" s="2277" t="n">
        <f aca="false">J45-K45</f>
        <v>-457.606076715753</v>
      </c>
      <c r="J45" s="2277" t="n">
        <f aca="false">J44+(J$48-J$43)/5</f>
        <v>2036.02643944016</v>
      </c>
      <c r="K45" s="2277" t="n">
        <f aca="false">K44+(K$48-K$43)/5</f>
        <v>2493.63251615592</v>
      </c>
      <c r="L45" s="2277" t="n">
        <f aca="false">L44+(L$48-L$43)/5</f>
        <v>476.786976963969</v>
      </c>
      <c r="M45" s="2279" t="n">
        <f aca="false">B45+I45</f>
        <v>1135.965577139</v>
      </c>
      <c r="N45" s="2297" t="n">
        <f aca="false">O45+U45</f>
        <v>563.884833749415</v>
      </c>
      <c r="O45" s="2275" t="n">
        <f aca="false">P45+Q45+R45+S45+T45</f>
        <v>490.33463804297</v>
      </c>
      <c r="P45" s="2277" t="n">
        <f aca="false">P46</f>
        <v>0</v>
      </c>
      <c r="Q45" s="2277" t="n">
        <f aca="false">Q46*DataDE2b!BB51/DataDE2b!BB52</f>
        <v>19.385621869527</v>
      </c>
      <c r="R45" s="2275" t="n">
        <f aca="false">R46*DataDE2b!AJ51/DataDE2b!AJ52</f>
        <v>12.7763101826614</v>
      </c>
      <c r="S45" s="2275" t="n">
        <f aca="false">S46*DataDE2b!AT51/DataDE2b!AT52</f>
        <v>456.800541632915</v>
      </c>
      <c r="T45" s="2277" t="n">
        <f aca="false">T46*DataDE2b!BS51/DataDE2b!BS52</f>
        <v>1.37216435786696</v>
      </c>
      <c r="U45" s="2277" t="n">
        <f aca="false">0.15*O45</f>
        <v>73.5501957064455</v>
      </c>
      <c r="V45" s="2277" t="n">
        <f aca="false">W45-X45</f>
        <v>-22.231990333274</v>
      </c>
      <c r="W45" s="2277" t="n">
        <f aca="false">W46*DataDE2b!DD50/DataDE2b!DD51</f>
        <v>270.487564866384</v>
      </c>
      <c r="X45" s="2296" t="n">
        <f aca="false">X46*DataDE2b!DE50/DataDE2b!DE51</f>
        <v>292.719555199658</v>
      </c>
      <c r="Y45" s="2279" t="n">
        <f aca="false">N45+V45</f>
        <v>541.652843416141</v>
      </c>
      <c r="Z45" s="2280" t="n">
        <f aca="false">DataDE2b!EW50</f>
        <v>308.19</v>
      </c>
      <c r="AA45" s="2280" t="n">
        <f aca="false">DataDE2b!EX50</f>
        <v>275.624</v>
      </c>
      <c r="AB45" s="2281" t="n">
        <f aca="false">DataDE2b!EY50</f>
        <v>32.567</v>
      </c>
      <c r="AC45" s="2300" t="n">
        <f aca="false">AC44+(AC$52-AC$42)/10</f>
        <v>1627.82483438825</v>
      </c>
      <c r="AD45" s="2300" t="n">
        <f aca="false">AD44+(AD$52-AD$42)/10</f>
        <v>1281.27815819834</v>
      </c>
      <c r="AE45" s="2277" t="n">
        <f aca="false">AC45-AD45</f>
        <v>346.546676189909</v>
      </c>
      <c r="AF45" s="2277"/>
      <c r="AG45" s="2277"/>
      <c r="AH45" s="2275"/>
      <c r="AI45" s="2275"/>
      <c r="AJ45" s="2277"/>
      <c r="AK45" s="2277"/>
      <c r="AL45" s="2277" t="n">
        <f aca="false">AM45-AR45</f>
        <v>466.19724950114</v>
      </c>
      <c r="AM45" s="2277" t="n">
        <f aca="false">AM46*DataDE2b!P50/DataDE2b!P51</f>
        <v>989.934035608736</v>
      </c>
      <c r="AN45" s="2277" t="n">
        <f aca="false">AN46*DataDE2b!Q50/DataDE2b!Q51</f>
        <v>45.5814701378254</v>
      </c>
      <c r="AO45" s="2277"/>
      <c r="AP45" s="2277" t="n">
        <f aca="false">AP46*DataDE2b!R50/DataDE2b!R51</f>
        <v>169.122510322048</v>
      </c>
      <c r="AQ45" s="2277" t="n">
        <f aca="false">AM45-AN45-AP45-AO45</f>
        <v>775.230055148863</v>
      </c>
      <c r="AR45" s="2296" t="n">
        <f aca="false">AR46*DataDE2b!V50/DataDE2b!V51</f>
        <v>523.736786107596</v>
      </c>
      <c r="AS45" s="2275" t="n">
        <f aca="false">AC45+AL45</f>
        <v>2094.02208388939</v>
      </c>
      <c r="AW45" s="759" t="n">
        <f aca="false">AD45/DataDE1!B44</f>
        <v>1.65657529019115</v>
      </c>
      <c r="AY45" s="2288"/>
    </row>
    <row r="46" customFormat="false" ht="12" hidden="false" customHeight="false" outlineLevel="0" collapsed="false">
      <c r="A46" s="2252" t="n">
        <v>1984</v>
      </c>
      <c r="B46" s="2275" t="n">
        <f aca="false">C46+D46+E46+F46+H46+G46</f>
        <v>1676.92214991609</v>
      </c>
      <c r="C46" s="2277" t="n">
        <f aca="false">C47*DataDE2b!BK52/DataDE2b!BK53</f>
        <v>37.6862407862408</v>
      </c>
      <c r="D46" s="2277" t="n">
        <f aca="false">D47*DataDE2b!BB52/DataDE2b!BB53</f>
        <v>397.909973548973</v>
      </c>
      <c r="E46" s="2275" t="n">
        <f aca="false">E47*DataDE2b!AJ52/DataDE2b!AJ53</f>
        <v>238.882568230237</v>
      </c>
      <c r="F46" s="2275" t="n">
        <f aca="false">F47*DataDE2b!AT52/DataDE2b!AT53</f>
        <v>480.032746468216</v>
      </c>
      <c r="G46" s="2277" t="n">
        <f aca="false">G47*E46/E47</f>
        <v>506.285519232591</v>
      </c>
      <c r="H46" s="2277" t="n">
        <f aca="false">H47*DataDE2b!BS52/DataDE2b!BS53</f>
        <v>16.1251016498331</v>
      </c>
      <c r="I46" s="2277" t="n">
        <f aca="false">J46-K46</f>
        <v>-484.06360400824</v>
      </c>
      <c r="J46" s="2277" t="n">
        <f aca="false">J45+(J$48-J$43)/5</f>
        <v>2204.58624121205</v>
      </c>
      <c r="K46" s="2277" t="n">
        <f aca="false">K45+(K$48-K$43)/5</f>
        <v>2688.64984522029</v>
      </c>
      <c r="L46" s="2277" t="n">
        <f aca="false">L45+(L$48-L$43)/5</f>
        <v>549.771203780272</v>
      </c>
      <c r="M46" s="2279" t="n">
        <f aca="false">B46+I46</f>
        <v>1192.85854590785</v>
      </c>
      <c r="N46" s="2297" t="n">
        <f aca="false">O46+U46</f>
        <v>588.084233730333</v>
      </c>
      <c r="O46" s="2275" t="n">
        <f aca="false">P46+Q46+R46+S46+T46</f>
        <v>511.377594548115</v>
      </c>
      <c r="P46" s="2277" t="n">
        <f aca="false">P47</f>
        <v>0</v>
      </c>
      <c r="Q46" s="2277" t="n">
        <f aca="false">Q47*DataDE2b!BB52/DataDE2b!BB53</f>
        <v>20.280833201594</v>
      </c>
      <c r="R46" s="2275" t="n">
        <f aca="false">R47*DataDE2b!AJ52/DataDE2b!AJ53</f>
        <v>13.6079856431513</v>
      </c>
      <c r="S46" s="2275" t="n">
        <f aca="false">S47*DataDE2b!AT52/DataDE2b!AT53</f>
        <v>475.942120748047</v>
      </c>
      <c r="T46" s="2277" t="n">
        <f aca="false">T47*DataDE2b!BS52/DataDE2b!BS53</f>
        <v>1.54665495532298</v>
      </c>
      <c r="U46" s="2277" t="n">
        <f aca="false">0.15*O46</f>
        <v>76.7066391822173</v>
      </c>
      <c r="V46" s="2277" t="n">
        <f aca="false">W46-X46</f>
        <v>-39.0729806505806</v>
      </c>
      <c r="W46" s="2277" t="n">
        <f aca="false">W47*DataDE2b!DD51/DataDE2b!DD52</f>
        <v>280.881846835049</v>
      </c>
      <c r="X46" s="2296" t="n">
        <f aca="false">X47*DataDE2b!DE51/DataDE2b!DE52</f>
        <v>319.95482748563</v>
      </c>
      <c r="Y46" s="2279" t="n">
        <f aca="false">N46+V46</f>
        <v>549.011253079752</v>
      </c>
      <c r="Z46" s="2280" t="n">
        <f aca="false">DataDE2b!EW51</f>
        <v>337.353</v>
      </c>
      <c r="AA46" s="2280" t="n">
        <f aca="false">DataDE2b!EX51</f>
        <v>296.771</v>
      </c>
      <c r="AB46" s="2281" t="n">
        <f aca="false">DataDE2b!EY51</f>
        <v>40.583</v>
      </c>
      <c r="AC46" s="2300" t="n">
        <f aca="false">AC45+(AC$52-AC$42)/10</f>
        <v>1734.09662110482</v>
      </c>
      <c r="AD46" s="2300" t="n">
        <f aca="false">AD45+(AD$52-AD$42)/10</f>
        <v>1376.4231452625</v>
      </c>
      <c r="AE46" s="2277" t="n">
        <f aca="false">AC46-AD46</f>
        <v>357.673475842317</v>
      </c>
      <c r="AF46" s="2277"/>
      <c r="AG46" s="2277"/>
      <c r="AH46" s="2275"/>
      <c r="AI46" s="2275"/>
      <c r="AJ46" s="2277"/>
      <c r="AK46" s="2277"/>
      <c r="AL46" s="2277" t="n">
        <f aca="false">AM46-AR46</f>
        <v>497.961118700109</v>
      </c>
      <c r="AM46" s="2277" t="n">
        <f aca="false">AM47*DataDE2b!P51/DataDE2b!P52</f>
        <v>1064.77034580919</v>
      </c>
      <c r="AN46" s="2277" t="n">
        <f aca="false">AN47*DataDE2b!Q51/DataDE2b!Q52</f>
        <v>60.4744257274119</v>
      </c>
      <c r="AO46" s="2277"/>
      <c r="AP46" s="2277" t="n">
        <f aca="false">AP47*DataDE2b!R51/DataDE2b!R52</f>
        <v>186.776085879438</v>
      </c>
      <c r="AQ46" s="2277" t="n">
        <f aca="false">AM46-AN46-AP46-AO46</f>
        <v>817.519834202342</v>
      </c>
      <c r="AR46" s="2296" t="n">
        <f aca="false">AR47*DataDE2b!V51/DataDE2b!V52</f>
        <v>566.809227109083</v>
      </c>
      <c r="AS46" s="2275" t="n">
        <f aca="false">AC46+AL46</f>
        <v>2232.05773980493</v>
      </c>
      <c r="AW46" s="759" t="n">
        <f aca="false">AD46/DataDE1!B45</f>
        <v>1.6911245042603</v>
      </c>
      <c r="AY46" s="2288"/>
    </row>
    <row r="47" customFormat="false" ht="12" hidden="false" customHeight="false" outlineLevel="0" collapsed="false">
      <c r="A47" s="2252" t="n">
        <v>1985</v>
      </c>
      <c r="B47" s="2275" t="n">
        <f aca="false">C47+D47+E47+F47+H47+G47</f>
        <v>1736.67933061902</v>
      </c>
      <c r="C47" s="2277" t="n">
        <f aca="false">C48*DataDE2b!BK53/DataDE2b!BK54</f>
        <v>36.6449631449631</v>
      </c>
      <c r="D47" s="2277" t="n">
        <f aca="false">D48*DataDE2b!BB53/DataDE2b!BB54</f>
        <v>413.020278486312</v>
      </c>
      <c r="E47" s="2275" t="n">
        <f aca="false">E48*DataDE2b!AJ53/DataDE2b!AJ54</f>
        <v>248.155918236707</v>
      </c>
      <c r="F47" s="2275" t="n">
        <f aca="false">F48*DataDE2b!AT53/DataDE2b!AT54</f>
        <v>495.655727860602</v>
      </c>
      <c r="G47" s="2277" t="n">
        <f aca="false">G48*E47/E48</f>
        <v>525.939371993107</v>
      </c>
      <c r="H47" s="2277" t="n">
        <f aca="false">H48*DataDE2b!BS53/DataDE2b!BS54</f>
        <v>17.2630708973249</v>
      </c>
      <c r="I47" s="2277" t="n">
        <f aca="false">J47-K47</f>
        <v>-510.521131300726</v>
      </c>
      <c r="J47" s="2277" t="n">
        <f aca="false">J46+(J$48-J$43)/5</f>
        <v>2373.14604298393</v>
      </c>
      <c r="K47" s="2277" t="n">
        <f aca="false">K46+(K$48-K$43)/5</f>
        <v>2883.66717428466</v>
      </c>
      <c r="L47" s="2277" t="n">
        <f aca="false">L46+(L$48-L$43)/5</f>
        <v>622.755430596574</v>
      </c>
      <c r="M47" s="2279" t="n">
        <f aca="false">B47+I47</f>
        <v>1226.15819931829</v>
      </c>
      <c r="N47" s="2297" t="n">
        <f aca="false">O47+U47</f>
        <v>607.516249108765</v>
      </c>
      <c r="O47" s="2275" t="n">
        <f aca="false">P47+Q47+R47+S47+T47</f>
        <v>528.274999225013</v>
      </c>
      <c r="P47" s="2277" t="n">
        <f aca="false">P48</f>
        <v>0</v>
      </c>
      <c r="Q47" s="2277" t="n">
        <f aca="false">Q48*DataDE2b!BB53/DataDE2b!BB54</f>
        <v>21.0509812110197</v>
      </c>
      <c r="R47" s="2275" t="n">
        <f aca="false">R48*DataDE2b!AJ53/DataDE2b!AJ54</f>
        <v>14.1362435846446</v>
      </c>
      <c r="S47" s="2275" t="n">
        <f aca="false">S48*DataDE2b!AT53/DataDE2b!AT54</f>
        <v>491.431970036468</v>
      </c>
      <c r="T47" s="2277" t="n">
        <f aca="false">T48*DataDE2b!BS53/DataDE2b!BS54</f>
        <v>1.65580439288058</v>
      </c>
      <c r="U47" s="2277" t="n">
        <f aca="false">0.15*O47</f>
        <v>79.241249883752</v>
      </c>
      <c r="V47" s="2277" t="n">
        <f aca="false">W47-X47</f>
        <v>-50.7361015816652</v>
      </c>
      <c r="W47" s="2277" t="n">
        <f aca="false">W48*DataDE2b!DD52/DataDE2b!DD53</f>
        <v>291.827340726294</v>
      </c>
      <c r="X47" s="2296" t="n">
        <f aca="false">X48*DataDE2b!DE52/DataDE2b!DE53</f>
        <v>342.563442307959</v>
      </c>
      <c r="Y47" s="2279" t="n">
        <f aca="false">N47+V47</f>
        <v>556.7801475271</v>
      </c>
      <c r="Z47" s="2280" t="n">
        <f aca="false">DataDE2b!EW52</f>
        <v>392.17</v>
      </c>
      <c r="AA47" s="2280" t="n">
        <f aca="false">DataDE2b!EX52</f>
        <v>326.027</v>
      </c>
      <c r="AB47" s="2281" t="n">
        <f aca="false">DataDE2b!EY52</f>
        <v>66.143</v>
      </c>
      <c r="AC47" s="2300" t="n">
        <f aca="false">AC46+(AC$52-AC$42)/10</f>
        <v>1840.36840782138</v>
      </c>
      <c r="AD47" s="2300" t="n">
        <f aca="false">AD46+(AD$52-AD$42)/10</f>
        <v>1471.56813232666</v>
      </c>
      <c r="AE47" s="2277" t="n">
        <f aca="false">AC47-AD47</f>
        <v>368.800275494725</v>
      </c>
      <c r="AF47" s="2277"/>
      <c r="AG47" s="2277"/>
      <c r="AH47" s="2275"/>
      <c r="AI47" s="2275"/>
      <c r="AJ47" s="2277"/>
      <c r="AK47" s="2277"/>
      <c r="AL47" s="2277" t="n">
        <f aca="false">AM47-AR47</f>
        <v>545.256297727203</v>
      </c>
      <c r="AM47" s="2277" t="n">
        <f aca="false">AM48*DataDE2b!P52/DataDE2b!P53</f>
        <v>1150.98132467819</v>
      </c>
      <c r="AN47" s="2277" t="n">
        <f aca="false">AN48*DataDE2b!Q52/DataDE2b!Q53</f>
        <v>66.9860643185299</v>
      </c>
      <c r="AO47" s="2277"/>
      <c r="AP47" s="2277" t="n">
        <f aca="false">AP48*DataDE2b!R52/DataDE2b!R53</f>
        <v>205.748967795211</v>
      </c>
      <c r="AQ47" s="2277" t="n">
        <f aca="false">AM47-AN47-AP47-AO47</f>
        <v>878.246292564449</v>
      </c>
      <c r="AR47" s="2296" t="n">
        <f aca="false">AR48*DataDE2b!V52/DataDE2b!V53</f>
        <v>605.725026950987</v>
      </c>
      <c r="AS47" s="2275" t="n">
        <f aca="false">AC47+AL47</f>
        <v>2385.62470554858</v>
      </c>
      <c r="AW47" s="759" t="n">
        <f aca="false">AD47/DataDE1!B46</f>
        <v>1.72940514546386</v>
      </c>
      <c r="AY47" s="2288"/>
    </row>
    <row r="48" customFormat="false" ht="12" hidden="false" customHeight="false" outlineLevel="0" collapsed="false">
      <c r="A48" s="2252" t="n">
        <v>1986</v>
      </c>
      <c r="B48" s="2275" t="n">
        <f aca="false">C48+D48+E48+F48+H48+G48</f>
        <v>1785.55356640941</v>
      </c>
      <c r="C48" s="2277" t="n">
        <f aca="false">C49*DataDE2b!BK54/DataDE2b!BK55</f>
        <v>33.3609336609337</v>
      </c>
      <c r="D48" s="2277" t="n">
        <f aca="false">D49*DataDE2b!BB54/DataDE2b!BB55</f>
        <v>427.869378571408</v>
      </c>
      <c r="E48" s="2275" t="n">
        <f aca="false">E49*DataDE2b!AJ54/DataDE2b!AJ55</f>
        <v>255.335170707996</v>
      </c>
      <c r="F48" s="2275" t="n">
        <f aca="false">F49*DataDE2b!AT54/DataDE2b!AT55</f>
        <v>509.277203889215</v>
      </c>
      <c r="G48" s="2277" t="n">
        <f aca="false">G49*E48/E49</f>
        <v>541.155013687086</v>
      </c>
      <c r="H48" s="2277" t="n">
        <f aca="false">H49*DataDE2b!BS54/DataDE2b!BS55</f>
        <v>18.5558658927748</v>
      </c>
      <c r="I48" s="2277" t="n">
        <f aca="false">J48-K48</f>
        <v>-536.978658593212</v>
      </c>
      <c r="J48" s="2277" t="n">
        <f aca="false">J52*DataDE2b!DR53/DataDE2b!DR57</f>
        <v>2541.70584475581</v>
      </c>
      <c r="K48" s="2296" t="n">
        <f aca="false">K52*DataDE2b!EC53/DataDE2b!EC57</f>
        <v>3078.68450334902</v>
      </c>
      <c r="L48" s="2276" t="n">
        <f aca="false">L52*DataDE2b!DY53/DataDE2b!DY57</f>
        <v>695.739657412877</v>
      </c>
      <c r="M48" s="2279" t="n">
        <f aca="false">B48+I48</f>
        <v>1248.5749078162</v>
      </c>
      <c r="N48" s="2297" t="n">
        <f aca="false">O48+U48</f>
        <v>624.530731070078</v>
      </c>
      <c r="O48" s="2275" t="n">
        <f aca="false">P48+Q48+R48+S48+T48</f>
        <v>543.070200930503</v>
      </c>
      <c r="P48" s="2277" t="n">
        <f aca="false">P49</f>
        <v>0</v>
      </c>
      <c r="Q48" s="2277" t="n">
        <f aca="false">Q49*DataDE2b!BB54/DataDE2b!BB55</f>
        <v>21.8078160280353</v>
      </c>
      <c r="R48" s="2275" t="n">
        <f aca="false">R49*DataDE2b!AJ54/DataDE2b!AJ55</f>
        <v>14.545210908136</v>
      </c>
      <c r="S48" s="2275" t="n">
        <f aca="false">S49*DataDE2b!AT54/DataDE2b!AT55</f>
        <v>504.93736990028</v>
      </c>
      <c r="T48" s="2277" t="n">
        <f aca="false">T49*DataDE2b!BS54/DataDE2b!BS55</f>
        <v>1.77980409405146</v>
      </c>
      <c r="U48" s="2277" t="n">
        <f aca="false">0.15*O48</f>
        <v>81.4605301395754</v>
      </c>
      <c r="V48" s="2277" t="n">
        <f aca="false">W48-X48</f>
        <v>-55.6424606626488</v>
      </c>
      <c r="W48" s="2277" t="n">
        <f aca="false">W49*DataDE2b!DD53/DataDE2b!DD54</f>
        <v>307.812486481134</v>
      </c>
      <c r="X48" s="2296" t="n">
        <f aca="false">X49*DataDE2b!DE53/DataDE2b!DE54</f>
        <v>363.454947143783</v>
      </c>
      <c r="Y48" s="2279" t="n">
        <f aca="false">N48+V48</f>
        <v>568.888270407429</v>
      </c>
      <c r="Z48" s="2280" t="n">
        <f aca="false">DataDE2b!EW53</f>
        <v>433.484</v>
      </c>
      <c r="AA48" s="2280" t="n">
        <f aca="false">DataDE2b!EX53</f>
        <v>370.465</v>
      </c>
      <c r="AB48" s="2281" t="n">
        <f aca="false">DataDE2b!EY53</f>
        <v>63.019</v>
      </c>
      <c r="AC48" s="2300" t="n">
        <f aca="false">AC47+(AC$52-AC$42)/10</f>
        <v>1946.64019453795</v>
      </c>
      <c r="AD48" s="2300" t="n">
        <f aca="false">AD47+(AD$52-AD$42)/10</f>
        <v>1566.71311939081</v>
      </c>
      <c r="AE48" s="2277" t="n">
        <f aca="false">AC48-AD48</f>
        <v>379.927075147133</v>
      </c>
      <c r="AF48" s="2277"/>
      <c r="AG48" s="2277"/>
      <c r="AH48" s="2275"/>
      <c r="AI48" s="2275"/>
      <c r="AJ48" s="2277"/>
      <c r="AK48" s="2277"/>
      <c r="AL48" s="2277" t="n">
        <f aca="false">AM48-AR48</f>
        <v>608.847643838512</v>
      </c>
      <c r="AM48" s="2277" t="n">
        <f aca="false">AM49*DataDE2b!P53/DataDE2b!P54</f>
        <v>1247.10290595146</v>
      </c>
      <c r="AN48" s="2277" t="n">
        <f aca="false">AN49*DataDE2b!Q53/DataDE2b!Q54</f>
        <v>100.446860643185</v>
      </c>
      <c r="AO48" s="2277"/>
      <c r="AP48" s="2277" t="n">
        <f aca="false">AP49*DataDE2b!R53/DataDE2b!R54</f>
        <v>227.10916597853</v>
      </c>
      <c r="AQ48" s="2277" t="n">
        <f aca="false">AM48-AN48-AP48-AO48</f>
        <v>919.546879329745</v>
      </c>
      <c r="AR48" s="2296" t="n">
        <f aca="false">AR49*DataDE2b!V53/DataDE2b!V54</f>
        <v>638.255262112949</v>
      </c>
      <c r="AS48" s="2275" t="n">
        <f aca="false">AC48+AL48</f>
        <v>2555.48783837646</v>
      </c>
      <c r="AW48" s="759" t="n">
        <f aca="false">AD48/DataDE1!B47</f>
        <v>1.74897366502284</v>
      </c>
      <c r="AY48" s="2288"/>
    </row>
    <row r="49" customFormat="false" ht="12" hidden="false" customHeight="false" outlineLevel="0" collapsed="false">
      <c r="A49" s="2252" t="n">
        <v>1987</v>
      </c>
      <c r="B49" s="2275" t="n">
        <f aca="false">C49+D49+E49+F49+H49+G49</f>
        <v>1841.88634990614</v>
      </c>
      <c r="C49" s="2277" t="n">
        <f aca="false">C50*DataDE2b!BK55/DataDE2b!BK56</f>
        <v>30.6375921375921</v>
      </c>
      <c r="D49" s="2277" t="n">
        <f aca="false">D50*DataDE2b!BB55/DataDE2b!BB56</f>
        <v>439.908547670252</v>
      </c>
      <c r="E49" s="2275" t="n">
        <f aca="false">E50*DataDE2b!AJ55/DataDE2b!AJ56</f>
        <v>264.465578903191</v>
      </c>
      <c r="F49" s="2275" t="n">
        <f aca="false">F50*DataDE2b!AT55/DataDE2b!AT56</f>
        <v>526.953565514414</v>
      </c>
      <c r="G49" s="2277" t="n">
        <f aca="false">G50*E49/E50</f>
        <v>560.505916886746</v>
      </c>
      <c r="H49" s="2277" t="n">
        <f aca="false">H50*DataDE2b!BS55/DataDE2b!BS56</f>
        <v>19.4151487939421</v>
      </c>
      <c r="I49" s="2277" t="n">
        <f aca="false">J49-K49</f>
        <v>-554.363778360962</v>
      </c>
      <c r="J49" s="2277" t="n">
        <f aca="false">J48+(J$52-J$48)/4</f>
        <v>2725.62090432043</v>
      </c>
      <c r="K49" s="2277" t="n">
        <f aca="false">K48+(K$52-K$48)/4</f>
        <v>3279.98468268139</v>
      </c>
      <c r="L49" s="2277" t="n">
        <f aca="false">L48+(L$52-L$48)/4</f>
        <v>758.696092734791</v>
      </c>
      <c r="M49" s="2279" t="n">
        <f aca="false">B49+I49</f>
        <v>1287.52257154517</v>
      </c>
      <c r="N49" s="2297" t="n">
        <f aca="false">O49+U49</f>
        <v>646.083896369228</v>
      </c>
      <c r="O49" s="2275" t="n">
        <f aca="false">P49+Q49+R49+S49+T49</f>
        <v>561.812083799329</v>
      </c>
      <c r="P49" s="2277" t="n">
        <f aca="false">P50</f>
        <v>0</v>
      </c>
      <c r="Q49" s="2277" t="n">
        <f aca="false">Q50*DataDE2b!BB55/DataDE2b!BB56</f>
        <v>22.4214331691231</v>
      </c>
      <c r="R49" s="2275" t="n">
        <f aca="false">R50*DataDE2b!AJ55/DataDE2b!AJ56</f>
        <v>15.0653261453289</v>
      </c>
      <c r="S49" s="2275" t="n">
        <f aca="false">S50*DataDE2b!AT55/DataDE2b!AT56</f>
        <v>522.463101427771</v>
      </c>
      <c r="T49" s="2277" t="n">
        <f aca="false">T50*DataDE2b!BS55/DataDE2b!BS56</f>
        <v>1.86222305710516</v>
      </c>
      <c r="U49" s="2277" t="n">
        <f aca="false">0.15*O49</f>
        <v>84.2718125698993</v>
      </c>
      <c r="V49" s="2277" t="n">
        <f aca="false">W49-X49</f>
        <v>-62.6825580443889</v>
      </c>
      <c r="W49" s="2277" t="n">
        <f aca="false">W50*DataDE2b!DD54/DataDE2b!DD55</f>
        <v>320.805338941965</v>
      </c>
      <c r="X49" s="2296" t="n">
        <f aca="false">X50*DataDE2b!DE54/DataDE2b!DE55</f>
        <v>383.487896986354</v>
      </c>
      <c r="Y49" s="2279" t="n">
        <f aca="false">N49+V49</f>
        <v>583.401338324839</v>
      </c>
      <c r="Z49" s="2280" t="n">
        <f aca="false">DataDE2b!EW54</f>
        <v>501.285</v>
      </c>
      <c r="AA49" s="2280" t="n">
        <f aca="false">DataDE2b!EX54</f>
        <v>409.5</v>
      </c>
      <c r="AB49" s="2281" t="n">
        <f aca="false">DataDE2b!EY54</f>
        <v>91.786</v>
      </c>
      <c r="AC49" s="2300" t="n">
        <f aca="false">AC48+(AC$52-AC$42)/10</f>
        <v>2052.91198125451</v>
      </c>
      <c r="AD49" s="2300" t="n">
        <f aca="false">AD48+(AD$52-AD$42)/10</f>
        <v>1661.85810645497</v>
      </c>
      <c r="AE49" s="2277" t="n">
        <f aca="false">AC49-AD49</f>
        <v>391.053874799542</v>
      </c>
      <c r="AF49" s="2277"/>
      <c r="AG49" s="2277"/>
      <c r="AH49" s="2275"/>
      <c r="AI49" s="2275"/>
      <c r="AJ49" s="2277"/>
      <c r="AK49" s="2277"/>
      <c r="AL49" s="2277" t="n">
        <f aca="false">AM49-AR49</f>
        <v>670.370355608723</v>
      </c>
      <c r="AM49" s="2277" t="n">
        <f aca="false">AM50*DataDE2b!P54/DataDE2b!P55</f>
        <v>1329.71002940072</v>
      </c>
      <c r="AN49" s="2277" t="n">
        <f aca="false">AN50*DataDE2b!Q54/DataDE2b!Q55</f>
        <v>115.791117917305</v>
      </c>
      <c r="AO49" s="2277"/>
      <c r="AP49" s="2277" t="n">
        <f aca="false">AP50*DataDE2b!R54/DataDE2b!R55</f>
        <v>250.039966969447</v>
      </c>
      <c r="AQ49" s="2277" t="n">
        <f aca="false">AM49-AN49-AP49-AO49</f>
        <v>963.878944513971</v>
      </c>
      <c r="AR49" s="2296" t="n">
        <f aca="false">AR50*DataDE2b!V54/DataDE2b!V55</f>
        <v>659.339673791999</v>
      </c>
      <c r="AS49" s="2275" t="n">
        <f aca="false">AC49+AL49</f>
        <v>2723.28233686323</v>
      </c>
      <c r="AW49" s="759" t="n">
        <f aca="false">AD49/DataDE1!B48</f>
        <v>1.8123561621608</v>
      </c>
      <c r="AY49" s="2288"/>
    </row>
    <row r="50" customFormat="false" ht="12" hidden="false" customHeight="false" outlineLevel="0" collapsed="false">
      <c r="A50" s="2252" t="n">
        <v>1988</v>
      </c>
      <c r="B50" s="2275" t="n">
        <f aca="false">C50+D50+E50+F50+H50+G50</f>
        <v>1907.25450225148</v>
      </c>
      <c r="C50" s="2277" t="n">
        <f aca="false">C51*DataDE2b!BK56/DataDE2b!BK57</f>
        <v>30.2771498771499</v>
      </c>
      <c r="D50" s="2277" t="n">
        <f aca="false">D51*DataDE2b!BB56/DataDE2b!BB57</f>
        <v>453.641590659401</v>
      </c>
      <c r="E50" s="2275" t="n">
        <f aca="false">E51*DataDE2b!AJ56/DataDE2b!AJ57</f>
        <v>274.701999363126</v>
      </c>
      <c r="F50" s="2275" t="n">
        <f aca="false">F51*DataDE2b!AT56/DataDE2b!AT57</f>
        <v>545.81008041026</v>
      </c>
      <c r="G50" s="2277" t="n">
        <f aca="false">G51*E50/E51</f>
        <v>582.200892313527</v>
      </c>
      <c r="H50" s="2277" t="n">
        <f aca="false">H51*DataDE2b!BS56/DataDE2b!BS57</f>
        <v>20.622789628015</v>
      </c>
      <c r="I50" s="2277" t="n">
        <f aca="false">J50-K50</f>
        <v>-571.748898128713</v>
      </c>
      <c r="J50" s="2277" t="n">
        <f aca="false">J49+(J$52-J$48)/4</f>
        <v>2909.53596388504</v>
      </c>
      <c r="K50" s="2277" t="n">
        <f aca="false">K49+(K$52-K$48)/4</f>
        <v>3481.28486201375</v>
      </c>
      <c r="L50" s="2277" t="n">
        <f aca="false">L49+(L$52-L$48)/4</f>
        <v>821.652528056704</v>
      </c>
      <c r="M50" s="2279" t="n">
        <f aca="false">B50+I50</f>
        <v>1335.50560412277</v>
      </c>
      <c r="N50" s="2297" t="n">
        <f aca="false">O50+U50</f>
        <v>669.192836675484</v>
      </c>
      <c r="O50" s="2275" t="n">
        <f aca="false">P50+Q50+R50+S50+T50</f>
        <v>581.906814500421</v>
      </c>
      <c r="P50" s="2277" t="n">
        <f aca="false">P51</f>
        <v>0</v>
      </c>
      <c r="Q50" s="2277" t="n">
        <f aca="false">Q51*DataDE2b!BB56/DataDE2b!BB57</f>
        <v>23.1213843458406</v>
      </c>
      <c r="R50" s="2275" t="n">
        <f aca="false">R51*DataDE2b!AJ56/DataDE2b!AJ57</f>
        <v>15.6484455570467</v>
      </c>
      <c r="S50" s="2275" t="n">
        <f aca="false">S51*DataDE2b!AT56/DataDE2b!AT57</f>
        <v>541.158929484244</v>
      </c>
      <c r="T50" s="2277" t="n">
        <f aca="false">T51*DataDE2b!BS56/DataDE2b!BS57</f>
        <v>1.97805511328873</v>
      </c>
      <c r="U50" s="2277" t="n">
        <f aca="false">0.15*O50</f>
        <v>87.2860221750631</v>
      </c>
      <c r="V50" s="2277" t="n">
        <f aca="false">W50-X50</f>
        <v>-73.7224839435835</v>
      </c>
      <c r="W50" s="2277" t="n">
        <f aca="false">W51*DataDE2b!DD55/DataDE2b!DD56</f>
        <v>333.089490359478</v>
      </c>
      <c r="X50" s="2296" t="n">
        <f aca="false">X51*DataDE2b!DE55/DataDE2b!DE56</f>
        <v>406.811974303061</v>
      </c>
      <c r="Y50" s="2279" t="n">
        <f aca="false">N50+V50</f>
        <v>595.4703527319</v>
      </c>
      <c r="Z50" s="2280" t="n">
        <f aca="false">DataDE2b!EW55</f>
        <v>537.969</v>
      </c>
      <c r="AA50" s="2280" t="n">
        <f aca="false">DataDE2b!EX55</f>
        <v>406.084</v>
      </c>
      <c r="AB50" s="2281" t="n">
        <f aca="false">DataDE2b!EY55</f>
        <v>131.885</v>
      </c>
      <c r="AC50" s="2300" t="n">
        <f aca="false">AC49+(AC$52-AC$42)/10</f>
        <v>2159.18376797108</v>
      </c>
      <c r="AD50" s="2300" t="n">
        <f aca="false">AD49+(AD$52-AD$42)/10</f>
        <v>1757.00309351913</v>
      </c>
      <c r="AE50" s="2277" t="n">
        <f aca="false">AC50-AD50</f>
        <v>402.18067445195</v>
      </c>
      <c r="AF50" s="2277"/>
      <c r="AG50" s="2277"/>
      <c r="AH50" s="2275"/>
      <c r="AI50" s="2275"/>
      <c r="AJ50" s="2277"/>
      <c r="AK50" s="2277"/>
      <c r="AL50" s="2277" t="n">
        <f aca="false">AM50-AR50</f>
        <v>697.143163494073</v>
      </c>
      <c r="AM50" s="2277" t="n">
        <f aca="false">AM51*DataDE2b!P55/DataDE2b!P56</f>
        <v>1375.94073720702</v>
      </c>
      <c r="AN50" s="2277" t="n">
        <f aca="false">AN51*DataDE2b!Q55/DataDE2b!Q56</f>
        <v>87.7459418070444</v>
      </c>
      <c r="AO50" s="2277"/>
      <c r="AP50" s="2277" t="n">
        <f aca="false">AP51*DataDE2b!R55/DataDE2b!R56</f>
        <v>272.530999174236</v>
      </c>
      <c r="AQ50" s="2277" t="n">
        <f aca="false">AM50-AN50-AP50-AO50</f>
        <v>1015.66379622574</v>
      </c>
      <c r="AR50" s="2296" t="n">
        <f aca="false">AR51*DataDE2b!V55/DataDE2b!V56</f>
        <v>678.79757371295</v>
      </c>
      <c r="AS50" s="2275" t="n">
        <f aca="false">AC50+AL50</f>
        <v>2856.32693146515</v>
      </c>
      <c r="AW50" s="759" t="n">
        <f aca="false">AD50/DataDE1!B49</f>
        <v>1.80408983829872</v>
      </c>
      <c r="AY50" s="2288"/>
    </row>
    <row r="51" customFormat="false" ht="12" hidden="false" customHeight="false" outlineLevel="0" collapsed="false">
      <c r="A51" s="2252" t="n">
        <v>1989</v>
      </c>
      <c r="B51" s="2275" t="n">
        <f aca="false">C51+D51+E51+F51+H51+G51</f>
        <v>1993.8381502705</v>
      </c>
      <c r="C51" s="2277" t="n">
        <f aca="false">C52*DataDE2b!BK57/DataDE2b!BK58</f>
        <v>31.3985257985258</v>
      </c>
      <c r="D51" s="2277" t="n">
        <f aca="false">D52*DataDE2b!BB57/DataDE2b!BB58</f>
        <v>474.767522496885</v>
      </c>
      <c r="E51" s="2275" t="n">
        <f aca="false">E52*DataDE2b!AJ57/DataDE2b!AJ58</f>
        <v>287.531026925062</v>
      </c>
      <c r="F51" s="2275" t="n">
        <f aca="false">F52*DataDE2b!AT57/DataDE2b!AT58</f>
        <v>569.028407211175</v>
      </c>
      <c r="G51" s="2277" t="n">
        <f aca="false">G52*E51/E52</f>
        <v>609.390615400329</v>
      </c>
      <c r="H51" s="2277" t="n">
        <f aca="false">H52*DataDE2b!BS57/DataDE2b!BS58</f>
        <v>21.7220524385173</v>
      </c>
      <c r="I51" s="2277" t="n">
        <f aca="false">J51-K51</f>
        <v>-589.134017896463</v>
      </c>
      <c r="J51" s="2277" t="n">
        <f aca="false">J50+(J$52-J$48)/4</f>
        <v>3093.45102344966</v>
      </c>
      <c r="K51" s="2277" t="n">
        <f aca="false">K50+(K$52-K$48)/4</f>
        <v>3682.58504134612</v>
      </c>
      <c r="L51" s="2277" t="n">
        <f aca="false">L50+(L$52-L$48)/4</f>
        <v>884.608963378618</v>
      </c>
      <c r="M51" s="2279" t="n">
        <f aca="false">B51+I51</f>
        <v>1404.70413237403</v>
      </c>
      <c r="N51" s="2297" t="n">
        <f aca="false">O51+U51</f>
        <v>697.866327160074</v>
      </c>
      <c r="O51" s="2275" t="n">
        <f aca="false">P51+Q51+R51+S51+T51</f>
        <v>606.840284487021</v>
      </c>
      <c r="P51" s="2277" t="n">
        <f aca="false">P52</f>
        <v>0</v>
      </c>
      <c r="Q51" s="2277" t="n">
        <f aca="false">Q52*DataDE2b!BB57/DataDE2b!BB58</f>
        <v>24.1981392107738</v>
      </c>
      <c r="R51" s="2275" t="n">
        <f aca="false">R52*DataDE2b!AJ57/DataDE2b!AJ58</f>
        <v>16.3792532680144</v>
      </c>
      <c r="S51" s="2275" t="n">
        <f aca="false">S52*DataDE2b!AT57/DataDE2b!AT58</f>
        <v>564.17940002329</v>
      </c>
      <c r="T51" s="2277" t="n">
        <f aca="false">T52*DataDE2b!BS57/DataDE2b!BS58</f>
        <v>2.08349198494301</v>
      </c>
      <c r="U51" s="2277" t="n">
        <f aca="false">0.15*O51</f>
        <v>91.0260426730532</v>
      </c>
      <c r="V51" s="2277" t="n">
        <f aca="false">W51-X51</f>
        <v>-89.7670133891241</v>
      </c>
      <c r="W51" s="2277" t="n">
        <f aca="false">W52*DataDE2b!DD56/DataDE2b!DD57</f>
        <v>343.326283207405</v>
      </c>
      <c r="X51" s="2296" t="n">
        <f aca="false">X52*DataDE2b!DE56/DataDE2b!DE57</f>
        <v>433.093296596529</v>
      </c>
      <c r="Y51" s="2279" t="n">
        <f aca="false">N51+V51</f>
        <v>608.09931377095</v>
      </c>
      <c r="Z51" s="2280" t="n">
        <f aca="false">DataDE2b!EW56</f>
        <v>626.749</v>
      </c>
      <c r="AA51" s="2280" t="n">
        <f aca="false">DataDE2b!EX56</f>
        <v>439.465</v>
      </c>
      <c r="AB51" s="2281" t="n">
        <f aca="false">DataDE2b!EY56</f>
        <v>187.285</v>
      </c>
      <c r="AC51" s="2300" t="n">
        <f aca="false">AC50+(AC$52-AC$42)/10</f>
        <v>2265.45555468764</v>
      </c>
      <c r="AD51" s="2300" t="n">
        <f aca="false">AD50+(AD$52-AD$42)/10</f>
        <v>1852.14808058328</v>
      </c>
      <c r="AE51" s="2277" t="n">
        <f aca="false">AC51-AD51</f>
        <v>413.307474104358</v>
      </c>
      <c r="AF51" s="2277" t="n">
        <f aca="false">AF52*DataDE2b!BK57/DataDE2b!BK58</f>
        <v>47.0014742014742</v>
      </c>
      <c r="AG51" s="2277" t="n">
        <f aca="false">AG52*DataDE2b!BB57/DataDE2b!BB58</f>
        <v>100.844338292341</v>
      </c>
      <c r="AH51" s="2275" t="n">
        <f aca="false">AH52*DataDE2b!AJ57/DataDE2b!AJ58</f>
        <v>1305.30971980692</v>
      </c>
      <c r="AI51" s="2275" t="n">
        <f aca="false">AI52*DataDE2b!AT57/DataDE2b!AT58</f>
        <v>183.102192765536</v>
      </c>
      <c r="AJ51" s="2277" t="n">
        <f aca="false">AJ52*(AH51+AI51)/(AH52+AI52)</f>
        <v>596.881286197559</v>
      </c>
      <c r="AK51" s="2277" t="n">
        <f aca="false">AK52*DataDE2b!BS57/DataDE2b!BS58</f>
        <v>4.25445557653968</v>
      </c>
      <c r="AL51" s="2277" t="n">
        <f aca="false">AM51-AR51</f>
        <v>785.845443600257</v>
      </c>
      <c r="AM51" s="2277" t="n">
        <f aca="false">AM52*DataDE2b!P56/DataDE2b!P57</f>
        <v>1484.28164076284</v>
      </c>
      <c r="AN51" s="2277" t="n">
        <f aca="false">AN52*DataDE2b!Q56/DataDE2b!Q57</f>
        <v>110.117611026034</v>
      </c>
      <c r="AO51" s="2277"/>
      <c r="AP51" s="2277" t="n">
        <f aca="false">AP52*DataDE2b!R56/DataDE2b!R57</f>
        <v>298.288885218827</v>
      </c>
      <c r="AQ51" s="2277" t="n">
        <f aca="false">AM51-AN51-AP51-AO51</f>
        <v>1075.87514451798</v>
      </c>
      <c r="AR51" s="2296" t="n">
        <f aca="false">AR52*DataDE2b!V56/DataDE2b!V57</f>
        <v>698.43619716258</v>
      </c>
      <c r="AS51" s="2275" t="n">
        <f aca="false">AC51+AL51</f>
        <v>3051.3009982879</v>
      </c>
      <c r="AW51" s="759" t="n">
        <f aca="false">AD51/DataDE1!B50</f>
        <v>1.77493826601177</v>
      </c>
      <c r="AY51" s="2304" t="n">
        <f aca="false">AH51/(E51+R51+AH51)</f>
        <v>0.811144355530582</v>
      </c>
      <c r="AZ51" s="2305" t="n">
        <f aca="false">E51/(E51+R51+AH51)</f>
        <v>0.178677264093823</v>
      </c>
    </row>
    <row r="52" customFormat="false" ht="12" hidden="false" customHeight="false" outlineLevel="0" collapsed="false">
      <c r="A52" s="2306" t="n">
        <v>1990</v>
      </c>
      <c r="B52" s="2307" t="n">
        <f aca="false">C52+D52+E52+F52+H52+G52</f>
        <v>2110.51585919931</v>
      </c>
      <c r="C52" s="2308" t="n">
        <f aca="false">C53*DataDE2b!BK58/DataDE2b!BL59</f>
        <v>27.6739557739558</v>
      </c>
      <c r="D52" s="2308" t="n">
        <f aca="false">D53*DataDE2b!BB58/DataDE2b!BD59</f>
        <v>501.505401008322</v>
      </c>
      <c r="E52" s="2307" t="n">
        <f aca="false">E53*(DataDE2b!AJ58/DataDE2b!AL$59)</f>
        <v>306.167065570048</v>
      </c>
      <c r="F52" s="2307" t="n">
        <f aca="false">F53*DataDE2b!AT58/DataDE2b!AV59</f>
        <v>603.313372740509</v>
      </c>
      <c r="G52" s="2308" t="n">
        <f aca="false">G53*E52/E53</f>
        <v>648.887664396896</v>
      </c>
      <c r="H52" s="2308" t="n">
        <f aca="false">H53*DataDE2b!BS58/DataDE2b!BT59</f>
        <v>22.9683997095798</v>
      </c>
      <c r="I52" s="2308" t="n">
        <f aca="false">J52-K52</f>
        <v>-606.519137664213</v>
      </c>
      <c r="J52" s="2308" t="n">
        <f aca="false">(J53-TableDE6g!C30)*DataDE2b!DR57/DataDE2b!DR58</f>
        <v>3277.36608301427</v>
      </c>
      <c r="K52" s="2309" t="n">
        <f aca="false">(K53-TableDE6g!C31)*DataDE2b!EC57/DataDE2b!EC58</f>
        <v>3883.88522067848</v>
      </c>
      <c r="L52" s="2276" t="n">
        <f aca="false">(L53-0)*DataDE2b!DY57/DataDE2b!DY58</f>
        <v>947.565398700532</v>
      </c>
      <c r="M52" s="2310" t="n">
        <f aca="false">B52+I52</f>
        <v>1503.9967215351</v>
      </c>
      <c r="N52" s="2311" t="n">
        <f aca="false">O52+U52</f>
        <v>739.883579048614</v>
      </c>
      <c r="O52" s="2307" t="n">
        <f aca="false">P52+Q52+R52+S52+T52</f>
        <v>643.377025259665</v>
      </c>
      <c r="P52" s="2308" t="n">
        <f aca="false">P53</f>
        <v>0</v>
      </c>
      <c r="Q52" s="2308" t="n">
        <f aca="false">Q53*DataDE2b!BB58/DataDE2b!BD59</f>
        <v>25.5609259974895</v>
      </c>
      <c r="R52" s="2307" t="n">
        <f aca="false">R53*(DataDE2b!AJ58/DataDE2b!AL$59)</f>
        <v>17.440858341189</v>
      </c>
      <c r="S52" s="2307" t="n">
        <f aca="false">S53*DataDE2b!AT58/DataDE2b!AV59</f>
        <v>598.172204313956</v>
      </c>
      <c r="T52" s="2308" t="n">
        <f aca="false">T53*DataDE2b!BS58/DataDE2b!BT59</f>
        <v>2.20303660702991</v>
      </c>
      <c r="U52" s="2308" t="n">
        <f aca="false">0.15*O52</f>
        <v>96.5065537889497</v>
      </c>
      <c r="V52" s="2308" t="n">
        <f aca="false">W52-X52</f>
        <v>-78.203477512888</v>
      </c>
      <c r="W52" s="2308" t="n">
        <f aca="false">(W53-TableDE6g!C24)*DataDE2b!DD57/DataDE2b!DD58</f>
        <v>367.815841482062</v>
      </c>
      <c r="X52" s="2309" t="n">
        <f aca="false">(X53-TableDE6g!C25)*DataDE2b!DE57/DataDE2b!DE58</f>
        <v>446.01931899495</v>
      </c>
      <c r="Y52" s="2310" t="n">
        <f aca="false">N52+V52</f>
        <v>661.680101535726</v>
      </c>
      <c r="Z52" s="2280" t="n">
        <f aca="false">DataDE2b!EW57</f>
        <v>747.769</v>
      </c>
      <c r="AA52" s="2280" t="n">
        <f aca="false">DataDE2b!EX57</f>
        <v>520.109</v>
      </c>
      <c r="AB52" s="2281" t="n">
        <f aca="false">DataDE2b!EY57</f>
        <v>227.66</v>
      </c>
      <c r="AC52" s="2307" t="n">
        <f aca="false">AF52+AG52+AH52+AI52+AK52+AJ52</f>
        <v>2371.7273414042</v>
      </c>
      <c r="AD52" s="2308" t="n">
        <f aca="false">AH52+AJ52*AH52/(AH52+AI52)</f>
        <v>1947.29306764744</v>
      </c>
      <c r="AE52" s="2308" t="n">
        <f aca="false">AC52-AD52</f>
        <v>424.434273756766</v>
      </c>
      <c r="AF52" s="2308" t="n">
        <f aca="false">AF53*DataDE2b!BK58/DataDE2b!BL59</f>
        <v>41.4260442260442</v>
      </c>
      <c r="AG52" s="2308" t="n">
        <f aca="false">AG53*DataDE2b!BB58/DataDE2b!BD59</f>
        <v>106.523672994189</v>
      </c>
      <c r="AH52" s="2307" t="n">
        <f aca="false">AH53*(DataDE2b!AJ58/DataDE2b!AL$59)</f>
        <v>1389.91207608876</v>
      </c>
      <c r="AI52" s="2307" t="n">
        <f aca="false">AI53*DataDE2b!AT58/DataDE2b!AV59</f>
        <v>194.134422945535</v>
      </c>
      <c r="AJ52" s="2308" t="n">
        <f aca="false">AJ53*(AH52+AI52)/(AH53+AI53)</f>
        <v>635.232561466283</v>
      </c>
      <c r="AK52" s="2308" t="n">
        <f aca="false">AK53*DataDE2b!BS58/DataDE2b!BT59</f>
        <v>4.49856368339032</v>
      </c>
      <c r="AL52" s="2308" t="n">
        <f aca="false">AM52-AR52</f>
        <v>862.888352570897</v>
      </c>
      <c r="AM52" s="2308" t="n">
        <f aca="false">(AM53-TableDE6g!C12)*DataDE2b!P57/DataDE2b!P58</f>
        <v>1594.81864371505</v>
      </c>
      <c r="AN52" s="2308" t="n">
        <f aca="false">AN53*DataDE2b!Q57/DataDE2b!Q58</f>
        <v>136.035222052067</v>
      </c>
      <c r="AO52" s="2308"/>
      <c r="AP52" s="2308" t="n">
        <f aca="false">AP53*DataDE2b!R57/DataDE2b!R58</f>
        <v>325.3660776218</v>
      </c>
      <c r="AQ52" s="2308" t="n">
        <f aca="false">AM52-AN52-AP52-AO52</f>
        <v>1133.41734404118</v>
      </c>
      <c r="AR52" s="2309" t="n">
        <f aca="false">(AR53-TableDE6g!C15)*DataDE2b!V57/DataDE2b!V58</f>
        <v>731.930291144156</v>
      </c>
      <c r="AS52" s="2307" t="n">
        <f aca="false">AC52+AL52</f>
        <v>3234.6156939751</v>
      </c>
      <c r="AW52" s="2312" t="n">
        <f aca="false">AD52/DataDE1!B51</f>
        <v>1.71341229005494</v>
      </c>
      <c r="AY52" s="2304" t="n">
        <f aca="false">AH52/(E52+R52+AH52)</f>
        <v>0.811144355530582</v>
      </c>
      <c r="AZ52" s="2305" t="n">
        <f aca="false">E52/(E52+R52+AH52)</f>
        <v>0.178677264093823</v>
      </c>
    </row>
    <row r="53" customFormat="false" ht="12" hidden="false" customHeight="false" outlineLevel="0" collapsed="false">
      <c r="A53" s="1432" t="n">
        <v>1991</v>
      </c>
      <c r="B53" s="2283" t="n">
        <f aca="false">C53+D53+E53+F53+H53+G53</f>
        <v>2379.3202323734</v>
      </c>
      <c r="C53" s="2283" t="n">
        <f aca="false">DataDE2b!BO59*10</f>
        <v>32.6</v>
      </c>
      <c r="D53" s="2283" t="n">
        <f aca="false">DataDE2b!BG59</f>
        <v>564.781590664824</v>
      </c>
      <c r="E53" s="2283" t="n">
        <f aca="false">DataDE2b!AP59</f>
        <v>340.648248929201</v>
      </c>
      <c r="F53" s="2283" t="n">
        <f aca="false">DataDE2b!AY59</f>
        <v>695.240047619048</v>
      </c>
      <c r="G53" s="2276" t="n">
        <f aca="false">G54*E53/E54</f>
        <v>721.96676744772</v>
      </c>
      <c r="H53" s="2276" t="n">
        <f aca="false">DataDE2b!BW59</f>
        <v>24.08357771261</v>
      </c>
      <c r="I53" s="2277" t="n">
        <f aca="false">J53-K53</f>
        <v>-730.826575518645</v>
      </c>
      <c r="J53" s="2276" t="n">
        <f aca="false">J54*DataDE2b!DR58/DataDE2b!DR59</f>
        <v>3606.38896031542</v>
      </c>
      <c r="K53" s="2276" t="n">
        <f aca="false">K54*DataDE2b!EC58/DataDE2b!EC59</f>
        <v>4337.21553583406</v>
      </c>
      <c r="L53" s="2313" t="n">
        <f aca="false">L54*DataDE2b!DY58/DataDE2b!DY59</f>
        <v>909.750939161252</v>
      </c>
      <c r="M53" s="2279" t="n">
        <f aca="false">B53+I53</f>
        <v>1648.49365685476</v>
      </c>
      <c r="N53" s="2314" t="n">
        <f aca="false">O53+U53</f>
        <v>856.881871812784</v>
      </c>
      <c r="O53" s="2283" t="n">
        <f aca="false">P53+Q53+R53+S53+T53</f>
        <v>739.816617575496</v>
      </c>
      <c r="P53" s="2276" t="n">
        <f aca="false">DataDE2b!BN59</f>
        <v>0</v>
      </c>
      <c r="Q53" s="2283" t="n">
        <f aca="false">DataDE2b!BF59</f>
        <v>28.7860119047619</v>
      </c>
      <c r="R53" s="2283" t="n">
        <f aca="false">DataDE2b!AO59</f>
        <v>19.4050847457627</v>
      </c>
      <c r="S53" s="2283" t="n">
        <f aca="false">DataDE2b!AX59</f>
        <v>689.315520924972</v>
      </c>
      <c r="T53" s="2276" t="n">
        <f aca="false">DataDE2b!BV59</f>
        <v>2.31</v>
      </c>
      <c r="U53" s="2276" t="n">
        <f aca="false">U54*R53/R54</f>
        <v>117.065254237288</v>
      </c>
      <c r="V53" s="2277" t="n">
        <f aca="false">W53-X53</f>
        <v>-90.2577518946688</v>
      </c>
      <c r="W53" s="2276" t="n">
        <f aca="false">W54*DataDE2b!DD58/DataDE2b!DD59</f>
        <v>435.251472809668</v>
      </c>
      <c r="X53" s="2276" t="n">
        <f aca="false">X54*DataDE2b!DE58/DataDE2b!DE59</f>
        <v>525.509224704337</v>
      </c>
      <c r="Y53" s="2279" t="n">
        <f aca="false">N53+V53</f>
        <v>766.624119918115</v>
      </c>
      <c r="Z53" s="2280" t="n">
        <f aca="false">DataDE2b!EW58</f>
        <v>835.124</v>
      </c>
      <c r="AA53" s="2280" t="n">
        <f aca="false">DataDE2b!EX58</f>
        <v>566.659</v>
      </c>
      <c r="AB53" s="2281" t="n">
        <f aca="false">DataDE2b!EY58</f>
        <v>268.465</v>
      </c>
      <c r="AC53" s="2283" t="n">
        <f aca="false">AF53+AG53+AH53+AI53+AK53+AJ53</f>
        <v>2653.51076501627</v>
      </c>
      <c r="AD53" s="2276" t="n">
        <f aca="false">AH53+AJ53*AH53/(AH53+AI53)</f>
        <v>2166.60133711967</v>
      </c>
      <c r="AE53" s="2276" t="n">
        <f aca="false">AC53-AD53</f>
        <v>486.9094278966</v>
      </c>
      <c r="AF53" s="2276" t="n">
        <f aca="false">DataDE2b!BM59*10</f>
        <v>48.8</v>
      </c>
      <c r="AG53" s="2283" t="n">
        <f aca="false">DataDE2b!BE59</f>
        <v>119.964031007752</v>
      </c>
      <c r="AH53" s="2283" t="n">
        <f aca="false">DataDE2b!AN59</f>
        <v>1546.44691780822</v>
      </c>
      <c r="AI53" s="2283" t="n">
        <f aca="false">DataDE2b!AW59</f>
        <v>223.71462585034</v>
      </c>
      <c r="AJ53" s="2276" t="n">
        <f aca="false">AJ54*(AH53+AI53)/(AH54+AI54)</f>
        <v>709.868209217885</v>
      </c>
      <c r="AK53" s="2276" t="n">
        <f aca="false">DataDE2b!BU59</f>
        <v>4.71698113207547</v>
      </c>
      <c r="AL53" s="2277" t="n">
        <f aca="false">AM53-AR53</f>
        <v>983.606406004276</v>
      </c>
      <c r="AM53" s="2276" t="n">
        <f aca="false">AM54*DataDE2b!P58/DataDE2b!P59</f>
        <v>1762.43573581803</v>
      </c>
      <c r="AN53" s="2276" t="n">
        <f aca="false">AN54*DataDE2b!Q58/DataDE2b!Q59</f>
        <v>123.205359877488</v>
      </c>
      <c r="AO53" s="2315" t="n">
        <f aca="false">AO54*AO54/AO55</f>
        <v>136.461222393426</v>
      </c>
      <c r="AP53" s="2276" t="n">
        <f aca="false">AP54*DataDE2b!R58/DataDE2b!R59</f>
        <v>351.626556564822</v>
      </c>
      <c r="AQ53" s="2276" t="n">
        <f aca="false">AM53-AN53-AP53-AO53</f>
        <v>1151.1425969823</v>
      </c>
      <c r="AR53" s="2276" t="n">
        <f aca="false">AR54*DataDE2b!V58/DataDE2b!V59</f>
        <v>778.829329813756</v>
      </c>
      <c r="AS53" s="2275" t="n">
        <f aca="false">AC53+AL53</f>
        <v>3637.11717102055</v>
      </c>
      <c r="AU53" s="2252" t="n">
        <v>608.7</v>
      </c>
      <c r="AW53" s="759" t="n">
        <f aca="false">AD53/DataDE1!B52</f>
        <v>1.62832570786931</v>
      </c>
      <c r="AY53" s="2304" t="n">
        <f aca="false">AH53/(E53+R53+AH53)</f>
        <v>0.811144355530582</v>
      </c>
      <c r="AZ53" s="2305" t="n">
        <f aca="false">E53/(E53+R53+AH53)</f>
        <v>0.178677264093823</v>
      </c>
    </row>
    <row r="54" customFormat="false" ht="12" hidden="false" customHeight="false" outlineLevel="0" collapsed="false">
      <c r="A54" s="2252" t="n">
        <v>1992</v>
      </c>
      <c r="B54" s="2275" t="n">
        <f aca="false">C54+D54+E54+F54+H54+G54</f>
        <v>2575.5</v>
      </c>
      <c r="C54" s="2283" t="n">
        <f aca="false">DataDE2b!BO60*10</f>
        <v>32.3</v>
      </c>
      <c r="D54" s="2283" t="n">
        <f aca="false">DataDE2b!BG60</f>
        <v>606.5</v>
      </c>
      <c r="E54" s="2283" t="n">
        <f aca="false">DataDE2b!AP60</f>
        <v>367.7</v>
      </c>
      <c r="F54" s="2283" t="n">
        <f aca="false">DataDE2b!AY60</f>
        <v>764.2</v>
      </c>
      <c r="G54" s="2275" t="n">
        <f aca="false">DataDE2b!CB60</f>
        <v>779.3</v>
      </c>
      <c r="H54" s="2276" t="n">
        <f aca="false">DataDE2b!BW60</f>
        <v>25.5</v>
      </c>
      <c r="I54" s="2275" t="n">
        <f aca="false">J54-K54</f>
        <v>-785.1</v>
      </c>
      <c r="J54" s="2275" t="n">
        <f aca="false">DataDE2b!EG59</f>
        <v>3920.1</v>
      </c>
      <c r="K54" s="2275" t="n">
        <f aca="false">(DataDE2b!EJ59+DataDE2b!EM59)</f>
        <v>4705.2</v>
      </c>
      <c r="L54" s="2275" t="n">
        <f aca="false">DataDE2b!EM59</f>
        <v>981.9</v>
      </c>
      <c r="M54" s="2279" t="n">
        <f aca="false">B54+I54</f>
        <v>1790.4</v>
      </c>
      <c r="N54" s="2297" t="n">
        <f aca="false">O54+U54</f>
        <v>924.69</v>
      </c>
      <c r="O54" s="2275" t="n">
        <f aca="false">P54+Q54+R54+S54+T54</f>
        <v>795.59</v>
      </c>
      <c r="P54" s="2276" t="n">
        <f aca="false">DataDE2b!BN60</f>
        <v>0</v>
      </c>
      <c r="Q54" s="2283" t="n">
        <f aca="false">DataDE2b!BF60</f>
        <v>31.1</v>
      </c>
      <c r="R54" s="2275" t="n">
        <f aca="false">DataDE2b!AO60</f>
        <v>21.4</v>
      </c>
      <c r="S54" s="2283" t="n">
        <f aca="false">DataDE2b!AX60</f>
        <v>740.6</v>
      </c>
      <c r="T54" s="2276" t="n">
        <f aca="false">DataDE2b!BV60</f>
        <v>2.49</v>
      </c>
      <c r="U54" s="2275" t="n">
        <f aca="false">DataDE2b!CC60</f>
        <v>129.1</v>
      </c>
      <c r="V54" s="2277" t="n">
        <f aca="false">W54-X54</f>
        <v>-127.6</v>
      </c>
      <c r="W54" s="2277" t="n">
        <f aca="false">DataDE2b!DG59</f>
        <v>452.6</v>
      </c>
      <c r="X54" s="2277" t="n">
        <f aca="false">DataDE2b!DH59</f>
        <v>580.2</v>
      </c>
      <c r="Y54" s="2279" t="n">
        <f aca="false">N54+V54</f>
        <v>797.09</v>
      </c>
      <c r="Z54" s="2280" t="n">
        <f aca="false">DataDE2b!EW59</f>
        <v>891.884</v>
      </c>
      <c r="AA54" s="2280" t="n">
        <f aca="false">DataDE2b!EX59</f>
        <v>636.316</v>
      </c>
      <c r="AB54" s="2281" t="n">
        <f aca="false">DataDE2b!EY59</f>
        <v>255.569</v>
      </c>
      <c r="AC54" s="2275" t="n">
        <f aca="false">AF54+AG54+AH54+AI54+AK54+AJ54</f>
        <v>2900.5</v>
      </c>
      <c r="AD54" s="2276" t="n">
        <f aca="false">AH54+AJ54*AH54/(AH54+AI54)</f>
        <v>2381.73210518191</v>
      </c>
      <c r="AE54" s="2276" t="n">
        <f aca="false">AC54-AD54</f>
        <v>518.767894818093</v>
      </c>
      <c r="AF54" s="2276" t="n">
        <f aca="false">DataDE2b!BM60*10</f>
        <v>48.5</v>
      </c>
      <c r="AG54" s="2275" t="n">
        <f aca="false">DataDE2b!BE60</f>
        <v>124.4</v>
      </c>
      <c r="AH54" s="2275" t="n">
        <f aca="false">DataDE2b!AN60</f>
        <v>1700</v>
      </c>
      <c r="AI54" s="2275" t="n">
        <f aca="false">DataDE2b!AW60</f>
        <v>243.3</v>
      </c>
      <c r="AJ54" s="2275" t="n">
        <f aca="false">DataDE2b!CB60</f>
        <v>779.3</v>
      </c>
      <c r="AK54" s="2276" t="n">
        <f aca="false">DataDE2b!BU60</f>
        <v>5</v>
      </c>
      <c r="AL54" s="2275" t="n">
        <f aca="false">AM54-AR54</f>
        <v>1096.7</v>
      </c>
      <c r="AM54" s="2275" t="n">
        <f aca="false">DataDE2b!X59</f>
        <v>1926</v>
      </c>
      <c r="AN54" s="2275" t="n">
        <f aca="false">DataDE2b!Z59</f>
        <v>126.3</v>
      </c>
      <c r="AO54" s="2276" t="n">
        <f aca="false">DataDE2b!AA59</f>
        <v>163</v>
      </c>
      <c r="AP54" s="2275" t="n">
        <f aca="false">DataDE2b!AB59</f>
        <v>380.4</v>
      </c>
      <c r="AQ54" s="2275" t="n">
        <f aca="false">AM54-AN54-AP54-AO54</f>
        <v>1256.3</v>
      </c>
      <c r="AR54" s="2275" t="n">
        <f aca="false">DataDE2b!AD59</f>
        <v>829.3</v>
      </c>
      <c r="AS54" s="2275" t="n">
        <f aca="false">AC54+AL54</f>
        <v>3997.2</v>
      </c>
      <c r="AU54" s="2252" t="n">
        <v>660.8</v>
      </c>
      <c r="AV54" s="2252" t="n">
        <f aca="false">AVERAGE(AU53:AU54)</f>
        <v>634.75</v>
      </c>
      <c r="AW54" s="759" t="n">
        <f aca="false">AD54/DataDE1!B53</f>
        <v>1.67261166407898</v>
      </c>
      <c r="AY54" s="2304" t="n">
        <f aca="false">AH54/(E54+R54+AH54)</f>
        <v>0.813747546790484</v>
      </c>
      <c r="AZ54" s="2305" t="n">
        <f aca="false">E54/(E54+R54+AH54)</f>
        <v>0.176008807620506</v>
      </c>
    </row>
    <row r="55" customFormat="false" ht="12" hidden="false" customHeight="false" outlineLevel="0" collapsed="false">
      <c r="A55" s="2252" t="n">
        <v>1993</v>
      </c>
      <c r="B55" s="2275" t="n">
        <f aca="false">C55+D55+E55+F55+H55+G55</f>
        <v>2723.7</v>
      </c>
      <c r="C55" s="2283" t="n">
        <f aca="false">DataDE2b!BO61*10</f>
        <v>31.7</v>
      </c>
      <c r="D55" s="2283" t="n">
        <f aca="false">DataDE2b!BG61</f>
        <v>651.3</v>
      </c>
      <c r="E55" s="2283" t="n">
        <f aca="false">DataDE2b!AP61</f>
        <v>396.9</v>
      </c>
      <c r="F55" s="2283" t="n">
        <f aca="false">DataDE2b!AY61</f>
        <v>840</v>
      </c>
      <c r="G55" s="2275" t="n">
        <f aca="false">DataDE2b!CB61</f>
        <v>776.8</v>
      </c>
      <c r="H55" s="2276" t="n">
        <f aca="false">DataDE2b!BW61</f>
        <v>27</v>
      </c>
      <c r="I55" s="2275" t="n">
        <f aca="false">J55-K55</f>
        <v>-760.5</v>
      </c>
      <c r="J55" s="2275" t="n">
        <f aca="false">DataDE2b!EG60</f>
        <v>4250.8</v>
      </c>
      <c r="K55" s="2275" t="n">
        <f aca="false">(DataDE2b!EJ60+DataDE2b!EM60)</f>
        <v>5011.3</v>
      </c>
      <c r="L55" s="2275" t="n">
        <f aca="false">DataDE2b!EM60</f>
        <v>991.1</v>
      </c>
      <c r="M55" s="2279" t="n">
        <f aca="false">B55+I55</f>
        <v>1963.2</v>
      </c>
      <c r="N55" s="2297" t="n">
        <f aca="false">O55+U55</f>
        <v>978.66</v>
      </c>
      <c r="O55" s="2275" t="n">
        <f aca="false">P55+Q55+R55+S55+T55</f>
        <v>855.56</v>
      </c>
      <c r="P55" s="2276" t="n">
        <f aca="false">DataDE2b!BN61</f>
        <v>0</v>
      </c>
      <c r="Q55" s="2276" t="n">
        <f aca="false">DataDE2b!BF61</f>
        <v>33.6</v>
      </c>
      <c r="R55" s="2275" t="n">
        <f aca="false">DataDE2b!AO61</f>
        <v>23.6</v>
      </c>
      <c r="S55" s="2283" t="n">
        <f aca="false">DataDE2b!AX61</f>
        <v>795.7</v>
      </c>
      <c r="T55" s="2276" t="n">
        <f aca="false">DataDE2b!BV61</f>
        <v>2.66</v>
      </c>
      <c r="U55" s="2275" t="n">
        <f aca="false">DataDE2b!CC61</f>
        <v>123.1</v>
      </c>
      <c r="V55" s="2277" t="n">
        <f aca="false">W55-X55</f>
        <v>-242.2</v>
      </c>
      <c r="W55" s="2277" t="n">
        <f aca="false">DataDE2b!DG60</f>
        <v>429.8</v>
      </c>
      <c r="X55" s="2277" t="n">
        <f aca="false">DataDE2b!DH60</f>
        <v>672</v>
      </c>
      <c r="Y55" s="2279" t="n">
        <f aca="false">N55+V55</f>
        <v>736.46</v>
      </c>
      <c r="Z55" s="2280" t="n">
        <f aca="false">DataDE2b!EW60</f>
        <v>975.003</v>
      </c>
      <c r="AA55" s="2280" t="n">
        <f aca="false">DataDE2b!EX60</f>
        <v>743.746</v>
      </c>
      <c r="AB55" s="2281" t="n">
        <f aca="false">DataDE2b!EY60</f>
        <v>231.257</v>
      </c>
      <c r="AC55" s="2275" t="n">
        <f aca="false">AF55+AG55+AH55+AI55+AK55+AJ55</f>
        <v>3092.1</v>
      </c>
      <c r="AD55" s="2276" t="n">
        <f aca="false">AH55+AJ55*AH55/(AH55+AI55)</f>
        <v>2549.25553576451</v>
      </c>
      <c r="AE55" s="2276" t="n">
        <f aca="false">AC55-AD55</f>
        <v>542.844464235493</v>
      </c>
      <c r="AF55" s="2276" t="n">
        <f aca="false">DataDE2b!BM61*10</f>
        <v>47.6</v>
      </c>
      <c r="AG55" s="2275" t="n">
        <f aca="false">DataDE2b!BE61</f>
        <v>129</v>
      </c>
      <c r="AH55" s="2275" t="n">
        <f aca="false">DataDE2b!AN61</f>
        <v>1868.8</v>
      </c>
      <c r="AI55" s="2275" t="n">
        <f aca="false">DataDE2b!AW61</f>
        <v>264.6</v>
      </c>
      <c r="AJ55" s="2275" t="n">
        <f aca="false">DataDE2b!CB61</f>
        <v>776.8</v>
      </c>
      <c r="AK55" s="2276" t="n">
        <f aca="false">DataDE2b!BU61</f>
        <v>5.3</v>
      </c>
      <c r="AL55" s="2275" t="n">
        <f aca="false">AM55-AR55</f>
        <v>1162.6</v>
      </c>
      <c r="AM55" s="2275" t="n">
        <f aca="false">DataDE2b!X60</f>
        <v>2059.4</v>
      </c>
      <c r="AN55" s="2275" t="n">
        <f aca="false">DataDE2b!Z60</f>
        <v>119.9</v>
      </c>
      <c r="AO55" s="2275" t="n">
        <f aca="false">DataDE2b!AA60</f>
        <v>194.7</v>
      </c>
      <c r="AP55" s="2275" t="n">
        <f aca="false">DataDE2b!AB60</f>
        <v>413.9</v>
      </c>
      <c r="AQ55" s="2275" t="n">
        <f aca="false">AM55-AN55-AP55-AO55</f>
        <v>1330.9</v>
      </c>
      <c r="AR55" s="2275" t="n">
        <f aca="false">DataDE2b!AD60</f>
        <v>896.8</v>
      </c>
      <c r="AS55" s="2275" t="n">
        <f aca="false">AC55+AL55</f>
        <v>4254.7</v>
      </c>
      <c r="AU55" s="2252" t="n">
        <v>700.2</v>
      </c>
      <c r="AV55" s="2252" t="n">
        <f aca="false">AVERAGE(AU54:AU55)</f>
        <v>680.5</v>
      </c>
      <c r="AW55" s="759" t="n">
        <f aca="false">AD55/DataDE1!B54</f>
        <v>1.75257155726361</v>
      </c>
      <c r="AY55" s="2304" t="n">
        <f aca="false">AH55/(E55+R55+AH55)</f>
        <v>0.816319398942908</v>
      </c>
      <c r="AZ55" s="2305" t="n">
        <f aca="false">E55/(E55+R55+AH55)</f>
        <v>0.173371773031058</v>
      </c>
    </row>
    <row r="56" customFormat="false" ht="12" hidden="false" customHeight="false" outlineLevel="0" collapsed="false">
      <c r="A56" s="2252" t="n">
        <v>1994</v>
      </c>
      <c r="B56" s="2275" t="n">
        <f aca="false">C56+D56+E56+F56+H56+G56</f>
        <v>2842</v>
      </c>
      <c r="C56" s="2283" t="n">
        <f aca="false">DataDE2b!BO62*10</f>
        <v>33.1</v>
      </c>
      <c r="D56" s="2283" t="n">
        <f aca="false">DataDE2b!BG62</f>
        <v>674.9</v>
      </c>
      <c r="E56" s="2283" t="n">
        <f aca="false">DataDE2b!AP62</f>
        <v>421.3</v>
      </c>
      <c r="F56" s="2283" t="n">
        <f aca="false">DataDE2b!AY62</f>
        <v>897.2</v>
      </c>
      <c r="G56" s="2275" t="n">
        <f aca="false">DataDE2b!CB62</f>
        <v>787.9</v>
      </c>
      <c r="H56" s="2276" t="n">
        <f aca="false">DataDE2b!BW62</f>
        <v>27.6</v>
      </c>
      <c r="I56" s="2275" t="n">
        <f aca="false">J56-K56</f>
        <v>-863.9</v>
      </c>
      <c r="J56" s="2275" t="n">
        <f aca="false">DataDE2b!EG61</f>
        <v>4934.6</v>
      </c>
      <c r="K56" s="2275" t="n">
        <f aca="false">(DataDE2b!EJ61+DataDE2b!EM61)</f>
        <v>5798.5</v>
      </c>
      <c r="L56" s="2275" t="n">
        <f aca="false">DataDE2b!EM61</f>
        <v>1315.1</v>
      </c>
      <c r="M56" s="2279" t="n">
        <f aca="false">B56+I56</f>
        <v>1978.1</v>
      </c>
      <c r="N56" s="2297" t="n">
        <f aca="false">O56+U56</f>
        <v>1014.53</v>
      </c>
      <c r="O56" s="2275" t="n">
        <f aca="false">P56+Q56+R56+S56+T56</f>
        <v>895.33</v>
      </c>
      <c r="P56" s="2276" t="n">
        <f aca="false">DataDE2b!BN62</f>
        <v>0</v>
      </c>
      <c r="Q56" s="2276" t="n">
        <f aca="false">DataDE2b!BF62</f>
        <v>34.9</v>
      </c>
      <c r="R56" s="2275" t="n">
        <f aca="false">DataDE2b!AO62</f>
        <v>25.4</v>
      </c>
      <c r="S56" s="2283" t="n">
        <f aca="false">DataDE2b!AX62</f>
        <v>832.2</v>
      </c>
      <c r="T56" s="2276" t="n">
        <f aca="false">DataDE2b!BV62</f>
        <v>2.83</v>
      </c>
      <c r="U56" s="2275" t="n">
        <f aca="false">DataDE2b!CC62</f>
        <v>119.2</v>
      </c>
      <c r="V56" s="2277" t="n">
        <f aca="false">W56-X56</f>
        <v>-307.3</v>
      </c>
      <c r="W56" s="2275" t="n">
        <f aca="false">DataDE2b!DG61</f>
        <v>474.3</v>
      </c>
      <c r="X56" s="2275" t="n">
        <f aca="false">DataDE2b!DH61</f>
        <v>781.6</v>
      </c>
      <c r="Y56" s="2279" t="n">
        <f aca="false">N56+V56</f>
        <v>707.23</v>
      </c>
      <c r="Z56" s="2280" t="n">
        <f aca="false">DataDE2b!EW61</f>
        <v>1141.263</v>
      </c>
      <c r="AA56" s="2280" t="n">
        <f aca="false">DataDE2b!EX61</f>
        <v>946.443</v>
      </c>
      <c r="AB56" s="2281" t="n">
        <f aca="false">DataDE2b!EY61</f>
        <v>194.82</v>
      </c>
      <c r="AC56" s="2275" t="n">
        <f aca="false">AF56+AG56+AH56+AI56+AK56+AJ56</f>
        <v>3277.2</v>
      </c>
      <c r="AD56" s="2276" t="n">
        <f aca="false">AH56+AJ56*AH56/(AH56+AI56)</f>
        <v>2714.01525342822</v>
      </c>
      <c r="AE56" s="2276" t="n">
        <f aca="false">AC56-AD56</f>
        <v>563.184746571776</v>
      </c>
      <c r="AF56" s="2276" t="n">
        <f aca="false">DataDE2b!BM62*10</f>
        <v>49.7</v>
      </c>
      <c r="AG56" s="2275" t="n">
        <f aca="false">DataDE2b!BE62</f>
        <v>129.8</v>
      </c>
      <c r="AH56" s="2275" t="n">
        <f aca="false">DataDE2b!AN62</f>
        <v>2022.5</v>
      </c>
      <c r="AI56" s="2275" t="n">
        <f aca="false">DataDE2b!AW62</f>
        <v>281.9</v>
      </c>
      <c r="AJ56" s="2275" t="n">
        <f aca="false">DataDE2b!CB62</f>
        <v>787.9</v>
      </c>
      <c r="AK56" s="2276" t="n">
        <f aca="false">DataDE2b!BU62</f>
        <v>5.4</v>
      </c>
      <c r="AL56" s="2275" t="n">
        <f aca="false">AM56-AR56</f>
        <v>1302.8</v>
      </c>
      <c r="AM56" s="2275" t="n">
        <f aca="false">DataDE2b!X61</f>
        <v>2287.9</v>
      </c>
      <c r="AN56" s="2275" t="n">
        <f aca="false">DataDE2b!Z61</f>
        <v>170.4</v>
      </c>
      <c r="AO56" s="2275" t="n">
        <f aca="false">DataDE2b!AA61</f>
        <v>233.7</v>
      </c>
      <c r="AP56" s="2275" t="n">
        <f aca="false">DataDE2b!AB61</f>
        <v>454.5</v>
      </c>
      <c r="AQ56" s="2275" t="n">
        <f aca="false">AM56-AN56-AP56-AO56</f>
        <v>1429.3</v>
      </c>
      <c r="AR56" s="2275" t="n">
        <f aca="false">DataDE2b!AD61</f>
        <v>985.1</v>
      </c>
      <c r="AS56" s="2275" t="n">
        <f aca="false">AC56+AL56</f>
        <v>4580</v>
      </c>
      <c r="AU56" s="2252" t="n">
        <v>724.2</v>
      </c>
      <c r="AV56" s="2252" t="n">
        <f aca="false">AVERAGE(AU55:AU56)</f>
        <v>712.2</v>
      </c>
      <c r="AW56" s="759" t="n">
        <f aca="false">AD56/DataDE1!B55</f>
        <v>1.78845435541424</v>
      </c>
      <c r="AY56" s="2304" t="n">
        <f aca="false">AH56/(E56+R56+AH56)</f>
        <v>0.819091203628706</v>
      </c>
      <c r="AZ56" s="2305" t="n">
        <f aca="false">E56/(E56+R56+AH56)</f>
        <v>0.170622063826341</v>
      </c>
    </row>
    <row r="57" customFormat="false" ht="12" hidden="false" customHeight="false" outlineLevel="0" collapsed="false">
      <c r="A57" s="2252" t="n">
        <v>1995</v>
      </c>
      <c r="B57" s="2275" t="n">
        <f aca="false">C57+D57+E57+F57+H57+G57</f>
        <v>2924.2</v>
      </c>
      <c r="C57" s="2283" t="n">
        <f aca="false">DataDE2b!BO63*10</f>
        <v>33</v>
      </c>
      <c r="D57" s="2283" t="n">
        <f aca="false">DataDE2b!BG63</f>
        <v>682.6</v>
      </c>
      <c r="E57" s="2283" t="n">
        <f aca="false">DataDE2b!AP63</f>
        <v>434.1</v>
      </c>
      <c r="F57" s="2283" t="n">
        <f aca="false">DataDE2b!AY63</f>
        <v>943.9</v>
      </c>
      <c r="G57" s="2275" t="n">
        <f aca="false">DataDE2b!CB63</f>
        <v>801.9</v>
      </c>
      <c r="H57" s="2276" t="n">
        <f aca="false">DataDE2b!BW63</f>
        <v>28.7</v>
      </c>
      <c r="I57" s="2275" t="n">
        <f aca="false">J57-K57</f>
        <v>-864.1</v>
      </c>
      <c r="J57" s="2275" t="n">
        <f aca="false">DataDE2b!EG62</f>
        <v>5183.2</v>
      </c>
      <c r="K57" s="2275" t="n">
        <f aca="false">(DataDE2b!EJ62+DataDE2b!EM62)</f>
        <v>6047.3</v>
      </c>
      <c r="L57" s="2275" t="n">
        <f aca="false">DataDE2b!EM62</f>
        <v>1397.2</v>
      </c>
      <c r="M57" s="2279" t="n">
        <f aca="false">B57+I57</f>
        <v>2060.1</v>
      </c>
      <c r="N57" s="2297" t="n">
        <f aca="false">O57+U57</f>
        <v>1037.52</v>
      </c>
      <c r="O57" s="2275" t="n">
        <f aca="false">P57+Q57+R57+S57+T57</f>
        <v>919.02</v>
      </c>
      <c r="P57" s="2276" t="n">
        <f aca="false">DataDE2b!BN63</f>
        <v>0</v>
      </c>
      <c r="Q57" s="2276" t="n">
        <f aca="false">DataDE2b!BF63</f>
        <v>35</v>
      </c>
      <c r="R57" s="2275" t="n">
        <f aca="false">DataDE2b!AO63</f>
        <v>26.4</v>
      </c>
      <c r="S57" s="2283" t="n">
        <f aca="false">DataDE2b!AX63</f>
        <v>854.7</v>
      </c>
      <c r="T57" s="2276" t="n">
        <f aca="false">DataDE2b!BV63</f>
        <v>2.92</v>
      </c>
      <c r="U57" s="2275" t="n">
        <f aca="false">DataDE2b!CC63</f>
        <v>118.5</v>
      </c>
      <c r="V57" s="2277" t="n">
        <f aca="false">W57-X57</f>
        <v>-337.1</v>
      </c>
      <c r="W57" s="2275" t="n">
        <f aca="false">DataDE2b!DG62</f>
        <v>490.9</v>
      </c>
      <c r="X57" s="2275" t="n">
        <f aca="false">DataDE2b!DH62</f>
        <v>828</v>
      </c>
      <c r="Y57" s="2279" t="n">
        <f aca="false">N57+V57</f>
        <v>700.42</v>
      </c>
      <c r="Z57" s="2280" t="n">
        <f aca="false">DataDE2b!EW62</f>
        <v>1141.736</v>
      </c>
      <c r="AA57" s="2280" t="n">
        <f aca="false">DataDE2b!EX62</f>
        <v>971.17</v>
      </c>
      <c r="AB57" s="2281" t="n">
        <f aca="false">DataDE2b!EY62</f>
        <v>170.566</v>
      </c>
      <c r="AC57" s="2275" t="n">
        <f aca="false">AF57+AG57+AH57+AI57+AK57+AJ57</f>
        <v>3432.3</v>
      </c>
      <c r="AD57" s="2276" t="n">
        <f aca="false">AH57+AJ57*AH57/(AH57+AI57)</f>
        <v>2855.45394204439</v>
      </c>
      <c r="AE57" s="2276" t="n">
        <f aca="false">AC57-AD57</f>
        <v>576.846057955614</v>
      </c>
      <c r="AF57" s="2276" t="n">
        <f aca="false">DataDE2b!BM63*10</f>
        <v>49.6</v>
      </c>
      <c r="AG57" s="2275" t="n">
        <f aca="false">DataDE2b!BE63</f>
        <v>128.4</v>
      </c>
      <c r="AH57" s="2275" t="n">
        <f aca="false">DataDE2b!AN63</f>
        <v>2150.6</v>
      </c>
      <c r="AI57" s="2275" t="n">
        <f aca="false">DataDE2b!AW63</f>
        <v>296.1</v>
      </c>
      <c r="AJ57" s="2275" t="n">
        <f aca="false">DataDE2b!CB63</f>
        <v>801.9</v>
      </c>
      <c r="AK57" s="2276" t="n">
        <f aca="false">DataDE2b!BU63</f>
        <v>5.7</v>
      </c>
      <c r="AL57" s="2275" t="n">
        <f aca="false">AM57-AR57</f>
        <v>1310.5</v>
      </c>
      <c r="AM57" s="2275" t="n">
        <f aca="false">DataDE2b!X62</f>
        <v>2391</v>
      </c>
      <c r="AN57" s="2275" t="n">
        <f aca="false">DataDE2b!Z62</f>
        <v>172.5</v>
      </c>
      <c r="AO57" s="2275" t="n">
        <f aca="false">DataDE2b!AA62</f>
        <v>277.5</v>
      </c>
      <c r="AP57" s="2275" t="n">
        <f aca="false">DataDE2b!AB62</f>
        <v>496.6</v>
      </c>
      <c r="AQ57" s="2275" t="n">
        <f aca="false">AM57-AN57-AP57-AO57</f>
        <v>1444.4</v>
      </c>
      <c r="AR57" s="2275" t="n">
        <f aca="false">DataDE2b!AD62</f>
        <v>1080.5</v>
      </c>
      <c r="AS57" s="2275" t="n">
        <f aca="false">AC57+AL57</f>
        <v>4742.8</v>
      </c>
      <c r="AU57" s="2252" t="n">
        <v>746.9</v>
      </c>
      <c r="AV57" s="2252" t="n">
        <f aca="false">AVERAGE(AU56:AU57)</f>
        <v>735.55</v>
      </c>
      <c r="AW57" s="759" t="n">
        <f aca="false">AD57/DataDE1!B56</f>
        <v>1.81949058669682</v>
      </c>
      <c r="AY57" s="2304" t="n">
        <f aca="false">AH57/(E57+R57+AH57)</f>
        <v>0.823637547393819</v>
      </c>
      <c r="AZ57" s="2305" t="n">
        <f aca="false">E57/(E57+R57+AH57)</f>
        <v>0.166251771284133</v>
      </c>
    </row>
    <row r="58" customFormat="false" ht="12" hidden="false" customHeight="false" outlineLevel="0" collapsed="false">
      <c r="A58" s="2252" t="n">
        <v>1996</v>
      </c>
      <c r="B58" s="2275" t="n">
        <f aca="false">C58+D58+E58+F58+H58+G58</f>
        <v>3008.3</v>
      </c>
      <c r="C58" s="2283" t="n">
        <f aca="false">DataDE2b!BO64*10</f>
        <v>30.4</v>
      </c>
      <c r="D58" s="2283" t="n">
        <f aca="false">DataDE2b!BG64</f>
        <v>689.9</v>
      </c>
      <c r="E58" s="2283" t="n">
        <f aca="false">DataDE2b!AP64</f>
        <v>453.1</v>
      </c>
      <c r="F58" s="2283" t="n">
        <f aca="false">DataDE2b!AY64</f>
        <v>989.3</v>
      </c>
      <c r="G58" s="2275" t="n">
        <f aca="false">DataDE2b!CB64</f>
        <v>815.9</v>
      </c>
      <c r="H58" s="2276" t="n">
        <f aca="false">DataDE2b!BW64</f>
        <v>29.7</v>
      </c>
      <c r="I58" s="2275" t="n">
        <f aca="false">J58-K58</f>
        <v>-827</v>
      </c>
      <c r="J58" s="2275" t="n">
        <f aca="false">DataDE2b!EG63</f>
        <v>5696.3</v>
      </c>
      <c r="K58" s="2275" t="n">
        <f aca="false">(DataDE2b!EJ63+DataDE2b!EM63)</f>
        <v>6523.3</v>
      </c>
      <c r="L58" s="2275" t="n">
        <f aca="false">DataDE2b!EM63</f>
        <v>1535</v>
      </c>
      <c r="M58" s="2279" t="n">
        <f aca="false">B58+I58</f>
        <v>2181.3</v>
      </c>
      <c r="N58" s="2297" t="n">
        <f aca="false">O58+U58</f>
        <v>1057.36</v>
      </c>
      <c r="O58" s="2275" t="n">
        <f aca="false">P58+Q58+R58+S58+T58</f>
        <v>938.76</v>
      </c>
      <c r="P58" s="2276" t="n">
        <f aca="false">DataDE2b!BN64</f>
        <v>0</v>
      </c>
      <c r="Q58" s="2276" t="n">
        <f aca="false">DataDE2b!BF64</f>
        <v>34.3</v>
      </c>
      <c r="R58" s="2275" t="n">
        <f aca="false">DataDE2b!AO64</f>
        <v>27.3</v>
      </c>
      <c r="S58" s="2283" t="n">
        <f aca="false">DataDE2b!AX64</f>
        <v>874.1</v>
      </c>
      <c r="T58" s="2276" t="n">
        <f aca="false">DataDE2b!BV64</f>
        <v>3.06</v>
      </c>
      <c r="U58" s="2275" t="n">
        <f aca="false">DataDE2b!CC64</f>
        <v>118.6</v>
      </c>
      <c r="V58" s="2277" t="n">
        <f aca="false">W58-X58</f>
        <v>-531.7</v>
      </c>
      <c r="W58" s="2275" t="n">
        <f aca="false">DataDE2b!DG63</f>
        <v>497.9</v>
      </c>
      <c r="X58" s="2275" t="n">
        <f aca="false">DataDE2b!DH63</f>
        <v>1029.6</v>
      </c>
      <c r="Y58" s="2279" t="n">
        <f aca="false">N58+V58</f>
        <v>525.66</v>
      </c>
      <c r="Z58" s="2280" t="n">
        <f aca="false">DataDE2b!EW63</f>
        <v>1219.246</v>
      </c>
      <c r="AA58" s="2280" t="n">
        <f aca="false">DataDE2b!EX63</f>
        <v>1116.841</v>
      </c>
      <c r="AB58" s="2281" t="n">
        <f aca="false">DataDE2b!EY63</f>
        <v>102.405</v>
      </c>
      <c r="AC58" s="2275" t="n">
        <f aca="false">AF58+AG58+AH58+AI58+AK58+AJ58</f>
        <v>3587.5</v>
      </c>
      <c r="AD58" s="2276" t="n">
        <f aca="false">AH58+AJ58*AH58/(AH58+AI58)</f>
        <v>3000.99030429249</v>
      </c>
      <c r="AE58" s="2276" t="n">
        <f aca="false">AC58-AD58</f>
        <v>586.509695707509</v>
      </c>
      <c r="AF58" s="2276" t="n">
        <f aca="false">DataDE2b!BM64*10</f>
        <v>45.7</v>
      </c>
      <c r="AG58" s="2275" t="n">
        <f aca="false">DataDE2b!BE64</f>
        <v>127.1</v>
      </c>
      <c r="AH58" s="2275" t="n">
        <f aca="false">DataDE2b!AN64</f>
        <v>2282.7</v>
      </c>
      <c r="AI58" s="2275" t="n">
        <f aca="false">DataDE2b!AW64</f>
        <v>310.2</v>
      </c>
      <c r="AJ58" s="2275" t="n">
        <f aca="false">DataDE2b!CB64</f>
        <v>815.9</v>
      </c>
      <c r="AK58" s="2276" t="n">
        <f aca="false">DataDE2b!BU64</f>
        <v>5.9</v>
      </c>
      <c r="AL58" s="2275" t="n">
        <f aca="false">AM58-AR58</f>
        <v>1408.5</v>
      </c>
      <c r="AM58" s="2275" t="n">
        <f aca="false">DataDE2b!X63</f>
        <v>2563.7</v>
      </c>
      <c r="AN58" s="2275" t="n">
        <f aca="false">DataDE2b!Z63</f>
        <v>191.2</v>
      </c>
      <c r="AO58" s="2275" t="n">
        <f aca="false">DataDE2b!AA63</f>
        <v>292.2</v>
      </c>
      <c r="AP58" s="2275" t="n">
        <f aca="false">DataDE2b!AB63</f>
        <v>544.1</v>
      </c>
      <c r="AQ58" s="2275" t="n">
        <f aca="false">AM58-AN58-AP58-AO58</f>
        <v>1536.2</v>
      </c>
      <c r="AR58" s="2275" t="n">
        <f aca="false">DataDE2b!AD63</f>
        <v>1155.2</v>
      </c>
      <c r="AS58" s="2275" t="n">
        <f aca="false">AC58+AL58</f>
        <v>4996</v>
      </c>
      <c r="AU58" s="2252" t="n">
        <v>769.8</v>
      </c>
      <c r="AV58" s="2252" t="n">
        <f aca="false">AVERAGE(AU57:AU58)</f>
        <v>758.35</v>
      </c>
      <c r="AW58" s="759" t="n">
        <f aca="false">AD58/DataDE1!B57</f>
        <v>1.88293886502057</v>
      </c>
      <c r="AY58" s="2304" t="n">
        <f aca="false">AH58/(E58+R58+AH58)</f>
        <v>0.826137309543629</v>
      </c>
      <c r="AZ58" s="2305" t="n">
        <f aca="false">E58/(E58+R58+AH58)</f>
        <v>0.16398248344251</v>
      </c>
    </row>
    <row r="59" customFormat="false" ht="12" hidden="false" customHeight="false" outlineLevel="0" collapsed="false">
      <c r="A59" s="2252" t="n">
        <v>1997</v>
      </c>
      <c r="B59" s="2275" t="n">
        <f aca="false">C59+D59+E59+F59+H59+G59</f>
        <v>3094.8</v>
      </c>
      <c r="C59" s="2283" t="n">
        <f aca="false">DataDE2b!BO65*10</f>
        <v>29.6</v>
      </c>
      <c r="D59" s="2283" t="n">
        <f aca="false">DataDE2b!BG65</f>
        <v>697.5</v>
      </c>
      <c r="E59" s="2283" t="n">
        <f aca="false">DataDE2b!AP65</f>
        <v>462</v>
      </c>
      <c r="F59" s="2283" t="n">
        <f aca="false">DataDE2b!AY65</f>
        <v>1003.5</v>
      </c>
      <c r="G59" s="2275" t="n">
        <f aca="false">DataDE2b!CB65</f>
        <v>871.1</v>
      </c>
      <c r="H59" s="2276" t="n">
        <f aca="false">DataDE2b!BW65</f>
        <v>31.1</v>
      </c>
      <c r="I59" s="2275" t="n">
        <f aca="false">J59-K59</f>
        <v>-880.6</v>
      </c>
      <c r="J59" s="2275" t="n">
        <f aca="false">DataDE2b!EG64</f>
        <v>6313</v>
      </c>
      <c r="K59" s="2275" t="n">
        <f aca="false">(DataDE2b!EJ64+DataDE2b!EM64)</f>
        <v>7193.6</v>
      </c>
      <c r="L59" s="2275" t="n">
        <f aca="false">DataDE2b!EM64</f>
        <v>1797.3</v>
      </c>
      <c r="M59" s="2279" t="n">
        <f aca="false">B59+I59</f>
        <v>2214.2</v>
      </c>
      <c r="N59" s="2297" t="n">
        <f aca="false">O59+U59</f>
        <v>1050.46</v>
      </c>
      <c r="O59" s="2275" t="n">
        <f aca="false">P59+Q59+R59+S59+T59</f>
        <v>938.26</v>
      </c>
      <c r="P59" s="2276" t="n">
        <f aca="false">DataDE2b!BN65</f>
        <v>0</v>
      </c>
      <c r="Q59" s="2276" t="n">
        <f aca="false">DataDE2b!BF65</f>
        <v>33.5</v>
      </c>
      <c r="R59" s="2275" t="n">
        <f aca="false">DataDE2b!AO65</f>
        <v>27.6</v>
      </c>
      <c r="S59" s="2283" t="n">
        <f aca="false">DataDE2b!AX65</f>
        <v>874</v>
      </c>
      <c r="T59" s="2276" t="n">
        <f aca="false">DataDE2b!BV65</f>
        <v>3.16</v>
      </c>
      <c r="U59" s="2275" t="n">
        <f aca="false">DataDE2b!CC65</f>
        <v>112.2</v>
      </c>
      <c r="V59" s="2275" t="n">
        <f aca="false">W59-X59</f>
        <v>-595.9</v>
      </c>
      <c r="W59" s="2275" t="n">
        <f aca="false">DataDE2b!DG64</f>
        <v>507.8</v>
      </c>
      <c r="X59" s="2275" t="n">
        <f aca="false">DataDE2b!DH64</f>
        <v>1103.7</v>
      </c>
      <c r="Y59" s="2279" t="n">
        <f aca="false">N59+V59</f>
        <v>454.56</v>
      </c>
      <c r="Z59" s="2280" t="n">
        <f aca="false">DataDE2b!EW64</f>
        <v>1350.468</v>
      </c>
      <c r="AA59" s="2280" t="n">
        <f aca="false">DataDE2b!EX64</f>
        <v>1270.35</v>
      </c>
      <c r="AB59" s="2281" t="n">
        <f aca="false">DataDE2b!EY64</f>
        <v>80.118</v>
      </c>
      <c r="AC59" s="2275" t="n">
        <f aca="false">AF59+AG59+AH59+AI59+AK59+AJ59</f>
        <v>3715.7</v>
      </c>
      <c r="AD59" s="2276" t="n">
        <f aca="false">AH59+AJ59*AH59/(AH59+AI59)</f>
        <v>3121.80079823115</v>
      </c>
      <c r="AE59" s="2276" t="n">
        <f aca="false">AC59-AD59</f>
        <v>593.89920176885</v>
      </c>
      <c r="AF59" s="2276" t="n">
        <f aca="false">DataDE2b!BM65*10</f>
        <v>44.3</v>
      </c>
      <c r="AG59" s="2275" t="n">
        <f aca="false">DataDE2b!BE65</f>
        <v>125.7</v>
      </c>
      <c r="AH59" s="2275" t="n">
        <f aca="false">DataDE2b!AN65</f>
        <v>2353.5</v>
      </c>
      <c r="AI59" s="2275" t="n">
        <f aca="false">DataDE2b!AW65</f>
        <v>314.9</v>
      </c>
      <c r="AJ59" s="2275" t="n">
        <f aca="false">DataDE2b!CB65</f>
        <v>871.1</v>
      </c>
      <c r="AK59" s="2276" t="n">
        <f aca="false">DataDE2b!BU65</f>
        <v>6.2</v>
      </c>
      <c r="AL59" s="2275" t="n">
        <f aca="false">AM59-AR59</f>
        <v>1512.4</v>
      </c>
      <c r="AM59" s="2275" t="n">
        <f aca="false">DataDE2b!X64</f>
        <v>2745.8</v>
      </c>
      <c r="AN59" s="2275" t="n">
        <f aca="false">DataDE2b!Z64</f>
        <v>224.8</v>
      </c>
      <c r="AO59" s="2275" t="n">
        <f aca="false">DataDE2b!AA64</f>
        <v>318.7</v>
      </c>
      <c r="AP59" s="2275" t="n">
        <f aca="false">DataDE2b!AB64</f>
        <v>595.8</v>
      </c>
      <c r="AQ59" s="2275" t="n">
        <f aca="false">AM59-AN59-AP59-AO59</f>
        <v>1606.5</v>
      </c>
      <c r="AR59" s="2275" t="n">
        <f aca="false">DataDE2b!AD64</f>
        <v>1233.4</v>
      </c>
      <c r="AS59" s="2275" t="n">
        <f aca="false">AC59+AL59</f>
        <v>5228.1</v>
      </c>
      <c r="AU59" s="2252" t="n">
        <v>784.1</v>
      </c>
      <c r="AV59" s="2252" t="n">
        <f aca="false">AVERAGE(AU58:AU59)</f>
        <v>776.95</v>
      </c>
      <c r="AW59" s="759" t="n">
        <f aca="false">AD59/DataDE1!B58</f>
        <v>1.92572993537175</v>
      </c>
      <c r="AY59" s="2304" t="n">
        <f aca="false">AH59/(E59+R59+AH59)</f>
        <v>0.827793605571383</v>
      </c>
      <c r="AZ59" s="2305" t="n">
        <f aca="false">E59/(E59+R59+AH59)</f>
        <v>0.1624986810172</v>
      </c>
    </row>
    <row r="60" customFormat="false" ht="12" hidden="false" customHeight="false" outlineLevel="0" collapsed="false">
      <c r="A60" s="2252" t="n">
        <v>1998</v>
      </c>
      <c r="B60" s="2275" t="n">
        <f aca="false">C60+D60+E60+F60+H60+G60</f>
        <v>3187.7</v>
      </c>
      <c r="C60" s="2283" t="n">
        <f aca="false">DataDE2b!BO66*10</f>
        <v>30.3</v>
      </c>
      <c r="D60" s="2283" t="n">
        <f aca="false">DataDE2b!BG66</f>
        <v>708.5</v>
      </c>
      <c r="E60" s="2283" t="n">
        <f aca="false">DataDE2b!AP66</f>
        <v>471.5</v>
      </c>
      <c r="F60" s="2283" t="n">
        <f aca="false">DataDE2b!AY66</f>
        <v>1024.2</v>
      </c>
      <c r="G60" s="2275" t="n">
        <f aca="false">DataDE2b!CB66</f>
        <v>920.2</v>
      </c>
      <c r="H60" s="2276" t="n">
        <f aca="false">DataDE2b!BW66</f>
        <v>33</v>
      </c>
      <c r="I60" s="2275" t="n">
        <f aca="false">J60-K60</f>
        <v>-1037.7</v>
      </c>
      <c r="J60" s="2275" t="n">
        <f aca="false">DataDE2b!EG65</f>
        <v>7109.2</v>
      </c>
      <c r="K60" s="2275" t="n">
        <f aca="false">(DataDE2b!EJ65+DataDE2b!EM65)</f>
        <v>8146.9</v>
      </c>
      <c r="L60" s="2275" t="n">
        <f aca="false">DataDE2b!EM65</f>
        <v>2315.6</v>
      </c>
      <c r="M60" s="2279" t="n">
        <f aca="false">B60+I60</f>
        <v>2150</v>
      </c>
      <c r="N60" s="2297" t="n">
        <f aca="false">O60+U60</f>
        <v>1052.93</v>
      </c>
      <c r="O60" s="2275" t="n">
        <f aca="false">P60+Q60+R60+S60+T60</f>
        <v>936.13</v>
      </c>
      <c r="P60" s="2276" t="n">
        <f aca="false">DataDE2b!BN66</f>
        <v>0</v>
      </c>
      <c r="Q60" s="2276" t="n">
        <f aca="false">DataDE2b!BF66</f>
        <v>32.4</v>
      </c>
      <c r="R60" s="2275" t="n">
        <f aca="false">DataDE2b!AO66</f>
        <v>27.9</v>
      </c>
      <c r="S60" s="2283" t="n">
        <f aca="false">DataDE2b!AX66</f>
        <v>872.6</v>
      </c>
      <c r="T60" s="2276" t="n">
        <f aca="false">DataDE2b!BV66</f>
        <v>3.23</v>
      </c>
      <c r="U60" s="2275" t="n">
        <f aca="false">DataDE2b!CC66</f>
        <v>116.8</v>
      </c>
      <c r="V60" s="2275" t="n">
        <f aca="false">W60-X60</f>
        <v>-605.9</v>
      </c>
      <c r="W60" s="2275" t="n">
        <f aca="false">DataDE2b!DG65</f>
        <v>549.9</v>
      </c>
      <c r="X60" s="2275" t="n">
        <f aca="false">DataDE2b!DH65</f>
        <v>1155.8</v>
      </c>
      <c r="Y60" s="2279" t="n">
        <f aca="false">N60+V60</f>
        <v>447.03</v>
      </c>
      <c r="Z60" s="2280" t="n">
        <f aca="false">DataDE2b!EW65</f>
        <v>1631.498</v>
      </c>
      <c r="AA60" s="2280" t="n">
        <f aca="false">DataDE2b!EX65</f>
        <v>1552.84</v>
      </c>
      <c r="AB60" s="2281" t="n">
        <f aca="false">DataDE2b!EY65</f>
        <v>78.658</v>
      </c>
      <c r="AC60" s="2275" t="n">
        <f aca="false">AF60+AG60+AH60+AI60+AK60+AJ60</f>
        <v>3842.2</v>
      </c>
      <c r="AD60" s="2276" t="n">
        <f aca="false">AH60+AJ60*AH60/(AH60+AI60)</f>
        <v>3237.48245920746</v>
      </c>
      <c r="AE60" s="2276" t="n">
        <f aca="false">AC60-AD60</f>
        <v>604.717540792542</v>
      </c>
      <c r="AF60" s="2276" t="n">
        <f aca="false">DataDE2b!BM66*10</f>
        <v>45.4</v>
      </c>
      <c r="AG60" s="2275" t="n">
        <f aca="false">DataDE2b!BE66</f>
        <v>124.5</v>
      </c>
      <c r="AH60" s="2275" t="n">
        <f aca="false">DataDE2b!AN66</f>
        <v>2424.8</v>
      </c>
      <c r="AI60" s="2275" t="n">
        <f aca="false">DataDE2b!AW66</f>
        <v>320.8</v>
      </c>
      <c r="AJ60" s="2275" t="n">
        <f aca="false">DataDE2b!CB66</f>
        <v>920.2</v>
      </c>
      <c r="AK60" s="2276" t="n">
        <f aca="false">DataDE2b!BU66</f>
        <v>6.5</v>
      </c>
      <c r="AL60" s="2275" t="n">
        <f aca="false">AM60-AR60</f>
        <v>1666</v>
      </c>
      <c r="AM60" s="2275" t="n">
        <f aca="false">DataDE2b!X65</f>
        <v>2961.9</v>
      </c>
      <c r="AN60" s="2275" t="n">
        <f aca="false">DataDE2b!Z65</f>
        <v>299.3</v>
      </c>
      <c r="AO60" s="2275" t="n">
        <f aca="false">DataDE2b!AA65</f>
        <v>363.6</v>
      </c>
      <c r="AP60" s="2275" t="n">
        <f aca="false">DataDE2b!AB65</f>
        <v>649.3</v>
      </c>
      <c r="AQ60" s="2275" t="n">
        <f aca="false">AM60-AN60-AP60-AO60</f>
        <v>1649.7</v>
      </c>
      <c r="AR60" s="2275" t="n">
        <f aca="false">DataDE2b!AD65</f>
        <v>1295.9</v>
      </c>
      <c r="AS60" s="2275" t="n">
        <f aca="false">AC60+AL60</f>
        <v>5508.2</v>
      </c>
      <c r="AU60" s="2252" t="n">
        <v>805.2</v>
      </c>
      <c r="AV60" s="2252" t="n">
        <f aca="false">AVERAGE(AU59:AU60)</f>
        <v>794.65</v>
      </c>
      <c r="AW60" s="759" t="n">
        <f aca="false">AD60/DataDE1!B59</f>
        <v>1.95571007563577</v>
      </c>
      <c r="AY60" s="2304" t="n">
        <f aca="false">AH60/(E60+R60+AH60)</f>
        <v>0.829218247725874</v>
      </c>
      <c r="AZ60" s="2305" t="n">
        <f aca="false">E60/(E60+R60+AH60)</f>
        <v>0.161240681211955</v>
      </c>
    </row>
    <row r="61" customFormat="false" ht="12" hidden="false" customHeight="false" outlineLevel="0" collapsed="false">
      <c r="A61" s="2252" t="n">
        <v>1999</v>
      </c>
      <c r="B61" s="2275" t="n">
        <f aca="false">C61+D61+E61+F61+H61+G61</f>
        <v>3290.2</v>
      </c>
      <c r="C61" s="2283" t="n">
        <f aca="false">DataDE2b!BO67*10</f>
        <v>27.5</v>
      </c>
      <c r="D61" s="2283" t="n">
        <f aca="false">DataDE2b!BG67</f>
        <v>728.9</v>
      </c>
      <c r="E61" s="2283" t="n">
        <f aca="false">DataDE2b!AP67</f>
        <v>477.2</v>
      </c>
      <c r="F61" s="2283" t="n">
        <f aca="false">DataDE2b!AY67</f>
        <v>1038.4</v>
      </c>
      <c r="G61" s="2275" t="n">
        <f aca="false">DataDE2b!CB67</f>
        <v>983.1</v>
      </c>
      <c r="H61" s="2276" t="n">
        <f aca="false">DataDE2b!BW67</f>
        <v>35.1</v>
      </c>
      <c r="I61" s="2275" t="n">
        <f aca="false">J61-K61</f>
        <v>-1131.2</v>
      </c>
      <c r="J61" s="2275" t="n">
        <f aca="false">DataDE2b!EG66</f>
        <v>8020</v>
      </c>
      <c r="K61" s="2275" t="n">
        <f aca="false">(DataDE2b!EJ66+DataDE2b!EM66)</f>
        <v>9151.2</v>
      </c>
      <c r="L61" s="2275" t="n">
        <f aca="false">DataDE2b!EM66</f>
        <v>2750.3</v>
      </c>
      <c r="M61" s="2279" t="n">
        <f aca="false">B61+I61</f>
        <v>2159</v>
      </c>
      <c r="N61" s="2297" t="n">
        <f aca="false">O61+U61</f>
        <v>1061.38</v>
      </c>
      <c r="O61" s="2275" t="n">
        <f aca="false">P61+Q61+R61+S61+T61</f>
        <v>937.18</v>
      </c>
      <c r="P61" s="2276" t="n">
        <f aca="false">DataDE2b!BN67</f>
        <v>0</v>
      </c>
      <c r="Q61" s="2276" t="n">
        <f aca="false">DataDE2b!BF67</f>
        <v>31.8</v>
      </c>
      <c r="R61" s="2277" t="n">
        <f aca="false">DataDE2b!AO67</f>
        <v>28.1</v>
      </c>
      <c r="S61" s="2283" t="n">
        <f aca="false">DataDE2b!AX67</f>
        <v>874</v>
      </c>
      <c r="T61" s="2276" t="n">
        <f aca="false">DataDE2b!BV67</f>
        <v>3.28</v>
      </c>
      <c r="U61" s="2275" t="n">
        <f aca="false">DataDE2b!CC67</f>
        <v>124.2</v>
      </c>
      <c r="V61" s="2275" t="n">
        <f aca="false">W61-X61</f>
        <v>-698.8</v>
      </c>
      <c r="W61" s="2275" t="n">
        <f aca="false">DataDE2b!DG66</f>
        <v>521.5</v>
      </c>
      <c r="X61" s="2275" t="n">
        <f aca="false">DataDE2b!DH66</f>
        <v>1220.3</v>
      </c>
      <c r="Y61" s="2279" t="n">
        <f aca="false">N61+V61</f>
        <v>362.58</v>
      </c>
      <c r="Z61" s="2280" t="n">
        <f aca="false">DataDE2b!EW66</f>
        <v>1889.501</v>
      </c>
      <c r="AA61" s="2280" t="n">
        <f aca="false">DataDE2b!EX66</f>
        <v>1882.086</v>
      </c>
      <c r="AB61" s="2281" t="n">
        <f aca="false">DataDE2b!EY66</f>
        <v>7.414</v>
      </c>
      <c r="AC61" s="2275" t="n">
        <f aca="false">AF61+AG61+AH61+AI61+AK61+AJ61</f>
        <v>3975.4</v>
      </c>
      <c r="AD61" s="2276" t="n">
        <f aca="false">AH61+AJ61*AH61/(AH61+AI61)</f>
        <v>3364.65312810328</v>
      </c>
      <c r="AE61" s="2276" t="n">
        <f aca="false">AC61-AD61</f>
        <v>610.746871896723</v>
      </c>
      <c r="AF61" s="2276" t="n">
        <f aca="false">DataDE2b!BM67*10</f>
        <v>41.3</v>
      </c>
      <c r="AG61" s="2275" t="n">
        <f aca="false">DataDE2b!BE67</f>
        <v>124.7</v>
      </c>
      <c r="AH61" s="2275" t="n">
        <f aca="false">DataDE2b!AN67</f>
        <v>2494.8</v>
      </c>
      <c r="AI61" s="2275" t="n">
        <f aca="false">DataDE2b!AW67</f>
        <v>324.8</v>
      </c>
      <c r="AJ61" s="2275" t="n">
        <f aca="false">DataDE2b!CB67</f>
        <v>983.1</v>
      </c>
      <c r="AK61" s="2276" t="n">
        <f aca="false">DataDE2b!BU67</f>
        <v>6.7</v>
      </c>
      <c r="AL61" s="2275" t="n">
        <f aca="false">AM61-AR61</f>
        <v>1795.9</v>
      </c>
      <c r="AM61" s="2275" t="n">
        <f aca="false">DataDE2b!X66</f>
        <v>3167</v>
      </c>
      <c r="AN61" s="2275" t="n">
        <f aca="false">DataDE2b!Z66</f>
        <v>359.4</v>
      </c>
      <c r="AO61" s="2275" t="n">
        <f aca="false">DataDE2b!AA66</f>
        <v>406.5</v>
      </c>
      <c r="AP61" s="2275" t="n">
        <f aca="false">DataDE2b!AB66</f>
        <v>703.5</v>
      </c>
      <c r="AQ61" s="2275" t="n">
        <f aca="false">AM61-AN61-AP61-AO61</f>
        <v>1697.6</v>
      </c>
      <c r="AR61" s="2275" t="n">
        <f aca="false">DataDE2b!AD66</f>
        <v>1371.1</v>
      </c>
      <c r="AS61" s="2275" t="n">
        <f aca="false">AC61+AL61</f>
        <v>5771.3</v>
      </c>
      <c r="AU61" s="2252" t="n">
        <v>823.9</v>
      </c>
      <c r="AV61" s="2252" t="n">
        <f aca="false">AVERAGE(AU60:AU61)</f>
        <v>814.55</v>
      </c>
      <c r="AW61" s="759" t="n">
        <f aca="false">AD61/DataDE1!B60</f>
        <v>1.99437671709133</v>
      </c>
      <c r="AY61" s="2304" t="n">
        <f aca="false">AH61/(E61+R61+AH61)</f>
        <v>0.831572280923969</v>
      </c>
      <c r="AZ61" s="2305" t="n">
        <f aca="false">E61/(E61+R61+AH61)</f>
        <v>0.159061364621179</v>
      </c>
    </row>
    <row r="62" customFormat="false" ht="12" hidden="false" customHeight="false" outlineLevel="0" collapsed="false">
      <c r="A62" s="2252" t="n">
        <v>2000</v>
      </c>
      <c r="B62" s="2275" t="n">
        <f aca="false">C62+D62+E62+F62+H62+G62</f>
        <v>3377.7</v>
      </c>
      <c r="C62" s="2283" t="n">
        <f aca="false">DataDE2b!BO68*10</f>
        <v>28</v>
      </c>
      <c r="D62" s="2283" t="n">
        <f aca="false">DataDE2b!BG68</f>
        <v>750.9</v>
      </c>
      <c r="E62" s="2283" t="n">
        <f aca="false">DataDE2b!AP68</f>
        <v>481.2</v>
      </c>
      <c r="F62" s="2283" t="n">
        <f aca="false">DataDE2b!AY68</f>
        <v>1044.6</v>
      </c>
      <c r="G62" s="2275" t="n">
        <f aca="false">DataDE2b!CB68</f>
        <v>1035.4</v>
      </c>
      <c r="H62" s="2276" t="n">
        <f aca="false">DataDE2b!BW68</f>
        <v>37.6</v>
      </c>
      <c r="I62" s="2275" t="n">
        <f aca="false">J62-K62</f>
        <v>-1250.7</v>
      </c>
      <c r="J62" s="2275" t="n">
        <f aca="false">DataDE2b!EG67</f>
        <v>9112.5</v>
      </c>
      <c r="K62" s="2275" t="n">
        <f aca="false">(DataDE2b!EJ67+DataDE2b!EM67)</f>
        <v>10363.2</v>
      </c>
      <c r="L62" s="2275" t="n">
        <f aca="false">DataDE2b!EM67</f>
        <v>3446.6</v>
      </c>
      <c r="M62" s="2279" t="n">
        <f aca="false">B62+I62</f>
        <v>2127</v>
      </c>
      <c r="N62" s="2297" t="n">
        <f aca="false">O62+U62</f>
        <v>1069.05</v>
      </c>
      <c r="O62" s="2275" t="n">
        <f aca="false">P62+Q62+R62+S62+T62</f>
        <v>939.75</v>
      </c>
      <c r="P62" s="2276" t="n">
        <f aca="false">DataDE2b!BN68</f>
        <v>0</v>
      </c>
      <c r="Q62" s="2276" t="n">
        <f aca="false">DataDE2b!BF68</f>
        <v>31.6</v>
      </c>
      <c r="R62" s="2277" t="n">
        <f aca="false">DataDE2b!AO68</f>
        <v>28.1</v>
      </c>
      <c r="S62" s="2283" t="n">
        <f aca="false">DataDE2b!AX68</f>
        <v>876.7</v>
      </c>
      <c r="T62" s="2276" t="n">
        <f aca="false">DataDE2b!BV68</f>
        <v>3.35</v>
      </c>
      <c r="U62" s="2275" t="n">
        <f aca="false">DataDE2b!CC68</f>
        <v>129.3</v>
      </c>
      <c r="V62" s="2275" t="n">
        <f aca="false">W62-X62</f>
        <v>-687.6</v>
      </c>
      <c r="W62" s="2275" t="n">
        <f aca="false">DataDE2b!DG67</f>
        <v>546.5</v>
      </c>
      <c r="X62" s="2275" t="n">
        <f aca="false">DataDE2b!DH67</f>
        <v>1234.1</v>
      </c>
      <c r="Y62" s="2279" t="n">
        <f aca="false">N62+V62</f>
        <v>381.45</v>
      </c>
      <c r="Z62" s="2280" t="n">
        <f aca="false">DataDE2b!EW67</f>
        <v>2443.751</v>
      </c>
      <c r="AA62" s="2280" t="n">
        <f aca="false">DataDE2b!EX67</f>
        <v>2353.489</v>
      </c>
      <c r="AB62" s="2281" t="n">
        <f aca="false">DataDE2b!EY67</f>
        <v>90.262</v>
      </c>
      <c r="AC62" s="2275" t="n">
        <f aca="false">AF62+AG62+AH62+AI62+AK62+AJ62</f>
        <v>4093.3</v>
      </c>
      <c r="AD62" s="2276" t="n">
        <f aca="false">AH62+AJ62*AH62/(AH62+AI62)</f>
        <v>3477.58414008322</v>
      </c>
      <c r="AE62" s="2276" t="n">
        <f aca="false">AC62-AD62</f>
        <v>615.715859916782</v>
      </c>
      <c r="AF62" s="2276" t="n">
        <f aca="false">DataDE2b!BM68*10</f>
        <v>42.1</v>
      </c>
      <c r="AG62" s="2275" t="n">
        <f aca="false">DataDE2b!BE68</f>
        <v>124.8</v>
      </c>
      <c r="AH62" s="2275" t="n">
        <f aca="false">DataDE2b!AN68</f>
        <v>2558.9</v>
      </c>
      <c r="AI62" s="2275" t="n">
        <f aca="false">DataDE2b!AW68</f>
        <v>325.1</v>
      </c>
      <c r="AJ62" s="2275" t="n">
        <f aca="false">DataDE2b!CB68</f>
        <v>1035.4</v>
      </c>
      <c r="AK62" s="2276" t="n">
        <f aca="false">DataDE2b!BU68</f>
        <v>7</v>
      </c>
      <c r="AL62" s="2275" t="n">
        <f aca="false">AM62-AR62</f>
        <v>1971.9</v>
      </c>
      <c r="AM62" s="2275" t="n">
        <f aca="false">DataDE2b!X67</f>
        <v>3440</v>
      </c>
      <c r="AN62" s="2275" t="n">
        <f aca="false">DataDE2b!Z67</f>
        <v>483.4</v>
      </c>
      <c r="AO62" s="2275" t="n">
        <f aca="false">DataDE2b!AA67</f>
        <v>473.7</v>
      </c>
      <c r="AP62" s="2275" t="n">
        <f aca="false">DataDE2b!AB67</f>
        <v>764.3</v>
      </c>
      <c r="AQ62" s="2275" t="n">
        <f aca="false">AM62-AN62-AP62-AO62</f>
        <v>1718.6</v>
      </c>
      <c r="AR62" s="2275" t="n">
        <f aca="false">DataDE2b!AD67</f>
        <v>1468.1</v>
      </c>
      <c r="AS62" s="2275" t="n">
        <f aca="false">AC62+AL62</f>
        <v>6065.2</v>
      </c>
      <c r="AU62" s="2252" t="n">
        <v>836.6</v>
      </c>
      <c r="AV62" s="2252" t="n">
        <f aca="false">AVERAGE(AU61:AU62)</f>
        <v>830.25</v>
      </c>
      <c r="AW62" s="759" t="n">
        <f aca="false">AD62/DataDE1!B61</f>
        <v>2.01654023999769</v>
      </c>
      <c r="AY62" s="2304" t="n">
        <f aca="false">AH62/(E62+R62+AH62)</f>
        <v>0.834006909588684</v>
      </c>
      <c r="AZ62" s="2305" t="n">
        <f aca="false">E62/(E62+R62+AH62)</f>
        <v>0.156834626165178</v>
      </c>
    </row>
    <row r="63" customFormat="false" ht="12" hidden="false" customHeight="false" outlineLevel="0" collapsed="false">
      <c r="A63" s="2252" t="n">
        <v>2001</v>
      </c>
      <c r="B63" s="2275" t="n">
        <f aca="false">C63+D63+E63+F63+H63+G63</f>
        <v>3505</v>
      </c>
      <c r="C63" s="2283" t="n">
        <f aca="false">DataDE2b!BO69*10</f>
        <v>22.8</v>
      </c>
      <c r="D63" s="2283" t="n">
        <f aca="false">DataDE2b!BG69</f>
        <v>788.9</v>
      </c>
      <c r="E63" s="2283" t="n">
        <f aca="false">DataDE2b!AP69</f>
        <v>486.8</v>
      </c>
      <c r="F63" s="2283" t="n">
        <f aca="false">DataDE2b!AY69</f>
        <v>1071.4</v>
      </c>
      <c r="G63" s="2275" t="n">
        <f aca="false">DataDE2b!CB69</f>
        <v>1093.9</v>
      </c>
      <c r="H63" s="2276" t="n">
        <f aca="false">DataDE2b!BW69</f>
        <v>41.2</v>
      </c>
      <c r="I63" s="2275" t="n">
        <f aca="false">J63-K63</f>
        <v>-1283.5</v>
      </c>
      <c r="J63" s="2275" t="n">
        <f aca="false">DataDE2b!EG68</f>
        <v>9655.4</v>
      </c>
      <c r="K63" s="2275" t="n">
        <f aca="false">(DataDE2b!EJ68+DataDE2b!EM68)</f>
        <v>10938.9</v>
      </c>
      <c r="L63" s="2275" t="n">
        <f aca="false">DataDE2b!EM68</f>
        <v>3384.8</v>
      </c>
      <c r="M63" s="2279" t="n">
        <f aca="false">B63+I63</f>
        <v>2221.5</v>
      </c>
      <c r="N63" s="2297" t="n">
        <f aca="false">O63+U63</f>
        <v>1104.86</v>
      </c>
      <c r="O63" s="2275" t="n">
        <f aca="false">P63+Q63+R63+S63+T63</f>
        <v>952.66</v>
      </c>
      <c r="P63" s="2276" t="n">
        <f aca="false">DataDE2b!BN69</f>
        <v>0</v>
      </c>
      <c r="Q63" s="2276" t="n">
        <f aca="false">DataDE2b!BF69</f>
        <v>31.8</v>
      </c>
      <c r="R63" s="2277" t="n">
        <f aca="false">DataDE2b!AO69</f>
        <v>28.3</v>
      </c>
      <c r="S63" s="2283" t="n">
        <f aca="false">DataDE2b!AX69</f>
        <v>889</v>
      </c>
      <c r="T63" s="2276" t="n">
        <f aca="false">DataDE2b!BV69</f>
        <v>3.56</v>
      </c>
      <c r="U63" s="2275" t="n">
        <f aca="false">DataDE2b!CC69</f>
        <v>152.2</v>
      </c>
      <c r="V63" s="2275" t="n">
        <f aca="false">W63-X63</f>
        <v>-693</v>
      </c>
      <c r="W63" s="2275" t="n">
        <f aca="false">DataDE2b!DG68</f>
        <v>553.1</v>
      </c>
      <c r="X63" s="2275" t="n">
        <f aca="false">DataDE2b!DH68</f>
        <v>1246.1</v>
      </c>
      <c r="Y63" s="2279" t="n">
        <f aca="false">N63+V63</f>
        <v>411.86</v>
      </c>
      <c r="Z63" s="2280" t="n">
        <f aca="false">DataDE2b!EW68</f>
        <v>2840.704</v>
      </c>
      <c r="AA63" s="2280" t="n">
        <f aca="false">DataDE2b!EX68</f>
        <v>2773.741</v>
      </c>
      <c r="AB63" s="2281" t="n">
        <f aca="false">DataDE2b!EY68</f>
        <v>66.963</v>
      </c>
      <c r="AC63" s="2275" t="n">
        <f aca="false">AF63+AG63+AH63+AI63+AK63+AJ63</f>
        <v>4228.2</v>
      </c>
      <c r="AD63" s="2276" t="n">
        <f aca="false">AH63+AJ63*AH63/(AH63+AI63)</f>
        <v>3605.98410348084</v>
      </c>
      <c r="AE63" s="2276" t="n">
        <f aca="false">AC63-AD63</f>
        <v>622.215896519158</v>
      </c>
      <c r="AF63" s="2276" t="n">
        <f aca="false">DataDE2b!BM69*10</f>
        <v>34.1</v>
      </c>
      <c r="AG63" s="2275" t="n">
        <f aca="false">DataDE2b!BE69</f>
        <v>128</v>
      </c>
      <c r="AH63" s="2275" t="n">
        <f aca="false">DataDE2b!AN69</f>
        <v>2634.1</v>
      </c>
      <c r="AI63" s="2275" t="n">
        <f aca="false">DataDE2b!AW69</f>
        <v>330.7</v>
      </c>
      <c r="AJ63" s="2275" t="n">
        <f aca="false">DataDE2b!CB69</f>
        <v>1093.9</v>
      </c>
      <c r="AK63" s="2276" t="n">
        <f aca="false">DataDE2b!BU69</f>
        <v>7.4</v>
      </c>
      <c r="AL63" s="2275" t="n">
        <f aca="false">AM63-AR63</f>
        <v>2001.6</v>
      </c>
      <c r="AM63" s="2275" t="n">
        <f aca="false">DataDE2b!X68</f>
        <v>3515.9</v>
      </c>
      <c r="AN63" s="2275" t="n">
        <f aca="false">DataDE2b!Z68</f>
        <v>452.5</v>
      </c>
      <c r="AO63" s="2275" t="n">
        <f aca="false">DataDE2b!AA68</f>
        <v>541.4</v>
      </c>
      <c r="AP63" s="2275" t="n">
        <f aca="false">DataDE2b!AB68</f>
        <v>820.2</v>
      </c>
      <c r="AQ63" s="2275" t="n">
        <f aca="false">AM63-AN63-AP63-AO63</f>
        <v>1701.8</v>
      </c>
      <c r="AR63" s="2275" t="n">
        <f aca="false">DataDE2b!AD68</f>
        <v>1514.3</v>
      </c>
      <c r="AS63" s="2275" t="n">
        <f aca="false">AC63+AL63</f>
        <v>6229.8</v>
      </c>
      <c r="AU63" s="2252" t="n">
        <v>851.4</v>
      </c>
      <c r="AV63" s="2252" t="n">
        <f aca="false">AVERAGE(AU62:AU63)</f>
        <v>844</v>
      </c>
      <c r="AW63" s="759" t="n">
        <f aca="false">AD63/DataDE1!B62</f>
        <v>2.04018382300272</v>
      </c>
      <c r="AY63" s="2304" t="n">
        <f aca="false">AH63/(E63+R63+AH63)</f>
        <v>0.836434650069859</v>
      </c>
      <c r="AZ63" s="2305" t="n">
        <f aca="false">E63/(E63+R63+AH63)</f>
        <v>0.154578940683348</v>
      </c>
    </row>
    <row r="64" customFormat="false" ht="12" hidden="false" customHeight="false" outlineLevel="0" collapsed="false">
      <c r="A64" s="2252" t="n">
        <v>2002</v>
      </c>
      <c r="B64" s="2275" t="n">
        <f aca="false">C64+D64+E64+F64+H64+G64</f>
        <v>3626.1</v>
      </c>
      <c r="C64" s="2283" t="n">
        <f aca="false">DataDE2b!BO70*10</f>
        <v>24.2</v>
      </c>
      <c r="D64" s="2283" t="n">
        <f aca="false">DataDE2b!BG70</f>
        <v>811.4</v>
      </c>
      <c r="E64" s="2283" t="n">
        <f aca="false">DataDE2b!AP70</f>
        <v>489.6</v>
      </c>
      <c r="F64" s="2283" t="n">
        <f aca="false">DataDE2b!AY70</f>
        <v>1084</v>
      </c>
      <c r="G64" s="2275" t="n">
        <f aca="false">DataDE2b!CB70</f>
        <v>1173.1</v>
      </c>
      <c r="H64" s="2276" t="n">
        <f aca="false">DataDE2b!BW70</f>
        <v>43.8</v>
      </c>
      <c r="I64" s="2275" t="n">
        <f aca="false">J64-K64</f>
        <v>-1196.1</v>
      </c>
      <c r="J64" s="2275" t="n">
        <f aca="false">DataDE2b!EG69</f>
        <v>9977.7</v>
      </c>
      <c r="K64" s="2275" t="n">
        <f aca="false">(DataDE2b!EJ69+DataDE2b!EM69)</f>
        <v>11173.8</v>
      </c>
      <c r="L64" s="2275" t="n">
        <f aca="false">DataDE2b!EM69</f>
        <v>3241.9</v>
      </c>
      <c r="M64" s="2279" t="n">
        <f aca="false">B64+I64</f>
        <v>2430</v>
      </c>
      <c r="N64" s="2297" t="n">
        <f aca="false">O64+U64</f>
        <v>1119.25</v>
      </c>
      <c r="O64" s="2275" t="n">
        <f aca="false">P64+Q64+R64+S64+T64</f>
        <v>959.05</v>
      </c>
      <c r="P64" s="2276" t="n">
        <f aca="false">DataDE2b!BN70</f>
        <v>0</v>
      </c>
      <c r="Q64" s="2276" t="n">
        <f aca="false">DataDE2b!BF70</f>
        <v>31.8</v>
      </c>
      <c r="R64" s="2277" t="n">
        <f aca="false">DataDE2b!AO70</f>
        <v>28.4</v>
      </c>
      <c r="S64" s="2283" t="n">
        <f aca="false">DataDE2b!AX70</f>
        <v>895.2</v>
      </c>
      <c r="T64" s="2276" t="n">
        <f aca="false">DataDE2b!BV70</f>
        <v>3.65</v>
      </c>
      <c r="U64" s="2275" t="n">
        <f aca="false">DataDE2b!CC70</f>
        <v>160.2</v>
      </c>
      <c r="V64" s="2275" t="n">
        <f aca="false">W64-X64</f>
        <v>-760.9</v>
      </c>
      <c r="W64" s="2275" t="n">
        <f aca="false">DataDE2b!DG69</f>
        <v>504.2</v>
      </c>
      <c r="X64" s="2275" t="n">
        <f aca="false">DataDE2b!DH69</f>
        <v>1265.1</v>
      </c>
      <c r="Y64" s="2279" t="n">
        <f aca="false">N64+V64</f>
        <v>358.35</v>
      </c>
      <c r="Z64" s="2280" t="n">
        <f aca="false">DataDE2b!EW69</f>
        <v>3117.857</v>
      </c>
      <c r="AA64" s="2280" t="n">
        <f aca="false">DataDE2b!EX69</f>
        <v>2934.502</v>
      </c>
      <c r="AB64" s="2281" t="n">
        <f aca="false">DataDE2b!EY69</f>
        <v>183.355</v>
      </c>
      <c r="AC64" s="2275" t="n">
        <f aca="false">AF64+AG64+AH64+AI64+AK64+AJ64</f>
        <v>4369.1</v>
      </c>
      <c r="AD64" s="2276" t="n">
        <f aca="false">AH64+AJ64*AH64/(AH64+AI64)</f>
        <v>3736.2727423035</v>
      </c>
      <c r="AE64" s="2276" t="n">
        <f aca="false">AC64-AD64</f>
        <v>632.827257696505</v>
      </c>
      <c r="AF64" s="2276" t="n">
        <f aca="false">DataDE2b!BM70*10</f>
        <v>36.4</v>
      </c>
      <c r="AG64" s="2275" t="n">
        <f aca="false">DataDE2b!BE70</f>
        <v>127.9</v>
      </c>
      <c r="AH64" s="2275" t="n">
        <f aca="false">DataDE2b!AN70</f>
        <v>2692</v>
      </c>
      <c r="AI64" s="2275" t="n">
        <f aca="false">DataDE2b!AW70</f>
        <v>332.1</v>
      </c>
      <c r="AJ64" s="2275" t="n">
        <f aca="false">DataDE2b!CB70</f>
        <v>1173.1</v>
      </c>
      <c r="AK64" s="2276" t="n">
        <f aca="false">DataDE2b!BU70</f>
        <v>7.6</v>
      </c>
      <c r="AL64" s="2275" t="n">
        <f aca="false">AM64-AR64</f>
        <v>2073.4</v>
      </c>
      <c r="AM64" s="2275" t="n">
        <f aca="false">DataDE2b!X69</f>
        <v>3609.3</v>
      </c>
      <c r="AN64" s="2275" t="n">
        <f aca="false">DataDE2b!Z69</f>
        <v>368.1</v>
      </c>
      <c r="AO64" s="2275" t="n">
        <f aca="false">DataDE2b!AA69</f>
        <v>611.7</v>
      </c>
      <c r="AP64" s="2275" t="n">
        <f aca="false">DataDE2b!AB69</f>
        <v>866.6</v>
      </c>
      <c r="AQ64" s="2275" t="n">
        <f aca="false">AM64-AN64-AP64-AO64</f>
        <v>1762.9</v>
      </c>
      <c r="AR64" s="2275" t="n">
        <f aca="false">DataDE2b!AD69</f>
        <v>1535.9</v>
      </c>
      <c r="AS64" s="2275" t="n">
        <f aca="false">AC64+AL64</f>
        <v>6442.5</v>
      </c>
      <c r="AU64" s="2252" t="n">
        <v>862.4</v>
      </c>
      <c r="AV64" s="2252" t="n">
        <f aca="false">AVERAGE(AU63:AU64)</f>
        <v>856.9</v>
      </c>
      <c r="AW64" s="759" t="n">
        <f aca="false">AD64/DataDE1!B63</f>
        <v>2.09032776044864</v>
      </c>
      <c r="AY64" s="2304" t="n">
        <f aca="false">AH64/(E64+R64+AH64)</f>
        <v>0.838629283489097</v>
      </c>
      <c r="AZ64" s="2305" t="n">
        <f aca="false">E64/(E64+R64+AH64)</f>
        <v>0.152523364485981</v>
      </c>
    </row>
    <row r="65" customFormat="false" ht="12" hidden="false" customHeight="false" outlineLevel="0" collapsed="false">
      <c r="A65" s="2252" t="n">
        <v>2003</v>
      </c>
      <c r="B65" s="2275" t="n">
        <f aca="false">C65+D65+E65+F65+H65+G65</f>
        <v>3726.9</v>
      </c>
      <c r="C65" s="2283" t="n">
        <f aca="false">DataDE2b!BO71*10</f>
        <v>25.8</v>
      </c>
      <c r="D65" s="2283" t="n">
        <f aca="false">DataDE2b!BG71</f>
        <v>814.7</v>
      </c>
      <c r="E65" s="2283" t="n">
        <f aca="false">DataDE2b!AP71</f>
        <v>490.3</v>
      </c>
      <c r="F65" s="2283" t="n">
        <f aca="false">DataDE2b!AY71</f>
        <v>1085.9</v>
      </c>
      <c r="G65" s="2275" t="n">
        <f aca="false">DataDE2b!CB71</f>
        <v>1265.4</v>
      </c>
      <c r="H65" s="2276" t="n">
        <f aca="false">DataDE2b!BW71</f>
        <v>44.8</v>
      </c>
      <c r="I65" s="2275" t="n">
        <f aca="false">J65-K65</f>
        <v>-1177.7</v>
      </c>
      <c r="J65" s="2275" t="n">
        <f aca="false">DataDE2b!EG70</f>
        <v>9404.6</v>
      </c>
      <c r="K65" s="2275" t="n">
        <f aca="false">(DataDE2b!EJ70+DataDE2b!EM70)</f>
        <v>10582.3</v>
      </c>
      <c r="L65" s="2275" t="n">
        <f aca="false">DataDE2b!EM70</f>
        <v>2417.9</v>
      </c>
      <c r="M65" s="2279" t="n">
        <f aca="false">B65+I65</f>
        <v>2549.2</v>
      </c>
      <c r="N65" s="2297" t="n">
        <f aca="false">O65+U65</f>
        <v>1122.9</v>
      </c>
      <c r="O65" s="2275" t="n">
        <f aca="false">P65+Q65+R65+S65+T65</f>
        <v>956.3</v>
      </c>
      <c r="P65" s="2276" t="n">
        <f aca="false">DataDE2b!BN71</f>
        <v>0</v>
      </c>
      <c r="Q65" s="2276" t="n">
        <f aca="false">DataDE2b!BF71</f>
        <v>31.6</v>
      </c>
      <c r="R65" s="2277" t="n">
        <f aca="false">DataDE2b!AO71</f>
        <v>28.3</v>
      </c>
      <c r="S65" s="2283" t="n">
        <f aca="false">DataDE2b!AX71</f>
        <v>892.7</v>
      </c>
      <c r="T65" s="2276" t="n">
        <f aca="false">DataDE2b!BV71</f>
        <v>3.7</v>
      </c>
      <c r="U65" s="2275" t="n">
        <f aca="false">DataDE2b!CC71</f>
        <v>166.6</v>
      </c>
      <c r="V65" s="2275" t="n">
        <f aca="false">W65-X65</f>
        <v>-861.8</v>
      </c>
      <c r="W65" s="2275" t="n">
        <f aca="false">DataDE2b!DG70</f>
        <v>472.9</v>
      </c>
      <c r="X65" s="2275" t="n">
        <f aca="false">DataDE2b!DH70</f>
        <v>1334.7</v>
      </c>
      <c r="Y65" s="2279" t="n">
        <f aca="false">N65+V65</f>
        <v>261.1</v>
      </c>
      <c r="Z65" s="2280" t="n">
        <f aca="false">DataDE2b!EW70</f>
        <v>3055.676</v>
      </c>
      <c r="AA65" s="2280" t="n">
        <f aca="false">DataDE2b!EX70</f>
        <v>2947.292</v>
      </c>
      <c r="AB65" s="2281" t="n">
        <f aca="false">DataDE2b!EY70</f>
        <v>108.384</v>
      </c>
      <c r="AC65" s="2275" t="n">
        <f aca="false">AF65+AG65+AH65+AI65+AK65+AJ65</f>
        <v>4510.8</v>
      </c>
      <c r="AD65" s="2276" t="n">
        <f aca="false">AH65+AJ65*AH65/(AH65+AI65)</f>
        <v>3871.40834824479</v>
      </c>
      <c r="AE65" s="2276" t="n">
        <f aca="false">AC65-AD65</f>
        <v>639.391651755213</v>
      </c>
      <c r="AF65" s="2276" t="n">
        <f aca="false">DataDE2b!BM71*10</f>
        <v>38.8</v>
      </c>
      <c r="AG65" s="2275" t="n">
        <f aca="false">DataDE2b!BE71</f>
        <v>125.3</v>
      </c>
      <c r="AH65" s="2275" t="n">
        <f aca="false">DataDE2b!AN71</f>
        <v>2742.4</v>
      </c>
      <c r="AI65" s="2275" t="n">
        <f aca="false">DataDE2b!AW71</f>
        <v>331.3</v>
      </c>
      <c r="AJ65" s="2275" t="n">
        <f aca="false">DataDE2b!CB71</f>
        <v>1265.4</v>
      </c>
      <c r="AK65" s="2276" t="n">
        <f aca="false">DataDE2b!BU71</f>
        <v>7.6</v>
      </c>
      <c r="AL65" s="2275" t="n">
        <f aca="false">AM65-AR65</f>
        <v>2023.9</v>
      </c>
      <c r="AM65" s="2275" t="n">
        <f aca="false">DataDE2b!X70</f>
        <v>3576.5</v>
      </c>
      <c r="AN65" s="2275" t="n">
        <f aca="false">DataDE2b!Z70</f>
        <v>205.3</v>
      </c>
      <c r="AO65" s="2275" t="n">
        <f aca="false">DataDE2b!AA70</f>
        <v>589.8</v>
      </c>
      <c r="AP65" s="2275" t="n">
        <f aca="false">DataDE2b!AB70</f>
        <v>900.5</v>
      </c>
      <c r="AQ65" s="2275" t="n">
        <f aca="false">AM65-AN65-AP65-AO65</f>
        <v>1880.9</v>
      </c>
      <c r="AR65" s="2275" t="n">
        <f aca="false">DataDE2b!AD70</f>
        <v>1552.6</v>
      </c>
      <c r="AS65" s="2275" t="n">
        <f aca="false">AC65+AL65</f>
        <v>6534.7</v>
      </c>
      <c r="AU65" s="2252" t="n">
        <v>864.9</v>
      </c>
      <c r="AV65" s="2252" t="n">
        <f aca="false">AVERAGE(AU64:AU65)</f>
        <v>863.65</v>
      </c>
      <c r="AW65" s="759" t="n">
        <f aca="false">AD65/DataDE1!B64</f>
        <v>2.13712853891515</v>
      </c>
      <c r="AY65" s="2304" t="n">
        <f aca="false">AH65/(E65+R65+AH65)</f>
        <v>0.840969027905551</v>
      </c>
      <c r="AZ65" s="2305" t="n">
        <f aca="false">E65/(E65+R65+AH65)</f>
        <v>0.150352652560564</v>
      </c>
    </row>
    <row r="66" customFormat="false" ht="12" hidden="false" customHeight="false" outlineLevel="0" collapsed="false">
      <c r="A66" s="2252" t="n">
        <v>2004</v>
      </c>
      <c r="B66" s="2275" t="n">
        <f aca="false">C66+D66+E66+F66+H66+G66</f>
        <v>3820.2</v>
      </c>
      <c r="C66" s="2283" t="n">
        <f aca="false">DataDE2b!BO72*10</f>
        <v>23.9</v>
      </c>
      <c r="D66" s="2283" t="n">
        <f aca="false">DataDE2b!BG72</f>
        <v>807.2</v>
      </c>
      <c r="E66" s="2283" t="n">
        <f aca="false">DataDE2b!AP72</f>
        <v>490.6</v>
      </c>
      <c r="F66" s="2283" t="n">
        <f aca="false">DataDE2b!AY72</f>
        <v>1094.4</v>
      </c>
      <c r="G66" s="2277" t="n">
        <f aca="false">DataDE2b!CB72</f>
        <v>1359.4</v>
      </c>
      <c r="H66" s="2276" t="n">
        <f aca="false">DataDE2b!BW72</f>
        <v>44.7</v>
      </c>
      <c r="I66" s="2275" t="n">
        <f aca="false">J66-K66</f>
        <v>-1344.3</v>
      </c>
      <c r="J66" s="2275" t="n">
        <f aca="false">DataDE2b!EG71</f>
        <v>9769.7</v>
      </c>
      <c r="K66" s="2275" t="n">
        <f aca="false">(DataDE2b!EJ71+DataDE2b!EM71)</f>
        <v>11114</v>
      </c>
      <c r="L66" s="2275" t="n">
        <f aca="false">DataDE2b!EM71</f>
        <v>2809.8</v>
      </c>
      <c r="M66" s="2279" t="n">
        <f aca="false">B66+I66</f>
        <v>2475.9</v>
      </c>
      <c r="N66" s="2297" t="n">
        <f aca="false">O66+U66</f>
        <v>1129.93</v>
      </c>
      <c r="O66" s="2275" t="n">
        <f aca="false">P66+Q66+R66+S66+T66</f>
        <v>955.13</v>
      </c>
      <c r="P66" s="2276" t="n">
        <f aca="false">DataDE2b!BN72</f>
        <v>0</v>
      </c>
      <c r="Q66" s="2276" t="n">
        <f aca="false">DataDE2b!BF72</f>
        <v>30.5</v>
      </c>
      <c r="R66" s="2277" t="n">
        <f aca="false">DataDE2b!AO72</f>
        <v>28.3</v>
      </c>
      <c r="S66" s="2283" t="n">
        <f aca="false">DataDE2b!AX72</f>
        <v>892.5</v>
      </c>
      <c r="T66" s="2276" t="n">
        <f aca="false">DataDE2b!BV72</f>
        <v>3.83</v>
      </c>
      <c r="U66" s="2275" t="n">
        <f aca="false">DataDE2b!CC72</f>
        <v>174.8</v>
      </c>
      <c r="V66" s="2275" t="n">
        <f aca="false">W66-X66</f>
        <v>-933</v>
      </c>
      <c r="W66" s="2275" t="n">
        <f aca="false">DataDE2b!DG71</f>
        <v>484.2</v>
      </c>
      <c r="X66" s="2275" t="n">
        <f aca="false">DataDE2b!DH71</f>
        <v>1417.2</v>
      </c>
      <c r="Y66" s="2279" t="n">
        <f aca="false">N66+V66</f>
        <v>196.93</v>
      </c>
      <c r="Z66" s="2280" t="n">
        <f aca="false">DataDE2b!EW71</f>
        <v>3215.792</v>
      </c>
      <c r="AA66" s="2280" t="n">
        <f aca="false">DataDE2b!EX71</f>
        <v>3073.902</v>
      </c>
      <c r="AB66" s="2281" t="n">
        <f aca="false">DataDE2b!EY71</f>
        <v>141.89</v>
      </c>
      <c r="AC66" s="2275" t="n">
        <f aca="false">AF66+AG66+AH66+AI66+AK66+AJ66</f>
        <v>4650.4</v>
      </c>
      <c r="AD66" s="2276" t="n">
        <f aca="false">AH66+AJ66*AH66/(AH66+AI66)</f>
        <v>4007.90257173016</v>
      </c>
      <c r="AE66" s="2276" t="n">
        <f aca="false">AC66-AD66</f>
        <v>642.497428269839</v>
      </c>
      <c r="AF66" s="2276" t="n">
        <f aca="false">DataDE2b!BM72*10</f>
        <v>35.9</v>
      </c>
      <c r="AG66" s="2275" t="n">
        <f aca="false">DataDE2b!BE72</f>
        <v>121.2</v>
      </c>
      <c r="AH66" s="2275" t="n">
        <f aca="false">DataDE2b!AN72</f>
        <v>2793.3</v>
      </c>
      <c r="AI66" s="2275" t="n">
        <f aca="false">DataDE2b!AW72</f>
        <v>333</v>
      </c>
      <c r="AJ66" s="2277" t="n">
        <f aca="false">DataDE2b!CB72</f>
        <v>1359.4</v>
      </c>
      <c r="AK66" s="2276" t="n">
        <f aca="false">DataDE2b!BU72</f>
        <v>7.6</v>
      </c>
      <c r="AL66" s="2275" t="n">
        <f aca="false">AM66-AR66</f>
        <v>2239.8</v>
      </c>
      <c r="AM66" s="2275" t="n">
        <f aca="false">DataDE2b!X71</f>
        <v>3808.8</v>
      </c>
      <c r="AN66" s="2275" t="n">
        <f aca="false">DataDE2b!Z71</f>
        <v>263.5</v>
      </c>
      <c r="AO66" s="2275" t="n">
        <f aca="false">DataDE2b!AA71</f>
        <v>631.1</v>
      </c>
      <c r="AP66" s="2275" t="n">
        <f aca="false">DataDE2b!AB71</f>
        <v>946.4</v>
      </c>
      <c r="AQ66" s="2275" t="n">
        <f aca="false">AM66-AN66-AP66-AO66</f>
        <v>1967.8</v>
      </c>
      <c r="AR66" s="2275" t="n">
        <f aca="false">DataDE2b!AD71</f>
        <v>1569</v>
      </c>
      <c r="AS66" s="2275" t="n">
        <f aca="false">AC66+AL66</f>
        <v>6890.2</v>
      </c>
      <c r="AU66" s="2252" t="n">
        <v>867.9</v>
      </c>
      <c r="AV66" s="2252" t="n">
        <f aca="false">AVERAGE(AU65:AU66)</f>
        <v>866.4</v>
      </c>
      <c r="AW66" s="759" t="n">
        <f aca="false">AD66/DataDE1!B65</f>
        <v>2.11881208922179</v>
      </c>
      <c r="AY66" s="2304" t="n">
        <f aca="false">AH66/(E66+R66+AH66)</f>
        <v>0.84333675502687</v>
      </c>
      <c r="AZ66" s="2305" t="n">
        <f aca="false">E66/(E66+R66+AH66)</f>
        <v>0.148119074935088</v>
      </c>
    </row>
    <row r="67" customFormat="false" ht="12" hidden="false" customHeight="false" outlineLevel="0" collapsed="false">
      <c r="A67" s="2252" t="n">
        <v>2005</v>
      </c>
      <c r="B67" s="2275" t="n">
        <f aca="false">C67+D67+E67+F67+H67+G67</f>
        <v>3918.1</v>
      </c>
      <c r="C67" s="2283" t="n">
        <f aca="false">DataDE2b!BO73*10</f>
        <v>27</v>
      </c>
      <c r="D67" s="2283" t="n">
        <f aca="false">DataDE2b!BG73</f>
        <v>811.9</v>
      </c>
      <c r="E67" s="2283" t="n">
        <f aca="false">DataDE2b!AP73</f>
        <v>495.3</v>
      </c>
      <c r="F67" s="2283" t="n">
        <f aca="false">DataDE2b!AY73</f>
        <v>1122.8</v>
      </c>
      <c r="G67" s="2277" t="n">
        <f aca="false">DataDE2b!CB73</f>
        <v>1415.7</v>
      </c>
      <c r="H67" s="2276" t="n">
        <f aca="false">DataDE2b!BW73</f>
        <v>45.4</v>
      </c>
      <c r="I67" s="2275" t="n">
        <f aca="false">J67-K67</f>
        <v>-1319.3</v>
      </c>
      <c r="J67" s="2275" t="n">
        <f aca="false">DataDE2b!EG72</f>
        <v>10171.9</v>
      </c>
      <c r="K67" s="2275" t="n">
        <f aca="false">(DataDE2b!EJ72+DataDE2b!EM72)</f>
        <v>11491.2</v>
      </c>
      <c r="L67" s="2275" t="n">
        <f aca="false">DataDE2b!EM72</f>
        <v>2928.3</v>
      </c>
      <c r="M67" s="2279" t="n">
        <f aca="false">B67+I67</f>
        <v>2598.8</v>
      </c>
      <c r="N67" s="2297" t="n">
        <f aca="false">O67+U67</f>
        <v>1142.26</v>
      </c>
      <c r="O67" s="2277" t="n">
        <f aca="false">P67+Q67+R67+S67+T67</f>
        <v>960.26</v>
      </c>
      <c r="P67" s="2276" t="n">
        <f aca="false">DataDE2b!BN73</f>
        <v>0</v>
      </c>
      <c r="Q67" s="2276" t="n">
        <f aca="false">DataDE2b!BF73</f>
        <v>29.9</v>
      </c>
      <c r="R67" s="2277" t="n">
        <f aca="false">DataDE2b!AO73</f>
        <v>28.5</v>
      </c>
      <c r="S67" s="2283" t="n">
        <f aca="false">DataDE2b!AX73</f>
        <v>897.8</v>
      </c>
      <c r="T67" s="2276" t="n">
        <f aca="false">DataDE2b!BV73</f>
        <v>4.06</v>
      </c>
      <c r="U67" s="2275" t="n">
        <f aca="false">DataDE2b!CC73</f>
        <v>182</v>
      </c>
      <c r="V67" s="2275" t="n">
        <f aca="false">W67-X67</f>
        <v>-1039.1</v>
      </c>
      <c r="W67" s="2275" t="n">
        <f aca="false">DataDE2b!DG72</f>
        <v>478.1</v>
      </c>
      <c r="X67" s="2275" t="n">
        <f aca="false">DataDE2b!DH72</f>
        <v>1517.2</v>
      </c>
      <c r="Y67" s="2279" t="n">
        <f aca="false">N67+V67</f>
        <v>103.16</v>
      </c>
      <c r="Z67" s="2280" t="n">
        <f aca="false">DataDE2b!EW72</f>
        <v>3487.516</v>
      </c>
      <c r="AA67" s="2280" t="n">
        <f aca="false">DataDE2b!EX72</f>
        <v>3253.14</v>
      </c>
      <c r="AB67" s="2281" t="n">
        <f aca="false">DataDE2b!EY72</f>
        <v>234.376</v>
      </c>
      <c r="AC67" s="2275" t="n">
        <f aca="false">AF67+AG67+AH67+AI67+AK67+AJ67</f>
        <v>4796.3</v>
      </c>
      <c r="AD67" s="2276" t="n">
        <f aca="false">AH67+AJ67*AH67/(AH67+AI67)</f>
        <v>4140.17346113151</v>
      </c>
      <c r="AE67" s="2276" t="n">
        <f aca="false">AC67-AD67</f>
        <v>656.126538868489</v>
      </c>
      <c r="AF67" s="2276" t="n">
        <f aca="false">DataDE2b!BM73*10</f>
        <v>40.5</v>
      </c>
      <c r="AG67" s="2275" t="n">
        <f aca="false">DataDE2b!BE73</f>
        <v>119.1</v>
      </c>
      <c r="AH67" s="2275" t="n">
        <f aca="false">DataDE2b!AN73</f>
        <v>2874</v>
      </c>
      <c r="AI67" s="2275" t="n">
        <f aca="false">DataDE2b!AW73</f>
        <v>339.4</v>
      </c>
      <c r="AJ67" s="2277" t="n">
        <f aca="false">DataDE2b!CB73</f>
        <v>1415.7</v>
      </c>
      <c r="AK67" s="2276" t="n">
        <f aca="false">DataDE2b!BU73</f>
        <v>7.6</v>
      </c>
      <c r="AL67" s="2275" t="n">
        <f aca="false">AM67-AR67</f>
        <v>2397.6</v>
      </c>
      <c r="AM67" s="2275" t="n">
        <f aca="false">DataDE2b!X72</f>
        <v>3972.1</v>
      </c>
      <c r="AN67" s="2275" t="n">
        <f aca="false">DataDE2b!Z72</f>
        <v>282.2</v>
      </c>
      <c r="AO67" s="2275" t="n">
        <f aca="false">DataDE2b!AA72</f>
        <v>629.8</v>
      </c>
      <c r="AP67" s="2275" t="n">
        <f aca="false">DataDE2b!AB72</f>
        <v>994.2</v>
      </c>
      <c r="AQ67" s="2275" t="n">
        <f aca="false">AM67-AN67-AP67-AO67</f>
        <v>2065.9</v>
      </c>
      <c r="AR67" s="2275" t="n">
        <f aca="false">DataDE2b!AD72</f>
        <v>1574.5</v>
      </c>
      <c r="AS67" s="2275" t="n">
        <f aca="false">AC67+AL67</f>
        <v>7193.9</v>
      </c>
      <c r="AU67" s="2252" t="n">
        <v>868.9</v>
      </c>
      <c r="AV67" s="2252" t="n">
        <f aca="false">AVERAGE(AU66:AU67)</f>
        <v>868.4</v>
      </c>
      <c r="AW67" s="759" t="n">
        <f aca="false">AD67/DataDE1!B66</f>
        <v>2.15451125405594</v>
      </c>
      <c r="AY67" s="2304" t="n">
        <f aca="false">AH67/(E67+R67+AH67)</f>
        <v>0.84584142680558</v>
      </c>
      <c r="AZ67" s="2305" t="n">
        <f aca="false">E67/(E67+R67+AH67)</f>
        <v>0.145770792865972</v>
      </c>
    </row>
    <row r="68" customFormat="false" ht="12" hidden="false" customHeight="false" outlineLevel="0" collapsed="false">
      <c r="A68" s="2252" t="n">
        <v>2006</v>
      </c>
      <c r="B68" s="2275" t="n">
        <f aca="false">C68+D68+E68+F68+H68+G68</f>
        <v>4004.3</v>
      </c>
      <c r="C68" s="2283" t="n">
        <f aca="false">DataDE2b!BO74*10</f>
        <v>28.1</v>
      </c>
      <c r="D68" s="2283" t="n">
        <f aca="false">DataDE2b!BG74</f>
        <v>825.7</v>
      </c>
      <c r="E68" s="2283" t="n">
        <f aca="false">DataDE2b!AP74</f>
        <v>497.8</v>
      </c>
      <c r="F68" s="2283" t="n">
        <f aca="false">DataDE2b!AY74</f>
        <v>1140.2</v>
      </c>
      <c r="G68" s="2277" t="n">
        <f aca="false">DataDE2b!CB74</f>
        <v>1466.2</v>
      </c>
      <c r="H68" s="2276" t="n">
        <f aca="false">DataDE2b!BW74</f>
        <v>46.3</v>
      </c>
      <c r="I68" s="2275" t="n">
        <f aca="false">J68-K68</f>
        <v>-1223.4</v>
      </c>
      <c r="J68" s="2275" t="n">
        <f aca="false">DataDE2b!EG73</f>
        <v>10950.2</v>
      </c>
      <c r="K68" s="2275" t="n">
        <f aca="false">(DataDE2b!EJ73+DataDE2b!EM73)</f>
        <v>12173.6</v>
      </c>
      <c r="L68" s="2275" t="n">
        <f aca="false">DataDE2b!EM73</f>
        <v>3312.4</v>
      </c>
      <c r="M68" s="2279" t="n">
        <f aca="false">B68+I68</f>
        <v>2780.9</v>
      </c>
      <c r="N68" s="2297" t="n">
        <f aca="false">O68+U68</f>
        <v>1137.46</v>
      </c>
      <c r="O68" s="2277" t="n">
        <f aca="false">P68+Q68+R68+S68+T68</f>
        <v>964.06</v>
      </c>
      <c r="P68" s="2276" t="n">
        <f aca="false">DataDE2b!BN74</f>
        <v>0</v>
      </c>
      <c r="Q68" s="2276" t="n">
        <f aca="false">DataDE2b!BF74</f>
        <v>29.5</v>
      </c>
      <c r="R68" s="2277" t="n">
        <f aca="false">DataDE2b!AO74</f>
        <v>28.5</v>
      </c>
      <c r="S68" s="2283" t="n">
        <f aca="false">DataDE2b!AX74</f>
        <v>902</v>
      </c>
      <c r="T68" s="2276" t="n">
        <f aca="false">DataDE2b!BV74</f>
        <v>4.06</v>
      </c>
      <c r="U68" s="2275" t="n">
        <f aca="false">DataDE2b!CC74</f>
        <v>173.4</v>
      </c>
      <c r="V68" s="2275" t="n">
        <f aca="false">W68-X68</f>
        <v>-1105.1</v>
      </c>
      <c r="W68" s="2275" t="n">
        <f aca="false">DataDE2b!DG73</f>
        <v>491.2</v>
      </c>
      <c r="X68" s="2275" t="n">
        <f aca="false">DataDE2b!DH73</f>
        <v>1596.3</v>
      </c>
      <c r="Y68" s="2279" t="n">
        <f aca="false">N68+V68</f>
        <v>32.3600000000001</v>
      </c>
      <c r="Z68" s="2280" t="n">
        <f aca="false">DataDE2b!EW73</f>
        <v>4078.861</v>
      </c>
      <c r="AA68" s="2280" t="n">
        <f aca="false">DataDE2b!EX73</f>
        <v>3610.926</v>
      </c>
      <c r="AB68" s="2281" t="n">
        <f aca="false">DataDE2b!EY73</f>
        <v>467.936</v>
      </c>
      <c r="AC68" s="2275" t="n">
        <f aca="false">AF68+AG68+AH68+AI68+AK68+AJ68</f>
        <v>4919.1</v>
      </c>
      <c r="AD68" s="2276" t="n">
        <f aca="false">AH68+AJ68*AH68/(AH68+AI68)</f>
        <v>4254.36617736631</v>
      </c>
      <c r="AE68" s="2276" t="n">
        <f aca="false">AC68-AD68</f>
        <v>664.733822633695</v>
      </c>
      <c r="AF68" s="2276" t="n">
        <f aca="false">DataDE2b!BM74*10</f>
        <v>42.1</v>
      </c>
      <c r="AG68" s="2275" t="n">
        <f aca="false">DataDE2b!BE74</f>
        <v>119.4</v>
      </c>
      <c r="AH68" s="2275" t="n">
        <f aca="false">DataDE2b!AN74</f>
        <v>2941.1</v>
      </c>
      <c r="AI68" s="2275" t="n">
        <f aca="false">DataDE2b!AW74</f>
        <v>342.5</v>
      </c>
      <c r="AJ68" s="2277" t="n">
        <f aca="false">DataDE2b!CB74</f>
        <v>1466.2</v>
      </c>
      <c r="AK68" s="2276" t="n">
        <f aca="false">DataDE2b!BU74</f>
        <v>7.8</v>
      </c>
      <c r="AL68" s="2275" t="n">
        <f aca="false">AM68-AR68</f>
        <v>2633.4</v>
      </c>
      <c r="AM68" s="2275" t="n">
        <f aca="false">DataDE2b!X73</f>
        <v>4202</v>
      </c>
      <c r="AN68" s="2275" t="n">
        <f aca="false">DataDE2b!Z73</f>
        <v>327.1</v>
      </c>
      <c r="AO68" s="2275" t="n">
        <f aca="false">DataDE2b!AA73</f>
        <v>709.6</v>
      </c>
      <c r="AP68" s="2275" t="n">
        <f aca="false">DataDE2b!AB73</f>
        <v>1057.2</v>
      </c>
      <c r="AQ68" s="2275" t="n">
        <f aca="false">AM68-AN68-AP68-AO68</f>
        <v>2108.1</v>
      </c>
      <c r="AR68" s="2275" t="n">
        <f aca="false">DataDE2b!AD73</f>
        <v>1568.6</v>
      </c>
      <c r="AS68" s="2275" t="n">
        <f aca="false">AC68+AL68</f>
        <v>7552.5</v>
      </c>
      <c r="AU68" s="2252" t="n">
        <v>879.1</v>
      </c>
      <c r="AV68" s="2252" t="n">
        <f aca="false">AVERAGE(AU67:AU68)</f>
        <v>874</v>
      </c>
      <c r="AW68" s="759" t="n">
        <f aca="false">AD68/DataDE1!B67</f>
        <v>2.10071409113485</v>
      </c>
      <c r="AY68" s="2304" t="n">
        <f aca="false">AH68/(E68+R68+AH68)</f>
        <v>0.848214800715233</v>
      </c>
      <c r="AZ68" s="2305" t="n">
        <f aca="false">E68/(E68+R68+AH68)</f>
        <v>0.143565784161043</v>
      </c>
    </row>
    <row r="69" customFormat="false" ht="12" hidden="false" customHeight="false" outlineLevel="0" collapsed="false">
      <c r="A69" s="2252" t="n">
        <v>2007</v>
      </c>
      <c r="B69" s="2275" t="n">
        <f aca="false">C69+D69+E69+F69+H69+G69</f>
        <v>4119.3</v>
      </c>
      <c r="C69" s="2283" t="n">
        <f aca="false">DataDE2b!BO75*10</f>
        <v>31.5</v>
      </c>
      <c r="D69" s="2283" t="n">
        <f aca="false">DataDE2b!BG75</f>
        <v>854.3</v>
      </c>
      <c r="E69" s="2283" t="n">
        <f aca="false">DataDE2b!AP75</f>
        <v>507.7</v>
      </c>
      <c r="F69" s="2283" t="n">
        <f aca="false">DataDE2b!AY75</f>
        <v>1168.6</v>
      </c>
      <c r="G69" s="2277" t="n">
        <f aca="false">DataDE2b!CB75</f>
        <v>1509.5</v>
      </c>
      <c r="H69" s="2276" t="n">
        <f aca="false">DataDE2b!BW75</f>
        <v>47.7</v>
      </c>
      <c r="I69" s="2275" t="n">
        <f aca="false">J69-K69</f>
        <v>-1523.4</v>
      </c>
      <c r="J69" s="2275" t="n">
        <f aca="false">DataDE2b!EG74</f>
        <v>11400.7</v>
      </c>
      <c r="K69" s="2275" t="n">
        <f aca="false">(DataDE2b!EJ74+DataDE2b!EM74)</f>
        <v>12924.1</v>
      </c>
      <c r="L69" s="2275" t="n">
        <f aca="false">DataDE2b!EM74</f>
        <v>3703.6</v>
      </c>
      <c r="M69" s="2279" t="n">
        <f aca="false">B69+I69</f>
        <v>2595.9</v>
      </c>
      <c r="N69" s="2297" t="n">
        <f aca="false">O69+U69</f>
        <v>1165.47</v>
      </c>
      <c r="O69" s="2277" t="n">
        <f aca="false">P69+Q69+R69+S69+T69</f>
        <v>986.97</v>
      </c>
      <c r="P69" s="2276" t="n">
        <f aca="false">DataDE2b!BN75</f>
        <v>0</v>
      </c>
      <c r="Q69" s="2276" t="n">
        <f aca="false">DataDE2b!BF75</f>
        <v>29.3</v>
      </c>
      <c r="R69" s="2277" t="n">
        <f aca="false">DataDE2b!AO75</f>
        <v>29</v>
      </c>
      <c r="S69" s="2283" t="n">
        <f aca="false">DataDE2b!AX75</f>
        <v>924.4</v>
      </c>
      <c r="T69" s="2276" t="n">
        <f aca="false">DataDE2b!BV75</f>
        <v>4.27</v>
      </c>
      <c r="U69" s="2275" t="n">
        <f aca="false">DataDE2b!CC75</f>
        <v>178.5</v>
      </c>
      <c r="V69" s="2275" t="n">
        <f aca="false">W69-X69</f>
        <v>-1107.5</v>
      </c>
      <c r="W69" s="2275" t="n">
        <f aca="false">DataDE2b!DG74</f>
        <v>508.6</v>
      </c>
      <c r="X69" s="2275" t="n">
        <f aca="false">DataDE2b!DH74</f>
        <v>1616.1</v>
      </c>
      <c r="Y69" s="2279" t="n">
        <f aca="false">N69+V69</f>
        <v>57.9699999999998</v>
      </c>
      <c r="Z69" s="2280" t="n">
        <f aca="false">DataDE2b!EW74</f>
        <v>4566.147</v>
      </c>
      <c r="AA69" s="2280" t="n">
        <f aca="false">DataDE2b!EX74</f>
        <v>3919.422</v>
      </c>
      <c r="AB69" s="2281" t="n">
        <f aca="false">DataDE2b!EY74</f>
        <v>646.726</v>
      </c>
      <c r="AC69" s="2275" t="n">
        <f aca="false">AF69+AG69+AH69+AI69+AK69+AJ69</f>
        <v>5088</v>
      </c>
      <c r="AD69" s="2276" t="n">
        <f aca="false">AH69+AJ69*AH69/(AH69+AI69)</f>
        <v>4405.24568572688</v>
      </c>
      <c r="AE69" s="2276" t="n">
        <f aca="false">AC69-AD69</f>
        <v>682.754314273116</v>
      </c>
      <c r="AF69" s="2276" t="n">
        <f aca="false">DataDE2b!BM75*10</f>
        <v>47.2</v>
      </c>
      <c r="AG69" s="2275" t="n">
        <f aca="false">DataDE2b!BE75</f>
        <v>122</v>
      </c>
      <c r="AH69" s="2275" t="n">
        <f aca="false">DataDE2b!AN75</f>
        <v>3051.2</v>
      </c>
      <c r="AI69" s="2275" t="n">
        <f aca="false">DataDE2b!AW75</f>
        <v>350.3</v>
      </c>
      <c r="AJ69" s="2277" t="n">
        <f aca="false">DataDE2b!CB75</f>
        <v>1509.5</v>
      </c>
      <c r="AK69" s="2276" t="n">
        <f aca="false">DataDE2b!BU75</f>
        <v>7.8</v>
      </c>
      <c r="AL69" s="2275" t="n">
        <f aca="false">AM69-AR69</f>
        <v>2661.5</v>
      </c>
      <c r="AM69" s="2275" t="n">
        <f aca="false">DataDE2b!X74</f>
        <v>4229.1</v>
      </c>
      <c r="AN69" s="2275" t="n">
        <f aca="false">DataDE2b!Z74</f>
        <v>327.6</v>
      </c>
      <c r="AO69" s="2275" t="n">
        <f aca="false">DataDE2b!AA74</f>
        <v>671.5</v>
      </c>
      <c r="AP69" s="2275" t="n">
        <f aca="false">DataDE2b!AB74</f>
        <v>1118.9</v>
      </c>
      <c r="AQ69" s="2275" t="n">
        <f aca="false">AM69-AN69-AP69-AO69</f>
        <v>2111.1</v>
      </c>
      <c r="AR69" s="2275" t="n">
        <f aca="false">DataDE2b!AD74</f>
        <v>1567.6</v>
      </c>
      <c r="AS69" s="2275" t="n">
        <f aca="false">AC69+AL69</f>
        <v>7749.5</v>
      </c>
      <c r="AU69" s="2252" t="n">
        <v>892</v>
      </c>
      <c r="AV69" s="2252" t="n">
        <f aca="false">AVERAGE(AU68:AU69)</f>
        <v>885.55</v>
      </c>
      <c r="AW69" s="759" t="n">
        <f aca="false">AD69/DataDE1!B68</f>
        <v>2.07990825577284</v>
      </c>
      <c r="AY69" s="2304" t="n">
        <f aca="false">AH69/(E69+R69+AH69)</f>
        <v>0.85041389113409</v>
      </c>
      <c r="AZ69" s="2305" t="n">
        <f aca="false">E69/(E69+R69+AH69)</f>
        <v>0.141503386382006</v>
      </c>
    </row>
    <row r="70" customFormat="false" ht="12" hidden="false" customHeight="false" outlineLevel="0" collapsed="false">
      <c r="A70" s="2252" t="n">
        <v>2008</v>
      </c>
      <c r="B70" s="2277" t="n">
        <f aca="false">C70+D70+E70+F70+H70+G70</f>
        <v>4304.2</v>
      </c>
      <c r="C70" s="2276" t="n">
        <f aca="false">DataDE2b!BO76*10</f>
        <v>30</v>
      </c>
      <c r="D70" s="2276" t="n">
        <f aca="false">DataDE2b!BG76</f>
        <v>896.2</v>
      </c>
      <c r="E70" s="2276" t="n">
        <f aca="false">DataDE2b!AP76</f>
        <v>536.7</v>
      </c>
      <c r="F70" s="2276" t="n">
        <f aca="false">DataDE2b!AY76</f>
        <v>1239</v>
      </c>
      <c r="G70" s="2277" t="n">
        <f aca="false">DataDE2b!CB76</f>
        <v>1553</v>
      </c>
      <c r="H70" s="2276" t="n">
        <f aca="false">DataDE2b!BW76</f>
        <v>49.3</v>
      </c>
      <c r="I70" s="2275" t="n">
        <f aca="false">J70-K70</f>
        <v>-1747.5</v>
      </c>
      <c r="J70" s="2275" t="n">
        <f aca="false">DataDE2b!EG75</f>
        <v>12006.7</v>
      </c>
      <c r="K70" s="2275" t="n">
        <f aca="false">(DataDE2b!EJ75+DataDE2b!EM75)</f>
        <v>13754.2</v>
      </c>
      <c r="L70" s="2275" t="n">
        <f aca="false">DataDE2b!EM75</f>
        <v>4039.7</v>
      </c>
      <c r="M70" s="2279" t="n">
        <f aca="false">B70+I70</f>
        <v>2556.7</v>
      </c>
      <c r="N70" s="2297" t="n">
        <f aca="false">O70+U70</f>
        <v>1222.81</v>
      </c>
      <c r="O70" s="2277" t="n">
        <f aca="false">P70+Q70+R70+S70+T70</f>
        <v>1039.11</v>
      </c>
      <c r="P70" s="2276" t="n">
        <f aca="false">DataDE2b!BN76</f>
        <v>0</v>
      </c>
      <c r="Q70" s="2276" t="n">
        <f aca="false">DataDE2b!BF76</f>
        <v>28.5</v>
      </c>
      <c r="R70" s="2277" t="n">
        <f aca="false">DataDE2b!AO76</f>
        <v>30.5</v>
      </c>
      <c r="S70" s="2276" t="n">
        <f aca="false">DataDE2b!AX76</f>
        <v>975.7</v>
      </c>
      <c r="T70" s="2276" t="n">
        <f aca="false">DataDE2b!BV76</f>
        <v>4.41</v>
      </c>
      <c r="U70" s="2275" t="n">
        <f aca="false">DataDE2b!CC76</f>
        <v>183.7</v>
      </c>
      <c r="V70" s="2275" t="n">
        <f aca="false">W70-X70</f>
        <v>-1036.3</v>
      </c>
      <c r="W70" s="2275" t="n">
        <f aca="false">DataDE2b!DG75</f>
        <v>558.2</v>
      </c>
      <c r="X70" s="2275" t="n">
        <f aca="false">DataDE2b!DH75</f>
        <v>1594.5</v>
      </c>
      <c r="Y70" s="2279" t="n">
        <f aca="false">N70+V70</f>
        <v>186.51</v>
      </c>
      <c r="Z70" s="2280" t="n">
        <f aca="false">DataDE2b!EW75</f>
        <v>5018.122</v>
      </c>
      <c r="AA70" s="2280" t="n">
        <f aca="false">DataDE2b!EX75</f>
        <v>4374.6</v>
      </c>
      <c r="AB70" s="2281" t="n">
        <f aca="false">DataDE2b!EY75</f>
        <v>643.522</v>
      </c>
      <c r="AC70" s="2275" t="n">
        <f aca="false">AF70+AG70+AH70+AI70+AK70+AJ70</f>
        <v>5382</v>
      </c>
      <c r="AD70" s="2276" t="n">
        <f aca="false">AH70+AJ70*AH70/(AH70+AI70)</f>
        <v>4673.15961201228</v>
      </c>
      <c r="AE70" s="2276" t="n">
        <f aca="false">AC70-AD70</f>
        <v>708.840387987725</v>
      </c>
      <c r="AF70" s="2276" t="n">
        <f aca="false">DataDE2b!BM76*10</f>
        <v>45</v>
      </c>
      <c r="AG70" s="2275" t="n">
        <f aca="false">DataDE2b!BE76</f>
        <v>126.5</v>
      </c>
      <c r="AH70" s="2277" t="n">
        <f aca="false">DataDE2b!AN76</f>
        <v>3278.2</v>
      </c>
      <c r="AI70" s="2277" t="n">
        <f aca="false">DataDE2b!AW76</f>
        <v>371.4</v>
      </c>
      <c r="AJ70" s="2277" t="n">
        <f aca="false">DataDE2b!CB76</f>
        <v>1553</v>
      </c>
      <c r="AK70" s="2276" t="n">
        <f aca="false">DataDE2b!BU76</f>
        <v>7.9</v>
      </c>
      <c r="AL70" s="2275" t="n">
        <f aca="false">AM70-AR70</f>
        <v>2925</v>
      </c>
      <c r="AM70" s="2275" t="n">
        <f aca="false">DataDE2b!X75</f>
        <v>4471.9</v>
      </c>
      <c r="AN70" s="2275" t="n">
        <f aca="false">DataDE2b!Z75</f>
        <v>370.6</v>
      </c>
      <c r="AO70" s="2275" t="n">
        <f aca="false">DataDE2b!AA75</f>
        <v>688</v>
      </c>
      <c r="AP70" s="2275" t="n">
        <f aca="false">DataDE2b!AB75</f>
        <v>1193.6</v>
      </c>
      <c r="AQ70" s="2275" t="n">
        <f aca="false">AM70-AN70-AP70-AO70</f>
        <v>2219.7</v>
      </c>
      <c r="AR70" s="2275" t="n">
        <f aca="false">DataDE2b!AD75</f>
        <v>1546.9</v>
      </c>
      <c r="AS70" s="2275" t="n">
        <f aca="false">AC70+AL70</f>
        <v>8307</v>
      </c>
      <c r="AU70" s="2252" t="n">
        <v>897.3</v>
      </c>
      <c r="AV70" s="2252" t="n">
        <f aca="false">AVERAGE(AU69:AU70)</f>
        <v>894.65</v>
      </c>
      <c r="AW70" s="759" t="n">
        <f aca="false">AD70/DataDE1!B69</f>
        <v>2.18432166438984</v>
      </c>
      <c r="AY70" s="2304" t="n">
        <f aca="false">AH70/(E70+R70+AH70)</f>
        <v>0.852499089821605</v>
      </c>
      <c r="AZ70" s="2305" t="n">
        <f aca="false">E70/(E70+R70+AH70)</f>
        <v>0.139569355593696</v>
      </c>
    </row>
    <row r="71" customFormat="false" ht="12" hidden="false" customHeight="false" outlineLevel="0" collapsed="false">
      <c r="A71" s="2252" t="n">
        <v>2009</v>
      </c>
      <c r="B71" s="2277" t="n">
        <f aca="false">C71+D71+E71+F71+H71+G71</f>
        <v>4468.8</v>
      </c>
      <c r="C71" s="2276" t="n">
        <f aca="false">DataDE2b!BO77*10</f>
        <v>33.2</v>
      </c>
      <c r="D71" s="2276" t="n">
        <f aca="false">DataDE2b!BG77</f>
        <v>937.5</v>
      </c>
      <c r="E71" s="2276" t="n">
        <f aca="false">DataDE2b!AP77</f>
        <v>553</v>
      </c>
      <c r="F71" s="2276" t="n">
        <f aca="false">DataDE2b!AY77</f>
        <v>1294.6</v>
      </c>
      <c r="G71" s="2277" t="n">
        <f aca="false">DataDE2b!CB77</f>
        <v>1598.9</v>
      </c>
      <c r="H71" s="2276" t="n">
        <f aca="false">DataDE2b!BW77</f>
        <v>51.6</v>
      </c>
      <c r="I71" s="2275" t="n">
        <f aca="false">J71-K71</f>
        <v>-1254.5</v>
      </c>
      <c r="J71" s="2275" t="n">
        <f aca="false">DataDE2b!EG76</f>
        <v>12047.1</v>
      </c>
      <c r="K71" s="2275" t="n">
        <f aca="false">(DataDE2b!EJ76+DataDE2b!EM76)</f>
        <v>13301.6</v>
      </c>
      <c r="L71" s="2275" t="n">
        <f aca="false">DataDE2b!EM76</f>
        <v>3012.9</v>
      </c>
      <c r="M71" s="2279" t="n">
        <f aca="false">B71+I71</f>
        <v>3214.3</v>
      </c>
      <c r="N71" s="2297" t="n">
        <f aca="false">O71+U71</f>
        <v>1264.47</v>
      </c>
      <c r="O71" s="2277" t="n">
        <f aca="false">P71+Q71+R71+S71+T71</f>
        <v>1075.37</v>
      </c>
      <c r="P71" s="2276" t="n">
        <f aca="false">DataDE2b!BN77</f>
        <v>0</v>
      </c>
      <c r="Q71" s="2276" t="n">
        <f aca="false">DataDE2b!BF77</f>
        <v>28.7</v>
      </c>
      <c r="R71" s="2277" t="n">
        <f aca="false">DataDE2b!AO77</f>
        <v>31.4</v>
      </c>
      <c r="S71" s="2276" t="n">
        <f aca="false">DataDE2b!AX77</f>
        <v>1010.8</v>
      </c>
      <c r="T71" s="2276" t="n">
        <f aca="false">DataDE2b!BV77</f>
        <v>4.47</v>
      </c>
      <c r="U71" s="2275" t="n">
        <f aca="false">DataDE2b!CC77</f>
        <v>189.1</v>
      </c>
      <c r="V71" s="2275" t="n">
        <f aca="false">W71-X71</f>
        <v>-1105</v>
      </c>
      <c r="W71" s="2275" t="n">
        <f aca="false">DataDE2b!DG76</f>
        <v>618.4</v>
      </c>
      <c r="X71" s="2275" t="n">
        <f aca="false">DataDE2b!DH76</f>
        <v>1723.4</v>
      </c>
      <c r="Y71" s="2279" t="n">
        <f aca="false">N71+V71</f>
        <v>159.47</v>
      </c>
      <c r="Z71" s="2280" t="n">
        <f aca="false">DataDE2b!EW76</f>
        <v>4911.898</v>
      </c>
      <c r="AA71" s="2280" t="n">
        <f aca="false">DataDE2b!EX76</f>
        <v>4282.382</v>
      </c>
      <c r="AB71" s="2281" t="n">
        <f aca="false">DataDE2b!EY76</f>
        <v>629.517</v>
      </c>
      <c r="AC71" s="2275" t="n">
        <f aca="false">AF71+AG71+AH71+AI71+AK71+AJ71</f>
        <v>5593.3</v>
      </c>
      <c r="AD71" s="2276" t="n">
        <f aca="false">AH71+AJ71*AH71/(AH71+AI71)</f>
        <v>4857.13874451481</v>
      </c>
      <c r="AE71" s="2276" t="n">
        <f aca="false">AC71-AD71</f>
        <v>736.161255485193</v>
      </c>
      <c r="AF71" s="2276" t="n">
        <f aca="false">DataDE2b!BM77*10</f>
        <v>49.9</v>
      </c>
      <c r="AG71" s="2275" t="n">
        <f aca="false">DataDE2b!BE77</f>
        <v>130.7</v>
      </c>
      <c r="AH71" s="2277" t="n">
        <f aca="false">DataDE2b!AN77</f>
        <v>3420.2</v>
      </c>
      <c r="AI71" s="2277" t="n">
        <f aca="false">DataDE2b!AW77</f>
        <v>385.5</v>
      </c>
      <c r="AJ71" s="2277" t="n">
        <f aca="false">DataDE2b!CB77</f>
        <v>1598.9</v>
      </c>
      <c r="AK71" s="2276" t="n">
        <f aca="false">DataDE2b!BU77</f>
        <v>8.1</v>
      </c>
      <c r="AL71" s="2275" t="n">
        <f aca="false">AM71-AR71</f>
        <v>2772.3</v>
      </c>
      <c r="AM71" s="2275" t="n">
        <f aca="false">DataDE2b!X76</f>
        <v>4304.6</v>
      </c>
      <c r="AN71" s="2275" t="n">
        <f aca="false">DataDE2b!Z76</f>
        <v>181.9</v>
      </c>
      <c r="AO71" s="2275" t="n">
        <f aca="false">DataDE2b!AA76</f>
        <v>595.2</v>
      </c>
      <c r="AP71" s="2275" t="n">
        <f aca="false">DataDE2b!AB76</f>
        <v>1216.6</v>
      </c>
      <c r="AQ71" s="2275" t="n">
        <f aca="false">AM71-AN71-AP71-AO71</f>
        <v>2310.9</v>
      </c>
      <c r="AR71" s="2275" t="n">
        <f aca="false">DataDE2b!AD76</f>
        <v>1532.3</v>
      </c>
      <c r="AS71" s="2275" t="n">
        <f aca="false">AC71+AL71</f>
        <v>8365.6</v>
      </c>
      <c r="AU71" s="2252" t="n">
        <v>908.4</v>
      </c>
      <c r="AV71" s="2252" t="n">
        <f aca="false">AVERAGE(AU70:AU71)</f>
        <v>902.85</v>
      </c>
      <c r="AW71" s="759" t="n">
        <f aca="false">AD71/DataDE1!B70</f>
        <v>2.36776516287478</v>
      </c>
      <c r="AY71" s="2304" t="n">
        <f aca="false">AH71/(E71+R71+AH71)</f>
        <v>0.854067822004695</v>
      </c>
      <c r="AZ71" s="2305" t="n">
        <f aca="false">E71/(E71+R71+AH71)</f>
        <v>0.138091195125606</v>
      </c>
    </row>
    <row r="72" customFormat="false" ht="12" hidden="false" customHeight="false" outlineLevel="0" collapsed="false">
      <c r="A72" s="1432" t="n">
        <v>2010</v>
      </c>
      <c r="B72" s="2277" t="n">
        <f aca="false">C72+D72+E72+F72+H72+G72</f>
        <v>4546.9</v>
      </c>
      <c r="C72" s="2276" t="n">
        <f aca="false">DataDE2b!BO78*10</f>
        <v>33.2</v>
      </c>
      <c r="D72" s="2276" t="n">
        <f aca="false">DataDE2b!BG78</f>
        <v>932.1</v>
      </c>
      <c r="E72" s="2276" t="n">
        <f aca="false">DataDE2b!AP78</f>
        <v>558.9</v>
      </c>
      <c r="F72" s="2276" t="n">
        <f aca="false">DataDE2b!AY78</f>
        <v>1317.2</v>
      </c>
      <c r="G72" s="2276" t="n">
        <f aca="false">DataDE2b!CB78</f>
        <v>1652</v>
      </c>
      <c r="H72" s="2276" t="n">
        <f aca="false">DataDE2b!BW78</f>
        <v>53.5</v>
      </c>
      <c r="I72" s="2283" t="n">
        <f aca="false">J72-K72</f>
        <v>-1325.4</v>
      </c>
      <c r="J72" s="2275" t="n">
        <f aca="false">DataDE2b!EG77</f>
        <v>12247</v>
      </c>
      <c r="K72" s="2275" t="n">
        <f aca="false">(DataDE2b!EJ77+DataDE2b!EM77)</f>
        <v>13572.4</v>
      </c>
      <c r="L72" s="2275" t="n">
        <f aca="false">DataDE2b!EM77</f>
        <v>3314.9</v>
      </c>
      <c r="M72" s="2279" t="n">
        <f aca="false">B72+I72</f>
        <v>3221.5</v>
      </c>
      <c r="N72" s="2297" t="n">
        <f aca="false">O72+U72</f>
        <v>1285.2</v>
      </c>
      <c r="O72" s="2277" t="n">
        <f aca="false">P72+Q72+R72+S72+T72</f>
        <v>1089.8</v>
      </c>
      <c r="P72" s="2276" t="n">
        <f aca="false">DataDE2b!BN78</f>
        <v>0</v>
      </c>
      <c r="Q72" s="2276" t="n">
        <f aca="false">DataDE2b!BF78</f>
        <v>30.4</v>
      </c>
      <c r="R72" s="2276" t="n">
        <f aca="false">DataDE2b!AO78</f>
        <v>31.7</v>
      </c>
      <c r="S72" s="2276" t="n">
        <f aca="false">DataDE2b!AX78</f>
        <v>1023.1</v>
      </c>
      <c r="T72" s="2276" t="n">
        <f aca="false">DataDE2b!BV78</f>
        <v>4.6</v>
      </c>
      <c r="U72" s="2275" t="n">
        <f aca="false">DataDE2b!CC78</f>
        <v>195.4</v>
      </c>
      <c r="V72" s="2275" t="n">
        <f aca="false">W72-X72</f>
        <v>-1170.9</v>
      </c>
      <c r="W72" s="2275" t="n">
        <f aca="false">DataDE2b!DG77</f>
        <v>665.8</v>
      </c>
      <c r="X72" s="2275" t="n">
        <f aca="false">DataDE2b!DH77</f>
        <v>1836.7</v>
      </c>
      <c r="Y72" s="2279" t="n">
        <f aca="false">N72+V72</f>
        <v>114.3</v>
      </c>
      <c r="Z72" s="2295" t="n">
        <f aca="false">DataDE2b!EW77</f>
        <v>5046.526</v>
      </c>
      <c r="AA72" s="2295" t="n">
        <f aca="false">DataDE2b!EX77</f>
        <v>4244.004</v>
      </c>
      <c r="AB72" s="2281" t="n">
        <f aca="false">DataDE2b!EY77</f>
        <v>802.522</v>
      </c>
      <c r="AC72" s="2275" t="n">
        <f aca="false">AF72+AG72+AH72+AI72+AK72+AJ72</f>
        <v>5722.9</v>
      </c>
      <c r="AD72" s="2276" t="n">
        <f aca="false">AH72+AJ72*AH72/(AH72+AI72)</f>
        <v>4980.62360059735</v>
      </c>
      <c r="AE72" s="2276" t="n">
        <f aca="false">AC72-AD72</f>
        <v>742.276399402646</v>
      </c>
      <c r="AF72" s="2276" t="n">
        <f aca="false">DataDE2b!BM78*10</f>
        <v>49.9</v>
      </c>
      <c r="AG72" s="2277" t="n">
        <f aca="false">DataDE2b!BE78</f>
        <v>129.1</v>
      </c>
      <c r="AH72" s="2277" t="n">
        <f aca="false">DataDE2b!AN78</f>
        <v>3494.3</v>
      </c>
      <c r="AI72" s="2277" t="n">
        <f aca="false">DataDE2b!AW78</f>
        <v>389.5</v>
      </c>
      <c r="AJ72" s="2276" t="n">
        <f aca="false">DataDE2b!CB78</f>
        <v>1652</v>
      </c>
      <c r="AK72" s="2276" t="n">
        <f aca="false">DataDE2b!BU78</f>
        <v>8.1</v>
      </c>
      <c r="AL72" s="2275" t="n">
        <f aca="false">AM72-AR72</f>
        <v>2945.8</v>
      </c>
      <c r="AM72" s="2275" t="n">
        <f aca="false">DataDE2b!X77</f>
        <v>4475.5</v>
      </c>
      <c r="AN72" s="2275" t="n">
        <f aca="false">DataDE2b!Z77</f>
        <v>201.7</v>
      </c>
      <c r="AO72" s="2275" t="n">
        <f aca="false">DataDE2b!AA77</f>
        <v>618.7</v>
      </c>
      <c r="AP72" s="2275" t="n">
        <f aca="false">DataDE2b!AB77</f>
        <v>1286.4</v>
      </c>
      <c r="AQ72" s="2275" t="n">
        <f aca="false">AM72-AN72-AP72-AO72</f>
        <v>2368.7</v>
      </c>
      <c r="AR72" s="2275" t="n">
        <f aca="false">DataDE2b!AD77</f>
        <v>1529.7</v>
      </c>
      <c r="AS72" s="2275" t="n">
        <f aca="false">AC72+AL72</f>
        <v>8668.7</v>
      </c>
      <c r="AU72" s="2252" t="n">
        <v>904.4</v>
      </c>
      <c r="AV72" s="2252" t="n">
        <f aca="false">AVERAGE(AU71:AU72)</f>
        <v>906.4</v>
      </c>
      <c r="AW72" s="759" t="n">
        <f aca="false">AD72/DataDE1!B71</f>
        <v>2.32082215809314</v>
      </c>
      <c r="AY72" s="2304" t="n">
        <f aca="false">AH72/(E72+R72+AH72)</f>
        <v>0.855418737300791</v>
      </c>
      <c r="AZ72" s="2305" t="n">
        <f aca="false">E72/(E72+R72+AH72)</f>
        <v>0.136820974809665</v>
      </c>
    </row>
    <row r="73" s="1432" customFormat="true" ht="12" hidden="false" customHeight="false" outlineLevel="0" collapsed="false">
      <c r="A73" s="1432" t="n">
        <v>2011</v>
      </c>
      <c r="B73" s="2277" t="n">
        <f aca="false">C73+D73+E73+F73+H73+G73</f>
        <v>4654.9</v>
      </c>
      <c r="C73" s="2276" t="n">
        <f aca="false">DataDE2b!BO79*10</f>
        <v>33.2</v>
      </c>
      <c r="D73" s="2276" t="n">
        <f aca="false">DataDE2b!BG79</f>
        <v>940.6</v>
      </c>
      <c r="E73" s="2276" t="n">
        <f aca="false">DataDE2b!AP79</f>
        <v>566.2</v>
      </c>
      <c r="F73" s="2276" t="n">
        <f aca="false">DataDE2b!AY79</f>
        <v>1336.3</v>
      </c>
      <c r="G73" s="2276" t="n">
        <f aca="false">DataDE2b!CB79</f>
        <v>1723.3</v>
      </c>
      <c r="H73" s="2276" t="n">
        <f aca="false">DataDE2b!BW79</f>
        <v>55.3</v>
      </c>
      <c r="I73" s="2283" t="n">
        <f aca="false">J73-K73</f>
        <v>-1378.5</v>
      </c>
      <c r="J73" s="2275" t="n">
        <f aca="false">DataDE2b!EG78</f>
        <v>12474.9</v>
      </c>
      <c r="K73" s="2275" t="n">
        <f aca="false">(DataDE2b!EJ78+DataDE2b!EM78)</f>
        <v>13853.4</v>
      </c>
      <c r="L73" s="2275" t="n">
        <f aca="false">DataDE2b!EM78</f>
        <v>3635.6</v>
      </c>
      <c r="M73" s="2279" t="n">
        <f aca="false">B73+I73</f>
        <v>3276.4</v>
      </c>
      <c r="N73" s="2297" t="n">
        <f aca="false">O73+U73</f>
        <v>1300.1</v>
      </c>
      <c r="O73" s="2277" t="n">
        <f aca="false">P73+Q73+R73+S73+T73</f>
        <v>1096.3</v>
      </c>
      <c r="P73" s="2276" t="n">
        <f aca="false">DataDE2b!BN79</f>
        <v>0</v>
      </c>
      <c r="Q73" s="2276" t="n">
        <f aca="false">DataDE2b!BF79</f>
        <v>31.8</v>
      </c>
      <c r="R73" s="2276" t="n">
        <f aca="false">DataDE2b!AO79</f>
        <v>31.9</v>
      </c>
      <c r="S73" s="2276" t="n">
        <f aca="false">DataDE2b!AX79</f>
        <v>1027.9</v>
      </c>
      <c r="T73" s="2276" t="n">
        <f aca="false">DataDE2b!BV79</f>
        <v>4.7</v>
      </c>
      <c r="U73" s="2275" t="n">
        <f aca="false">DataDE2b!CC79</f>
        <v>203.8</v>
      </c>
      <c r="V73" s="2275" t="n">
        <f aca="false">W73-X73</f>
        <v>-1248.4</v>
      </c>
      <c r="W73" s="2275" t="n">
        <f aca="false">DataDE2b!DG78</f>
        <v>898.2</v>
      </c>
      <c r="X73" s="2275" t="n">
        <f aca="false">DataDE2b!DH78</f>
        <v>2146.6</v>
      </c>
      <c r="Y73" s="2279" t="n">
        <f aca="false">N73+V73</f>
        <v>51.7000000000003</v>
      </c>
      <c r="Z73" s="2295" t="n">
        <f aca="false">DataDE2b!EW78</f>
        <v>6308.368</v>
      </c>
      <c r="AA73" s="2295" t="n">
        <f aca="false">DataDE2b!EX78</f>
        <v>5437.488</v>
      </c>
      <c r="AB73" s="2281" t="n">
        <f aca="false">DataDE2b!EY78</f>
        <v>870.879</v>
      </c>
      <c r="AC73" s="2275" t="n">
        <f aca="false">AF73+AG73+AH73+AI73+AK73+AJ73</f>
        <v>5887.1</v>
      </c>
      <c r="AD73" s="2276" t="n">
        <f aca="false">AH73+AJ73*AH73/(AH73+AI73)</f>
        <v>5137.0456385627</v>
      </c>
      <c r="AE73" s="2276" t="n">
        <f aca="false">AC73-AD73</f>
        <v>750.054361437301</v>
      </c>
      <c r="AF73" s="2276" t="n">
        <f aca="false">DataDE2b!BM79*10</f>
        <v>49.9</v>
      </c>
      <c r="AG73" s="2277" t="n">
        <f aca="false">DataDE2b!BE79</f>
        <v>128.9</v>
      </c>
      <c r="AH73" s="2277" t="n">
        <f aca="false">DataDE2b!AN79</f>
        <v>3584</v>
      </c>
      <c r="AI73" s="2277" t="n">
        <f aca="false">DataDE2b!AW79</f>
        <v>392.9</v>
      </c>
      <c r="AJ73" s="2276" t="n">
        <f aca="false">DataDE2b!CB79</f>
        <v>1723.3</v>
      </c>
      <c r="AK73" s="2276" t="n">
        <f aca="false">DataDE2b!BU79</f>
        <v>8.1</v>
      </c>
      <c r="AL73" s="2275" t="n">
        <f aca="false">AM73-AR73</f>
        <v>3115.7</v>
      </c>
      <c r="AM73" s="2275" t="n">
        <f aca="false">DataDE2b!X78</f>
        <v>4650.3</v>
      </c>
      <c r="AN73" s="2275" t="n">
        <f aca="false">DataDE2b!Z78</f>
        <v>243.5</v>
      </c>
      <c r="AO73" s="2275" t="n">
        <f aca="false">DataDE2b!AA78</f>
        <v>617.7</v>
      </c>
      <c r="AP73" s="2275" t="n">
        <f aca="false">DataDE2b!AB78</f>
        <v>1350.9</v>
      </c>
      <c r="AQ73" s="2275" t="n">
        <f aca="false">AM73-AN73-AP73-AO73</f>
        <v>2438.2</v>
      </c>
      <c r="AR73" s="2275" t="n">
        <f aca="false">DataDE2b!AD78</f>
        <v>1534.6</v>
      </c>
      <c r="AS73" s="2275" t="n">
        <f aca="false">AC73+AL73</f>
        <v>9002.8</v>
      </c>
      <c r="AU73" s="1432" t="n">
        <v>917</v>
      </c>
      <c r="AV73" s="2252" t="n">
        <f aca="false">AVERAGE(AU72:AU73)</f>
        <v>910.7</v>
      </c>
      <c r="AW73" s="759" t="n">
        <f aca="false">AD73/DataDE1!B72</f>
        <v>2.30495160342922</v>
      </c>
      <c r="AY73" s="2304" t="n">
        <f aca="false">AH73/(E73+R73+AH73)</f>
        <v>0.856985724875063</v>
      </c>
      <c r="AZ73" s="2305" t="n">
        <f aca="false">E73/(E73+R73+AH73)</f>
        <v>0.13538652829918</v>
      </c>
    </row>
    <row r="74" customFormat="false" ht="12" hidden="false" customHeight="false" outlineLevel="0" collapsed="false">
      <c r="A74" s="2252" t="n">
        <v>2012</v>
      </c>
      <c r="B74" s="2277" t="n">
        <f aca="false">C74+D74+E74+F74+H74+G74</f>
        <v>4876.4</v>
      </c>
      <c r="C74" s="2276" t="n">
        <f aca="false">DataDE2b!BO80*10</f>
        <v>33.2</v>
      </c>
      <c r="D74" s="2276" t="n">
        <f aca="false">DataDE2b!BG80</f>
        <v>961.1</v>
      </c>
      <c r="E74" s="2276" t="n">
        <f aca="false">DataDE2b!AP80</f>
        <v>584.2</v>
      </c>
      <c r="F74" s="2276" t="n">
        <f aca="false">DataDE2b!AY80</f>
        <v>1387.1</v>
      </c>
      <c r="G74" s="2276" t="n">
        <f aca="false">DataDE2b!CB80</f>
        <v>1854.1</v>
      </c>
      <c r="H74" s="2276" t="n">
        <f aca="false">DataDE2b!BW80</f>
        <v>56.7</v>
      </c>
      <c r="I74" s="2283" t="n">
        <f aca="false">J74-K74</f>
        <v>-1260.2</v>
      </c>
      <c r="J74" s="2275" t="n">
        <f aca="false">DataDE2b!EG79</f>
        <v>12606.9</v>
      </c>
      <c r="K74" s="2275" t="n">
        <f aca="false">(DataDE2b!EJ79+DataDE2b!EM79)</f>
        <v>13867.1</v>
      </c>
      <c r="L74" s="2275" t="n">
        <f aca="false">DataDE2b!EM79</f>
        <v>3412</v>
      </c>
      <c r="M74" s="2279" t="n">
        <f aca="false">B74+I74</f>
        <v>3616.2</v>
      </c>
      <c r="N74" s="2297" t="n">
        <f aca="false">O74+U74</f>
        <v>1345.5</v>
      </c>
      <c r="O74" s="2277" t="n">
        <f aca="false">P74+Q74+R74+S74+T74</f>
        <v>1126.2</v>
      </c>
      <c r="P74" s="2276" t="n">
        <f aca="false">DataDE2b!BN80</f>
        <v>0</v>
      </c>
      <c r="Q74" s="2276" t="n">
        <f aca="false">DataDE2b!BF80</f>
        <v>33</v>
      </c>
      <c r="R74" s="2276" t="n">
        <f aca="false">DataDE2b!AO80</f>
        <v>32.7</v>
      </c>
      <c r="S74" s="2276" t="n">
        <f aca="false">DataDE2b!AX80</f>
        <v>1055.7</v>
      </c>
      <c r="T74" s="2276" t="n">
        <f aca="false">DataDE2b!BV80</f>
        <v>4.8</v>
      </c>
      <c r="U74" s="2275" t="n">
        <f aca="false">DataDE2b!CC80</f>
        <v>219.3</v>
      </c>
      <c r="V74" s="2275" t="n">
        <f aca="false">W74-X74</f>
        <v>-1334.1</v>
      </c>
      <c r="W74" s="2275" t="n">
        <f aca="false">DataDE2b!DG79</f>
        <v>903.6</v>
      </c>
      <c r="X74" s="2275" t="n">
        <f aca="false">DataDE2b!DH79</f>
        <v>2237.7</v>
      </c>
      <c r="Y74" s="2279" t="n">
        <f aca="false">N74+V74</f>
        <v>11.4000000000001</v>
      </c>
      <c r="Z74" s="2295" t="n">
        <f aca="false">DataDE2b!EW79</f>
        <v>6554.583</v>
      </c>
      <c r="AA74" s="2295" t="n">
        <f aca="false">DataDE2b!EX79</f>
        <v>5709.862</v>
      </c>
      <c r="AB74" s="2281" t="n">
        <f aca="false">DataDE2b!EY79</f>
        <v>844.721</v>
      </c>
      <c r="AC74" s="2316" t="n">
        <f aca="false">AF74+AG74+AH74+AI74+AK74+AJ74</f>
        <v>6183.2</v>
      </c>
      <c r="AD74" s="2276" t="n">
        <f aca="false">AH74+AJ74*AH74/(AH74+AI74)</f>
        <v>5410.02032412327</v>
      </c>
      <c r="AE74" s="2276" t="n">
        <f aca="false">AC74-AD74</f>
        <v>773.179675876728</v>
      </c>
      <c r="AF74" s="2276" t="n">
        <f aca="false">DataDE2b!BM80*10</f>
        <v>49.9</v>
      </c>
      <c r="AG74" s="2277" t="n">
        <f aca="false">DataDE2b!BE80</f>
        <v>130.5</v>
      </c>
      <c r="AH74" s="2277" t="n">
        <f aca="false">DataDE2b!AN80</f>
        <v>3736.7</v>
      </c>
      <c r="AI74" s="2277" t="n">
        <f aca="false">DataDE2b!AW80</f>
        <v>403.7</v>
      </c>
      <c r="AJ74" s="2276" t="n">
        <f aca="false">DataDE2b!CB80</f>
        <v>1854.1</v>
      </c>
      <c r="AK74" s="2276" t="n">
        <f aca="false">DataDE2b!BU80</f>
        <v>8.3</v>
      </c>
      <c r="AL74" s="2275" t="n">
        <f aca="false">AM74-AR74</f>
        <v>3161.1</v>
      </c>
      <c r="AM74" s="2275" t="n">
        <f aca="false">DataDE2b!X79</f>
        <v>4710.7</v>
      </c>
      <c r="AN74" s="2275" t="n">
        <f aca="false">DataDE2b!Z79</f>
        <v>221.5</v>
      </c>
      <c r="AO74" s="2275" t="n">
        <f aca="false">DataDE2b!AA79</f>
        <v>583.4</v>
      </c>
      <c r="AP74" s="2275" t="n">
        <f aca="false">DataDE2b!AB79</f>
        <v>1396.8</v>
      </c>
      <c r="AQ74" s="2275" t="n">
        <f aca="false">AM74-AN74-AP74-AO74</f>
        <v>2509</v>
      </c>
      <c r="AR74" s="2275" t="n">
        <f aca="false">DataDE2b!AD79</f>
        <v>1549.6</v>
      </c>
      <c r="AS74" s="2275" t="n">
        <f aca="false">AC74+AL74</f>
        <v>9344.3</v>
      </c>
      <c r="AW74" s="514"/>
      <c r="AY74" s="2304" t="n">
        <f aca="false">AH74/(E74+R74+AH74)</f>
        <v>0.858301176038221</v>
      </c>
      <c r="AZ74" s="2305" t="n">
        <f aca="false">E74/(E74+R74+AH74)</f>
        <v>0.134187798603455</v>
      </c>
    </row>
    <row r="75" customFormat="false" ht="12" hidden="false" customHeight="false" outlineLevel="0" collapsed="false">
      <c r="B75" s="2260"/>
      <c r="C75" s="2260"/>
      <c r="D75" s="2260"/>
      <c r="E75" s="2260"/>
      <c r="F75" s="2260"/>
      <c r="G75" s="2260"/>
      <c r="H75" s="2276"/>
      <c r="N75" s="2275"/>
      <c r="O75" s="2260"/>
      <c r="P75" s="2260"/>
      <c r="Q75" s="2260"/>
      <c r="R75" s="2260"/>
      <c r="X75" s="2275"/>
      <c r="AC75" s="2277"/>
      <c r="AD75" s="2260"/>
      <c r="AE75" s="2260"/>
      <c r="AF75" s="2260"/>
      <c r="AG75" s="2260"/>
      <c r="AH75" s="2277"/>
      <c r="AI75" s="2260"/>
      <c r="AJ75" s="2276"/>
      <c r="AK75" s="2260"/>
      <c r="AW75" s="2260"/>
    </row>
    <row r="76" customFormat="false" ht="12" hidden="false" customHeight="false" outlineLevel="0" collapsed="false">
      <c r="B76" s="2260"/>
      <c r="C76" s="2260"/>
      <c r="D76" s="2260"/>
      <c r="E76" s="2260"/>
      <c r="F76" s="2260"/>
      <c r="G76" s="2260"/>
      <c r="H76" s="2260"/>
      <c r="O76" s="2260"/>
      <c r="P76" s="2260"/>
      <c r="Q76" s="2260"/>
      <c r="AC76" s="2260"/>
      <c r="AD76" s="2260"/>
      <c r="AE76" s="2260"/>
      <c r="AF76" s="2260"/>
      <c r="AG76" s="2260"/>
      <c r="AH76" s="2277"/>
      <c r="AI76" s="2260"/>
      <c r="AJ76" s="2260"/>
      <c r="AK76" s="2260"/>
      <c r="AW76" s="2260"/>
    </row>
    <row r="77" customFormat="false" ht="12" hidden="false" customHeight="false" outlineLevel="0" collapsed="false">
      <c r="G77" s="2260"/>
      <c r="H77" s="2260"/>
      <c r="AC77" s="2260"/>
      <c r="AD77" s="2317"/>
      <c r="AE77" s="2260"/>
      <c r="AF77" s="2260"/>
      <c r="AG77" s="2260"/>
      <c r="AH77" s="2260"/>
      <c r="AI77" s="2260"/>
      <c r="AJ77" s="2260"/>
      <c r="AK77" s="2260"/>
      <c r="AW77" s="2317"/>
    </row>
    <row r="78" customFormat="false" ht="12" hidden="false" customHeight="false" outlineLevel="0" collapsed="false">
      <c r="H78" s="2260"/>
      <c r="AF78" s="2260"/>
      <c r="AG78" s="2260"/>
      <c r="AK78" s="2260"/>
    </row>
    <row r="79" customFormat="false" ht="12" hidden="false" customHeight="false" outlineLevel="0" collapsed="false">
      <c r="AG79" s="2260"/>
    </row>
  </sheetData>
  <printOptions headings="false" gridLines="false" gridLinesSet="true" horizontalCentered="false" verticalCentered="false"/>
  <pageMargins left="0.75" right="0.75" top="0.984027777777778" bottom="0.9840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M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H13" activePane="bottomRight" state="frozen"/>
      <selection pane="topLeft" activeCell="A1" activeCellId="0" sqref="A1"/>
      <selection pane="topRight" activeCell="BH1" activeCellId="0" sqref="BH1"/>
      <selection pane="bottomLeft" activeCell="A13" activeCellId="0" sqref="A13"/>
      <selection pane="bottomRight" activeCell="EX20" activeCellId="0" sqref="EX20"/>
    </sheetView>
  </sheetViews>
  <sheetFormatPr defaultColWidth="12.66015625" defaultRowHeight="12" zeroHeight="false" outlineLevelRow="0" outlineLevelCol="0"/>
  <cols>
    <col collapsed="false" customWidth="false" hidden="false" outlineLevel="0" max="18" min="1" style="2318" width="12.66"/>
    <col collapsed="false" customWidth="false" hidden="false" outlineLevel="0" max="19" min="19" style="2319" width="12.66"/>
    <col collapsed="false" customWidth="false" hidden="false" outlineLevel="0" max="20" min="20" style="2318" width="12.66"/>
    <col collapsed="false" customWidth="false" hidden="false" outlineLevel="0" max="23" min="21" style="2319" width="12.66"/>
    <col collapsed="false" customWidth="false" hidden="false" outlineLevel="0" max="29" min="24" style="2318" width="12.66"/>
    <col collapsed="false" customWidth="false" hidden="false" outlineLevel="0" max="30" min="30" style="2319" width="12.66"/>
    <col collapsed="false" customWidth="false" hidden="false" outlineLevel="0" max="31" min="31" style="2318" width="12.66"/>
    <col collapsed="false" customWidth="true" hidden="false" outlineLevel="0" max="34" min="32" style="2318" width="12.99"/>
    <col collapsed="false" customWidth="true" hidden="false" outlineLevel="0" max="35" min="35" style="2318" width="3.32"/>
    <col collapsed="false" customWidth="true" hidden="false" outlineLevel="0" max="44" min="36" style="2318" width="12.99"/>
    <col collapsed="false" customWidth="true" hidden="false" outlineLevel="0" max="45" min="45" style="2318" width="4.33"/>
    <col collapsed="false" customWidth="false" hidden="false" outlineLevel="0" max="54" min="46" style="2318" width="12.66"/>
    <col collapsed="false" customWidth="true" hidden="false" outlineLevel="0" max="55" min="55" style="2318" width="10.66"/>
    <col collapsed="false" customWidth="false" hidden="false" outlineLevel="0" max="61" min="56" style="2318" width="12.66"/>
    <col collapsed="false" customWidth="true" hidden="false" outlineLevel="0" max="62" min="62" style="2318" width="3.49"/>
    <col collapsed="false" customWidth="false" hidden="false" outlineLevel="0" max="69" min="63" style="2318" width="12.66"/>
    <col collapsed="false" customWidth="true" hidden="false" outlineLevel="0" max="70" min="70" style="2318" width="3.49"/>
    <col collapsed="false" customWidth="false" hidden="false" outlineLevel="0" max="77" min="71" style="2318" width="12.66"/>
    <col collapsed="false" customWidth="true" hidden="false" outlineLevel="0" max="78" min="78" style="2318" width="3.66"/>
    <col collapsed="false" customWidth="false" hidden="false" outlineLevel="0" max="84" min="79" style="2318" width="12.66"/>
    <col collapsed="false" customWidth="true" hidden="false" outlineLevel="0" max="85" min="85" style="2318" width="2.66"/>
    <col collapsed="false" customWidth="false" hidden="false" outlineLevel="0" max="87" min="86" style="2318" width="12.66"/>
    <col collapsed="false" customWidth="true" hidden="false" outlineLevel="0" max="88" min="88" style="2318" width="4.49"/>
    <col collapsed="false" customWidth="false" hidden="false" outlineLevel="0" max="91" min="89" style="2318" width="12.66"/>
    <col collapsed="false" customWidth="true" hidden="false" outlineLevel="0" max="92" min="92" style="2318" width="4.15"/>
    <col collapsed="false" customWidth="false" hidden="false" outlineLevel="0" max="103" min="93" style="2318" width="12.66"/>
    <col collapsed="false" customWidth="true" hidden="false" outlineLevel="0" max="104" min="104" style="2318" width="2.99"/>
    <col collapsed="false" customWidth="false" hidden="false" outlineLevel="0" max="115" min="105" style="2318" width="12.66"/>
    <col collapsed="false" customWidth="true" hidden="false" outlineLevel="0" max="116" min="116" style="2318" width="4.82"/>
    <col collapsed="false" customWidth="false" hidden="false" outlineLevel="0" max="257" min="117" style="2318" width="12.66"/>
  </cols>
  <sheetData>
    <row r="1" customFormat="false" ht="12" hidden="false" customHeight="false" outlineLevel="0" collapsed="false">
      <c r="A1" s="198" t="s">
        <v>1346</v>
      </c>
    </row>
    <row r="2" customFormat="false" ht="12" hidden="false" customHeight="false" outlineLevel="0" collapsed="false">
      <c r="A2" s="198" t="s">
        <v>1347</v>
      </c>
      <c r="B2" s="2320"/>
      <c r="C2" s="2320"/>
      <c r="D2" s="2320"/>
      <c r="E2" s="2320"/>
      <c r="G2" s="2321"/>
      <c r="H2" s="2321"/>
      <c r="I2" s="2259"/>
      <c r="J2" s="2322"/>
      <c r="U2" s="2322"/>
      <c r="V2" s="2322"/>
      <c r="W2" s="2322"/>
      <c r="AC2" s="2259"/>
      <c r="AF2" s="2320"/>
      <c r="AG2" s="2320"/>
      <c r="AH2" s="2320"/>
      <c r="AJ2" s="2320"/>
      <c r="AK2" s="2320"/>
      <c r="AL2" s="2320"/>
      <c r="AT2" s="2320"/>
      <c r="AU2" s="2320"/>
      <c r="BB2" s="2320"/>
      <c r="BK2" s="2320"/>
      <c r="BS2" s="2320"/>
      <c r="CA2" s="2320"/>
      <c r="CH2" s="2320"/>
      <c r="CK2" s="2320"/>
      <c r="CL2" s="2320"/>
      <c r="CO2" s="2323"/>
      <c r="CP2" s="2319"/>
      <c r="CQ2" s="2319"/>
      <c r="CR2" s="2319"/>
      <c r="CS2" s="2319"/>
      <c r="CT2" s="2319"/>
      <c r="CU2" s="2319"/>
      <c r="DA2" s="2320"/>
      <c r="DR2" s="2320"/>
      <c r="EG2" s="2321"/>
      <c r="EQ2" s="2320"/>
    </row>
    <row r="3" customFormat="false" ht="12" hidden="false" customHeight="false" outlineLevel="0" collapsed="false">
      <c r="A3" s="20" t="s">
        <v>1348</v>
      </c>
      <c r="B3" s="2323"/>
      <c r="C3" s="2323"/>
      <c r="D3" s="2323"/>
      <c r="E3" s="2323"/>
      <c r="F3" s="2319"/>
      <c r="G3" s="2324"/>
      <c r="H3" s="2325"/>
      <c r="I3" s="2259"/>
      <c r="J3" s="2322"/>
      <c r="U3" s="2322"/>
      <c r="V3" s="2322"/>
      <c r="W3" s="2322"/>
      <c r="AC3" s="2259"/>
      <c r="AF3" s="2320"/>
      <c r="AG3" s="2320"/>
      <c r="AH3" s="2320"/>
      <c r="AJ3" s="2320"/>
      <c r="AK3" s="2320"/>
      <c r="AL3" s="2320"/>
      <c r="AT3" s="2320"/>
      <c r="AU3" s="2320"/>
      <c r="BB3" s="2320"/>
      <c r="BK3" s="2320"/>
      <c r="BS3" s="2320"/>
      <c r="CA3" s="2320"/>
      <c r="CH3" s="2320"/>
      <c r="CK3" s="2320"/>
      <c r="CL3" s="2320"/>
      <c r="CO3" s="2323"/>
      <c r="CP3" s="2319"/>
      <c r="CQ3" s="2319"/>
      <c r="CR3" s="2319"/>
      <c r="CS3" s="2319"/>
      <c r="CT3" s="2319"/>
      <c r="CU3" s="2319"/>
      <c r="DA3" s="2320"/>
      <c r="DR3" s="2320"/>
      <c r="EG3" s="2321"/>
      <c r="EQ3" s="2320"/>
    </row>
    <row r="4" customFormat="false" ht="12" hidden="false" customHeight="false" outlineLevel="0" collapsed="false">
      <c r="A4" s="2321" t="s">
        <v>1298</v>
      </c>
      <c r="B4" s="2259" t="n">
        <v>1.95583</v>
      </c>
      <c r="C4" s="2322" t="s">
        <v>451</v>
      </c>
      <c r="E4" s="2320"/>
      <c r="G4" s="2321"/>
      <c r="H4" s="2321"/>
      <c r="I4" s="2259"/>
      <c r="J4" s="2322"/>
      <c r="U4" s="2322"/>
      <c r="V4" s="2322"/>
      <c r="W4" s="2322"/>
      <c r="AC4" s="2259"/>
      <c r="AF4" s="2320"/>
      <c r="AG4" s="2320"/>
      <c r="AH4" s="2320"/>
      <c r="AJ4" s="2320"/>
      <c r="AK4" s="2320"/>
      <c r="AL4" s="2320"/>
      <c r="AT4" s="2320"/>
      <c r="AU4" s="2320"/>
      <c r="BB4" s="2320"/>
      <c r="BK4" s="2320"/>
      <c r="BS4" s="2320"/>
      <c r="CA4" s="2320"/>
      <c r="CH4" s="2320"/>
      <c r="CK4" s="2320"/>
      <c r="CL4" s="2320"/>
      <c r="CO4" s="2323"/>
      <c r="CP4" s="2319"/>
      <c r="CQ4" s="2319"/>
      <c r="CR4" s="2319"/>
      <c r="CS4" s="2319"/>
      <c r="CT4" s="2319"/>
      <c r="CU4" s="2319"/>
      <c r="DA4" s="2320"/>
      <c r="DR4" s="2320"/>
      <c r="EG4" s="2321"/>
      <c r="EQ4" s="2320"/>
    </row>
    <row r="5" customFormat="false" ht="12" hidden="false" customHeight="false" outlineLevel="0" collapsed="false">
      <c r="A5" s="2321"/>
      <c r="B5" s="2321"/>
      <c r="C5" s="2259"/>
      <c r="D5" s="2322"/>
      <c r="E5" s="2320"/>
      <c r="G5" s="2321"/>
      <c r="H5" s="2321"/>
      <c r="I5" s="2259"/>
      <c r="J5" s="2322"/>
      <c r="U5" s="2322"/>
      <c r="V5" s="2322"/>
      <c r="W5" s="2322"/>
      <c r="AC5" s="2259"/>
      <c r="AF5" s="2320"/>
      <c r="AG5" s="2320"/>
      <c r="AH5" s="2320"/>
      <c r="AJ5" s="2320"/>
      <c r="AK5" s="2320"/>
      <c r="AL5" s="2320"/>
      <c r="AT5" s="2320"/>
      <c r="AU5" s="2320"/>
      <c r="BB5" s="2320"/>
      <c r="BK5" s="2320"/>
      <c r="BS5" s="2320"/>
      <c r="CA5" s="2320"/>
      <c r="CH5" s="2320"/>
      <c r="CK5" s="2320"/>
      <c r="CL5" s="2320"/>
      <c r="CO5" s="2323"/>
      <c r="CP5" s="2319"/>
      <c r="CQ5" s="2319"/>
      <c r="CR5" s="2319"/>
      <c r="CS5" s="2319"/>
      <c r="CT5" s="2319"/>
      <c r="CU5" s="2319"/>
      <c r="DA5" s="2320"/>
      <c r="DR5" s="2320"/>
      <c r="EG5" s="2321"/>
      <c r="EQ5" s="2320"/>
    </row>
    <row r="6" customFormat="false" ht="12" hidden="false" customHeight="false" outlineLevel="0" collapsed="false">
      <c r="B6" s="2320" t="s">
        <v>1349</v>
      </c>
      <c r="C6" s="2320"/>
      <c r="D6" s="2320"/>
      <c r="E6" s="2320"/>
      <c r="U6" s="2322"/>
      <c r="V6" s="2322"/>
      <c r="W6" s="2322"/>
      <c r="AC6" s="2259" t="n">
        <v>1.95583</v>
      </c>
      <c r="AF6" s="2326" t="s">
        <v>1350</v>
      </c>
      <c r="AG6" s="2320"/>
      <c r="AH6" s="2320"/>
      <c r="AJ6" s="2320" t="s">
        <v>1311</v>
      </c>
      <c r="AK6" s="2320"/>
      <c r="AL6" s="2320"/>
      <c r="AT6" s="2320" t="s">
        <v>1351</v>
      </c>
      <c r="AU6" s="2320"/>
      <c r="BB6" s="2320" t="s">
        <v>1352</v>
      </c>
      <c r="BK6" s="2320" t="s">
        <v>1320</v>
      </c>
      <c r="BS6" s="2320" t="s">
        <v>1314</v>
      </c>
      <c r="CA6" s="2320" t="s">
        <v>1353</v>
      </c>
      <c r="CH6" s="2320" t="s">
        <v>1354</v>
      </c>
      <c r="CK6" s="2320" t="s">
        <v>973</v>
      </c>
      <c r="CL6" s="2320"/>
      <c r="CO6" s="2323" t="s">
        <v>1355</v>
      </c>
      <c r="CP6" s="2319"/>
      <c r="CQ6" s="2319"/>
      <c r="CR6" s="2319"/>
      <c r="CS6" s="2319"/>
      <c r="CT6" s="2319"/>
      <c r="CU6" s="2319"/>
      <c r="DA6" s="2320" t="s">
        <v>1356</v>
      </c>
      <c r="DM6" s="2320" t="s">
        <v>1357</v>
      </c>
      <c r="DR6" s="2320" t="s">
        <v>1358</v>
      </c>
      <c r="EG6" s="2321" t="s">
        <v>1298</v>
      </c>
      <c r="EH6" s="2318" t="n">
        <f aca="false">B4</f>
        <v>1.95583</v>
      </c>
      <c r="EI6" s="2318" t="s">
        <v>451</v>
      </c>
      <c r="EQ6" s="2320" t="s">
        <v>1359</v>
      </c>
    </row>
    <row r="7" customFormat="false" ht="12" hidden="false" customHeight="false" outlineLevel="0" collapsed="false">
      <c r="B7" s="2320"/>
      <c r="C7" s="2320"/>
      <c r="D7" s="2320"/>
      <c r="E7" s="2320"/>
      <c r="U7" s="2322"/>
      <c r="V7" s="2322"/>
      <c r="W7" s="2322"/>
      <c r="AC7" s="2259"/>
      <c r="AF7" s="2326"/>
      <c r="AG7" s="2320"/>
      <c r="AH7" s="2320"/>
      <c r="AJ7" s="2320"/>
      <c r="AK7" s="2320"/>
      <c r="AL7" s="2320"/>
      <c r="AT7" s="2320"/>
      <c r="AU7" s="2320"/>
      <c r="BB7" s="2320"/>
      <c r="BK7" s="2320"/>
      <c r="BS7" s="2320"/>
      <c r="CA7" s="2320"/>
      <c r="CH7" s="2320"/>
      <c r="CK7" s="2320"/>
      <c r="CL7" s="2320"/>
      <c r="CO7" s="2323"/>
      <c r="CP7" s="2319"/>
      <c r="CQ7" s="2319"/>
      <c r="CR7" s="2319"/>
      <c r="CS7" s="2319"/>
      <c r="CT7" s="2319"/>
      <c r="CU7" s="2319"/>
      <c r="DA7" s="2320"/>
      <c r="DR7" s="2320"/>
      <c r="EG7" s="2321"/>
      <c r="EQ7" s="2320"/>
    </row>
    <row r="8" s="2327" customFormat="true" ht="12" hidden="false" customHeight="false" outlineLevel="0" collapsed="false">
      <c r="A8" s="2327" t="s">
        <v>1360</v>
      </c>
      <c r="B8" s="2327" t="s">
        <v>427</v>
      </c>
      <c r="C8" s="2327" t="s">
        <v>427</v>
      </c>
      <c r="D8" s="2327" t="s">
        <v>427</v>
      </c>
      <c r="E8" s="2327" t="s">
        <v>427</v>
      </c>
      <c r="F8" s="2327" t="s">
        <v>427</v>
      </c>
      <c r="G8" s="2327" t="s">
        <v>427</v>
      </c>
      <c r="H8" s="2327" t="s">
        <v>427</v>
      </c>
      <c r="I8" s="2327" t="s">
        <v>427</v>
      </c>
      <c r="J8" s="2327" t="s">
        <v>427</v>
      </c>
      <c r="K8" s="2327" t="s">
        <v>427</v>
      </c>
      <c r="L8" s="2327" t="s">
        <v>427</v>
      </c>
      <c r="M8" s="2327" t="s">
        <v>427</v>
      </c>
      <c r="N8" s="2327" t="s">
        <v>427</v>
      </c>
      <c r="O8" s="2327" t="s">
        <v>428</v>
      </c>
      <c r="P8" s="2327" t="s">
        <v>428</v>
      </c>
      <c r="Q8" s="2327" t="s">
        <v>428</v>
      </c>
      <c r="R8" s="2327" t="s">
        <v>428</v>
      </c>
      <c r="S8" s="2328" t="s">
        <v>428</v>
      </c>
      <c r="T8" s="2327" t="s">
        <v>428</v>
      </c>
      <c r="U8" s="2328" t="s">
        <v>428</v>
      </c>
      <c r="V8" s="2328" t="s">
        <v>428</v>
      </c>
      <c r="W8" s="2328" t="s">
        <v>428</v>
      </c>
      <c r="X8" s="2327" t="s">
        <v>428</v>
      </c>
      <c r="Y8" s="2328" t="s">
        <v>428</v>
      </c>
      <c r="Z8" s="2328"/>
      <c r="AA8" s="2328"/>
      <c r="AB8" s="2328" t="s">
        <v>428</v>
      </c>
      <c r="AC8" s="2328" t="s">
        <v>428</v>
      </c>
      <c r="AD8" s="2328" t="s">
        <v>428</v>
      </c>
      <c r="AE8" s="2327" t="s">
        <v>428</v>
      </c>
      <c r="AF8" s="2329" t="s">
        <v>427</v>
      </c>
      <c r="AG8" s="2327" t="s">
        <v>427</v>
      </c>
      <c r="AH8" s="2327" t="s">
        <v>427</v>
      </c>
      <c r="AJ8" s="2327" t="s">
        <v>428</v>
      </c>
      <c r="AK8" s="2327" t="s">
        <v>427</v>
      </c>
      <c r="AL8" s="2327" t="s">
        <v>428</v>
      </c>
      <c r="AM8" s="2327" t="s">
        <v>428</v>
      </c>
      <c r="AN8" s="2327" t="s">
        <v>428</v>
      </c>
      <c r="AO8" s="2327" t="s">
        <v>428</v>
      </c>
      <c r="AP8" s="2327" t="s">
        <v>428</v>
      </c>
      <c r="AQ8" s="2327" t="s">
        <v>428</v>
      </c>
      <c r="AR8" s="2327" t="s">
        <v>428</v>
      </c>
      <c r="AT8" s="2327" t="s">
        <v>428</v>
      </c>
      <c r="AU8" s="2327" t="s">
        <v>427</v>
      </c>
      <c r="AV8" s="2327" t="s">
        <v>428</v>
      </c>
      <c r="AW8" s="2327" t="s">
        <v>428</v>
      </c>
      <c r="AX8" s="2327" t="s">
        <v>428</v>
      </c>
      <c r="AY8" s="2327" t="s">
        <v>428</v>
      </c>
      <c r="AZ8" s="2327" t="s">
        <v>428</v>
      </c>
      <c r="BA8" s="2327" t="s">
        <v>428</v>
      </c>
      <c r="BB8" s="2327" t="s">
        <v>428</v>
      </c>
      <c r="BC8" s="2327" t="s">
        <v>427</v>
      </c>
      <c r="BD8" s="2327" t="s">
        <v>428</v>
      </c>
      <c r="BE8" s="2327" t="s">
        <v>428</v>
      </c>
      <c r="BF8" s="2327" t="s">
        <v>428</v>
      </c>
      <c r="BG8" s="2327" t="s">
        <v>428</v>
      </c>
      <c r="BH8" s="2327" t="s">
        <v>428</v>
      </c>
      <c r="BI8" s="2327" t="s">
        <v>428</v>
      </c>
      <c r="BK8" s="2327" t="s">
        <v>428</v>
      </c>
      <c r="BL8" s="2327" t="s">
        <v>428</v>
      </c>
      <c r="BM8" s="2327" t="s">
        <v>428</v>
      </c>
      <c r="BN8" s="2327" t="s">
        <v>428</v>
      </c>
      <c r="BO8" s="2327" t="s">
        <v>428</v>
      </c>
      <c r="BP8" s="2327" t="s">
        <v>428</v>
      </c>
      <c r="BQ8" s="2327" t="s">
        <v>428</v>
      </c>
      <c r="BS8" s="2327" t="s">
        <v>428</v>
      </c>
      <c r="BT8" s="2327" t="s">
        <v>428</v>
      </c>
      <c r="BU8" s="2327" t="s">
        <v>428</v>
      </c>
      <c r="BV8" s="2327" t="s">
        <v>428</v>
      </c>
      <c r="BW8" s="2327" t="s">
        <v>428</v>
      </c>
      <c r="BX8" s="2327" t="s">
        <v>428</v>
      </c>
      <c r="BY8" s="2327" t="s">
        <v>428</v>
      </c>
      <c r="CA8" s="2327" t="s">
        <v>428</v>
      </c>
      <c r="CB8" s="2327" t="s">
        <v>428</v>
      </c>
      <c r="CH8" s="2327" t="s">
        <v>1361</v>
      </c>
      <c r="CI8" s="2327" t="s">
        <v>1361</v>
      </c>
      <c r="CK8" s="2330" t="n">
        <v>1000</v>
      </c>
      <c r="CO8" s="2327" t="s">
        <v>1362</v>
      </c>
      <c r="CP8" s="2327" t="s">
        <v>1362</v>
      </c>
      <c r="CQ8" s="2327" t="s">
        <v>1362</v>
      </c>
      <c r="CR8" s="2327" t="s">
        <v>1362</v>
      </c>
      <c r="CS8" s="2327" t="s">
        <v>1362</v>
      </c>
      <c r="CT8" s="2327" t="s">
        <v>1362</v>
      </c>
      <c r="CU8" s="2327" t="s">
        <v>1362</v>
      </c>
      <c r="DA8" s="2327" t="s">
        <v>427</v>
      </c>
      <c r="DB8" s="2327" t="s">
        <v>427</v>
      </c>
      <c r="DC8" s="2327" t="s">
        <v>427</v>
      </c>
      <c r="DD8" s="2327" t="s">
        <v>428</v>
      </c>
      <c r="DE8" s="2327" t="s">
        <v>428</v>
      </c>
      <c r="DF8" s="2327" t="s">
        <v>428</v>
      </c>
      <c r="DG8" s="2327" t="s">
        <v>428</v>
      </c>
      <c r="DH8" s="2328" t="s">
        <v>428</v>
      </c>
      <c r="DI8" s="2327" t="s">
        <v>428</v>
      </c>
      <c r="DJ8" s="2327" t="s">
        <v>427</v>
      </c>
      <c r="DK8" s="2327" t="s">
        <v>428</v>
      </c>
      <c r="DM8" s="2327" t="s">
        <v>427</v>
      </c>
      <c r="DN8" s="2327" t="s">
        <v>427</v>
      </c>
      <c r="DO8" s="2327" t="s">
        <v>427</v>
      </c>
      <c r="DR8" s="2327" t="s">
        <v>427</v>
      </c>
      <c r="DS8" s="2327" t="s">
        <v>427</v>
      </c>
      <c r="DT8" s="2327" t="s">
        <v>427</v>
      </c>
      <c r="DU8" s="2327" t="s">
        <v>427</v>
      </c>
      <c r="DV8" s="2327" t="s">
        <v>427</v>
      </c>
      <c r="DW8" s="2327" t="s">
        <v>427</v>
      </c>
      <c r="DX8" s="2327" t="s">
        <v>427</v>
      </c>
      <c r="DY8" s="2327" t="s">
        <v>427</v>
      </c>
      <c r="DZ8" s="2327" t="s">
        <v>427</v>
      </c>
      <c r="EA8" s="2327" t="s">
        <v>427</v>
      </c>
      <c r="EB8" s="2327" t="s">
        <v>427</v>
      </c>
      <c r="EC8" s="2327" t="s">
        <v>427</v>
      </c>
      <c r="ED8" s="2327" t="s">
        <v>427</v>
      </c>
      <c r="EE8" s="2327" t="s">
        <v>427</v>
      </c>
      <c r="EF8" s="2327" t="s">
        <v>427</v>
      </c>
      <c r="EG8" s="2327" t="s">
        <v>428</v>
      </c>
      <c r="EH8" s="2327" t="s">
        <v>428</v>
      </c>
      <c r="EI8" s="2327" t="s">
        <v>428</v>
      </c>
      <c r="EJ8" s="2327" t="s">
        <v>428</v>
      </c>
      <c r="EK8" s="2327" t="s">
        <v>428</v>
      </c>
      <c r="EL8" s="2327" t="s">
        <v>428</v>
      </c>
      <c r="EM8" s="2327" t="s">
        <v>428</v>
      </c>
      <c r="EN8" s="2327" t="s">
        <v>428</v>
      </c>
      <c r="EO8" s="2327" t="s">
        <v>428</v>
      </c>
      <c r="EQ8" s="2327" t="s">
        <v>427</v>
      </c>
      <c r="ER8" s="2327" t="s">
        <v>427</v>
      </c>
      <c r="ES8" s="2327" t="s">
        <v>427</v>
      </c>
      <c r="ET8" s="2327" t="s">
        <v>428</v>
      </c>
      <c r="EU8" s="2327" t="s">
        <v>428</v>
      </c>
      <c r="EV8" s="2327" t="s">
        <v>428</v>
      </c>
      <c r="EW8" s="2327" t="s">
        <v>428</v>
      </c>
      <c r="EX8" s="2327" t="s">
        <v>428</v>
      </c>
      <c r="EY8" s="2327" t="s">
        <v>428</v>
      </c>
    </row>
    <row r="9" s="2259" customFormat="true" ht="124" hidden="false" customHeight="true" outlineLevel="0" collapsed="false">
      <c r="A9" s="2259" t="s">
        <v>1363</v>
      </c>
      <c r="B9" s="2259" t="s">
        <v>1364</v>
      </c>
      <c r="C9" s="2259" t="s">
        <v>1365</v>
      </c>
      <c r="D9" s="2272" t="s">
        <v>1366</v>
      </c>
      <c r="E9" s="2272" t="s">
        <v>1367</v>
      </c>
      <c r="F9" s="2259" t="s">
        <v>1368</v>
      </c>
      <c r="G9" s="2259" t="s">
        <v>1369</v>
      </c>
      <c r="H9" s="2259" t="s">
        <v>1370</v>
      </c>
      <c r="I9" s="2259" t="s">
        <v>1371</v>
      </c>
      <c r="J9" s="2259" t="s">
        <v>1372</v>
      </c>
      <c r="K9" s="2259" t="s">
        <v>1373</v>
      </c>
      <c r="L9" s="2259" t="s">
        <v>1374</v>
      </c>
      <c r="M9" s="2259" t="s">
        <v>1375</v>
      </c>
      <c r="N9" s="2259" t="s">
        <v>1376</v>
      </c>
      <c r="O9" s="2259" t="s">
        <v>1364</v>
      </c>
      <c r="P9" s="2259" t="s">
        <v>1365</v>
      </c>
      <c r="Q9" s="2272" t="s">
        <v>1366</v>
      </c>
      <c r="R9" s="2272" t="s">
        <v>1367</v>
      </c>
      <c r="S9" s="2259" t="s">
        <v>1368</v>
      </c>
      <c r="T9" s="2259" t="s">
        <v>1377</v>
      </c>
      <c r="U9" s="2259" t="s">
        <v>1374</v>
      </c>
      <c r="V9" s="2259" t="s">
        <v>1375</v>
      </c>
      <c r="W9" s="2259" t="s">
        <v>1378</v>
      </c>
      <c r="X9" s="2259" t="s">
        <v>1379</v>
      </c>
      <c r="Y9" s="2272" t="s">
        <v>1380</v>
      </c>
      <c r="Z9" s="2272" t="s">
        <v>1381</v>
      </c>
      <c r="AA9" s="2259" t="s">
        <v>1382</v>
      </c>
      <c r="AB9" s="2272" t="s">
        <v>1383</v>
      </c>
      <c r="AC9" s="2272" t="s">
        <v>1384</v>
      </c>
      <c r="AD9" s="2331" t="s">
        <v>1385</v>
      </c>
      <c r="AE9" s="2259" t="s">
        <v>1377</v>
      </c>
      <c r="AF9" s="2332" t="s">
        <v>1386</v>
      </c>
      <c r="AG9" s="2273" t="s">
        <v>1387</v>
      </c>
      <c r="AH9" s="2273" t="s">
        <v>1388</v>
      </c>
      <c r="AJ9" s="2259" t="s">
        <v>1389</v>
      </c>
      <c r="AK9" s="2259" t="s">
        <v>1389</v>
      </c>
      <c r="AL9" s="2259" t="s">
        <v>1389</v>
      </c>
      <c r="AM9" s="2272" t="s">
        <v>1390</v>
      </c>
      <c r="AN9" s="2259" t="s">
        <v>1391</v>
      </c>
      <c r="AO9" s="2259" t="s">
        <v>1392</v>
      </c>
      <c r="AP9" s="2259" t="s">
        <v>1393</v>
      </c>
      <c r="AQ9" s="2272" t="s">
        <v>1394</v>
      </c>
      <c r="AR9" s="2272" t="s">
        <v>1395</v>
      </c>
      <c r="AT9" s="2259" t="s">
        <v>1396</v>
      </c>
      <c r="AU9" s="2259" t="s">
        <v>1396</v>
      </c>
      <c r="AV9" s="2259" t="s">
        <v>1396</v>
      </c>
      <c r="AW9" s="2259" t="s">
        <v>1397</v>
      </c>
      <c r="AX9" s="2259" t="s">
        <v>1398</v>
      </c>
      <c r="AY9" s="2259" t="s">
        <v>1399</v>
      </c>
      <c r="AZ9" s="2272" t="s">
        <v>1400</v>
      </c>
      <c r="BA9" s="2272" t="s">
        <v>1401</v>
      </c>
      <c r="BB9" s="2259" t="s">
        <v>1402</v>
      </c>
      <c r="BC9" s="2259" t="s">
        <v>1402</v>
      </c>
      <c r="BD9" s="2259" t="s">
        <v>1402</v>
      </c>
      <c r="BE9" s="2259" t="s">
        <v>1403</v>
      </c>
      <c r="BF9" s="2259" t="s">
        <v>1404</v>
      </c>
      <c r="BG9" s="2259" t="s">
        <v>1405</v>
      </c>
      <c r="BH9" s="2272" t="s">
        <v>1406</v>
      </c>
      <c r="BI9" s="2272" t="s">
        <v>1407</v>
      </c>
      <c r="BK9" s="2259" t="s">
        <v>1408</v>
      </c>
      <c r="BL9" s="2259" t="s">
        <v>1408</v>
      </c>
      <c r="BM9" s="2259" t="s">
        <v>1409</v>
      </c>
      <c r="BN9" s="2259" t="s">
        <v>1410</v>
      </c>
      <c r="BO9" s="2259" t="s">
        <v>1411</v>
      </c>
      <c r="BP9" s="2272" t="s">
        <v>1412</v>
      </c>
      <c r="BQ9" s="2272" t="s">
        <v>1413</v>
      </c>
      <c r="BS9" s="2259" t="s">
        <v>1414</v>
      </c>
      <c r="BT9" s="2259" t="s">
        <v>1414</v>
      </c>
      <c r="BU9" s="2259" t="s">
        <v>1415</v>
      </c>
      <c r="BV9" s="2259" t="s">
        <v>1416</v>
      </c>
      <c r="BW9" s="2259" t="s">
        <v>1417</v>
      </c>
      <c r="BX9" s="2259" t="s">
        <v>1418</v>
      </c>
      <c r="BY9" s="2259" t="s">
        <v>1419</v>
      </c>
      <c r="CA9" s="2259" t="s">
        <v>1420</v>
      </c>
      <c r="CB9" s="2259" t="s">
        <v>1421</v>
      </c>
      <c r="CC9" s="2259" t="s">
        <v>1422</v>
      </c>
      <c r="CD9" s="2259" t="s">
        <v>1423</v>
      </c>
      <c r="CE9" s="2272" t="s">
        <v>1424</v>
      </c>
      <c r="CF9" s="2272" t="s">
        <v>1425</v>
      </c>
      <c r="CH9" s="2259" t="s">
        <v>1426</v>
      </c>
      <c r="CI9" s="2259" t="s">
        <v>1427</v>
      </c>
      <c r="CK9" s="2259" t="s">
        <v>1428</v>
      </c>
      <c r="CL9" s="2259" t="s">
        <v>1429</v>
      </c>
      <c r="CM9" s="2259" t="s">
        <v>1430</v>
      </c>
      <c r="CO9" s="2259" t="s">
        <v>1431</v>
      </c>
      <c r="CP9" s="2259" t="s">
        <v>1432</v>
      </c>
      <c r="CQ9" s="2272" t="s">
        <v>1433</v>
      </c>
      <c r="CR9" s="2272" t="s">
        <v>1434</v>
      </c>
      <c r="CS9" s="2259" t="s">
        <v>1435</v>
      </c>
      <c r="CT9" s="2259" t="s">
        <v>1436</v>
      </c>
      <c r="CU9" s="2259" t="s">
        <v>1437</v>
      </c>
      <c r="CV9" s="2259" t="s">
        <v>1438</v>
      </c>
      <c r="CW9" s="2259" t="s">
        <v>1439</v>
      </c>
      <c r="CX9" s="2259" t="s">
        <v>1440</v>
      </c>
      <c r="CY9" s="2259" t="s">
        <v>1441</v>
      </c>
      <c r="DA9" s="2259" t="s">
        <v>1442</v>
      </c>
      <c r="DB9" s="2259" t="s">
        <v>1443</v>
      </c>
      <c r="DC9" s="2259" t="s">
        <v>1444</v>
      </c>
      <c r="DD9" s="2259" t="s">
        <v>1442</v>
      </c>
      <c r="DE9" s="2259" t="s">
        <v>1443</v>
      </c>
      <c r="DF9" s="2259" t="s">
        <v>1444</v>
      </c>
      <c r="DG9" s="2259" t="s">
        <v>1445</v>
      </c>
      <c r="DH9" s="2331" t="s">
        <v>1446</v>
      </c>
      <c r="DI9" s="2259" t="s">
        <v>1447</v>
      </c>
      <c r="DJ9" s="2259" t="s">
        <v>1448</v>
      </c>
      <c r="DK9" s="2259" t="s">
        <v>1449</v>
      </c>
      <c r="DM9" s="2259" t="s">
        <v>425</v>
      </c>
      <c r="DN9" s="2259" t="s">
        <v>1450</v>
      </c>
      <c r="DO9" s="2259" t="s">
        <v>1451</v>
      </c>
      <c r="DR9" s="2271" t="s">
        <v>1452</v>
      </c>
      <c r="DS9" s="2272" t="s">
        <v>1453</v>
      </c>
      <c r="DT9" s="2272" t="s">
        <v>1454</v>
      </c>
      <c r="DU9" s="2333" t="s">
        <v>1455</v>
      </c>
      <c r="DV9" s="2272" t="s">
        <v>1456</v>
      </c>
      <c r="DW9" s="2272" t="s">
        <v>1453</v>
      </c>
      <c r="DX9" s="2272" t="s">
        <v>1454</v>
      </c>
      <c r="DY9" s="2333" t="s">
        <v>1457</v>
      </c>
      <c r="DZ9" s="2272" t="s">
        <v>1458</v>
      </c>
      <c r="EA9" s="2272" t="s">
        <v>1459</v>
      </c>
      <c r="EB9" s="2272" t="s">
        <v>1460</v>
      </c>
      <c r="EC9" s="2271" t="s">
        <v>1461</v>
      </c>
      <c r="ED9" s="2272" t="s">
        <v>1462</v>
      </c>
      <c r="EE9" s="2272" t="s">
        <v>1463</v>
      </c>
      <c r="EF9" s="2272" t="s">
        <v>1464</v>
      </c>
      <c r="EG9" s="2259" t="s">
        <v>1465</v>
      </c>
      <c r="EH9" s="2272" t="s">
        <v>439</v>
      </c>
      <c r="EI9" s="2272" t="s">
        <v>673</v>
      </c>
      <c r="EJ9" s="2331" t="s">
        <v>1466</v>
      </c>
      <c r="EK9" s="2272" t="s">
        <v>439</v>
      </c>
      <c r="EL9" s="2272" t="s">
        <v>673</v>
      </c>
      <c r="EM9" s="2331" t="s">
        <v>1467</v>
      </c>
      <c r="EN9" s="2272" t="s">
        <v>439</v>
      </c>
      <c r="EO9" s="2272" t="s">
        <v>673</v>
      </c>
      <c r="EQ9" s="2259" t="s">
        <v>1468</v>
      </c>
      <c r="ER9" s="2259" t="s">
        <v>1469</v>
      </c>
      <c r="ES9" s="2259" t="s">
        <v>1470</v>
      </c>
      <c r="ET9" s="2259" t="s">
        <v>1468</v>
      </c>
      <c r="EU9" s="2259" t="s">
        <v>1469</v>
      </c>
      <c r="EV9" s="2259" t="s">
        <v>1470</v>
      </c>
      <c r="EW9" s="2259" t="s">
        <v>1471</v>
      </c>
      <c r="EX9" s="2259" t="s">
        <v>1472</v>
      </c>
      <c r="EY9" s="2259" t="s">
        <v>1473</v>
      </c>
    </row>
    <row r="10" s="2334" customFormat="true" ht="52" hidden="false" customHeight="true" outlineLevel="0" collapsed="false">
      <c r="A10" s="2334" t="s">
        <v>1254</v>
      </c>
      <c r="B10" s="2334" t="s">
        <v>1474</v>
      </c>
      <c r="C10" s="2334" t="s">
        <v>1475</v>
      </c>
      <c r="D10" s="2334" t="s">
        <v>1475</v>
      </c>
      <c r="E10" s="2334" t="s">
        <v>1475</v>
      </c>
      <c r="F10" s="2334" t="s">
        <v>1475</v>
      </c>
      <c r="G10" s="2334" t="s">
        <v>1475</v>
      </c>
      <c r="H10" s="2334" t="s">
        <v>1475</v>
      </c>
      <c r="I10" s="2334" t="s">
        <v>1476</v>
      </c>
      <c r="J10" s="2334" t="s">
        <v>1476</v>
      </c>
      <c r="K10" s="2334" t="s">
        <v>1477</v>
      </c>
      <c r="L10" s="2334" t="s">
        <v>1476</v>
      </c>
      <c r="M10" s="2334" t="s">
        <v>1478</v>
      </c>
      <c r="N10" s="2334" t="s">
        <v>1479</v>
      </c>
      <c r="O10" s="2334" t="s">
        <v>1475</v>
      </c>
      <c r="P10" s="2334" t="s">
        <v>1475</v>
      </c>
      <c r="Q10" s="2334" t="s">
        <v>1475</v>
      </c>
      <c r="R10" s="2334" t="s">
        <v>1475</v>
      </c>
      <c r="S10" s="2334" t="s">
        <v>1475</v>
      </c>
      <c r="T10" s="2334" t="s">
        <v>1475</v>
      </c>
      <c r="U10" s="2334" t="s">
        <v>1476</v>
      </c>
      <c r="V10" s="2334" t="s">
        <v>1478</v>
      </c>
      <c r="W10" s="2334" t="s">
        <v>1478</v>
      </c>
      <c r="X10" s="2335" t="s">
        <v>1476</v>
      </c>
      <c r="Y10" s="2335" t="s">
        <v>1476</v>
      </c>
      <c r="Z10" s="2335" t="s">
        <v>1476</v>
      </c>
      <c r="AA10" s="2335" t="s">
        <v>1476</v>
      </c>
      <c r="AB10" s="2335" t="s">
        <v>1476</v>
      </c>
      <c r="AC10" s="2335" t="s">
        <v>1476</v>
      </c>
      <c r="AD10" s="2335" t="s">
        <v>1476</v>
      </c>
      <c r="AE10" s="2335" t="s">
        <v>1476</v>
      </c>
      <c r="AF10" s="2336" t="s">
        <v>1480</v>
      </c>
      <c r="AG10" s="2337" t="s">
        <v>1480</v>
      </c>
      <c r="AH10" s="2337" t="s">
        <v>1480</v>
      </c>
      <c r="AJ10" s="2337" t="s">
        <v>1481</v>
      </c>
      <c r="AK10" s="2337" t="s">
        <v>1480</v>
      </c>
      <c r="AL10" s="2334" t="s">
        <v>1482</v>
      </c>
      <c r="AM10" s="2334" t="s">
        <v>1483</v>
      </c>
      <c r="AN10" s="2334" t="s">
        <v>1482</v>
      </c>
      <c r="AO10" s="2334" t="s">
        <v>1482</v>
      </c>
      <c r="AP10" s="2337"/>
      <c r="AQ10" s="2334" t="s">
        <v>1482</v>
      </c>
      <c r="AR10" s="2334" t="s">
        <v>1482</v>
      </c>
      <c r="AT10" s="2337" t="s">
        <v>1481</v>
      </c>
      <c r="AU10" s="2337" t="s">
        <v>1480</v>
      </c>
      <c r="AV10" s="2334" t="s">
        <v>1482</v>
      </c>
      <c r="AW10" s="2334" t="s">
        <v>1482</v>
      </c>
      <c r="AX10" s="2334" t="s">
        <v>1482</v>
      </c>
      <c r="AY10" s="2337"/>
      <c r="AZ10" s="2334" t="s">
        <v>1482</v>
      </c>
      <c r="BA10" s="2334" t="s">
        <v>1482</v>
      </c>
      <c r="BB10" s="2337" t="s">
        <v>1481</v>
      </c>
      <c r="BC10" s="2337" t="s">
        <v>1480</v>
      </c>
      <c r="BD10" s="2334" t="s">
        <v>1482</v>
      </c>
      <c r="BE10" s="2334" t="s">
        <v>1482</v>
      </c>
      <c r="BF10" s="2334" t="s">
        <v>1482</v>
      </c>
      <c r="BG10" s="2337"/>
      <c r="BH10" s="2334" t="s">
        <v>1482</v>
      </c>
      <c r="BI10" s="2334" t="s">
        <v>1482</v>
      </c>
      <c r="BJ10" s="2337"/>
      <c r="BK10" s="2337" t="s">
        <v>1481</v>
      </c>
      <c r="BL10" s="2337" t="s">
        <v>1484</v>
      </c>
      <c r="BM10" s="2337" t="s">
        <v>1484</v>
      </c>
      <c r="BN10" s="2337" t="s">
        <v>1484</v>
      </c>
      <c r="BO10" s="2337"/>
      <c r="BP10" s="2338" t="s">
        <v>1484</v>
      </c>
      <c r="BQ10" s="2338" t="s">
        <v>1484</v>
      </c>
      <c r="BS10" s="2337" t="s">
        <v>1481</v>
      </c>
      <c r="BT10" s="2334" t="s">
        <v>1482</v>
      </c>
      <c r="BU10" s="2334" t="s">
        <v>1482</v>
      </c>
      <c r="BV10" s="2337" t="s">
        <v>1484</v>
      </c>
      <c r="BW10" s="2337"/>
      <c r="BX10" s="2334" t="s">
        <v>1482</v>
      </c>
      <c r="BY10" s="2334" t="s">
        <v>1482</v>
      </c>
      <c r="CA10" s="2334" t="s">
        <v>1482</v>
      </c>
      <c r="CB10" s="2334" t="s">
        <v>1482</v>
      </c>
      <c r="CC10" s="2334" t="s">
        <v>1482</v>
      </c>
      <c r="CD10" s="2334" t="s">
        <v>1482</v>
      </c>
      <c r="CE10" s="2339" t="s">
        <v>1482</v>
      </c>
      <c r="CF10" s="2339" t="s">
        <v>1482</v>
      </c>
      <c r="CG10" s="2337"/>
      <c r="CH10" s="2334" t="s">
        <v>1485</v>
      </c>
      <c r="CI10" s="2334" t="s">
        <v>1485</v>
      </c>
      <c r="CK10" s="2334" t="s">
        <v>1476</v>
      </c>
      <c r="CL10" s="2334" t="s">
        <v>1476</v>
      </c>
      <c r="CM10" s="2334" t="s">
        <v>1486</v>
      </c>
      <c r="CO10" s="2334" t="s">
        <v>1487</v>
      </c>
      <c r="CU10" s="2334" t="s">
        <v>1488</v>
      </c>
      <c r="DA10" s="2334" t="s">
        <v>1489</v>
      </c>
      <c r="DB10" s="2334" t="s">
        <v>1490</v>
      </c>
      <c r="DC10" s="2334" t="s">
        <v>1489</v>
      </c>
      <c r="DD10" s="2334" t="s">
        <v>1489</v>
      </c>
      <c r="DE10" s="2334" t="s">
        <v>1491</v>
      </c>
      <c r="DF10" s="2334" t="s">
        <v>1489</v>
      </c>
      <c r="DG10" s="2334" t="s">
        <v>1492</v>
      </c>
      <c r="DH10" s="2337" t="s">
        <v>1476</v>
      </c>
      <c r="DI10" s="2334" t="s">
        <v>1476</v>
      </c>
      <c r="DJ10" s="2334" t="s">
        <v>1476</v>
      </c>
      <c r="DK10" s="2334" t="s">
        <v>1493</v>
      </c>
      <c r="DN10" s="2334" t="s">
        <v>1494</v>
      </c>
      <c r="DO10" s="2334" t="s">
        <v>1495</v>
      </c>
      <c r="DR10" s="2334" t="s">
        <v>1496</v>
      </c>
      <c r="DS10" s="2334" t="s">
        <v>1497</v>
      </c>
      <c r="DT10" s="2334" t="s">
        <v>1498</v>
      </c>
      <c r="DW10" s="2334" t="s">
        <v>1499</v>
      </c>
      <c r="DY10" s="2334" t="s">
        <v>1497</v>
      </c>
      <c r="DZ10" s="2334" t="s">
        <v>1497</v>
      </c>
      <c r="EA10" s="2334" t="s">
        <v>1497</v>
      </c>
      <c r="EB10" s="2334" t="s">
        <v>1497</v>
      </c>
      <c r="ED10" s="2334" t="s">
        <v>1499</v>
      </c>
      <c r="EG10" s="2339" t="s">
        <v>1491</v>
      </c>
      <c r="EH10" s="2339" t="s">
        <v>1491</v>
      </c>
      <c r="EI10" s="2339" t="s">
        <v>1491</v>
      </c>
      <c r="EJ10" s="2339" t="s">
        <v>1491</v>
      </c>
      <c r="EK10" s="2339" t="s">
        <v>1491</v>
      </c>
      <c r="EL10" s="2339" t="s">
        <v>1491</v>
      </c>
      <c r="EM10" s="2339" t="s">
        <v>1491</v>
      </c>
      <c r="EN10" s="2339" t="s">
        <v>1491</v>
      </c>
      <c r="EO10" s="2339" t="s">
        <v>1491</v>
      </c>
      <c r="EQ10" s="2339" t="s">
        <v>1491</v>
      </c>
      <c r="ER10" s="2339" t="s">
        <v>1491</v>
      </c>
      <c r="ES10" s="2339" t="s">
        <v>1491</v>
      </c>
      <c r="ET10" s="2339" t="s">
        <v>1500</v>
      </c>
      <c r="EU10" s="2339" t="s">
        <v>1500</v>
      </c>
      <c r="EV10" s="2339" t="s">
        <v>1500</v>
      </c>
      <c r="EW10" s="2339" t="s">
        <v>1491</v>
      </c>
      <c r="EX10" s="2339" t="s">
        <v>1491</v>
      </c>
      <c r="EY10" s="2339" t="s">
        <v>1491</v>
      </c>
    </row>
    <row r="11" s="2334" customFormat="true" ht="55" hidden="false" customHeight="true" outlineLevel="0" collapsed="false">
      <c r="A11" s="2334" t="s">
        <v>403</v>
      </c>
      <c r="B11" s="2334" t="s">
        <v>1501</v>
      </c>
      <c r="C11" s="2334" t="s">
        <v>1501</v>
      </c>
      <c r="D11" s="2334" t="s">
        <v>1502</v>
      </c>
      <c r="E11" s="2334" t="s">
        <v>1502</v>
      </c>
      <c r="F11" s="2334" t="s">
        <v>1501</v>
      </c>
      <c r="G11" s="2334" t="s">
        <v>1501</v>
      </c>
      <c r="H11" s="2334" t="s">
        <v>1214</v>
      </c>
      <c r="I11" s="2334" t="s">
        <v>1503</v>
      </c>
      <c r="J11" s="2334" t="s">
        <v>1503</v>
      </c>
      <c r="K11" s="2334" t="s">
        <v>1503</v>
      </c>
      <c r="L11" s="2334" t="s">
        <v>1504</v>
      </c>
      <c r="M11" s="2334" t="s">
        <v>1214</v>
      </c>
      <c r="N11" s="2334" t="s">
        <v>1214</v>
      </c>
      <c r="O11" s="2334" t="s">
        <v>1505</v>
      </c>
      <c r="P11" s="2334" t="s">
        <v>1505</v>
      </c>
      <c r="Q11" s="2334" t="s">
        <v>1502</v>
      </c>
      <c r="R11" s="2334" t="s">
        <v>1502</v>
      </c>
      <c r="S11" s="2337" t="s">
        <v>1505</v>
      </c>
      <c r="T11" s="2334" t="s">
        <v>1505</v>
      </c>
      <c r="U11" s="2334" t="s">
        <v>1504</v>
      </c>
      <c r="V11" s="2334" t="s">
        <v>1214</v>
      </c>
      <c r="W11" s="2334" t="s">
        <v>1214</v>
      </c>
      <c r="X11" s="2335" t="s">
        <v>1506</v>
      </c>
      <c r="Y11" s="2335" t="s">
        <v>1506</v>
      </c>
      <c r="Z11" s="2335" t="s">
        <v>1506</v>
      </c>
      <c r="AA11" s="2335" t="s">
        <v>1506</v>
      </c>
      <c r="AB11" s="2335" t="s">
        <v>1506</v>
      </c>
      <c r="AC11" s="2335" t="s">
        <v>1506</v>
      </c>
      <c r="AD11" s="2335" t="s">
        <v>1506</v>
      </c>
      <c r="AE11" s="2335" t="s">
        <v>1506</v>
      </c>
      <c r="AF11" s="2340" t="s">
        <v>1214</v>
      </c>
      <c r="AG11" s="2334" t="s">
        <v>1507</v>
      </c>
      <c r="AH11" s="2334" t="s">
        <v>1508</v>
      </c>
      <c r="AJ11" s="2334" t="s">
        <v>1509</v>
      </c>
      <c r="AK11" s="2334" t="s">
        <v>1507</v>
      </c>
      <c r="AL11" s="2334" t="s">
        <v>1510</v>
      </c>
      <c r="AM11" s="2341" t="s">
        <v>1511</v>
      </c>
      <c r="AN11" s="2334" t="s">
        <v>1510</v>
      </c>
      <c r="AO11" s="2334" t="s">
        <v>1510</v>
      </c>
      <c r="AQ11" s="2334" t="s">
        <v>1510</v>
      </c>
      <c r="AR11" s="2334" t="s">
        <v>1510</v>
      </c>
      <c r="AT11" s="2334" t="s">
        <v>1509</v>
      </c>
      <c r="AU11" s="2334" t="s">
        <v>1214</v>
      </c>
      <c r="AV11" s="2334" t="s">
        <v>1510</v>
      </c>
      <c r="AW11" s="2334" t="s">
        <v>1510</v>
      </c>
      <c r="AX11" s="2334" t="s">
        <v>1510</v>
      </c>
      <c r="AZ11" s="2334" t="s">
        <v>1510</v>
      </c>
      <c r="BA11" s="2334" t="s">
        <v>1510</v>
      </c>
      <c r="BB11" s="2334" t="s">
        <v>1509</v>
      </c>
      <c r="BC11" s="2334" t="s">
        <v>1507</v>
      </c>
      <c r="BD11" s="2334" t="s">
        <v>1510</v>
      </c>
      <c r="BE11" s="2334" t="s">
        <v>1510</v>
      </c>
      <c r="BF11" s="2334" t="s">
        <v>1510</v>
      </c>
      <c r="BH11" s="2334" t="s">
        <v>1510</v>
      </c>
      <c r="BI11" s="2334" t="s">
        <v>1510</v>
      </c>
      <c r="BK11" s="2334" t="s">
        <v>1509</v>
      </c>
      <c r="BL11" s="2334" t="s">
        <v>1512</v>
      </c>
      <c r="BM11" s="2334" t="s">
        <v>1512</v>
      </c>
      <c r="BN11" s="2334" t="s">
        <v>1512</v>
      </c>
      <c r="BP11" s="2339" t="s">
        <v>1512</v>
      </c>
      <c r="BQ11" s="2339" t="s">
        <v>1512</v>
      </c>
      <c r="BS11" s="2334" t="s">
        <v>1509</v>
      </c>
      <c r="BT11" s="2334" t="s">
        <v>1510</v>
      </c>
      <c r="BU11" s="2334" t="s">
        <v>1510</v>
      </c>
      <c r="BV11" s="2334" t="s">
        <v>1512</v>
      </c>
      <c r="BX11" s="2334" t="s">
        <v>1510</v>
      </c>
      <c r="BY11" s="2334" t="s">
        <v>1510</v>
      </c>
      <c r="CA11" s="2334" t="s">
        <v>1513</v>
      </c>
      <c r="CB11" s="2334" t="s">
        <v>1513</v>
      </c>
      <c r="CC11" s="2334" t="s">
        <v>1513</v>
      </c>
      <c r="CD11" s="2334" t="s">
        <v>1513</v>
      </c>
      <c r="CE11" s="2339" t="s">
        <v>1513</v>
      </c>
      <c r="CF11" s="2339" t="s">
        <v>1513</v>
      </c>
      <c r="CH11" s="2337" t="s">
        <v>1514</v>
      </c>
      <c r="CI11" s="2337" t="s">
        <v>1514</v>
      </c>
      <c r="CK11" s="2334" t="s">
        <v>1515</v>
      </c>
      <c r="CL11" s="2334" t="s">
        <v>1515</v>
      </c>
      <c r="CM11" s="2334" t="s">
        <v>1516</v>
      </c>
      <c r="CO11" s="2334" t="s">
        <v>1517</v>
      </c>
      <c r="CP11" s="2334" t="s">
        <v>1517</v>
      </c>
      <c r="CQ11" s="2334" t="s">
        <v>1517</v>
      </c>
      <c r="CR11" s="2334" t="s">
        <v>1517</v>
      </c>
      <c r="CS11" s="2334" t="s">
        <v>1517</v>
      </c>
      <c r="CT11" s="2334" t="s">
        <v>1517</v>
      </c>
      <c r="CU11" s="2334" t="s">
        <v>1517</v>
      </c>
      <c r="CV11" s="2334" t="s">
        <v>1517</v>
      </c>
      <c r="CW11" s="2334" t="s">
        <v>1517</v>
      </c>
      <c r="CX11" s="2334" t="s">
        <v>1517</v>
      </c>
      <c r="CY11" s="2334" t="s">
        <v>1517</v>
      </c>
      <c r="DA11" s="2334" t="s">
        <v>1518</v>
      </c>
      <c r="DB11" s="2334" t="s">
        <v>1519</v>
      </c>
      <c r="DC11" s="2334" t="s">
        <v>1519</v>
      </c>
      <c r="DD11" s="2334" t="s">
        <v>1519</v>
      </c>
      <c r="DE11" s="2334" t="s">
        <v>1519</v>
      </c>
      <c r="DF11" s="2334" t="s">
        <v>1519</v>
      </c>
      <c r="DG11" s="2334" t="s">
        <v>1513</v>
      </c>
      <c r="DH11" s="2337" t="s">
        <v>1513</v>
      </c>
      <c r="DI11" s="2334" t="s">
        <v>1513</v>
      </c>
      <c r="DJ11" s="2334" t="s">
        <v>1520</v>
      </c>
      <c r="DK11" s="2334" t="s">
        <v>1521</v>
      </c>
      <c r="DN11" s="2334" t="s">
        <v>1522</v>
      </c>
      <c r="DS11" s="2334" t="s">
        <v>1523</v>
      </c>
      <c r="DT11" s="2334" t="s">
        <v>1524</v>
      </c>
      <c r="DW11" s="2334" t="s">
        <v>1523</v>
      </c>
      <c r="DZ11" s="2334" t="s">
        <v>1523</v>
      </c>
      <c r="EA11" s="2334" t="s">
        <v>1525</v>
      </c>
      <c r="EB11" s="2334" t="s">
        <v>1525</v>
      </c>
      <c r="ED11" s="2334" t="s">
        <v>1523</v>
      </c>
      <c r="EG11" s="2339" t="s">
        <v>1513</v>
      </c>
      <c r="EH11" s="2339" t="s">
        <v>1513</v>
      </c>
      <c r="EI11" s="2339" t="s">
        <v>1513</v>
      </c>
      <c r="EJ11" s="2339" t="s">
        <v>1513</v>
      </c>
      <c r="EK11" s="2339" t="s">
        <v>1513</v>
      </c>
      <c r="EL11" s="2339" t="s">
        <v>1513</v>
      </c>
      <c r="EM11" s="2339" t="s">
        <v>1513</v>
      </c>
      <c r="EN11" s="2339" t="s">
        <v>1513</v>
      </c>
      <c r="EO11" s="2339" t="s">
        <v>1513</v>
      </c>
      <c r="EQ11" s="2334" t="s">
        <v>1526</v>
      </c>
      <c r="ER11" s="2334" t="s">
        <v>1526</v>
      </c>
      <c r="ES11" s="2334" t="s">
        <v>1526</v>
      </c>
      <c r="ET11" s="2339" t="s">
        <v>1513</v>
      </c>
      <c r="EU11" s="2339" t="s">
        <v>1513</v>
      </c>
      <c r="EV11" s="2339" t="s">
        <v>1513</v>
      </c>
      <c r="EW11" s="2334" t="s">
        <v>1527</v>
      </c>
      <c r="EX11" s="2334" t="s">
        <v>1528</v>
      </c>
      <c r="EY11" s="2334" t="s">
        <v>1529</v>
      </c>
    </row>
    <row r="12" s="2327" customFormat="true" ht="97" hidden="true" customHeight="true" outlineLevel="0" collapsed="false">
      <c r="A12" s="2259" t="s">
        <v>1055</v>
      </c>
      <c r="B12" s="2259" t="s">
        <v>1530</v>
      </c>
      <c r="C12" s="2259" t="s">
        <v>1531</v>
      </c>
      <c r="D12" s="2259" t="s">
        <v>1532</v>
      </c>
      <c r="E12" s="2259" t="s">
        <v>1533</v>
      </c>
      <c r="F12" s="2259" t="s">
        <v>1534</v>
      </c>
      <c r="G12" s="2259" t="s">
        <v>1535</v>
      </c>
      <c r="H12" s="2259"/>
      <c r="I12" s="2259" t="s">
        <v>1536</v>
      </c>
      <c r="J12" s="2259" t="s">
        <v>1537</v>
      </c>
      <c r="K12" s="2259" t="s">
        <v>1538</v>
      </c>
      <c r="L12" s="2259"/>
      <c r="M12" s="2259"/>
      <c r="N12" s="2259"/>
      <c r="O12" s="2259" t="s">
        <v>1530</v>
      </c>
      <c r="P12" s="2259" t="s">
        <v>1531</v>
      </c>
      <c r="Q12" s="2259" t="s">
        <v>1532</v>
      </c>
      <c r="R12" s="2259" t="s">
        <v>1533</v>
      </c>
      <c r="S12" s="2331" t="s">
        <v>1534</v>
      </c>
      <c r="T12" s="2259" t="s">
        <v>1535</v>
      </c>
      <c r="U12" s="2259"/>
      <c r="V12" s="2259"/>
      <c r="W12" s="2259"/>
      <c r="X12" s="2259"/>
      <c r="Y12" s="2259"/>
      <c r="Z12" s="2259"/>
      <c r="AA12" s="2259"/>
      <c r="AB12" s="2259"/>
      <c r="AE12" s="2259"/>
      <c r="AF12" s="2332" t="s">
        <v>1539</v>
      </c>
      <c r="AG12" s="2259" t="s">
        <v>1540</v>
      </c>
      <c r="AH12" s="2259" t="s">
        <v>1541</v>
      </c>
      <c r="AI12" s="2259"/>
      <c r="AJ12" s="2259" t="s">
        <v>1542</v>
      </c>
      <c r="AK12" s="2259"/>
      <c r="AL12" s="2259"/>
      <c r="AM12" s="2259"/>
      <c r="AN12" s="2259" t="s">
        <v>1543</v>
      </c>
      <c r="AO12" s="2259" t="s">
        <v>1544</v>
      </c>
      <c r="AP12" s="2259"/>
      <c r="AQ12" s="2272" t="s">
        <v>1545</v>
      </c>
      <c r="AR12" s="2272" t="s">
        <v>1546</v>
      </c>
      <c r="AS12" s="2259"/>
      <c r="AT12" s="2259"/>
      <c r="AU12" s="2259"/>
      <c r="AV12" s="2259"/>
      <c r="AW12" s="2259"/>
      <c r="AX12" s="2259"/>
      <c r="AY12" s="2259"/>
      <c r="AZ12" s="2272" t="s">
        <v>1545</v>
      </c>
      <c r="BA12" s="2272" t="s">
        <v>1546</v>
      </c>
      <c r="BB12" s="2327" t="s">
        <v>1547</v>
      </c>
      <c r="BC12" s="2327" t="s">
        <v>1547</v>
      </c>
      <c r="BH12" s="2272" t="s">
        <v>1545</v>
      </c>
      <c r="BI12" s="2272" t="s">
        <v>1546</v>
      </c>
      <c r="BK12" s="2259" t="s">
        <v>1548</v>
      </c>
      <c r="BP12" s="2272" t="s">
        <v>1545</v>
      </c>
      <c r="BQ12" s="2272" t="s">
        <v>1546</v>
      </c>
      <c r="BS12" s="2259" t="s">
        <v>1549</v>
      </c>
      <c r="BX12" s="2272" t="s">
        <v>1545</v>
      </c>
      <c r="BY12" s="2272" t="s">
        <v>1546</v>
      </c>
      <c r="CH12" s="2259" t="s">
        <v>1550</v>
      </c>
      <c r="CI12" s="2259" t="s">
        <v>1551</v>
      </c>
      <c r="CJ12" s="2259"/>
      <c r="CK12" s="2259" t="s">
        <v>1552</v>
      </c>
      <c r="CL12" s="2259" t="s">
        <v>1552</v>
      </c>
      <c r="CO12" s="2259" t="s">
        <v>1553</v>
      </c>
      <c r="CP12" s="2259" t="s">
        <v>1554</v>
      </c>
      <c r="CQ12" s="2259" t="s">
        <v>1555</v>
      </c>
      <c r="CR12" s="2259" t="s">
        <v>1556</v>
      </c>
      <c r="CS12" s="2259" t="s">
        <v>1557</v>
      </c>
      <c r="CT12" s="2259" t="s">
        <v>1558</v>
      </c>
      <c r="CU12" s="2259" t="s">
        <v>1559</v>
      </c>
      <c r="CV12" s="2259" t="s">
        <v>1560</v>
      </c>
      <c r="CW12" s="2259" t="s">
        <v>1561</v>
      </c>
      <c r="CX12" s="2259" t="s">
        <v>1562</v>
      </c>
      <c r="CY12" s="2259" t="s">
        <v>1563</v>
      </c>
      <c r="DA12" s="2259" t="s">
        <v>1564</v>
      </c>
      <c r="DB12" s="2259" t="s">
        <v>1565</v>
      </c>
      <c r="DC12" s="2259" t="s">
        <v>1566</v>
      </c>
      <c r="DD12" s="2259" t="s">
        <v>1564</v>
      </c>
      <c r="DE12" s="2259" t="s">
        <v>1565</v>
      </c>
      <c r="DF12" s="2259" t="s">
        <v>1566</v>
      </c>
      <c r="DS12" s="2259" t="s">
        <v>1567</v>
      </c>
      <c r="DT12" s="2259" t="s">
        <v>1568</v>
      </c>
      <c r="DZ12" s="2259" t="s">
        <v>1569</v>
      </c>
      <c r="EA12" s="2259" t="s">
        <v>1570</v>
      </c>
      <c r="EB12" s="2259" t="s">
        <v>1571</v>
      </c>
    </row>
    <row r="13" s="2327" customFormat="true" ht="12" hidden="false" customHeight="true" outlineLevel="0" collapsed="false">
      <c r="A13" s="2252" t="n">
        <v>1945</v>
      </c>
      <c r="B13" s="2259"/>
      <c r="C13" s="2259"/>
      <c r="D13" s="2259"/>
      <c r="E13" s="2259"/>
      <c r="F13" s="2259"/>
      <c r="G13" s="2259"/>
      <c r="H13" s="2259"/>
      <c r="I13" s="2259"/>
      <c r="J13" s="2259"/>
      <c r="K13" s="2259"/>
      <c r="L13" s="2259"/>
      <c r="M13" s="2259"/>
      <c r="N13" s="2259"/>
      <c r="O13" s="2259"/>
      <c r="P13" s="2259"/>
      <c r="Q13" s="2259"/>
      <c r="R13" s="2259"/>
      <c r="S13" s="2331"/>
      <c r="T13" s="2259"/>
      <c r="U13" s="2331"/>
      <c r="V13" s="2331"/>
      <c r="W13" s="2331"/>
      <c r="X13" s="2259"/>
      <c r="Y13" s="2259"/>
      <c r="Z13" s="2259"/>
      <c r="AA13" s="2259"/>
      <c r="AB13" s="2259"/>
      <c r="AC13" s="2259"/>
      <c r="AD13" s="2331"/>
      <c r="AE13" s="2259"/>
      <c r="AF13" s="2332"/>
      <c r="AG13" s="2259"/>
      <c r="AH13" s="2259"/>
      <c r="AI13" s="2259"/>
      <c r="AJ13" s="2259"/>
      <c r="AK13" s="2259"/>
      <c r="AL13" s="2259"/>
      <c r="AM13" s="2259"/>
      <c r="AN13" s="2259"/>
      <c r="AO13" s="2259"/>
      <c r="AP13" s="2259"/>
      <c r="AQ13" s="2259"/>
      <c r="AR13" s="2259"/>
      <c r="AS13" s="2259"/>
      <c r="AT13" s="2259"/>
      <c r="AU13" s="2259"/>
      <c r="AV13" s="2259"/>
      <c r="AW13" s="2259"/>
      <c r="AX13" s="2259"/>
      <c r="AY13" s="2259"/>
      <c r="AZ13" s="2259"/>
      <c r="BA13" s="2259"/>
      <c r="BC13" s="2259"/>
      <c r="CH13" s="2259"/>
      <c r="CI13" s="2259"/>
      <c r="CJ13" s="2259"/>
      <c r="CK13" s="2259"/>
      <c r="CL13" s="2259"/>
      <c r="CO13" s="2259"/>
      <c r="CP13" s="2259"/>
      <c r="CQ13" s="2259"/>
      <c r="CR13" s="2259"/>
      <c r="CS13" s="2259"/>
      <c r="CT13" s="2259"/>
      <c r="CU13" s="2259"/>
      <c r="CV13" s="2259"/>
      <c r="CW13" s="2259"/>
      <c r="CX13" s="2259"/>
      <c r="CY13" s="2259"/>
      <c r="DJ13" s="2328" t="n">
        <f aca="false">DJ$21+DateDE1b!CV$15</f>
        <v>15.123</v>
      </c>
      <c r="DR13" s="2330"/>
      <c r="DS13" s="2330"/>
      <c r="DT13" s="2330"/>
      <c r="DU13" s="2330"/>
      <c r="DV13" s="2330"/>
      <c r="DW13" s="2330"/>
      <c r="DX13" s="2330"/>
      <c r="DY13" s="2330"/>
      <c r="DZ13" s="2330"/>
      <c r="EA13" s="2330"/>
      <c r="EB13" s="2330"/>
      <c r="EC13" s="2330"/>
      <c r="ED13" s="2330"/>
      <c r="EE13" s="2330"/>
      <c r="EF13" s="2330"/>
    </row>
    <row r="14" s="2327" customFormat="true" ht="12" hidden="false" customHeight="true" outlineLevel="0" collapsed="false">
      <c r="A14" s="2252" t="n">
        <v>1946</v>
      </c>
      <c r="B14" s="2259"/>
      <c r="C14" s="2259"/>
      <c r="D14" s="2259"/>
      <c r="E14" s="2259"/>
      <c r="F14" s="2259"/>
      <c r="G14" s="2259"/>
      <c r="H14" s="2259"/>
      <c r="I14" s="2259"/>
      <c r="J14" s="2259"/>
      <c r="K14" s="2259"/>
      <c r="L14" s="2259"/>
      <c r="M14" s="2259"/>
      <c r="N14" s="2259"/>
      <c r="O14" s="2259"/>
      <c r="P14" s="2259"/>
      <c r="Q14" s="2259"/>
      <c r="R14" s="2259"/>
      <c r="S14" s="2331"/>
      <c r="T14" s="2259"/>
      <c r="U14" s="2331"/>
      <c r="V14" s="2331"/>
      <c r="W14" s="2331"/>
      <c r="X14" s="2259"/>
      <c r="Y14" s="2259"/>
      <c r="Z14" s="2259"/>
      <c r="AA14" s="2259"/>
      <c r="AB14" s="2259"/>
      <c r="AC14" s="2259"/>
      <c r="AD14" s="2331"/>
      <c r="AE14" s="2259"/>
      <c r="AF14" s="2332"/>
      <c r="AG14" s="2259"/>
      <c r="AH14" s="2259"/>
      <c r="AI14" s="2259"/>
      <c r="AJ14" s="2259"/>
      <c r="AK14" s="2259"/>
      <c r="AL14" s="2259"/>
      <c r="AM14" s="2259"/>
      <c r="AN14" s="2259"/>
      <c r="AO14" s="2259"/>
      <c r="AP14" s="2259"/>
      <c r="AQ14" s="2259"/>
      <c r="AR14" s="2259"/>
      <c r="AS14" s="2259"/>
      <c r="AT14" s="2259"/>
      <c r="AU14" s="2259"/>
      <c r="AV14" s="2259"/>
      <c r="AW14" s="2259"/>
      <c r="AX14" s="2259"/>
      <c r="AY14" s="2259"/>
      <c r="AZ14" s="2259"/>
      <c r="BA14" s="2259"/>
      <c r="BC14" s="2259"/>
      <c r="CH14" s="2259"/>
      <c r="CI14" s="2259"/>
      <c r="CJ14" s="2259"/>
      <c r="CK14" s="2259"/>
      <c r="CL14" s="2259"/>
      <c r="CO14" s="2259"/>
      <c r="CP14" s="2259"/>
      <c r="CQ14" s="2259"/>
      <c r="CR14" s="2259"/>
      <c r="CS14" s="2259"/>
      <c r="CT14" s="2259"/>
      <c r="CU14" s="2259"/>
      <c r="CV14" s="2259"/>
      <c r="CW14" s="2259"/>
      <c r="CX14" s="2259"/>
      <c r="CY14" s="2259"/>
      <c r="DJ14" s="2328" t="n">
        <f aca="false">DJ$21+DateDE1b!CV$15</f>
        <v>15.123</v>
      </c>
      <c r="DR14" s="2330"/>
      <c r="DS14" s="2330"/>
      <c r="DT14" s="2330"/>
      <c r="DU14" s="2330"/>
      <c r="DV14" s="2330"/>
      <c r="DW14" s="2330"/>
      <c r="DX14" s="2330"/>
      <c r="DY14" s="2330"/>
      <c r="DZ14" s="2330"/>
      <c r="EA14" s="2330"/>
      <c r="EB14" s="2330"/>
      <c r="EC14" s="2330"/>
      <c r="ED14" s="2330"/>
      <c r="EE14" s="2330"/>
      <c r="EF14" s="2330"/>
    </row>
    <row r="15" s="2327" customFormat="true" ht="12" hidden="false" customHeight="true" outlineLevel="0" collapsed="false">
      <c r="A15" s="2252" t="n">
        <v>1947</v>
      </c>
      <c r="B15" s="2259"/>
      <c r="C15" s="2259"/>
      <c r="D15" s="2259"/>
      <c r="E15" s="2259"/>
      <c r="F15" s="2259"/>
      <c r="G15" s="2259"/>
      <c r="H15" s="2259"/>
      <c r="I15" s="2259"/>
      <c r="J15" s="2259"/>
      <c r="K15" s="2259"/>
      <c r="L15" s="2259"/>
      <c r="M15" s="2259"/>
      <c r="N15" s="2259"/>
      <c r="O15" s="2259"/>
      <c r="P15" s="2259"/>
      <c r="Q15" s="2259"/>
      <c r="R15" s="2259"/>
      <c r="S15" s="2331"/>
      <c r="T15" s="2259"/>
      <c r="U15" s="2331"/>
      <c r="V15" s="2331"/>
      <c r="W15" s="2331"/>
      <c r="X15" s="2259"/>
      <c r="Y15" s="2259"/>
      <c r="Z15" s="2259"/>
      <c r="AA15" s="2259"/>
      <c r="AB15" s="2259"/>
      <c r="AC15" s="2259"/>
      <c r="AD15" s="2331"/>
      <c r="AE15" s="2259"/>
      <c r="AF15" s="2332"/>
      <c r="AG15" s="2259"/>
      <c r="AH15" s="2259"/>
      <c r="AI15" s="2259"/>
      <c r="AJ15" s="2259"/>
      <c r="AK15" s="2259"/>
      <c r="AL15" s="2259"/>
      <c r="AM15" s="2259"/>
      <c r="AN15" s="2259"/>
      <c r="AO15" s="2259"/>
      <c r="AP15" s="2259"/>
      <c r="AQ15" s="2259"/>
      <c r="AR15" s="2259"/>
      <c r="AS15" s="2259"/>
      <c r="AT15" s="2259"/>
      <c r="AU15" s="2259"/>
      <c r="AV15" s="2259"/>
      <c r="AW15" s="2259"/>
      <c r="AX15" s="2259"/>
      <c r="AY15" s="2259"/>
      <c r="AZ15" s="2259"/>
      <c r="BA15" s="2259"/>
      <c r="BC15" s="2259"/>
      <c r="CH15" s="2259"/>
      <c r="CI15" s="2259"/>
      <c r="CJ15" s="2259"/>
      <c r="CK15" s="2259"/>
      <c r="CL15" s="2259"/>
      <c r="CO15" s="2259"/>
      <c r="CP15" s="2259"/>
      <c r="CQ15" s="2259"/>
      <c r="CR15" s="2259"/>
      <c r="CS15" s="2259"/>
      <c r="CT15" s="2259"/>
      <c r="CU15" s="2259"/>
      <c r="CV15" s="2259"/>
      <c r="CW15" s="2259"/>
      <c r="CX15" s="2259"/>
      <c r="CY15" s="2259"/>
      <c r="DJ15" s="2328" t="n">
        <f aca="false">DJ$21+DateDE1b!CV$15</f>
        <v>15.123</v>
      </c>
      <c r="DR15" s="2330"/>
      <c r="DS15" s="2330"/>
      <c r="DT15" s="2330"/>
      <c r="DU15" s="2330"/>
      <c r="DV15" s="2330"/>
      <c r="DW15" s="2330"/>
      <c r="DX15" s="2330"/>
      <c r="DY15" s="2330"/>
      <c r="DZ15" s="2330"/>
      <c r="EA15" s="2330"/>
      <c r="EB15" s="2330"/>
      <c r="EC15" s="2330"/>
      <c r="ED15" s="2330"/>
      <c r="EE15" s="2330"/>
      <c r="EF15" s="2330"/>
    </row>
    <row r="16" s="2327" customFormat="true" ht="12" hidden="false" customHeight="true" outlineLevel="0" collapsed="false">
      <c r="A16" s="2252" t="n">
        <v>1948</v>
      </c>
      <c r="B16" s="2259"/>
      <c r="C16" s="2259"/>
      <c r="D16" s="2259"/>
      <c r="E16" s="2259"/>
      <c r="F16" s="2259"/>
      <c r="G16" s="2259"/>
      <c r="H16" s="2259"/>
      <c r="I16" s="2259"/>
      <c r="J16" s="2259"/>
      <c r="K16" s="2259"/>
      <c r="L16" s="2259"/>
      <c r="M16" s="2259"/>
      <c r="N16" s="2259"/>
      <c r="O16" s="2259"/>
      <c r="P16" s="2259"/>
      <c r="Q16" s="2259"/>
      <c r="R16" s="2259"/>
      <c r="S16" s="2331"/>
      <c r="T16" s="2259"/>
      <c r="U16" s="2331"/>
      <c r="V16" s="2331"/>
      <c r="W16" s="2331"/>
      <c r="X16" s="2259"/>
      <c r="Y16" s="2259"/>
      <c r="Z16" s="2259"/>
      <c r="AA16" s="2259"/>
      <c r="AB16" s="2259"/>
      <c r="AC16" s="2259"/>
      <c r="AD16" s="2331"/>
      <c r="AE16" s="2259"/>
      <c r="AF16" s="2332"/>
      <c r="AG16" s="2259"/>
      <c r="AH16" s="2259"/>
      <c r="AI16" s="2259"/>
      <c r="AJ16" s="2259"/>
      <c r="AK16" s="2259"/>
      <c r="AL16" s="2259"/>
      <c r="AM16" s="2259"/>
      <c r="AN16" s="2259"/>
      <c r="AO16" s="2259"/>
      <c r="AP16" s="2259"/>
      <c r="AQ16" s="2259"/>
      <c r="AR16" s="2259"/>
      <c r="AS16" s="2259"/>
      <c r="AT16" s="2259"/>
      <c r="AU16" s="2259"/>
      <c r="AV16" s="2259"/>
      <c r="AW16" s="2259"/>
      <c r="AX16" s="2259"/>
      <c r="AY16" s="2259"/>
      <c r="AZ16" s="2259"/>
      <c r="BA16" s="2259"/>
      <c r="BC16" s="2259"/>
      <c r="CH16" s="2259"/>
      <c r="CI16" s="2259"/>
      <c r="CJ16" s="2259"/>
      <c r="CK16" s="2259"/>
      <c r="CL16" s="2259"/>
      <c r="CO16" s="2259"/>
      <c r="CP16" s="2259"/>
      <c r="CQ16" s="2259"/>
      <c r="CR16" s="2259"/>
      <c r="CS16" s="2259"/>
      <c r="CT16" s="2259"/>
      <c r="CU16" s="2259"/>
      <c r="CV16" s="2259"/>
      <c r="CW16" s="2259"/>
      <c r="CX16" s="2259"/>
      <c r="CY16" s="2259"/>
      <c r="DJ16" s="2328" t="n">
        <f aca="false">DJ$21+DateDE1b!CV$15</f>
        <v>15.123</v>
      </c>
      <c r="DK16" s="2342"/>
      <c r="DR16" s="2330"/>
      <c r="DS16" s="2330"/>
      <c r="DT16" s="2330"/>
      <c r="DU16" s="2330"/>
      <c r="DV16" s="2330"/>
      <c r="DW16" s="2330"/>
      <c r="DX16" s="2330"/>
      <c r="DY16" s="2330"/>
      <c r="DZ16" s="2330"/>
      <c r="EA16" s="2330"/>
      <c r="EB16" s="2330"/>
      <c r="EC16" s="2330"/>
      <c r="ED16" s="2330"/>
      <c r="EE16" s="2330"/>
      <c r="EF16" s="2330"/>
      <c r="ET16" s="2275"/>
      <c r="EU16" s="2275"/>
      <c r="EV16" s="2275"/>
    </row>
    <row r="17" s="2327" customFormat="true" ht="12" hidden="false" customHeight="true" outlineLevel="0" collapsed="false">
      <c r="A17" s="2252" t="n">
        <v>1949</v>
      </c>
      <c r="B17" s="2280" t="n">
        <v>21.1</v>
      </c>
      <c r="C17" s="2280" t="n">
        <f aca="false">21.1-0.4+5</f>
        <v>25.7</v>
      </c>
      <c r="D17" s="2280" t="n">
        <v>5</v>
      </c>
      <c r="E17" s="2280" t="n">
        <v>3.3</v>
      </c>
      <c r="F17" s="2280" t="n">
        <v>0.5</v>
      </c>
      <c r="G17" s="2280" t="n">
        <v>20.6</v>
      </c>
      <c r="H17" s="2280" t="n">
        <f aca="false">C17-F17</f>
        <v>25.2</v>
      </c>
      <c r="I17" s="2280"/>
      <c r="J17" s="2280"/>
      <c r="K17" s="2280"/>
      <c r="L17" s="2280" t="n">
        <f aca="false">32.3-30.2</f>
        <v>2.1</v>
      </c>
      <c r="M17" s="2280" t="n">
        <f aca="false">F17+L17</f>
        <v>2.6</v>
      </c>
      <c r="N17" s="2280" t="n">
        <f aca="false">C17-M17</f>
        <v>23.1</v>
      </c>
      <c r="O17" s="2280" t="n">
        <f aca="false">B17/$B$4</f>
        <v>10.7882586932402</v>
      </c>
      <c r="P17" s="2280" t="n">
        <f aca="false">C17/$B$4</f>
        <v>13.1402013467428</v>
      </c>
      <c r="Q17" s="2280" t="n">
        <f aca="false">D17/$B$4</f>
        <v>2.55645940598109</v>
      </c>
      <c r="R17" s="2280" t="n">
        <f aca="false">E17/$B$4</f>
        <v>1.68726320794752</v>
      </c>
      <c r="S17" s="2280" t="n">
        <f aca="false">F17/$B$4</f>
        <v>0.255645940598109</v>
      </c>
      <c r="T17" s="2280" t="n">
        <f aca="false">G17/$B$4</f>
        <v>10.5326127526421</v>
      </c>
      <c r="U17" s="2280" t="n">
        <f aca="false">L17/$B$4</f>
        <v>1.07371295051206</v>
      </c>
      <c r="V17" s="2280" t="n">
        <f aca="false">M17/$B$4</f>
        <v>1.32935889111017</v>
      </c>
      <c r="W17" s="2280" t="n">
        <f aca="false">N17/$B$4</f>
        <v>11.8108424556326</v>
      </c>
      <c r="X17" s="2259"/>
      <c r="Y17" s="2259"/>
      <c r="Z17" s="2259"/>
      <c r="AA17" s="2259"/>
      <c r="AB17" s="2259"/>
      <c r="AC17" s="2259"/>
      <c r="AD17" s="2331"/>
      <c r="AE17" s="2259"/>
      <c r="AF17" s="2332"/>
      <c r="AG17" s="2259"/>
      <c r="AH17" s="2259"/>
      <c r="AI17" s="2259"/>
      <c r="AJ17" s="2259"/>
      <c r="AK17" s="2259"/>
      <c r="AL17" s="2259"/>
      <c r="AM17" s="2259"/>
      <c r="AN17" s="2259"/>
      <c r="AO17" s="2259"/>
      <c r="AP17" s="2259"/>
      <c r="AQ17" s="2259"/>
      <c r="AR17" s="2259"/>
      <c r="AS17" s="2259"/>
      <c r="AT17" s="2259"/>
      <c r="AU17" s="2259"/>
      <c r="AV17" s="2259"/>
      <c r="AW17" s="2259"/>
      <c r="AX17" s="2259"/>
      <c r="AY17" s="2259"/>
      <c r="AZ17" s="2259"/>
      <c r="BA17" s="2259"/>
      <c r="BC17" s="2259"/>
      <c r="CH17" s="2259"/>
      <c r="CI17" s="2259"/>
      <c r="CJ17" s="2259"/>
      <c r="CK17" s="2259"/>
      <c r="CL17" s="2259"/>
      <c r="CO17" s="2259"/>
      <c r="CP17" s="2259"/>
      <c r="CQ17" s="2259"/>
      <c r="CR17" s="2259"/>
      <c r="CS17" s="2259"/>
      <c r="CT17" s="2259"/>
      <c r="CU17" s="2259"/>
      <c r="CV17" s="2259"/>
      <c r="CW17" s="2259"/>
      <c r="CX17" s="2259"/>
      <c r="CY17" s="2259"/>
      <c r="DA17" s="2327" t="n">
        <v>11.7</v>
      </c>
      <c r="DB17" s="2327" t="n">
        <f aca="false">18.8+DJ17</f>
        <v>33.923</v>
      </c>
      <c r="DC17" s="2327" t="n">
        <v>-7.1</v>
      </c>
      <c r="DD17" s="2342" t="n">
        <f aca="false">DA17/$B$4</f>
        <v>5.98211500999576</v>
      </c>
      <c r="DE17" s="2342" t="n">
        <f aca="false">DB17/$B$4</f>
        <v>17.3445544858193</v>
      </c>
      <c r="DF17" s="2342" t="n">
        <f aca="false">DC17/$B$4</f>
        <v>-3.63017235649315</v>
      </c>
      <c r="DJ17" s="2328" t="n">
        <f aca="false">DJ$21+DateDE1b!CV$15</f>
        <v>15.123</v>
      </c>
      <c r="DK17" s="2342"/>
      <c r="DM17" s="2330"/>
      <c r="DN17" s="2330"/>
      <c r="DO17" s="2330"/>
      <c r="DR17" s="2330"/>
      <c r="DS17" s="2330"/>
      <c r="DT17" s="2330"/>
      <c r="DU17" s="2330"/>
      <c r="DV17" s="2330"/>
      <c r="DW17" s="2330"/>
      <c r="DX17" s="2330"/>
      <c r="DY17" s="2330"/>
      <c r="DZ17" s="2330"/>
      <c r="EA17" s="2330"/>
      <c r="EB17" s="2330"/>
      <c r="EC17" s="2330"/>
      <c r="ED17" s="2330"/>
      <c r="EE17" s="2330"/>
      <c r="EF17" s="2330"/>
      <c r="EQ17" s="2327" t="n">
        <f aca="false">7.9-2.6+2.9</f>
        <v>8.2</v>
      </c>
      <c r="ER17" s="2327" t="n">
        <f aca="false">4.1-0.9+0.8</f>
        <v>4</v>
      </c>
      <c r="ES17" s="2327" t="n">
        <f aca="false">EQ17-ER17</f>
        <v>4.2</v>
      </c>
      <c r="ET17" s="2275"/>
      <c r="EU17" s="2275"/>
      <c r="EV17" s="2275"/>
      <c r="EW17" s="2275" t="n">
        <v>1.197</v>
      </c>
      <c r="EX17" s="2275" t="n">
        <v>10.4702671193304</v>
      </c>
      <c r="EY17" s="2275" t="n">
        <v>-1.541</v>
      </c>
      <c r="EZ17" s="2330"/>
    </row>
    <row r="18" s="2327" customFormat="true" ht="12" hidden="false" customHeight="true" outlineLevel="0" collapsed="false">
      <c r="A18" s="2252" t="n">
        <v>1950</v>
      </c>
      <c r="B18" s="2280" t="n">
        <v>24.3</v>
      </c>
      <c r="C18" s="2280" t="n">
        <f aca="false">24.3-0.3+6</f>
        <v>30</v>
      </c>
      <c r="D18" s="2280" t="n">
        <v>6</v>
      </c>
      <c r="E18" s="2280" t="n">
        <v>3.8</v>
      </c>
      <c r="F18" s="2280" t="n">
        <v>0.9</v>
      </c>
      <c r="G18" s="2280" t="n">
        <v>23.4</v>
      </c>
      <c r="H18" s="2280" t="n">
        <f aca="false">C18-F18</f>
        <v>29.1</v>
      </c>
      <c r="I18" s="2280"/>
      <c r="J18" s="2280"/>
      <c r="K18" s="2280"/>
      <c r="L18" s="2280" t="n">
        <f aca="false">44.3-39.2</f>
        <v>5.09999999999999</v>
      </c>
      <c r="M18" s="2280" t="n">
        <f aca="false">F18+L18</f>
        <v>6</v>
      </c>
      <c r="N18" s="2280" t="n">
        <f aca="false">C18-M18</f>
        <v>24</v>
      </c>
      <c r="O18" s="2280" t="n">
        <f aca="false">B18/$B$4</f>
        <v>12.4243927130681</v>
      </c>
      <c r="P18" s="2280" t="n">
        <f aca="false">C18/$B$4</f>
        <v>15.3387564358866</v>
      </c>
      <c r="Q18" s="2280" t="n">
        <f aca="false">D18/$B$4</f>
        <v>3.06775128717731</v>
      </c>
      <c r="R18" s="2280" t="n">
        <f aca="false">E18/$B$4</f>
        <v>1.94290914854563</v>
      </c>
      <c r="S18" s="2280" t="n">
        <f aca="false">F18/$B$4</f>
        <v>0.460162693076597</v>
      </c>
      <c r="T18" s="2280" t="n">
        <f aca="false">G18/$B$4</f>
        <v>11.9642300199915</v>
      </c>
      <c r="U18" s="2280" t="n">
        <f aca="false">L18/$B$4</f>
        <v>2.60758859410071</v>
      </c>
      <c r="V18" s="2280" t="n">
        <f aca="false">M18/$B$4</f>
        <v>3.06775128717731</v>
      </c>
      <c r="W18" s="2280" t="n">
        <f aca="false">N18/$B$4</f>
        <v>12.2710051487092</v>
      </c>
      <c r="X18" s="2259"/>
      <c r="Y18" s="2259"/>
      <c r="Z18" s="2259"/>
      <c r="AA18" s="2259"/>
      <c r="AB18" s="2259"/>
      <c r="AC18" s="2259"/>
      <c r="AD18" s="2331"/>
      <c r="AE18" s="2259"/>
      <c r="AF18" s="2343" t="n">
        <f aca="false">AG18+AH18</f>
        <v>146.868878851917</v>
      </c>
      <c r="AG18" s="2344" t="n">
        <v>123.425411158708</v>
      </c>
      <c r="AH18" s="2344" t="n">
        <v>23.4434676932084</v>
      </c>
      <c r="AI18" s="2259"/>
      <c r="AJ18" s="2259"/>
      <c r="AK18" s="2259" t="n">
        <v>67.7044546742209</v>
      </c>
      <c r="AL18" s="2259"/>
      <c r="AM18" s="2259"/>
      <c r="AN18" s="2259"/>
      <c r="AO18" s="2259"/>
      <c r="AP18" s="2259"/>
      <c r="AQ18" s="2259"/>
      <c r="AR18" s="2259"/>
      <c r="AS18" s="2259"/>
      <c r="AT18" s="2259"/>
      <c r="AU18" s="2345" t="n">
        <f aca="false">AF18-AK18</f>
        <v>79.1644241776956</v>
      </c>
      <c r="AV18" s="2259"/>
      <c r="AW18" s="2259"/>
      <c r="AX18" s="2259"/>
      <c r="AY18" s="2259"/>
      <c r="AZ18" s="2259"/>
      <c r="BA18" s="2259"/>
      <c r="BC18" s="2346" t="n">
        <v>51.8110191337763</v>
      </c>
      <c r="CH18" s="2259"/>
      <c r="CI18" s="2259"/>
      <c r="CJ18" s="2259"/>
      <c r="CK18" s="2259"/>
      <c r="CL18" s="2259"/>
      <c r="CO18" s="2259"/>
      <c r="CP18" s="2259"/>
      <c r="CQ18" s="2259"/>
      <c r="CR18" s="2259"/>
      <c r="CS18" s="2259"/>
      <c r="CT18" s="2259"/>
      <c r="CU18" s="2259"/>
      <c r="CV18" s="2259"/>
      <c r="CW18" s="2259"/>
      <c r="CX18" s="2259"/>
      <c r="CY18" s="2259"/>
      <c r="DA18" s="2327" t="n">
        <v>15.3</v>
      </c>
      <c r="DB18" s="2327" t="n">
        <f aca="false">20.5+DJ18</f>
        <v>35.623</v>
      </c>
      <c r="DC18" s="2327" t="n">
        <v>-5.2</v>
      </c>
      <c r="DD18" s="2342" t="n">
        <f aca="false">DA18/$B$4</f>
        <v>7.82276578230214</v>
      </c>
      <c r="DE18" s="2342" t="n">
        <f aca="false">DB18/$B$4</f>
        <v>18.2137506838529</v>
      </c>
      <c r="DF18" s="2342" t="n">
        <f aca="false">DC18/$B$4</f>
        <v>-2.65871778222034</v>
      </c>
      <c r="DJ18" s="2328" t="n">
        <f aca="false">DJ$21+DateDE1b!CV$15</f>
        <v>15.123</v>
      </c>
      <c r="DK18" s="2342" t="n">
        <v>7.99226711933041</v>
      </c>
      <c r="DM18" s="2275" t="n">
        <f aca="false">DN18+DO18</f>
        <v>40.4895470263501</v>
      </c>
      <c r="DN18" s="2330" t="n">
        <v>17.0460793331417</v>
      </c>
      <c r="DO18" s="2330" t="n">
        <f aca="false">AH18</f>
        <v>23.4434676932084</v>
      </c>
      <c r="DR18" s="2330"/>
      <c r="DS18" s="2330"/>
      <c r="DT18" s="2330"/>
      <c r="DU18" s="2330"/>
      <c r="DV18" s="2330"/>
      <c r="DW18" s="2330"/>
      <c r="DX18" s="2330"/>
      <c r="DY18" s="2330"/>
      <c r="DZ18" s="2330"/>
      <c r="EA18" s="2330"/>
      <c r="EB18" s="2330"/>
      <c r="EC18" s="2330"/>
      <c r="ED18" s="2330"/>
      <c r="EE18" s="2330"/>
      <c r="EF18" s="2330"/>
      <c r="EQ18" s="2327" t="n">
        <f aca="false">10.9-2.6+2.9</f>
        <v>11.2</v>
      </c>
      <c r="ER18" s="2327" t="n">
        <f aca="false">6.8-0.9+1</f>
        <v>6.9</v>
      </c>
      <c r="ES18" s="2327" t="n">
        <f aca="false">EQ18-ER18</f>
        <v>4.3</v>
      </c>
      <c r="ET18" s="2275"/>
      <c r="EU18" s="2275"/>
      <c r="EV18" s="2275"/>
      <c r="EW18" s="2275" t="n">
        <v>1.991</v>
      </c>
      <c r="EX18" s="2275" t="n">
        <v>12.2362671193304</v>
      </c>
      <c r="EY18" s="2275" t="n">
        <v>-2.513</v>
      </c>
      <c r="EZ18" s="2330"/>
    </row>
    <row r="19" s="2327" customFormat="true" ht="12" hidden="false" customHeight="true" outlineLevel="0" collapsed="false">
      <c r="A19" s="2252" t="n">
        <v>1951</v>
      </c>
      <c r="B19" s="2280" t="n">
        <v>28.9</v>
      </c>
      <c r="C19" s="2280" t="n">
        <f aca="false">28.9-0.1+7</f>
        <v>35.8</v>
      </c>
      <c r="D19" s="2280" t="n">
        <v>7</v>
      </c>
      <c r="E19" s="2280" t="n">
        <v>5.7</v>
      </c>
      <c r="F19" s="2280" t="n">
        <v>1.2</v>
      </c>
      <c r="G19" s="2280" t="n">
        <v>27.7</v>
      </c>
      <c r="H19" s="2280" t="n">
        <f aca="false">C19-F19</f>
        <v>34.6</v>
      </c>
      <c r="I19" s="2280"/>
      <c r="J19" s="2280"/>
      <c r="K19" s="2280"/>
      <c r="L19" s="2280" t="n">
        <f aca="false">54.2-46</f>
        <v>8.2</v>
      </c>
      <c r="M19" s="2280" t="n">
        <f aca="false">F19+L19</f>
        <v>9.4</v>
      </c>
      <c r="N19" s="2280" t="n">
        <f aca="false">C19-M19</f>
        <v>26.4</v>
      </c>
      <c r="O19" s="2280" t="n">
        <f aca="false">B19/$B$4</f>
        <v>14.7763353665707</v>
      </c>
      <c r="P19" s="2280" t="n">
        <f aca="false">C19/$B$4</f>
        <v>18.3042493468246</v>
      </c>
      <c r="Q19" s="2280" t="n">
        <f aca="false">D19/$B$4</f>
        <v>3.57904316837353</v>
      </c>
      <c r="R19" s="2280" t="n">
        <f aca="false">E19/$B$4</f>
        <v>2.91436372281845</v>
      </c>
      <c r="S19" s="2280" t="n">
        <f aca="false">F19/$B$4</f>
        <v>0.613550257435462</v>
      </c>
      <c r="T19" s="2280" t="n">
        <f aca="false">G19/$B$4</f>
        <v>14.1627851091353</v>
      </c>
      <c r="U19" s="2280" t="n">
        <f aca="false">L19/$B$4</f>
        <v>4.19259342580899</v>
      </c>
      <c r="V19" s="2280" t="n">
        <f aca="false">M19/$B$4</f>
        <v>4.80614368324446</v>
      </c>
      <c r="W19" s="2280" t="n">
        <f aca="false">N19/$B$4</f>
        <v>13.4981056635802</v>
      </c>
      <c r="X19" s="2259"/>
      <c r="Y19" s="2259"/>
      <c r="Z19" s="2259"/>
      <c r="AA19" s="2259"/>
      <c r="AB19" s="2259"/>
      <c r="AC19" s="2259"/>
      <c r="AD19" s="2331"/>
      <c r="AE19" s="2259"/>
      <c r="AF19" s="2343" t="n">
        <f aca="false">AG19+AH19</f>
        <v>170.400297719043</v>
      </c>
      <c r="AG19" s="2344" t="n">
        <v>142.346108118052</v>
      </c>
      <c r="AH19" s="2344" t="n">
        <v>28.0541896009909</v>
      </c>
      <c r="AI19" s="2259"/>
      <c r="AJ19" s="2259"/>
      <c r="AK19" s="2259" t="n">
        <v>78.4198087818697</v>
      </c>
      <c r="AL19" s="2259"/>
      <c r="AM19" s="2259"/>
      <c r="AN19" s="2259"/>
      <c r="AO19" s="2259"/>
      <c r="AP19" s="2259"/>
      <c r="AQ19" s="2259"/>
      <c r="AR19" s="2259"/>
      <c r="AS19" s="2259"/>
      <c r="AT19" s="2259"/>
      <c r="AU19" s="2345" t="n">
        <f aca="false">AF19-AK19</f>
        <v>91.9804889371734</v>
      </c>
      <c r="AV19" s="2259"/>
      <c r="AW19" s="2259"/>
      <c r="AX19" s="2259"/>
      <c r="AY19" s="2259"/>
      <c r="AZ19" s="2259"/>
      <c r="BA19" s="2259"/>
      <c r="BC19" s="2346" t="n">
        <v>54.964361540309</v>
      </c>
      <c r="CH19" s="2259"/>
      <c r="CI19" s="2259"/>
      <c r="CJ19" s="2259"/>
      <c r="CK19" s="2259"/>
      <c r="CL19" s="2259"/>
      <c r="CO19" s="2259"/>
      <c r="CP19" s="2259"/>
      <c r="CQ19" s="2259"/>
      <c r="CR19" s="2259"/>
      <c r="CS19" s="2259"/>
      <c r="CT19" s="2259"/>
      <c r="CU19" s="2259"/>
      <c r="CV19" s="2259"/>
      <c r="CW19" s="2259"/>
      <c r="CX19" s="2259"/>
      <c r="CY19" s="2259"/>
      <c r="DA19" s="2327" t="n">
        <v>21.3</v>
      </c>
      <c r="DB19" s="2327" t="n">
        <f aca="false">23+DJ19</f>
        <v>38.123</v>
      </c>
      <c r="DC19" s="2327" t="n">
        <v>-1.7</v>
      </c>
      <c r="DD19" s="2342" t="n">
        <f aca="false">DA19/$B$4</f>
        <v>10.8905170694795</v>
      </c>
      <c r="DE19" s="2342" t="n">
        <f aca="false">DB19/$B$4</f>
        <v>19.4919803868434</v>
      </c>
      <c r="DF19" s="2342" t="n">
        <f aca="false">DC19/$B$4</f>
        <v>-0.869196198033571</v>
      </c>
      <c r="DJ19" s="2328" t="n">
        <f aca="false">DJ$21+DateDE1b!CV$15</f>
        <v>15.123</v>
      </c>
      <c r="DK19" s="2342" t="n">
        <v>7.89126711933041</v>
      </c>
      <c r="DM19" s="2275" t="n">
        <f aca="false">DN19+DO19</f>
        <v>46.9439625242447</v>
      </c>
      <c r="DN19" s="2330" t="n">
        <v>18.8897729232538</v>
      </c>
      <c r="DO19" s="2330" t="n">
        <f aca="false">AH19</f>
        <v>28.0541896009909</v>
      </c>
      <c r="DR19" s="2330"/>
      <c r="DS19" s="2330"/>
      <c r="DT19" s="2330"/>
      <c r="DU19" s="2330"/>
      <c r="DV19" s="2330"/>
      <c r="DW19" s="2330"/>
      <c r="DX19" s="2330"/>
      <c r="DY19" s="2330"/>
      <c r="DZ19" s="2330"/>
      <c r="EA19" s="2330"/>
      <c r="EB19" s="2330"/>
      <c r="EC19" s="2330"/>
      <c r="ED19" s="2330"/>
      <c r="EE19" s="2330"/>
      <c r="EF19" s="2330"/>
      <c r="EQ19" s="2327" t="n">
        <f aca="false">10.7-2.6+2.9</f>
        <v>11</v>
      </c>
      <c r="ER19" s="2327" t="n">
        <f aca="false">9.2-1+1.2</f>
        <v>9.4</v>
      </c>
      <c r="ES19" s="2327" t="n">
        <f aca="false">EQ19-ER19</f>
        <v>1.6</v>
      </c>
      <c r="ET19" s="2275"/>
      <c r="EU19" s="2275"/>
      <c r="EV19" s="2275"/>
      <c r="EW19" s="2275" t="n">
        <v>3.088</v>
      </c>
      <c r="EX19" s="2275" t="n">
        <v>12.2242671193304</v>
      </c>
      <c r="EY19" s="2275" t="n">
        <v>-1.404</v>
      </c>
      <c r="EZ19" s="2330"/>
    </row>
    <row r="20" s="2327" customFormat="true" ht="12" hidden="false" customHeight="true" outlineLevel="0" collapsed="false">
      <c r="A20" s="2252" t="n">
        <v>1952</v>
      </c>
      <c r="B20" s="2280" t="n">
        <v>35.3</v>
      </c>
      <c r="C20" s="2280" t="n">
        <f aca="false">35.3-0.3+8.1</f>
        <v>43.1</v>
      </c>
      <c r="D20" s="2280" t="n">
        <v>8.1</v>
      </c>
      <c r="E20" s="2280" t="n">
        <v>6.6</v>
      </c>
      <c r="F20" s="2280" t="n">
        <v>1.7</v>
      </c>
      <c r="G20" s="2280" t="n">
        <v>33.6</v>
      </c>
      <c r="H20" s="2280" t="n">
        <f aca="false">C20-F20</f>
        <v>41.4</v>
      </c>
      <c r="I20" s="2280"/>
      <c r="J20" s="2280"/>
      <c r="K20" s="2280"/>
      <c r="L20" s="2280" t="n">
        <f aca="false">68.1-56</f>
        <v>12.1</v>
      </c>
      <c r="M20" s="2280" t="n">
        <f aca="false">F20+L20</f>
        <v>13.8</v>
      </c>
      <c r="N20" s="2280" t="n">
        <f aca="false">C20-M20</f>
        <v>29.3</v>
      </c>
      <c r="O20" s="2280" t="n">
        <f aca="false">B20/$B$4</f>
        <v>18.0486034062265</v>
      </c>
      <c r="P20" s="2280" t="n">
        <f aca="false">C20/$B$4</f>
        <v>22.036680079557</v>
      </c>
      <c r="Q20" s="2280" t="n">
        <f aca="false">D20/$B$4</f>
        <v>4.14146423768937</v>
      </c>
      <c r="R20" s="2280" t="n">
        <f aca="false">E20/$B$4</f>
        <v>3.37452641589504</v>
      </c>
      <c r="S20" s="2280" t="n">
        <f aca="false">F20/$B$4</f>
        <v>0.869196198033571</v>
      </c>
      <c r="T20" s="2280" t="n">
        <f aca="false">G20/$B$4</f>
        <v>17.1794072081929</v>
      </c>
      <c r="U20" s="2280" t="n">
        <f aca="false">L20/$B$4</f>
        <v>6.18663176247424</v>
      </c>
      <c r="V20" s="2280" t="n">
        <f aca="false">M20/$B$4</f>
        <v>7.05582796050781</v>
      </c>
      <c r="W20" s="2280" t="n">
        <f aca="false">N20/$B$4</f>
        <v>14.9808521190492</v>
      </c>
      <c r="X20" s="2259"/>
      <c r="Y20" s="2259"/>
      <c r="Z20" s="2259"/>
      <c r="AA20" s="2259"/>
      <c r="AB20" s="2259"/>
      <c r="AC20" s="2259"/>
      <c r="AD20" s="2331"/>
      <c r="AE20" s="2259"/>
      <c r="AF20" s="2343" t="n">
        <f aca="false">AG20+AH20</f>
        <v>206.443788972253</v>
      </c>
      <c r="AG20" s="2344" t="n">
        <v>173.611470920607</v>
      </c>
      <c r="AH20" s="2344" t="n">
        <v>32.8323180516469</v>
      </c>
      <c r="AI20" s="2259"/>
      <c r="AJ20" s="2259"/>
      <c r="AK20" s="2259" t="n">
        <v>95.4070467422096</v>
      </c>
      <c r="AL20" s="2259"/>
      <c r="AM20" s="2259"/>
      <c r="AN20" s="2259"/>
      <c r="AO20" s="2259"/>
      <c r="AP20" s="2259"/>
      <c r="AQ20" s="2259"/>
      <c r="AR20" s="2259"/>
      <c r="AS20" s="2259"/>
      <c r="AT20" s="2259"/>
      <c r="AU20" s="2345" t="n">
        <f aca="false">AF20-AK20</f>
        <v>111.036742230044</v>
      </c>
      <c r="AV20" s="2259"/>
      <c r="AW20" s="2259"/>
      <c r="AX20" s="2259"/>
      <c r="AY20" s="2259"/>
      <c r="AZ20" s="2259"/>
      <c r="BA20" s="2259"/>
      <c r="BC20" s="2346" t="n">
        <v>68.6573500920663</v>
      </c>
      <c r="CH20" s="2259"/>
      <c r="CI20" s="2259"/>
      <c r="CJ20" s="2259"/>
      <c r="CK20" s="2259"/>
      <c r="CL20" s="2259"/>
      <c r="CO20" s="2259"/>
      <c r="CP20" s="2259"/>
      <c r="CQ20" s="2259"/>
      <c r="CR20" s="2259"/>
      <c r="CS20" s="2259"/>
      <c r="CT20" s="2259"/>
      <c r="CU20" s="2259"/>
      <c r="CV20" s="2259"/>
      <c r="CW20" s="2259"/>
      <c r="CX20" s="2259"/>
      <c r="CY20" s="2259"/>
      <c r="DA20" s="2327" t="n">
        <v>28.3</v>
      </c>
      <c r="DB20" s="2327" t="n">
        <f aca="false">24.3+DJ20</f>
        <v>39.423</v>
      </c>
      <c r="DC20" s="2327" t="n">
        <v>4</v>
      </c>
      <c r="DD20" s="2342" t="n">
        <f aca="false">DA20/$B$4</f>
        <v>14.469560237853</v>
      </c>
      <c r="DE20" s="2342" t="n">
        <f aca="false">DB20/$B$4</f>
        <v>20.1566598323985</v>
      </c>
      <c r="DF20" s="2342" t="n">
        <f aca="false">DC20/$B$4</f>
        <v>2.04516752478487</v>
      </c>
      <c r="DJ20" s="2328" t="n">
        <f aca="false">DJ$21+DateDE1b!CV$15</f>
        <v>15.123</v>
      </c>
      <c r="DK20" s="2342" t="n">
        <v>7.79726711933041</v>
      </c>
      <c r="DM20" s="2275" t="n">
        <f aca="false">DN20+DO20</f>
        <v>55.1075868070363</v>
      </c>
      <c r="DN20" s="2330" t="n">
        <v>22.2752687553895</v>
      </c>
      <c r="DO20" s="2330" t="n">
        <f aca="false">AH20</f>
        <v>32.8323180516469</v>
      </c>
      <c r="DR20" s="2330"/>
      <c r="DS20" s="2330"/>
      <c r="DT20" s="2330"/>
      <c r="DU20" s="2330"/>
      <c r="DV20" s="2330"/>
      <c r="DW20" s="2330"/>
      <c r="DX20" s="2330"/>
      <c r="DY20" s="2330"/>
      <c r="DZ20" s="2330"/>
      <c r="EA20" s="2330"/>
      <c r="EB20" s="2330"/>
      <c r="EC20" s="2330"/>
      <c r="ED20" s="2330"/>
      <c r="EE20" s="2330"/>
      <c r="EF20" s="2330"/>
      <c r="EQ20" s="2327" t="n">
        <f aca="false">11.6-2.5+2.9</f>
        <v>12</v>
      </c>
      <c r="ER20" s="2327" t="n">
        <f aca="false">12.7-1+1.4</f>
        <v>13.1</v>
      </c>
      <c r="ES20" s="2327" t="n">
        <f aca="false">EQ20-ER20</f>
        <v>-1.1</v>
      </c>
      <c r="ET20" s="2275"/>
      <c r="EU20" s="2275"/>
      <c r="EV20" s="2275"/>
      <c r="EW20" s="2275" t="n">
        <v>4.976</v>
      </c>
      <c r="EX20" s="2275" t="n">
        <v>12.5612671193304</v>
      </c>
      <c r="EY20" s="2275" t="n">
        <v>0.147</v>
      </c>
      <c r="EZ20" s="2330"/>
    </row>
    <row r="21" s="2327" customFormat="true" ht="12" hidden="false" customHeight="true" outlineLevel="0" collapsed="false">
      <c r="A21" s="2252" t="n">
        <v>1953</v>
      </c>
      <c r="B21" s="2280" t="n">
        <v>44.3</v>
      </c>
      <c r="C21" s="2280" t="n">
        <f aca="false">44.3-1.2+8.2</f>
        <v>51.3</v>
      </c>
      <c r="D21" s="2280" t="n">
        <v>8.2</v>
      </c>
      <c r="E21" s="2280" t="n">
        <v>7.9</v>
      </c>
      <c r="F21" s="2280" t="n">
        <v>2.2</v>
      </c>
      <c r="G21" s="2280" t="n">
        <v>42.1</v>
      </c>
      <c r="H21" s="2280" t="n">
        <f aca="false">C21-F21</f>
        <v>49.1</v>
      </c>
      <c r="I21" s="2280"/>
      <c r="J21" s="2280"/>
      <c r="K21" s="2280"/>
      <c r="L21" s="2280" t="n">
        <f aca="false">89.4-72.5</f>
        <v>16.9</v>
      </c>
      <c r="M21" s="2280" t="n">
        <f aca="false">F21+L21</f>
        <v>19.1</v>
      </c>
      <c r="N21" s="2280" t="n">
        <f aca="false">C21-M21</f>
        <v>32.2</v>
      </c>
      <c r="O21" s="2280" t="n">
        <f aca="false">B21/$B$4</f>
        <v>22.6502303369925</v>
      </c>
      <c r="P21" s="2280" t="n">
        <f aca="false">C21/$B$4</f>
        <v>26.229273505366</v>
      </c>
      <c r="Q21" s="2280" t="n">
        <f aca="false">D21/$B$4</f>
        <v>4.19259342580899</v>
      </c>
      <c r="R21" s="2280" t="n">
        <f aca="false">E21/$B$4</f>
        <v>4.03920586145013</v>
      </c>
      <c r="S21" s="2280" t="n">
        <f aca="false">F21/$B$4</f>
        <v>1.12484213863168</v>
      </c>
      <c r="T21" s="2280" t="n">
        <f aca="false">G21/$B$4</f>
        <v>21.5253881983608</v>
      </c>
      <c r="U21" s="2280" t="n">
        <f aca="false">L21/$B$4</f>
        <v>8.6408327922161</v>
      </c>
      <c r="V21" s="2280" t="n">
        <f aca="false">M21/$B$4</f>
        <v>9.76567493084778</v>
      </c>
      <c r="W21" s="2280" t="n">
        <f aca="false">N21/$B$4</f>
        <v>16.4635985745182</v>
      </c>
      <c r="X21" s="2259"/>
      <c r="Y21" s="2259"/>
      <c r="Z21" s="2259"/>
      <c r="AA21" s="2259"/>
      <c r="AB21" s="2259"/>
      <c r="AC21" s="2259"/>
      <c r="AD21" s="2331"/>
      <c r="AE21" s="2259"/>
      <c r="AF21" s="2343" t="n">
        <f aca="false">AG21+AH21</f>
        <v>215.645042554542</v>
      </c>
      <c r="AG21" s="2344" t="n">
        <v>181.759800268061</v>
      </c>
      <c r="AH21" s="2344" t="n">
        <v>33.8852422864805</v>
      </c>
      <c r="AI21" s="2259"/>
      <c r="AJ21" s="2259"/>
      <c r="AK21" s="2259" t="n">
        <v>99.616650141643</v>
      </c>
      <c r="AL21" s="2259"/>
      <c r="AM21" s="2259"/>
      <c r="AN21" s="2259"/>
      <c r="AO21" s="2259"/>
      <c r="AP21" s="2259"/>
      <c r="AQ21" s="2259"/>
      <c r="AR21" s="2259"/>
      <c r="AS21" s="2259"/>
      <c r="AT21" s="2259"/>
      <c r="AU21" s="2345" t="n">
        <f aca="false">AF21-AK21</f>
        <v>116.028392412899</v>
      </c>
      <c r="AV21" s="2259"/>
      <c r="AW21" s="2259"/>
      <c r="AX21" s="2259"/>
      <c r="AY21" s="2259"/>
      <c r="AZ21" s="2259"/>
      <c r="BA21" s="2259"/>
      <c r="BC21" s="2346" t="n">
        <v>73.4354655351853</v>
      </c>
      <c r="CH21" s="2259"/>
      <c r="CI21" s="2259"/>
      <c r="CJ21" s="2259"/>
      <c r="CK21" s="2259"/>
      <c r="CL21" s="2259"/>
      <c r="CO21" s="2259"/>
      <c r="CP21" s="2259"/>
      <c r="CQ21" s="2259"/>
      <c r="CR21" s="2259"/>
      <c r="CS21" s="2259"/>
      <c r="CT21" s="2259"/>
      <c r="CU21" s="2259"/>
      <c r="CV21" s="2259"/>
      <c r="CW21" s="2259"/>
      <c r="CX21" s="2259"/>
      <c r="CY21" s="2259"/>
      <c r="DA21" s="2327" t="n">
        <v>37.7</v>
      </c>
      <c r="DB21" s="2327" t="n">
        <v>37.2</v>
      </c>
      <c r="DC21" s="2327" t="n">
        <v>0.5</v>
      </c>
      <c r="DD21" s="2342" t="n">
        <f aca="false">DA21/$B$4</f>
        <v>19.2757039210974</v>
      </c>
      <c r="DE21" s="2342" t="n">
        <f aca="false">DB21/$B$4</f>
        <v>19.0200579804993</v>
      </c>
      <c r="DF21" s="2342" t="n">
        <f aca="false">DC21/$B$4</f>
        <v>0.255645940598109</v>
      </c>
      <c r="DJ21" s="2327" t="n">
        <v>6.983</v>
      </c>
      <c r="DK21" s="2342" t="n">
        <v>5.331</v>
      </c>
      <c r="DM21" s="2275" t="n">
        <f aca="false">DN21+DO21</f>
        <v>56.3977113867966</v>
      </c>
      <c r="DN21" s="2330" t="n">
        <v>22.5124691003162</v>
      </c>
      <c r="DO21" s="2330" t="n">
        <f aca="false">AH21</f>
        <v>33.8852422864805</v>
      </c>
      <c r="DR21" s="2330"/>
      <c r="DS21" s="2330"/>
      <c r="DT21" s="2330"/>
      <c r="DU21" s="2330"/>
      <c r="DV21" s="2330"/>
      <c r="DW21" s="2330"/>
      <c r="DX21" s="2330"/>
      <c r="DY21" s="2330"/>
      <c r="DZ21" s="2330"/>
      <c r="EA21" s="2330"/>
      <c r="EB21" s="2330"/>
      <c r="EC21" s="2330"/>
      <c r="ED21" s="2330"/>
      <c r="EE21" s="2330"/>
      <c r="EF21" s="2330"/>
      <c r="EQ21" s="2327" t="n">
        <f aca="false">24.4-2.6+3</f>
        <v>24.8</v>
      </c>
      <c r="ER21" s="2327" t="n">
        <f aca="false">17.3-1.3+1.8</f>
        <v>17.8</v>
      </c>
      <c r="ES21" s="2327" t="n">
        <f aca="false">EQ21-ER21</f>
        <v>7</v>
      </c>
      <c r="ET21" s="2275"/>
      <c r="EU21" s="2275"/>
      <c r="EV21" s="2275"/>
      <c r="EW21" s="2275" t="n">
        <v>7.033</v>
      </c>
      <c r="EX21" s="2275" t="n">
        <v>11.477</v>
      </c>
      <c r="EY21" s="2275" t="n">
        <v>-4.445</v>
      </c>
      <c r="EZ21" s="2330"/>
    </row>
    <row r="22" s="2327" customFormat="true" ht="12" hidden="false" customHeight="true" outlineLevel="0" collapsed="false">
      <c r="A22" s="2252" t="n">
        <v>1954</v>
      </c>
      <c r="B22" s="2280" t="n">
        <v>54.7</v>
      </c>
      <c r="C22" s="2280" t="n">
        <f aca="false">54.7-1.6+11.2</f>
        <v>64.3</v>
      </c>
      <c r="D22" s="2280" t="n">
        <v>11.2</v>
      </c>
      <c r="E22" s="2280" t="n">
        <v>9.5</v>
      </c>
      <c r="F22" s="2280" t="n">
        <v>2.7</v>
      </c>
      <c r="G22" s="2280" t="n">
        <v>51.9</v>
      </c>
      <c r="H22" s="2280" t="n">
        <f aca="false">C22-F22</f>
        <v>61.6</v>
      </c>
      <c r="I22" s="2280"/>
      <c r="J22" s="2280"/>
      <c r="K22" s="2280"/>
      <c r="L22" s="2280" t="n">
        <f aca="false">107.6-84.1</f>
        <v>23.5</v>
      </c>
      <c r="M22" s="2280" t="n">
        <f aca="false">F22+L22</f>
        <v>26.2</v>
      </c>
      <c r="N22" s="2280" t="n">
        <f aca="false">C22-M22</f>
        <v>38.1</v>
      </c>
      <c r="O22" s="2280" t="n">
        <f aca="false">B22/$B$4</f>
        <v>27.9676659014332</v>
      </c>
      <c r="P22" s="2280" t="n">
        <f aca="false">C22/$B$4</f>
        <v>32.8760679609169</v>
      </c>
      <c r="Q22" s="2280" t="n">
        <f aca="false">D22/$B$4</f>
        <v>5.72646906939765</v>
      </c>
      <c r="R22" s="2280" t="n">
        <f aca="false">E22/$B$4</f>
        <v>4.85727287136408</v>
      </c>
      <c r="S22" s="2280" t="n">
        <f aca="false">F22/$B$4</f>
        <v>1.38048807922979</v>
      </c>
      <c r="T22" s="2280" t="n">
        <f aca="false">G22/$B$4</f>
        <v>26.5360486340837</v>
      </c>
      <c r="U22" s="2280" t="n">
        <f aca="false">L22/$B$4</f>
        <v>12.0153592081111</v>
      </c>
      <c r="V22" s="2280" t="n">
        <f aca="false">M22/$B$4</f>
        <v>13.3958472873409</v>
      </c>
      <c r="W22" s="2280" t="n">
        <f aca="false">N22/$B$4</f>
        <v>19.4802206735759</v>
      </c>
      <c r="X22" s="2259"/>
      <c r="Y22" s="2259"/>
      <c r="Z22" s="2259"/>
      <c r="AA22" s="2259"/>
      <c r="AB22" s="2259"/>
      <c r="AC22" s="2259"/>
      <c r="AD22" s="2331"/>
      <c r="AE22" s="2259"/>
      <c r="AF22" s="2343" t="n">
        <f aca="false">AG22+AH22</f>
        <v>226.541691496371</v>
      </c>
      <c r="AG22" s="2344" t="n">
        <v>191.278578749573</v>
      </c>
      <c r="AH22" s="2344" t="n">
        <v>35.2631127467983</v>
      </c>
      <c r="AI22" s="2259"/>
      <c r="AJ22" s="2259"/>
      <c r="AK22" s="2259" t="n">
        <v>105.888533994334</v>
      </c>
      <c r="AL22" s="2259"/>
      <c r="AM22" s="2259"/>
      <c r="AN22" s="2259"/>
      <c r="AO22" s="2259"/>
      <c r="AP22" s="2259"/>
      <c r="AQ22" s="2259"/>
      <c r="AR22" s="2259"/>
      <c r="AS22" s="2259"/>
      <c r="AT22" s="2259"/>
      <c r="AU22" s="2345" t="n">
        <f aca="false">AF22-AK22</f>
        <v>120.653157502037</v>
      </c>
      <c r="AV22" s="2259"/>
      <c r="AW22" s="2259"/>
      <c r="AX22" s="2259"/>
      <c r="AY22" s="2259"/>
      <c r="AZ22" s="2259"/>
      <c r="BA22" s="2259"/>
      <c r="BC22" s="2346" t="n">
        <v>74.9640349051317</v>
      </c>
      <c r="CH22" s="2259"/>
      <c r="CI22" s="2259"/>
      <c r="CJ22" s="2259"/>
      <c r="CK22" s="2259"/>
      <c r="CL22" s="2259"/>
      <c r="CO22" s="2259"/>
      <c r="CP22" s="2259"/>
      <c r="CQ22" s="2259"/>
      <c r="CR22" s="2259"/>
      <c r="CS22" s="2259"/>
      <c r="CT22" s="2259"/>
      <c r="CU22" s="2259"/>
      <c r="CV22" s="2259"/>
      <c r="CW22" s="2259"/>
      <c r="CX22" s="2259"/>
      <c r="CY22" s="2259"/>
      <c r="DA22" s="2327" t="n">
        <v>47.7</v>
      </c>
      <c r="DB22" s="2327" t="n">
        <v>40</v>
      </c>
      <c r="DC22" s="2327" t="n">
        <v>7.7</v>
      </c>
      <c r="DD22" s="2342" t="n">
        <f aca="false">DA22/$B$4</f>
        <v>24.3886227330596</v>
      </c>
      <c r="DE22" s="2342" t="n">
        <f aca="false">DB22/$B$4</f>
        <v>20.4516752478487</v>
      </c>
      <c r="DF22" s="2342" t="n">
        <f aca="false">DC22/$B$4</f>
        <v>3.93694748521088</v>
      </c>
      <c r="DJ22" s="2327" t="n">
        <v>8.044</v>
      </c>
      <c r="DK22" s="2342" t="n">
        <v>5.17</v>
      </c>
      <c r="DM22" s="2275" t="n">
        <f aca="false">DN22+DO22</f>
        <v>58.0451276936221</v>
      </c>
      <c r="DN22" s="2330" t="n">
        <v>22.7820149468238</v>
      </c>
      <c r="DO22" s="2330" t="n">
        <f aca="false">AH22</f>
        <v>35.2631127467983</v>
      </c>
      <c r="DR22" s="2330"/>
      <c r="DS22" s="2330"/>
      <c r="DT22" s="2330"/>
      <c r="DU22" s="2330"/>
      <c r="DV22" s="2330"/>
      <c r="DW22" s="2330"/>
      <c r="DX22" s="2330"/>
      <c r="DY22" s="2330"/>
      <c r="DZ22" s="2330"/>
      <c r="EA22" s="2330"/>
      <c r="EB22" s="2330"/>
      <c r="EC22" s="2330"/>
      <c r="ED22" s="2330"/>
      <c r="EE22" s="2330"/>
      <c r="EF22" s="2330"/>
      <c r="EQ22" s="2327" t="n">
        <f aca="false">25.9-2.5+3</f>
        <v>26.4</v>
      </c>
      <c r="ER22" s="2327" t="n">
        <f aca="false">22.7-1.4+2.6</f>
        <v>23.9</v>
      </c>
      <c r="ES22" s="2327" t="n">
        <f aca="false">EQ22-ER22</f>
        <v>2.5</v>
      </c>
      <c r="ET22" s="2275"/>
      <c r="EU22" s="2275"/>
      <c r="EV22" s="2275"/>
      <c r="EW22" s="2275" t="n">
        <v>9.236</v>
      </c>
      <c r="EX22" s="2275" t="n">
        <v>12.395</v>
      </c>
      <c r="EY22" s="2275" t="n">
        <v>-3.159</v>
      </c>
      <c r="EZ22" s="2330"/>
    </row>
    <row r="23" s="2327" customFormat="true" ht="12" hidden="false" customHeight="true" outlineLevel="0" collapsed="false">
      <c r="A23" s="2252" t="n">
        <v>1955</v>
      </c>
      <c r="B23" s="2280" t="n">
        <v>64</v>
      </c>
      <c r="C23" s="2280" t="n">
        <f aca="false">64-1.9+12.5</f>
        <v>74.6</v>
      </c>
      <c r="D23" s="2280" t="n">
        <v>12.5</v>
      </c>
      <c r="E23" s="2280" t="n">
        <v>10.9</v>
      </c>
      <c r="F23" s="2280" t="n">
        <v>3.4</v>
      </c>
      <c r="G23" s="2280" t="n">
        <v>60.6</v>
      </c>
      <c r="H23" s="2280" t="n">
        <f aca="false">C23-F23</f>
        <v>71.2</v>
      </c>
      <c r="I23" s="2280"/>
      <c r="J23" s="2280"/>
      <c r="K23" s="2280"/>
      <c r="L23" s="2280" t="n">
        <f aca="false">127.1-96.8</f>
        <v>30.3</v>
      </c>
      <c r="M23" s="2280" t="n">
        <f aca="false">F23+L23</f>
        <v>33.7</v>
      </c>
      <c r="N23" s="2280" t="n">
        <f aca="false">C23-M23</f>
        <v>40.9</v>
      </c>
      <c r="O23" s="2280" t="n">
        <f aca="false">B23/$B$4</f>
        <v>32.722680396558</v>
      </c>
      <c r="P23" s="2280" t="n">
        <f aca="false">C23/$B$4</f>
        <v>38.1423743372379</v>
      </c>
      <c r="Q23" s="2280" t="n">
        <f aca="false">D23/$B$4</f>
        <v>6.39114851495273</v>
      </c>
      <c r="R23" s="2280" t="n">
        <f aca="false">E23/$B$4</f>
        <v>5.57308150503878</v>
      </c>
      <c r="S23" s="2280" t="n">
        <f aca="false">F23/$B$4</f>
        <v>1.73839239606714</v>
      </c>
      <c r="T23" s="2280" t="n">
        <f aca="false">G23/$B$4</f>
        <v>30.9842880004908</v>
      </c>
      <c r="U23" s="2280" t="n">
        <f aca="false">L23/$B$4</f>
        <v>15.4921440002454</v>
      </c>
      <c r="V23" s="2280" t="n">
        <f aca="false">M23/$B$4</f>
        <v>17.2305363963126</v>
      </c>
      <c r="W23" s="2280" t="n">
        <f aca="false">N23/$B$4</f>
        <v>20.9118379409253</v>
      </c>
      <c r="X23" s="2259"/>
      <c r="Y23" s="2259"/>
      <c r="Z23" s="2259"/>
      <c r="AA23" s="2259"/>
      <c r="AB23" s="2259"/>
      <c r="AC23" s="2259"/>
      <c r="AD23" s="2331"/>
      <c r="AE23" s="2259"/>
      <c r="AF23" s="2343" t="n">
        <f aca="false">AG23+AH23</f>
        <v>249.531065026776</v>
      </c>
      <c r="AG23" s="2344" t="n">
        <v>211.707832120049</v>
      </c>
      <c r="AH23" s="2344" t="n">
        <v>37.8232329067265</v>
      </c>
      <c r="AI23" s="2259"/>
      <c r="AJ23" s="2259"/>
      <c r="AK23" s="2259" t="n">
        <v>118.038980169972</v>
      </c>
      <c r="AL23" s="2259"/>
      <c r="AM23" s="2259"/>
      <c r="AN23" s="2259"/>
      <c r="AO23" s="2259"/>
      <c r="AP23" s="2259"/>
      <c r="AQ23" s="2259"/>
      <c r="AR23" s="2259"/>
      <c r="AS23" s="2259"/>
      <c r="AT23" s="2259"/>
      <c r="AU23" s="2345" t="n">
        <f aca="false">AF23-AK23</f>
        <v>131.492084856804</v>
      </c>
      <c r="AV23" s="2259"/>
      <c r="AW23" s="2259"/>
      <c r="AX23" s="2259"/>
      <c r="AY23" s="2259"/>
      <c r="AZ23" s="2259"/>
      <c r="BA23" s="2259"/>
      <c r="BC23" s="2346" t="n">
        <v>80.7683227924105</v>
      </c>
      <c r="CH23" s="2259"/>
      <c r="CI23" s="2259"/>
      <c r="CJ23" s="2259"/>
      <c r="CK23" s="2259"/>
      <c r="CL23" s="2259"/>
      <c r="CO23" s="2259"/>
      <c r="CP23" s="2259"/>
      <c r="CQ23" s="2259"/>
      <c r="CR23" s="2259"/>
      <c r="CS23" s="2259"/>
      <c r="CT23" s="2259"/>
      <c r="CU23" s="2259"/>
      <c r="CV23" s="2259"/>
      <c r="CW23" s="2259"/>
      <c r="CX23" s="2259"/>
      <c r="CY23" s="2259"/>
      <c r="DA23" s="2327" t="n">
        <v>57.8</v>
      </c>
      <c r="DB23" s="2327" t="n">
        <v>41.6</v>
      </c>
      <c r="DC23" s="2327" t="n">
        <v>16.3</v>
      </c>
      <c r="DD23" s="2342" t="n">
        <f aca="false">DA23/$B$4</f>
        <v>29.5526707331414</v>
      </c>
      <c r="DE23" s="2342" t="n">
        <f aca="false">DB23/$B$4</f>
        <v>21.2697422577627</v>
      </c>
      <c r="DF23" s="2342" t="n">
        <f aca="false">DC23/$B$4</f>
        <v>8.33405766349836</v>
      </c>
      <c r="DJ23" s="2327" t="n">
        <v>8.398</v>
      </c>
      <c r="DK23" s="2342" t="n">
        <v>5.018</v>
      </c>
      <c r="DM23" s="2275" t="n">
        <f aca="false">DN23+DO23</f>
        <v>61.7373404088823</v>
      </c>
      <c r="DN23" s="2330" t="n">
        <v>23.9141075021558</v>
      </c>
      <c r="DO23" s="2330" t="n">
        <f aca="false">AH23</f>
        <v>37.8232329067265</v>
      </c>
      <c r="DR23" s="2330"/>
      <c r="DS23" s="2330"/>
      <c r="DT23" s="2330"/>
      <c r="DU23" s="2330"/>
      <c r="DV23" s="2330"/>
      <c r="DW23" s="2330"/>
      <c r="DX23" s="2330"/>
      <c r="DY23" s="2330"/>
      <c r="DZ23" s="2330"/>
      <c r="EA23" s="2330"/>
      <c r="EB23" s="2330"/>
      <c r="EC23" s="2330"/>
      <c r="ED23" s="2330"/>
      <c r="EE23" s="2330"/>
      <c r="EF23" s="2330"/>
      <c r="EQ23" s="2327" t="n">
        <f aca="false">26.7-2.5+3</f>
        <v>27.2</v>
      </c>
      <c r="ER23" s="2327" t="n">
        <f aca="false">26.5-1.5+3</f>
        <v>28</v>
      </c>
      <c r="ES23" s="2327" t="n">
        <f aca="false">EQ23-ER23</f>
        <v>-0.800000000000001</v>
      </c>
      <c r="ET23" s="2275"/>
      <c r="EU23" s="2275"/>
      <c r="EV23" s="2275"/>
      <c r="EW23" s="2275" t="n">
        <v>10.955</v>
      </c>
      <c r="EX23" s="2275" t="n">
        <v>13.146</v>
      </c>
      <c r="EY23" s="2275" t="n">
        <v>-2.191</v>
      </c>
      <c r="EZ23" s="2330"/>
    </row>
    <row r="24" s="2327" customFormat="true" ht="12" hidden="false" customHeight="true" outlineLevel="0" collapsed="false">
      <c r="A24" s="2252" t="n">
        <v>1956</v>
      </c>
      <c r="B24" s="2280" t="n">
        <v>72.5</v>
      </c>
      <c r="C24" s="2280" t="n">
        <f aca="false">72.5-2.4+12.3</f>
        <v>82.4</v>
      </c>
      <c r="D24" s="2280" t="n">
        <v>12.3</v>
      </c>
      <c r="E24" s="2280" t="n">
        <v>12.3</v>
      </c>
      <c r="F24" s="2280" t="n">
        <v>4</v>
      </c>
      <c r="G24" s="2280" t="n">
        <v>68.5</v>
      </c>
      <c r="H24" s="2280" t="n">
        <f aca="false">C24-F24</f>
        <v>78.4</v>
      </c>
      <c r="I24" s="2280"/>
      <c r="J24" s="2280"/>
      <c r="K24" s="2280"/>
      <c r="L24" s="2280" t="n">
        <f aca="false">145-108.2</f>
        <v>36.8</v>
      </c>
      <c r="M24" s="2280" t="n">
        <f aca="false">F24+L24</f>
        <v>40.8</v>
      </c>
      <c r="N24" s="2280" t="n">
        <f aca="false">C24-M24</f>
        <v>41.6</v>
      </c>
      <c r="O24" s="2280" t="n">
        <f aca="false">B24/$B$4</f>
        <v>37.0686613867258</v>
      </c>
      <c r="P24" s="2280" t="n">
        <f aca="false">C24/$B$4</f>
        <v>42.1304510105684</v>
      </c>
      <c r="Q24" s="2280" t="n">
        <f aca="false">D24/$B$4</f>
        <v>6.28889013871349</v>
      </c>
      <c r="R24" s="2280" t="n">
        <f aca="false">E24/$B$4</f>
        <v>6.28889013871349</v>
      </c>
      <c r="S24" s="2280" t="n">
        <f aca="false">F24/$B$4</f>
        <v>2.04516752478487</v>
      </c>
      <c r="T24" s="2280" t="n">
        <f aca="false">G24/$B$4</f>
        <v>35.023493861941</v>
      </c>
      <c r="U24" s="2280" t="n">
        <f aca="false">L24/$B$4</f>
        <v>18.8155412280208</v>
      </c>
      <c r="V24" s="2280" t="n">
        <f aca="false">M24/$B$4</f>
        <v>20.8607087528057</v>
      </c>
      <c r="W24" s="2280" t="n">
        <f aca="false">N24/$B$4</f>
        <v>21.2697422577627</v>
      </c>
      <c r="X24" s="2259"/>
      <c r="Y24" s="2259"/>
      <c r="Z24" s="2259"/>
      <c r="AA24" s="2259"/>
      <c r="AB24" s="2259"/>
      <c r="AC24" s="2259"/>
      <c r="AD24" s="2331"/>
      <c r="AE24" s="2259"/>
      <c r="AF24" s="2343" t="n">
        <f aca="false">AG24+AH24</f>
        <v>286.655330106879</v>
      </c>
      <c r="AG24" s="2344" t="n">
        <v>244.322396783265</v>
      </c>
      <c r="AH24" s="2344" t="n">
        <v>42.3329333236142</v>
      </c>
      <c r="AI24" s="2259"/>
      <c r="AJ24" s="2259"/>
      <c r="AK24" s="2259" t="n">
        <v>136.089249291785</v>
      </c>
      <c r="AL24" s="2259"/>
      <c r="AM24" s="2259"/>
      <c r="AN24" s="2259"/>
      <c r="AO24" s="2259"/>
      <c r="AP24" s="2259"/>
      <c r="AQ24" s="2259"/>
      <c r="AR24" s="2259"/>
      <c r="AS24" s="2259"/>
      <c r="AT24" s="2259"/>
      <c r="AU24" s="2345" t="n">
        <f aca="false">AF24-AK24</f>
        <v>150.566080815094</v>
      </c>
      <c r="AV24" s="2259"/>
      <c r="AW24" s="2259"/>
      <c r="AX24" s="2259"/>
      <c r="AY24" s="2259"/>
      <c r="AZ24" s="2259"/>
      <c r="BA24" s="2259"/>
      <c r="BC24" s="2346" t="n">
        <v>91.8638123448883</v>
      </c>
      <c r="CH24" s="2259"/>
      <c r="CI24" s="2259"/>
      <c r="CJ24" s="2259"/>
      <c r="CK24" s="2259"/>
      <c r="CL24" s="2259"/>
      <c r="CO24" s="2259"/>
      <c r="CP24" s="2259"/>
      <c r="CQ24" s="2259"/>
      <c r="CR24" s="2259"/>
      <c r="CS24" s="2259"/>
      <c r="CT24" s="2259"/>
      <c r="CU24" s="2259"/>
      <c r="CV24" s="2259"/>
      <c r="CW24" s="2259"/>
      <c r="CX24" s="2259"/>
      <c r="CY24" s="2259"/>
      <c r="DA24" s="2327" t="n">
        <v>68.5</v>
      </c>
      <c r="DB24" s="2327" t="n">
        <v>42.7</v>
      </c>
      <c r="DC24" s="2327" t="n">
        <v>25.8</v>
      </c>
      <c r="DD24" s="2342" t="n">
        <f aca="false">DA24/$B$4</f>
        <v>35.023493861941</v>
      </c>
      <c r="DE24" s="2342" t="n">
        <f aca="false">DB24/$B$4</f>
        <v>21.8321633270785</v>
      </c>
      <c r="DF24" s="2342" t="n">
        <f aca="false">DC24/$B$4</f>
        <v>13.1913305348624</v>
      </c>
      <c r="DJ24" s="2327" t="n">
        <v>8.349</v>
      </c>
      <c r="DK24" s="2342" t="n">
        <v>4.879</v>
      </c>
      <c r="DM24" s="2275" t="n">
        <f aca="false">DN24+DO24</f>
        <v>69.1257904664713</v>
      </c>
      <c r="DN24" s="2330" t="n">
        <v>26.7928571428571</v>
      </c>
      <c r="DO24" s="2330" t="n">
        <f aca="false">AH24</f>
        <v>42.3329333236142</v>
      </c>
      <c r="DR24" s="2330"/>
      <c r="DS24" s="2330"/>
      <c r="DT24" s="2330"/>
      <c r="DU24" s="2330"/>
      <c r="DV24" s="2330"/>
      <c r="DW24" s="2330"/>
      <c r="DX24" s="2330"/>
      <c r="DY24" s="2330"/>
      <c r="DZ24" s="2330"/>
      <c r="EA24" s="2330"/>
      <c r="EB24" s="2330"/>
      <c r="EC24" s="2330"/>
      <c r="ED24" s="2330"/>
      <c r="EE24" s="2330"/>
      <c r="EF24" s="2330"/>
      <c r="EQ24" s="2327" t="n">
        <f aca="false">29.3-2.9+3.5</f>
        <v>29.9</v>
      </c>
      <c r="ER24" s="2327" t="n">
        <f aca="false">34.1-1.7+3.1</f>
        <v>35.5</v>
      </c>
      <c r="ES24" s="2327" t="n">
        <f aca="false">EQ24-ER24</f>
        <v>-5.6</v>
      </c>
      <c r="ET24" s="2275"/>
      <c r="EU24" s="2275"/>
      <c r="EV24" s="2275"/>
      <c r="EW24" s="2275" t="n">
        <v>14.674</v>
      </c>
      <c r="EX24" s="2275" t="n">
        <v>14.54</v>
      </c>
      <c r="EY24" s="2275" t="n">
        <v>0.134</v>
      </c>
      <c r="EZ24" s="2330"/>
    </row>
    <row r="25" s="2327" customFormat="true" ht="12" hidden="false" customHeight="true" outlineLevel="0" collapsed="false">
      <c r="A25" s="2252" t="n">
        <v>1957</v>
      </c>
      <c r="B25" s="2280" t="n">
        <v>84.6</v>
      </c>
      <c r="C25" s="2280" t="n">
        <f aca="false">84.6-6.9+13.5</f>
        <v>91.2</v>
      </c>
      <c r="D25" s="2280" t="n">
        <v>13.5</v>
      </c>
      <c r="E25" s="2280" t="n">
        <v>14.1</v>
      </c>
      <c r="F25" s="2280" t="n">
        <v>4.5</v>
      </c>
      <c r="G25" s="2280" t="n">
        <v>80.1</v>
      </c>
      <c r="H25" s="2280" t="n">
        <f aca="false">C25-F25</f>
        <v>86.7</v>
      </c>
      <c r="I25" s="2280"/>
      <c r="J25" s="2280"/>
      <c r="K25" s="2280"/>
      <c r="L25" s="2280" t="n">
        <f aca="false">164.9-121.7</f>
        <v>43.2</v>
      </c>
      <c r="M25" s="2280" t="n">
        <f aca="false">F25+L25</f>
        <v>47.7</v>
      </c>
      <c r="N25" s="2280" t="n">
        <f aca="false">C25-M25</f>
        <v>43.5</v>
      </c>
      <c r="O25" s="2280" t="n">
        <f aca="false">B25/$B$4</f>
        <v>43.2552931492001</v>
      </c>
      <c r="P25" s="2280" t="n">
        <f aca="false">C25/$B$4</f>
        <v>46.6298195650951</v>
      </c>
      <c r="Q25" s="2280" t="n">
        <f aca="false">D25/$B$4</f>
        <v>6.90244039614895</v>
      </c>
      <c r="R25" s="2280" t="n">
        <f aca="false">E25/$B$4</f>
        <v>7.20921552486668</v>
      </c>
      <c r="S25" s="2280" t="n">
        <f aca="false">F25/$B$4</f>
        <v>2.30081346538298</v>
      </c>
      <c r="T25" s="2280" t="n">
        <f aca="false">G25/$B$4</f>
        <v>40.9544796838171</v>
      </c>
      <c r="U25" s="2280" t="n">
        <f aca="false">L25/$B$4</f>
        <v>22.0878092676766</v>
      </c>
      <c r="V25" s="2280" t="n">
        <f aca="false">M25/$B$4</f>
        <v>24.3886227330596</v>
      </c>
      <c r="W25" s="2280" t="n">
        <f aca="false">N25/$B$4</f>
        <v>22.2411968320355</v>
      </c>
      <c r="X25" s="2259"/>
      <c r="Y25" s="2259"/>
      <c r="Z25" s="2259"/>
      <c r="AA25" s="2259"/>
      <c r="AB25" s="2259"/>
      <c r="AC25" s="2259"/>
      <c r="AD25" s="2331"/>
      <c r="AE25" s="2259"/>
      <c r="AF25" s="2343" t="n">
        <f aca="false">AG25+AH25</f>
        <v>318.372649256722</v>
      </c>
      <c r="AG25" s="2344" t="n">
        <v>271.943852198365</v>
      </c>
      <c r="AH25" s="2344" t="n">
        <v>46.4287970583562</v>
      </c>
      <c r="AI25" s="2259"/>
      <c r="AJ25" s="2259"/>
      <c r="AK25" s="2259" t="n">
        <v>151.545722379603</v>
      </c>
      <c r="AL25" s="2259"/>
      <c r="AM25" s="2259"/>
      <c r="AN25" s="2259"/>
      <c r="AO25" s="2259"/>
      <c r="AP25" s="2259"/>
      <c r="AQ25" s="2259"/>
      <c r="AR25" s="2259"/>
      <c r="AS25" s="2259"/>
      <c r="AT25" s="2259"/>
      <c r="AU25" s="2345" t="n">
        <f aca="false">AF25-AK25</f>
        <v>166.826926877118</v>
      </c>
      <c r="AV25" s="2259"/>
      <c r="AW25" s="2259"/>
      <c r="AX25" s="2259"/>
      <c r="AY25" s="2259"/>
      <c r="AZ25" s="2259"/>
      <c r="BA25" s="2259"/>
      <c r="BC25" s="2346" t="n">
        <v>105.097161156032</v>
      </c>
      <c r="CH25" s="2259"/>
      <c r="CI25" s="2259"/>
      <c r="CJ25" s="2259"/>
      <c r="CK25" s="2259"/>
      <c r="CL25" s="2259"/>
      <c r="CO25" s="2259"/>
      <c r="CP25" s="2259"/>
      <c r="CQ25" s="2259"/>
      <c r="CR25" s="2259"/>
      <c r="CS25" s="2259"/>
      <c r="CT25" s="2259"/>
      <c r="CU25" s="2259"/>
      <c r="CV25" s="2259"/>
      <c r="CW25" s="2259"/>
      <c r="CX25" s="2259"/>
      <c r="CY25" s="2259"/>
      <c r="DA25" s="2327" t="n">
        <v>76.6</v>
      </c>
      <c r="DB25" s="2327" t="n">
        <v>43.9</v>
      </c>
      <c r="DC25" s="2327" t="n">
        <v>32.6</v>
      </c>
      <c r="DD25" s="2342" t="n">
        <f aca="false">DA25/$B$4</f>
        <v>39.1649580996303</v>
      </c>
      <c r="DE25" s="2342" t="n">
        <f aca="false">DB25/$B$4</f>
        <v>22.445713584514</v>
      </c>
      <c r="DF25" s="2342" t="n">
        <f aca="false">DC25/$B$4</f>
        <v>16.6681153269967</v>
      </c>
      <c r="DJ25" s="2327" t="n">
        <v>8.285</v>
      </c>
      <c r="DK25" s="2342" t="n">
        <v>4.762</v>
      </c>
      <c r="DM25" s="2275" t="n">
        <f aca="false">DN25+DO25</f>
        <v>75.2378571330903</v>
      </c>
      <c r="DN25" s="2330" t="n">
        <v>28.8090600747341</v>
      </c>
      <c r="DO25" s="2330" t="n">
        <f aca="false">AH25</f>
        <v>46.4287970583562</v>
      </c>
      <c r="DR25" s="2330"/>
      <c r="DS25" s="2330"/>
      <c r="DT25" s="2330"/>
      <c r="DU25" s="2330"/>
      <c r="DV25" s="2330"/>
      <c r="DW25" s="2330"/>
      <c r="DX25" s="2330"/>
      <c r="DY25" s="2330"/>
      <c r="DZ25" s="2330"/>
      <c r="EA25" s="2330"/>
      <c r="EB25" s="2330"/>
      <c r="EC25" s="2330"/>
      <c r="ED25" s="2330"/>
      <c r="EE25" s="2330"/>
      <c r="EF25" s="2330"/>
      <c r="EQ25" s="2327" t="n">
        <f aca="false">34.1-3.6+4.3</f>
        <v>34.8</v>
      </c>
      <c r="ER25" s="2327" t="n">
        <f aca="false">44.8-2+3.5</f>
        <v>46.3</v>
      </c>
      <c r="ES25" s="2327" t="n">
        <f aca="false">EQ25-ER25</f>
        <v>-11.5</v>
      </c>
      <c r="ET25" s="2275"/>
      <c r="EU25" s="2275"/>
      <c r="EV25" s="2275"/>
      <c r="EW25" s="2275" t="n">
        <v>19.816</v>
      </c>
      <c r="EX25" s="2275" t="n">
        <v>16.439</v>
      </c>
      <c r="EY25" s="2275" t="n">
        <v>3.377</v>
      </c>
      <c r="EZ25" s="2330"/>
    </row>
    <row r="26" s="2327" customFormat="true" ht="12" hidden="false" customHeight="true" outlineLevel="0" collapsed="false">
      <c r="A26" s="2252" t="n">
        <v>1958</v>
      </c>
      <c r="B26" s="2280" t="n">
        <v>98.8</v>
      </c>
      <c r="C26" s="2280" t="n">
        <f aca="false">98.8-7.4+18.2</f>
        <v>109.6</v>
      </c>
      <c r="D26" s="2280" t="n">
        <v>18.2</v>
      </c>
      <c r="E26" s="2280" t="n">
        <v>16.2</v>
      </c>
      <c r="F26" s="2280" t="n">
        <v>5.2</v>
      </c>
      <c r="G26" s="2280" t="n">
        <v>93.6</v>
      </c>
      <c r="H26" s="2280" t="n">
        <f aca="false">C26-F26</f>
        <v>104.4</v>
      </c>
      <c r="I26" s="2280"/>
      <c r="J26" s="2280"/>
      <c r="K26" s="2280"/>
      <c r="L26" s="2280" t="n">
        <f aca="false">181.2-130.8</f>
        <v>50.4</v>
      </c>
      <c r="M26" s="2280" t="n">
        <f aca="false">F26+L26</f>
        <v>55.6</v>
      </c>
      <c r="N26" s="2280" t="n">
        <f aca="false">C26-M26</f>
        <v>54</v>
      </c>
      <c r="O26" s="2280" t="n">
        <f aca="false">B26/$B$4</f>
        <v>50.5156378621864</v>
      </c>
      <c r="P26" s="2280" t="n">
        <f aca="false">C26/$B$4</f>
        <v>56.0375901791055</v>
      </c>
      <c r="Q26" s="2280" t="n">
        <f aca="false">D26/$B$4</f>
        <v>9.30551223777118</v>
      </c>
      <c r="R26" s="2280" t="n">
        <f aca="false">E26/$B$4</f>
        <v>8.28292847537874</v>
      </c>
      <c r="S26" s="2280" t="n">
        <f aca="false">F26/$B$4</f>
        <v>2.65871778222034</v>
      </c>
      <c r="T26" s="2280" t="n">
        <f aca="false">G26/$B$4</f>
        <v>47.856920079966</v>
      </c>
      <c r="U26" s="2280" t="n">
        <f aca="false">L26/$B$4</f>
        <v>25.7691108122894</v>
      </c>
      <c r="V26" s="2280" t="n">
        <f aca="false">M26/$B$4</f>
        <v>28.4278285945097</v>
      </c>
      <c r="W26" s="2280" t="n">
        <f aca="false">N26/$B$4</f>
        <v>27.6097615845958</v>
      </c>
      <c r="X26" s="2259"/>
      <c r="Y26" s="2259"/>
      <c r="Z26" s="2259"/>
      <c r="AA26" s="2259"/>
      <c r="AB26" s="2259"/>
      <c r="AC26" s="2259"/>
      <c r="AD26" s="2331"/>
      <c r="AE26" s="2259"/>
      <c r="AF26" s="2343" t="n">
        <f aca="false">AG26+AH26</f>
        <v>363.698958040416</v>
      </c>
      <c r="AG26" s="2344" t="n">
        <v>310.93259888045</v>
      </c>
      <c r="AH26" s="2344" t="n">
        <v>52.7663591599656</v>
      </c>
      <c r="AI26" s="2259"/>
      <c r="AJ26" s="2259"/>
      <c r="AK26" s="2259" t="n">
        <v>173.412273371105</v>
      </c>
      <c r="AL26" s="2259"/>
      <c r="AM26" s="2259"/>
      <c r="AN26" s="2259"/>
      <c r="AO26" s="2259"/>
      <c r="AP26" s="2259"/>
      <c r="AQ26" s="2259"/>
      <c r="AR26" s="2259"/>
      <c r="AS26" s="2259"/>
      <c r="AT26" s="2259"/>
      <c r="AU26" s="2345" t="n">
        <f aca="false">AF26-AK26</f>
        <v>190.286684669311</v>
      </c>
      <c r="AV26" s="2259"/>
      <c r="AW26" s="2259"/>
      <c r="AX26" s="2259"/>
      <c r="AY26" s="2259"/>
      <c r="AZ26" s="2259"/>
      <c r="BA26" s="2259"/>
      <c r="BC26" s="2346" t="n">
        <v>114.183063005364</v>
      </c>
      <c r="CH26" s="2259"/>
      <c r="CI26" s="2259"/>
      <c r="CJ26" s="2259"/>
      <c r="CK26" s="2259"/>
      <c r="CL26" s="2259"/>
      <c r="CO26" s="2259"/>
      <c r="CP26" s="2259"/>
      <c r="CQ26" s="2259"/>
      <c r="CR26" s="2259"/>
      <c r="CS26" s="2259"/>
      <c r="CT26" s="2259"/>
      <c r="CU26" s="2259"/>
      <c r="CV26" s="2259"/>
      <c r="CW26" s="2259"/>
      <c r="CX26" s="2259"/>
      <c r="CY26" s="2259"/>
      <c r="DA26" s="2327" t="n">
        <v>82</v>
      </c>
      <c r="DB26" s="2327" t="n">
        <v>46</v>
      </c>
      <c r="DC26" s="2327" t="n">
        <v>35.9</v>
      </c>
      <c r="DD26" s="2342" t="n">
        <f aca="false">DA26/$B$4</f>
        <v>41.9259342580899</v>
      </c>
      <c r="DE26" s="2342" t="n">
        <f aca="false">DB26/$B$4</f>
        <v>23.5194265350261</v>
      </c>
      <c r="DF26" s="2342" t="n">
        <f aca="false">DC26/$B$4</f>
        <v>18.3553785349442</v>
      </c>
      <c r="DJ26" s="2327" t="n">
        <v>8.067</v>
      </c>
      <c r="DK26" s="2342" t="n">
        <v>4.576</v>
      </c>
      <c r="DM26" s="2275" t="n">
        <f aca="false">DN26+DO26</f>
        <v>83.8288225115034</v>
      </c>
      <c r="DN26" s="2330" t="n">
        <v>31.0624633515378</v>
      </c>
      <c r="DO26" s="2330" t="n">
        <f aca="false">AH26</f>
        <v>52.7663591599656</v>
      </c>
      <c r="DR26" s="2330"/>
      <c r="DS26" s="2330"/>
      <c r="DT26" s="2330"/>
      <c r="DU26" s="2330"/>
      <c r="DV26" s="2330"/>
      <c r="DW26" s="2330"/>
      <c r="DX26" s="2330"/>
      <c r="DY26" s="2330"/>
      <c r="DZ26" s="2330"/>
      <c r="EA26" s="2330"/>
      <c r="EB26" s="2330"/>
      <c r="EC26" s="2330"/>
      <c r="ED26" s="2330"/>
      <c r="EE26" s="2330"/>
      <c r="EF26" s="2330"/>
      <c r="EQ26" s="2327" t="n">
        <f aca="false">34.5-3.9+4.6</f>
        <v>35.2</v>
      </c>
      <c r="ER26" s="2327" t="n">
        <f aca="false">51.4-2.2+4.6</f>
        <v>53.8</v>
      </c>
      <c r="ES26" s="2327" t="n">
        <f aca="false">EQ26-ER26</f>
        <v>-18.6</v>
      </c>
      <c r="ET26" s="2275"/>
      <c r="EU26" s="2275"/>
      <c r="EV26" s="2275"/>
      <c r="EW26" s="2275" t="n">
        <v>23.005</v>
      </c>
      <c r="EX26" s="2275" t="n">
        <v>16.822</v>
      </c>
      <c r="EY26" s="2275" t="n">
        <v>6.183</v>
      </c>
      <c r="EZ26" s="2330"/>
    </row>
    <row r="27" s="2327" customFormat="true" ht="12" hidden="false" customHeight="true" outlineLevel="0" collapsed="false">
      <c r="A27" s="2252" t="n">
        <v>1959</v>
      </c>
      <c r="B27" s="2280" t="n">
        <v>115.5</v>
      </c>
      <c r="C27" s="2280" t="n">
        <f aca="false">115.5-4.9-8.5+5+27.7</f>
        <v>134.8</v>
      </c>
      <c r="D27" s="2280" t="n">
        <v>27.7</v>
      </c>
      <c r="E27" s="2280" t="n">
        <v>18.9</v>
      </c>
      <c r="F27" s="2280" t="n">
        <v>7.2</v>
      </c>
      <c r="G27" s="2280" t="n">
        <v>108.2</v>
      </c>
      <c r="H27" s="2280" t="n">
        <f aca="false">C27-F27</f>
        <v>127.6</v>
      </c>
      <c r="I27" s="2330"/>
      <c r="J27" s="2280"/>
      <c r="K27" s="2280"/>
      <c r="L27" s="2280" t="n">
        <f aca="false">203.4-143.8</f>
        <v>59.6</v>
      </c>
      <c r="M27" s="2280" t="n">
        <f aca="false">F27+L27</f>
        <v>66.8</v>
      </c>
      <c r="N27" s="2280" t="n">
        <f aca="false">C27-M27</f>
        <v>68</v>
      </c>
      <c r="O27" s="2280" t="n">
        <f aca="false">B27/$B$4</f>
        <v>59.0542122781632</v>
      </c>
      <c r="P27" s="2280" t="n">
        <f aca="false">C27/$B$4</f>
        <v>68.9221455852503</v>
      </c>
      <c r="Q27" s="2280" t="n">
        <f aca="false">D27/$B$4</f>
        <v>14.1627851091353</v>
      </c>
      <c r="R27" s="2280" t="n">
        <f aca="false">E27/$B$4</f>
        <v>9.66341655460853</v>
      </c>
      <c r="S27" s="2280" t="n">
        <f aca="false">F27/$B$4</f>
        <v>3.68130154461277</v>
      </c>
      <c r="T27" s="2280" t="n">
        <f aca="false">G27/$B$4</f>
        <v>55.3217815454308</v>
      </c>
      <c r="U27" s="2280" t="n">
        <f aca="false">L27/$B$4</f>
        <v>30.4729961192946</v>
      </c>
      <c r="V27" s="2280" t="n">
        <f aca="false">M27/$B$4</f>
        <v>34.1542976639074</v>
      </c>
      <c r="W27" s="2280" t="n">
        <f aca="false">N27/$B$4</f>
        <v>34.7678479213429</v>
      </c>
      <c r="X27" s="2259"/>
      <c r="Y27" s="2259"/>
      <c r="Z27" s="2259"/>
      <c r="AA27" s="2259"/>
      <c r="AB27" s="2259"/>
      <c r="AC27" s="2259"/>
      <c r="AD27" s="2331"/>
      <c r="AE27" s="2259"/>
      <c r="AF27" s="2343" t="n">
        <f aca="false">AG27+AH27</f>
        <v>410.081138545105</v>
      </c>
      <c r="AG27" s="2344" t="n">
        <v>350.378161940553</v>
      </c>
      <c r="AH27" s="2344" t="n">
        <v>59.7029766045518</v>
      </c>
      <c r="AI27" s="2259"/>
      <c r="AJ27" s="2259"/>
      <c r="AK27" s="2259" t="n">
        <v>194.704787535411</v>
      </c>
      <c r="AL27" s="2259"/>
      <c r="AM27" s="2259"/>
      <c r="AN27" s="2259"/>
      <c r="AO27" s="2259"/>
      <c r="AP27" s="2259"/>
      <c r="AQ27" s="2259"/>
      <c r="AR27" s="2259"/>
      <c r="AS27" s="2259"/>
      <c r="AT27" s="2259"/>
      <c r="AU27" s="2345" t="n">
        <f aca="false">AF27-AK27</f>
        <v>215.376351009694</v>
      </c>
      <c r="AV27" s="2259"/>
      <c r="AW27" s="2259"/>
      <c r="AX27" s="2259"/>
      <c r="AY27" s="2259"/>
      <c r="AZ27" s="2259"/>
      <c r="BA27" s="2259"/>
      <c r="BC27" s="2346" t="n">
        <v>123.279654150989</v>
      </c>
      <c r="CH27" s="2259"/>
      <c r="CI27" s="2259"/>
      <c r="CJ27" s="2259"/>
      <c r="CK27" s="2259"/>
      <c r="CL27" s="2259"/>
      <c r="CO27" s="2259"/>
      <c r="CP27" s="2259"/>
      <c r="CQ27" s="2259"/>
      <c r="CR27" s="2259"/>
      <c r="CS27" s="2259"/>
      <c r="CT27" s="2259"/>
      <c r="CU27" s="2259"/>
      <c r="CV27" s="2259"/>
      <c r="CW27" s="2259"/>
      <c r="CX27" s="2259"/>
      <c r="CY27" s="2259"/>
      <c r="DA27" s="2327" t="n">
        <v>89.7</v>
      </c>
      <c r="DB27" s="2327" t="n">
        <v>48.7</v>
      </c>
      <c r="DC27" s="2327" t="n">
        <v>41</v>
      </c>
      <c r="DD27" s="2342" t="n">
        <f aca="false">DA27/$B$4</f>
        <v>45.8628817433008</v>
      </c>
      <c r="DE27" s="2342" t="n">
        <f aca="false">DB27/$B$4</f>
        <v>24.8999146142558</v>
      </c>
      <c r="DF27" s="2342" t="n">
        <f aca="false">DC27/$B$4</f>
        <v>20.962967129045</v>
      </c>
      <c r="DJ27" s="2327" t="n">
        <v>6.945</v>
      </c>
      <c r="DK27" s="2342" t="n">
        <v>3.797</v>
      </c>
      <c r="DM27" s="2275" t="n">
        <f aca="false">DN27+DO27</f>
        <v>93.1266615714963</v>
      </c>
      <c r="DN27" s="2330" t="n">
        <v>33.4236849669445</v>
      </c>
      <c r="DO27" s="2330" t="n">
        <f aca="false">AH27</f>
        <v>59.7029766045518</v>
      </c>
      <c r="DR27" s="2330"/>
      <c r="DS27" s="2330"/>
      <c r="DT27" s="2330"/>
      <c r="DU27" s="2330"/>
      <c r="DV27" s="2330"/>
      <c r="DW27" s="2330"/>
      <c r="DX27" s="2330"/>
      <c r="DY27" s="2330"/>
      <c r="DZ27" s="2330"/>
      <c r="EA27" s="2330"/>
      <c r="EB27" s="2330"/>
      <c r="EC27" s="2330"/>
      <c r="ED27" s="2330"/>
      <c r="EE27" s="2330"/>
      <c r="EF27" s="2330"/>
      <c r="EQ27" s="2327" t="n">
        <f aca="false">36.7-4-4.6+3.3+5.2</f>
        <v>36.6</v>
      </c>
      <c r="ER27" s="2327" t="n">
        <f aca="false">57.9-1.8-3.2+0.8+7.6</f>
        <v>61.3</v>
      </c>
      <c r="ES27" s="2327" t="n">
        <f aca="false">EQ27-ER27</f>
        <v>-24.7</v>
      </c>
      <c r="ET27" s="2275"/>
      <c r="EU27" s="2275"/>
      <c r="EV27" s="2275"/>
      <c r="EW27" s="2275" t="n">
        <v>26.003</v>
      </c>
      <c r="EX27" s="2275" t="n">
        <v>18.269</v>
      </c>
      <c r="EY27" s="2275" t="n">
        <v>7.733</v>
      </c>
      <c r="EZ27" s="2330"/>
    </row>
    <row r="28" customFormat="false" ht="12" hidden="false" customHeight="true" outlineLevel="0" collapsed="false">
      <c r="A28" s="2252" t="n">
        <v>1960</v>
      </c>
      <c r="B28" s="2275" t="n">
        <v>140.6</v>
      </c>
      <c r="C28" s="2275" t="n">
        <v>170.4</v>
      </c>
      <c r="D28" s="2275" t="n">
        <v>41.3</v>
      </c>
      <c r="E28" s="2275" t="n">
        <v>20.9</v>
      </c>
      <c r="F28" s="2275" t="n">
        <v>9</v>
      </c>
      <c r="G28" s="2275" t="n">
        <v>131.6</v>
      </c>
      <c r="H28" s="2275" t="n">
        <f aca="false">C28-F28</f>
        <v>161.4</v>
      </c>
      <c r="I28" s="2275" t="n">
        <v>53.7</v>
      </c>
      <c r="J28" s="2275" t="n">
        <v>6.1</v>
      </c>
      <c r="K28" s="2275" t="n">
        <v>13.3</v>
      </c>
      <c r="L28" s="2275" t="n">
        <f aca="false">K28+J28+I28</f>
        <v>73.1</v>
      </c>
      <c r="M28" s="2275" t="n">
        <f aca="false">F28+L28</f>
        <v>82.1</v>
      </c>
      <c r="N28" s="2275" t="n">
        <f aca="false">C28-M28</f>
        <v>88.3</v>
      </c>
      <c r="O28" s="2275" t="n">
        <f aca="false">B28/$B$4</f>
        <v>71.8876384961883</v>
      </c>
      <c r="P28" s="2275" t="n">
        <f aca="false">C28/$B$4</f>
        <v>87.1241365558356</v>
      </c>
      <c r="Q28" s="2275" t="n">
        <f aca="false">D28/$B$4</f>
        <v>21.1163546934038</v>
      </c>
      <c r="R28" s="2275" t="n">
        <f aca="false">E28/$B$4</f>
        <v>10.686000317001</v>
      </c>
      <c r="S28" s="2277" t="n">
        <f aca="false">F28/$B$4</f>
        <v>4.60162693076597</v>
      </c>
      <c r="T28" s="2275" t="n">
        <f aca="false">G28/$B$4</f>
        <v>67.2860115654224</v>
      </c>
      <c r="U28" s="2277" t="n">
        <f aca="false">L28/$B$4</f>
        <v>37.3754365154436</v>
      </c>
      <c r="V28" s="2277" t="n">
        <f aca="false">M28/$B$4</f>
        <v>41.9770634462095</v>
      </c>
      <c r="W28" s="2277" t="n">
        <f aca="false">N28/$B$4</f>
        <v>45.1470731096261</v>
      </c>
      <c r="X28" s="2275"/>
      <c r="Y28" s="2275"/>
      <c r="Z28" s="2275"/>
      <c r="AA28" s="2275"/>
      <c r="AB28" s="2275"/>
      <c r="AC28" s="2275"/>
      <c r="AD28" s="2277"/>
      <c r="AE28" s="2275"/>
      <c r="AF28" s="2347" t="n">
        <f aca="false">AG28+AH28</f>
        <v>470.267321814255</v>
      </c>
      <c r="AG28" s="2342" t="n">
        <v>404.24</v>
      </c>
      <c r="AH28" s="2342" t="n">
        <v>66.0273218142549</v>
      </c>
      <c r="AI28" s="2252"/>
      <c r="AJ28" s="2275"/>
      <c r="AK28" s="2275" t="n">
        <v>225.15</v>
      </c>
      <c r="AL28" s="2275"/>
      <c r="AM28" s="2275"/>
      <c r="AN28" s="2275"/>
      <c r="AO28" s="2275"/>
      <c r="AP28" s="2275"/>
      <c r="AQ28" s="2275"/>
      <c r="AR28" s="2275"/>
      <c r="AS28" s="2252"/>
      <c r="AT28" s="2252"/>
      <c r="AU28" s="2345" t="n">
        <f aca="false">AF28-AK28</f>
        <v>245.117321814255</v>
      </c>
      <c r="AV28" s="2252"/>
      <c r="AW28" s="2275"/>
      <c r="AX28" s="2275"/>
      <c r="AY28" s="2275"/>
      <c r="AZ28" s="2275"/>
      <c r="BA28" s="2275"/>
      <c r="BB28" s="2275"/>
      <c r="BC28" s="2348" t="n">
        <v>133.52</v>
      </c>
      <c r="BD28" s="2275"/>
      <c r="BE28" s="2275"/>
      <c r="BF28" s="2275"/>
      <c r="BG28" s="2275"/>
      <c r="BH28" s="2275"/>
      <c r="BI28" s="2275"/>
      <c r="BJ28" s="2275"/>
      <c r="BK28" s="2275"/>
      <c r="BL28" s="2275"/>
      <c r="BM28" s="2275"/>
      <c r="BN28" s="2275"/>
      <c r="BO28" s="2275"/>
      <c r="BP28" s="2275"/>
      <c r="BQ28" s="2275"/>
      <c r="BR28" s="2275"/>
      <c r="BS28" s="2275"/>
      <c r="BT28" s="2275"/>
      <c r="BU28" s="2275"/>
      <c r="BV28" s="2252"/>
      <c r="BW28" s="2252"/>
      <c r="BX28" s="2252"/>
      <c r="BY28" s="2252"/>
      <c r="BZ28" s="2275"/>
      <c r="CA28" s="2275"/>
      <c r="CB28" s="2275"/>
      <c r="CC28" s="2275"/>
      <c r="CD28" s="2275"/>
      <c r="CE28" s="2275"/>
      <c r="CF28" s="2275"/>
      <c r="CG28" s="2252"/>
      <c r="CH28" s="2252"/>
      <c r="CI28" s="2252"/>
      <c r="CJ28" s="2252"/>
      <c r="CK28" s="2275" t="n">
        <v>73146.8</v>
      </c>
      <c r="CL28" s="2275" t="n">
        <v>55958.3</v>
      </c>
      <c r="CM28" s="2275" t="n">
        <v>26053.847</v>
      </c>
      <c r="CN28" s="2252"/>
      <c r="CO28" s="2252"/>
      <c r="CP28" s="2252"/>
      <c r="CQ28" s="2252"/>
      <c r="CR28" s="2252"/>
      <c r="CS28" s="2252"/>
      <c r="CT28" s="2252"/>
      <c r="CU28" s="2252"/>
      <c r="CV28" s="2252"/>
      <c r="CW28" s="2252"/>
      <c r="CX28" s="2252"/>
      <c r="CY28" s="2252"/>
      <c r="CZ28" s="2252"/>
      <c r="DA28" s="2252" t="n">
        <v>98.5</v>
      </c>
      <c r="DB28" s="2252" t="n">
        <v>51.4</v>
      </c>
      <c r="DC28" s="2252" t="n">
        <v>47</v>
      </c>
      <c r="DD28" s="2342" t="n">
        <f aca="false">DA28/$B$4</f>
        <v>50.3622502978275</v>
      </c>
      <c r="DE28" s="2342" t="n">
        <f aca="false">DB28/$B$4</f>
        <v>26.2804026934856</v>
      </c>
      <c r="DF28" s="2342" t="n">
        <f aca="false">DC28/$B$4</f>
        <v>24.0307184162223</v>
      </c>
      <c r="DG28" s="2252"/>
      <c r="DH28" s="2252"/>
      <c r="DI28" s="2252"/>
      <c r="DK28" s="2342" t="n">
        <v>3.942</v>
      </c>
      <c r="DL28" s="2252"/>
      <c r="DM28" s="2275" t="n">
        <f aca="false">DN28+DO28</f>
        <v>103.537321814255</v>
      </c>
      <c r="DN28" s="2275" t="n">
        <v>37.51</v>
      </c>
      <c r="DO28" s="2330" t="n">
        <f aca="false">AH28</f>
        <v>66.0273218142549</v>
      </c>
      <c r="DP28" s="2252"/>
      <c r="DQ28" s="2252"/>
      <c r="DR28" s="2275" t="n">
        <f aca="false">DS28+DT28</f>
        <v>399.5</v>
      </c>
      <c r="DS28" s="2275" t="n">
        <v>113.9</v>
      </c>
      <c r="DT28" s="2275" t="n">
        <f aca="false">274.6-22.6-3.7+21.8+15.5</f>
        <v>285.6</v>
      </c>
      <c r="DU28" s="2275" t="n">
        <f aca="false">DW28+DX28</f>
        <v>393.8</v>
      </c>
      <c r="DV28" s="2275" t="n">
        <f aca="false">ED28-DZ28</f>
        <v>139.2</v>
      </c>
      <c r="DW28" s="2275" t="n">
        <f aca="false">EE28-EA28</f>
        <v>139.2</v>
      </c>
      <c r="DX28" s="2275" t="n">
        <f aca="false">EF28-EB28</f>
        <v>254.6</v>
      </c>
      <c r="DY28" s="2275" t="n">
        <f aca="false">EA28+EB28</f>
        <v>132.7</v>
      </c>
      <c r="DZ28" s="2275" t="n">
        <v>30.7</v>
      </c>
      <c r="EA28" s="2275" t="n">
        <v>122.9</v>
      </c>
      <c r="EB28" s="2275" t="n">
        <v>9.8</v>
      </c>
      <c r="EC28" s="2275" t="n">
        <f aca="false">EE28+EF28</f>
        <v>526.5</v>
      </c>
      <c r="ED28" s="2275" t="n">
        <v>169.9</v>
      </c>
      <c r="EE28" s="2275" t="n">
        <f aca="false">169.9-9.2-30.7+9.2+122.9</f>
        <v>262.1</v>
      </c>
      <c r="EF28" s="2275" t="n">
        <f aca="false">258.3-29.3-2.4+28+9.8</f>
        <v>264.4</v>
      </c>
      <c r="EG28" s="2252"/>
      <c r="EH28" s="2252"/>
      <c r="EI28" s="2252"/>
      <c r="EJ28" s="2252"/>
      <c r="EK28" s="2252"/>
      <c r="EL28" s="2252"/>
      <c r="EM28" s="2252"/>
      <c r="EN28" s="2252"/>
      <c r="EO28" s="2252"/>
      <c r="EP28" s="2252"/>
      <c r="EQ28" s="2252" t="n">
        <f aca="false">37.7-4.5-4.3+4.4+7.6</f>
        <v>40.9</v>
      </c>
      <c r="ER28" s="2252" t="n">
        <f aca="false">63.3-0.8-2.3+0.8+2.3</f>
        <v>63.3</v>
      </c>
      <c r="ES28" s="2252" t="n">
        <f aca="false">EQ28-ER28</f>
        <v>-22.4</v>
      </c>
      <c r="ET28" s="2275"/>
      <c r="EU28" s="2275"/>
      <c r="EV28" s="2275"/>
      <c r="EW28" s="2275" t="n">
        <v>32.413</v>
      </c>
      <c r="EX28" s="2275" t="n">
        <v>22.109</v>
      </c>
      <c r="EY28" s="2275" t="n">
        <v>10.304</v>
      </c>
      <c r="EZ28" s="2330"/>
      <c r="FA28" s="2252"/>
      <c r="FB28" s="2252"/>
      <c r="FC28" s="2252"/>
      <c r="FD28" s="2252"/>
      <c r="FE28" s="2252"/>
      <c r="FF28" s="2252"/>
      <c r="FG28" s="2252"/>
      <c r="FH28" s="2252"/>
      <c r="FI28" s="2252"/>
      <c r="FJ28" s="2252"/>
      <c r="FK28" s="2252"/>
      <c r="FL28" s="2252"/>
      <c r="FM28" s="2252"/>
    </row>
    <row r="29" customFormat="false" ht="12" hidden="false" customHeight="true" outlineLevel="0" collapsed="false">
      <c r="A29" s="2252" t="n">
        <v>1961</v>
      </c>
      <c r="B29" s="2275" t="n">
        <v>161.4</v>
      </c>
      <c r="C29" s="2275" t="n">
        <v>191.1</v>
      </c>
      <c r="D29" s="2275" t="n">
        <v>43.5</v>
      </c>
      <c r="E29" s="2275" t="n">
        <v>23.9</v>
      </c>
      <c r="F29" s="2275" t="n">
        <v>10.3</v>
      </c>
      <c r="G29" s="2275" t="n">
        <v>151.1</v>
      </c>
      <c r="H29" s="2275" t="n">
        <f aca="false">C29-F29</f>
        <v>180.8</v>
      </c>
      <c r="I29" s="2275" t="n">
        <v>61.6</v>
      </c>
      <c r="J29" s="2275" t="n">
        <v>7.7</v>
      </c>
      <c r="K29" s="2275" t="n">
        <v>15.3</v>
      </c>
      <c r="L29" s="2275" t="n">
        <f aca="false">K29+J29+I29</f>
        <v>84.6</v>
      </c>
      <c r="M29" s="2275" t="n">
        <f aca="false">F29+L29</f>
        <v>94.9</v>
      </c>
      <c r="N29" s="2275" t="n">
        <f aca="false">C29-M29</f>
        <v>96.2</v>
      </c>
      <c r="O29" s="2275" t="n">
        <f aca="false">B29/$B$4</f>
        <v>82.5225096250697</v>
      </c>
      <c r="P29" s="2275" t="n">
        <f aca="false">C29/$B$4</f>
        <v>97.7078784965974</v>
      </c>
      <c r="Q29" s="2275" t="n">
        <f aca="false">D29/$B$4</f>
        <v>22.2411968320355</v>
      </c>
      <c r="R29" s="2275" t="n">
        <f aca="false">E29/$B$4</f>
        <v>12.2198759605896</v>
      </c>
      <c r="S29" s="2277" t="n">
        <f aca="false">F29/$B$4</f>
        <v>5.26630637632105</v>
      </c>
      <c r="T29" s="2275" t="n">
        <f aca="false">G29/$B$4</f>
        <v>77.2562032487486</v>
      </c>
      <c r="U29" s="2277" t="n">
        <f aca="false">L29/$B$4</f>
        <v>43.2552931492001</v>
      </c>
      <c r="V29" s="2277" t="n">
        <f aca="false">M29/$B$4</f>
        <v>48.5215995255211</v>
      </c>
      <c r="W29" s="2277" t="n">
        <f aca="false">N29/$B$4</f>
        <v>49.1862789710762</v>
      </c>
      <c r="X29" s="2275"/>
      <c r="Y29" s="2275"/>
      <c r="Z29" s="2275"/>
      <c r="AA29" s="2275"/>
      <c r="AB29" s="2275"/>
      <c r="AC29" s="2275"/>
      <c r="AD29" s="2277"/>
      <c r="AE29" s="2275"/>
      <c r="AF29" s="2347" t="n">
        <f aca="false">AG29+AH29</f>
        <v>532.138410248704</v>
      </c>
      <c r="AG29" s="2342" t="n">
        <v>460</v>
      </c>
      <c r="AH29" s="2342" t="n">
        <v>72.1384102487039</v>
      </c>
      <c r="AI29" s="2252"/>
      <c r="AJ29" s="2275"/>
      <c r="AK29" s="2275" t="n">
        <v>255.34</v>
      </c>
      <c r="AL29" s="2275"/>
      <c r="AM29" s="2275"/>
      <c r="AN29" s="2275"/>
      <c r="AO29" s="2275"/>
      <c r="AP29" s="2275"/>
      <c r="AQ29" s="2275"/>
      <c r="AR29" s="2275"/>
      <c r="AS29" s="2252"/>
      <c r="AT29" s="2252"/>
      <c r="AU29" s="2345" t="n">
        <f aca="false">AF29-AK29</f>
        <v>276.798410248704</v>
      </c>
      <c r="AV29" s="2252"/>
      <c r="AW29" s="2275"/>
      <c r="AX29" s="2275"/>
      <c r="AY29" s="2275"/>
      <c r="AZ29" s="2275"/>
      <c r="BA29" s="2275"/>
      <c r="BB29" s="2275"/>
      <c r="BC29" s="2275" t="n">
        <v>150.02</v>
      </c>
      <c r="BD29" s="2275"/>
      <c r="BE29" s="2275"/>
      <c r="BF29" s="2275"/>
      <c r="BG29" s="2275"/>
      <c r="BH29" s="2275"/>
      <c r="BI29" s="2275"/>
      <c r="BJ29" s="2275"/>
      <c r="BK29" s="2275"/>
      <c r="BL29" s="2275"/>
      <c r="BM29" s="2275"/>
      <c r="BN29" s="2275"/>
      <c r="BO29" s="2275"/>
      <c r="BP29" s="2275"/>
      <c r="BQ29" s="2275"/>
      <c r="BR29" s="2275"/>
      <c r="BS29" s="2275"/>
      <c r="BT29" s="2275"/>
      <c r="BU29" s="2275"/>
      <c r="BV29" s="2252"/>
      <c r="BW29" s="2252"/>
      <c r="BX29" s="2252"/>
      <c r="BY29" s="2252"/>
      <c r="BZ29" s="2275"/>
      <c r="CA29" s="2275"/>
      <c r="CB29" s="2275"/>
      <c r="CC29" s="2275"/>
      <c r="CD29" s="2275"/>
      <c r="CE29" s="2275"/>
      <c r="CF29" s="2275"/>
      <c r="CG29" s="2252"/>
      <c r="CH29" s="2252"/>
      <c r="CI29" s="2252"/>
      <c r="CJ29" s="2252"/>
      <c r="CK29" s="2275" t="n">
        <v>73668.454</v>
      </c>
      <c r="CL29" s="2275" t="n">
        <v>56589.148</v>
      </c>
      <c r="CM29" s="2275" t="n">
        <v>26558.73</v>
      </c>
      <c r="CN29" s="2252"/>
      <c r="CO29" s="2252"/>
      <c r="CP29" s="2252"/>
      <c r="CQ29" s="2252"/>
      <c r="CR29" s="2252"/>
      <c r="CS29" s="2252"/>
      <c r="CT29" s="2252"/>
      <c r="CU29" s="2252"/>
      <c r="CV29" s="2252"/>
      <c r="CW29" s="2252"/>
      <c r="CX29" s="2252"/>
      <c r="CY29" s="2252"/>
      <c r="CZ29" s="2252"/>
      <c r="DA29" s="2252" t="n">
        <v>111.9</v>
      </c>
      <c r="DB29" s="2252" t="n">
        <v>54</v>
      </c>
      <c r="DC29" s="2252" t="n">
        <v>57.8</v>
      </c>
      <c r="DD29" s="2342" t="n">
        <f aca="false">DA29/$B$4</f>
        <v>57.2135615058569</v>
      </c>
      <c r="DE29" s="2342" t="n">
        <f aca="false">DB29/$B$4</f>
        <v>27.6097615845958</v>
      </c>
      <c r="DF29" s="2342" t="n">
        <f aca="false">DC29/$B$4</f>
        <v>29.5526707331414</v>
      </c>
      <c r="DG29" s="2252"/>
      <c r="DH29" s="2252"/>
      <c r="DI29" s="2252"/>
      <c r="DK29" s="2342" t="n">
        <v>2.226</v>
      </c>
      <c r="DL29" s="2252"/>
      <c r="DM29" s="2275" t="n">
        <f aca="false">DN29+DO29</f>
        <v>113.878410248704</v>
      </c>
      <c r="DN29" s="2275" t="n">
        <v>41.74</v>
      </c>
      <c r="DO29" s="2330" t="n">
        <f aca="false">AH29</f>
        <v>72.1384102487039</v>
      </c>
      <c r="DP29" s="2252"/>
      <c r="DQ29" s="2252"/>
      <c r="DR29" s="2275"/>
      <c r="DS29" s="2275" t="n">
        <v>123</v>
      </c>
      <c r="DT29" s="2275"/>
      <c r="DU29" s="2275"/>
      <c r="DV29" s="2275" t="n">
        <f aca="false">ED29-DZ29</f>
        <v>161.3</v>
      </c>
      <c r="DW29" s="2275"/>
      <c r="DX29" s="2275"/>
      <c r="DY29" s="2275"/>
      <c r="DZ29" s="2275" t="n">
        <v>34.7</v>
      </c>
      <c r="EA29" s="2275"/>
      <c r="EB29" s="2275"/>
      <c r="EC29" s="2275"/>
      <c r="ED29" s="2275" t="n">
        <v>196</v>
      </c>
      <c r="EE29" s="2275"/>
      <c r="EF29" s="2275"/>
      <c r="EG29" s="2252"/>
      <c r="EH29" s="2252"/>
      <c r="EI29" s="2252"/>
      <c r="EJ29" s="2252"/>
      <c r="EK29" s="2252"/>
      <c r="EL29" s="2252"/>
      <c r="EM29" s="2252"/>
      <c r="EN29" s="2252"/>
      <c r="EO29" s="2252"/>
      <c r="EP29" s="2252"/>
      <c r="EQ29" s="2252"/>
      <c r="ER29" s="2252"/>
      <c r="ES29" s="2252"/>
      <c r="ET29" s="2275"/>
      <c r="EU29" s="2275"/>
      <c r="EV29" s="2275"/>
      <c r="EW29" s="2275" t="n">
        <v>34.714</v>
      </c>
      <c r="EX29" s="2275" t="n">
        <v>23.245</v>
      </c>
      <c r="EY29" s="2275" t="n">
        <v>11.469</v>
      </c>
      <c r="EZ29" s="2330"/>
      <c r="FA29" s="2252"/>
      <c r="FB29" s="2252"/>
      <c r="FC29" s="2252"/>
      <c r="FD29" s="2252"/>
      <c r="FE29" s="2252"/>
      <c r="FF29" s="2252"/>
      <c r="FG29" s="2252"/>
      <c r="FH29" s="2252"/>
      <c r="FI29" s="2252"/>
      <c r="FJ29" s="2252"/>
      <c r="FK29" s="2252"/>
      <c r="FL29" s="2252"/>
      <c r="FM29" s="2252"/>
    </row>
    <row r="30" customFormat="false" ht="12" hidden="false" customHeight="true" outlineLevel="0" collapsed="false">
      <c r="A30" s="2252" t="n">
        <v>1962</v>
      </c>
      <c r="B30" s="2275" t="n">
        <v>183.1</v>
      </c>
      <c r="C30" s="2275" t="n">
        <v>205.5</v>
      </c>
      <c r="D30" s="2275" t="n">
        <v>37.2</v>
      </c>
      <c r="E30" s="2275" t="n">
        <v>27.4</v>
      </c>
      <c r="F30" s="2275" t="n">
        <v>12.6</v>
      </c>
      <c r="G30" s="2275" t="n">
        <v>170.5</v>
      </c>
      <c r="H30" s="2275" t="n">
        <f aca="false">C30-F30</f>
        <v>192.9</v>
      </c>
      <c r="I30" s="2275" t="n">
        <v>71</v>
      </c>
      <c r="J30" s="2275" t="n">
        <v>9.2</v>
      </c>
      <c r="K30" s="2275" t="n">
        <v>17.5</v>
      </c>
      <c r="L30" s="2275" t="n">
        <f aca="false">K30+J30+I30</f>
        <v>97.7</v>
      </c>
      <c r="M30" s="2275" t="n">
        <f aca="false">F30+L30</f>
        <v>110.3</v>
      </c>
      <c r="N30" s="2275" t="n">
        <f aca="false">C30-M30</f>
        <v>95.2</v>
      </c>
      <c r="O30" s="2275" t="n">
        <f aca="false">B30/$B$4</f>
        <v>93.6175434470276</v>
      </c>
      <c r="P30" s="2275" t="n">
        <f aca="false">C30/$B$4</f>
        <v>105.070481585823</v>
      </c>
      <c r="Q30" s="2275" t="n">
        <f aca="false">D30/$B$4</f>
        <v>19.0200579804993</v>
      </c>
      <c r="R30" s="2275" t="n">
        <f aca="false">E30/$B$4</f>
        <v>14.0093975447764</v>
      </c>
      <c r="S30" s="2277" t="n">
        <f aca="false">F30/$B$4</f>
        <v>6.44227770307235</v>
      </c>
      <c r="T30" s="2275" t="n">
        <f aca="false">G30/$B$4</f>
        <v>87.1752657439553</v>
      </c>
      <c r="U30" s="2277" t="n">
        <f aca="false">L30/$B$4</f>
        <v>49.9532167928706</v>
      </c>
      <c r="V30" s="2277" t="n">
        <f aca="false">M30/$B$4</f>
        <v>56.3954944959429</v>
      </c>
      <c r="W30" s="2277" t="n">
        <f aca="false">N30/$B$4</f>
        <v>48.67498708988</v>
      </c>
      <c r="X30" s="2275"/>
      <c r="Y30" s="2275"/>
      <c r="Z30" s="2275"/>
      <c r="AA30" s="2275"/>
      <c r="AB30" s="2275"/>
      <c r="AC30" s="2275"/>
      <c r="AD30" s="2277"/>
      <c r="AE30" s="2275"/>
      <c r="AF30" s="2347" t="n">
        <f aca="false">AG30+AH30</f>
        <v>617.994404487314</v>
      </c>
      <c r="AG30" s="2342" t="n">
        <v>533.94</v>
      </c>
      <c r="AH30" s="2342" t="n">
        <v>84.0544044873139</v>
      </c>
      <c r="AI30" s="2252"/>
      <c r="AJ30" s="2275"/>
      <c r="AK30" s="2275" t="n">
        <v>295.62</v>
      </c>
      <c r="AL30" s="2275"/>
      <c r="AM30" s="2275"/>
      <c r="AN30" s="2275"/>
      <c r="AO30" s="2275"/>
      <c r="AP30" s="2275"/>
      <c r="AQ30" s="2275"/>
      <c r="AR30" s="2275"/>
      <c r="AS30" s="2252"/>
      <c r="AT30" s="2252"/>
      <c r="AU30" s="2345" t="n">
        <f aca="false">AF30-AK30</f>
        <v>322.374404487314</v>
      </c>
      <c r="AV30" s="2252"/>
      <c r="AW30" s="2275"/>
      <c r="AX30" s="2275"/>
      <c r="AY30" s="2275"/>
      <c r="AZ30" s="2275"/>
      <c r="BA30" s="2275"/>
      <c r="BB30" s="2275"/>
      <c r="BC30" s="2275" t="n">
        <v>168.28</v>
      </c>
      <c r="BD30" s="2275"/>
      <c r="BE30" s="2275"/>
      <c r="BF30" s="2275"/>
      <c r="BG30" s="2275"/>
      <c r="BH30" s="2275"/>
      <c r="BI30" s="2275"/>
      <c r="BJ30" s="2275"/>
      <c r="BK30" s="2275"/>
      <c r="BL30" s="2275"/>
      <c r="BM30" s="2275"/>
      <c r="BN30" s="2275"/>
      <c r="BO30" s="2275"/>
      <c r="BP30" s="2275"/>
      <c r="BQ30" s="2275"/>
      <c r="BR30" s="2275"/>
      <c r="BS30" s="2275"/>
      <c r="BT30" s="2275"/>
      <c r="BU30" s="2275"/>
      <c r="BV30" s="2252"/>
      <c r="BW30" s="2252"/>
      <c r="BX30" s="2252"/>
      <c r="BY30" s="2252"/>
      <c r="BZ30" s="2275"/>
      <c r="CA30" s="2275"/>
      <c r="CB30" s="2275"/>
      <c r="CC30" s="2275"/>
      <c r="CD30" s="2275"/>
      <c r="CE30" s="2275"/>
      <c r="CF30" s="2275"/>
      <c r="CG30" s="2252"/>
      <c r="CH30" s="2252" t="n">
        <v>5.9</v>
      </c>
      <c r="CI30" s="2252" t="n">
        <v>7.58</v>
      </c>
      <c r="CJ30" s="2252"/>
      <c r="CK30" s="2275" t="n">
        <v>74383.113</v>
      </c>
      <c r="CL30" s="2275" t="n">
        <v>57247.246</v>
      </c>
      <c r="CM30" s="2275" t="n">
        <v>26773.185</v>
      </c>
      <c r="CN30" s="2252"/>
      <c r="CO30" s="2252"/>
      <c r="CP30" s="2252"/>
      <c r="CQ30" s="2252"/>
      <c r="CR30" s="2252"/>
      <c r="CS30" s="2252"/>
      <c r="CT30" s="2252"/>
      <c r="CU30" s="2252"/>
      <c r="CV30" s="2252"/>
      <c r="CW30" s="2252"/>
      <c r="CX30" s="2252"/>
      <c r="CY30" s="2252"/>
      <c r="CZ30" s="2252"/>
      <c r="DA30" s="2252" t="n">
        <v>120.8</v>
      </c>
      <c r="DB30" s="2252" t="n">
        <v>57.2</v>
      </c>
      <c r="DC30" s="2252" t="n">
        <v>63.6</v>
      </c>
      <c r="DD30" s="2342" t="n">
        <f aca="false">DA30/$B$4</f>
        <v>61.7640592485032</v>
      </c>
      <c r="DE30" s="2342" t="n">
        <f aca="false">DB30/$B$4</f>
        <v>29.2458956044237</v>
      </c>
      <c r="DF30" s="2342" t="n">
        <f aca="false">DC30/$B$4</f>
        <v>32.5181636440795</v>
      </c>
      <c r="DG30" s="2252"/>
      <c r="DH30" s="2252"/>
      <c r="DI30" s="2252"/>
      <c r="DK30" s="2342" t="n">
        <v>2.301</v>
      </c>
      <c r="DL30" s="2252"/>
      <c r="DM30" s="2275" t="n">
        <f aca="false">DN30+DO30</f>
        <v>131.824404487314</v>
      </c>
      <c r="DN30" s="2275" t="n">
        <v>47.77</v>
      </c>
      <c r="DO30" s="2330" t="n">
        <f aca="false">AH30</f>
        <v>84.0544044873139</v>
      </c>
      <c r="DP30" s="2252"/>
      <c r="DQ30" s="2252"/>
      <c r="DR30" s="2275"/>
      <c r="DS30" s="2275" t="n">
        <v>120.8</v>
      </c>
      <c r="DT30" s="2275"/>
      <c r="DU30" s="2275"/>
      <c r="DV30" s="2275" t="n">
        <f aca="false">ED30-DZ30</f>
        <v>178.8</v>
      </c>
      <c r="DW30" s="2275"/>
      <c r="DX30" s="2275"/>
      <c r="DY30" s="2275"/>
      <c r="DZ30" s="2275" t="n">
        <v>37.2</v>
      </c>
      <c r="EA30" s="2275"/>
      <c r="EB30" s="2275"/>
      <c r="EC30" s="2275"/>
      <c r="ED30" s="2275" t="n">
        <v>216</v>
      </c>
      <c r="EE30" s="2275"/>
      <c r="EF30" s="2275"/>
      <c r="EG30" s="2252"/>
      <c r="EH30" s="2252"/>
      <c r="EI30" s="2252"/>
      <c r="EJ30" s="2252"/>
      <c r="EK30" s="2252"/>
      <c r="EL30" s="2252"/>
      <c r="EM30" s="2252"/>
      <c r="EN30" s="2252"/>
      <c r="EO30" s="2252"/>
      <c r="EP30" s="2252"/>
      <c r="EQ30" s="2252"/>
      <c r="ER30" s="2252"/>
      <c r="ES30" s="2252"/>
      <c r="ET30" s="2275"/>
      <c r="EU30" s="2275"/>
      <c r="EV30" s="2275"/>
      <c r="EW30" s="2275" t="n">
        <v>36.599</v>
      </c>
      <c r="EX30" s="2275" t="n">
        <v>25.147</v>
      </c>
      <c r="EY30" s="2275" t="n">
        <v>11.452</v>
      </c>
      <c r="EZ30" s="2330"/>
      <c r="FA30" s="2252"/>
      <c r="FB30" s="2252"/>
      <c r="FC30" s="2252"/>
      <c r="FD30" s="2252"/>
      <c r="FE30" s="2252"/>
      <c r="FF30" s="2252"/>
      <c r="FG30" s="2252"/>
      <c r="FH30" s="2252"/>
      <c r="FI30" s="2252"/>
      <c r="FJ30" s="2252"/>
      <c r="FK30" s="2252"/>
      <c r="FL30" s="2252"/>
      <c r="FM30" s="2252"/>
    </row>
    <row r="31" customFormat="false" ht="12" hidden="false" customHeight="true" outlineLevel="0" collapsed="false">
      <c r="A31" s="2252" t="n">
        <v>1963</v>
      </c>
      <c r="B31" s="2275" t="n">
        <v>207.9</v>
      </c>
      <c r="C31" s="2275" t="n">
        <v>232.2</v>
      </c>
      <c r="D31" s="2275" t="n">
        <v>39.3</v>
      </c>
      <c r="E31" s="2275" t="n">
        <v>30.8</v>
      </c>
      <c r="F31" s="2275" t="n">
        <v>14</v>
      </c>
      <c r="G31" s="2275" t="n">
        <v>193.8</v>
      </c>
      <c r="H31" s="2275" t="n">
        <f aca="false">C31-F31</f>
        <v>218.2</v>
      </c>
      <c r="I31" s="2275" t="n">
        <v>80.9</v>
      </c>
      <c r="J31" s="2275" t="n">
        <v>10.8</v>
      </c>
      <c r="K31" s="2275" t="n">
        <v>19.8</v>
      </c>
      <c r="L31" s="2275" t="n">
        <f aca="false">K31+J31+I31</f>
        <v>111.5</v>
      </c>
      <c r="M31" s="2275" t="n">
        <f aca="false">F31+L31</f>
        <v>125.5</v>
      </c>
      <c r="N31" s="2275" t="n">
        <f aca="false">C31-M31</f>
        <v>106.7</v>
      </c>
      <c r="O31" s="2275" t="n">
        <f aca="false">B31/$B$4</f>
        <v>106.297582100694</v>
      </c>
      <c r="P31" s="2275" t="n">
        <f aca="false">C31/$B$4</f>
        <v>118.721974813762</v>
      </c>
      <c r="Q31" s="2275" t="n">
        <f aca="false">D31/$B$4</f>
        <v>20.0937709310114</v>
      </c>
      <c r="R31" s="2275" t="n">
        <f aca="false">E31/$B$4</f>
        <v>15.7477899408435</v>
      </c>
      <c r="S31" s="2277" t="n">
        <f aca="false">F31/$B$4</f>
        <v>7.15808633674706</v>
      </c>
      <c r="T31" s="2275" t="n">
        <f aca="false">G31/$B$4</f>
        <v>99.0883665758272</v>
      </c>
      <c r="U31" s="2277" t="n">
        <f aca="false">L31/$B$4</f>
        <v>57.0090447533784</v>
      </c>
      <c r="V31" s="2277" t="n">
        <f aca="false">M31/$B$4</f>
        <v>64.1671310901254</v>
      </c>
      <c r="W31" s="2277" t="n">
        <f aca="false">N31/$B$4</f>
        <v>54.5548437236365</v>
      </c>
      <c r="X31" s="2275"/>
      <c r="Y31" s="2275"/>
      <c r="Z31" s="2275"/>
      <c r="AA31" s="2275"/>
      <c r="AB31" s="2275"/>
      <c r="AC31" s="2275"/>
      <c r="AD31" s="2277"/>
      <c r="AE31" s="2275"/>
      <c r="AF31" s="2347" t="n">
        <f aca="false">AG31+AH31</f>
        <v>701.091695342006</v>
      </c>
      <c r="AG31" s="2342" t="n">
        <v>605.79</v>
      </c>
      <c r="AH31" s="2342" t="n">
        <v>95.3016953420059</v>
      </c>
      <c r="AI31" s="2252"/>
      <c r="AJ31" s="2275"/>
      <c r="AK31" s="2275" t="n">
        <v>333.83</v>
      </c>
      <c r="AL31" s="2275"/>
      <c r="AM31" s="2275"/>
      <c r="AN31" s="2275"/>
      <c r="AO31" s="2275"/>
      <c r="AP31" s="2275"/>
      <c r="AQ31" s="2275"/>
      <c r="AR31" s="2275"/>
      <c r="AS31" s="2252"/>
      <c r="AT31" s="2252"/>
      <c r="AU31" s="2345" t="n">
        <f aca="false">AF31-AK31</f>
        <v>367.261695342006</v>
      </c>
      <c r="AV31" s="2252"/>
      <c r="AW31" s="2275"/>
      <c r="AX31" s="2275"/>
      <c r="AY31" s="2275"/>
      <c r="AZ31" s="2275"/>
      <c r="BA31" s="2275"/>
      <c r="BB31" s="2275"/>
      <c r="BC31" s="2275" t="n">
        <v>188.4</v>
      </c>
      <c r="BD31" s="2275"/>
      <c r="BE31" s="2275"/>
      <c r="BF31" s="2275"/>
      <c r="BG31" s="2275"/>
      <c r="BH31" s="2275"/>
      <c r="BI31" s="2275"/>
      <c r="BJ31" s="2275"/>
      <c r="BK31" s="2275"/>
      <c r="BL31" s="2275"/>
      <c r="BM31" s="2275"/>
      <c r="BN31" s="2275"/>
      <c r="BO31" s="2275"/>
      <c r="BP31" s="2275"/>
      <c r="BQ31" s="2275"/>
      <c r="BR31" s="2275"/>
      <c r="BS31" s="2275"/>
      <c r="BT31" s="2275"/>
      <c r="BU31" s="2275"/>
      <c r="BV31" s="2252"/>
      <c r="BW31" s="2252"/>
      <c r="BX31" s="2252"/>
      <c r="BY31" s="2252"/>
      <c r="BZ31" s="2275"/>
      <c r="CA31" s="2275"/>
      <c r="CB31" s="2275"/>
      <c r="CC31" s="2275"/>
      <c r="CD31" s="2275"/>
      <c r="CE31" s="2275"/>
      <c r="CF31" s="2275"/>
      <c r="CG31" s="2252"/>
      <c r="CH31" s="2252" t="n">
        <v>6.86</v>
      </c>
      <c r="CI31" s="2252" t="n">
        <v>8.65</v>
      </c>
      <c r="CJ31" s="2252"/>
      <c r="CK31" s="2275" t="n">
        <v>75045.592</v>
      </c>
      <c r="CL31" s="2275" t="n">
        <v>57864.509</v>
      </c>
      <c r="CM31" s="2275" t="n">
        <v>26966.456</v>
      </c>
      <c r="CN31" s="2252"/>
      <c r="CO31" s="2252"/>
      <c r="CP31" s="2252"/>
      <c r="CQ31" s="2252"/>
      <c r="CR31" s="2252"/>
      <c r="CS31" s="2252"/>
      <c r="CT31" s="2252"/>
      <c r="CU31" s="2252"/>
      <c r="CV31" s="2252"/>
      <c r="CW31" s="2252"/>
      <c r="CX31" s="2252"/>
      <c r="CY31" s="2252"/>
      <c r="CZ31" s="2252"/>
      <c r="DA31" s="2252" t="n">
        <v>130.9</v>
      </c>
      <c r="DB31" s="2252" t="n">
        <v>63.8</v>
      </c>
      <c r="DC31" s="2252" t="n">
        <v>67.1</v>
      </c>
      <c r="DD31" s="2342" t="n">
        <f aca="false">DA31/$B$4</f>
        <v>66.928107248585</v>
      </c>
      <c r="DE31" s="2342" t="n">
        <f aca="false">DB31/$B$4</f>
        <v>32.6204220203187</v>
      </c>
      <c r="DF31" s="2342" t="n">
        <f aca="false">DC31/$B$4</f>
        <v>34.3076852282663</v>
      </c>
      <c r="DG31" s="2252"/>
      <c r="DH31" s="2252"/>
      <c r="DI31" s="2252"/>
      <c r="DK31" s="2342" t="n">
        <v>2.177</v>
      </c>
      <c r="DL31" s="2252"/>
      <c r="DM31" s="2275" t="n">
        <f aca="false">DN31+DO31</f>
        <v>148.841695342006</v>
      </c>
      <c r="DN31" s="2275" t="n">
        <v>53.54</v>
      </c>
      <c r="DO31" s="2330" t="n">
        <f aca="false">AH31</f>
        <v>95.3016953420059</v>
      </c>
      <c r="DP31" s="2252"/>
      <c r="DQ31" s="2252"/>
      <c r="DR31" s="2275"/>
      <c r="DS31" s="2275" t="n">
        <v>133.5</v>
      </c>
      <c r="DT31" s="2275"/>
      <c r="DU31" s="2275"/>
      <c r="DV31" s="2275" t="n">
        <f aca="false">ED31-DZ31</f>
        <v>197.2</v>
      </c>
      <c r="DW31" s="2275"/>
      <c r="DX31" s="2275"/>
      <c r="DY31" s="2275"/>
      <c r="DZ31" s="2275" t="n">
        <v>38.8</v>
      </c>
      <c r="EA31" s="2275"/>
      <c r="EB31" s="2275"/>
      <c r="EC31" s="2275"/>
      <c r="ED31" s="2275" t="n">
        <v>236</v>
      </c>
      <c r="EE31" s="2275"/>
      <c r="EF31" s="2275"/>
      <c r="EG31" s="2252"/>
      <c r="EH31" s="2252"/>
      <c r="EI31" s="2252"/>
      <c r="EJ31" s="2252"/>
      <c r="EK31" s="2252"/>
      <c r="EL31" s="2252"/>
      <c r="EM31" s="2252"/>
      <c r="EN31" s="2252"/>
      <c r="EO31" s="2252"/>
      <c r="EP31" s="2252"/>
      <c r="EQ31" s="2252"/>
      <c r="ER31" s="2252"/>
      <c r="ES31" s="2252"/>
      <c r="ET31" s="2275"/>
      <c r="EU31" s="2275"/>
      <c r="EV31" s="2275"/>
      <c r="EW31" s="2275" t="n">
        <v>40.463</v>
      </c>
      <c r="EX31" s="2275" t="n">
        <v>28.034</v>
      </c>
      <c r="EY31" s="2275" t="n">
        <v>12.429</v>
      </c>
      <c r="EZ31" s="2330"/>
      <c r="FA31" s="2252"/>
      <c r="FB31" s="2252"/>
      <c r="FC31" s="2252"/>
      <c r="FD31" s="2252"/>
      <c r="FE31" s="2252"/>
      <c r="FF31" s="2252"/>
      <c r="FG31" s="2252"/>
      <c r="FH31" s="2252"/>
      <c r="FI31" s="2252"/>
      <c r="FJ31" s="2252"/>
      <c r="FK31" s="2252"/>
      <c r="FL31" s="2252"/>
      <c r="FM31" s="2252"/>
    </row>
    <row r="32" customFormat="false" ht="12" hidden="false" customHeight="true" outlineLevel="0" collapsed="false">
      <c r="A32" s="2252" t="n">
        <v>1964</v>
      </c>
      <c r="B32" s="2275" t="n">
        <v>238.2</v>
      </c>
      <c r="C32" s="2275" t="n">
        <v>263.3</v>
      </c>
      <c r="D32" s="2275" t="n">
        <v>41.4</v>
      </c>
      <c r="E32" s="2275" t="n">
        <v>34.9</v>
      </c>
      <c r="F32" s="2275" t="n">
        <v>15.3</v>
      </c>
      <c r="G32" s="2275" t="n">
        <v>222.8</v>
      </c>
      <c r="H32" s="2275" t="n">
        <f aca="false">C32-F32</f>
        <v>248</v>
      </c>
      <c r="I32" s="2275" t="n">
        <v>92.4</v>
      </c>
      <c r="J32" s="2275" t="n">
        <v>12.6</v>
      </c>
      <c r="K32" s="2275" t="n">
        <v>22.7</v>
      </c>
      <c r="L32" s="2275" t="n">
        <f aca="false">K32+J32+I32</f>
        <v>127.7</v>
      </c>
      <c r="M32" s="2275" t="n">
        <f aca="false">F32+L32</f>
        <v>143</v>
      </c>
      <c r="N32" s="2275" t="n">
        <f aca="false">C32-M32</f>
        <v>120.3</v>
      </c>
      <c r="O32" s="2275" t="n">
        <f aca="false">B32/$B$4</f>
        <v>121.789726100939</v>
      </c>
      <c r="P32" s="2275" t="n">
        <f aca="false">C32/$B$4</f>
        <v>134.623152318964</v>
      </c>
      <c r="Q32" s="2275" t="n">
        <f aca="false">D32/$B$4</f>
        <v>21.1674838815234</v>
      </c>
      <c r="R32" s="2275" t="n">
        <f aca="false">E32/$B$4</f>
        <v>17.844086653748</v>
      </c>
      <c r="S32" s="2277" t="n">
        <f aca="false">F32/$B$4</f>
        <v>7.82276578230214</v>
      </c>
      <c r="T32" s="2275" t="n">
        <f aca="false">G32/$B$4</f>
        <v>113.915831130517</v>
      </c>
      <c r="U32" s="2277" t="n">
        <f aca="false">L32/$B$4</f>
        <v>65.2919732287571</v>
      </c>
      <c r="V32" s="2277" t="n">
        <f aca="false">M32/$B$4</f>
        <v>73.1147390110592</v>
      </c>
      <c r="W32" s="2277" t="n">
        <f aca="false">N32/$B$4</f>
        <v>61.5084133079051</v>
      </c>
      <c r="X32" s="2275"/>
      <c r="Y32" s="2275"/>
      <c r="Z32" s="2275"/>
      <c r="AA32" s="2275"/>
      <c r="AB32" s="2275"/>
      <c r="AC32" s="2275"/>
      <c r="AD32" s="2277"/>
      <c r="AE32" s="2275"/>
      <c r="AF32" s="2347" t="n">
        <f aca="false">AG32+AH32</f>
        <v>775.741741624355</v>
      </c>
      <c r="AG32" s="2342" t="n">
        <v>669.44</v>
      </c>
      <c r="AH32" s="2342" t="n">
        <v>106.301741624355</v>
      </c>
      <c r="AI32" s="2252"/>
      <c r="AJ32" s="2275"/>
      <c r="AK32" s="2275" t="n">
        <v>368.73</v>
      </c>
      <c r="AL32" s="2275"/>
      <c r="AM32" s="2275"/>
      <c r="AN32" s="2275"/>
      <c r="AO32" s="2275"/>
      <c r="AP32" s="2275"/>
      <c r="AQ32" s="2275"/>
      <c r="AR32" s="2275"/>
      <c r="AS32" s="2252"/>
      <c r="AT32" s="2252"/>
      <c r="AU32" s="2345" t="n">
        <f aca="false">AF32-AK32</f>
        <v>407.011741624355</v>
      </c>
      <c r="AV32" s="2252"/>
      <c r="AW32" s="2275"/>
      <c r="AX32" s="2275"/>
      <c r="AY32" s="2275"/>
      <c r="AZ32" s="2275"/>
      <c r="BA32" s="2275"/>
      <c r="BB32" s="2275"/>
      <c r="BC32" s="2275" t="n">
        <v>204.88</v>
      </c>
      <c r="BD32" s="2275"/>
      <c r="BE32" s="2275"/>
      <c r="BF32" s="2275"/>
      <c r="BG32" s="2275"/>
      <c r="BH32" s="2275"/>
      <c r="BI32" s="2275"/>
      <c r="BJ32" s="2275"/>
      <c r="BK32" s="2275"/>
      <c r="BL32" s="2275"/>
      <c r="BM32" s="2275"/>
      <c r="BN32" s="2275"/>
      <c r="BO32" s="2275"/>
      <c r="BP32" s="2275"/>
      <c r="BQ32" s="2275"/>
      <c r="BR32" s="2275"/>
      <c r="BS32" s="2275"/>
      <c r="BT32" s="2275"/>
      <c r="BU32" s="2275"/>
      <c r="BV32" s="2252"/>
      <c r="BW32" s="2252"/>
      <c r="BX32" s="2252"/>
      <c r="BY32" s="2252"/>
      <c r="BZ32" s="2275"/>
      <c r="CA32" s="2275"/>
      <c r="CB32" s="2275"/>
      <c r="CC32" s="2275"/>
      <c r="CD32" s="2275"/>
      <c r="CE32" s="2275"/>
      <c r="CF32" s="2275"/>
      <c r="CG32" s="2252"/>
      <c r="CH32" s="2252" t="n">
        <v>7.29</v>
      </c>
      <c r="CI32" s="2252" t="n">
        <v>9.44</v>
      </c>
      <c r="CJ32" s="2252"/>
      <c r="CK32" s="2275" t="n">
        <v>75591.082</v>
      </c>
      <c r="CL32" s="2275" t="n">
        <v>58587.451</v>
      </c>
      <c r="CM32" s="2275" t="n">
        <v>27206.775</v>
      </c>
      <c r="CN32" s="2252"/>
      <c r="CO32" s="2252"/>
      <c r="CP32" s="2252"/>
      <c r="CQ32" s="2252"/>
      <c r="CR32" s="2252"/>
      <c r="CS32" s="2252"/>
      <c r="CT32" s="2252"/>
      <c r="CU32" s="2252"/>
      <c r="CV32" s="2252"/>
      <c r="CW32" s="2252"/>
      <c r="CX32" s="2252"/>
      <c r="CY32" s="2252"/>
      <c r="CZ32" s="2252"/>
      <c r="DA32" s="2252" t="n">
        <v>140.6</v>
      </c>
      <c r="DB32" s="2252" t="n">
        <v>70.2</v>
      </c>
      <c r="DC32" s="2252" t="n">
        <v>70.4</v>
      </c>
      <c r="DD32" s="2342" t="n">
        <f aca="false">DA32/$B$4</f>
        <v>71.8876384961883</v>
      </c>
      <c r="DE32" s="2342" t="n">
        <f aca="false">DB32/$B$4</f>
        <v>35.8926900599745</v>
      </c>
      <c r="DF32" s="2342" t="n">
        <f aca="false">DC32/$B$4</f>
        <v>35.9949484362138</v>
      </c>
      <c r="DG32" s="2252"/>
      <c r="DH32" s="2252"/>
      <c r="DI32" s="2252"/>
      <c r="DK32" s="2342" t="n">
        <v>2.05</v>
      </c>
      <c r="DL32" s="2252"/>
      <c r="DM32" s="2275" t="n">
        <f aca="false">DN32+DO32</f>
        <v>165.981741624355</v>
      </c>
      <c r="DN32" s="2275" t="n">
        <v>59.68</v>
      </c>
      <c r="DO32" s="2330" t="n">
        <f aca="false">AH32</f>
        <v>106.301741624355</v>
      </c>
      <c r="DP32" s="2252"/>
      <c r="DQ32" s="2252"/>
      <c r="DR32" s="2275"/>
      <c r="DS32" s="2275" t="n">
        <v>147.5</v>
      </c>
      <c r="DT32" s="2275"/>
      <c r="DU32" s="2275"/>
      <c r="DV32" s="2275" t="n">
        <f aca="false">ED32-DZ32</f>
        <v>220.5</v>
      </c>
      <c r="DW32" s="2275"/>
      <c r="DX32" s="2275"/>
      <c r="DY32" s="2275"/>
      <c r="DZ32" s="2275" t="n">
        <v>41.5</v>
      </c>
      <c r="EA32" s="2275"/>
      <c r="EB32" s="2275"/>
      <c r="EC32" s="2275"/>
      <c r="ED32" s="2275" t="n">
        <v>262</v>
      </c>
      <c r="EE32" s="2275"/>
      <c r="EF32" s="2275"/>
      <c r="EG32" s="2252"/>
      <c r="EH32" s="2252"/>
      <c r="EI32" s="2252"/>
      <c r="EJ32" s="2252"/>
      <c r="EK32" s="2252"/>
      <c r="EL32" s="2252"/>
      <c r="EM32" s="2252"/>
      <c r="EN32" s="2252"/>
      <c r="EO32" s="2252"/>
      <c r="EP32" s="2252"/>
      <c r="EQ32" s="2252"/>
      <c r="ER32" s="2252"/>
      <c r="ES32" s="2252"/>
      <c r="ET32" s="2275"/>
      <c r="EU32" s="2275"/>
      <c r="EV32" s="2275"/>
      <c r="EW32" s="2275" t="n">
        <v>44.724</v>
      </c>
      <c r="EX32" s="2275" t="n">
        <v>31.527</v>
      </c>
      <c r="EY32" s="2275" t="n">
        <v>13.197</v>
      </c>
      <c r="EZ32" s="2330"/>
      <c r="FA32" s="2252"/>
      <c r="FB32" s="2252"/>
      <c r="FC32" s="2252"/>
      <c r="FD32" s="2252"/>
      <c r="FE32" s="2252"/>
      <c r="FF32" s="2252"/>
      <c r="FG32" s="2252"/>
      <c r="FH32" s="2252"/>
      <c r="FI32" s="2252"/>
      <c r="FJ32" s="2252"/>
      <c r="FK32" s="2252"/>
      <c r="FL32" s="2252"/>
      <c r="FM32" s="2252"/>
    </row>
    <row r="33" customFormat="false" ht="12" hidden="false" customHeight="true" outlineLevel="0" collapsed="false">
      <c r="A33" s="2252" t="n">
        <v>1965</v>
      </c>
      <c r="B33" s="2275" t="n">
        <v>275.2</v>
      </c>
      <c r="C33" s="2275" t="n">
        <v>295.9</v>
      </c>
      <c r="D33" s="2275" t="n">
        <v>40.5</v>
      </c>
      <c r="E33" s="2275" t="n">
        <v>39.5</v>
      </c>
      <c r="F33" s="2275" t="n">
        <v>17.2</v>
      </c>
      <c r="G33" s="2275" t="n">
        <v>258</v>
      </c>
      <c r="H33" s="2275" t="n">
        <f aca="false">C33-F33</f>
        <v>278.7</v>
      </c>
      <c r="I33" s="2275" t="n">
        <v>103.7</v>
      </c>
      <c r="J33" s="2275" t="n">
        <v>15.1</v>
      </c>
      <c r="K33" s="2275" t="n">
        <v>26</v>
      </c>
      <c r="L33" s="2275" t="n">
        <f aca="false">K33+J33+I33</f>
        <v>144.8</v>
      </c>
      <c r="M33" s="2275" t="n">
        <f aca="false">F33+L33</f>
        <v>162</v>
      </c>
      <c r="N33" s="2275" t="n">
        <f aca="false">C33-M33</f>
        <v>133.9</v>
      </c>
      <c r="O33" s="2275" t="n">
        <f aca="false">B33/$B$4</f>
        <v>140.707525705199</v>
      </c>
      <c r="P33" s="2275" t="n">
        <f aca="false">C33/$B$4</f>
        <v>151.291267645961</v>
      </c>
      <c r="Q33" s="2275" t="n">
        <f aca="false">D33/$B$4</f>
        <v>20.7073211884468</v>
      </c>
      <c r="R33" s="2275" t="n">
        <f aca="false">E33/$B$4</f>
        <v>20.1960293072506</v>
      </c>
      <c r="S33" s="2277" t="n">
        <f aca="false">F33/$B$4</f>
        <v>8.79422035657496</v>
      </c>
      <c r="T33" s="2275" t="n">
        <f aca="false">G33/$B$4</f>
        <v>131.913305348624</v>
      </c>
      <c r="U33" s="2277" t="n">
        <f aca="false">L33/$B$4</f>
        <v>74.0350643972124</v>
      </c>
      <c r="V33" s="2277" t="n">
        <f aca="false">M33/$B$4</f>
        <v>82.8292847537874</v>
      </c>
      <c r="W33" s="2277" t="n">
        <f aca="false">N33/$B$4</f>
        <v>68.4619828921737</v>
      </c>
      <c r="X33" s="2275"/>
      <c r="Y33" s="2275"/>
      <c r="Z33" s="2275"/>
      <c r="AA33" s="2275"/>
      <c r="AB33" s="2275"/>
      <c r="AC33" s="2275"/>
      <c r="AD33" s="2277"/>
      <c r="AE33" s="2275"/>
      <c r="AF33" s="2347" t="n">
        <f aca="false">AG33+AH33</f>
        <v>855.933527542985</v>
      </c>
      <c r="AG33" s="2342" t="n">
        <v>744.11</v>
      </c>
      <c r="AH33" s="2342" t="n">
        <v>111.823527542985</v>
      </c>
      <c r="AI33" s="2252"/>
      <c r="AJ33" s="2275"/>
      <c r="AK33" s="2275" t="n">
        <v>410.1</v>
      </c>
      <c r="AL33" s="2275"/>
      <c r="AM33" s="2275"/>
      <c r="AN33" s="2275"/>
      <c r="AO33" s="2275"/>
      <c r="AP33" s="2275"/>
      <c r="AQ33" s="2275"/>
      <c r="AR33" s="2275"/>
      <c r="AS33" s="2252"/>
      <c r="AT33" s="2252"/>
      <c r="AU33" s="2345" t="n">
        <f aca="false">AF33-AK33</f>
        <v>445.833527542985</v>
      </c>
      <c r="AV33" s="2252"/>
      <c r="AW33" s="2275"/>
      <c r="AX33" s="2275"/>
      <c r="AY33" s="2275"/>
      <c r="AZ33" s="2275"/>
      <c r="BA33" s="2275"/>
      <c r="BB33" s="2275"/>
      <c r="BC33" s="2275" t="n">
        <v>228.93</v>
      </c>
      <c r="BD33" s="2275"/>
      <c r="BE33" s="2275"/>
      <c r="BF33" s="2275"/>
      <c r="BG33" s="2275"/>
      <c r="BH33" s="2275"/>
      <c r="BI33" s="2275"/>
      <c r="BJ33" s="2275"/>
      <c r="BK33" s="2275"/>
      <c r="BL33" s="2275"/>
      <c r="BM33" s="2275"/>
      <c r="BN33" s="2275"/>
      <c r="BO33" s="2275"/>
      <c r="BP33" s="2275"/>
      <c r="BQ33" s="2275"/>
      <c r="BR33" s="2275"/>
      <c r="BS33" s="2275"/>
      <c r="BT33" s="2275"/>
      <c r="BU33" s="2275"/>
      <c r="BV33" s="2252"/>
      <c r="BW33" s="2252"/>
      <c r="BX33" s="2252"/>
      <c r="BY33" s="2252"/>
      <c r="BZ33" s="2275"/>
      <c r="CA33" s="2275"/>
      <c r="CB33" s="2275"/>
      <c r="CC33" s="2275"/>
      <c r="CD33" s="2275"/>
      <c r="CE33" s="2275"/>
      <c r="CF33" s="2275"/>
      <c r="CG33" s="2252"/>
      <c r="CH33" s="2252" t="n">
        <v>8.71</v>
      </c>
      <c r="CI33" s="2252" t="n">
        <v>11.19</v>
      </c>
      <c r="CJ33" s="2252"/>
      <c r="CK33" s="2275" t="n">
        <v>76336.308</v>
      </c>
      <c r="CL33" s="2275" t="n">
        <v>59296.591</v>
      </c>
      <c r="CM33" s="2275" t="n">
        <v>27438.278</v>
      </c>
      <c r="CN33" s="2252"/>
      <c r="CO33" s="2252"/>
      <c r="CP33" s="2252"/>
      <c r="CQ33" s="2252"/>
      <c r="CR33" s="2252"/>
      <c r="CS33" s="2252"/>
      <c r="CT33" s="2252"/>
      <c r="CU33" s="2252"/>
      <c r="CV33" s="2252"/>
      <c r="CW33" s="2252"/>
      <c r="CX33" s="2252"/>
      <c r="CY33" s="2252"/>
      <c r="CZ33" s="2252"/>
      <c r="DA33" s="2252" t="n">
        <v>147.1</v>
      </c>
      <c r="DB33" s="2252" t="n">
        <v>79.3</v>
      </c>
      <c r="DC33" s="2252" t="n">
        <v>67.9</v>
      </c>
      <c r="DD33" s="2342" t="n">
        <f aca="false">DA33/$B$4</f>
        <v>75.2110357239637</v>
      </c>
      <c r="DE33" s="2342" t="n">
        <f aca="false">DB33/$B$4</f>
        <v>40.5454461788601</v>
      </c>
      <c r="DF33" s="2342" t="n">
        <f aca="false">DC33/$B$4</f>
        <v>34.7167187332232</v>
      </c>
      <c r="DG33" s="2252"/>
      <c r="DH33" s="2252"/>
      <c r="DI33" s="2252"/>
      <c r="DK33" s="2342" t="n">
        <v>2.05</v>
      </c>
      <c r="DL33" s="2252"/>
      <c r="DM33" s="2275" t="n">
        <f aca="false">DN33+DO33</f>
        <v>179.053527542985</v>
      </c>
      <c r="DN33" s="2275" t="n">
        <v>67.23</v>
      </c>
      <c r="DO33" s="2330" t="n">
        <f aca="false">AH33</f>
        <v>111.823527542985</v>
      </c>
      <c r="DP33" s="2252"/>
      <c r="DQ33" s="2252"/>
      <c r="DR33" s="2275" t="n">
        <f aca="false">DS33+DT33</f>
        <v>639.2</v>
      </c>
      <c r="DS33" s="2275" t="n">
        <v>154.8</v>
      </c>
      <c r="DT33" s="2275" t="n">
        <f aca="false">479.7-48.7-5.5+44+14.9</f>
        <v>484.4</v>
      </c>
      <c r="DU33" s="2275" t="n">
        <f aca="false">DW33+DX33</f>
        <v>699.3</v>
      </c>
      <c r="DV33" s="2275" t="n">
        <f aca="false">ED33-DZ33</f>
        <v>248.5</v>
      </c>
      <c r="DW33" s="2275" t="n">
        <f aca="false">EE33-EA33</f>
        <v>246.9</v>
      </c>
      <c r="DX33" s="2275" t="n">
        <f aca="false">EF33-EB33</f>
        <v>452.4</v>
      </c>
      <c r="DY33" s="2275" t="n">
        <f aca="false">EA33+EB33</f>
        <v>125.9</v>
      </c>
      <c r="DZ33" s="2275" t="n">
        <v>46.1</v>
      </c>
      <c r="EA33" s="2275" t="n">
        <v>115.9</v>
      </c>
      <c r="EB33" s="2275" t="n">
        <v>10</v>
      </c>
      <c r="EC33" s="2275" t="n">
        <f aca="false">EE33+EF33</f>
        <v>825.2</v>
      </c>
      <c r="ED33" s="2275" t="n">
        <v>294.6</v>
      </c>
      <c r="EE33" s="2275" t="n">
        <f aca="false">294.6-16.8-46.1+15.2+115.9</f>
        <v>362.8</v>
      </c>
      <c r="EF33" s="2275" t="n">
        <f aca="false">463.6-68.5-4+61.3+10</f>
        <v>462.4</v>
      </c>
      <c r="EG33" s="2252"/>
      <c r="EH33" s="2252"/>
      <c r="EI33" s="2252"/>
      <c r="EJ33" s="2252"/>
      <c r="EK33" s="2252"/>
      <c r="EL33" s="2252"/>
      <c r="EM33" s="2252"/>
      <c r="EN33" s="2252"/>
      <c r="EO33" s="2252"/>
      <c r="EP33" s="2252"/>
      <c r="EQ33" s="2252" t="n">
        <f aca="false">61.2-7.3-7.5+6.6+11.7</f>
        <v>64.7</v>
      </c>
      <c r="ER33" s="2252" t="n">
        <f aca="false">90.7-2.8-5+2.8+5</f>
        <v>90.7</v>
      </c>
      <c r="ES33" s="2252" t="n">
        <f aca="false">EQ33-ER33</f>
        <v>-26</v>
      </c>
      <c r="ET33" s="2275"/>
      <c r="EU33" s="2275"/>
      <c r="EV33" s="2275"/>
      <c r="EW33" s="2275" t="n">
        <v>46.581</v>
      </c>
      <c r="EX33" s="2275" t="n">
        <v>35.699</v>
      </c>
      <c r="EY33" s="2275" t="n">
        <v>10.881</v>
      </c>
      <c r="EZ33" s="2330"/>
      <c r="FA33" s="2252"/>
      <c r="FB33" s="2252"/>
      <c r="FC33" s="2252"/>
      <c r="FD33" s="2252"/>
      <c r="FE33" s="2252"/>
      <c r="FF33" s="2252"/>
      <c r="FG33" s="2252"/>
      <c r="FH33" s="2252"/>
      <c r="FI33" s="2252"/>
      <c r="FJ33" s="2252"/>
      <c r="FK33" s="2252"/>
      <c r="FL33" s="2252"/>
      <c r="FM33" s="2252"/>
    </row>
    <row r="34" customFormat="false" ht="12" hidden="false" customHeight="true" outlineLevel="0" collapsed="false">
      <c r="A34" s="2252" t="n">
        <v>1966</v>
      </c>
      <c r="B34" s="2275" t="n">
        <v>310.6</v>
      </c>
      <c r="C34" s="2275" t="n">
        <v>327.6</v>
      </c>
      <c r="D34" s="2275" t="n">
        <v>38.3</v>
      </c>
      <c r="E34" s="2275" t="n">
        <v>44.5</v>
      </c>
      <c r="F34" s="2275" t="n">
        <v>17.9</v>
      </c>
      <c r="G34" s="2275" t="n">
        <v>292.7</v>
      </c>
      <c r="H34" s="2275" t="n">
        <f aca="false">C34-F34</f>
        <v>309.7</v>
      </c>
      <c r="I34" s="2275" t="n">
        <v>113.4</v>
      </c>
      <c r="J34" s="2275" t="n">
        <v>18.9</v>
      </c>
      <c r="K34" s="2275" t="n">
        <v>29.6</v>
      </c>
      <c r="L34" s="2275" t="n">
        <f aca="false">K34+J34+I34</f>
        <v>161.9</v>
      </c>
      <c r="M34" s="2275" t="n">
        <f aca="false">F34+L34</f>
        <v>179.8</v>
      </c>
      <c r="N34" s="2275" t="n">
        <f aca="false">C34-M34</f>
        <v>147.8</v>
      </c>
      <c r="O34" s="2275" t="n">
        <f aca="false">B34/$B$4</f>
        <v>158.807258299545</v>
      </c>
      <c r="P34" s="2275" t="n">
        <f aca="false">C34/$B$4</f>
        <v>167.499220279881</v>
      </c>
      <c r="Q34" s="2275" t="n">
        <f aca="false">D34/$B$4</f>
        <v>19.5824790498152</v>
      </c>
      <c r="R34" s="2275" t="n">
        <f aca="false">E34/$B$4</f>
        <v>22.7524887132317</v>
      </c>
      <c r="S34" s="2277" t="n">
        <f aca="false">F34/$B$4</f>
        <v>9.15212467341231</v>
      </c>
      <c r="T34" s="2275" t="n">
        <f aca="false">G34/$B$4</f>
        <v>149.655133626133</v>
      </c>
      <c r="U34" s="2277" t="n">
        <f aca="false">L34/$B$4</f>
        <v>82.7781555656678</v>
      </c>
      <c r="V34" s="2277" t="n">
        <f aca="false">M34/$B$4</f>
        <v>91.9302802390801</v>
      </c>
      <c r="W34" s="2277" t="n">
        <f aca="false">N34/$B$4</f>
        <v>75.5689400408011</v>
      </c>
      <c r="X34" s="2275"/>
      <c r="Y34" s="2275"/>
      <c r="Z34" s="2275"/>
      <c r="AA34" s="2275"/>
      <c r="AB34" s="2275"/>
      <c r="AC34" s="2275"/>
      <c r="AD34" s="2277"/>
      <c r="AE34" s="2275"/>
      <c r="AF34" s="2347" t="n">
        <f aca="false">AG34+AH34</f>
        <v>938.577557792397</v>
      </c>
      <c r="AG34" s="2342" t="n">
        <v>818.58</v>
      </c>
      <c r="AH34" s="2342" t="n">
        <v>119.997557792397</v>
      </c>
      <c r="AI34" s="2252"/>
      <c r="AJ34" s="2275"/>
      <c r="AK34" s="2275" t="n">
        <v>451.46</v>
      </c>
      <c r="AL34" s="2275"/>
      <c r="AM34" s="2275"/>
      <c r="AN34" s="2275"/>
      <c r="AO34" s="2275"/>
      <c r="AP34" s="2275"/>
      <c r="AQ34" s="2275"/>
      <c r="AR34" s="2275"/>
      <c r="AS34" s="2252"/>
      <c r="AT34" s="2252"/>
      <c r="AU34" s="2345" t="n">
        <f aca="false">AF34-AK34</f>
        <v>487.117557792397</v>
      </c>
      <c r="AV34" s="2252"/>
      <c r="AW34" s="2275"/>
      <c r="AX34" s="2275"/>
      <c r="AY34" s="2275"/>
      <c r="AZ34" s="2275"/>
      <c r="BA34" s="2275"/>
      <c r="BB34" s="2275"/>
      <c r="BC34" s="2275" t="n">
        <v>248.92</v>
      </c>
      <c r="BD34" s="2275"/>
      <c r="BE34" s="2275"/>
      <c r="BF34" s="2275"/>
      <c r="BG34" s="2275"/>
      <c r="BH34" s="2275"/>
      <c r="BI34" s="2275"/>
      <c r="BJ34" s="2275"/>
      <c r="BK34" s="2275"/>
      <c r="BL34" s="2275"/>
      <c r="BM34" s="2275"/>
      <c r="BN34" s="2275"/>
      <c r="BO34" s="2275"/>
      <c r="BP34" s="2275"/>
      <c r="BQ34" s="2275"/>
      <c r="BR34" s="2275"/>
      <c r="BS34" s="2275"/>
      <c r="BT34" s="2275"/>
      <c r="BU34" s="2275"/>
      <c r="BV34" s="2252"/>
      <c r="BW34" s="2252"/>
      <c r="BX34" s="2252"/>
      <c r="BY34" s="2252"/>
      <c r="BZ34" s="2275"/>
      <c r="CA34" s="2275"/>
      <c r="CB34" s="2275"/>
      <c r="CC34" s="2275"/>
      <c r="CD34" s="2275"/>
      <c r="CE34" s="2275"/>
      <c r="CF34" s="2275"/>
      <c r="CG34" s="2252"/>
      <c r="CH34" s="2252" t="n">
        <v>9.68</v>
      </c>
      <c r="CI34" s="2252" t="n">
        <v>12.07</v>
      </c>
      <c r="CJ34" s="2252"/>
      <c r="CK34" s="2275" t="n">
        <v>76864.314</v>
      </c>
      <c r="CL34" s="2275" t="n">
        <v>59792.934</v>
      </c>
      <c r="CM34" s="2275" t="n">
        <v>27499.648</v>
      </c>
      <c r="CN34" s="2252"/>
      <c r="CO34" s="2252"/>
      <c r="CP34" s="2252"/>
      <c r="CQ34" s="2252"/>
      <c r="CR34" s="2252"/>
      <c r="CS34" s="2252"/>
      <c r="CT34" s="2252"/>
      <c r="CU34" s="2252"/>
      <c r="CV34" s="2252"/>
      <c r="CW34" s="2252"/>
      <c r="CX34" s="2252"/>
      <c r="CY34" s="2252"/>
      <c r="CZ34" s="2252"/>
      <c r="DA34" s="2252" t="n">
        <v>154.2</v>
      </c>
      <c r="DB34" s="2252" t="n">
        <v>86.9</v>
      </c>
      <c r="DC34" s="2252" t="n">
        <v>67.3</v>
      </c>
      <c r="DD34" s="2342" t="n">
        <f aca="false">DA34/$B$4</f>
        <v>78.8412080804569</v>
      </c>
      <c r="DE34" s="2342" t="n">
        <f aca="false">DB34/$B$4</f>
        <v>44.4312644759514</v>
      </c>
      <c r="DF34" s="2342" t="n">
        <f aca="false">DC34/$B$4</f>
        <v>34.4099436045055</v>
      </c>
      <c r="DG34" s="2252"/>
      <c r="DH34" s="2252"/>
      <c r="DI34" s="2252"/>
      <c r="DK34" s="2342" t="n">
        <v>1.724</v>
      </c>
      <c r="DL34" s="2252"/>
      <c r="DM34" s="2275" t="n">
        <f aca="false">DN34+DO34</f>
        <v>195.097557792397</v>
      </c>
      <c r="DN34" s="2275" t="n">
        <v>75.1</v>
      </c>
      <c r="DO34" s="2330" t="n">
        <f aca="false">AH34</f>
        <v>119.997557792397</v>
      </c>
      <c r="DP34" s="2252"/>
      <c r="DQ34" s="2252"/>
      <c r="DR34" s="2275"/>
      <c r="DS34" s="2275" t="n">
        <v>160.6</v>
      </c>
      <c r="DT34" s="2275"/>
      <c r="DU34" s="2275"/>
      <c r="DV34" s="2275" t="n">
        <f aca="false">ED34-DZ34</f>
        <v>269.6</v>
      </c>
      <c r="DW34" s="2275"/>
      <c r="DX34" s="2275"/>
      <c r="DY34" s="2275"/>
      <c r="DZ34" s="2275" t="n">
        <v>48.9</v>
      </c>
      <c r="EA34" s="2275"/>
      <c r="EB34" s="2275"/>
      <c r="EC34" s="2275"/>
      <c r="ED34" s="2275" t="n">
        <v>318.5</v>
      </c>
      <c r="EE34" s="2275"/>
      <c r="EF34" s="2275"/>
      <c r="EG34" s="2252"/>
      <c r="EH34" s="2252"/>
      <c r="EI34" s="2252"/>
      <c r="EJ34" s="2252"/>
      <c r="EK34" s="2252"/>
      <c r="EL34" s="2252"/>
      <c r="EM34" s="2252"/>
      <c r="EN34" s="2252"/>
      <c r="EO34" s="2252"/>
      <c r="EP34" s="2252"/>
      <c r="EQ34" s="2252"/>
      <c r="ER34" s="2252"/>
      <c r="ES34" s="2252"/>
      <c r="ET34" s="2275"/>
      <c r="EU34" s="2275"/>
      <c r="EV34" s="2275"/>
      <c r="EW34" s="2275" t="n">
        <v>50.644</v>
      </c>
      <c r="EX34" s="2275" t="n">
        <v>37.956</v>
      </c>
      <c r="EY34" s="2275" t="n">
        <v>12.688</v>
      </c>
      <c r="EZ34" s="2330"/>
      <c r="FA34" s="2252"/>
      <c r="FB34" s="2252"/>
      <c r="FC34" s="2252"/>
      <c r="FD34" s="2252"/>
      <c r="FE34" s="2252"/>
      <c r="FF34" s="2252"/>
      <c r="FG34" s="2252"/>
      <c r="FH34" s="2252"/>
      <c r="FI34" s="2252"/>
      <c r="FJ34" s="2252"/>
      <c r="FK34" s="2252"/>
      <c r="FL34" s="2252"/>
      <c r="FM34" s="2252"/>
    </row>
    <row r="35" customFormat="false" ht="12" hidden="false" customHeight="true" outlineLevel="0" collapsed="false">
      <c r="A35" s="2252" t="n">
        <v>1967</v>
      </c>
      <c r="B35" s="2275" t="n">
        <v>345</v>
      </c>
      <c r="C35" s="2275" t="n">
        <v>371.6</v>
      </c>
      <c r="D35" s="2275" t="n">
        <v>49</v>
      </c>
      <c r="E35" s="2275" t="n">
        <v>50</v>
      </c>
      <c r="F35" s="2275" t="n">
        <v>19.4</v>
      </c>
      <c r="G35" s="2275" t="n">
        <v>325.6</v>
      </c>
      <c r="H35" s="2275" t="n">
        <f aca="false">C35-F35</f>
        <v>352.2</v>
      </c>
      <c r="I35" s="2275" t="n">
        <v>122</v>
      </c>
      <c r="J35" s="2275" t="n">
        <v>21.1</v>
      </c>
      <c r="K35" s="2275" t="n">
        <v>32.9</v>
      </c>
      <c r="L35" s="2275" t="n">
        <f aca="false">K35+J35+I35</f>
        <v>176</v>
      </c>
      <c r="M35" s="2275" t="n">
        <f aca="false">F35+L35</f>
        <v>195.4</v>
      </c>
      <c r="N35" s="2275" t="n">
        <f aca="false">C35-M35</f>
        <v>176.2</v>
      </c>
      <c r="O35" s="2275" t="n">
        <f aca="false">B35/$B$4</f>
        <v>176.395699012695</v>
      </c>
      <c r="P35" s="2275" t="n">
        <f aca="false">C35/$B$4</f>
        <v>189.996063052515</v>
      </c>
      <c r="Q35" s="2275" t="n">
        <f aca="false">D35/$B$4</f>
        <v>25.0533021786147</v>
      </c>
      <c r="R35" s="2275" t="n">
        <f aca="false">E35/$B$4</f>
        <v>25.5645940598109</v>
      </c>
      <c r="S35" s="2277" t="n">
        <f aca="false">F35/$B$4</f>
        <v>9.91906249520664</v>
      </c>
      <c r="T35" s="2275" t="n">
        <f aca="false">G35/$B$4</f>
        <v>166.476636517489</v>
      </c>
      <c r="U35" s="2277" t="n">
        <f aca="false">L35/$B$4</f>
        <v>89.9873710905345</v>
      </c>
      <c r="V35" s="2277" t="n">
        <f aca="false">M35/$B$4</f>
        <v>99.9064335857411</v>
      </c>
      <c r="W35" s="2277" t="n">
        <f aca="false">N35/$B$4</f>
        <v>90.0896294667737</v>
      </c>
      <c r="X35" s="2275"/>
      <c r="Y35" s="2275"/>
      <c r="Z35" s="2275"/>
      <c r="AA35" s="2275"/>
      <c r="AB35" s="2275"/>
      <c r="AC35" s="2275"/>
      <c r="AD35" s="2277"/>
      <c r="AE35" s="2275"/>
      <c r="AF35" s="2347" t="n">
        <f aca="false">AG35+AH35</f>
        <v>1008.6281657394</v>
      </c>
      <c r="AG35" s="2342" t="n">
        <v>880.31</v>
      </c>
      <c r="AH35" s="2342" t="n">
        <v>128.3181657394</v>
      </c>
      <c r="AI35" s="2252"/>
      <c r="AJ35" s="2275"/>
      <c r="AK35" s="2275" t="n">
        <v>486.03</v>
      </c>
      <c r="AL35" s="2275"/>
      <c r="AM35" s="2275"/>
      <c r="AN35" s="2275"/>
      <c r="AO35" s="2275"/>
      <c r="AP35" s="2275"/>
      <c r="AQ35" s="2275"/>
      <c r="AR35" s="2275"/>
      <c r="AS35" s="2252"/>
      <c r="AT35" s="2252"/>
      <c r="AU35" s="2345" t="n">
        <f aca="false">AF35-AK35</f>
        <v>522.5981657394</v>
      </c>
      <c r="AV35" s="2252"/>
      <c r="AW35" s="2275"/>
      <c r="AX35" s="2275"/>
      <c r="AY35" s="2275"/>
      <c r="AZ35" s="2275"/>
      <c r="BA35" s="2275"/>
      <c r="BB35" s="2275"/>
      <c r="BC35" s="2275" t="n">
        <v>270.36</v>
      </c>
      <c r="BD35" s="2275"/>
      <c r="BE35" s="2275"/>
      <c r="BF35" s="2275"/>
      <c r="BG35" s="2275"/>
      <c r="BH35" s="2275"/>
      <c r="BI35" s="2275"/>
      <c r="BJ35" s="2275"/>
      <c r="BK35" s="2275"/>
      <c r="BL35" s="2275"/>
      <c r="BM35" s="2275"/>
      <c r="BN35" s="2275"/>
      <c r="BO35" s="2275"/>
      <c r="BP35" s="2275"/>
      <c r="BQ35" s="2275"/>
      <c r="BR35" s="2275"/>
      <c r="BS35" s="2275"/>
      <c r="BT35" s="2275"/>
      <c r="BU35" s="2275"/>
      <c r="BV35" s="2252"/>
      <c r="BW35" s="2252"/>
      <c r="BX35" s="2252"/>
      <c r="BY35" s="2252"/>
      <c r="BZ35" s="2275"/>
      <c r="CA35" s="2275"/>
      <c r="CB35" s="2275"/>
      <c r="CC35" s="2275"/>
      <c r="CD35" s="2275"/>
      <c r="CE35" s="2275"/>
      <c r="CF35" s="2275"/>
      <c r="CG35" s="2252"/>
      <c r="CH35" s="2252" t="n">
        <v>10.57</v>
      </c>
      <c r="CI35" s="2252" t="n">
        <v>13.15</v>
      </c>
      <c r="CJ35" s="2252"/>
      <c r="CK35" s="2275" t="n">
        <v>77038.358</v>
      </c>
      <c r="CL35" s="2275" t="n">
        <v>59948.474</v>
      </c>
      <c r="CM35" s="2275" t="n">
        <v>27402.49</v>
      </c>
      <c r="CN35" s="2252"/>
      <c r="CO35" s="2252"/>
      <c r="CP35" s="2252"/>
      <c r="CQ35" s="2252"/>
      <c r="CR35" s="2252"/>
      <c r="CS35" s="2252"/>
      <c r="CT35" s="2252"/>
      <c r="CU35" s="2252"/>
      <c r="CV35" s="2252"/>
      <c r="CW35" s="2252"/>
      <c r="CX35" s="2252"/>
      <c r="CY35" s="2252"/>
      <c r="CZ35" s="2252"/>
      <c r="DA35" s="2252" t="n">
        <v>163.3</v>
      </c>
      <c r="DB35" s="2252" t="n">
        <v>101.6</v>
      </c>
      <c r="DC35" s="2252" t="n">
        <v>61.7</v>
      </c>
      <c r="DD35" s="2342" t="n">
        <f aca="false">DA35/$B$4</f>
        <v>83.4939641993425</v>
      </c>
      <c r="DE35" s="2342" t="n">
        <f aca="false">DB35/$B$4</f>
        <v>51.9472551295358</v>
      </c>
      <c r="DF35" s="2342" t="n">
        <f aca="false">DC35/$B$4</f>
        <v>31.5467090698067</v>
      </c>
      <c r="DG35" s="2252"/>
      <c r="DH35" s="2252"/>
      <c r="DI35" s="2252"/>
      <c r="DK35" s="2342" t="n">
        <v>1.428</v>
      </c>
      <c r="DL35" s="2252"/>
      <c r="DM35" s="2275" t="n">
        <f aca="false">DN35+DO35</f>
        <v>210.2781657394</v>
      </c>
      <c r="DN35" s="2275" t="n">
        <v>81.96</v>
      </c>
      <c r="DO35" s="2330" t="n">
        <f aca="false">AH35</f>
        <v>128.3181657394</v>
      </c>
      <c r="DP35" s="2252"/>
      <c r="DQ35" s="2252"/>
      <c r="DR35" s="2275"/>
      <c r="DS35" s="2275" t="n">
        <v>192.2</v>
      </c>
      <c r="DT35" s="2275"/>
      <c r="DU35" s="2275"/>
      <c r="DV35" s="2275" t="n">
        <f aca="false">ED35-DZ35</f>
        <v>287.3</v>
      </c>
      <c r="DW35" s="2275"/>
      <c r="DX35" s="2275"/>
      <c r="DY35" s="2275"/>
      <c r="DZ35" s="2275" t="n">
        <v>50.9</v>
      </c>
      <c r="EA35" s="2275"/>
      <c r="EB35" s="2275"/>
      <c r="EC35" s="2275"/>
      <c r="ED35" s="2275" t="n">
        <v>338.2</v>
      </c>
      <c r="EE35" s="2275"/>
      <c r="EF35" s="2275"/>
      <c r="EG35" s="2252"/>
      <c r="EH35" s="2252"/>
      <c r="EI35" s="2252"/>
      <c r="EJ35" s="2252"/>
      <c r="EK35" s="2252"/>
      <c r="EL35" s="2252"/>
      <c r="EM35" s="2252"/>
      <c r="EN35" s="2252"/>
      <c r="EO35" s="2252"/>
      <c r="EP35" s="2252"/>
      <c r="EQ35" s="2252"/>
      <c r="ER35" s="2252"/>
      <c r="ES35" s="2252"/>
      <c r="ET35" s="2275"/>
      <c r="EU35" s="2275"/>
      <c r="EV35" s="2275"/>
      <c r="EW35" s="2275" t="n">
        <v>58.437</v>
      </c>
      <c r="EX35" s="2275" t="n">
        <v>40.309</v>
      </c>
      <c r="EY35" s="2275" t="n">
        <v>18.128</v>
      </c>
      <c r="EZ35" s="2330"/>
      <c r="FA35" s="2252"/>
      <c r="FB35" s="2252"/>
      <c r="FC35" s="2252"/>
      <c r="FD35" s="2252"/>
      <c r="FE35" s="2252"/>
      <c r="FF35" s="2252"/>
      <c r="FG35" s="2252"/>
      <c r="FH35" s="2252"/>
      <c r="FI35" s="2252"/>
      <c r="FJ35" s="2252"/>
      <c r="FK35" s="2252"/>
      <c r="FL35" s="2252"/>
      <c r="FM35" s="2252"/>
    </row>
    <row r="36" customFormat="false" ht="12" hidden="false" customHeight="true" outlineLevel="0" collapsed="false">
      <c r="A36" s="2252" t="n">
        <v>1968</v>
      </c>
      <c r="B36" s="2275" t="n">
        <v>387.6</v>
      </c>
      <c r="C36" s="2275" t="n">
        <v>420.3</v>
      </c>
      <c r="D36" s="2275" t="n">
        <v>57</v>
      </c>
      <c r="E36" s="2275" t="n">
        <v>56.1</v>
      </c>
      <c r="F36" s="2275" t="n">
        <v>22.9</v>
      </c>
      <c r="G36" s="2275" t="n">
        <v>364.7</v>
      </c>
      <c r="H36" s="2275" t="n">
        <f aca="false">C36-F36</f>
        <v>397.4</v>
      </c>
      <c r="I36" s="2275" t="n">
        <v>131.8</v>
      </c>
      <c r="J36" s="2275" t="n">
        <v>22.9</v>
      </c>
      <c r="K36" s="2275" t="n">
        <v>35.4</v>
      </c>
      <c r="L36" s="2275" t="n">
        <f aca="false">K36+J36+I36</f>
        <v>190.1</v>
      </c>
      <c r="M36" s="2275" t="n">
        <f aca="false">F36+L36</f>
        <v>213</v>
      </c>
      <c r="N36" s="2275" t="n">
        <f aca="false">C36-M36</f>
        <v>207.3</v>
      </c>
      <c r="O36" s="2275" t="n">
        <f aca="false">B36/$B$4</f>
        <v>198.176733151654</v>
      </c>
      <c r="P36" s="2275" t="n">
        <f aca="false">C36/$B$4</f>
        <v>214.895977666771</v>
      </c>
      <c r="Q36" s="2275" t="n">
        <f aca="false">D36/$B$4</f>
        <v>29.1436372281845</v>
      </c>
      <c r="R36" s="2275" t="n">
        <f aca="false">E36/$B$4</f>
        <v>28.6834745351079</v>
      </c>
      <c r="S36" s="2277" t="n">
        <f aca="false">F36/$B$4</f>
        <v>11.7085840793934</v>
      </c>
      <c r="T36" s="2275" t="n">
        <f aca="false">G36/$B$4</f>
        <v>186.468149072261</v>
      </c>
      <c r="U36" s="2277" t="n">
        <f aca="false">L36/$B$4</f>
        <v>97.1965866154012</v>
      </c>
      <c r="V36" s="2277" t="n">
        <f aca="false">M36/$B$4</f>
        <v>108.905170694795</v>
      </c>
      <c r="W36" s="2277" t="n">
        <f aca="false">N36/$B$4</f>
        <v>105.990806971976</v>
      </c>
      <c r="X36" s="2275"/>
      <c r="Y36" s="2275"/>
      <c r="Z36" s="2275"/>
      <c r="AA36" s="2275"/>
      <c r="AB36" s="2275"/>
      <c r="AC36" s="2275"/>
      <c r="AD36" s="2277"/>
      <c r="AE36" s="2275"/>
      <c r="AF36" s="2347" t="n">
        <f aca="false">AG36+AH36</f>
        <v>1039.81183121645</v>
      </c>
      <c r="AG36" s="2342" t="n">
        <v>905.46</v>
      </c>
      <c r="AH36" s="2342" t="n">
        <v>134.351831216452</v>
      </c>
      <c r="AI36" s="2252"/>
      <c r="AJ36" s="2275"/>
      <c r="AK36" s="2275" t="n">
        <v>506.6</v>
      </c>
      <c r="AL36" s="2275"/>
      <c r="AM36" s="2275"/>
      <c r="AN36" s="2275"/>
      <c r="AO36" s="2275"/>
      <c r="AP36" s="2275"/>
      <c r="AQ36" s="2275"/>
      <c r="AR36" s="2275"/>
      <c r="AS36" s="2252"/>
      <c r="AT36" s="2252"/>
      <c r="AU36" s="2345" t="n">
        <f aca="false">AF36-AK36</f>
        <v>533.211831216452</v>
      </c>
      <c r="AV36" s="2252"/>
      <c r="AW36" s="2275"/>
      <c r="AX36" s="2275"/>
      <c r="AY36" s="2275"/>
      <c r="AZ36" s="2275"/>
      <c r="BA36" s="2275"/>
      <c r="BB36" s="2275"/>
      <c r="BC36" s="2275" t="n">
        <v>277.1</v>
      </c>
      <c r="BD36" s="2275"/>
      <c r="BE36" s="2275"/>
      <c r="BF36" s="2275"/>
      <c r="BG36" s="2275"/>
      <c r="BH36" s="2275"/>
      <c r="BI36" s="2275"/>
      <c r="BJ36" s="2275"/>
      <c r="BK36" s="2275"/>
      <c r="BL36" s="2275"/>
      <c r="BM36" s="2275"/>
      <c r="BN36" s="2275"/>
      <c r="BO36" s="2275"/>
      <c r="BP36" s="2275"/>
      <c r="BQ36" s="2275"/>
      <c r="BR36" s="2275"/>
      <c r="BS36" s="2275"/>
      <c r="BT36" s="2275"/>
      <c r="BU36" s="2275"/>
      <c r="BV36" s="2252"/>
      <c r="BW36" s="2252"/>
      <c r="BX36" s="2252"/>
      <c r="BY36" s="2252"/>
      <c r="BZ36" s="2275"/>
      <c r="CA36" s="2275"/>
      <c r="CB36" s="2275"/>
      <c r="CC36" s="2275"/>
      <c r="CD36" s="2275"/>
      <c r="CE36" s="2275"/>
      <c r="CF36" s="2275"/>
      <c r="CG36" s="2252"/>
      <c r="CH36" s="2252" t="n">
        <v>11.51</v>
      </c>
      <c r="CI36" s="2252" t="n">
        <v>14.51</v>
      </c>
      <c r="CJ36" s="2252"/>
      <c r="CK36" s="2275" t="n">
        <v>77550.269</v>
      </c>
      <c r="CL36" s="2275" t="n">
        <v>60463.033</v>
      </c>
      <c r="CM36" s="2275" t="n">
        <v>27467.5</v>
      </c>
      <c r="CN36" s="2252"/>
      <c r="CO36" s="2252"/>
      <c r="CP36" s="2252"/>
      <c r="CQ36" s="2252"/>
      <c r="CR36" s="2252"/>
      <c r="CS36" s="2252"/>
      <c r="CT36" s="2252"/>
      <c r="CU36" s="2252"/>
      <c r="CV36" s="2252"/>
      <c r="CW36" s="2252"/>
      <c r="CX36" s="2252"/>
      <c r="CY36" s="2252"/>
      <c r="CZ36" s="2252"/>
      <c r="DA36" s="2252" t="n">
        <v>171.6</v>
      </c>
      <c r="DB36" s="2252" t="n">
        <v>113</v>
      </c>
      <c r="DC36" s="2252" t="n">
        <v>58.7</v>
      </c>
      <c r="DD36" s="2342" t="n">
        <f aca="false">DA36/$B$4</f>
        <v>87.7376868132711</v>
      </c>
      <c r="DE36" s="2342" t="n">
        <f aca="false">DB36/$B$4</f>
        <v>57.7759825751727</v>
      </c>
      <c r="DF36" s="2342" t="n">
        <f aca="false">DC36/$B$4</f>
        <v>30.012833426218</v>
      </c>
      <c r="DG36" s="2252"/>
      <c r="DH36" s="2252"/>
      <c r="DI36" s="2252"/>
      <c r="DK36" s="2342" t="n">
        <v>1.78</v>
      </c>
      <c r="DL36" s="2252"/>
      <c r="DM36" s="2275" t="n">
        <f aca="false">DN36+DO36</f>
        <v>220.031831216452</v>
      </c>
      <c r="DN36" s="2275" t="n">
        <v>85.68</v>
      </c>
      <c r="DO36" s="2330" t="n">
        <f aca="false">AH36</f>
        <v>134.351831216452</v>
      </c>
      <c r="DP36" s="2252"/>
      <c r="DQ36" s="2252"/>
      <c r="DR36" s="2275"/>
      <c r="DS36" s="2275" t="n">
        <v>215.5</v>
      </c>
      <c r="DT36" s="2275"/>
      <c r="DU36" s="2275"/>
      <c r="DV36" s="2275" t="n">
        <f aca="false">ED36-DZ36</f>
        <v>311.3</v>
      </c>
      <c r="DW36" s="2275"/>
      <c r="DX36" s="2275"/>
      <c r="DY36" s="2275"/>
      <c r="DZ36" s="2275" t="n">
        <v>53.7</v>
      </c>
      <c r="EA36" s="2275"/>
      <c r="EB36" s="2275"/>
      <c r="EC36" s="2275"/>
      <c r="ED36" s="2275" t="n">
        <v>365</v>
      </c>
      <c r="EE36" s="2275"/>
      <c r="EF36" s="2275"/>
      <c r="EG36" s="2252"/>
      <c r="EH36" s="2252"/>
      <c r="EI36" s="2252"/>
      <c r="EJ36" s="2252"/>
      <c r="EK36" s="2252"/>
      <c r="EL36" s="2252"/>
      <c r="EM36" s="2252"/>
      <c r="EN36" s="2252"/>
      <c r="EO36" s="2252"/>
      <c r="EP36" s="2252"/>
      <c r="EQ36" s="2252"/>
      <c r="ER36" s="2252"/>
      <c r="ES36" s="2252"/>
      <c r="ET36" s="2275"/>
      <c r="EU36" s="2275"/>
      <c r="EV36" s="2275"/>
      <c r="EW36" s="2275" t="n">
        <v>70.994</v>
      </c>
      <c r="EX36" s="2275" t="n">
        <v>47.064</v>
      </c>
      <c r="EY36" s="2275" t="n">
        <v>23.931</v>
      </c>
      <c r="EZ36" s="2330"/>
      <c r="FA36" s="2252"/>
      <c r="FB36" s="2252"/>
      <c r="FC36" s="2252"/>
      <c r="FD36" s="2252"/>
      <c r="FE36" s="2252"/>
      <c r="FF36" s="2252"/>
      <c r="FG36" s="2252"/>
      <c r="FH36" s="2252"/>
      <c r="FI36" s="2252"/>
      <c r="FJ36" s="2252"/>
      <c r="FK36" s="2252"/>
      <c r="FL36" s="2252"/>
      <c r="FM36" s="2252"/>
    </row>
    <row r="37" customFormat="false" ht="12" hidden="false" customHeight="true" outlineLevel="0" collapsed="false">
      <c r="A37" s="2252" t="n">
        <v>1969</v>
      </c>
      <c r="B37" s="2275" t="n">
        <v>438</v>
      </c>
      <c r="C37" s="2275" t="n">
        <v>475.9</v>
      </c>
      <c r="D37" s="2275" t="n">
        <v>67.2</v>
      </c>
      <c r="E37" s="2275" t="n">
        <v>62.6</v>
      </c>
      <c r="F37" s="2275" t="n">
        <v>28.1</v>
      </c>
      <c r="G37" s="2275" t="n">
        <v>409.9</v>
      </c>
      <c r="H37" s="2275" t="n">
        <f aca="false">C37-F37</f>
        <v>447.8</v>
      </c>
      <c r="I37" s="2275" t="n">
        <v>142.7</v>
      </c>
      <c r="J37" s="2275" t="n">
        <v>27</v>
      </c>
      <c r="K37" s="2275" t="n">
        <v>38</v>
      </c>
      <c r="L37" s="2342" t="n">
        <f aca="false">K37+J37+I37</f>
        <v>207.7</v>
      </c>
      <c r="M37" s="2275" t="n">
        <f aca="false">F37+L37</f>
        <v>235.8</v>
      </c>
      <c r="N37" s="2275" t="n">
        <f aca="false">C37-M37</f>
        <v>240.1</v>
      </c>
      <c r="O37" s="2275" t="n">
        <f aca="false">B37/$B$4</f>
        <v>223.945843963944</v>
      </c>
      <c r="P37" s="2275" t="n">
        <f aca="false">C37/$B$4</f>
        <v>243.32380626128</v>
      </c>
      <c r="Q37" s="2275" t="n">
        <f aca="false">D37/$B$4</f>
        <v>34.3588144163859</v>
      </c>
      <c r="R37" s="2275" t="n">
        <f aca="false">E37/$B$4</f>
        <v>32.0068717628833</v>
      </c>
      <c r="S37" s="2277" t="n">
        <f aca="false">F37/$B$4</f>
        <v>14.3673018616137</v>
      </c>
      <c r="T37" s="2275" t="n">
        <f aca="false">G37/$B$4</f>
        <v>209.57854210233</v>
      </c>
      <c r="U37" s="2277" t="n">
        <f aca="false">L37/$B$4</f>
        <v>106.195323724455</v>
      </c>
      <c r="V37" s="2277" t="n">
        <f aca="false">M37/$B$4</f>
        <v>120.562625586068</v>
      </c>
      <c r="W37" s="2277" t="n">
        <f aca="false">N37/$B$4</f>
        <v>122.761180675212</v>
      </c>
      <c r="X37" s="2275"/>
      <c r="Y37" s="2275"/>
      <c r="Z37" s="2275"/>
      <c r="AA37" s="2275"/>
      <c r="AB37" s="2275"/>
      <c r="AC37" s="2275"/>
      <c r="AD37" s="2277"/>
      <c r="AE37" s="2275"/>
      <c r="AF37" s="2347" t="n">
        <f aca="false">AG37+AH37</f>
        <v>1122.85006206164</v>
      </c>
      <c r="AG37" s="2342" t="n">
        <v>973.44</v>
      </c>
      <c r="AH37" s="2342" t="n">
        <v>149.410062061643</v>
      </c>
      <c r="AI37" s="2252"/>
      <c r="AJ37" s="2275"/>
      <c r="AK37" s="2275" t="n">
        <v>551.01</v>
      </c>
      <c r="AL37" s="2275"/>
      <c r="AM37" s="2275"/>
      <c r="AN37" s="2275"/>
      <c r="AO37" s="2275"/>
      <c r="AP37" s="2275"/>
      <c r="AQ37" s="2275"/>
      <c r="AR37" s="2275"/>
      <c r="AS37" s="2252"/>
      <c r="AT37" s="2252"/>
      <c r="AU37" s="2345" t="n">
        <f aca="false">AF37-AK37</f>
        <v>571.840062061643</v>
      </c>
      <c r="AV37" s="2252"/>
      <c r="AW37" s="2275"/>
      <c r="AX37" s="2275"/>
      <c r="AY37" s="2275"/>
      <c r="AZ37" s="2275"/>
      <c r="BA37" s="2275"/>
      <c r="BB37" s="2275"/>
      <c r="BC37" s="2275" t="n">
        <v>285.03</v>
      </c>
      <c r="BD37" s="2275"/>
      <c r="BE37" s="2275"/>
      <c r="BF37" s="2275"/>
      <c r="BG37" s="2275"/>
      <c r="BH37" s="2275"/>
      <c r="BI37" s="2275"/>
      <c r="BJ37" s="2275"/>
      <c r="BK37" s="2275"/>
      <c r="BL37" s="2275"/>
      <c r="BM37" s="2275"/>
      <c r="BN37" s="2275"/>
      <c r="BO37" s="2275"/>
      <c r="BP37" s="2275"/>
      <c r="BQ37" s="2275"/>
      <c r="BR37" s="2275"/>
      <c r="BS37" s="2275"/>
      <c r="BT37" s="2275"/>
      <c r="BU37" s="2275"/>
      <c r="BV37" s="2252"/>
      <c r="BW37" s="2252"/>
      <c r="BX37" s="2252"/>
      <c r="BY37" s="2252"/>
      <c r="BZ37" s="2275"/>
      <c r="CA37" s="2275"/>
      <c r="CB37" s="2275"/>
      <c r="CC37" s="2275"/>
      <c r="CD37" s="2275"/>
      <c r="CE37" s="2275"/>
      <c r="CF37" s="2275"/>
      <c r="CG37" s="2252"/>
      <c r="CH37" s="2252" t="n">
        <v>11.95</v>
      </c>
      <c r="CI37" s="2252" t="n">
        <v>15.27</v>
      </c>
      <c r="CJ37" s="2252"/>
      <c r="CK37" s="2275" t="n">
        <v>78269.095</v>
      </c>
      <c r="CL37" s="2275" t="n">
        <v>61194.591</v>
      </c>
      <c r="CM37" s="2275" t="n">
        <v>27827.93</v>
      </c>
      <c r="CN37" s="2252"/>
      <c r="CO37" s="2252"/>
      <c r="CP37" s="2252"/>
      <c r="CQ37" s="2252"/>
      <c r="CR37" s="2252"/>
      <c r="CS37" s="2252"/>
      <c r="CT37" s="2252"/>
      <c r="CU37" s="2252"/>
      <c r="CV37" s="2252"/>
      <c r="CW37" s="2252"/>
      <c r="CX37" s="2252"/>
      <c r="CY37" s="2252"/>
      <c r="CZ37" s="2252"/>
      <c r="DA37" s="2252" t="n">
        <v>179.7</v>
      </c>
      <c r="DB37" s="2252" t="n">
        <v>114.7</v>
      </c>
      <c r="DC37" s="2252" t="n">
        <v>65</v>
      </c>
      <c r="DD37" s="2342" t="n">
        <f aca="false">DA37/$B$4</f>
        <v>91.8791510509605</v>
      </c>
      <c r="DE37" s="2342" t="n">
        <f aca="false">DB37/$B$4</f>
        <v>58.6451787732063</v>
      </c>
      <c r="DF37" s="2342" t="n">
        <f aca="false">DC37/$B$4</f>
        <v>33.2339722777542</v>
      </c>
      <c r="DG37" s="2252"/>
      <c r="DH37" s="2252"/>
      <c r="DI37" s="2252"/>
      <c r="DK37" s="2342" t="n">
        <v>1.565</v>
      </c>
      <c r="DL37" s="2252"/>
      <c r="DM37" s="2275" t="n">
        <f aca="false">DN37+DO37</f>
        <v>242.410062061643</v>
      </c>
      <c r="DN37" s="2275" t="n">
        <v>93</v>
      </c>
      <c r="DO37" s="2330" t="n">
        <f aca="false">AH37</f>
        <v>149.410062061643</v>
      </c>
      <c r="DP37" s="2252"/>
      <c r="DQ37" s="2252"/>
      <c r="DR37" s="2275"/>
      <c r="DS37" s="2275" t="n">
        <v>244.6</v>
      </c>
      <c r="DT37" s="2275"/>
      <c r="DU37" s="2275"/>
      <c r="DV37" s="2275" t="n">
        <f aca="false">ED37-DZ37</f>
        <v>356.2</v>
      </c>
      <c r="DW37" s="2275"/>
      <c r="DX37" s="2275"/>
      <c r="DY37" s="2275"/>
      <c r="DZ37" s="2275" t="n">
        <v>57.1</v>
      </c>
      <c r="EA37" s="2275"/>
      <c r="EB37" s="2275"/>
      <c r="EC37" s="2275"/>
      <c r="ED37" s="2275" t="n">
        <v>413.3</v>
      </c>
      <c r="EE37" s="2275"/>
      <c r="EF37" s="2275"/>
      <c r="EG37" s="2252"/>
      <c r="EH37" s="2252"/>
      <c r="EI37" s="2252"/>
      <c r="EJ37" s="2252"/>
      <c r="EK37" s="2252"/>
      <c r="EL37" s="2252"/>
      <c r="EM37" s="2252"/>
      <c r="EN37" s="2252"/>
      <c r="EO37" s="2252"/>
      <c r="EP37" s="2252"/>
      <c r="EQ37" s="2252"/>
      <c r="ER37" s="2252"/>
      <c r="ES37" s="2252"/>
      <c r="ET37" s="2275"/>
      <c r="EU37" s="2275"/>
      <c r="EV37" s="2275"/>
      <c r="EW37" s="2275" t="n">
        <v>77.286</v>
      </c>
      <c r="EX37" s="2275" t="n">
        <v>52.528</v>
      </c>
      <c r="EY37" s="2275" t="n">
        <v>24.759</v>
      </c>
      <c r="EZ37" s="2330"/>
      <c r="FA37" s="2252"/>
      <c r="FB37" s="2252"/>
      <c r="FC37" s="2252"/>
      <c r="FD37" s="2252"/>
      <c r="FE37" s="2252"/>
      <c r="FF37" s="2252"/>
      <c r="FG37" s="2252"/>
      <c r="FH37" s="2252"/>
      <c r="FI37" s="2252"/>
      <c r="FJ37" s="2252"/>
      <c r="FK37" s="2252"/>
      <c r="FL37" s="2252"/>
      <c r="FM37" s="2252"/>
    </row>
    <row r="38" customFormat="false" ht="12" hidden="false" customHeight="true" outlineLevel="0" collapsed="false">
      <c r="A38" s="2252" t="n">
        <v>1970</v>
      </c>
      <c r="B38" s="2275" t="n">
        <v>497.5</v>
      </c>
      <c r="C38" s="2275" t="n">
        <v>524.3</v>
      </c>
      <c r="D38" s="2275" t="n">
        <v>59.3</v>
      </c>
      <c r="E38" s="2275" t="n">
        <v>69.7</v>
      </c>
      <c r="F38" s="2275" t="n">
        <v>32.5</v>
      </c>
      <c r="G38" s="2275" t="n">
        <v>465</v>
      </c>
      <c r="H38" s="2275" t="n">
        <f aca="false">C38-F38</f>
        <v>491.8</v>
      </c>
      <c r="I38" s="2275" t="n">
        <v>153.6</v>
      </c>
      <c r="J38" s="2275" t="n">
        <v>33.1</v>
      </c>
      <c r="K38" s="2275" t="n">
        <v>41</v>
      </c>
      <c r="L38" s="2275" t="n">
        <f aca="false">K38+J38+I38</f>
        <v>227.7</v>
      </c>
      <c r="M38" s="2275" t="n">
        <f aca="false">F38+L38</f>
        <v>260.2</v>
      </c>
      <c r="N38" s="2275" t="n">
        <f aca="false">C38-M38</f>
        <v>264.1</v>
      </c>
      <c r="O38" s="2275" t="n">
        <f aca="false">B38/$B$4</f>
        <v>254.367710895119</v>
      </c>
      <c r="P38" s="2275" t="n">
        <f aca="false">C38/$B$4</f>
        <v>268.070333311177</v>
      </c>
      <c r="Q38" s="2275" t="n">
        <f aca="false">D38/$B$4</f>
        <v>30.3196085549358</v>
      </c>
      <c r="R38" s="2275" t="n">
        <f aca="false">E38/$B$4</f>
        <v>35.6370441193764</v>
      </c>
      <c r="S38" s="2277" t="n">
        <f aca="false">F38/$B$4</f>
        <v>16.6169861388771</v>
      </c>
      <c r="T38" s="2275" t="n">
        <f aca="false">G38/$B$4</f>
        <v>237.750724756242</v>
      </c>
      <c r="U38" s="2277" t="n">
        <f aca="false">L38/$B$4</f>
        <v>116.421161348379</v>
      </c>
      <c r="V38" s="2277" t="n">
        <f aca="false">M38/$B$4</f>
        <v>133.038147487256</v>
      </c>
      <c r="W38" s="2277" t="n">
        <f aca="false">N38/$B$4</f>
        <v>135.032185823921</v>
      </c>
      <c r="X38" s="2275"/>
      <c r="Y38" s="2275"/>
      <c r="Z38" s="2275"/>
      <c r="AA38" s="2275"/>
      <c r="AB38" s="2275"/>
      <c r="AC38" s="2275"/>
      <c r="AD38" s="2277"/>
      <c r="AE38" s="2275"/>
      <c r="AF38" s="2347" t="n">
        <f aca="false">AG38+AH38</f>
        <v>1336.07998740903</v>
      </c>
      <c r="AG38" s="2342" t="n">
        <v>1157.39</v>
      </c>
      <c r="AH38" s="2342" t="n">
        <v>178.68998740903</v>
      </c>
      <c r="AI38" s="2252"/>
      <c r="AJ38" s="2275" t="n">
        <v>365.35</v>
      </c>
      <c r="AK38" s="2275" t="n">
        <v>652.61</v>
      </c>
      <c r="AL38" s="2275"/>
      <c r="AM38" s="2275"/>
      <c r="AN38" s="2275"/>
      <c r="AO38" s="2275"/>
      <c r="AP38" s="2275"/>
      <c r="AQ38" s="2275"/>
      <c r="AR38" s="2275"/>
      <c r="AS38" s="2252"/>
      <c r="AT38" s="2275" t="n">
        <v>340.92</v>
      </c>
      <c r="AU38" s="2345" t="n">
        <f aca="false">AF38-AK38</f>
        <v>683.46998740903</v>
      </c>
      <c r="AV38" s="2252"/>
      <c r="AW38" s="2275"/>
      <c r="AX38" s="2275"/>
      <c r="AY38" s="2275"/>
      <c r="AZ38" s="2275"/>
      <c r="BA38" s="2275"/>
      <c r="BB38" s="2275" t="n">
        <v>175.16</v>
      </c>
      <c r="BC38" s="2275" t="n">
        <v>315.52</v>
      </c>
      <c r="BD38" s="2275"/>
      <c r="BE38" s="2275"/>
      <c r="BF38" s="2275"/>
      <c r="BG38" s="2275"/>
      <c r="BH38" s="2275"/>
      <c r="BI38" s="2275"/>
      <c r="BJ38" s="2275"/>
      <c r="BK38" s="2275" t="n">
        <v>5.76</v>
      </c>
      <c r="BL38" s="2275"/>
      <c r="BM38" s="2275"/>
      <c r="BN38" s="2275"/>
      <c r="BO38" s="2275"/>
      <c r="BP38" s="2275"/>
      <c r="BQ38" s="2275"/>
      <c r="BR38" s="2275"/>
      <c r="BS38" s="2275" t="n">
        <v>4.95</v>
      </c>
      <c r="BT38" s="2275"/>
      <c r="BU38" s="2275"/>
      <c r="BV38" s="2252"/>
      <c r="BW38" s="2252"/>
      <c r="BX38" s="2252"/>
      <c r="BY38" s="2252"/>
      <c r="BZ38" s="2275"/>
      <c r="CA38" s="2275"/>
      <c r="CB38" s="2275"/>
      <c r="CC38" s="2275"/>
      <c r="CD38" s="2275"/>
      <c r="CE38" s="2275"/>
      <c r="CF38" s="2275"/>
      <c r="CG38" s="2252"/>
      <c r="CH38" s="2252" t="n">
        <v>12.93</v>
      </c>
      <c r="CI38" s="2252" t="n">
        <v>15.72</v>
      </c>
      <c r="CJ38" s="2252"/>
      <c r="CK38" s="2275" t="n">
        <v>78069.482</v>
      </c>
      <c r="CL38" s="2275" t="n">
        <v>61001.164</v>
      </c>
      <c r="CM38" s="2275" t="n">
        <v>27767.969</v>
      </c>
      <c r="CN38" s="2252"/>
      <c r="CO38" s="2252"/>
      <c r="CP38" s="2252"/>
      <c r="CQ38" s="2252"/>
      <c r="CR38" s="2252"/>
      <c r="CS38" s="2252"/>
      <c r="CT38" s="2252"/>
      <c r="CU38" s="2252"/>
      <c r="CV38" s="2252"/>
      <c r="CW38" s="2252"/>
      <c r="CX38" s="2252"/>
      <c r="CY38" s="2252"/>
      <c r="CZ38" s="2252"/>
      <c r="DA38" s="2252" t="n">
        <v>189.3</v>
      </c>
      <c r="DB38" s="2252" t="n">
        <v>123.3</v>
      </c>
      <c r="DC38" s="2252" t="n">
        <v>66</v>
      </c>
      <c r="DD38" s="2342" t="n">
        <f aca="false">DA38/$B$4</f>
        <v>96.7875531104442</v>
      </c>
      <c r="DE38" s="2342" t="n">
        <f aca="false">DB38/$B$4</f>
        <v>63.0422889514937</v>
      </c>
      <c r="DF38" s="2342" t="n">
        <f aca="false">DC38/$B$4</f>
        <v>33.7452641589504</v>
      </c>
      <c r="DG38" s="2252"/>
      <c r="DH38" s="2252"/>
      <c r="DI38" s="2252"/>
      <c r="DK38" s="2342" t="n">
        <v>1.126</v>
      </c>
      <c r="DL38" s="2252"/>
      <c r="DM38" s="2275" t="n">
        <f aca="false">DN38+DO38</f>
        <v>289.52998740903</v>
      </c>
      <c r="DN38" s="2275" t="n">
        <v>110.84</v>
      </c>
      <c r="DO38" s="2330" t="n">
        <f aca="false">AH38</f>
        <v>178.68998740903</v>
      </c>
      <c r="DP38" s="2252"/>
      <c r="DQ38" s="2252"/>
      <c r="DR38" s="2275" t="n">
        <f aca="false">DS38+DT38</f>
        <v>1101.2</v>
      </c>
      <c r="DS38" s="2275" t="n">
        <v>253</v>
      </c>
      <c r="DT38" s="2275" t="n">
        <f aca="false">843.9-98.1-9.6+86.7+25.3</f>
        <v>848.2</v>
      </c>
      <c r="DU38" s="2275" t="n">
        <f aca="false">DW38+DX38</f>
        <v>1214.5</v>
      </c>
      <c r="DV38" s="2275" t="n">
        <f aca="false">ED38-DZ38</f>
        <v>409.8</v>
      </c>
      <c r="DW38" s="2275" t="n">
        <f aca="false">EE38-EA38</f>
        <v>408.3</v>
      </c>
      <c r="DX38" s="2275" t="n">
        <f aca="false">EF38-EB38</f>
        <v>806.2</v>
      </c>
      <c r="DY38" s="2275" t="n">
        <f aca="false">EA38+EB38</f>
        <v>170.5</v>
      </c>
      <c r="DZ38" s="2275" t="n">
        <v>59.3</v>
      </c>
      <c r="EA38" s="2275" t="n">
        <v>155</v>
      </c>
      <c r="EB38" s="2275" t="n">
        <v>15.5</v>
      </c>
      <c r="EC38" s="2275" t="n">
        <f aca="false">EE38+EF38</f>
        <v>1385</v>
      </c>
      <c r="ED38" s="2275" t="n">
        <v>469.1</v>
      </c>
      <c r="EE38" s="2275" t="n">
        <f aca="false">469.1-20.4-59.3+18.9+155</f>
        <v>563.3</v>
      </c>
      <c r="EF38" s="2275" t="n">
        <f aca="false">828-116.4-5.9+100.5+15.5</f>
        <v>821.7</v>
      </c>
      <c r="EG38" s="2252"/>
      <c r="EH38" s="2252"/>
      <c r="EI38" s="2252"/>
      <c r="EJ38" s="2252"/>
      <c r="EK38" s="2252"/>
      <c r="EL38" s="2252"/>
      <c r="EM38" s="2252"/>
      <c r="EN38" s="2252"/>
      <c r="EO38" s="2252"/>
      <c r="EP38" s="2252"/>
      <c r="EQ38" s="2252" t="n">
        <f aca="false">122.2-5.6-10.3+5+16.1</f>
        <v>127.4</v>
      </c>
      <c r="ER38" s="2252" t="n">
        <f aca="false">187.5-13.5-16.7+13.5+16.7</f>
        <v>187.5</v>
      </c>
      <c r="ES38" s="2252" t="n">
        <f aca="false">EQ38-ER38</f>
        <v>-60.1</v>
      </c>
      <c r="ET38" s="2275"/>
      <c r="EU38" s="2275"/>
      <c r="EV38" s="2275"/>
      <c r="EW38" s="2275" t="n">
        <v>94.529</v>
      </c>
      <c r="EX38" s="2275" t="n">
        <v>68.183</v>
      </c>
      <c r="EY38" s="2275" t="n">
        <v>26.346</v>
      </c>
      <c r="EZ38" s="2330"/>
      <c r="FA38" s="2252"/>
      <c r="FB38" s="2252"/>
      <c r="FC38" s="2252"/>
      <c r="FD38" s="2252"/>
      <c r="FE38" s="2252"/>
      <c r="FF38" s="2252"/>
      <c r="FG38" s="2252"/>
      <c r="FH38" s="2252"/>
      <c r="FI38" s="2252"/>
      <c r="FJ38" s="2252"/>
      <c r="FK38" s="2252"/>
      <c r="FL38" s="2252"/>
      <c r="FM38" s="2252"/>
    </row>
    <row r="39" customFormat="false" ht="12" hidden="false" customHeight="true" outlineLevel="0" collapsed="false">
      <c r="A39" s="2252" t="n">
        <v>1971</v>
      </c>
      <c r="B39" s="2275" t="n">
        <v>565.2</v>
      </c>
      <c r="C39" s="2275" t="n">
        <v>594.7</v>
      </c>
      <c r="D39" s="2275" t="n">
        <v>62.9</v>
      </c>
      <c r="E39" s="2275" t="n">
        <v>78.6</v>
      </c>
      <c r="F39" s="2275" t="n">
        <v>39.7</v>
      </c>
      <c r="G39" s="2275" t="n">
        <v>525.5</v>
      </c>
      <c r="H39" s="2275" t="n">
        <f aca="false">C39-F39</f>
        <v>555</v>
      </c>
      <c r="I39" s="2275" t="n">
        <v>169.3</v>
      </c>
      <c r="J39" s="2275" t="n">
        <v>37.3</v>
      </c>
      <c r="K39" s="2275" t="n">
        <v>44.5</v>
      </c>
      <c r="L39" s="2275" t="n">
        <f aca="false">K39+J39+I39</f>
        <v>251.1</v>
      </c>
      <c r="M39" s="2275" t="n">
        <f aca="false">F39+L39</f>
        <v>290.8</v>
      </c>
      <c r="N39" s="2275" t="n">
        <f aca="false">C39-M39</f>
        <v>303.9</v>
      </c>
      <c r="O39" s="2275" t="n">
        <f aca="false">B39/$B$4</f>
        <v>288.982171252103</v>
      </c>
      <c r="P39" s="2275" t="n">
        <f aca="false">C39/$B$4</f>
        <v>304.065281747391</v>
      </c>
      <c r="Q39" s="2275" t="n">
        <f aca="false">D39/$B$4</f>
        <v>32.1602593272421</v>
      </c>
      <c r="R39" s="2275" t="n">
        <f aca="false">E39/$B$4</f>
        <v>40.1875418620228</v>
      </c>
      <c r="S39" s="2277" t="n">
        <f aca="false">F39/$B$4</f>
        <v>20.2982876834899</v>
      </c>
      <c r="T39" s="2275" t="n">
        <f aca="false">G39/$B$4</f>
        <v>268.683883568613</v>
      </c>
      <c r="U39" s="2277" t="n">
        <f aca="false">L39/$B$4</f>
        <v>128.38539136837</v>
      </c>
      <c r="V39" s="2277" t="n">
        <f aca="false">M39/$B$4</f>
        <v>148.68367905186</v>
      </c>
      <c r="W39" s="2277" t="n">
        <f aca="false">N39/$B$4</f>
        <v>155.381602695531</v>
      </c>
      <c r="X39" s="2275"/>
      <c r="Y39" s="2275"/>
      <c r="Z39" s="2275"/>
      <c r="AA39" s="2275"/>
      <c r="AB39" s="2275"/>
      <c r="AC39" s="2275"/>
      <c r="AD39" s="2277"/>
      <c r="AE39" s="2275"/>
      <c r="AF39" s="2347" t="n">
        <f aca="false">AG39+AH39</f>
        <v>1579.47286714108</v>
      </c>
      <c r="AG39" s="2342" t="n">
        <v>1367</v>
      </c>
      <c r="AH39" s="2342" t="n">
        <v>212.47286714108</v>
      </c>
      <c r="AI39" s="2252"/>
      <c r="AJ39" s="2275" t="n">
        <v>417.31</v>
      </c>
      <c r="AK39" s="2275" t="n">
        <v>771.66</v>
      </c>
      <c r="AL39" s="2275"/>
      <c r="AM39" s="2275"/>
      <c r="AN39" s="2275"/>
      <c r="AO39" s="2275"/>
      <c r="AP39" s="2275"/>
      <c r="AQ39" s="2275"/>
      <c r="AR39" s="2275"/>
      <c r="AS39" s="2252"/>
      <c r="AT39" s="2275" t="n">
        <v>394.6</v>
      </c>
      <c r="AU39" s="2345" t="n">
        <f aca="false">AF39-AK39</f>
        <v>807.81286714108</v>
      </c>
      <c r="AV39" s="2252"/>
      <c r="AW39" s="2275"/>
      <c r="AX39" s="2275"/>
      <c r="AY39" s="2275"/>
      <c r="AZ39" s="2275"/>
      <c r="BA39" s="2275"/>
      <c r="BB39" s="2275" t="n">
        <v>200.22</v>
      </c>
      <c r="BC39" s="2275" t="n">
        <v>362.55</v>
      </c>
      <c r="BD39" s="2275"/>
      <c r="BE39" s="2275"/>
      <c r="BF39" s="2275"/>
      <c r="BG39" s="2275"/>
      <c r="BH39" s="2275"/>
      <c r="BI39" s="2275"/>
      <c r="BJ39" s="2275"/>
      <c r="BK39" s="2275" t="n">
        <v>5.48</v>
      </c>
      <c r="BL39" s="2275"/>
      <c r="BM39" s="2275"/>
      <c r="BN39" s="2275"/>
      <c r="BO39" s="2275"/>
      <c r="BP39" s="2275"/>
      <c r="BQ39" s="2275"/>
      <c r="BR39" s="2275"/>
      <c r="BS39" s="2275" t="n">
        <v>5.32</v>
      </c>
      <c r="BT39" s="2275"/>
      <c r="BU39" s="2275"/>
      <c r="BV39" s="2252"/>
      <c r="BW39" s="2252"/>
      <c r="BX39" s="2252"/>
      <c r="BY39" s="2252"/>
      <c r="BZ39" s="2275"/>
      <c r="CA39" s="2275"/>
      <c r="CB39" s="2275"/>
      <c r="CC39" s="2275"/>
      <c r="CD39" s="2275"/>
      <c r="CE39" s="2275"/>
      <c r="CF39" s="2275"/>
      <c r="CG39" s="2252"/>
      <c r="CH39" s="2252" t="n">
        <v>13.82</v>
      </c>
      <c r="CI39" s="2252" t="n">
        <v>17.16</v>
      </c>
      <c r="CJ39" s="2252"/>
      <c r="CK39" s="2275" t="n">
        <v>78556.202</v>
      </c>
      <c r="CL39" s="2275" t="n">
        <v>61502.503</v>
      </c>
      <c r="CM39" s="2275" t="n">
        <v>28024.378</v>
      </c>
      <c r="CN39" s="2252"/>
      <c r="CO39" s="2252"/>
      <c r="CP39" s="2252"/>
      <c r="CQ39" s="2252"/>
      <c r="CR39" s="2252"/>
      <c r="CS39" s="2252"/>
      <c r="CT39" s="2252"/>
      <c r="CU39" s="2252"/>
      <c r="CV39" s="2252"/>
      <c r="CW39" s="2252"/>
      <c r="CX39" s="2252"/>
      <c r="CY39" s="2252"/>
      <c r="CZ39" s="2252"/>
      <c r="DA39" s="2252" t="n">
        <v>201.7</v>
      </c>
      <c r="DB39" s="2252" t="n">
        <v>138</v>
      </c>
      <c r="DC39" s="2252" t="n">
        <v>63.7</v>
      </c>
      <c r="DD39" s="2342" t="n">
        <f aca="false">DA39/$B$4</f>
        <v>103.127572437277</v>
      </c>
      <c r="DE39" s="2342" t="n">
        <f aca="false">DB39/$B$4</f>
        <v>70.5582796050782</v>
      </c>
      <c r="DF39" s="2342" t="n">
        <f aca="false">DC39/$B$4</f>
        <v>32.5692928321991</v>
      </c>
      <c r="DG39" s="2252"/>
      <c r="DH39" s="2252"/>
      <c r="DI39" s="2252"/>
      <c r="DK39" s="2342" t="n">
        <v>1.472</v>
      </c>
      <c r="DL39" s="2252"/>
      <c r="DM39" s="2275" t="n">
        <f aca="false">DN39+DO39</f>
        <v>344.16286714108</v>
      </c>
      <c r="DN39" s="2275" t="n">
        <v>131.69</v>
      </c>
      <c r="DO39" s="2330" t="n">
        <f aca="false">AH39</f>
        <v>212.47286714108</v>
      </c>
      <c r="DP39" s="2252"/>
      <c r="DQ39" s="2252"/>
      <c r="DR39" s="2275"/>
      <c r="DS39" s="2275" t="n">
        <v>291.2</v>
      </c>
      <c r="DT39" s="2275"/>
      <c r="DU39" s="2275"/>
      <c r="DV39" s="2275" t="n">
        <f aca="false">ED39-DZ39</f>
        <v>467.1</v>
      </c>
      <c r="DW39" s="2275"/>
      <c r="DX39" s="2275"/>
      <c r="DY39" s="2275"/>
      <c r="DZ39" s="2275" t="n">
        <v>64.5</v>
      </c>
      <c r="EA39" s="2275"/>
      <c r="EB39" s="2275"/>
      <c r="EC39" s="2275"/>
      <c r="ED39" s="2275" t="n">
        <v>531.6</v>
      </c>
      <c r="EE39" s="2275"/>
      <c r="EF39" s="2275"/>
      <c r="EG39" s="2252"/>
      <c r="EH39" s="2252"/>
      <c r="EI39" s="2252"/>
      <c r="EJ39" s="2252"/>
      <c r="EK39" s="2252"/>
      <c r="EL39" s="2252"/>
      <c r="EM39" s="2252"/>
      <c r="EN39" s="2252"/>
      <c r="EO39" s="2252"/>
      <c r="EP39" s="2252"/>
      <c r="EQ39" s="2252"/>
      <c r="ER39" s="2252"/>
      <c r="ES39" s="2252"/>
      <c r="ET39" s="2275"/>
      <c r="EU39" s="2275"/>
      <c r="EV39" s="2275"/>
      <c r="EW39" s="2275" t="n">
        <v>102.194</v>
      </c>
      <c r="EX39" s="2275" t="n">
        <v>77.251</v>
      </c>
      <c r="EY39" s="2275" t="n">
        <v>24.944</v>
      </c>
      <c r="EZ39" s="2330"/>
      <c r="FA39" s="2252"/>
      <c r="FB39" s="2252"/>
      <c r="FC39" s="2252"/>
      <c r="FD39" s="2252"/>
      <c r="FE39" s="2252"/>
      <c r="FF39" s="2252"/>
      <c r="FG39" s="2252"/>
      <c r="FH39" s="2252"/>
      <c r="FI39" s="2252"/>
      <c r="FJ39" s="2252"/>
      <c r="FK39" s="2252"/>
      <c r="FL39" s="2252"/>
      <c r="FM39" s="2252"/>
    </row>
    <row r="40" customFormat="false" ht="12" hidden="false" customHeight="true" outlineLevel="0" collapsed="false">
      <c r="A40" s="2252" t="n">
        <v>1972</v>
      </c>
      <c r="B40" s="2275" t="n">
        <v>648</v>
      </c>
      <c r="C40" s="2275" t="n">
        <v>677.7</v>
      </c>
      <c r="D40" s="2275" t="n">
        <v>67</v>
      </c>
      <c r="E40" s="2275" t="n">
        <v>88.5</v>
      </c>
      <c r="F40" s="2275" t="n">
        <v>50.3</v>
      </c>
      <c r="G40" s="2275" t="n">
        <v>597.7</v>
      </c>
      <c r="H40" s="2275" t="n">
        <f aca="false">C40-F40</f>
        <v>627.4</v>
      </c>
      <c r="I40" s="2275" t="n">
        <v>193.3</v>
      </c>
      <c r="J40" s="2275" t="n">
        <v>43.5</v>
      </c>
      <c r="K40" s="2275" t="n">
        <v>49.3</v>
      </c>
      <c r="L40" s="2275" t="n">
        <f aca="false">K40+J40+I40</f>
        <v>286.1</v>
      </c>
      <c r="M40" s="2275" t="n">
        <f aca="false">F40+L40</f>
        <v>336.4</v>
      </c>
      <c r="N40" s="2275" t="n">
        <f aca="false">C40-M40</f>
        <v>341.3</v>
      </c>
      <c r="O40" s="2275" t="n">
        <f aca="false">B40/$B$4</f>
        <v>331.31713901515</v>
      </c>
      <c r="P40" s="2275" t="n">
        <f aca="false">C40/$B$4</f>
        <v>346.502507886677</v>
      </c>
      <c r="Q40" s="2275" t="n">
        <f aca="false">D40/$B$4</f>
        <v>34.2565560401466</v>
      </c>
      <c r="R40" s="2275" t="n">
        <f aca="false">E40/$B$4</f>
        <v>45.2493314858653</v>
      </c>
      <c r="S40" s="2277" t="n">
        <f aca="false">F40/$B$4</f>
        <v>25.7179816241698</v>
      </c>
      <c r="T40" s="2275" t="n">
        <f aca="false">G40/$B$4</f>
        <v>305.59915739098</v>
      </c>
      <c r="U40" s="2277" t="n">
        <f aca="false">L40/$B$4</f>
        <v>146.280607210238</v>
      </c>
      <c r="V40" s="2277" t="n">
        <f aca="false">M40/$B$4</f>
        <v>171.998588834408</v>
      </c>
      <c r="W40" s="2277" t="n">
        <f aca="false">N40/$B$4</f>
        <v>174.503919052269</v>
      </c>
      <c r="X40" s="2275"/>
      <c r="Y40" s="2275"/>
      <c r="Z40" s="2275"/>
      <c r="AA40" s="2275"/>
      <c r="AB40" s="2275"/>
      <c r="AC40" s="2275"/>
      <c r="AD40" s="2277"/>
      <c r="AE40" s="2275"/>
      <c r="AF40" s="2347" t="n">
        <f aca="false">AG40+AH40</f>
        <v>1795.42036747477</v>
      </c>
      <c r="AG40" s="2342" t="n">
        <v>1555.88</v>
      </c>
      <c r="AH40" s="2342" t="n">
        <v>239.540367474773</v>
      </c>
      <c r="AI40" s="2252"/>
      <c r="AJ40" s="2275" t="n">
        <v>479.69</v>
      </c>
      <c r="AK40" s="2275" t="n">
        <v>883.11</v>
      </c>
      <c r="AL40" s="2275"/>
      <c r="AM40" s="2275"/>
      <c r="AN40" s="2275"/>
      <c r="AO40" s="2275"/>
      <c r="AP40" s="2275"/>
      <c r="AQ40" s="2275"/>
      <c r="AR40" s="2275"/>
      <c r="AS40" s="2252"/>
      <c r="AT40" s="2277" t="n">
        <v>444</v>
      </c>
      <c r="AU40" s="2345" t="n">
        <f aca="false">AF40-AK40</f>
        <v>912.310367474773</v>
      </c>
      <c r="AV40" s="2252"/>
      <c r="AW40" s="2275"/>
      <c r="AX40" s="2275"/>
      <c r="AY40" s="2275"/>
      <c r="AZ40" s="2275"/>
      <c r="BA40" s="2275"/>
      <c r="BB40" s="2275" t="n">
        <v>221.21</v>
      </c>
      <c r="BC40" s="2275" t="n">
        <v>402.72</v>
      </c>
      <c r="BD40" s="2275"/>
      <c r="BE40" s="2275"/>
      <c r="BF40" s="2275"/>
      <c r="BG40" s="2275"/>
      <c r="BH40" s="2275"/>
      <c r="BI40" s="2275"/>
      <c r="BJ40" s="2275"/>
      <c r="BK40" s="2275" t="n">
        <v>5.97</v>
      </c>
      <c r="BL40" s="2275"/>
      <c r="BM40" s="2275"/>
      <c r="BN40" s="2275"/>
      <c r="BO40" s="2275"/>
      <c r="BP40" s="2275"/>
      <c r="BQ40" s="2275"/>
      <c r="BR40" s="2275"/>
      <c r="BS40" s="2275" t="n">
        <v>6.29</v>
      </c>
      <c r="BT40" s="2275"/>
      <c r="BU40" s="2275"/>
      <c r="BV40" s="2252"/>
      <c r="BW40" s="2252"/>
      <c r="BX40" s="2252"/>
      <c r="BY40" s="2252"/>
      <c r="BZ40" s="2275"/>
      <c r="CA40" s="2275"/>
      <c r="CB40" s="2275"/>
      <c r="CC40" s="2275"/>
      <c r="CD40" s="2275"/>
      <c r="CE40" s="2275"/>
      <c r="CF40" s="2275"/>
      <c r="CG40" s="2252"/>
      <c r="CH40" s="2252" t="n">
        <v>16.06</v>
      </c>
      <c r="CI40" s="2252" t="n">
        <v>20.57</v>
      </c>
      <c r="CJ40" s="2252"/>
      <c r="CK40" s="2275" t="n">
        <v>78820.721</v>
      </c>
      <c r="CL40" s="2275" t="n">
        <v>61809.378</v>
      </c>
      <c r="CM40" s="2275" t="n">
        <v>28318.63</v>
      </c>
      <c r="CN40" s="2252"/>
      <c r="CO40" s="2252"/>
      <c r="CP40" s="2252"/>
      <c r="CQ40" s="2252"/>
      <c r="CR40" s="2252"/>
      <c r="CS40" s="2252"/>
      <c r="CT40" s="2252"/>
      <c r="CU40" s="2252"/>
      <c r="CV40" s="2252"/>
      <c r="CW40" s="2252"/>
      <c r="CX40" s="2252"/>
      <c r="CY40" s="2252"/>
      <c r="CZ40" s="2252"/>
      <c r="DA40" s="2252" t="n">
        <v>211.8</v>
      </c>
      <c r="DB40" s="2252" t="n">
        <v>153.7</v>
      </c>
      <c r="DC40" s="2252" t="n">
        <v>58.1</v>
      </c>
      <c r="DD40" s="2342" t="n">
        <f aca="false">DA40/$B$4</f>
        <v>108.291620437359</v>
      </c>
      <c r="DE40" s="2342" t="n">
        <f aca="false">DB40/$B$4</f>
        <v>78.5855621398588</v>
      </c>
      <c r="DF40" s="2342" t="n">
        <f aca="false">DC40/$B$4</f>
        <v>29.7060582975003</v>
      </c>
      <c r="DG40" s="2252"/>
      <c r="DH40" s="2252"/>
      <c r="DI40" s="2252"/>
      <c r="DK40" s="2342" t="n">
        <v>2.222</v>
      </c>
      <c r="DL40" s="2252"/>
      <c r="DM40" s="2275" t="n">
        <f aca="false">DN40+DO40</f>
        <v>390.030367474773</v>
      </c>
      <c r="DN40" s="2275" t="n">
        <v>150.49</v>
      </c>
      <c r="DO40" s="2330" t="n">
        <f aca="false">AH40</f>
        <v>239.540367474773</v>
      </c>
      <c r="DP40" s="2252"/>
      <c r="DQ40" s="2252"/>
      <c r="DR40" s="2275"/>
      <c r="DS40" s="2275" t="n">
        <v>339.3</v>
      </c>
      <c r="DT40" s="2275"/>
      <c r="DU40" s="2275"/>
      <c r="DV40" s="2275" t="n">
        <f aca="false">ED40-DZ40</f>
        <v>529.7</v>
      </c>
      <c r="DW40" s="2275"/>
      <c r="DX40" s="2275"/>
      <c r="DY40" s="2275"/>
      <c r="DZ40" s="2275" t="n">
        <v>68.9</v>
      </c>
      <c r="EA40" s="2275"/>
      <c r="EB40" s="2275"/>
      <c r="EC40" s="2275"/>
      <c r="ED40" s="2275" t="n">
        <v>598.6</v>
      </c>
      <c r="EE40" s="2275"/>
      <c r="EF40" s="2275"/>
      <c r="EG40" s="2252"/>
      <c r="EH40" s="2252"/>
      <c r="EI40" s="2252"/>
      <c r="EJ40" s="2252"/>
      <c r="EK40" s="2252"/>
      <c r="EL40" s="2252"/>
      <c r="EM40" s="2252"/>
      <c r="EN40" s="2252"/>
      <c r="EO40" s="2252"/>
      <c r="EP40" s="2252"/>
      <c r="EQ40" s="2252"/>
      <c r="ER40" s="2252"/>
      <c r="ES40" s="2252"/>
      <c r="ET40" s="2275"/>
      <c r="EU40" s="2275"/>
      <c r="EV40" s="2275"/>
      <c r="EW40" s="2275" t="n">
        <v>112.81</v>
      </c>
      <c r="EX40" s="2275" t="n">
        <v>87.445</v>
      </c>
      <c r="EY40" s="2275" t="n">
        <v>25.365</v>
      </c>
      <c r="EZ40" s="2330"/>
      <c r="FA40" s="2252"/>
      <c r="FB40" s="2252"/>
      <c r="FC40" s="2252"/>
      <c r="FD40" s="2252"/>
      <c r="FE40" s="2252"/>
      <c r="FF40" s="2252"/>
      <c r="FG40" s="2252"/>
      <c r="FH40" s="2252"/>
      <c r="FI40" s="2252"/>
      <c r="FJ40" s="2252"/>
      <c r="FK40" s="2252"/>
      <c r="FL40" s="2252"/>
      <c r="FM40" s="2252"/>
    </row>
    <row r="41" customFormat="false" ht="12" hidden="false" customHeight="true" outlineLevel="0" collapsed="false">
      <c r="A41" s="2252" t="n">
        <v>1973</v>
      </c>
      <c r="B41" s="2275" t="n">
        <v>723.8</v>
      </c>
      <c r="C41" s="2275" t="n">
        <v>746.6</v>
      </c>
      <c r="D41" s="2275" t="n">
        <v>62.4</v>
      </c>
      <c r="E41" s="2275" t="n">
        <v>99.3</v>
      </c>
      <c r="F41" s="2275" t="n">
        <v>55.7</v>
      </c>
      <c r="G41" s="2275" t="n">
        <v>668.2</v>
      </c>
      <c r="H41" s="2275" t="n">
        <f aca="false">C41-F41</f>
        <v>690.9</v>
      </c>
      <c r="I41" s="2275" t="n">
        <v>219.6</v>
      </c>
      <c r="J41" s="2275" t="n">
        <v>53.7</v>
      </c>
      <c r="K41" s="2275" t="n">
        <v>54.5</v>
      </c>
      <c r="L41" s="2275" t="n">
        <f aca="false">K41+J41+I41</f>
        <v>327.8</v>
      </c>
      <c r="M41" s="2275" t="n">
        <f aca="false">F41+L41</f>
        <v>383.5</v>
      </c>
      <c r="N41" s="2275" t="n">
        <f aca="false">C41-M41</f>
        <v>363.1</v>
      </c>
      <c r="O41" s="2275" t="n">
        <f aca="false">B41/$B$4</f>
        <v>370.073063609823</v>
      </c>
      <c r="P41" s="2275" t="n">
        <f aca="false">C41/$B$4</f>
        <v>381.730518501097</v>
      </c>
      <c r="Q41" s="2275" t="n">
        <f aca="false">D41/$B$4</f>
        <v>31.904613386644</v>
      </c>
      <c r="R41" s="2275" t="n">
        <f aca="false">E41/$B$4</f>
        <v>50.7712838027845</v>
      </c>
      <c r="S41" s="2277" t="n">
        <f aca="false">F41/$B$4</f>
        <v>28.4789577826294</v>
      </c>
      <c r="T41" s="2275" t="n">
        <f aca="false">G41/$B$4</f>
        <v>341.645235015313</v>
      </c>
      <c r="U41" s="2277" t="n">
        <f aca="false">L41/$B$4</f>
        <v>167.60147865612</v>
      </c>
      <c r="V41" s="2277" t="n">
        <f aca="false">M41/$B$4</f>
        <v>196.08043643875</v>
      </c>
      <c r="W41" s="2277" t="n">
        <f aca="false">N41/$B$4</f>
        <v>185.650082062347</v>
      </c>
      <c r="X41" s="2275"/>
      <c r="Y41" s="2275"/>
      <c r="Z41" s="2275"/>
      <c r="AA41" s="2275"/>
      <c r="AB41" s="2275"/>
      <c r="AC41" s="2275"/>
      <c r="AD41" s="2277"/>
      <c r="AE41" s="2275"/>
      <c r="AF41" s="2349"/>
      <c r="AG41" s="2275"/>
      <c r="AH41" s="2275" t="n">
        <v>260.719519402846</v>
      </c>
      <c r="AI41" s="2252"/>
      <c r="AJ41" s="2275" t="n">
        <v>534.9</v>
      </c>
      <c r="AK41" s="2275"/>
      <c r="AL41" s="2275"/>
      <c r="AM41" s="2275"/>
      <c r="AN41" s="2275"/>
      <c r="AO41" s="2275"/>
      <c r="AP41" s="2275"/>
      <c r="AQ41" s="2275"/>
      <c r="AR41" s="2275"/>
      <c r="AS41" s="2252"/>
      <c r="AT41" s="2275" t="n">
        <v>485.63</v>
      </c>
      <c r="AU41" s="2259"/>
      <c r="AV41" s="2252"/>
      <c r="AW41" s="2275"/>
      <c r="AX41" s="2275"/>
      <c r="AY41" s="2275"/>
      <c r="AZ41" s="2275"/>
      <c r="BA41" s="2275"/>
      <c r="BB41" s="2275" t="n">
        <v>240.42</v>
      </c>
      <c r="BC41" s="2275" t="n">
        <v>437.17</v>
      </c>
      <c r="BD41" s="2275"/>
      <c r="BE41" s="2275"/>
      <c r="BF41" s="2275"/>
      <c r="BG41" s="2275"/>
      <c r="BH41" s="2275"/>
      <c r="BI41" s="2275"/>
      <c r="BJ41" s="2275"/>
      <c r="BK41" s="2275" t="n">
        <v>7.34</v>
      </c>
      <c r="BL41" s="2275"/>
      <c r="BM41" s="2275"/>
      <c r="BN41" s="2275"/>
      <c r="BO41" s="2275"/>
      <c r="BP41" s="2275"/>
      <c r="BQ41" s="2275"/>
      <c r="BR41" s="2275"/>
      <c r="BS41" s="2275" t="n">
        <v>6.5</v>
      </c>
      <c r="BT41" s="2275"/>
      <c r="BU41" s="2275"/>
      <c r="BV41" s="2252"/>
      <c r="BW41" s="2252"/>
      <c r="BX41" s="2252"/>
      <c r="BY41" s="2252"/>
      <c r="BZ41" s="2275"/>
      <c r="CA41" s="2275"/>
      <c r="CB41" s="2275"/>
      <c r="CC41" s="2275"/>
      <c r="CD41" s="2275"/>
      <c r="CE41" s="2275"/>
      <c r="CF41" s="2275"/>
      <c r="CG41" s="2252"/>
      <c r="CH41" s="2252" t="n">
        <v>16.74</v>
      </c>
      <c r="CI41" s="2252" t="n">
        <v>20.85</v>
      </c>
      <c r="CJ41" s="2252"/>
      <c r="CK41" s="2275" t="n">
        <v>79052.62</v>
      </c>
      <c r="CL41" s="2275" t="n">
        <v>62101.369</v>
      </c>
      <c r="CM41" s="2275" t="n">
        <v>28607.551</v>
      </c>
      <c r="CN41" s="2252"/>
      <c r="CO41" s="2252"/>
      <c r="CP41" s="2252"/>
      <c r="CQ41" s="2252"/>
      <c r="CR41" s="2252"/>
      <c r="CS41" s="2252"/>
      <c r="CT41" s="2252"/>
      <c r="CU41" s="2252"/>
      <c r="CV41" s="2252"/>
      <c r="CW41" s="2252"/>
      <c r="CX41" s="2252"/>
      <c r="CY41" s="2252"/>
      <c r="CZ41" s="2252"/>
      <c r="DA41" s="2252" t="n">
        <v>241.5</v>
      </c>
      <c r="DB41" s="2252" t="n">
        <v>158.8</v>
      </c>
      <c r="DC41" s="2252" t="n">
        <v>82.7</v>
      </c>
      <c r="DD41" s="2342" t="n">
        <f aca="false">DA41/$B$4</f>
        <v>123.476989308887</v>
      </c>
      <c r="DE41" s="2342" t="n">
        <f aca="false">DB41/$B$4</f>
        <v>81.1931507339595</v>
      </c>
      <c r="DF41" s="2342" t="n">
        <f aca="false">DC41/$B$4</f>
        <v>42.2838385749273</v>
      </c>
      <c r="DG41" s="2252"/>
      <c r="DH41" s="2252"/>
      <c r="DI41" s="2252"/>
      <c r="DK41" s="2342" t="n">
        <v>2.336</v>
      </c>
      <c r="DL41" s="2252"/>
      <c r="DM41" s="2275" t="n">
        <f aca="false">DN41+DO41</f>
        <v>427.389519402846</v>
      </c>
      <c r="DN41" s="2275" t="n">
        <v>166.67</v>
      </c>
      <c r="DO41" s="2330" t="n">
        <f aca="false">AH41</f>
        <v>260.719519402846</v>
      </c>
      <c r="DP41" s="2252"/>
      <c r="DQ41" s="2252"/>
      <c r="DR41" s="2275"/>
      <c r="DS41" s="2275" t="n">
        <v>354.7</v>
      </c>
      <c r="DT41" s="2275"/>
      <c r="DU41" s="2275"/>
      <c r="DV41" s="2275" t="n">
        <f aca="false">ED41-DZ41</f>
        <v>594.3</v>
      </c>
      <c r="DW41" s="2275"/>
      <c r="DX41" s="2275"/>
      <c r="DY41" s="2275"/>
      <c r="DZ41" s="2275" t="n">
        <v>72.3</v>
      </c>
      <c r="EA41" s="2275"/>
      <c r="EB41" s="2275"/>
      <c r="EC41" s="2275"/>
      <c r="ED41" s="2275" t="n">
        <v>666.6</v>
      </c>
      <c r="EE41" s="2275"/>
      <c r="EF41" s="2275"/>
      <c r="EG41" s="2252"/>
      <c r="EH41" s="2252"/>
      <c r="EI41" s="2252"/>
      <c r="EJ41" s="2252"/>
      <c r="EK41" s="2252"/>
      <c r="EL41" s="2252"/>
      <c r="EM41" s="2252"/>
      <c r="EN41" s="2252"/>
      <c r="EO41" s="2252"/>
      <c r="EP41" s="2252"/>
      <c r="EQ41" s="2252"/>
      <c r="ER41" s="2252"/>
      <c r="ES41" s="2252"/>
      <c r="ET41" s="2275"/>
      <c r="EU41" s="2275"/>
      <c r="EV41" s="2275"/>
      <c r="EW41" s="2275" t="n">
        <v>125.249</v>
      </c>
      <c r="EX41" s="2275" t="n">
        <v>97.146</v>
      </c>
      <c r="EY41" s="2275" t="n">
        <v>28.103</v>
      </c>
      <c r="EZ41" s="2330"/>
      <c r="FA41" s="2252"/>
      <c r="FB41" s="2252"/>
      <c r="FC41" s="2252"/>
      <c r="FD41" s="2252"/>
      <c r="FE41" s="2252"/>
      <c r="FF41" s="2252"/>
      <c r="FG41" s="2252"/>
      <c r="FH41" s="2252"/>
      <c r="FI41" s="2252"/>
      <c r="FJ41" s="2252"/>
      <c r="FK41" s="2252"/>
      <c r="FL41" s="2252"/>
      <c r="FM41" s="2252"/>
    </row>
    <row r="42" customFormat="false" ht="12" hidden="false" customHeight="true" outlineLevel="0" collapsed="false">
      <c r="A42" s="2252" t="n">
        <v>1974</v>
      </c>
      <c r="B42" s="2275" t="n">
        <v>806.5</v>
      </c>
      <c r="C42" s="2275" t="n">
        <v>824.4</v>
      </c>
      <c r="D42" s="2275" t="n">
        <v>57.1</v>
      </c>
      <c r="E42" s="2275" t="n">
        <v>111.1</v>
      </c>
      <c r="F42" s="2275" t="n">
        <v>56.2</v>
      </c>
      <c r="G42" s="2275" t="n">
        <v>750.3</v>
      </c>
      <c r="H42" s="2275" t="n">
        <f aca="false">C42-F42</f>
        <v>768.2</v>
      </c>
      <c r="I42" s="2275" t="n">
        <v>234.4</v>
      </c>
      <c r="J42" s="2275" t="n">
        <v>59.3</v>
      </c>
      <c r="K42" s="2275" t="n">
        <v>59.5</v>
      </c>
      <c r="L42" s="2275" t="n">
        <f aca="false">K42+J42+I42</f>
        <v>353.2</v>
      </c>
      <c r="M42" s="2275" t="n">
        <f aca="false">F42+L42</f>
        <v>409.4</v>
      </c>
      <c r="N42" s="2275" t="n">
        <f aca="false">C42-M42</f>
        <v>415</v>
      </c>
      <c r="O42" s="2275" t="n">
        <f aca="false">B42/$B$4</f>
        <v>412.35690218475</v>
      </c>
      <c r="P42" s="2275" t="n">
        <f aca="false">C42/$B$4</f>
        <v>421.509026858163</v>
      </c>
      <c r="Q42" s="2275" t="n">
        <f aca="false">D42/$B$4</f>
        <v>29.1947664163041</v>
      </c>
      <c r="R42" s="2275" t="n">
        <f aca="false">E42/$B$4</f>
        <v>56.8045280008999</v>
      </c>
      <c r="S42" s="2277" t="n">
        <f aca="false">F42/$B$4</f>
        <v>28.7346037232275</v>
      </c>
      <c r="T42" s="2275" t="n">
        <f aca="false">G42/$B$4</f>
        <v>383.622298461523</v>
      </c>
      <c r="U42" s="2277" t="n">
        <f aca="false">L42/$B$4</f>
        <v>180.588292438504</v>
      </c>
      <c r="V42" s="2277" t="n">
        <f aca="false">M42/$B$4</f>
        <v>209.322896161732</v>
      </c>
      <c r="W42" s="2277" t="n">
        <f aca="false">N42/$B$4</f>
        <v>212.186130696431</v>
      </c>
      <c r="X42" s="2275"/>
      <c r="Y42" s="2275"/>
      <c r="Z42" s="2275"/>
      <c r="AA42" s="2275"/>
      <c r="AB42" s="2275"/>
      <c r="AC42" s="2275"/>
      <c r="AD42" s="2277"/>
      <c r="AE42" s="2275"/>
      <c r="AF42" s="2349"/>
      <c r="AG42" s="2275"/>
      <c r="AH42" s="2275" t="n">
        <v>289.251374238598</v>
      </c>
      <c r="AI42" s="2252"/>
      <c r="AJ42" s="2275" t="n">
        <v>596.74</v>
      </c>
      <c r="AK42" s="2275"/>
      <c r="AL42" s="2275"/>
      <c r="AM42" s="2275"/>
      <c r="AN42" s="2275"/>
      <c r="AO42" s="2275"/>
      <c r="AP42" s="2275"/>
      <c r="AQ42" s="2275"/>
      <c r="AR42" s="2275"/>
      <c r="AS42" s="2252"/>
      <c r="AT42" s="2275" t="n">
        <v>542.04</v>
      </c>
      <c r="AU42" s="2275"/>
      <c r="AV42" s="2252"/>
      <c r="AW42" s="2275"/>
      <c r="AX42" s="2275"/>
      <c r="AY42" s="2275"/>
      <c r="AZ42" s="2275"/>
      <c r="BA42" s="2275"/>
      <c r="BB42" s="2275" t="n">
        <v>263.82</v>
      </c>
      <c r="BC42" s="2275" t="n">
        <v>477.62</v>
      </c>
      <c r="BD42" s="2275"/>
      <c r="BE42" s="2275"/>
      <c r="BF42" s="2275"/>
      <c r="BG42" s="2275"/>
      <c r="BH42" s="2275"/>
      <c r="BI42" s="2275"/>
      <c r="BJ42" s="2275"/>
      <c r="BK42" s="2275" t="n">
        <v>6.83</v>
      </c>
      <c r="BL42" s="2275"/>
      <c r="BM42" s="2275"/>
      <c r="BN42" s="2275"/>
      <c r="BO42" s="2275"/>
      <c r="BP42" s="2275"/>
      <c r="BQ42" s="2275"/>
      <c r="BR42" s="2275"/>
      <c r="BS42" s="2275" t="n">
        <v>7.36</v>
      </c>
      <c r="BT42" s="2275"/>
      <c r="BU42" s="2275"/>
      <c r="BV42" s="2252"/>
      <c r="BW42" s="2252"/>
      <c r="BX42" s="2252"/>
      <c r="BY42" s="2252"/>
      <c r="BZ42" s="2275"/>
      <c r="CA42" s="2275"/>
      <c r="CB42" s="2275"/>
      <c r="CC42" s="2275"/>
      <c r="CD42" s="2275"/>
      <c r="CE42" s="2275"/>
      <c r="CF42" s="2275"/>
      <c r="CG42" s="2252"/>
      <c r="CH42" s="2252" t="n">
        <v>16.2</v>
      </c>
      <c r="CI42" s="2252" t="n">
        <v>20.63</v>
      </c>
      <c r="CJ42" s="2252"/>
      <c r="CK42" s="2275" t="n">
        <v>78882.235</v>
      </c>
      <c r="CL42" s="2275" t="n">
        <v>61991.475</v>
      </c>
      <c r="CM42" s="2275" t="n">
        <v>28711.788</v>
      </c>
      <c r="CN42" s="2252"/>
      <c r="CO42" s="2252"/>
      <c r="CP42" s="2252"/>
      <c r="CQ42" s="2252"/>
      <c r="CR42" s="2252"/>
      <c r="CS42" s="2252"/>
      <c r="CT42" s="2252"/>
      <c r="CU42" s="2252"/>
      <c r="CV42" s="2252"/>
      <c r="CW42" s="2252"/>
      <c r="CX42" s="2252"/>
      <c r="CY42" s="2252"/>
      <c r="CZ42" s="2252"/>
      <c r="DA42" s="2252" t="n">
        <v>250.7</v>
      </c>
      <c r="DB42" s="2252" t="n">
        <v>181</v>
      </c>
      <c r="DC42" s="2252" t="n">
        <v>69.7</v>
      </c>
      <c r="DD42" s="2342" t="n">
        <f aca="false">DA42/$B$4</f>
        <v>128.180874615892</v>
      </c>
      <c r="DE42" s="2342" t="n">
        <f aca="false">DB42/$B$4</f>
        <v>92.5438304965156</v>
      </c>
      <c r="DF42" s="2342" t="n">
        <f aca="false">DC42/$B$4</f>
        <v>35.6370441193764</v>
      </c>
      <c r="DG42" s="2252"/>
      <c r="DH42" s="2252"/>
      <c r="DI42" s="2252"/>
      <c r="DK42" s="2342" t="n">
        <v>2.803</v>
      </c>
      <c r="DL42" s="2252"/>
      <c r="DM42" s="2275" t="n">
        <f aca="false">DN42+DO42</f>
        <v>473.501374238598</v>
      </c>
      <c r="DN42" s="2275" t="n">
        <v>184.25</v>
      </c>
      <c r="DO42" s="2330" t="n">
        <f aca="false">AH42</f>
        <v>289.251374238598</v>
      </c>
      <c r="DP42" s="2252"/>
      <c r="DQ42" s="2252"/>
      <c r="DR42" s="2275"/>
      <c r="DS42" s="2275" t="n">
        <v>383.7</v>
      </c>
      <c r="DT42" s="2275"/>
      <c r="DU42" s="2275"/>
      <c r="DV42" s="2275" t="n">
        <f aca="false">ED42-DZ42</f>
        <v>652.2</v>
      </c>
      <c r="DW42" s="2275"/>
      <c r="DX42" s="2275"/>
      <c r="DY42" s="2275"/>
      <c r="DZ42" s="2275" t="n">
        <v>75.9</v>
      </c>
      <c r="EA42" s="2275"/>
      <c r="EB42" s="2275"/>
      <c r="EC42" s="2275"/>
      <c r="ED42" s="2275" t="n">
        <v>728.1</v>
      </c>
      <c r="EE42" s="2275"/>
      <c r="EF42" s="2275"/>
      <c r="EG42" s="2252"/>
      <c r="EH42" s="2252"/>
      <c r="EI42" s="2252"/>
      <c r="EJ42" s="2252"/>
      <c r="EK42" s="2252"/>
      <c r="EL42" s="2252"/>
      <c r="EM42" s="2252"/>
      <c r="EN42" s="2252"/>
      <c r="EO42" s="2252"/>
      <c r="EP42" s="2252"/>
      <c r="EQ42" s="2252"/>
      <c r="ER42" s="2252"/>
      <c r="ES42" s="2252"/>
      <c r="ET42" s="2275"/>
      <c r="EU42" s="2275"/>
      <c r="EV42" s="2275"/>
      <c r="EW42" s="2275" t="n">
        <v>140.676</v>
      </c>
      <c r="EX42" s="2275" t="n">
        <v>103.897</v>
      </c>
      <c r="EY42" s="2275" t="n">
        <v>36.779</v>
      </c>
      <c r="EZ42" s="2330"/>
      <c r="FA42" s="2252"/>
      <c r="FB42" s="2252"/>
      <c r="FC42" s="2252"/>
      <c r="FD42" s="2252"/>
      <c r="FE42" s="2252"/>
      <c r="FF42" s="2252"/>
      <c r="FG42" s="2252"/>
      <c r="FH42" s="2252"/>
      <c r="FI42" s="2252"/>
      <c r="FJ42" s="2252"/>
      <c r="FK42" s="2252"/>
      <c r="FL42" s="2252"/>
      <c r="FM42" s="2252"/>
    </row>
    <row r="43" customFormat="false" ht="12" hidden="false" customHeight="true" outlineLevel="0" collapsed="false">
      <c r="A43" s="2252" t="n">
        <v>1975</v>
      </c>
      <c r="B43" s="2275" t="n">
        <v>912.8</v>
      </c>
      <c r="C43" s="2275" t="n">
        <v>942.9</v>
      </c>
      <c r="D43" s="2275" t="n">
        <v>68.8</v>
      </c>
      <c r="E43" s="2275" t="n">
        <v>124</v>
      </c>
      <c r="F43" s="2275" t="n">
        <v>63.8</v>
      </c>
      <c r="G43" s="2275" t="n">
        <v>849</v>
      </c>
      <c r="H43" s="2275" t="n">
        <f aca="false">C43-F43</f>
        <v>879.1</v>
      </c>
      <c r="I43" s="2275" t="n">
        <v>248.4</v>
      </c>
      <c r="J43" s="2275" t="n">
        <v>65.2</v>
      </c>
      <c r="K43" s="2275" t="n">
        <v>62.3</v>
      </c>
      <c r="L43" s="2275" t="n">
        <f aca="false">K43+J43+I43</f>
        <v>375.9</v>
      </c>
      <c r="M43" s="2275" t="n">
        <f aca="false">F43+L43</f>
        <v>439.7</v>
      </c>
      <c r="N43" s="2275" t="n">
        <f aca="false">C43-M43</f>
        <v>503.2</v>
      </c>
      <c r="O43" s="2275" t="n">
        <f aca="false">B43/$B$4</f>
        <v>466.707229155908</v>
      </c>
      <c r="P43" s="2275" t="n">
        <f aca="false">C43/$B$4</f>
        <v>482.097114779914</v>
      </c>
      <c r="Q43" s="2275" t="n">
        <f aca="false">D43/$B$4</f>
        <v>35.1768814262998</v>
      </c>
      <c r="R43" s="2275" t="n">
        <f aca="false">E43/$B$4</f>
        <v>63.4001932683311</v>
      </c>
      <c r="S43" s="2277" t="n">
        <f aca="false">F43/$B$4</f>
        <v>32.6204220203187</v>
      </c>
      <c r="T43" s="2275" t="n">
        <f aca="false">G43/$B$4</f>
        <v>434.08680713559</v>
      </c>
      <c r="U43" s="2277" t="n">
        <f aca="false">L43/$B$4</f>
        <v>192.194618141659</v>
      </c>
      <c r="V43" s="2277" t="n">
        <f aca="false">M43/$B$4</f>
        <v>224.815040161977</v>
      </c>
      <c r="W43" s="2277" t="n">
        <f aca="false">N43/$B$4</f>
        <v>257.282074617937</v>
      </c>
      <c r="X43" s="2275"/>
      <c r="Y43" s="2275"/>
      <c r="Z43" s="2275"/>
      <c r="AA43" s="2275"/>
      <c r="AB43" s="2275"/>
      <c r="AC43" s="2275"/>
      <c r="AD43" s="2277"/>
      <c r="AE43" s="2275"/>
      <c r="AF43" s="2349"/>
      <c r="AG43" s="2275"/>
      <c r="AH43" s="2275" t="n">
        <v>322.98183861939</v>
      </c>
      <c r="AI43" s="2252"/>
      <c r="AJ43" s="2275" t="n">
        <v>653.31</v>
      </c>
      <c r="AK43" s="2275"/>
      <c r="AL43" s="2275"/>
      <c r="AM43" s="2275"/>
      <c r="AN43" s="2275"/>
      <c r="AO43" s="2275"/>
      <c r="AP43" s="2275"/>
      <c r="AQ43" s="2275"/>
      <c r="AR43" s="2275"/>
      <c r="AS43" s="2252"/>
      <c r="AT43" s="2275" t="n">
        <v>595.92</v>
      </c>
      <c r="AU43" s="2275"/>
      <c r="AV43" s="2252"/>
      <c r="AW43" s="2275"/>
      <c r="AX43" s="2275"/>
      <c r="AY43" s="2275"/>
      <c r="AZ43" s="2275"/>
      <c r="BA43" s="2275"/>
      <c r="BB43" s="2275" t="n">
        <v>293.64</v>
      </c>
      <c r="BC43" s="2275" t="n">
        <v>529.73</v>
      </c>
      <c r="BD43" s="2275"/>
      <c r="BE43" s="2275"/>
      <c r="BF43" s="2275"/>
      <c r="BG43" s="2275"/>
      <c r="BH43" s="2275"/>
      <c r="BI43" s="2275"/>
      <c r="BJ43" s="2275"/>
      <c r="BK43" s="2275" t="n">
        <v>7.14</v>
      </c>
      <c r="BL43" s="2275"/>
      <c r="BM43" s="2275"/>
      <c r="BN43" s="2275"/>
      <c r="BO43" s="2275"/>
      <c r="BP43" s="2275"/>
      <c r="BQ43" s="2275"/>
      <c r="BR43" s="2275"/>
      <c r="BS43" s="2275" t="n">
        <v>8.19</v>
      </c>
      <c r="BT43" s="2275"/>
      <c r="BU43" s="2275"/>
      <c r="BV43" s="2252"/>
      <c r="BW43" s="2252"/>
      <c r="BX43" s="2252"/>
      <c r="BY43" s="2252"/>
      <c r="BZ43" s="2275"/>
      <c r="CA43" s="2275"/>
      <c r="CB43" s="2275"/>
      <c r="CC43" s="2275"/>
      <c r="CD43" s="2275"/>
      <c r="CE43" s="2275"/>
      <c r="CF43" s="2275"/>
      <c r="CG43" s="2252"/>
      <c r="CH43" s="2252" t="n">
        <v>17.94</v>
      </c>
      <c r="CI43" s="2252" t="n">
        <v>22.54</v>
      </c>
      <c r="CJ43" s="2252"/>
      <c r="CK43" s="2275" t="n">
        <v>78464.873</v>
      </c>
      <c r="CL43" s="2275" t="n">
        <v>61644.624</v>
      </c>
      <c r="CM43" s="2275" t="n">
        <v>28773.815</v>
      </c>
      <c r="CN43" s="2252"/>
      <c r="CO43" s="2252"/>
      <c r="CP43" s="2252"/>
      <c r="CQ43" s="2252"/>
      <c r="CR43" s="2252"/>
      <c r="CS43" s="2252"/>
      <c r="CT43" s="2252"/>
      <c r="CU43" s="2252"/>
      <c r="CV43" s="2252"/>
      <c r="CW43" s="2252"/>
      <c r="CX43" s="2252"/>
      <c r="CY43" s="2252"/>
      <c r="CZ43" s="2252"/>
      <c r="DA43" s="2252" t="n">
        <v>260</v>
      </c>
      <c r="DB43" s="2252" t="n">
        <v>244.5</v>
      </c>
      <c r="DC43" s="2252" t="n">
        <v>15.5</v>
      </c>
      <c r="DD43" s="2342" t="n">
        <f aca="false">DA43/$B$4</f>
        <v>132.935889111017</v>
      </c>
      <c r="DE43" s="2342" t="n">
        <f aca="false">DB43/$B$4</f>
        <v>125.010864952475</v>
      </c>
      <c r="DF43" s="2342" t="n">
        <f aca="false">DC43/$B$4</f>
        <v>7.92502415854139</v>
      </c>
      <c r="DG43" s="2252"/>
      <c r="DH43" s="2252"/>
      <c r="DI43" s="2252"/>
      <c r="DK43" s="2342" t="n">
        <v>4.195</v>
      </c>
      <c r="DL43" s="2252"/>
      <c r="DM43" s="2275" t="n">
        <f aca="false">DN43+DO43</f>
        <v>526.57183861939</v>
      </c>
      <c r="DN43" s="2275" t="n">
        <v>203.59</v>
      </c>
      <c r="DO43" s="2330" t="n">
        <f aca="false">AH43</f>
        <v>322.98183861939</v>
      </c>
      <c r="DP43" s="2252"/>
      <c r="DQ43" s="2252"/>
      <c r="DR43" s="2275" t="n">
        <f aca="false">DS43+DT43</f>
        <v>1931</v>
      </c>
      <c r="DS43" s="2275" t="n">
        <v>433.1</v>
      </c>
      <c r="DT43" s="2275" t="n">
        <f aca="false">1492.4-186.7-15.2+169.1+38.3</f>
        <v>1497.9</v>
      </c>
      <c r="DU43" s="2275" t="n">
        <f aca="false">DW43+DX43</f>
        <v>2125.5</v>
      </c>
      <c r="DV43" s="2275" t="n">
        <f aca="false">ED43-DZ43</f>
        <v>691.5</v>
      </c>
      <c r="DW43" s="2275" t="n">
        <f aca="false">EE43-EA43</f>
        <v>691</v>
      </c>
      <c r="DX43" s="2275" t="n">
        <f aca="false">EF43-EB43</f>
        <v>1434.5</v>
      </c>
      <c r="DY43" s="2275" t="n">
        <f aca="false">EA43+EB43</f>
        <v>241.4</v>
      </c>
      <c r="DZ43" s="2275" t="n">
        <v>82.6</v>
      </c>
      <c r="EA43" s="2275" t="n">
        <v>212.7</v>
      </c>
      <c r="EB43" s="2275" t="n">
        <v>28.7</v>
      </c>
      <c r="EC43" s="2275" t="n">
        <f aca="false">EE43+EF43</f>
        <v>2366.9</v>
      </c>
      <c r="ED43" s="2275" t="n">
        <v>774.1</v>
      </c>
      <c r="EE43" s="2275" t="n">
        <f aca="false">774.1-29.7-82.6+29.2+212.7</f>
        <v>903.7</v>
      </c>
      <c r="EF43" s="2275" t="n">
        <f aca="false">1474.1-236.7-11.2+208.3+28.7</f>
        <v>1463.2</v>
      </c>
      <c r="EG43" s="2252"/>
      <c r="EH43" s="2252"/>
      <c r="EI43" s="2252"/>
      <c r="EJ43" s="2252"/>
      <c r="EK43" s="2252"/>
      <c r="EL43" s="2252"/>
      <c r="EM43" s="2252"/>
      <c r="EN43" s="2252"/>
      <c r="EO43" s="2252"/>
      <c r="EP43" s="2252"/>
      <c r="EQ43" s="2252" t="n">
        <f aca="false">218-16.4-17.4+14.9+27.1</f>
        <v>226.2</v>
      </c>
      <c r="ER43" s="2252" t="n">
        <f aca="false">325.4-9.1-29.1+9.1+29.1</f>
        <v>325.4</v>
      </c>
      <c r="ES43" s="2252" t="n">
        <f aca="false">EQ43-ER43</f>
        <v>-99.2</v>
      </c>
      <c r="ET43" s="2275"/>
      <c r="EU43" s="2275"/>
      <c r="EV43" s="2275"/>
      <c r="EW43" s="2275" t="n">
        <v>164.104</v>
      </c>
      <c r="EX43" s="2275" t="n">
        <v>119.114</v>
      </c>
      <c r="EY43" s="2275" t="n">
        <v>44.99</v>
      </c>
      <c r="EZ43" s="2330"/>
      <c r="FA43" s="2252"/>
      <c r="FB43" s="2252"/>
      <c r="FC43" s="2252"/>
      <c r="FD43" s="2252"/>
      <c r="FE43" s="2252"/>
      <c r="FF43" s="2252"/>
      <c r="FG43" s="2252"/>
      <c r="FH43" s="2252"/>
      <c r="FI43" s="2252"/>
      <c r="FJ43" s="2252"/>
      <c r="FK43" s="2252"/>
      <c r="FL43" s="2252"/>
      <c r="FM43" s="2252"/>
    </row>
    <row r="44" customFormat="false" ht="12" hidden="false" customHeight="true" outlineLevel="0" collapsed="false">
      <c r="A44" s="2252" t="n">
        <v>1976</v>
      </c>
      <c r="B44" s="2275" t="n">
        <v>1014.3</v>
      </c>
      <c r="C44" s="2275" t="n">
        <v>1049</v>
      </c>
      <c r="D44" s="2275" t="n">
        <v>65.6</v>
      </c>
      <c r="E44" s="2275" t="n">
        <v>138.7</v>
      </c>
      <c r="F44" s="2275" t="n">
        <v>78.4</v>
      </c>
      <c r="G44" s="2275" t="n">
        <v>935.9</v>
      </c>
      <c r="H44" s="2275" t="n">
        <f aca="false">C44-F44</f>
        <v>970.6</v>
      </c>
      <c r="I44" s="2275" t="n">
        <v>266.8</v>
      </c>
      <c r="J44" s="2275" t="n">
        <v>72.2</v>
      </c>
      <c r="K44" s="2275" t="n">
        <v>64.3</v>
      </c>
      <c r="L44" s="2275" t="n">
        <f aca="false">K44+J44+I44</f>
        <v>403.3</v>
      </c>
      <c r="M44" s="2275" t="n">
        <f aca="false">F44+L44</f>
        <v>481.7</v>
      </c>
      <c r="N44" s="2275" t="n">
        <f aca="false">C44-M44</f>
        <v>567.3</v>
      </c>
      <c r="O44" s="2275" t="n">
        <f aca="false">B44/$B$4</f>
        <v>518.603355097324</v>
      </c>
      <c r="P44" s="2275" t="n">
        <f aca="false">C44/$B$4</f>
        <v>536.345183374833</v>
      </c>
      <c r="Q44" s="2275" t="n">
        <f aca="false">D44/$B$4</f>
        <v>33.5407474064719</v>
      </c>
      <c r="R44" s="2275" t="n">
        <f aca="false">E44/$B$4</f>
        <v>70.9161839219155</v>
      </c>
      <c r="S44" s="2277" t="n">
        <f aca="false">F44/$B$4</f>
        <v>40.0852834857835</v>
      </c>
      <c r="T44" s="2275" t="n">
        <f aca="false">G44/$B$4</f>
        <v>478.518071611541</v>
      </c>
      <c r="U44" s="2277" t="n">
        <f aca="false">L44/$B$4</f>
        <v>206.204015686435</v>
      </c>
      <c r="V44" s="2277" t="n">
        <f aca="false">M44/$B$4</f>
        <v>246.289299172218</v>
      </c>
      <c r="W44" s="2277" t="n">
        <f aca="false">N44/$B$4</f>
        <v>290.055884202615</v>
      </c>
      <c r="X44" s="2275"/>
      <c r="Y44" s="2275"/>
      <c r="Z44" s="2275"/>
      <c r="AA44" s="2275"/>
      <c r="AB44" s="2275"/>
      <c r="AC44" s="2275"/>
      <c r="AD44" s="2277"/>
      <c r="AE44" s="2275"/>
      <c r="AF44" s="2349"/>
      <c r="AG44" s="2275"/>
      <c r="AH44" s="2275" t="n">
        <v>341.424729163223</v>
      </c>
      <c r="AI44" s="2252"/>
      <c r="AJ44" s="2275" t="n">
        <v>685.28</v>
      </c>
      <c r="AK44" s="2275"/>
      <c r="AL44" s="2275"/>
      <c r="AM44" s="2275"/>
      <c r="AN44" s="2275"/>
      <c r="AO44" s="2275"/>
      <c r="AP44" s="2275"/>
      <c r="AQ44" s="2275"/>
      <c r="AR44" s="2275"/>
      <c r="AS44" s="2252"/>
      <c r="AT44" s="2275" t="n">
        <v>620.61</v>
      </c>
      <c r="AU44" s="2275"/>
      <c r="AV44" s="2252"/>
      <c r="AW44" s="2275"/>
      <c r="AX44" s="2275"/>
      <c r="AY44" s="2275"/>
      <c r="AZ44" s="2275"/>
      <c r="BA44" s="2275"/>
      <c r="BB44" s="2275" t="n">
        <v>312.32</v>
      </c>
      <c r="BC44" s="2275" t="n">
        <v>566.5</v>
      </c>
      <c r="BD44" s="2275"/>
      <c r="BE44" s="2275"/>
      <c r="BF44" s="2275"/>
      <c r="BG44" s="2275"/>
      <c r="BH44" s="2275"/>
      <c r="BI44" s="2275"/>
      <c r="BJ44" s="2275"/>
      <c r="BK44" s="2275" t="n">
        <v>8.09</v>
      </c>
      <c r="BL44" s="2275"/>
      <c r="BM44" s="2275"/>
      <c r="BN44" s="2275"/>
      <c r="BO44" s="2275"/>
      <c r="BP44" s="2275"/>
      <c r="BQ44" s="2275"/>
      <c r="BR44" s="2275"/>
      <c r="BS44" s="2275" t="n">
        <v>9.06</v>
      </c>
      <c r="BT44" s="2275"/>
      <c r="BU44" s="2275"/>
      <c r="BV44" s="2252"/>
      <c r="BW44" s="2252"/>
      <c r="BX44" s="2252"/>
      <c r="BY44" s="2252"/>
      <c r="BZ44" s="2275"/>
      <c r="CA44" s="2275"/>
      <c r="CB44" s="2275"/>
      <c r="CC44" s="2275"/>
      <c r="CD44" s="2275"/>
      <c r="CE44" s="2275"/>
      <c r="CF44" s="2275"/>
      <c r="CG44" s="2252"/>
      <c r="CH44" s="2252" t="n">
        <v>20.44</v>
      </c>
      <c r="CI44" s="2252" t="n">
        <v>24.95</v>
      </c>
      <c r="CJ44" s="2252"/>
      <c r="CK44" s="2275" t="n">
        <v>78209.026</v>
      </c>
      <c r="CL44" s="2275" t="n">
        <v>61441.996</v>
      </c>
      <c r="CM44" s="2275" t="n">
        <v>28901.211</v>
      </c>
      <c r="CN44" s="2252"/>
      <c r="CO44" s="2252"/>
      <c r="CP44" s="2252"/>
      <c r="CQ44" s="2252"/>
      <c r="CR44" s="2252"/>
      <c r="CS44" s="2252"/>
      <c r="CT44" s="2252"/>
      <c r="CU44" s="2252"/>
      <c r="CV44" s="2252"/>
      <c r="CW44" s="2252"/>
      <c r="CX44" s="2252"/>
      <c r="CY44" s="2252"/>
      <c r="CZ44" s="2252"/>
      <c r="DA44" s="2252" t="n">
        <v>268</v>
      </c>
      <c r="DB44" s="2252" t="n">
        <v>290.2</v>
      </c>
      <c r="DC44" s="2252" t="n">
        <v>-22.3</v>
      </c>
      <c r="DD44" s="2342" t="n">
        <f aca="false">DA44/$B$4</f>
        <v>137.026224160587</v>
      </c>
      <c r="DE44" s="2342" t="n">
        <f aca="false">DB44/$B$4</f>
        <v>148.376903923143</v>
      </c>
      <c r="DF44" s="2342" t="n">
        <f aca="false">DC44/$B$4</f>
        <v>-11.4018089506757</v>
      </c>
      <c r="DG44" s="2252"/>
      <c r="DH44" s="2252"/>
      <c r="DI44" s="2252"/>
      <c r="DK44" s="2342" t="n">
        <v>7.545</v>
      </c>
      <c r="DL44" s="2252"/>
      <c r="DM44" s="2275" t="n">
        <f aca="false">DN44+DO44</f>
        <v>557.544729163223</v>
      </c>
      <c r="DN44" s="2275" t="n">
        <v>216.12</v>
      </c>
      <c r="DO44" s="2330" t="n">
        <f aca="false">AH44</f>
        <v>341.424729163223</v>
      </c>
      <c r="DP44" s="2252"/>
      <c r="DQ44" s="2252"/>
      <c r="DR44" s="2275"/>
      <c r="DS44" s="2275" t="n">
        <v>477.6</v>
      </c>
      <c r="DT44" s="2275"/>
      <c r="DU44" s="2275"/>
      <c r="DV44" s="2275" t="n">
        <f aca="false">ED44-DZ44</f>
        <v>748.3</v>
      </c>
      <c r="DW44" s="2275"/>
      <c r="DX44" s="2275"/>
      <c r="DY44" s="2275"/>
      <c r="DZ44" s="2275" t="n">
        <v>87.3</v>
      </c>
      <c r="EA44" s="2275"/>
      <c r="EB44" s="2275"/>
      <c r="EC44" s="2275"/>
      <c r="ED44" s="2275" t="n">
        <v>835.6</v>
      </c>
      <c r="EE44" s="2275"/>
      <c r="EF44" s="2275"/>
      <c r="EG44" s="2252"/>
      <c r="EH44" s="2252"/>
      <c r="EI44" s="2252"/>
      <c r="EJ44" s="2252"/>
      <c r="EK44" s="2252"/>
      <c r="EL44" s="2252"/>
      <c r="EM44" s="2252"/>
      <c r="EN44" s="2252"/>
      <c r="EO44" s="2252"/>
      <c r="EP44" s="2252"/>
      <c r="EQ44" s="2252"/>
      <c r="ER44" s="2252"/>
      <c r="ES44" s="2252"/>
      <c r="ET44" s="2275"/>
      <c r="EU44" s="2275"/>
      <c r="EV44" s="2275"/>
      <c r="EW44" s="2275" t="n">
        <v>183.393</v>
      </c>
      <c r="EX44" s="2275" t="n">
        <v>135.084</v>
      </c>
      <c r="EY44" s="2275" t="n">
        <v>48.308</v>
      </c>
      <c r="EZ44" s="2330"/>
      <c r="FA44" s="2252"/>
      <c r="FB44" s="2252"/>
      <c r="FC44" s="2252"/>
      <c r="FD44" s="2252"/>
      <c r="FE44" s="2252"/>
      <c r="FF44" s="2252"/>
      <c r="FG44" s="2252"/>
      <c r="FH44" s="2252"/>
      <c r="FI44" s="2252"/>
      <c r="FJ44" s="2252"/>
      <c r="FK44" s="2252"/>
      <c r="FL44" s="2252"/>
      <c r="FM44" s="2252"/>
    </row>
    <row r="45" customFormat="false" ht="12" hidden="false" customHeight="true" outlineLevel="0" collapsed="false">
      <c r="A45" s="2252" t="n">
        <v>1977</v>
      </c>
      <c r="B45" s="2275" t="n">
        <v>1114</v>
      </c>
      <c r="C45" s="2275" t="n">
        <v>1159</v>
      </c>
      <c r="D45" s="2275" t="n">
        <v>68.2</v>
      </c>
      <c r="E45" s="2275" t="n">
        <v>155</v>
      </c>
      <c r="F45" s="2275" t="n">
        <v>92.1</v>
      </c>
      <c r="G45" s="2275" t="n">
        <v>1021.9</v>
      </c>
      <c r="H45" s="2275" t="n">
        <f aca="false">C45-F45</f>
        <v>1066.9</v>
      </c>
      <c r="I45" s="2275" t="n">
        <v>295.2</v>
      </c>
      <c r="J45" s="2275" t="n">
        <v>80.1</v>
      </c>
      <c r="K45" s="2275" t="n">
        <v>64.9</v>
      </c>
      <c r="L45" s="2275" t="n">
        <f aca="false">K45+J45+I45</f>
        <v>440.2</v>
      </c>
      <c r="M45" s="2275" t="n">
        <f aca="false">F45+L45</f>
        <v>532.3</v>
      </c>
      <c r="N45" s="2275" t="n">
        <f aca="false">C45-M45</f>
        <v>626.7</v>
      </c>
      <c r="O45" s="2275" t="n">
        <f aca="false">B45/$B$4</f>
        <v>569.579155652587</v>
      </c>
      <c r="P45" s="2275" t="n">
        <f aca="false">C45/$B$4</f>
        <v>592.587290306417</v>
      </c>
      <c r="Q45" s="2275" t="n">
        <f aca="false">D45/$B$4</f>
        <v>34.8701062975821</v>
      </c>
      <c r="R45" s="2275" t="n">
        <f aca="false">E45/$B$4</f>
        <v>79.2502415854139</v>
      </c>
      <c r="S45" s="2277" t="n">
        <f aca="false">F45/$B$4</f>
        <v>47.0899822581717</v>
      </c>
      <c r="T45" s="2275" t="n">
        <f aca="false">G45/$B$4</f>
        <v>522.489173394416</v>
      </c>
      <c r="U45" s="2277" t="n">
        <f aca="false">L45/$B$4</f>
        <v>225.070686102575</v>
      </c>
      <c r="V45" s="2277" t="n">
        <f aca="false">M45/$B$4</f>
        <v>272.160668360747</v>
      </c>
      <c r="W45" s="2277" t="n">
        <f aca="false">N45/$B$4</f>
        <v>320.42662194567</v>
      </c>
      <c r="X45" s="2275"/>
      <c r="Y45" s="2275"/>
      <c r="Z45" s="2275"/>
      <c r="AA45" s="2275"/>
      <c r="AB45" s="2275"/>
      <c r="AC45" s="2275"/>
      <c r="AD45" s="2277"/>
      <c r="AE45" s="2275"/>
      <c r="AF45" s="2349"/>
      <c r="AG45" s="2275"/>
      <c r="AH45" s="2275" t="n">
        <v>364.621776061306</v>
      </c>
      <c r="AI45" s="2252"/>
      <c r="AJ45" s="2275" t="n">
        <v>747.02</v>
      </c>
      <c r="AK45" s="2275"/>
      <c r="AL45" s="2275"/>
      <c r="AM45" s="2275"/>
      <c r="AN45" s="2275"/>
      <c r="AO45" s="2275"/>
      <c r="AP45" s="2275"/>
      <c r="AQ45" s="2275"/>
      <c r="AR45" s="2275"/>
      <c r="AS45" s="2252"/>
      <c r="AT45" s="2275" t="n">
        <v>666.73</v>
      </c>
      <c r="AU45" s="2275"/>
      <c r="AV45" s="2252"/>
      <c r="AW45" s="2275"/>
      <c r="AX45" s="2275"/>
      <c r="AY45" s="2275"/>
      <c r="AZ45" s="2275"/>
      <c r="BA45" s="2275"/>
      <c r="BB45" s="2275" t="n">
        <v>324.22</v>
      </c>
      <c r="BC45" s="2275" t="n">
        <v>592.35</v>
      </c>
      <c r="BD45" s="2275"/>
      <c r="BE45" s="2275"/>
      <c r="BF45" s="2275"/>
      <c r="BG45" s="2275"/>
      <c r="BH45" s="2275"/>
      <c r="BI45" s="2275"/>
      <c r="BJ45" s="2275"/>
      <c r="BK45" s="2275" t="n">
        <v>8.08</v>
      </c>
      <c r="BL45" s="2275"/>
      <c r="BM45" s="2275"/>
      <c r="BN45" s="2275"/>
      <c r="BO45" s="2275"/>
      <c r="BP45" s="2275"/>
      <c r="BQ45" s="2275"/>
      <c r="BR45" s="2275"/>
      <c r="BS45" s="2275" t="n">
        <v>9.86</v>
      </c>
      <c r="BT45" s="2275"/>
      <c r="BU45" s="2275"/>
      <c r="BV45" s="2252"/>
      <c r="BW45" s="2252"/>
      <c r="BX45" s="2252"/>
      <c r="BY45" s="2252"/>
      <c r="BZ45" s="2275"/>
      <c r="CA45" s="2275"/>
      <c r="CB45" s="2275"/>
      <c r="CC45" s="2275"/>
      <c r="CD45" s="2275"/>
      <c r="CE45" s="2275"/>
      <c r="CF45" s="2275"/>
      <c r="CG45" s="2252"/>
      <c r="CH45" s="2252" t="n">
        <v>22.39</v>
      </c>
      <c r="CI45" s="2252" t="n">
        <v>27.6</v>
      </c>
      <c r="CJ45" s="2252"/>
      <c r="CK45" s="2275" t="n">
        <v>78110.602</v>
      </c>
      <c r="CL45" s="2275" t="n">
        <v>61352.745</v>
      </c>
      <c r="CM45" s="2275" t="n">
        <v>29080.847</v>
      </c>
      <c r="CN45" s="2252"/>
      <c r="CO45" s="2252"/>
      <c r="CP45" s="2252"/>
      <c r="CQ45" s="2252"/>
      <c r="CR45" s="2252"/>
      <c r="CS45" s="2252"/>
      <c r="CT45" s="2252"/>
      <c r="CU45" s="2252"/>
      <c r="CV45" s="2252"/>
      <c r="CW45" s="2252"/>
      <c r="CX45" s="2252"/>
      <c r="CY45" s="2252"/>
      <c r="CZ45" s="2252"/>
      <c r="DA45" s="2252" t="n">
        <v>275.4</v>
      </c>
      <c r="DB45" s="2252" t="n">
        <v>325.2</v>
      </c>
      <c r="DC45" s="2252" t="n">
        <v>-49.9</v>
      </c>
      <c r="DD45" s="2342" t="n">
        <f aca="false">DA45/$B$4</f>
        <v>140.809784081439</v>
      </c>
      <c r="DE45" s="2342" t="n">
        <f aca="false">DB45/$B$4</f>
        <v>166.27211976501</v>
      </c>
      <c r="DF45" s="2342" t="n">
        <f aca="false">DC45/$B$4</f>
        <v>-25.5134648716913</v>
      </c>
      <c r="DG45" s="2252"/>
      <c r="DH45" s="2252"/>
      <c r="DI45" s="2252"/>
      <c r="DK45" s="2342" t="n">
        <v>8.155</v>
      </c>
      <c r="DL45" s="2252"/>
      <c r="DM45" s="2275" t="n">
        <f aca="false">DN45+DO45</f>
        <v>599.571776061306</v>
      </c>
      <c r="DN45" s="2275" t="n">
        <v>234.95</v>
      </c>
      <c r="DO45" s="2330" t="n">
        <f aca="false">AH45</f>
        <v>364.621776061306</v>
      </c>
      <c r="DP45" s="2252"/>
      <c r="DQ45" s="2252"/>
      <c r="DR45" s="2275"/>
      <c r="DS45" s="2275" t="n">
        <v>519.3</v>
      </c>
      <c r="DT45" s="2275"/>
      <c r="DU45" s="2275"/>
      <c r="DV45" s="2275" t="n">
        <f aca="false">ED45-DZ45</f>
        <v>802.4</v>
      </c>
      <c r="DW45" s="2275"/>
      <c r="DX45" s="2275"/>
      <c r="DY45" s="2275"/>
      <c r="DZ45" s="2275" t="n">
        <v>92</v>
      </c>
      <c r="EA45" s="2275"/>
      <c r="EB45" s="2275"/>
      <c r="EC45" s="2275"/>
      <c r="ED45" s="2275" t="n">
        <v>894.4</v>
      </c>
      <c r="EE45" s="2275"/>
      <c r="EF45" s="2275"/>
      <c r="EG45" s="2252"/>
      <c r="EH45" s="2252"/>
      <c r="EI45" s="2252"/>
      <c r="EJ45" s="2252"/>
      <c r="EK45" s="2252"/>
      <c r="EL45" s="2252"/>
      <c r="EM45" s="2252"/>
      <c r="EN45" s="2252"/>
      <c r="EO45" s="2252"/>
      <c r="EP45" s="2252"/>
      <c r="EQ45" s="2252"/>
      <c r="ER45" s="2252"/>
      <c r="ES45" s="2252"/>
      <c r="ET45" s="2275"/>
      <c r="EU45" s="2275"/>
      <c r="EV45" s="2275"/>
      <c r="EW45" s="2275" t="n">
        <v>195.924</v>
      </c>
      <c r="EX45" s="2275" t="n">
        <v>148.483</v>
      </c>
      <c r="EY45" s="2275" t="n">
        <v>47.441</v>
      </c>
      <c r="EZ45" s="2330"/>
      <c r="FA45" s="2252"/>
      <c r="FB45" s="2252"/>
      <c r="FC45" s="2252"/>
      <c r="FD45" s="2252"/>
      <c r="FE45" s="2252"/>
      <c r="FF45" s="2252"/>
      <c r="FG45" s="2252"/>
      <c r="FH45" s="2252"/>
      <c r="FI45" s="2252"/>
      <c r="FJ45" s="2252"/>
      <c r="FK45" s="2252"/>
      <c r="FL45" s="2252"/>
      <c r="FM45" s="2252"/>
    </row>
    <row r="46" customFormat="false" ht="12" hidden="false" customHeight="true" outlineLevel="0" collapsed="false">
      <c r="A46" s="2252" t="n">
        <v>1978</v>
      </c>
      <c r="B46" s="2275" t="n">
        <v>1219.5</v>
      </c>
      <c r="C46" s="2275" t="n">
        <v>1259.6</v>
      </c>
      <c r="D46" s="2275" t="n">
        <v>75</v>
      </c>
      <c r="E46" s="2275" t="n">
        <v>173.4</v>
      </c>
      <c r="F46" s="2275" t="n">
        <v>109.7</v>
      </c>
      <c r="G46" s="2275" t="n">
        <v>1109.8</v>
      </c>
      <c r="H46" s="2275" t="n">
        <f aca="false">C46-F46</f>
        <v>1149.9</v>
      </c>
      <c r="I46" s="2275" t="n">
        <v>333.4</v>
      </c>
      <c r="J46" s="2275" t="n">
        <v>88.8</v>
      </c>
      <c r="K46" s="2275" t="n">
        <v>65.5</v>
      </c>
      <c r="L46" s="2275" t="n">
        <f aca="false">K46+J46+I46</f>
        <v>487.7</v>
      </c>
      <c r="M46" s="2275" t="n">
        <f aca="false">F46+L46</f>
        <v>597.4</v>
      </c>
      <c r="N46" s="2275" t="n">
        <f aca="false">C46-M46</f>
        <v>662.2</v>
      </c>
      <c r="O46" s="2275" t="n">
        <f aca="false">B46/$B$4</f>
        <v>623.520449118788</v>
      </c>
      <c r="P46" s="2275" t="n">
        <f aca="false">C46/$B$4</f>
        <v>644.023253554757</v>
      </c>
      <c r="Q46" s="2275" t="n">
        <f aca="false">D46/$B$4</f>
        <v>38.3468910897164</v>
      </c>
      <c r="R46" s="2275" t="n">
        <f aca="false">E46/$B$4</f>
        <v>88.6580121994243</v>
      </c>
      <c r="S46" s="2277" t="n">
        <f aca="false">F46/$B$4</f>
        <v>56.0887193672252</v>
      </c>
      <c r="T46" s="2275" t="n">
        <f aca="false">G46/$B$4</f>
        <v>567.431729751563</v>
      </c>
      <c r="U46" s="2277" t="n">
        <f aca="false">L46/$B$4</f>
        <v>249.357050459396</v>
      </c>
      <c r="V46" s="2277" t="n">
        <f aca="false">M46/$B$4</f>
        <v>305.445769826621</v>
      </c>
      <c r="W46" s="2277" t="n">
        <f aca="false">N46/$B$4</f>
        <v>338.577483728136</v>
      </c>
      <c r="X46" s="2275"/>
      <c r="Y46" s="2275"/>
      <c r="Z46" s="2275"/>
      <c r="AA46" s="2275"/>
      <c r="AB46" s="2275"/>
      <c r="AC46" s="2275"/>
      <c r="AD46" s="2277"/>
      <c r="AE46" s="2275"/>
      <c r="AF46" s="2349"/>
      <c r="AG46" s="2275"/>
      <c r="AH46" s="2275" t="n">
        <v>395.787602566087</v>
      </c>
      <c r="AI46" s="2252"/>
      <c r="AJ46" s="2275" t="n">
        <v>808.21</v>
      </c>
      <c r="AK46" s="2275"/>
      <c r="AL46" s="2275"/>
      <c r="AM46" s="2275"/>
      <c r="AN46" s="2275"/>
      <c r="AO46" s="2275"/>
      <c r="AP46" s="2275"/>
      <c r="AQ46" s="2275"/>
      <c r="AR46" s="2275"/>
      <c r="AS46" s="2252"/>
      <c r="AT46" s="2275" t="n">
        <v>715.21</v>
      </c>
      <c r="AU46" s="2275"/>
      <c r="AV46" s="2252"/>
      <c r="AW46" s="2275"/>
      <c r="AX46" s="2275"/>
      <c r="AY46" s="2275"/>
      <c r="AZ46" s="2275"/>
      <c r="BA46" s="2275"/>
      <c r="BB46" s="2275" t="n">
        <v>341.61</v>
      </c>
      <c r="BC46" s="2275" t="n">
        <v>624.98</v>
      </c>
      <c r="BD46" s="2275"/>
      <c r="BE46" s="2275"/>
      <c r="BF46" s="2275"/>
      <c r="BG46" s="2275"/>
      <c r="BH46" s="2275"/>
      <c r="BI46" s="2275"/>
      <c r="BJ46" s="2275"/>
      <c r="BK46" s="2275" t="n">
        <v>8.43</v>
      </c>
      <c r="BL46" s="2275"/>
      <c r="BM46" s="2275"/>
      <c r="BN46" s="2275"/>
      <c r="BO46" s="2275"/>
      <c r="BP46" s="2275"/>
      <c r="BQ46" s="2275"/>
      <c r="BR46" s="2275"/>
      <c r="BS46" s="2275" t="n">
        <v>11.16</v>
      </c>
      <c r="BT46" s="2275"/>
      <c r="BU46" s="2275"/>
      <c r="BV46" s="2252"/>
      <c r="BW46" s="2252"/>
      <c r="BX46" s="2252"/>
      <c r="BY46" s="2252"/>
      <c r="BZ46" s="2275"/>
      <c r="CA46" s="2275"/>
      <c r="CB46" s="2275"/>
      <c r="CC46" s="2275"/>
      <c r="CD46" s="2275"/>
      <c r="CE46" s="2275"/>
      <c r="CF46" s="2275"/>
      <c r="CG46" s="2252"/>
      <c r="CH46" s="2252" t="n">
        <v>23.82</v>
      </c>
      <c r="CI46" s="2252" t="n">
        <v>30.63</v>
      </c>
      <c r="CJ46" s="2252"/>
      <c r="CK46" s="2275" t="n">
        <v>78073.038</v>
      </c>
      <c r="CL46" s="2275" t="n">
        <v>61321.663</v>
      </c>
      <c r="CM46" s="2275" t="n">
        <v>29429.724</v>
      </c>
      <c r="CN46" s="2252"/>
      <c r="CO46" s="2252"/>
      <c r="CP46" s="2252"/>
      <c r="CQ46" s="2252"/>
      <c r="CR46" s="2252"/>
      <c r="CS46" s="2252"/>
      <c r="CT46" s="2252"/>
      <c r="CU46" s="2252"/>
      <c r="CV46" s="2252"/>
      <c r="CW46" s="2252"/>
      <c r="CX46" s="2252"/>
      <c r="CY46" s="2252"/>
      <c r="CZ46" s="2252"/>
      <c r="DA46" s="2252" t="n">
        <v>287.9</v>
      </c>
      <c r="DB46" s="2252" t="n">
        <v>368.2</v>
      </c>
      <c r="DC46" s="2252" t="n">
        <v>-80.3</v>
      </c>
      <c r="DD46" s="2342" t="n">
        <f aca="false">DA46/$B$4</f>
        <v>147.200932596391</v>
      </c>
      <c r="DE46" s="2342" t="n">
        <f aca="false">DB46/$B$4</f>
        <v>188.257670656448</v>
      </c>
      <c r="DF46" s="2342" t="n">
        <f aca="false">DC46/$B$4</f>
        <v>-41.0567380600564</v>
      </c>
      <c r="DG46" s="2252"/>
      <c r="DH46" s="2252"/>
      <c r="DI46" s="2252"/>
      <c r="DK46" s="2342" t="n">
        <v>9.036</v>
      </c>
      <c r="DL46" s="2252"/>
      <c r="DM46" s="2275" t="n">
        <f aca="false">DN46+DO46</f>
        <v>649.987602566087</v>
      </c>
      <c r="DN46" s="2275" t="n">
        <v>254.2</v>
      </c>
      <c r="DO46" s="2330" t="n">
        <f aca="false">AH46</f>
        <v>395.787602566087</v>
      </c>
      <c r="DP46" s="2252"/>
      <c r="DQ46" s="2252"/>
      <c r="DR46" s="2275"/>
      <c r="DS46" s="2275" t="n">
        <v>574.4</v>
      </c>
      <c r="DT46" s="2275"/>
      <c r="DU46" s="2275"/>
      <c r="DV46" s="2275" t="n">
        <f aca="false">ED46-DZ46</f>
        <v>857.6</v>
      </c>
      <c r="DW46" s="2275"/>
      <c r="DX46" s="2275"/>
      <c r="DY46" s="2275"/>
      <c r="DZ46" s="2275" t="n">
        <v>96.4</v>
      </c>
      <c r="EA46" s="2275"/>
      <c r="EB46" s="2275"/>
      <c r="EC46" s="2275"/>
      <c r="ED46" s="2275" t="n">
        <v>954</v>
      </c>
      <c r="EE46" s="2275"/>
      <c r="EF46" s="2275"/>
      <c r="EG46" s="2252"/>
      <c r="EH46" s="2252"/>
      <c r="EI46" s="2252"/>
      <c r="EJ46" s="2252"/>
      <c r="EK46" s="2252"/>
      <c r="EL46" s="2252"/>
      <c r="EM46" s="2252"/>
      <c r="EN46" s="2252"/>
      <c r="EO46" s="2252"/>
      <c r="EP46" s="2252"/>
      <c r="EQ46" s="2252"/>
      <c r="ER46" s="2252"/>
      <c r="ES46" s="2252"/>
      <c r="ET46" s="2275"/>
      <c r="EU46" s="2275"/>
      <c r="EV46" s="2275"/>
      <c r="EW46" s="2275" t="n">
        <v>219.19</v>
      </c>
      <c r="EX46" s="2275" t="n">
        <v>171.071</v>
      </c>
      <c r="EY46" s="2275" t="n">
        <v>48.12</v>
      </c>
      <c r="EZ46" s="2330"/>
      <c r="FA46" s="2252"/>
      <c r="FB46" s="2252"/>
      <c r="FC46" s="2252"/>
      <c r="FD46" s="2252"/>
      <c r="FE46" s="2252"/>
      <c r="FF46" s="2252"/>
      <c r="FG46" s="2252"/>
      <c r="FH46" s="2252"/>
      <c r="FI46" s="2252"/>
      <c r="FJ46" s="2252"/>
      <c r="FK46" s="2252"/>
      <c r="FL46" s="2252"/>
      <c r="FM46" s="2252"/>
    </row>
    <row r="47" customFormat="false" ht="12" hidden="false" customHeight="true" outlineLevel="0" collapsed="false">
      <c r="A47" s="2252" t="n">
        <v>1979</v>
      </c>
      <c r="B47" s="2275" t="n">
        <v>1341.5</v>
      </c>
      <c r="C47" s="2275" t="n">
        <v>1366.5</v>
      </c>
      <c r="D47" s="2275" t="n">
        <v>70</v>
      </c>
      <c r="E47" s="2275" t="n">
        <v>193.6</v>
      </c>
      <c r="F47" s="2275" t="n">
        <v>130.4</v>
      </c>
      <c r="G47" s="2275" t="n">
        <v>1211.1</v>
      </c>
      <c r="H47" s="2275" t="n">
        <f aca="false">C47-F47</f>
        <v>1236.1</v>
      </c>
      <c r="I47" s="2275" t="n">
        <v>376.6</v>
      </c>
      <c r="J47" s="2275" t="n">
        <v>101.4</v>
      </c>
      <c r="K47" s="2275" t="n">
        <v>68.3</v>
      </c>
      <c r="L47" s="2275" t="n">
        <f aca="false">K47+J47+I47</f>
        <v>546.3</v>
      </c>
      <c r="M47" s="2275" t="n">
        <f aca="false">F47+L47</f>
        <v>676.7</v>
      </c>
      <c r="N47" s="2275" t="n">
        <f aca="false">C47-M47</f>
        <v>689.8</v>
      </c>
      <c r="O47" s="2275" t="n">
        <f aca="false">B47/$B$4</f>
        <v>685.898058624727</v>
      </c>
      <c r="P47" s="2275" t="n">
        <f aca="false">C47/$B$4</f>
        <v>698.680355654633</v>
      </c>
      <c r="Q47" s="2275" t="n">
        <f aca="false">D47/$B$4</f>
        <v>35.7904316837353</v>
      </c>
      <c r="R47" s="2275" t="n">
        <f aca="false">E47/$B$4</f>
        <v>98.9861081995879</v>
      </c>
      <c r="S47" s="2277" t="n">
        <f aca="false">F47/$B$4</f>
        <v>66.6724613079869</v>
      </c>
      <c r="T47" s="2275" t="n">
        <f aca="false">G47/$B$4</f>
        <v>619.22559731674</v>
      </c>
      <c r="U47" s="2277" t="n">
        <f aca="false">L47/$B$4</f>
        <v>279.318754697494</v>
      </c>
      <c r="V47" s="2277" t="n">
        <f aca="false">M47/$B$4</f>
        <v>345.991216005481</v>
      </c>
      <c r="W47" s="2277" t="n">
        <f aca="false">N47/$B$4</f>
        <v>352.689139649152</v>
      </c>
      <c r="X47" s="2275"/>
      <c r="Y47" s="2275"/>
      <c r="Z47" s="2275"/>
      <c r="AA47" s="2275"/>
      <c r="AB47" s="2275"/>
      <c r="AC47" s="2275"/>
      <c r="AD47" s="2277"/>
      <c r="AE47" s="2275"/>
      <c r="AF47" s="2349"/>
      <c r="AG47" s="2275"/>
      <c r="AH47" s="2275" t="n">
        <v>441.70525240653</v>
      </c>
      <c r="AI47" s="2252"/>
      <c r="AJ47" s="2275" t="n">
        <v>881.32</v>
      </c>
      <c r="AK47" s="2275"/>
      <c r="AL47" s="2275"/>
      <c r="AM47" s="2275"/>
      <c r="AN47" s="2275"/>
      <c r="AO47" s="2275"/>
      <c r="AP47" s="2275"/>
      <c r="AQ47" s="2275"/>
      <c r="AR47" s="2275"/>
      <c r="AS47" s="2252"/>
      <c r="AT47" s="2275" t="n">
        <v>785.92</v>
      </c>
      <c r="AU47" s="2275"/>
      <c r="AV47" s="2252"/>
      <c r="AW47" s="2275"/>
      <c r="AX47" s="2275"/>
      <c r="AY47" s="2275"/>
      <c r="AZ47" s="2275"/>
      <c r="BA47" s="2275"/>
      <c r="BB47" s="2275" t="n">
        <v>363.41</v>
      </c>
      <c r="BC47" s="2275" t="n">
        <v>665</v>
      </c>
      <c r="BD47" s="2275"/>
      <c r="BE47" s="2275"/>
      <c r="BF47" s="2275"/>
      <c r="BG47" s="2275"/>
      <c r="BH47" s="2275"/>
      <c r="BI47" s="2275"/>
      <c r="BJ47" s="2275"/>
      <c r="BK47" s="2275" t="n">
        <v>8.16</v>
      </c>
      <c r="BL47" s="2275"/>
      <c r="BM47" s="2275"/>
      <c r="BN47" s="2275"/>
      <c r="BO47" s="2275"/>
      <c r="BP47" s="2275"/>
      <c r="BQ47" s="2275"/>
      <c r="BR47" s="2275"/>
      <c r="BS47" s="2275" t="n">
        <v>12.15</v>
      </c>
      <c r="BT47" s="2275"/>
      <c r="BU47" s="2275"/>
      <c r="BV47" s="2252"/>
      <c r="BW47" s="2252"/>
      <c r="BX47" s="2252"/>
      <c r="BY47" s="2252"/>
      <c r="BZ47" s="2275"/>
      <c r="CA47" s="2275"/>
      <c r="CB47" s="2275"/>
      <c r="CC47" s="2275"/>
      <c r="CD47" s="2275"/>
      <c r="CE47" s="2275"/>
      <c r="CF47" s="2275"/>
      <c r="CG47" s="2252"/>
      <c r="CH47" s="2252" t="n">
        <v>27.54</v>
      </c>
      <c r="CI47" s="2252" t="n">
        <v>35.37</v>
      </c>
      <c r="CJ47" s="2252"/>
      <c r="CK47" s="2275" t="n">
        <v>78179.666</v>
      </c>
      <c r="CL47" s="2275" t="n">
        <v>61439.342</v>
      </c>
      <c r="CM47" s="2275" t="n">
        <v>29850.43</v>
      </c>
      <c r="CN47" s="2252"/>
      <c r="CO47" s="2252"/>
      <c r="CP47" s="2252"/>
      <c r="CQ47" s="2252"/>
      <c r="CR47" s="2252"/>
      <c r="CS47" s="2252"/>
      <c r="CT47" s="2252"/>
      <c r="CU47" s="2252"/>
      <c r="CV47" s="2252"/>
      <c r="CW47" s="2252"/>
      <c r="CX47" s="2252"/>
      <c r="CY47" s="2252"/>
      <c r="CZ47" s="2252"/>
      <c r="DA47" s="2252" t="n">
        <v>294.5</v>
      </c>
      <c r="DB47" s="2252" t="n">
        <v>411.7</v>
      </c>
      <c r="DC47" s="2252" t="n">
        <v>-117.3</v>
      </c>
      <c r="DD47" s="2342" t="n">
        <f aca="false">DA47/$B$4</f>
        <v>150.575459012286</v>
      </c>
      <c r="DE47" s="2342" t="n">
        <f aca="false">DB47/$B$4</f>
        <v>210.498867488483</v>
      </c>
      <c r="DF47" s="2342" t="n">
        <f aca="false">DC47/$B$4</f>
        <v>-59.9745376643164</v>
      </c>
      <c r="DG47" s="2252"/>
      <c r="DH47" s="2252"/>
      <c r="DI47" s="2252"/>
      <c r="DK47" s="2342" t="n">
        <v>10.591</v>
      </c>
      <c r="DL47" s="2252"/>
      <c r="DM47" s="2275" t="n">
        <f aca="false">DN47+DO47</f>
        <v>719.16525240653</v>
      </c>
      <c r="DN47" s="2275" t="n">
        <v>277.46</v>
      </c>
      <c r="DO47" s="2330" t="n">
        <f aca="false">AH47</f>
        <v>441.70525240653</v>
      </c>
      <c r="DP47" s="2252"/>
      <c r="DQ47" s="2252"/>
      <c r="DR47" s="2275"/>
      <c r="DS47" s="2275" t="n">
        <v>611</v>
      </c>
      <c r="DT47" s="2275"/>
      <c r="DU47" s="2275"/>
      <c r="DV47" s="2275" t="n">
        <f aca="false">ED47-DZ47</f>
        <v>931.9</v>
      </c>
      <c r="DW47" s="2275"/>
      <c r="DX47" s="2275"/>
      <c r="DY47" s="2275"/>
      <c r="DZ47" s="2275" t="n">
        <v>100.7</v>
      </c>
      <c r="EA47" s="2275"/>
      <c r="EB47" s="2275"/>
      <c r="EC47" s="2275"/>
      <c r="ED47" s="2275" t="n">
        <v>1032.6</v>
      </c>
      <c r="EE47" s="2275"/>
      <c r="EF47" s="2275"/>
      <c r="EG47" s="2252"/>
      <c r="EH47" s="2252"/>
      <c r="EI47" s="2252"/>
      <c r="EJ47" s="2252"/>
      <c r="EK47" s="2252"/>
      <c r="EL47" s="2252"/>
      <c r="EM47" s="2252"/>
      <c r="EN47" s="2252"/>
      <c r="EO47" s="2252"/>
      <c r="EP47" s="2252"/>
      <c r="EQ47" s="2252"/>
      <c r="ER47" s="2252"/>
      <c r="ES47" s="2252"/>
      <c r="ET47" s="2275"/>
      <c r="EU47" s="2275"/>
      <c r="EV47" s="2275"/>
      <c r="EW47" s="2275" t="n">
        <v>231.563</v>
      </c>
      <c r="EX47" s="2275" t="n">
        <v>192.44</v>
      </c>
      <c r="EY47" s="2275" t="n">
        <v>39.123</v>
      </c>
      <c r="EZ47" s="2330"/>
      <c r="FA47" s="2252"/>
      <c r="FB47" s="2252"/>
      <c r="FC47" s="2252"/>
      <c r="FD47" s="2252"/>
      <c r="FE47" s="2252"/>
      <c r="FF47" s="2252"/>
      <c r="FG47" s="2252"/>
      <c r="FH47" s="2252"/>
      <c r="FI47" s="2252"/>
      <c r="FJ47" s="2252"/>
      <c r="FK47" s="2252"/>
      <c r="FL47" s="2252"/>
      <c r="FM47" s="2252"/>
    </row>
    <row r="48" customFormat="false" ht="12" hidden="false" customHeight="true" outlineLevel="0" collapsed="false">
      <c r="A48" s="2252" t="n">
        <v>1980</v>
      </c>
      <c r="B48" s="2275" t="n">
        <v>1466.4</v>
      </c>
      <c r="C48" s="2275" t="n">
        <v>1483.5</v>
      </c>
      <c r="D48" s="2275" t="n">
        <v>70.8</v>
      </c>
      <c r="E48" s="2275" t="n">
        <v>215.6</v>
      </c>
      <c r="F48" s="2275" t="n">
        <v>143.2</v>
      </c>
      <c r="G48" s="2275" t="n">
        <v>1323.3</v>
      </c>
      <c r="H48" s="2275" t="n">
        <f aca="false">C48-F48</f>
        <v>1340.3</v>
      </c>
      <c r="I48" s="2275" t="n">
        <v>419.8</v>
      </c>
      <c r="J48" s="2275" t="n">
        <v>113.1</v>
      </c>
      <c r="K48" s="2275" t="n">
        <v>73.5</v>
      </c>
      <c r="L48" s="2275" t="n">
        <f aca="false">K48+J48+I48</f>
        <v>606.4</v>
      </c>
      <c r="M48" s="2275" t="n">
        <f aca="false">F48+L48</f>
        <v>749.6</v>
      </c>
      <c r="N48" s="2275" t="n">
        <f aca="false">C48-M48</f>
        <v>733.9</v>
      </c>
      <c r="O48" s="2275" t="n">
        <f aca="false">B48/$B$4</f>
        <v>749.758414586135</v>
      </c>
      <c r="P48" s="2275" t="n">
        <f aca="false">C48/$B$4</f>
        <v>758.50150575459</v>
      </c>
      <c r="Q48" s="2275" t="n">
        <f aca="false">D48/$B$4</f>
        <v>36.1994651886923</v>
      </c>
      <c r="R48" s="2275" t="n">
        <f aca="false">E48/$B$4</f>
        <v>110.234529585905</v>
      </c>
      <c r="S48" s="2277" t="n">
        <f aca="false">F48/$B$4</f>
        <v>73.2169973872985</v>
      </c>
      <c r="T48" s="2275" t="n">
        <f aca="false">G48/$B$4</f>
        <v>676.592546386956</v>
      </c>
      <c r="U48" s="2277" t="n">
        <f aca="false">L48/$B$4</f>
        <v>310.047396757387</v>
      </c>
      <c r="V48" s="2277" t="n">
        <f aca="false">M48/$B$4</f>
        <v>383.264394144685</v>
      </c>
      <c r="W48" s="2277" t="n">
        <f aca="false">N48/$B$4</f>
        <v>375.237111609905</v>
      </c>
      <c r="X48" s="2275"/>
      <c r="Y48" s="2275"/>
      <c r="Z48" s="2275"/>
      <c r="AA48" s="2275"/>
      <c r="AB48" s="2275"/>
      <c r="AC48" s="2275"/>
      <c r="AD48" s="2277"/>
      <c r="AE48" s="2275"/>
      <c r="AF48" s="2349"/>
      <c r="AG48" s="2275"/>
      <c r="AH48" s="2275" t="n">
        <v>514.149273786931</v>
      </c>
      <c r="AI48" s="2252"/>
      <c r="AJ48" s="2275" t="n">
        <v>1007.52</v>
      </c>
      <c r="AK48" s="2275"/>
      <c r="AL48" s="2275"/>
      <c r="AM48" s="2275"/>
      <c r="AN48" s="2275"/>
      <c r="AO48" s="2275"/>
      <c r="AP48" s="2275"/>
      <c r="AQ48" s="2275"/>
      <c r="AR48" s="2275"/>
      <c r="AS48" s="2252"/>
      <c r="AT48" s="2275" t="n">
        <v>896.77</v>
      </c>
      <c r="AU48" s="2275"/>
      <c r="AV48" s="2252"/>
      <c r="AW48" s="2275"/>
      <c r="AX48" s="2275"/>
      <c r="AY48" s="2275"/>
      <c r="AZ48" s="2275"/>
      <c r="BA48" s="2275"/>
      <c r="BB48" s="2275" t="n">
        <v>390.61</v>
      </c>
      <c r="BC48" s="2275" t="n">
        <v>714.16</v>
      </c>
      <c r="BD48" s="2275"/>
      <c r="BE48" s="2275"/>
      <c r="BF48" s="2275"/>
      <c r="BG48" s="2275"/>
      <c r="BH48" s="2275"/>
      <c r="BI48" s="2275"/>
      <c r="BJ48" s="2275"/>
      <c r="BK48" s="2275" t="n">
        <v>8.43</v>
      </c>
      <c r="BL48" s="2275"/>
      <c r="BM48" s="2275"/>
      <c r="BN48" s="2275"/>
      <c r="BO48" s="2275"/>
      <c r="BP48" s="2275"/>
      <c r="BQ48" s="2275"/>
      <c r="BR48" s="2275"/>
      <c r="BS48" s="2275" t="n">
        <v>13.83</v>
      </c>
      <c r="BT48" s="2275"/>
      <c r="BU48" s="2275"/>
      <c r="BV48" s="2252"/>
      <c r="BW48" s="2252"/>
      <c r="BX48" s="2252"/>
      <c r="BY48" s="2252"/>
      <c r="BZ48" s="2275"/>
      <c r="CA48" s="2275"/>
      <c r="CB48" s="2275"/>
      <c r="CC48" s="2275"/>
      <c r="CD48" s="2275"/>
      <c r="CE48" s="2275"/>
      <c r="CF48" s="2275"/>
      <c r="CG48" s="2252"/>
      <c r="CH48" s="2252" t="n">
        <v>31.92</v>
      </c>
      <c r="CI48" s="2252" t="n">
        <v>41.93</v>
      </c>
      <c r="CJ48" s="2252"/>
      <c r="CK48" s="2275" t="n">
        <v>78397.483</v>
      </c>
      <c r="CL48" s="2275" t="n">
        <v>61657.945</v>
      </c>
      <c r="CM48" s="2275" t="n">
        <v>30322.201</v>
      </c>
      <c r="CN48" s="2252"/>
      <c r="CO48" s="2252"/>
      <c r="CP48" s="2252"/>
      <c r="CQ48" s="2252"/>
      <c r="CR48" s="2252"/>
      <c r="CS48" s="2252"/>
      <c r="CT48" s="2252"/>
      <c r="CU48" s="2252"/>
      <c r="CV48" s="2252"/>
      <c r="CW48" s="2252"/>
      <c r="CX48" s="2252"/>
      <c r="CY48" s="2252"/>
      <c r="CZ48" s="2252"/>
      <c r="DA48" s="2252" t="n">
        <v>307.2</v>
      </c>
      <c r="DB48" s="2252" t="n">
        <v>466.1</v>
      </c>
      <c r="DC48" s="2252" t="n">
        <v>-158.9</v>
      </c>
      <c r="DD48" s="2342" t="n">
        <f aca="false">DA48/$B$4</f>
        <v>157.068865903478</v>
      </c>
      <c r="DE48" s="2342" t="n">
        <f aca="false">DB48/$B$4</f>
        <v>238.313145825557</v>
      </c>
      <c r="DF48" s="2342" t="n">
        <f aca="false">DC48/$B$4</f>
        <v>-81.2442799220791</v>
      </c>
      <c r="DG48" s="2252"/>
      <c r="DH48" s="2252"/>
      <c r="DI48" s="2252"/>
      <c r="DK48" s="2342" t="n">
        <v>21.736</v>
      </c>
      <c r="DL48" s="2252"/>
      <c r="DM48" s="2275" t="n">
        <f aca="false">DN48+DO48</f>
        <v>829.939273786931</v>
      </c>
      <c r="DN48" s="2275" t="n">
        <v>315.79</v>
      </c>
      <c r="DO48" s="2330" t="n">
        <f aca="false">AH48</f>
        <v>514.149273786931</v>
      </c>
      <c r="DP48" s="2252"/>
      <c r="DQ48" s="2252"/>
      <c r="DR48" s="2275" t="n">
        <f aca="false">DS48+DT48</f>
        <v>3050.9</v>
      </c>
      <c r="DS48" s="2275" t="n">
        <v>657.3</v>
      </c>
      <c r="DT48" s="2275" t="n">
        <f aca="false">2392.7-310.2-23.3+279.6+54.8</f>
        <v>2393.6</v>
      </c>
      <c r="DU48" s="2275" t="n">
        <f aca="false">DW48+DX48</f>
        <v>3305.7</v>
      </c>
      <c r="DV48" s="2275" t="n">
        <f aca="false">ED48-DZ48</f>
        <v>1025.9</v>
      </c>
      <c r="DW48" s="2275" t="n">
        <f aca="false">EE48-EA48</f>
        <v>1023.8</v>
      </c>
      <c r="DX48" s="2275" t="n">
        <f aca="false">EF48-EB48</f>
        <v>2281.9</v>
      </c>
      <c r="DY48" s="2275" t="n">
        <f aca="false">EA48+EB48</f>
        <v>285.2</v>
      </c>
      <c r="DZ48" s="2275" t="n">
        <v>105.8</v>
      </c>
      <c r="EA48" s="2275" t="n">
        <v>244.5</v>
      </c>
      <c r="EB48" s="2275" t="n">
        <v>40.7</v>
      </c>
      <c r="EC48" s="2275" t="n">
        <f aca="false">EE48+EF48</f>
        <v>3590.9</v>
      </c>
      <c r="ED48" s="2275" t="n">
        <v>1131.7</v>
      </c>
      <c r="EE48" s="2275" t="n">
        <f aca="false">1131.7-28.5-105.8+26.4+244.5</f>
        <v>1268.3</v>
      </c>
      <c r="EF48" s="2275" t="n">
        <f aca="false">2345.3-408.7-17.6+362.9+40.7</f>
        <v>2322.6</v>
      </c>
      <c r="EG48" s="2252"/>
      <c r="EH48" s="2252"/>
      <c r="EI48" s="2252"/>
      <c r="EJ48" s="2252"/>
      <c r="EK48" s="2252"/>
      <c r="EL48" s="2252"/>
      <c r="EM48" s="2252"/>
      <c r="EN48" s="2252"/>
      <c r="EO48" s="2252"/>
      <c r="EP48" s="2252"/>
      <c r="EQ48" s="2252" t="n">
        <f aca="false">430.4-24.7-24.4+22.5+37.1</f>
        <v>440.9</v>
      </c>
      <c r="ER48" s="2252" t="n">
        <f aca="false">507.6-28.7-44.9+28.7+44.9</f>
        <v>507.6</v>
      </c>
      <c r="ES48" s="2252" t="n">
        <f aca="false">EQ48-ER48</f>
        <v>-66.7</v>
      </c>
      <c r="ET48" s="2275"/>
      <c r="EU48" s="2275"/>
      <c r="EV48" s="2275"/>
      <c r="EW48" s="2275" t="n">
        <v>256.363</v>
      </c>
      <c r="EX48" s="2275" t="n">
        <v>227.026</v>
      </c>
      <c r="EY48" s="2275" t="n">
        <v>29.336</v>
      </c>
      <c r="EZ48" s="2330"/>
      <c r="FA48" s="2252"/>
      <c r="FB48" s="2252"/>
      <c r="FC48" s="2252"/>
      <c r="FD48" s="2252"/>
      <c r="FE48" s="2252"/>
      <c r="FF48" s="2252"/>
      <c r="FG48" s="2252"/>
      <c r="FH48" s="2252"/>
      <c r="FI48" s="2252"/>
      <c r="FJ48" s="2252"/>
      <c r="FK48" s="2252"/>
      <c r="FL48" s="2252"/>
      <c r="FM48" s="2252"/>
    </row>
    <row r="49" customFormat="false" ht="12" hidden="false" customHeight="true" outlineLevel="0" collapsed="false">
      <c r="A49" s="2252" t="n">
        <v>1981</v>
      </c>
      <c r="B49" s="2275" t="n">
        <v>1596.5</v>
      </c>
      <c r="C49" s="2275" t="n">
        <v>1605.4</v>
      </c>
      <c r="D49" s="2275" t="n">
        <v>66.5</v>
      </c>
      <c r="E49" s="2275" t="n">
        <v>241</v>
      </c>
      <c r="F49" s="2275" t="n">
        <v>150.8</v>
      </c>
      <c r="G49" s="2275" t="n">
        <v>1445.7</v>
      </c>
      <c r="H49" s="2275" t="n">
        <f aca="false">C49-F49</f>
        <v>1454.6</v>
      </c>
      <c r="I49" s="2275" t="n">
        <v>458.8</v>
      </c>
      <c r="J49" s="2275" t="n">
        <v>124.2</v>
      </c>
      <c r="K49" s="2275" t="n">
        <v>79.6</v>
      </c>
      <c r="L49" s="2275" t="n">
        <f aca="false">K49+J49+I49</f>
        <v>662.6</v>
      </c>
      <c r="M49" s="2275" t="n">
        <f aca="false">F49+L49</f>
        <v>813.4</v>
      </c>
      <c r="N49" s="2275" t="n">
        <f aca="false">C49-M49</f>
        <v>792</v>
      </c>
      <c r="O49" s="2275" t="n">
        <f aca="false">B49/$B$4</f>
        <v>816.277488329763</v>
      </c>
      <c r="P49" s="2275" t="n">
        <f aca="false">C49/$B$4</f>
        <v>820.827986072409</v>
      </c>
      <c r="Q49" s="2275" t="n">
        <f aca="false">D49/$B$4</f>
        <v>34.0009100995485</v>
      </c>
      <c r="R49" s="2275" t="n">
        <f aca="false">E49/$B$4</f>
        <v>123.221343368289</v>
      </c>
      <c r="S49" s="2277" t="n">
        <f aca="false">F49/$B$4</f>
        <v>77.1028156843898</v>
      </c>
      <c r="T49" s="2275" t="n">
        <f aca="false">G49/$B$4</f>
        <v>739.174672645373</v>
      </c>
      <c r="U49" s="2277" t="n">
        <f aca="false">L49/$B$4</f>
        <v>338.782000480614</v>
      </c>
      <c r="V49" s="2277" t="n">
        <f aca="false">M49/$B$4</f>
        <v>415.884816165004</v>
      </c>
      <c r="W49" s="2277" t="n">
        <f aca="false">N49/$B$4</f>
        <v>404.943169907405</v>
      </c>
      <c r="X49" s="2275"/>
      <c r="Y49" s="2275"/>
      <c r="Z49" s="2275"/>
      <c r="AA49" s="2275"/>
      <c r="AB49" s="2275"/>
      <c r="AC49" s="2275"/>
      <c r="AD49" s="2277"/>
      <c r="AE49" s="2275"/>
      <c r="AF49" s="2349"/>
      <c r="AG49" s="2275"/>
      <c r="AH49" s="2275" t="n">
        <v>573.052168294849</v>
      </c>
      <c r="AI49" s="2252"/>
      <c r="AJ49" s="2275" t="n">
        <v>1117.06</v>
      </c>
      <c r="AK49" s="2275"/>
      <c r="AL49" s="2275"/>
      <c r="AM49" s="2275"/>
      <c r="AN49" s="2275"/>
      <c r="AO49" s="2275"/>
      <c r="AP49" s="2275"/>
      <c r="AQ49" s="2275"/>
      <c r="AR49" s="2275"/>
      <c r="AS49" s="2252"/>
      <c r="AT49" s="2275" t="n">
        <v>992.25</v>
      </c>
      <c r="AU49" s="2275"/>
      <c r="AV49" s="2252"/>
      <c r="AW49" s="2275"/>
      <c r="AX49" s="2275"/>
      <c r="AY49" s="2275"/>
      <c r="AZ49" s="2275"/>
      <c r="BA49" s="2275"/>
      <c r="BB49" s="2275" t="n">
        <v>424.01</v>
      </c>
      <c r="BC49" s="2275" t="n">
        <v>775.98</v>
      </c>
      <c r="BD49" s="2275"/>
      <c r="BE49" s="2275"/>
      <c r="BF49" s="2275"/>
      <c r="BG49" s="2275"/>
      <c r="BH49" s="2275"/>
      <c r="BI49" s="2275"/>
      <c r="BJ49" s="2275"/>
      <c r="BK49" s="2275" t="n">
        <v>8.51</v>
      </c>
      <c r="BL49" s="2275"/>
      <c r="BM49" s="2275"/>
      <c r="BN49" s="2275"/>
      <c r="BO49" s="2275"/>
      <c r="BP49" s="2275"/>
      <c r="BQ49" s="2275"/>
      <c r="BR49" s="2275"/>
      <c r="BS49" s="2275" t="n">
        <v>15</v>
      </c>
      <c r="BT49" s="2275"/>
      <c r="BU49" s="2275"/>
      <c r="BV49" s="2252"/>
      <c r="BW49" s="2252"/>
      <c r="BX49" s="2252"/>
      <c r="BY49" s="2252"/>
      <c r="BZ49" s="2275"/>
      <c r="CA49" s="2275"/>
      <c r="CB49" s="2275"/>
      <c r="CC49" s="2275"/>
      <c r="CD49" s="2275"/>
      <c r="CE49" s="2275"/>
      <c r="CF49" s="2275"/>
      <c r="CG49" s="2252"/>
      <c r="CH49" s="2252" t="n">
        <v>37.15</v>
      </c>
      <c r="CI49" s="2252" t="n">
        <v>49.12</v>
      </c>
      <c r="CJ49" s="2252"/>
      <c r="CK49" s="2275" t="n">
        <v>78418.324</v>
      </c>
      <c r="CL49" s="2275" t="n">
        <v>61712.689</v>
      </c>
      <c r="CM49" s="2275" t="n">
        <v>30806.346</v>
      </c>
      <c r="CN49" s="2252"/>
      <c r="CO49" s="2252"/>
      <c r="CP49" s="2252"/>
      <c r="CQ49" s="2252"/>
      <c r="CR49" s="2252"/>
      <c r="CS49" s="2252"/>
      <c r="CT49" s="2252"/>
      <c r="CU49" s="2252"/>
      <c r="CV49" s="2252"/>
      <c r="CW49" s="2252"/>
      <c r="CX49" s="2252"/>
      <c r="CY49" s="2252"/>
      <c r="CZ49" s="2252"/>
      <c r="DA49" s="2252" t="n">
        <v>326.2</v>
      </c>
      <c r="DB49" s="2252" t="n">
        <v>543.9</v>
      </c>
      <c r="DC49" s="2252" t="n">
        <v>-217.7</v>
      </c>
      <c r="DD49" s="2342" t="n">
        <f aca="false">DA49/$B$4</f>
        <v>166.783411646206</v>
      </c>
      <c r="DE49" s="2342" t="n">
        <f aca="false">DB49/$B$4</f>
        <v>278.091654182623</v>
      </c>
      <c r="DF49" s="2342" t="n">
        <f aca="false">DC49/$B$4</f>
        <v>-111.308242536417</v>
      </c>
      <c r="DG49" s="2252"/>
      <c r="DH49" s="2252"/>
      <c r="DI49" s="2252"/>
      <c r="DK49" s="2342" t="n">
        <v>34.251</v>
      </c>
      <c r="DL49" s="2252"/>
      <c r="DM49" s="2275" t="n">
        <f aca="false">DN49+DO49</f>
        <v>923.172168294849</v>
      </c>
      <c r="DN49" s="2275" t="n">
        <v>350.12</v>
      </c>
      <c r="DO49" s="2330" t="n">
        <f aca="false">AH49</f>
        <v>573.052168294849</v>
      </c>
      <c r="DP49" s="2252"/>
      <c r="DQ49" s="2252"/>
      <c r="DR49" s="2275"/>
      <c r="DS49" s="2275" t="n">
        <v>725.4</v>
      </c>
      <c r="DT49" s="2275"/>
      <c r="DU49" s="2275"/>
      <c r="DV49" s="2275" t="n">
        <f aca="false">ED49-DZ49</f>
        <v>1113.6</v>
      </c>
      <c r="DW49" s="2275"/>
      <c r="DX49" s="2275"/>
      <c r="DY49" s="2275"/>
      <c r="DZ49" s="2275" t="n">
        <v>110.3</v>
      </c>
      <c r="EA49" s="2275"/>
      <c r="EB49" s="2275"/>
      <c r="EC49" s="2275"/>
      <c r="ED49" s="2275" t="n">
        <v>1223.9</v>
      </c>
      <c r="EE49" s="2275"/>
      <c r="EF49" s="2275"/>
      <c r="EG49" s="2252"/>
      <c r="EH49" s="2252"/>
      <c r="EI49" s="2252"/>
      <c r="EJ49" s="2252"/>
      <c r="EK49" s="2252"/>
      <c r="EL49" s="2252"/>
      <c r="EM49" s="2252"/>
      <c r="EN49" s="2252"/>
      <c r="EO49" s="2252"/>
      <c r="EP49" s="2252"/>
      <c r="EQ49" s="2252"/>
      <c r="ER49" s="2252"/>
      <c r="ES49" s="2252"/>
      <c r="ET49" s="2275"/>
      <c r="EU49" s="2275"/>
      <c r="EV49" s="2275"/>
      <c r="EW49" s="2275" t="n">
        <v>287.566</v>
      </c>
      <c r="EX49" s="2275" t="n">
        <v>258.021</v>
      </c>
      <c r="EY49" s="2275" t="n">
        <v>29.546</v>
      </c>
      <c r="EZ49" s="2330"/>
      <c r="FA49" s="2252"/>
      <c r="FB49" s="2252"/>
      <c r="FC49" s="2252"/>
      <c r="FD49" s="2252"/>
      <c r="FE49" s="2252"/>
      <c r="FF49" s="2252"/>
      <c r="FG49" s="2252"/>
      <c r="FH49" s="2252"/>
      <c r="FI49" s="2252"/>
      <c r="FJ49" s="2252"/>
      <c r="FK49" s="2252"/>
      <c r="FL49" s="2252"/>
      <c r="FM49" s="2252"/>
    </row>
    <row r="50" customFormat="false" ht="12" hidden="false" customHeight="true" outlineLevel="0" collapsed="false">
      <c r="A50" s="2252" t="n">
        <v>1982</v>
      </c>
      <c r="B50" s="2275" t="n">
        <v>1724.4</v>
      </c>
      <c r="C50" s="2275" t="n">
        <v>1758</v>
      </c>
      <c r="D50" s="2275" t="n">
        <v>70.7</v>
      </c>
      <c r="E50" s="2275" t="n">
        <v>269.2</v>
      </c>
      <c r="F50" s="2275" t="n">
        <v>159.7</v>
      </c>
      <c r="G50" s="2275" t="n">
        <v>1564.8</v>
      </c>
      <c r="H50" s="2275" t="n">
        <f aca="false">C50-F50</f>
        <v>1598.3</v>
      </c>
      <c r="I50" s="2275" t="n">
        <v>495.5</v>
      </c>
      <c r="J50" s="2275" t="n">
        <v>130.6</v>
      </c>
      <c r="K50" s="2275" t="n">
        <v>83.6</v>
      </c>
      <c r="L50" s="2275" t="n">
        <f aca="false">K50+J50+I50</f>
        <v>709.7</v>
      </c>
      <c r="M50" s="2275" t="n">
        <f aca="false">F50+L50</f>
        <v>869.4</v>
      </c>
      <c r="N50" s="2275" t="n">
        <f aca="false">C50-M50</f>
        <v>888.6</v>
      </c>
      <c r="O50" s="2275" t="n">
        <f aca="false">B50/$B$4</f>
        <v>881.671719934759</v>
      </c>
      <c r="P50" s="2275" t="n">
        <f aca="false">C50/$B$4</f>
        <v>898.851127142952</v>
      </c>
      <c r="Q50" s="2275" t="n">
        <f aca="false">D50/$B$4</f>
        <v>36.1483360005727</v>
      </c>
      <c r="R50" s="2275" t="n">
        <f aca="false">E50/$B$4</f>
        <v>137.639774418022</v>
      </c>
      <c r="S50" s="2277" t="n">
        <f aca="false">F50/$B$4</f>
        <v>81.6533134270361</v>
      </c>
      <c r="T50" s="2275" t="n">
        <f aca="false">G50/$B$4</f>
        <v>800.069535695843</v>
      </c>
      <c r="U50" s="2277" t="n">
        <f aca="false">L50/$B$4</f>
        <v>362.863848084956</v>
      </c>
      <c r="V50" s="2277" t="n">
        <f aca="false">M50/$B$4</f>
        <v>444.517161511992</v>
      </c>
      <c r="W50" s="2277" t="n">
        <f aca="false">N50/$B$4</f>
        <v>454.33396563096</v>
      </c>
      <c r="X50" s="2275"/>
      <c r="Y50" s="2275"/>
      <c r="Z50" s="2275"/>
      <c r="AA50" s="2275"/>
      <c r="AB50" s="2275"/>
      <c r="AC50" s="2275"/>
      <c r="AD50" s="2277"/>
      <c r="AE50" s="2275"/>
      <c r="AF50" s="2349"/>
      <c r="AG50" s="2275"/>
      <c r="AH50" s="2275" t="n">
        <v>590.047351747582</v>
      </c>
      <c r="AI50" s="2252"/>
      <c r="AJ50" s="2275" t="n">
        <v>1203.57</v>
      </c>
      <c r="AK50" s="2275"/>
      <c r="AL50" s="2275"/>
      <c r="AM50" s="2275"/>
      <c r="AN50" s="2275"/>
      <c r="AO50" s="2275"/>
      <c r="AP50" s="2275"/>
      <c r="AQ50" s="2275"/>
      <c r="AR50" s="2275"/>
      <c r="AS50" s="2252"/>
      <c r="AT50" s="2275" t="n">
        <v>1049.28</v>
      </c>
      <c r="AU50" s="2275"/>
      <c r="AV50" s="2252"/>
      <c r="AW50" s="2275"/>
      <c r="AX50" s="2275"/>
      <c r="AY50" s="2275"/>
      <c r="AZ50" s="2275"/>
      <c r="BA50" s="2275"/>
      <c r="BB50" s="2275" t="n">
        <v>458.33</v>
      </c>
      <c r="BC50" s="2275" t="n">
        <v>842.11</v>
      </c>
      <c r="BD50" s="2275"/>
      <c r="BE50" s="2275"/>
      <c r="BF50" s="2275"/>
      <c r="BG50" s="2275"/>
      <c r="BH50" s="2275"/>
      <c r="BI50" s="2275"/>
      <c r="BJ50" s="2275"/>
      <c r="BK50" s="2275" t="n">
        <v>9.45</v>
      </c>
      <c r="BL50" s="2275"/>
      <c r="BM50" s="2275"/>
      <c r="BN50" s="2275"/>
      <c r="BO50" s="2275"/>
      <c r="BP50" s="2275"/>
      <c r="BQ50" s="2275"/>
      <c r="BR50" s="2275"/>
      <c r="BS50" s="2275" t="n">
        <v>17.29</v>
      </c>
      <c r="BT50" s="2275"/>
      <c r="BU50" s="2275"/>
      <c r="BV50" s="2252"/>
      <c r="BW50" s="2252"/>
      <c r="BX50" s="2252"/>
      <c r="BY50" s="2252"/>
      <c r="BZ50" s="2275"/>
      <c r="CA50" s="2275"/>
      <c r="CB50" s="2275"/>
      <c r="CC50" s="2275"/>
      <c r="CD50" s="2275"/>
      <c r="CE50" s="2275"/>
      <c r="CF50" s="2275"/>
      <c r="CG50" s="2252"/>
      <c r="CH50" s="2252" t="n">
        <v>42.43</v>
      </c>
      <c r="CI50" s="2252" t="n">
        <v>57.01</v>
      </c>
      <c r="CJ50" s="2252"/>
      <c r="CK50" s="2275" t="n">
        <v>78248.407</v>
      </c>
      <c r="CL50" s="2275" t="n">
        <v>61546.101</v>
      </c>
      <c r="CM50" s="2275" t="n">
        <v>31179.142</v>
      </c>
      <c r="CN50" s="2252"/>
      <c r="CO50" s="2252"/>
      <c r="CP50" s="2252"/>
      <c r="CQ50" s="2252"/>
      <c r="CR50" s="2252"/>
      <c r="CS50" s="2252"/>
      <c r="CT50" s="2252"/>
      <c r="CU50" s="2252"/>
      <c r="CV50" s="2252"/>
      <c r="CW50" s="2252"/>
      <c r="CX50" s="2252"/>
      <c r="CY50" s="2252"/>
      <c r="CZ50" s="2252"/>
      <c r="DA50" s="2252" t="n">
        <v>343.5</v>
      </c>
      <c r="DB50" s="2252" t="n">
        <v>613.7</v>
      </c>
      <c r="DC50" s="2252" t="n">
        <v>-270.1</v>
      </c>
      <c r="DD50" s="2342" t="n">
        <f aca="false">DA50/$B$4</f>
        <v>175.628761190901</v>
      </c>
      <c r="DE50" s="2342" t="n">
        <f aca="false">DB50/$B$4</f>
        <v>313.779827490119</v>
      </c>
      <c r="DF50" s="2342" t="n">
        <f aca="false">DC50/$B$4</f>
        <v>-138.099937111099</v>
      </c>
      <c r="DG50" s="2252"/>
      <c r="DH50" s="2252"/>
      <c r="DI50" s="2252"/>
      <c r="DK50" s="2342" t="n">
        <v>40.864</v>
      </c>
      <c r="DL50" s="2252"/>
      <c r="DM50" s="2275" t="n">
        <f aca="false">DN50+DO50</f>
        <v>968.197351747582</v>
      </c>
      <c r="DN50" s="2275" t="n">
        <v>378.15</v>
      </c>
      <c r="DO50" s="2330" t="n">
        <f aca="false">AH50</f>
        <v>590.047351747582</v>
      </c>
      <c r="DP50" s="2252"/>
      <c r="DQ50" s="2252"/>
      <c r="DR50" s="2275"/>
      <c r="DS50" s="2275" t="n">
        <v>788.8</v>
      </c>
      <c r="DT50" s="2275"/>
      <c r="DU50" s="2275"/>
      <c r="DV50" s="2275" t="n">
        <f aca="false">ED50-DZ50</f>
        <v>1175.8</v>
      </c>
      <c r="DW50" s="2275"/>
      <c r="DX50" s="2275"/>
      <c r="DY50" s="2275"/>
      <c r="DZ50" s="2275" t="n">
        <v>115.3</v>
      </c>
      <c r="EA50" s="2275"/>
      <c r="EB50" s="2275"/>
      <c r="EC50" s="2275"/>
      <c r="ED50" s="2275" t="n">
        <v>1291.1</v>
      </c>
      <c r="EE50" s="2275"/>
      <c r="EF50" s="2275"/>
      <c r="EG50" s="2252"/>
      <c r="EH50" s="2252"/>
      <c r="EI50" s="2252"/>
      <c r="EJ50" s="2252"/>
      <c r="EK50" s="2252"/>
      <c r="EL50" s="2252"/>
      <c r="EM50" s="2252"/>
      <c r="EN50" s="2252"/>
      <c r="EO50" s="2252"/>
      <c r="EP50" s="2252"/>
      <c r="EQ50" s="2252"/>
      <c r="ER50" s="2252"/>
      <c r="ES50" s="2252"/>
      <c r="ET50" s="2275"/>
      <c r="EU50" s="2275"/>
      <c r="EV50" s="2275"/>
      <c r="EW50" s="2275" t="n">
        <v>308.19</v>
      </c>
      <c r="EX50" s="2275" t="n">
        <v>275.624</v>
      </c>
      <c r="EY50" s="2275" t="n">
        <v>32.567</v>
      </c>
      <c r="EZ50" s="2330"/>
      <c r="FA50" s="2252"/>
      <c r="FB50" s="2252"/>
      <c r="FC50" s="2252"/>
      <c r="FD50" s="2252"/>
      <c r="FE50" s="2252"/>
      <c r="FF50" s="2252"/>
      <c r="FG50" s="2252"/>
      <c r="FH50" s="2252"/>
      <c r="FI50" s="2252"/>
      <c r="FJ50" s="2252"/>
      <c r="FK50" s="2252"/>
      <c r="FL50" s="2252"/>
      <c r="FM50" s="2252"/>
    </row>
    <row r="51" customFormat="false" ht="12" hidden="false" customHeight="true" outlineLevel="0" collapsed="false">
      <c r="A51" s="2252" t="n">
        <v>1983</v>
      </c>
      <c r="B51" s="2275" t="n">
        <v>1848.6</v>
      </c>
      <c r="C51" s="2275" t="n">
        <v>1890.9</v>
      </c>
      <c r="D51" s="2275" t="n">
        <v>93.8</v>
      </c>
      <c r="E51" s="2275" t="n">
        <v>297.3</v>
      </c>
      <c r="F51" s="2275" t="n">
        <v>171.6</v>
      </c>
      <c r="G51" s="2275" t="n">
        <v>1677</v>
      </c>
      <c r="H51" s="2275" t="n">
        <f aca="false">C51-F51</f>
        <v>1719.3</v>
      </c>
      <c r="I51" s="2275" t="n">
        <v>542.8</v>
      </c>
      <c r="J51" s="2275" t="n">
        <v>136.7</v>
      </c>
      <c r="K51" s="2275" t="n">
        <v>89.8</v>
      </c>
      <c r="L51" s="2275" t="n">
        <f aca="false">K51+J51+I51</f>
        <v>769.3</v>
      </c>
      <c r="M51" s="2275" t="n">
        <f aca="false">F51+L51</f>
        <v>940.9</v>
      </c>
      <c r="N51" s="2275" t="n">
        <f aca="false">C51-M51</f>
        <v>950</v>
      </c>
      <c r="O51" s="2275" t="n">
        <f aca="false">B51/$B$4</f>
        <v>945.17417157933</v>
      </c>
      <c r="P51" s="2275" t="n">
        <f aca="false">C51/$B$4</f>
        <v>966.80181815393</v>
      </c>
      <c r="Q51" s="2275" t="n">
        <f aca="false">D51/$B$4</f>
        <v>47.9591784562053</v>
      </c>
      <c r="R51" s="2275" t="n">
        <f aca="false">E51/$B$4</f>
        <v>152.007076279636</v>
      </c>
      <c r="S51" s="2277" t="n">
        <f aca="false">F51/$B$4</f>
        <v>87.7376868132711</v>
      </c>
      <c r="T51" s="2275" t="n">
        <f aca="false">G51/$B$4</f>
        <v>857.436484766059</v>
      </c>
      <c r="U51" s="2277" t="n">
        <f aca="false">L51/$B$4</f>
        <v>393.336844204251</v>
      </c>
      <c r="V51" s="2277" t="n">
        <f aca="false">M51/$B$4</f>
        <v>481.074531017522</v>
      </c>
      <c r="W51" s="2277" t="n">
        <f aca="false">N51/$B$4</f>
        <v>485.727287136408</v>
      </c>
      <c r="X51" s="2275"/>
      <c r="Y51" s="2275"/>
      <c r="Z51" s="2275"/>
      <c r="AA51" s="2275"/>
      <c r="AB51" s="2275"/>
      <c r="AC51" s="2275"/>
      <c r="AD51" s="2277"/>
      <c r="AE51" s="2275"/>
      <c r="AF51" s="2349"/>
      <c r="AG51" s="2275"/>
      <c r="AH51" s="2275" t="n">
        <v>591.159230277746</v>
      </c>
      <c r="AI51" s="2252"/>
      <c r="AJ51" s="2275" t="n">
        <v>1255.24</v>
      </c>
      <c r="AK51" s="2275"/>
      <c r="AL51" s="2275"/>
      <c r="AM51" s="2275"/>
      <c r="AN51" s="2275"/>
      <c r="AO51" s="2275"/>
      <c r="AP51" s="2275"/>
      <c r="AQ51" s="2275"/>
      <c r="AR51" s="2275"/>
      <c r="AS51" s="2252"/>
      <c r="AT51" s="2275" t="n">
        <v>1065.78</v>
      </c>
      <c r="AU51" s="2275"/>
      <c r="AV51" s="2252"/>
      <c r="AW51" s="2275"/>
      <c r="AX51" s="2275"/>
      <c r="AY51" s="2275"/>
      <c r="AZ51" s="2275"/>
      <c r="BA51" s="2275"/>
      <c r="BB51" s="2275" t="n">
        <v>480.52</v>
      </c>
      <c r="BC51" s="2275" t="n">
        <v>880.18</v>
      </c>
      <c r="BD51" s="2275"/>
      <c r="BE51" s="2275"/>
      <c r="BF51" s="2275"/>
      <c r="BG51" s="2275"/>
      <c r="BH51" s="2275"/>
      <c r="BI51" s="2275"/>
      <c r="BJ51" s="2275"/>
      <c r="BK51" s="2275" t="n">
        <v>9.63</v>
      </c>
      <c r="BL51" s="2275"/>
      <c r="BM51" s="2275"/>
      <c r="BN51" s="2275"/>
      <c r="BO51" s="2275"/>
      <c r="BP51" s="2275"/>
      <c r="BQ51" s="2275"/>
      <c r="BR51" s="2275"/>
      <c r="BS51" s="2275" t="n">
        <v>18.48</v>
      </c>
      <c r="BT51" s="2275"/>
      <c r="BU51" s="2275"/>
      <c r="BV51" s="2252"/>
      <c r="BW51" s="2252"/>
      <c r="BX51" s="2252"/>
      <c r="BY51" s="2252"/>
      <c r="BZ51" s="2275"/>
      <c r="CA51" s="2275"/>
      <c r="CB51" s="2275"/>
      <c r="CC51" s="2275"/>
      <c r="CD51" s="2275"/>
      <c r="CE51" s="2275"/>
      <c r="CF51" s="2275"/>
      <c r="CG51" s="2252"/>
      <c r="CH51" s="2252" t="n">
        <v>45.26</v>
      </c>
      <c r="CI51" s="2252" t="n">
        <v>61.31</v>
      </c>
      <c r="CJ51" s="2252"/>
      <c r="CK51" s="2275" t="n">
        <v>78008.156</v>
      </c>
      <c r="CL51" s="2275" t="n">
        <v>61306.669</v>
      </c>
      <c r="CM51" s="2275" t="n">
        <v>31512.05</v>
      </c>
      <c r="CN51" s="2252"/>
      <c r="CO51" s="2252"/>
      <c r="CP51" s="2252"/>
      <c r="CQ51" s="2252"/>
      <c r="CR51" s="2252"/>
      <c r="CS51" s="2252"/>
      <c r="CT51" s="2252"/>
      <c r="CU51" s="2252"/>
      <c r="CV51" s="2252"/>
      <c r="CW51" s="2252"/>
      <c r="CX51" s="2252"/>
      <c r="CY51" s="2252"/>
      <c r="CZ51" s="2252"/>
      <c r="DA51" s="2252" t="n">
        <v>356.7</v>
      </c>
      <c r="DB51" s="2252" t="n">
        <v>670.8</v>
      </c>
      <c r="DC51" s="2252" t="n">
        <v>-314</v>
      </c>
      <c r="DD51" s="2342" t="n">
        <f aca="false">DA51/$B$4</f>
        <v>182.377814022691</v>
      </c>
      <c r="DE51" s="2342" t="n">
        <f aca="false">DB51/$B$4</f>
        <v>342.974593906423</v>
      </c>
      <c r="DF51" s="2342" t="n">
        <f aca="false">DC51/$B$4</f>
        <v>-160.545650695613</v>
      </c>
      <c r="DG51" s="2252"/>
      <c r="DH51" s="2252"/>
      <c r="DI51" s="2252"/>
      <c r="DK51" s="2342" t="n">
        <v>48.764</v>
      </c>
      <c r="DL51" s="2252"/>
      <c r="DM51" s="2275" t="n">
        <f aca="false">DN51+DO51</f>
        <v>984.079230277746</v>
      </c>
      <c r="DN51" s="2275" t="n">
        <v>392.92</v>
      </c>
      <c r="DO51" s="2330" t="n">
        <f aca="false">AH51</f>
        <v>591.159230277746</v>
      </c>
      <c r="DP51" s="2252"/>
      <c r="DQ51" s="2252"/>
      <c r="DR51" s="2275"/>
      <c r="DS51" s="2275" t="n">
        <v>872.8</v>
      </c>
      <c r="DT51" s="2275"/>
      <c r="DU51" s="2275"/>
      <c r="DV51" s="2275" t="n">
        <f aca="false">ED51-DZ51</f>
        <v>1231.3</v>
      </c>
      <c r="DW51" s="2275"/>
      <c r="DX51" s="2275"/>
      <c r="DY51" s="2275"/>
      <c r="DZ51" s="2275" t="n">
        <v>120</v>
      </c>
      <c r="EA51" s="2275"/>
      <c r="EB51" s="2275"/>
      <c r="EC51" s="2275"/>
      <c r="ED51" s="2275" t="n">
        <v>1351.3</v>
      </c>
      <c r="EE51" s="2275"/>
      <c r="EF51" s="2275"/>
      <c r="EG51" s="2252"/>
      <c r="EH51" s="2252"/>
      <c r="EI51" s="2252"/>
      <c r="EJ51" s="2252"/>
      <c r="EK51" s="2252"/>
      <c r="EL51" s="2252"/>
      <c r="EM51" s="2252"/>
      <c r="EN51" s="2252"/>
      <c r="EO51" s="2252"/>
      <c r="EP51" s="2252"/>
      <c r="EQ51" s="2252"/>
      <c r="ER51" s="2252"/>
      <c r="ES51" s="2252"/>
      <c r="ET51" s="2275"/>
      <c r="EU51" s="2275"/>
      <c r="EV51" s="2275"/>
      <c r="EW51" s="2275" t="n">
        <v>337.353</v>
      </c>
      <c r="EX51" s="2275" t="n">
        <v>296.771</v>
      </c>
      <c r="EY51" s="2275" t="n">
        <v>40.583</v>
      </c>
      <c r="EZ51" s="2330"/>
      <c r="FA51" s="2252"/>
      <c r="FB51" s="2252"/>
      <c r="FC51" s="2252"/>
      <c r="FD51" s="2252"/>
      <c r="FE51" s="2252"/>
      <c r="FF51" s="2252"/>
      <c r="FG51" s="2252"/>
      <c r="FH51" s="2252"/>
      <c r="FI51" s="2252"/>
      <c r="FJ51" s="2252"/>
      <c r="FK51" s="2252"/>
      <c r="FL51" s="2252"/>
      <c r="FM51" s="2252"/>
    </row>
    <row r="52" customFormat="false" ht="12" hidden="false" customHeight="true" outlineLevel="0" collapsed="false">
      <c r="A52" s="2252" t="n">
        <v>1984</v>
      </c>
      <c r="B52" s="2275" t="n">
        <v>1981.8</v>
      </c>
      <c r="C52" s="2275" t="n">
        <v>2044</v>
      </c>
      <c r="D52" s="2275" t="n">
        <v>103.9</v>
      </c>
      <c r="E52" s="2275" t="n">
        <v>327.5</v>
      </c>
      <c r="F52" s="2275" t="n">
        <v>181.6</v>
      </c>
      <c r="G52" s="2275" t="n">
        <v>1800.2</v>
      </c>
      <c r="H52" s="2275" t="n">
        <f aca="false">C52-F52</f>
        <v>1862.4</v>
      </c>
      <c r="I52" s="2275" t="n">
        <v>586.5</v>
      </c>
      <c r="J52" s="2275" t="n">
        <v>142.7</v>
      </c>
      <c r="K52" s="2275" t="n">
        <v>94.7</v>
      </c>
      <c r="L52" s="2275" t="n">
        <f aca="false">K52+J52+I52</f>
        <v>823.9</v>
      </c>
      <c r="M52" s="2275" t="n">
        <f aca="false">F52+L52</f>
        <v>1005.5</v>
      </c>
      <c r="N52" s="2275" t="n">
        <f aca="false">C52-M52</f>
        <v>1038.5</v>
      </c>
      <c r="O52" s="2275" t="n">
        <f aca="false">B52/$B$4</f>
        <v>1013.27825015467</v>
      </c>
      <c r="P52" s="2275" t="n">
        <f aca="false">C52/$B$4</f>
        <v>1045.08060516507</v>
      </c>
      <c r="Q52" s="2275" t="n">
        <f aca="false">D52/$B$4</f>
        <v>53.1232264562871</v>
      </c>
      <c r="R52" s="2275" t="n">
        <f aca="false">E52/$B$4</f>
        <v>167.448091091762</v>
      </c>
      <c r="S52" s="2277" t="n">
        <f aca="false">F52/$B$4</f>
        <v>92.8506056252333</v>
      </c>
      <c r="T52" s="2275" t="n">
        <f aca="false">G52/$B$4</f>
        <v>920.427644529433</v>
      </c>
      <c r="U52" s="2277" t="n">
        <f aca="false">L52/$B$4</f>
        <v>421.253380917564</v>
      </c>
      <c r="V52" s="2277" t="n">
        <f aca="false">M52/$B$4</f>
        <v>514.103986542798</v>
      </c>
      <c r="W52" s="2277" t="n">
        <f aca="false">N52/$B$4</f>
        <v>530.976618622273</v>
      </c>
      <c r="X52" s="2275"/>
      <c r="Y52" s="2275"/>
      <c r="Z52" s="2275"/>
      <c r="AA52" s="2275"/>
      <c r="AB52" s="2275"/>
      <c r="AC52" s="2275"/>
      <c r="AD52" s="2277"/>
      <c r="AE52" s="2275"/>
      <c r="AF52" s="2349"/>
      <c r="AG52" s="2275"/>
      <c r="AH52" s="2275" t="n">
        <v>609.010097867683</v>
      </c>
      <c r="AI52" s="2252"/>
      <c r="AJ52" s="2275" t="n">
        <v>1336.95</v>
      </c>
      <c r="AK52" s="2275"/>
      <c r="AL52" s="2275"/>
      <c r="AM52" s="2275"/>
      <c r="AN52" s="2275"/>
      <c r="AO52" s="2275"/>
      <c r="AP52" s="2275"/>
      <c r="AQ52" s="2275"/>
      <c r="AR52" s="2275"/>
      <c r="AS52" s="2252"/>
      <c r="AT52" s="2275" t="n">
        <v>1110.44</v>
      </c>
      <c r="AU52" s="2275"/>
      <c r="AV52" s="2252"/>
      <c r="AW52" s="2275"/>
      <c r="AX52" s="2275"/>
      <c r="AY52" s="2275"/>
      <c r="AZ52" s="2275"/>
      <c r="BA52" s="2275"/>
      <c r="BB52" s="2275" t="n">
        <v>502.71</v>
      </c>
      <c r="BC52" s="2275" t="n">
        <v>918.75</v>
      </c>
      <c r="BD52" s="2275"/>
      <c r="BE52" s="2275"/>
      <c r="BF52" s="2275"/>
      <c r="BG52" s="2275"/>
      <c r="BH52" s="2275"/>
      <c r="BI52" s="2275"/>
      <c r="BJ52" s="2275"/>
      <c r="BK52" s="2275" t="n">
        <v>9.41</v>
      </c>
      <c r="BL52" s="2275"/>
      <c r="BM52" s="2275"/>
      <c r="BN52" s="2275"/>
      <c r="BO52" s="2275"/>
      <c r="BP52" s="2275"/>
      <c r="BQ52" s="2275"/>
      <c r="BR52" s="2275"/>
      <c r="BS52" s="2275" t="n">
        <v>20.83</v>
      </c>
      <c r="BT52" s="2275"/>
      <c r="BU52" s="2275"/>
      <c r="BV52" s="2252"/>
      <c r="BW52" s="2252"/>
      <c r="BX52" s="2252"/>
      <c r="BY52" s="2252"/>
      <c r="BZ52" s="2275"/>
      <c r="CA52" s="2275"/>
      <c r="CB52" s="2275"/>
      <c r="CC52" s="2275"/>
      <c r="CD52" s="2275"/>
      <c r="CE52" s="2275"/>
      <c r="CF52" s="2275"/>
      <c r="CG52" s="2252"/>
      <c r="CH52" s="2252" t="n">
        <v>44.85</v>
      </c>
      <c r="CI52" s="2252" t="n">
        <v>62.35</v>
      </c>
      <c r="CJ52" s="2252"/>
      <c r="CK52" s="2275" t="n">
        <v>77709.213</v>
      </c>
      <c r="CL52" s="2275" t="n">
        <v>61049.256</v>
      </c>
      <c r="CM52" s="2275" t="n">
        <v>31877.877</v>
      </c>
      <c r="CN52" s="2252"/>
      <c r="CO52" s="2252"/>
      <c r="CP52" s="2252"/>
      <c r="CQ52" s="2252"/>
      <c r="CR52" s="2252"/>
      <c r="CS52" s="2252"/>
      <c r="CT52" s="2252"/>
      <c r="CU52" s="2252"/>
      <c r="CV52" s="2252"/>
      <c r="CW52" s="2252"/>
      <c r="CX52" s="2252"/>
      <c r="CY52" s="2252"/>
      <c r="CZ52" s="2252"/>
      <c r="DA52" s="2252" t="n">
        <v>370.6</v>
      </c>
      <c r="DB52" s="2252" t="n">
        <v>718.2</v>
      </c>
      <c r="DC52" s="2252" t="n">
        <v>-347.7</v>
      </c>
      <c r="DD52" s="2342" t="n">
        <f aca="false">DA52/$B$4</f>
        <v>189.484771171319</v>
      </c>
      <c r="DE52" s="2342" t="n">
        <f aca="false">DB52/$B$4</f>
        <v>367.209829075124</v>
      </c>
      <c r="DF52" s="2342" t="n">
        <f aca="false">DC52/$B$4</f>
        <v>-177.776187091925</v>
      </c>
      <c r="DG52" s="2252"/>
      <c r="DH52" s="2252"/>
      <c r="DI52" s="2252"/>
      <c r="DK52" s="2342" t="n">
        <v>54.909</v>
      </c>
      <c r="DL52" s="2252"/>
      <c r="DM52" s="2275" t="n">
        <f aca="false">DN52+DO52</f>
        <v>1023.61009786768</v>
      </c>
      <c r="DN52" s="2275" t="n">
        <v>414.6</v>
      </c>
      <c r="DO52" s="2330" t="n">
        <f aca="false">AH52</f>
        <v>609.010097867683</v>
      </c>
      <c r="DP52" s="2252"/>
      <c r="DQ52" s="2252"/>
      <c r="DR52" s="2275"/>
      <c r="DS52" s="2275" t="n">
        <v>948.9</v>
      </c>
      <c r="DT52" s="2275"/>
      <c r="DU52" s="2275"/>
      <c r="DV52" s="2275" t="n">
        <f aca="false">ED52-DZ52</f>
        <v>1293.6</v>
      </c>
      <c r="DW52" s="2275"/>
      <c r="DX52" s="2275"/>
      <c r="DY52" s="2275"/>
      <c r="DZ52" s="2275" t="n">
        <v>125.6</v>
      </c>
      <c r="EA52" s="2275"/>
      <c r="EB52" s="2275"/>
      <c r="EC52" s="2275"/>
      <c r="ED52" s="2275" t="n">
        <v>1419.2</v>
      </c>
      <c r="EE52" s="2275"/>
      <c r="EF52" s="2275"/>
      <c r="EG52" s="2252"/>
      <c r="EH52" s="2252"/>
      <c r="EI52" s="2252"/>
      <c r="EJ52" s="2252"/>
      <c r="EK52" s="2252"/>
      <c r="EL52" s="2252"/>
      <c r="EM52" s="2252"/>
      <c r="EN52" s="2252"/>
      <c r="EO52" s="2252"/>
      <c r="EP52" s="2252"/>
      <c r="EQ52" s="2252"/>
      <c r="ER52" s="2252"/>
      <c r="ES52" s="2252"/>
      <c r="ET52" s="2275"/>
      <c r="EU52" s="2275"/>
      <c r="EV52" s="2275"/>
      <c r="EW52" s="2275" t="n">
        <v>392.17</v>
      </c>
      <c r="EX52" s="2275" t="n">
        <v>326.027</v>
      </c>
      <c r="EY52" s="2275" t="n">
        <v>66.143</v>
      </c>
      <c r="EZ52" s="2330"/>
      <c r="FA52" s="2252"/>
      <c r="FB52" s="2252"/>
      <c r="FC52" s="2252"/>
      <c r="FD52" s="2252"/>
      <c r="FE52" s="2252"/>
      <c r="FF52" s="2252"/>
      <c r="FG52" s="2252"/>
      <c r="FH52" s="2252"/>
      <c r="FI52" s="2252"/>
      <c r="FJ52" s="2252"/>
      <c r="FK52" s="2252"/>
      <c r="FL52" s="2252"/>
      <c r="FM52" s="2252"/>
    </row>
    <row r="53" customFormat="false" ht="12" hidden="false" customHeight="true" outlineLevel="0" collapsed="false">
      <c r="A53" s="2252" t="n">
        <v>1985</v>
      </c>
      <c r="B53" s="2275" t="n">
        <v>2104.4</v>
      </c>
      <c r="C53" s="2275" t="n">
        <v>2214.7</v>
      </c>
      <c r="D53" s="2275" t="n">
        <v>155.8</v>
      </c>
      <c r="E53" s="2275" t="n">
        <v>361.5</v>
      </c>
      <c r="F53" s="2275" t="n">
        <v>192.8</v>
      </c>
      <c r="G53" s="2275" t="n">
        <v>1911.6</v>
      </c>
      <c r="H53" s="2275" t="n">
        <f aca="false">C53-F53</f>
        <v>2021.9</v>
      </c>
      <c r="I53" s="2275" t="n">
        <v>622.9</v>
      </c>
      <c r="J53" s="2275" t="n">
        <v>143.6</v>
      </c>
      <c r="K53" s="2275" t="n">
        <v>100.2</v>
      </c>
      <c r="L53" s="2275" t="n">
        <f aca="false">K53+J53+I53</f>
        <v>866.7</v>
      </c>
      <c r="M53" s="2275" t="n">
        <f aca="false">F53+L53</f>
        <v>1059.5</v>
      </c>
      <c r="N53" s="2275" t="n">
        <f aca="false">C53-M53</f>
        <v>1155.2</v>
      </c>
      <c r="O53" s="2275" t="n">
        <f aca="false">B53/$B$4</f>
        <v>1075.96263478932</v>
      </c>
      <c r="P53" s="2275" t="n">
        <f aca="false">C53/$B$4</f>
        <v>1132.35812928527</v>
      </c>
      <c r="Q53" s="2275" t="n">
        <f aca="false">D53/$B$4</f>
        <v>79.6592750903708</v>
      </c>
      <c r="R53" s="2275" t="n">
        <f aca="false">E53/$B$4</f>
        <v>184.832015052433</v>
      </c>
      <c r="S53" s="2277" t="n">
        <f aca="false">F53/$B$4</f>
        <v>98.5770746946309</v>
      </c>
      <c r="T53" s="2275" t="n">
        <f aca="false">G53/$B$4</f>
        <v>977.385560094691</v>
      </c>
      <c r="U53" s="2277" t="n">
        <f aca="false">L53/$B$4</f>
        <v>443.136673432763</v>
      </c>
      <c r="V53" s="2277" t="n">
        <f aca="false">M53/$B$4</f>
        <v>541.713748127394</v>
      </c>
      <c r="W53" s="2277" t="n">
        <f aca="false">N53/$B$4</f>
        <v>590.644381157872</v>
      </c>
      <c r="X53" s="2275"/>
      <c r="Y53" s="2275"/>
      <c r="Z53" s="2275"/>
      <c r="AA53" s="2275"/>
      <c r="AB53" s="2275"/>
      <c r="AC53" s="2275"/>
      <c r="AD53" s="2277"/>
      <c r="AE53" s="2275"/>
      <c r="AF53" s="2349"/>
      <c r="AG53" s="2275"/>
      <c r="AH53" s="2275" t="n">
        <v>628.952565423958</v>
      </c>
      <c r="AI53" s="2252"/>
      <c r="AJ53" s="2275" t="n">
        <v>1388.85</v>
      </c>
      <c r="AK53" s="2275"/>
      <c r="AL53" s="2275"/>
      <c r="AM53" s="2275"/>
      <c r="AN53" s="2275"/>
      <c r="AO53" s="2275"/>
      <c r="AP53" s="2275"/>
      <c r="AQ53" s="2275"/>
      <c r="AR53" s="2275"/>
      <c r="AS53" s="2252"/>
      <c r="AT53" s="2275" t="n">
        <v>1146.58</v>
      </c>
      <c r="AU53" s="2275"/>
      <c r="AV53" s="2252"/>
      <c r="AW53" s="2275"/>
      <c r="AX53" s="2275"/>
      <c r="AY53" s="2275"/>
      <c r="AZ53" s="2275"/>
      <c r="BA53" s="2275"/>
      <c r="BB53" s="2275" t="n">
        <v>521.8</v>
      </c>
      <c r="BC53" s="2275" t="n">
        <v>950.25</v>
      </c>
      <c r="BD53" s="2275"/>
      <c r="BE53" s="2275"/>
      <c r="BF53" s="2275"/>
      <c r="BG53" s="2275"/>
      <c r="BH53" s="2275"/>
      <c r="BI53" s="2275"/>
      <c r="BJ53" s="2275"/>
      <c r="BK53" s="2275" t="n">
        <v>9.15</v>
      </c>
      <c r="BL53" s="2275"/>
      <c r="BM53" s="2275"/>
      <c r="BN53" s="2275"/>
      <c r="BO53" s="2275"/>
      <c r="BP53" s="2275"/>
      <c r="BQ53" s="2275"/>
      <c r="BR53" s="2275"/>
      <c r="BS53" s="2275" t="n">
        <v>22.3</v>
      </c>
      <c r="BT53" s="2275"/>
      <c r="BU53" s="2275"/>
      <c r="BV53" s="2252"/>
      <c r="BW53" s="2252"/>
      <c r="BX53" s="2252"/>
      <c r="BY53" s="2252"/>
      <c r="BZ53" s="2275"/>
      <c r="CA53" s="2275"/>
      <c r="CB53" s="2275"/>
      <c r="CC53" s="2275"/>
      <c r="CD53" s="2275"/>
      <c r="CE53" s="2275"/>
      <c r="CF53" s="2275"/>
      <c r="CG53" s="2252"/>
      <c r="CH53" s="2252" t="n">
        <v>40.23</v>
      </c>
      <c r="CI53" s="2252" t="n">
        <v>59.36</v>
      </c>
      <c r="CJ53" s="2252"/>
      <c r="CK53" s="2275" t="n">
        <v>77660.533</v>
      </c>
      <c r="CL53" s="2275" t="n">
        <v>61020.474</v>
      </c>
      <c r="CM53" s="2275" t="n">
        <v>32360.735</v>
      </c>
      <c r="CN53" s="2252"/>
      <c r="CO53" s="2252"/>
      <c r="CP53" s="2252"/>
      <c r="CQ53" s="2252"/>
      <c r="CR53" s="2252"/>
      <c r="CS53" s="2252"/>
      <c r="CT53" s="2252"/>
      <c r="CU53" s="2252"/>
      <c r="CV53" s="2252"/>
      <c r="CW53" s="2252"/>
      <c r="CX53" s="2252"/>
      <c r="CY53" s="2252"/>
      <c r="CZ53" s="2252"/>
      <c r="DA53" s="2252" t="n">
        <v>390.9</v>
      </c>
      <c r="DB53" s="2252" t="n">
        <v>762</v>
      </c>
      <c r="DC53" s="2252" t="n">
        <v>-371.2</v>
      </c>
      <c r="DD53" s="2342" t="n">
        <f aca="false">DA53/$B$4</f>
        <v>199.863996359602</v>
      </c>
      <c r="DE53" s="2342" t="n">
        <f aca="false">DB53/$B$4</f>
        <v>389.604413471519</v>
      </c>
      <c r="DF53" s="2342" t="n">
        <f aca="false">DC53/$B$4</f>
        <v>-189.791546300036</v>
      </c>
      <c r="DG53" s="2252"/>
      <c r="DH53" s="2252"/>
      <c r="DI53" s="2252"/>
      <c r="DK53" s="2342" t="n">
        <v>64.977</v>
      </c>
      <c r="DL53" s="2252"/>
      <c r="DM53" s="2275" t="n">
        <f aca="false">DN53+DO53</f>
        <v>1055.20256542396</v>
      </c>
      <c r="DN53" s="2275" t="n">
        <v>426.25</v>
      </c>
      <c r="DO53" s="2330" t="n">
        <f aca="false">AH53</f>
        <v>628.952565423958</v>
      </c>
      <c r="DP53" s="2252"/>
      <c r="DQ53" s="2252"/>
      <c r="DR53" s="2275" t="n">
        <f aca="false">DS53+DT53</f>
        <v>4564.4</v>
      </c>
      <c r="DS53" s="2275" t="n">
        <v>1057.3</v>
      </c>
      <c r="DT53" s="2275" t="n">
        <f aca="false">3407.6-524.3-32.5+540.3+116</f>
        <v>3507.1</v>
      </c>
      <c r="DU53" s="2275" t="n">
        <f aca="false">DW53+DX53</f>
        <v>4655.6</v>
      </c>
      <c r="DV53" s="2275" t="n">
        <f aca="false">ED53-DZ53</f>
        <v>1353.4</v>
      </c>
      <c r="DW53" s="2275" t="n">
        <f aca="false">EE53-EA53</f>
        <v>1356.5</v>
      </c>
      <c r="DX53" s="2275" t="n">
        <f aca="false">EF53-EB53</f>
        <v>3299.1</v>
      </c>
      <c r="DY53" s="2275" t="n">
        <f aca="false">EA53+EB53</f>
        <v>599.8</v>
      </c>
      <c r="DZ53" s="2275" t="n">
        <v>134.9</v>
      </c>
      <c r="EA53" s="2275" t="n">
        <v>507.6</v>
      </c>
      <c r="EB53" s="2275" t="n">
        <v>92.2</v>
      </c>
      <c r="EC53" s="2275" t="n">
        <f aca="false">EE53+EF53</f>
        <v>5255.4</v>
      </c>
      <c r="ED53" s="2275" t="n">
        <v>1488.3</v>
      </c>
      <c r="EE53" s="2275" t="n">
        <f aca="false">1488.3-39.2-134.9+42.3+507.6</f>
        <v>1864.1</v>
      </c>
      <c r="EF53" s="2275" t="n">
        <f aca="false">3311.3-647.3-24.5+659.6+92.2</f>
        <v>3391.3</v>
      </c>
      <c r="EG53" s="2252"/>
      <c r="EH53" s="2252"/>
      <c r="EI53" s="2252"/>
      <c r="EJ53" s="2252"/>
      <c r="EK53" s="2252"/>
      <c r="EL53" s="2252"/>
      <c r="EM53" s="2252"/>
      <c r="EN53" s="2252"/>
      <c r="EO53" s="2252"/>
      <c r="EP53" s="2252"/>
      <c r="EQ53" s="2252" t="n">
        <f aca="false">647-80.9-31.5+85.7+99.6</f>
        <v>719.9</v>
      </c>
      <c r="ER53" s="2252" t="n">
        <f aca="false">846-92.9-84.7+92.9+84.7</f>
        <v>846</v>
      </c>
      <c r="ES53" s="2252" t="n">
        <f aca="false">EQ53-ER53</f>
        <v>-126.1</v>
      </c>
      <c r="ET53" s="2275"/>
      <c r="EU53" s="2275"/>
      <c r="EV53" s="2275"/>
      <c r="EW53" s="2275" t="n">
        <v>433.484</v>
      </c>
      <c r="EX53" s="2275" t="n">
        <v>370.465</v>
      </c>
      <c r="EY53" s="2275" t="n">
        <v>63.019</v>
      </c>
      <c r="EZ53" s="2330"/>
      <c r="FA53" s="2252"/>
      <c r="FB53" s="2252"/>
      <c r="FC53" s="2252"/>
      <c r="FD53" s="2252"/>
      <c r="FE53" s="2252"/>
      <c r="FF53" s="2252"/>
      <c r="FG53" s="2252"/>
      <c r="FH53" s="2252"/>
      <c r="FI53" s="2252"/>
      <c r="FJ53" s="2252"/>
      <c r="FK53" s="2252"/>
      <c r="FL53" s="2252"/>
      <c r="FM53" s="2252"/>
    </row>
    <row r="54" customFormat="false" ht="12" hidden="false" customHeight="true" outlineLevel="0" collapsed="false">
      <c r="A54" s="2252" t="n">
        <v>1986</v>
      </c>
      <c r="B54" s="2275" t="n">
        <v>2236.3</v>
      </c>
      <c r="C54" s="2275" t="n">
        <v>2361.4</v>
      </c>
      <c r="D54" s="2275" t="n">
        <v>179.6</v>
      </c>
      <c r="E54" s="2275" t="n">
        <v>398</v>
      </c>
      <c r="F54" s="2275" t="n">
        <v>202.4</v>
      </c>
      <c r="G54" s="2275" t="n">
        <v>2034</v>
      </c>
      <c r="H54" s="2275" t="n">
        <f aca="false">C54-F54</f>
        <v>2159</v>
      </c>
      <c r="I54" s="2275" t="n">
        <v>652</v>
      </c>
      <c r="J54" s="2275" t="n">
        <v>141</v>
      </c>
      <c r="K54" s="2275" t="n">
        <v>99.1</v>
      </c>
      <c r="L54" s="2275" t="n">
        <f aca="false">K54+J54+I54</f>
        <v>892.1</v>
      </c>
      <c r="M54" s="2275" t="n">
        <f aca="false">F54+L54</f>
        <v>1094.5</v>
      </c>
      <c r="N54" s="2275" t="n">
        <f aca="false">C54-M54</f>
        <v>1266.9</v>
      </c>
      <c r="O54" s="2275" t="n">
        <f aca="false">B54/$B$4</f>
        <v>1143.4020339191</v>
      </c>
      <c r="P54" s="2275" t="n">
        <f aca="false">C54/$B$4</f>
        <v>1207.36464825675</v>
      </c>
      <c r="Q54" s="2275" t="n">
        <f aca="false">D54/$B$4</f>
        <v>91.8280218628408</v>
      </c>
      <c r="R54" s="2275" t="n">
        <f aca="false">E54/$B$4</f>
        <v>203.494168716095</v>
      </c>
      <c r="S54" s="2277" t="n">
        <f aca="false">F54/$B$4</f>
        <v>103.485476754115</v>
      </c>
      <c r="T54" s="2275" t="n">
        <f aca="false">G54/$B$4</f>
        <v>1039.96768635311</v>
      </c>
      <c r="U54" s="2277" t="n">
        <f aca="false">L54/$B$4</f>
        <v>456.123487215147</v>
      </c>
      <c r="V54" s="2277" t="n">
        <f aca="false">M54/$B$4</f>
        <v>559.608963969261</v>
      </c>
      <c r="W54" s="2277" t="n">
        <f aca="false">N54/$B$4</f>
        <v>647.755684287489</v>
      </c>
      <c r="X54" s="2275"/>
      <c r="Y54" s="2275"/>
      <c r="Z54" s="2275"/>
      <c r="AA54" s="2275"/>
      <c r="AB54" s="2275"/>
      <c r="AC54" s="2275"/>
      <c r="AD54" s="2277"/>
      <c r="AE54" s="2275"/>
      <c r="AF54" s="2349"/>
      <c r="AG54" s="2275"/>
      <c r="AH54" s="2275" t="n">
        <v>652.176568659694</v>
      </c>
      <c r="AI54" s="2252"/>
      <c r="AJ54" s="2275" t="n">
        <v>1429.03</v>
      </c>
      <c r="AK54" s="2275"/>
      <c r="AL54" s="2275"/>
      <c r="AM54" s="2275"/>
      <c r="AN54" s="2275"/>
      <c r="AO54" s="2275"/>
      <c r="AP54" s="2275"/>
      <c r="AQ54" s="2275"/>
      <c r="AR54" s="2275"/>
      <c r="AS54" s="2252"/>
      <c r="AT54" s="2275" t="n">
        <v>1178.09</v>
      </c>
      <c r="AU54" s="2275"/>
      <c r="AV54" s="2252"/>
      <c r="AW54" s="2275"/>
      <c r="AX54" s="2275"/>
      <c r="AY54" s="2275"/>
      <c r="AZ54" s="2275"/>
      <c r="BA54" s="2275"/>
      <c r="BB54" s="2275" t="n">
        <v>540.56</v>
      </c>
      <c r="BC54" s="2275" t="n">
        <v>982.34</v>
      </c>
      <c r="BD54" s="2275"/>
      <c r="BE54" s="2275"/>
      <c r="BF54" s="2275"/>
      <c r="BG54" s="2275"/>
      <c r="BH54" s="2275"/>
      <c r="BI54" s="2275"/>
      <c r="BJ54" s="2275"/>
      <c r="BK54" s="2275" t="n">
        <v>8.33</v>
      </c>
      <c r="BL54" s="2275"/>
      <c r="BM54" s="2275"/>
      <c r="BN54" s="2275"/>
      <c r="BO54" s="2275"/>
      <c r="BP54" s="2275"/>
      <c r="BQ54" s="2275"/>
      <c r="BR54" s="2275"/>
      <c r="BS54" s="2275" t="n">
        <v>23.97</v>
      </c>
      <c r="BT54" s="2275"/>
      <c r="BU54" s="2275"/>
      <c r="BV54" s="2252"/>
      <c r="BW54" s="2252"/>
      <c r="BX54" s="2252"/>
      <c r="BY54" s="2252"/>
      <c r="BZ54" s="2275"/>
      <c r="CA54" s="2275"/>
      <c r="CB54" s="2275"/>
      <c r="CC54" s="2275"/>
      <c r="CD54" s="2275"/>
      <c r="CE54" s="2275"/>
      <c r="CF54" s="2275"/>
      <c r="CG54" s="2252"/>
      <c r="CH54" s="2252" t="n">
        <v>42.95</v>
      </c>
      <c r="CI54" s="2252" t="n">
        <v>61.9</v>
      </c>
      <c r="CJ54" s="2252"/>
      <c r="CK54" s="2275" t="n">
        <v>77780.338</v>
      </c>
      <c r="CL54" s="2275" t="n">
        <v>61140.461</v>
      </c>
      <c r="CM54" s="2275" t="n">
        <v>32923.25</v>
      </c>
      <c r="CN54" s="2252"/>
      <c r="CO54" s="2252"/>
      <c r="CP54" s="2252"/>
      <c r="CQ54" s="2252"/>
      <c r="CR54" s="2252"/>
      <c r="CS54" s="2252"/>
      <c r="CT54" s="2252"/>
      <c r="CU54" s="2252"/>
      <c r="CV54" s="2252"/>
      <c r="CW54" s="2252"/>
      <c r="CX54" s="2252"/>
      <c r="CY54" s="2252"/>
      <c r="CZ54" s="2252"/>
      <c r="DA54" s="2252" t="n">
        <v>407.4</v>
      </c>
      <c r="DB54" s="2252" t="n">
        <v>804</v>
      </c>
      <c r="DC54" s="2252" t="n">
        <v>-396.6</v>
      </c>
      <c r="DD54" s="2342" t="n">
        <f aca="false">DA54/$B$4</f>
        <v>208.300312399339</v>
      </c>
      <c r="DE54" s="2342" t="n">
        <f aca="false">DB54/$B$4</f>
        <v>411.07867248176</v>
      </c>
      <c r="DF54" s="2342" t="n">
        <f aca="false">DC54/$B$4</f>
        <v>-202.77836008242</v>
      </c>
      <c r="DG54" s="2252"/>
      <c r="DH54" s="2252"/>
      <c r="DI54" s="2252"/>
      <c r="DK54" s="2342" t="n">
        <v>82.452</v>
      </c>
      <c r="DL54" s="2252"/>
      <c r="DM54" s="2275" t="n">
        <f aca="false">DN54+DO54</f>
        <v>1090.54656865969</v>
      </c>
      <c r="DN54" s="2275" t="n">
        <v>438.37</v>
      </c>
      <c r="DO54" s="2330" t="n">
        <f aca="false">AH54</f>
        <v>652.176568659694</v>
      </c>
      <c r="DP54" s="2252"/>
      <c r="DQ54" s="2252"/>
      <c r="DR54" s="2275"/>
      <c r="DS54" s="2275" t="n">
        <v>1105.7</v>
      </c>
      <c r="DT54" s="2275"/>
      <c r="DU54" s="2275"/>
      <c r="DV54" s="2275" t="n">
        <f aca="false">ED54-DZ54</f>
        <v>1398.4</v>
      </c>
      <c r="DW54" s="2275"/>
      <c r="DX54" s="2275"/>
      <c r="DY54" s="2275"/>
      <c r="DZ54" s="2275" t="n">
        <v>149.3</v>
      </c>
      <c r="EA54" s="2275"/>
      <c r="EB54" s="2275"/>
      <c r="EC54" s="2275"/>
      <c r="ED54" s="2275" t="n">
        <v>1547.7</v>
      </c>
      <c r="EE54" s="2275"/>
      <c r="EF54" s="2275"/>
      <c r="EG54" s="2252"/>
      <c r="EH54" s="2252"/>
      <c r="EI54" s="2252"/>
      <c r="EJ54" s="2252"/>
      <c r="EK54" s="2252"/>
      <c r="EL54" s="2252"/>
      <c r="EM54" s="2252"/>
      <c r="EN54" s="2252"/>
      <c r="EO54" s="2252"/>
      <c r="EP54" s="2252"/>
      <c r="EQ54" s="2252"/>
      <c r="ER54" s="2252"/>
      <c r="ES54" s="2252"/>
      <c r="ET54" s="2275"/>
      <c r="EU54" s="2275"/>
      <c r="EV54" s="2275"/>
      <c r="EW54" s="2275" t="n">
        <v>501.285</v>
      </c>
      <c r="EX54" s="2275" t="n">
        <v>409.5</v>
      </c>
      <c r="EY54" s="2275" t="n">
        <v>91.786</v>
      </c>
      <c r="EZ54" s="2330"/>
      <c r="FA54" s="2252"/>
      <c r="FB54" s="2252"/>
      <c r="FC54" s="2252"/>
      <c r="FD54" s="2252"/>
      <c r="FE54" s="2252"/>
      <c r="FF54" s="2252"/>
      <c r="FG54" s="2252"/>
      <c r="FH54" s="2252"/>
      <c r="FI54" s="2252"/>
      <c r="FJ54" s="2252"/>
      <c r="FK54" s="2252"/>
      <c r="FL54" s="2252"/>
      <c r="FM54" s="2252"/>
    </row>
    <row r="55" customFormat="false" ht="12" hidden="false" customHeight="true" outlineLevel="0" collapsed="false">
      <c r="A55" s="2252" t="n">
        <v>1987</v>
      </c>
      <c r="B55" s="2275" t="n">
        <v>2368.7</v>
      </c>
      <c r="C55" s="2275" t="n">
        <v>2443.5</v>
      </c>
      <c r="D55" s="2275" t="n">
        <v>136.1</v>
      </c>
      <c r="E55" s="2275" t="n">
        <v>433.8</v>
      </c>
      <c r="F55" s="2275" t="n">
        <v>213.9</v>
      </c>
      <c r="G55" s="2275" t="n">
        <v>2154.8</v>
      </c>
      <c r="H55" s="2275" t="n">
        <f aca="false">C55-F55</f>
        <v>2229.6</v>
      </c>
      <c r="I55" s="2275" t="n">
        <v>673.4</v>
      </c>
      <c r="J55" s="2275" t="n">
        <v>137.4</v>
      </c>
      <c r="K55" s="2275" t="n">
        <v>102.1</v>
      </c>
      <c r="L55" s="2275" t="n">
        <f aca="false">K55+J55+I55</f>
        <v>912.9</v>
      </c>
      <c r="M55" s="2275" t="n">
        <f aca="false">F55+L55</f>
        <v>1126.8</v>
      </c>
      <c r="N55" s="2275" t="n">
        <f aca="false">C55-M55</f>
        <v>1316.7</v>
      </c>
      <c r="O55" s="2275" t="n">
        <f aca="false">B55/$B$4</f>
        <v>1211.09707898948</v>
      </c>
      <c r="P55" s="2275" t="n">
        <f aca="false">C55/$B$4</f>
        <v>1249.34171170296</v>
      </c>
      <c r="Q55" s="2275" t="n">
        <f aca="false">D55/$B$4</f>
        <v>69.5868250308053</v>
      </c>
      <c r="R55" s="2275" t="n">
        <f aca="false">E55/$B$4</f>
        <v>221.79841806292</v>
      </c>
      <c r="S55" s="2277" t="n">
        <f aca="false">F55/$B$4</f>
        <v>109.365333387871</v>
      </c>
      <c r="T55" s="2275" t="n">
        <f aca="false">G55/$B$4</f>
        <v>1101.73174560161</v>
      </c>
      <c r="U55" s="2277" t="n">
        <f aca="false">L55/$B$4</f>
        <v>466.758358344028</v>
      </c>
      <c r="V55" s="2277" t="n">
        <f aca="false">M55/$B$4</f>
        <v>576.123691731899</v>
      </c>
      <c r="W55" s="2277" t="n">
        <f aca="false">N55/$B$4</f>
        <v>673.218019971061</v>
      </c>
      <c r="X55" s="2275"/>
      <c r="Y55" s="2275"/>
      <c r="Z55" s="2275"/>
      <c r="AA55" s="2275"/>
      <c r="AB55" s="2275"/>
      <c r="AC55" s="2275"/>
      <c r="AD55" s="2277"/>
      <c r="AE55" s="2275"/>
      <c r="AF55" s="2349"/>
      <c r="AG55" s="2275"/>
      <c r="AH55" s="2275" t="n">
        <v>673.384599974177</v>
      </c>
      <c r="AI55" s="2252"/>
      <c r="AJ55" s="2275" t="n">
        <v>1480.13</v>
      </c>
      <c r="AK55" s="2275"/>
      <c r="AL55" s="2275"/>
      <c r="AM55" s="2275"/>
      <c r="AN55" s="2275"/>
      <c r="AO55" s="2275"/>
      <c r="AP55" s="2275"/>
      <c r="AQ55" s="2275"/>
      <c r="AR55" s="2275"/>
      <c r="AS55" s="2252"/>
      <c r="AT55" s="2275" t="n">
        <v>1218.98</v>
      </c>
      <c r="AU55" s="2275"/>
      <c r="AV55" s="2252"/>
      <c r="AW55" s="2275"/>
      <c r="AX55" s="2275"/>
      <c r="AY55" s="2275"/>
      <c r="AZ55" s="2275"/>
      <c r="BA55" s="2275"/>
      <c r="BB55" s="2275" t="n">
        <v>555.77</v>
      </c>
      <c r="BC55" s="2275" t="n">
        <v>1013.11</v>
      </c>
      <c r="BD55" s="2275"/>
      <c r="BE55" s="2275"/>
      <c r="BF55" s="2275"/>
      <c r="BG55" s="2275"/>
      <c r="BH55" s="2275"/>
      <c r="BI55" s="2275"/>
      <c r="BJ55" s="2275"/>
      <c r="BK55" s="2275" t="n">
        <v>7.65</v>
      </c>
      <c r="BL55" s="2275"/>
      <c r="BM55" s="2275"/>
      <c r="BN55" s="2275"/>
      <c r="BO55" s="2275"/>
      <c r="BP55" s="2275"/>
      <c r="BQ55" s="2275"/>
      <c r="BR55" s="2275"/>
      <c r="BS55" s="2275" t="n">
        <v>25.08</v>
      </c>
      <c r="BT55" s="2275"/>
      <c r="BU55" s="2275"/>
      <c r="BV55" s="2252"/>
      <c r="BW55" s="2252"/>
      <c r="BX55" s="2252"/>
      <c r="BY55" s="2252"/>
      <c r="BZ55" s="2275"/>
      <c r="CA55" s="2275"/>
      <c r="CB55" s="2275"/>
      <c r="CC55" s="2275"/>
      <c r="CD55" s="2275"/>
      <c r="CE55" s="2275"/>
      <c r="CF55" s="2275"/>
      <c r="CG55" s="2252"/>
      <c r="CH55" s="2252" t="n">
        <v>43.66</v>
      </c>
      <c r="CI55" s="2252" t="n">
        <v>64.46</v>
      </c>
      <c r="CJ55" s="2252"/>
      <c r="CK55" s="2275" t="n">
        <v>77899.502</v>
      </c>
      <c r="CL55" s="2275" t="n">
        <v>61238.079</v>
      </c>
      <c r="CM55" s="2275" t="n">
        <v>33179.362</v>
      </c>
      <c r="CN55" s="2252"/>
      <c r="CO55" s="2252"/>
      <c r="CP55" s="2252"/>
      <c r="CQ55" s="2252"/>
      <c r="CR55" s="2252"/>
      <c r="CS55" s="2252"/>
      <c r="CT55" s="2252"/>
      <c r="CU55" s="2252"/>
      <c r="CV55" s="2252"/>
      <c r="CW55" s="2252"/>
      <c r="CX55" s="2252"/>
      <c r="CY55" s="2252"/>
      <c r="CZ55" s="2252"/>
      <c r="DA55" s="2252" t="n">
        <v>423</v>
      </c>
      <c r="DB55" s="2252" t="n">
        <v>852.9</v>
      </c>
      <c r="DC55" s="2252" t="n">
        <v>-429.9</v>
      </c>
      <c r="DD55" s="2342" t="n">
        <f aca="false">DA55/$B$4</f>
        <v>216.276465746</v>
      </c>
      <c r="DE55" s="2342" t="n">
        <f aca="false">DB55/$B$4</f>
        <v>436.080845472255</v>
      </c>
      <c r="DF55" s="2342" t="n">
        <f aca="false">DC55/$B$4</f>
        <v>-219.804379726254</v>
      </c>
      <c r="DG55" s="2252"/>
      <c r="DH55" s="2252"/>
      <c r="DI55" s="2252"/>
      <c r="DK55" s="2342" t="n">
        <v>89.921</v>
      </c>
      <c r="DL55" s="2252"/>
      <c r="DM55" s="2275" t="n">
        <f aca="false">DN55+DO55</f>
        <v>1127.32459997418</v>
      </c>
      <c r="DN55" s="2275" t="n">
        <v>453.94</v>
      </c>
      <c r="DO55" s="2330" t="n">
        <f aca="false">AH55</f>
        <v>673.384599974177</v>
      </c>
      <c r="DP55" s="2252"/>
      <c r="DQ55" s="2252"/>
      <c r="DR55" s="2275"/>
      <c r="DS55" s="2275" t="n">
        <v>1090.4</v>
      </c>
      <c r="DT55" s="2275"/>
      <c r="DU55" s="2275"/>
      <c r="DV55" s="2275" t="n">
        <f aca="false">ED55-DZ55</f>
        <v>1459</v>
      </c>
      <c r="DW55" s="2275"/>
      <c r="DX55" s="2275"/>
      <c r="DY55" s="2275"/>
      <c r="DZ55" s="2275" t="n">
        <v>158.3</v>
      </c>
      <c r="EA55" s="2275"/>
      <c r="EB55" s="2275"/>
      <c r="EC55" s="2275"/>
      <c r="ED55" s="2275" t="n">
        <v>1617.3</v>
      </c>
      <c r="EE55" s="2275"/>
      <c r="EF55" s="2275"/>
      <c r="EG55" s="2252"/>
      <c r="EH55" s="2252"/>
      <c r="EI55" s="2252"/>
      <c r="EJ55" s="2252"/>
      <c r="EK55" s="2252"/>
      <c r="EL55" s="2252"/>
      <c r="EM55" s="2252"/>
      <c r="EN55" s="2252"/>
      <c r="EO55" s="2252"/>
      <c r="EP55" s="2252"/>
      <c r="EQ55" s="2252"/>
      <c r="ER55" s="2252"/>
      <c r="ES55" s="2252"/>
      <c r="ET55" s="2275"/>
      <c r="EU55" s="2275"/>
      <c r="EV55" s="2275"/>
      <c r="EW55" s="2275" t="n">
        <v>537.969</v>
      </c>
      <c r="EX55" s="2275" t="n">
        <v>406.084</v>
      </c>
      <c r="EY55" s="2275" t="n">
        <v>131.885</v>
      </c>
      <c r="EZ55" s="2330"/>
      <c r="FA55" s="2252"/>
      <c r="FB55" s="2252"/>
      <c r="FC55" s="2252"/>
      <c r="FD55" s="2252"/>
      <c r="FE55" s="2252"/>
      <c r="FF55" s="2252"/>
      <c r="FG55" s="2252"/>
      <c r="FH55" s="2252"/>
      <c r="FI55" s="2252"/>
      <c r="FJ55" s="2252"/>
      <c r="FK55" s="2252"/>
      <c r="FL55" s="2252"/>
      <c r="FM55" s="2252"/>
    </row>
    <row r="56" customFormat="false" ht="12" hidden="false" customHeight="true" outlineLevel="0" collapsed="false">
      <c r="A56" s="2252" t="n">
        <v>1988</v>
      </c>
      <c r="B56" s="2275" t="n">
        <v>2546.3</v>
      </c>
      <c r="C56" s="2275" t="n">
        <v>2635.9</v>
      </c>
      <c r="D56" s="2275" t="n">
        <v>170.8</v>
      </c>
      <c r="E56" s="2275" t="n">
        <v>474.8</v>
      </c>
      <c r="F56" s="2275" t="n">
        <v>226.8</v>
      </c>
      <c r="G56" s="2275" t="n">
        <v>2319.5</v>
      </c>
      <c r="H56" s="2275" t="n">
        <f aca="false">C56-F56</f>
        <v>2409.1</v>
      </c>
      <c r="I56" s="2275" t="n">
        <v>699.1</v>
      </c>
      <c r="J56" s="2275" t="n">
        <v>129.5</v>
      </c>
      <c r="K56" s="2275" t="n">
        <v>104</v>
      </c>
      <c r="L56" s="2275" t="n">
        <f aca="false">K56+J56+I56</f>
        <v>932.6</v>
      </c>
      <c r="M56" s="2275" t="n">
        <f aca="false">F56+L56</f>
        <v>1159.4</v>
      </c>
      <c r="N56" s="2275" t="n">
        <f aca="false">C56-M56</f>
        <v>1476.5</v>
      </c>
      <c r="O56" s="2275" t="n">
        <f aca="false">B56/$B$4</f>
        <v>1301.90251708993</v>
      </c>
      <c r="P56" s="2275" t="n">
        <f aca="false">C56/$B$4</f>
        <v>1347.71426964511</v>
      </c>
      <c r="Q56" s="2275" t="n">
        <f aca="false">D56/$B$4</f>
        <v>87.3286533083141</v>
      </c>
      <c r="R56" s="2275" t="n">
        <f aca="false">E56/$B$4</f>
        <v>242.761385191965</v>
      </c>
      <c r="S56" s="2277" t="n">
        <f aca="false">F56/$B$4</f>
        <v>115.960998655302</v>
      </c>
      <c r="T56" s="2275" t="n">
        <f aca="false">G56/$B$4</f>
        <v>1185.94151843463</v>
      </c>
      <c r="U56" s="2277" t="n">
        <f aca="false">L56/$B$4</f>
        <v>476.830808403593</v>
      </c>
      <c r="V56" s="2277" t="n">
        <f aca="false">M56/$B$4</f>
        <v>592.791807058896</v>
      </c>
      <c r="W56" s="2277" t="n">
        <f aca="false">N56/$B$4</f>
        <v>754.922462586217</v>
      </c>
      <c r="X56" s="2275"/>
      <c r="Y56" s="2275"/>
      <c r="Z56" s="2275"/>
      <c r="AA56" s="2275"/>
      <c r="AB56" s="2275"/>
      <c r="AC56" s="2275"/>
      <c r="AD56" s="2277"/>
      <c r="AE56" s="2275"/>
      <c r="AF56" s="2349"/>
      <c r="AG56" s="2275"/>
      <c r="AH56" s="2275" t="n">
        <v>695.009557753876</v>
      </c>
      <c r="AI56" s="2252"/>
      <c r="AJ56" s="2275" t="n">
        <v>1537.42</v>
      </c>
      <c r="AK56" s="2275"/>
      <c r="AL56" s="2275"/>
      <c r="AM56" s="2275"/>
      <c r="AN56" s="2275"/>
      <c r="AO56" s="2275"/>
      <c r="AP56" s="2275"/>
      <c r="AQ56" s="2275"/>
      <c r="AR56" s="2275"/>
      <c r="AS56" s="2252"/>
      <c r="AT56" s="2275" t="n">
        <v>1262.6</v>
      </c>
      <c r="AU56" s="2275"/>
      <c r="AV56" s="2252"/>
      <c r="AW56" s="2275"/>
      <c r="AX56" s="2275"/>
      <c r="AY56" s="2275"/>
      <c r="AZ56" s="2275"/>
      <c r="BA56" s="2275"/>
      <c r="BB56" s="2275" t="n">
        <v>573.12</v>
      </c>
      <c r="BC56" s="2275" t="n">
        <v>1048.37</v>
      </c>
      <c r="BD56" s="2275"/>
      <c r="BE56" s="2275"/>
      <c r="BF56" s="2275"/>
      <c r="BG56" s="2275"/>
      <c r="BH56" s="2275"/>
      <c r="BI56" s="2275"/>
      <c r="BJ56" s="2275"/>
      <c r="BK56" s="2275" t="n">
        <v>7.56</v>
      </c>
      <c r="BL56" s="2275"/>
      <c r="BM56" s="2275"/>
      <c r="BN56" s="2275"/>
      <c r="BO56" s="2275"/>
      <c r="BP56" s="2275"/>
      <c r="BQ56" s="2275"/>
      <c r="BR56" s="2275"/>
      <c r="BS56" s="2275" t="n">
        <v>26.64</v>
      </c>
      <c r="BT56" s="2275"/>
      <c r="BU56" s="2275"/>
      <c r="BV56" s="2252"/>
      <c r="BW56" s="2252"/>
      <c r="BX56" s="2252"/>
      <c r="BY56" s="2252"/>
      <c r="BZ56" s="2275"/>
      <c r="CA56" s="2275"/>
      <c r="CB56" s="2275"/>
      <c r="CC56" s="2275"/>
      <c r="CD56" s="2275"/>
      <c r="CE56" s="2275"/>
      <c r="CF56" s="2275"/>
      <c r="CG56" s="2252"/>
      <c r="CH56" s="2252" t="n">
        <v>45.12</v>
      </c>
      <c r="CI56" s="2252" t="n">
        <v>65.31</v>
      </c>
      <c r="CJ56" s="2252"/>
      <c r="CK56" s="2275" t="n">
        <v>78389.735</v>
      </c>
      <c r="CL56" s="2275" t="n">
        <v>61715.103</v>
      </c>
      <c r="CM56" s="2275" t="n">
        <v>33642.946</v>
      </c>
      <c r="CN56" s="2252"/>
      <c r="CO56" s="2252"/>
      <c r="CP56" s="2252"/>
      <c r="CQ56" s="2252"/>
      <c r="CR56" s="2252"/>
      <c r="CS56" s="2252"/>
      <c r="CT56" s="2252"/>
      <c r="CU56" s="2252"/>
      <c r="CV56" s="2252"/>
      <c r="CW56" s="2252"/>
      <c r="CX56" s="2252"/>
      <c r="CY56" s="2252"/>
      <c r="CZ56" s="2252"/>
      <c r="DA56" s="2252" t="n">
        <v>436</v>
      </c>
      <c r="DB56" s="2252" t="n">
        <v>908</v>
      </c>
      <c r="DC56" s="2252" t="n">
        <v>-471.9</v>
      </c>
      <c r="DD56" s="2342" t="n">
        <f aca="false">DA56/$B$4</f>
        <v>222.923260201551</v>
      </c>
      <c r="DE56" s="2342" t="n">
        <f aca="false">DB56/$B$4</f>
        <v>464.253028126166</v>
      </c>
      <c r="DF56" s="2342" t="n">
        <f aca="false">DC56/$B$4</f>
        <v>-241.278638736496</v>
      </c>
      <c r="DG56" s="2252"/>
      <c r="DH56" s="2252"/>
      <c r="DI56" s="2252"/>
      <c r="DK56" s="2342" t="n">
        <v>91.53</v>
      </c>
      <c r="DL56" s="2252"/>
      <c r="DM56" s="2275" t="n">
        <f aca="false">DN56+DO56</f>
        <v>1165.57955775388</v>
      </c>
      <c r="DN56" s="2275" t="n">
        <v>470.57</v>
      </c>
      <c r="DO56" s="2330" t="n">
        <f aca="false">AH56</f>
        <v>695.009557753876</v>
      </c>
      <c r="DP56" s="2252"/>
      <c r="DQ56" s="2252"/>
      <c r="DR56" s="2275"/>
      <c r="DS56" s="2275" t="n">
        <v>1224.7</v>
      </c>
      <c r="DT56" s="2275"/>
      <c r="DU56" s="2275"/>
      <c r="DV56" s="2275" t="n">
        <f aca="false">ED56-DZ56</f>
        <v>1554.1</v>
      </c>
      <c r="DW56" s="2275"/>
      <c r="DX56" s="2275"/>
      <c r="DY56" s="2275"/>
      <c r="DZ56" s="2275" t="n">
        <v>165.6</v>
      </c>
      <c r="EA56" s="2275"/>
      <c r="EB56" s="2275"/>
      <c r="EC56" s="2275"/>
      <c r="ED56" s="2275" t="n">
        <v>1719.7</v>
      </c>
      <c r="EE56" s="2275"/>
      <c r="EF56" s="2275"/>
      <c r="EG56" s="2252"/>
      <c r="EH56" s="2252"/>
      <c r="EI56" s="2252"/>
      <c r="EJ56" s="2252"/>
      <c r="EK56" s="2252"/>
      <c r="EL56" s="2252"/>
      <c r="EM56" s="2252"/>
      <c r="EN56" s="2252"/>
      <c r="EO56" s="2252"/>
      <c r="EP56" s="2252"/>
      <c r="EQ56" s="2252"/>
      <c r="ER56" s="2252"/>
      <c r="ES56" s="2252"/>
      <c r="ET56" s="2275"/>
      <c r="EU56" s="2275"/>
      <c r="EV56" s="2275"/>
      <c r="EW56" s="2275" t="n">
        <v>626.749</v>
      </c>
      <c r="EX56" s="2275" t="n">
        <v>439.465</v>
      </c>
      <c r="EY56" s="2275" t="n">
        <v>187.285</v>
      </c>
      <c r="EZ56" s="2330"/>
      <c r="FA56" s="2252"/>
      <c r="FB56" s="2252"/>
      <c r="FC56" s="2252"/>
      <c r="FD56" s="2252"/>
      <c r="FE56" s="2252"/>
      <c r="FF56" s="2252"/>
      <c r="FG56" s="2252"/>
      <c r="FH56" s="2252"/>
      <c r="FI56" s="2252"/>
      <c r="FJ56" s="2252"/>
      <c r="FK56" s="2252"/>
      <c r="FL56" s="2252"/>
      <c r="FM56" s="2252"/>
    </row>
    <row r="57" customFormat="false" ht="12" hidden="false" customHeight="true" outlineLevel="0" collapsed="false">
      <c r="A57" s="2252" t="n">
        <v>1989</v>
      </c>
      <c r="B57" s="2275" t="n">
        <v>2724.5</v>
      </c>
      <c r="C57" s="2275" t="n">
        <v>2832.2</v>
      </c>
      <c r="D57" s="2275" t="n">
        <v>211</v>
      </c>
      <c r="E57" s="2275" t="n">
        <v>517.9</v>
      </c>
      <c r="F57" s="2275" t="n">
        <v>247.9</v>
      </c>
      <c r="G57" s="2275" t="n">
        <v>2476.7</v>
      </c>
      <c r="H57" s="2275" t="n">
        <f aca="false">C57-F57</f>
        <v>2584.3</v>
      </c>
      <c r="I57" s="2275" t="n">
        <v>735.4</v>
      </c>
      <c r="J57" s="2275" t="n">
        <v>127.5</v>
      </c>
      <c r="K57" s="2275" t="n">
        <v>104.2</v>
      </c>
      <c r="L57" s="2275" t="n">
        <f aca="false">K57+J57+I57</f>
        <v>967.1</v>
      </c>
      <c r="M57" s="2275" t="n">
        <f aca="false">F57+L57</f>
        <v>1215</v>
      </c>
      <c r="N57" s="2275" t="n">
        <f aca="false">C57-M57</f>
        <v>1617.2</v>
      </c>
      <c r="O57" s="2275" t="n">
        <f aca="false">B57/$B$4</f>
        <v>1393.0147303191</v>
      </c>
      <c r="P57" s="2275" t="n">
        <f aca="false">C57/$B$4</f>
        <v>1448.08086592393</v>
      </c>
      <c r="Q57" s="2275" t="n">
        <f aca="false">D57/$B$4</f>
        <v>107.882586932402</v>
      </c>
      <c r="R57" s="2275" t="n">
        <f aca="false">E57/$B$4</f>
        <v>264.798065271522</v>
      </c>
      <c r="S57" s="2277" t="n">
        <f aca="false">F57/$B$4</f>
        <v>126.749257348543</v>
      </c>
      <c r="T57" s="2275" t="n">
        <f aca="false">G57/$B$4</f>
        <v>1266.31660215867</v>
      </c>
      <c r="U57" s="2277" t="n">
        <f aca="false">L57/$B$4</f>
        <v>494.470378304863</v>
      </c>
      <c r="V57" s="2277" t="n">
        <f aca="false">M57/$B$4</f>
        <v>621.219635653406</v>
      </c>
      <c r="W57" s="2277" t="n">
        <f aca="false">N57/$B$4</f>
        <v>826.861230270525</v>
      </c>
      <c r="X57" s="2275"/>
      <c r="Y57" s="2275"/>
      <c r="Z57" s="2275"/>
      <c r="AA57" s="2275"/>
      <c r="AB57" s="2275"/>
      <c r="AC57" s="2275"/>
      <c r="AD57" s="2277"/>
      <c r="AE57" s="2275"/>
      <c r="AF57" s="2349"/>
      <c r="AG57" s="2275"/>
      <c r="AH57" s="2275"/>
      <c r="AI57" s="2252"/>
      <c r="AJ57" s="2275" t="n">
        <v>1609.22</v>
      </c>
      <c r="AK57" s="2275"/>
      <c r="AL57" s="2275"/>
      <c r="AM57" s="2275"/>
      <c r="AN57" s="2275"/>
      <c r="AO57" s="2275"/>
      <c r="AP57" s="2275"/>
      <c r="AQ57" s="2275"/>
      <c r="AR57" s="2275"/>
      <c r="AS57" s="2252"/>
      <c r="AT57" s="2275" t="n">
        <v>1316.31</v>
      </c>
      <c r="AU57" s="2275"/>
      <c r="AV57" s="2252"/>
      <c r="AW57" s="2275"/>
      <c r="AX57" s="2275"/>
      <c r="AY57" s="2275"/>
      <c r="AZ57" s="2275"/>
      <c r="BA57" s="2275"/>
      <c r="BB57" s="2275" t="n">
        <v>599.81</v>
      </c>
      <c r="BC57" s="2275" t="n">
        <v>1101.08</v>
      </c>
      <c r="BD57" s="2275"/>
      <c r="BE57" s="2275"/>
      <c r="BF57" s="2275"/>
      <c r="BG57" s="2275"/>
      <c r="BH57" s="2275"/>
      <c r="BI57" s="2275"/>
      <c r="BJ57" s="2275"/>
      <c r="BK57" s="2275" t="n">
        <v>7.84</v>
      </c>
      <c r="BL57" s="2275"/>
      <c r="BM57" s="2275"/>
      <c r="BN57" s="2275"/>
      <c r="BO57" s="2275"/>
      <c r="BP57" s="2275"/>
      <c r="BQ57" s="2275"/>
      <c r="BR57" s="2275"/>
      <c r="BS57" s="2275" t="n">
        <v>28.06</v>
      </c>
      <c r="BT57" s="2275"/>
      <c r="BU57" s="2275"/>
      <c r="BV57" s="2252"/>
      <c r="BW57" s="2252"/>
      <c r="BX57" s="2252"/>
      <c r="BY57" s="2252"/>
      <c r="BZ57" s="2275"/>
      <c r="CA57" s="2275"/>
      <c r="CB57" s="2275"/>
      <c r="CC57" s="2275"/>
      <c r="CD57" s="2275"/>
      <c r="CE57" s="2275"/>
      <c r="CF57" s="2275"/>
      <c r="CG57" s="2252"/>
      <c r="CH57" s="2252" t="n">
        <v>47.11</v>
      </c>
      <c r="CI57" s="2252" t="n">
        <v>64.65</v>
      </c>
      <c r="CJ57" s="2252"/>
      <c r="CK57" s="2275" t="n">
        <v>79112.831</v>
      </c>
      <c r="CL57" s="2275" t="n">
        <v>62679.035</v>
      </c>
      <c r="CM57" s="2275" t="n">
        <v>34376.745</v>
      </c>
      <c r="CN57" s="2252"/>
      <c r="CO57" s="2252"/>
      <c r="CP57" s="2252"/>
      <c r="CQ57" s="2252"/>
      <c r="CR57" s="2252"/>
      <c r="CS57" s="2252"/>
      <c r="CT57" s="2252"/>
      <c r="CU57" s="2252"/>
      <c r="CV57" s="2252"/>
      <c r="CW57" s="2252"/>
      <c r="CX57" s="2252"/>
      <c r="CY57" s="2252"/>
      <c r="CZ57" s="2252"/>
      <c r="DA57" s="2252" t="n">
        <v>467.1</v>
      </c>
      <c r="DB57" s="2252" t="n">
        <v>935.1</v>
      </c>
      <c r="DC57" s="2252" t="n">
        <v>-468</v>
      </c>
      <c r="DD57" s="2342" t="n">
        <f aca="false">DA57/$B$4</f>
        <v>238.824437706754</v>
      </c>
      <c r="DE57" s="2342" t="n">
        <f aca="false">DB57/$B$4</f>
        <v>478.109038106584</v>
      </c>
      <c r="DF57" s="2342" t="n">
        <f aca="false">DC57/$B$4</f>
        <v>-239.28460039983</v>
      </c>
      <c r="DG57" s="2252"/>
      <c r="DH57" s="2252"/>
      <c r="DI57" s="2252"/>
      <c r="DK57" s="2342" t="n">
        <v>96.937</v>
      </c>
      <c r="DL57" s="2252"/>
      <c r="DM57" s="2275"/>
      <c r="DN57" s="2275" t="n">
        <v>492.5</v>
      </c>
      <c r="DO57" s="2330"/>
      <c r="DP57" s="2252"/>
      <c r="DQ57" s="2252"/>
      <c r="DR57" s="2275" t="n">
        <f aca="false">DS57+DT57</f>
        <v>5885.5</v>
      </c>
      <c r="DS57" s="2275" t="n">
        <v>1425.4</v>
      </c>
      <c r="DT57" s="2275" t="n">
        <f aca="false">4351.9-690.2-58.7+654.9+202.2</f>
        <v>4460.1</v>
      </c>
      <c r="DU57" s="2275" t="n">
        <f aca="false">DW57+DX57</f>
        <v>5813</v>
      </c>
      <c r="DV57" s="2275" t="n">
        <f aca="false">ED57-DZ57</f>
        <v>1676.6</v>
      </c>
      <c r="DW57" s="2275" t="n">
        <f aca="false">EE57-EA57</f>
        <v>1673.3</v>
      </c>
      <c r="DX57" s="2275" t="n">
        <f aca="false">EF57-EB57</f>
        <v>4139.7</v>
      </c>
      <c r="DY57" s="2275" t="n">
        <f aca="false">EA57+EB57</f>
        <v>816.9</v>
      </c>
      <c r="DZ57" s="2275" t="n">
        <v>186.3</v>
      </c>
      <c r="EA57" s="2275" t="n">
        <v>692</v>
      </c>
      <c r="EB57" s="2275" t="n">
        <v>124.9</v>
      </c>
      <c r="EC57" s="2275" t="n">
        <f aca="false">EE57+EF57</f>
        <v>6629.9</v>
      </c>
      <c r="ED57" s="2275" t="n">
        <v>1862.9</v>
      </c>
      <c r="EE57" s="2275" t="n">
        <f aca="false">1862.9-60-186.3+56.7+692</f>
        <v>2365.3</v>
      </c>
      <c r="EF57" s="2275" t="n">
        <f aca="false">4216.3-750.5-36+709.9+124.9</f>
        <v>4264.6</v>
      </c>
      <c r="EG57" s="2252"/>
      <c r="EH57" s="2252"/>
      <c r="EI57" s="2252"/>
      <c r="EJ57" s="2252"/>
      <c r="EK57" s="2252"/>
      <c r="EL57" s="2252"/>
      <c r="EM57" s="2252"/>
      <c r="EN57" s="2252"/>
      <c r="EO57" s="2252"/>
      <c r="EP57" s="2252"/>
      <c r="EQ57" s="2252" t="n">
        <f aca="false">903.8-199.2-47.3+188.4+157.4</f>
        <v>1003.1</v>
      </c>
      <c r="ER57" s="2252" t="n">
        <f aca="false">1473.9-229.9-156.9+229.9+157.4</f>
        <v>1474.4</v>
      </c>
      <c r="ES57" s="2252" t="n">
        <f aca="false">EQ57-ER57</f>
        <v>-471.3</v>
      </c>
      <c r="ET57" s="2275"/>
      <c r="EU57" s="2275"/>
      <c r="EV57" s="2275"/>
      <c r="EW57" s="2275" t="n">
        <v>747.769</v>
      </c>
      <c r="EX57" s="2275" t="n">
        <v>520.109</v>
      </c>
      <c r="EY57" s="2275" t="n">
        <v>227.66</v>
      </c>
      <c r="EZ57" s="2330"/>
      <c r="FA57" s="2252"/>
      <c r="FB57" s="2252"/>
      <c r="FC57" s="2252"/>
      <c r="FD57" s="2252"/>
      <c r="FE57" s="2252"/>
      <c r="FF57" s="2252"/>
      <c r="FG57" s="2252"/>
      <c r="FH57" s="2252"/>
      <c r="FI57" s="2252"/>
      <c r="FJ57" s="2252"/>
      <c r="FK57" s="2252"/>
      <c r="FL57" s="2252"/>
      <c r="FM57" s="2252"/>
    </row>
    <row r="58" customFormat="false" ht="12" hidden="false" customHeight="true" outlineLevel="0" collapsed="false">
      <c r="A58" s="2252" t="n">
        <v>1990</v>
      </c>
      <c r="B58" s="2275" t="n">
        <v>2930.1</v>
      </c>
      <c r="C58" s="2275" t="n">
        <v>3005.2</v>
      </c>
      <c r="D58" s="2275" t="n">
        <v>191.1</v>
      </c>
      <c r="E58" s="2275" t="n">
        <v>559.7</v>
      </c>
      <c r="F58" s="2275" t="n">
        <v>271.6</v>
      </c>
      <c r="G58" s="2275" t="n">
        <v>2658.5</v>
      </c>
      <c r="H58" s="2275" t="n">
        <f aca="false">C58-F58</f>
        <v>2733.6</v>
      </c>
      <c r="I58" s="2275" t="n">
        <v>769.1</v>
      </c>
      <c r="J58" s="2275" t="n">
        <v>132.2</v>
      </c>
      <c r="K58" s="2275" t="n">
        <v>107.9</v>
      </c>
      <c r="L58" s="2275" t="n">
        <f aca="false">K58+J58+I58</f>
        <v>1009.2</v>
      </c>
      <c r="M58" s="2275" t="n">
        <f aca="false">F58+L58</f>
        <v>1280.8</v>
      </c>
      <c r="N58" s="2275" t="n">
        <f aca="false">C58-M58</f>
        <v>1724.4</v>
      </c>
      <c r="O58" s="2275" t="n">
        <f aca="false">B58/$B$4</f>
        <v>1498.13634109304</v>
      </c>
      <c r="P58" s="2275" t="n">
        <f aca="false">C58/$B$4</f>
        <v>1536.53436137088</v>
      </c>
      <c r="Q58" s="2275" t="n">
        <f aca="false">D58/$B$4</f>
        <v>97.7078784965974</v>
      </c>
      <c r="R58" s="2275" t="n">
        <f aca="false">E58/$B$4</f>
        <v>286.170065905524</v>
      </c>
      <c r="S58" s="2277" t="n">
        <f aca="false">F58/$B$4</f>
        <v>138.866874932893</v>
      </c>
      <c r="T58" s="2275" t="n">
        <f aca="false">G58/$B$4</f>
        <v>1359.26946616015</v>
      </c>
      <c r="U58" s="2277" t="n">
        <f aca="false">L58/$B$4</f>
        <v>515.995766503224</v>
      </c>
      <c r="V58" s="2277" t="n">
        <f aca="false">M58/$B$4</f>
        <v>654.862641436117</v>
      </c>
      <c r="W58" s="2277" t="n">
        <f aca="false">N58/$B$4</f>
        <v>881.671719934759</v>
      </c>
      <c r="X58" s="2275"/>
      <c r="Y58" s="2275"/>
      <c r="Z58" s="2275"/>
      <c r="AA58" s="2275"/>
      <c r="AB58" s="2275"/>
      <c r="AC58" s="2275"/>
      <c r="AD58" s="2277"/>
      <c r="AE58" s="2275"/>
      <c r="AF58" s="2349"/>
      <c r="AG58" s="2275"/>
      <c r="AH58" s="2275"/>
      <c r="AI58" s="2252"/>
      <c r="AJ58" s="2275" t="n">
        <v>1713.52</v>
      </c>
      <c r="AK58" s="2275"/>
      <c r="AL58" s="2275"/>
      <c r="AM58" s="2275"/>
      <c r="AN58" s="2275"/>
      <c r="AO58" s="2275"/>
      <c r="AP58" s="2275"/>
      <c r="AQ58" s="2275"/>
      <c r="AR58" s="2275"/>
      <c r="AS58" s="2252"/>
      <c r="AT58" s="2275" t="n">
        <v>1395.62</v>
      </c>
      <c r="AU58" s="2275"/>
      <c r="AV58" s="2252"/>
      <c r="AW58" s="2275"/>
      <c r="AX58" s="2275"/>
      <c r="AY58" s="2275"/>
      <c r="AZ58" s="2275"/>
      <c r="BA58" s="2275"/>
      <c r="BB58" s="2275" t="n">
        <v>633.59</v>
      </c>
      <c r="BC58" s="2275"/>
      <c r="BD58" s="2275"/>
      <c r="BE58" s="2275"/>
      <c r="BF58" s="2275"/>
      <c r="BG58" s="2275"/>
      <c r="BH58" s="2275"/>
      <c r="BI58" s="2275"/>
      <c r="BJ58" s="2275"/>
      <c r="BK58" s="2275" t="n">
        <v>6.91</v>
      </c>
      <c r="BL58" s="2275"/>
      <c r="BM58" s="2275"/>
      <c r="BN58" s="2275"/>
      <c r="BO58" s="2275"/>
      <c r="BP58" s="2275"/>
      <c r="BQ58" s="2275"/>
      <c r="BR58" s="2275"/>
      <c r="BS58" s="2275" t="n">
        <v>29.67</v>
      </c>
      <c r="BT58" s="2275"/>
      <c r="BU58" s="2275"/>
      <c r="BV58" s="2252"/>
      <c r="BW58" s="2252"/>
      <c r="BX58" s="2252"/>
      <c r="BY58" s="2252"/>
      <c r="BZ58" s="2275"/>
      <c r="CA58" s="2275"/>
      <c r="CB58" s="2275"/>
      <c r="CC58" s="2275"/>
      <c r="CD58" s="2275"/>
      <c r="CE58" s="2275"/>
      <c r="CF58" s="2275"/>
      <c r="CG58" s="2252"/>
      <c r="CH58" s="2252" t="n">
        <v>45.63</v>
      </c>
      <c r="CI58" s="2252" t="n">
        <v>63.5</v>
      </c>
      <c r="CJ58" s="2252"/>
      <c r="CK58" s="2275" t="n">
        <v>79753.227</v>
      </c>
      <c r="CL58" s="2275" t="n">
        <v>63725.653</v>
      </c>
      <c r="CM58" s="2350" t="n">
        <v>34835.678</v>
      </c>
      <c r="CN58" s="2252"/>
      <c r="CO58" s="2252"/>
      <c r="CP58" s="2252"/>
      <c r="CQ58" s="2252"/>
      <c r="CR58" s="2252"/>
      <c r="CS58" s="2252"/>
      <c r="CT58" s="2252"/>
      <c r="CU58" s="2252"/>
      <c r="CV58" s="2252"/>
      <c r="CW58" s="2252"/>
      <c r="CX58" s="2252"/>
      <c r="CY58" s="2252"/>
      <c r="CZ58" s="2252"/>
      <c r="DA58" s="2252" t="n">
        <v>509.3</v>
      </c>
      <c r="DB58" s="2252" t="n">
        <v>1033.9</v>
      </c>
      <c r="DC58" s="2252" t="n">
        <v>-524.7</v>
      </c>
      <c r="DD58" s="2342" t="n">
        <f aca="false">DA58/$B$4</f>
        <v>260.400955093234</v>
      </c>
      <c r="DE58" s="2342" t="n">
        <f aca="false">DB58/$B$4</f>
        <v>528.62467596877</v>
      </c>
      <c r="DF58" s="2342" t="n">
        <f aca="false">DC58/$B$4</f>
        <v>-268.274850063656</v>
      </c>
      <c r="DG58" s="2342"/>
      <c r="DH58" s="2252"/>
      <c r="DI58" s="2252"/>
      <c r="DK58" s="2342" t="n">
        <v>100.448</v>
      </c>
      <c r="DL58" s="2252"/>
      <c r="DM58" s="2275"/>
      <c r="DN58" s="2275" t="n">
        <v>522.77</v>
      </c>
      <c r="DO58" s="2330"/>
      <c r="DP58" s="2252"/>
      <c r="DQ58" s="2252"/>
      <c r="DR58" s="2275" t="n">
        <f aca="false">DS58+DT58</f>
        <v>6440</v>
      </c>
      <c r="DS58" s="2275" t="n">
        <v>1575.5</v>
      </c>
      <c r="DT58" s="2275" t="n">
        <f aca="false">4786.3-780.2-74.9+724.1+209.2</f>
        <v>4864.5</v>
      </c>
      <c r="DU58" s="2275" t="n">
        <f aca="false">DW58+DX58</f>
        <v>6361.8</v>
      </c>
      <c r="DV58" s="2275" t="n">
        <f aca="false">ED58-DZ58</f>
        <v>1834.4</v>
      </c>
      <c r="DW58" s="2275" t="n">
        <f aca="false">EE58-EA58</f>
        <v>1827.6</v>
      </c>
      <c r="DX58" s="2275" t="n">
        <f aca="false">EF58-EB58</f>
        <v>4534.2</v>
      </c>
      <c r="DY58" s="2275" t="n">
        <f aca="false">EA58+EB58</f>
        <v>784.3</v>
      </c>
      <c r="DZ58" s="2275" t="n">
        <v>212.4</v>
      </c>
      <c r="EA58" s="2275" t="n">
        <v>660.8</v>
      </c>
      <c r="EB58" s="2275" t="n">
        <v>123.5</v>
      </c>
      <c r="EC58" s="2275" t="n">
        <f aca="false">EE58+EF58</f>
        <v>7146.1</v>
      </c>
      <c r="ED58" s="2275" t="n">
        <v>2046.8</v>
      </c>
      <c r="EE58" s="2275" t="n">
        <f aca="false">2046.8-67.3-212.4+60.5+660.8</f>
        <v>2488.4</v>
      </c>
      <c r="EF58" s="2275" t="n">
        <f aca="false">4640.4-826.6-43.1+763.5+123.5</f>
        <v>4657.7</v>
      </c>
      <c r="EG58" s="2252"/>
      <c r="EH58" s="2252"/>
      <c r="EI58" s="2252"/>
      <c r="EJ58" s="2252"/>
      <c r="EK58" s="2252"/>
      <c r="EL58" s="2252"/>
      <c r="EM58" s="2252"/>
      <c r="EN58" s="2252"/>
      <c r="EO58" s="2252"/>
      <c r="EP58" s="2252"/>
      <c r="EQ58" s="2252" t="n">
        <f aca="false">1120.8-248.6-48.8+226.7+141.6</f>
        <v>1191.7</v>
      </c>
      <c r="ER58" s="2252" t="n">
        <f aca="false">1774.5-328.6-165.3+328.6+165.7</f>
        <v>1774.9</v>
      </c>
      <c r="ES58" s="2252" t="n">
        <f aca="false">EQ58-ER58</f>
        <v>-583.200000000001</v>
      </c>
      <c r="ET58" s="2275"/>
      <c r="EU58" s="2275"/>
      <c r="EV58" s="2275"/>
      <c r="EW58" s="2275" t="n">
        <v>835.124</v>
      </c>
      <c r="EX58" s="2275" t="n">
        <v>566.659</v>
      </c>
      <c r="EY58" s="2275" t="n">
        <v>268.465</v>
      </c>
      <c r="EZ58" s="2330"/>
      <c r="FA58" s="2252"/>
      <c r="FB58" s="2252"/>
      <c r="FC58" s="2252"/>
      <c r="FD58" s="2252"/>
      <c r="FE58" s="2252"/>
      <c r="FF58" s="2252"/>
      <c r="FG58" s="2252"/>
      <c r="FH58" s="2252"/>
      <c r="FI58" s="2252"/>
      <c r="FJ58" s="2252"/>
      <c r="FK58" s="2252"/>
      <c r="FL58" s="2252"/>
      <c r="FM58" s="2252"/>
    </row>
    <row r="59" customFormat="false" ht="12" hidden="false" customHeight="true" outlineLevel="0" collapsed="false">
      <c r="A59" s="2252" t="n">
        <v>1991</v>
      </c>
      <c r="B59" s="2275" t="n">
        <v>3199.1</v>
      </c>
      <c r="C59" s="2275" t="n">
        <v>3284.1</v>
      </c>
      <c r="D59" s="2275" t="n">
        <v>195.9</v>
      </c>
      <c r="E59" s="2275" t="n">
        <v>605.5</v>
      </c>
      <c r="F59" s="2275" t="n">
        <v>300</v>
      </c>
      <c r="G59" s="2275" t="n">
        <v>2899.2</v>
      </c>
      <c r="H59" s="2275" t="n">
        <f aca="false">C59-F59</f>
        <v>2984.1</v>
      </c>
      <c r="I59" s="2275" t="n">
        <v>814.8</v>
      </c>
      <c r="J59" s="2275" t="n">
        <v>135.2</v>
      </c>
      <c r="K59" s="2275" t="n">
        <v>113.8</v>
      </c>
      <c r="L59" s="2275" t="n">
        <f aca="false">K59+J59+I59</f>
        <v>1063.8</v>
      </c>
      <c r="M59" s="2275" t="n">
        <f aca="false">F59+L59</f>
        <v>1363.8</v>
      </c>
      <c r="N59" s="2275" t="n">
        <f aca="false">C59-M59</f>
        <v>1920.3</v>
      </c>
      <c r="O59" s="2275" t="n">
        <f aca="false">B59/$B$4</f>
        <v>1635.67385713482</v>
      </c>
      <c r="P59" s="2275" t="n">
        <f aca="false">C59/$B$4</f>
        <v>1679.1336670365</v>
      </c>
      <c r="Q59" s="2275" t="n">
        <f aca="false">D59/$B$4</f>
        <v>100.162079526339</v>
      </c>
      <c r="R59" s="2275" t="n">
        <f aca="false">E59/$B$4</f>
        <v>309.58723406431</v>
      </c>
      <c r="S59" s="2277" t="n">
        <f aca="false">F59/$B$4</f>
        <v>153.387564358866</v>
      </c>
      <c r="T59" s="2275" t="n">
        <f aca="false">G59/$B$4</f>
        <v>1482.33742196408</v>
      </c>
      <c r="U59" s="2277" t="n">
        <f aca="false">L59/$B$4</f>
        <v>543.912303216537</v>
      </c>
      <c r="V59" s="2277" t="n">
        <f aca="false">M59/$B$4</f>
        <v>697.299867575403</v>
      </c>
      <c r="W59" s="2277" t="n">
        <f aca="false">N59/$B$4</f>
        <v>981.833799461098</v>
      </c>
      <c r="X59" s="2275" t="n">
        <f aca="false">Y59+AB59+AC59</f>
        <v>1926</v>
      </c>
      <c r="Y59" s="2275" t="n">
        <v>289.3</v>
      </c>
      <c r="Z59" s="2275" t="n">
        <v>126.3</v>
      </c>
      <c r="AA59" s="2275" t="n">
        <v>163</v>
      </c>
      <c r="AB59" s="2275" t="n">
        <v>380.4</v>
      </c>
      <c r="AC59" s="2275" t="n">
        <v>1256.3</v>
      </c>
      <c r="AD59" s="2351" t="n">
        <v>829.3</v>
      </c>
      <c r="AE59" s="2275" t="n">
        <f aca="false">X59-AD59</f>
        <v>1096.7</v>
      </c>
      <c r="AF59" s="2349"/>
      <c r="AG59" s="2275"/>
      <c r="AH59" s="2275"/>
      <c r="AI59" s="2252"/>
      <c r="AJ59" s="2275" t="n">
        <v>1863.9</v>
      </c>
      <c r="AK59" s="2275"/>
      <c r="AL59" s="2275" t="n">
        <f aca="false">AN59+AO59+AP59</f>
        <v>1906.50025148318</v>
      </c>
      <c r="AN59" s="2352" t="n">
        <f aca="false">AN60*AN60/AN61</f>
        <v>1546.44691780822</v>
      </c>
      <c r="AO59" s="2352" t="n">
        <f aca="false">AO60*AO60/AO61</f>
        <v>19.4050847457627</v>
      </c>
      <c r="AP59" s="2352" t="n">
        <f aca="false">AP60*AP60/AP61</f>
        <v>340.648248929201</v>
      </c>
      <c r="AQ59" s="2352" t="n">
        <f aca="false">AQ60*AQ60/AQ61</f>
        <v>327.414942226891</v>
      </c>
      <c r="AR59" s="2352" t="n">
        <f aca="false">AR60*AR60/AR61</f>
        <v>13.239751552795</v>
      </c>
      <c r="AS59" s="2252"/>
      <c r="AT59" s="2275" t="n">
        <v>1512.14</v>
      </c>
      <c r="AU59" s="2275"/>
      <c r="AV59" s="2275" t="n">
        <f aca="false">AW59+AX59+AY59</f>
        <v>1608.27019439436</v>
      </c>
      <c r="AW59" s="2352" t="n">
        <f aca="false">AW60*AW60/AW61</f>
        <v>223.71462585034</v>
      </c>
      <c r="AX59" s="2352" t="n">
        <f aca="false">AX60*AX60/AX61</f>
        <v>689.315520924972</v>
      </c>
      <c r="AY59" s="2352" t="n">
        <f aca="false">AY60*AY60/AY61</f>
        <v>695.240047619048</v>
      </c>
      <c r="AZ59" s="2352" t="n">
        <f aca="false">AZ60*AZ60/AZ61</f>
        <v>619.785548283692</v>
      </c>
      <c r="BA59" s="2352" t="n">
        <f aca="false">BA60*BA60/BA61</f>
        <v>75.4545454545455</v>
      </c>
      <c r="BB59" s="2275" t="n">
        <v>664.49</v>
      </c>
      <c r="BC59" s="2275"/>
      <c r="BD59" s="2275" t="n">
        <f aca="false">BE59+BF59+BG59</f>
        <v>713.531633577338</v>
      </c>
      <c r="BE59" s="2352" t="n">
        <f aca="false">BE60*BE60/BE61</f>
        <v>119.964031007752</v>
      </c>
      <c r="BF59" s="2352" t="n">
        <f aca="false">BF60*BF60/BF61</f>
        <v>28.7860119047619</v>
      </c>
      <c r="BG59" s="2352" t="n">
        <f aca="false">BG60*BG60/BG61</f>
        <v>564.781590664824</v>
      </c>
      <c r="BH59" s="2352" t="n">
        <f aca="false">BH60*BH60/BH61</f>
        <v>550.369977924945</v>
      </c>
      <c r="BI59" s="2352" t="n">
        <f aca="false">BI60*BI60/BI61</f>
        <v>14.4146198830409</v>
      </c>
      <c r="BJ59" s="2275"/>
      <c r="BK59" s="2275" t="n">
        <v>6.35</v>
      </c>
      <c r="BL59" s="2275" t="n">
        <v>8.14</v>
      </c>
      <c r="BM59" s="2275" t="n">
        <v>4.88</v>
      </c>
      <c r="BN59" s="2275" t="n">
        <v>0</v>
      </c>
      <c r="BO59" s="2275" t="n">
        <f aca="false">BP59+BQ59</f>
        <v>3.26</v>
      </c>
      <c r="BP59" s="2275" t="n">
        <v>3.26</v>
      </c>
      <c r="BQ59" s="2275" t="n">
        <v>0</v>
      </c>
      <c r="BR59" s="2275"/>
      <c r="BS59" s="2275" t="n">
        <v>31.2</v>
      </c>
      <c r="BT59" s="2275" t="n">
        <f aca="false">BU59+BV59+BW59</f>
        <v>31.1105588446854</v>
      </c>
      <c r="BU59" s="2352" t="n">
        <f aca="false">BU60*BU60/BU61</f>
        <v>4.71698113207547</v>
      </c>
      <c r="BV59" s="2275" t="n">
        <v>2.31</v>
      </c>
      <c r="BW59" s="2275" t="n">
        <f aca="false">BX59+BY59</f>
        <v>24.08357771261</v>
      </c>
      <c r="BX59" s="2352" t="n">
        <f aca="false">BX60*BX60/BX61</f>
        <v>22.0790322580645</v>
      </c>
      <c r="BY59" s="2352" t="n">
        <f aca="false">BY60*BY60/BY61</f>
        <v>2.00454545454545</v>
      </c>
      <c r="BZ59" s="2275"/>
      <c r="CA59" s="2275"/>
      <c r="CB59" s="2275"/>
      <c r="CC59" s="2275"/>
      <c r="CD59" s="2275"/>
      <c r="CE59" s="2275"/>
      <c r="CF59" s="2275"/>
      <c r="CG59" s="2252"/>
      <c r="CH59" s="2353" t="n">
        <v>46.38</v>
      </c>
      <c r="CI59" s="2353" t="n">
        <v>64.12</v>
      </c>
      <c r="CJ59" s="1432"/>
      <c r="CK59" s="2275" t="n">
        <v>80274.564</v>
      </c>
      <c r="CL59" s="2275" t="n">
        <v>64484.787</v>
      </c>
      <c r="CM59" s="2275" t="n">
        <v>43737.103</v>
      </c>
      <c r="CN59" s="2252"/>
      <c r="CO59" s="2252"/>
      <c r="CP59" s="2252"/>
      <c r="CQ59" s="2252"/>
      <c r="CR59" s="2252"/>
      <c r="CS59" s="2252"/>
      <c r="CT59" s="2252"/>
      <c r="CU59" s="2252"/>
      <c r="CV59" s="2252"/>
      <c r="CW59" s="2252"/>
      <c r="CX59" s="2252"/>
      <c r="CY59" s="2252"/>
      <c r="CZ59" s="2252"/>
      <c r="DA59" s="2252" t="n">
        <v>529.6</v>
      </c>
      <c r="DB59" s="2252" t="n">
        <v>1141.5</v>
      </c>
      <c r="DC59" s="2252" t="n">
        <v>-611.9</v>
      </c>
      <c r="DD59" s="2342" t="n">
        <f aca="false">DA59/$B$4</f>
        <v>270.780180281517</v>
      </c>
      <c r="DE59" s="2342" t="n">
        <f aca="false">DB59/$B$4</f>
        <v>583.639682385483</v>
      </c>
      <c r="DF59" s="2342" t="n">
        <f aca="false">DC59/$B$4</f>
        <v>-312.859502103966</v>
      </c>
      <c r="DG59" s="2275" t="n">
        <v>452.6</v>
      </c>
      <c r="DH59" s="2275" t="n">
        <v>580.2</v>
      </c>
      <c r="DI59" s="2275" t="n">
        <f aca="false">DG59-DH59</f>
        <v>-127.6</v>
      </c>
      <c r="DJ59" s="2354"/>
      <c r="DK59" s="2342" t="n">
        <v>129.294</v>
      </c>
      <c r="DL59" s="2275"/>
      <c r="DM59" s="2275"/>
      <c r="DN59" s="2275" t="n">
        <v>567.09</v>
      </c>
      <c r="DO59" s="2330"/>
      <c r="DP59" s="2275"/>
      <c r="DQ59" s="2252"/>
      <c r="DR59" s="2275" t="n">
        <f aca="false">DS59+DT59</f>
        <v>7000.2</v>
      </c>
      <c r="DS59" s="2275" t="n">
        <v>1745.8</v>
      </c>
      <c r="DT59" s="2275" t="n">
        <f aca="false">5127.2-821.9-88.5+798.1+239.5</f>
        <v>5254.4</v>
      </c>
      <c r="DU59" s="2275" t="n">
        <f aca="false">DW59+DX59</f>
        <v>6905.9</v>
      </c>
      <c r="DV59" s="2275" t="n">
        <f aca="false">ED59-DZ59</f>
        <v>2031.2</v>
      </c>
      <c r="DW59" s="2275" t="n">
        <f aca="false">EE59-EA59</f>
        <v>2025.1</v>
      </c>
      <c r="DX59" s="2275" t="n">
        <f aca="false">EF59-EB59</f>
        <v>4880.8</v>
      </c>
      <c r="DY59" s="2275" t="n">
        <f aca="false">EA59+EB59</f>
        <v>846.5</v>
      </c>
      <c r="DZ59" s="2275" t="n">
        <v>224.5</v>
      </c>
      <c r="EA59" s="2275" t="n">
        <v>711.4</v>
      </c>
      <c r="EB59" s="2275" t="n">
        <v>135.1</v>
      </c>
      <c r="EC59" s="2275" t="n">
        <f aca="false">EE59+EF59</f>
        <v>7752.4</v>
      </c>
      <c r="ED59" s="2275" t="n">
        <v>2255.7</v>
      </c>
      <c r="EE59" s="2275" t="n">
        <f aca="false">2255.7-71.6-224.5+65.5+711.4</f>
        <v>2736.5</v>
      </c>
      <c r="EF59" s="2275" t="n">
        <f aca="false">4959-928.8-47.5+898.1+135.1</f>
        <v>5015.9</v>
      </c>
      <c r="EG59" s="2275" t="n">
        <f aca="false">EH59+EI59</f>
        <v>3920.1</v>
      </c>
      <c r="EH59" s="2355" t="n">
        <v>887.1</v>
      </c>
      <c r="EI59" s="2355" t="n">
        <v>3033</v>
      </c>
      <c r="EJ59" s="2275" t="n">
        <f aca="false">EK59+EL59</f>
        <v>3723.3</v>
      </c>
      <c r="EK59" s="2355" t="n">
        <v>1058.1</v>
      </c>
      <c r="EL59" s="2355" t="n">
        <v>2665.2</v>
      </c>
      <c r="EM59" s="2275" t="n">
        <f aca="false">EN59+EO59</f>
        <v>981.9</v>
      </c>
      <c r="EN59" s="2355" t="n">
        <v>613.6</v>
      </c>
      <c r="EO59" s="2355" t="n">
        <v>368.3</v>
      </c>
      <c r="EP59" s="2275"/>
      <c r="EQ59" s="2275" t="n">
        <f aca="false">1247.5-307.1-49.7+293.6+146.7</f>
        <v>1331</v>
      </c>
      <c r="ER59" s="2275" t="n">
        <f aca="false">1951.7-381-185.6+381+186.8</f>
        <v>1952.9</v>
      </c>
      <c r="ES59" s="2275" t="n">
        <f aca="false">EQ59-ER59</f>
        <v>-621.9</v>
      </c>
      <c r="ET59" s="2275" t="n">
        <v>647</v>
      </c>
      <c r="EU59" s="2275" t="n">
        <v>824</v>
      </c>
      <c r="EV59" s="2275" t="n">
        <f aca="false">ET59-EU59</f>
        <v>-177</v>
      </c>
      <c r="EW59" s="2275" t="n">
        <v>891.884</v>
      </c>
      <c r="EX59" s="2275" t="n">
        <v>636.316</v>
      </c>
      <c r="EY59" s="2275" t="n">
        <v>255.569</v>
      </c>
      <c r="EZ59" s="2330"/>
      <c r="FA59" s="2275"/>
      <c r="FB59" s="2275"/>
      <c r="FC59" s="2275"/>
      <c r="FD59" s="2275"/>
      <c r="FE59" s="2275"/>
      <c r="FF59" s="2275"/>
      <c r="FG59" s="2275"/>
      <c r="FH59" s="2275"/>
      <c r="FI59" s="2275"/>
      <c r="FJ59" s="2275"/>
      <c r="FK59" s="2252"/>
      <c r="FL59" s="2252"/>
      <c r="FM59" s="2252"/>
    </row>
    <row r="60" customFormat="false" ht="12" hidden="false" customHeight="true" outlineLevel="0" collapsed="false">
      <c r="A60" s="2252" t="n">
        <v>1992</v>
      </c>
      <c r="B60" s="2275" t="n">
        <v>3448.5</v>
      </c>
      <c r="C60" s="2275" t="n">
        <v>3551.5</v>
      </c>
      <c r="D60" s="2275" t="n">
        <v>183.6</v>
      </c>
      <c r="E60" s="2275" t="n">
        <v>659.2</v>
      </c>
      <c r="F60" s="2275" t="n">
        <v>320.3</v>
      </c>
      <c r="G60" s="2275" t="n">
        <v>3128.2</v>
      </c>
      <c r="H60" s="2275" t="n">
        <f aca="false">C60-F60</f>
        <v>3231.2</v>
      </c>
      <c r="I60" s="2275" t="n">
        <v>862.7</v>
      </c>
      <c r="J60" s="2275" t="n">
        <v>141.4</v>
      </c>
      <c r="K60" s="2275" t="n">
        <v>118.3</v>
      </c>
      <c r="L60" s="2275" t="n">
        <f aca="false">K60+J60+I60</f>
        <v>1122.4</v>
      </c>
      <c r="M60" s="2275" t="n">
        <f aca="false">F60+L60</f>
        <v>1442.7</v>
      </c>
      <c r="N60" s="2275" t="n">
        <f aca="false">C60-M60</f>
        <v>2108.8</v>
      </c>
      <c r="O60" s="2275" t="n">
        <f aca="false">B60/$B$4</f>
        <v>1763.19005230516</v>
      </c>
      <c r="P60" s="2297" t="n">
        <f aca="false">C60/$B$4</f>
        <v>1815.85311606837</v>
      </c>
      <c r="Q60" s="2275" t="n">
        <f aca="false">D60/$B$4</f>
        <v>93.8731893876257</v>
      </c>
      <c r="R60" s="2275" t="n">
        <f aca="false">E60/$B$4</f>
        <v>337.043608084547</v>
      </c>
      <c r="S60" s="2277" t="n">
        <f aca="false">F60/$B$4</f>
        <v>163.766789547149</v>
      </c>
      <c r="T60" s="2275" t="n">
        <f aca="false">G60/$B$4</f>
        <v>1599.42326275801</v>
      </c>
      <c r="U60" s="2277" t="n">
        <f aca="false">L60/$B$4</f>
        <v>573.874007454636</v>
      </c>
      <c r="V60" s="2277" t="n">
        <f aca="false">M60/$B$4</f>
        <v>737.640797001784</v>
      </c>
      <c r="W60" s="2277" t="n">
        <f aca="false">N60/$B$4</f>
        <v>1078.21231906659</v>
      </c>
      <c r="X60" s="2275" t="n">
        <f aca="false">Y60+AB60+AC60</f>
        <v>2059.4</v>
      </c>
      <c r="Y60" s="2275" t="n">
        <v>314.6</v>
      </c>
      <c r="Z60" s="2275" t="n">
        <v>119.9</v>
      </c>
      <c r="AA60" s="2275" t="n">
        <v>194.7</v>
      </c>
      <c r="AB60" s="2275" t="n">
        <v>413.9</v>
      </c>
      <c r="AC60" s="2275" t="n">
        <v>1330.9</v>
      </c>
      <c r="AD60" s="2351" t="n">
        <v>896.8</v>
      </c>
      <c r="AE60" s="2275" t="n">
        <f aca="false">X60-AD60</f>
        <v>1162.6</v>
      </c>
      <c r="AF60" s="2349"/>
      <c r="AG60" s="2275"/>
      <c r="AH60" s="2275"/>
      <c r="AI60" s="2252"/>
      <c r="AJ60" s="2275"/>
      <c r="AK60" s="2275"/>
      <c r="AL60" s="2275" t="n">
        <f aca="false">AN60+AO60+AP60</f>
        <v>2089.1</v>
      </c>
      <c r="AM60" s="2275" t="n">
        <v>2089.03</v>
      </c>
      <c r="AN60" s="2275" t="n">
        <v>1700</v>
      </c>
      <c r="AO60" s="2275" t="n">
        <v>21.4</v>
      </c>
      <c r="AP60" s="2275" t="n">
        <f aca="false">AQ60+AR60</f>
        <v>367.7</v>
      </c>
      <c r="AQ60" s="2355" t="n">
        <v>353.1</v>
      </c>
      <c r="AR60" s="2355" t="n">
        <v>14.6</v>
      </c>
      <c r="AS60" s="2252"/>
      <c r="AT60" s="2252"/>
      <c r="AU60" s="2252"/>
      <c r="AV60" s="2275" t="n">
        <f aca="false">AW60+AX60+AY60</f>
        <v>1748.1</v>
      </c>
      <c r="AW60" s="2275" t="n">
        <v>243.3</v>
      </c>
      <c r="AX60" s="2275" t="n">
        <v>740.6</v>
      </c>
      <c r="AY60" s="2275" t="n">
        <f aca="false">AZ60+BA60</f>
        <v>764.2</v>
      </c>
      <c r="AZ60" s="2355" t="n">
        <v>681.2</v>
      </c>
      <c r="BA60" s="2355" t="n">
        <v>83</v>
      </c>
      <c r="BB60" s="2275"/>
      <c r="BC60" s="2275"/>
      <c r="BD60" s="2275" t="n">
        <f aca="false">BE60+BF60+BG60</f>
        <v>762</v>
      </c>
      <c r="BE60" s="2275" t="n">
        <v>124.4</v>
      </c>
      <c r="BF60" s="2275" t="n">
        <v>31.1</v>
      </c>
      <c r="BG60" s="2275" t="n">
        <f aca="false">BH60+BI60</f>
        <v>606.5</v>
      </c>
      <c r="BH60" s="2355" t="n">
        <v>590.8</v>
      </c>
      <c r="BI60" s="2355" t="n">
        <v>15.7</v>
      </c>
      <c r="BJ60" s="2275"/>
      <c r="BK60" s="2275"/>
      <c r="BL60" s="2275" t="n">
        <v>8.08</v>
      </c>
      <c r="BM60" s="2275" t="n">
        <v>4.85</v>
      </c>
      <c r="BN60" s="2275" t="n">
        <v>0</v>
      </c>
      <c r="BO60" s="2275" t="n">
        <f aca="false">BP60+BQ60</f>
        <v>3.23</v>
      </c>
      <c r="BP60" s="2275" t="n">
        <v>3.23</v>
      </c>
      <c r="BQ60" s="2275" t="n">
        <v>0</v>
      </c>
      <c r="BR60" s="2275"/>
      <c r="BS60" s="2275"/>
      <c r="BT60" s="2275" t="n">
        <f aca="false">BU60+BV60+BW60</f>
        <v>32.99</v>
      </c>
      <c r="BU60" s="2275" t="n">
        <v>5</v>
      </c>
      <c r="BV60" s="2275" t="n">
        <v>2.49</v>
      </c>
      <c r="BW60" s="2275" t="n">
        <f aca="false">BX60+BY60</f>
        <v>25.5</v>
      </c>
      <c r="BX60" s="2355" t="n">
        <v>23.4</v>
      </c>
      <c r="BY60" s="2355" t="n">
        <v>2.1</v>
      </c>
      <c r="BZ60" s="2275"/>
      <c r="CA60" s="2275" t="n">
        <v>1168</v>
      </c>
      <c r="CB60" s="2275" t="n">
        <v>779.3</v>
      </c>
      <c r="CC60" s="2275" t="n">
        <v>129.1</v>
      </c>
      <c r="CD60" s="2275" t="n">
        <f aca="false">CE60+CF60</f>
        <v>259.7</v>
      </c>
      <c r="CE60" s="2355" t="n">
        <v>239.7</v>
      </c>
      <c r="CF60" s="2355" t="n">
        <v>20</v>
      </c>
      <c r="CG60" s="2252"/>
      <c r="CH60" s="2252" t="n">
        <v>25.09</v>
      </c>
      <c r="CI60" s="2356" t="n">
        <v>43.16</v>
      </c>
      <c r="CJ60" s="2356"/>
      <c r="CK60" s="2275" t="n">
        <v>80974.632</v>
      </c>
      <c r="CL60" s="2275" t="n">
        <v>65289.234</v>
      </c>
      <c r="CM60" s="2275" t="n">
        <v>43972.179</v>
      </c>
      <c r="CN60" s="2252"/>
      <c r="CO60" s="2252" t="n">
        <v>356970</v>
      </c>
      <c r="CP60" s="2252" t="n">
        <v>20733</v>
      </c>
      <c r="CQ60" s="2252" t="s">
        <v>1572</v>
      </c>
      <c r="CR60" s="2252" t="s">
        <v>1572</v>
      </c>
      <c r="CS60" s="2252" t="n">
        <v>2427</v>
      </c>
      <c r="CT60" s="2252" t="n">
        <v>2255</v>
      </c>
      <c r="CU60" s="2252" t="n">
        <v>16441</v>
      </c>
      <c r="CV60" s="2252" t="n">
        <v>195112</v>
      </c>
      <c r="CW60" s="2252" t="n">
        <v>104536</v>
      </c>
      <c r="CX60" s="2252" t="n">
        <v>7837</v>
      </c>
      <c r="CY60" s="2252" t="n">
        <v>7630</v>
      </c>
      <c r="CZ60" s="2252"/>
      <c r="DA60" s="2252" t="n">
        <v>533.7</v>
      </c>
      <c r="DB60" s="2252" t="n">
        <v>1227.4</v>
      </c>
      <c r="DC60" s="2252" t="n">
        <v>-693.8</v>
      </c>
      <c r="DD60" s="2342" t="n">
        <f aca="false">DA60/$B$4</f>
        <v>272.876476994422</v>
      </c>
      <c r="DE60" s="2342" t="n">
        <f aca="false">DB60/$B$4</f>
        <v>627.559654980239</v>
      </c>
      <c r="DF60" s="2342" t="n">
        <f aca="false">DC60/$B$4</f>
        <v>-354.734307173936</v>
      </c>
      <c r="DG60" s="2275" t="n">
        <v>429.8</v>
      </c>
      <c r="DH60" s="2275" t="n">
        <v>672</v>
      </c>
      <c r="DI60" s="2275" t="n">
        <f aca="false">DG60-DH60</f>
        <v>-242.2</v>
      </c>
      <c r="DJ60" s="2354"/>
      <c r="DK60" s="2342" t="n">
        <v>174.857</v>
      </c>
      <c r="DL60" s="2275"/>
      <c r="DM60" s="2275"/>
      <c r="DN60" s="2275"/>
      <c r="DO60" s="2275"/>
      <c r="DP60" s="2275"/>
      <c r="DQ60" s="2252"/>
      <c r="DR60" s="2275" t="n">
        <f aca="false">DS60+DT60</f>
        <v>7576.3</v>
      </c>
      <c r="DS60" s="2275" t="n">
        <v>1877.3</v>
      </c>
      <c r="DT60" s="2275" t="n">
        <f aca="false">5534-923.3-110+948.8+249.5</f>
        <v>5699</v>
      </c>
      <c r="DU60" s="2275" t="n">
        <f aca="false">DW60+DX60</f>
        <v>7549</v>
      </c>
      <c r="DV60" s="2275" t="n">
        <f aca="false">ED60-DZ60</f>
        <v>2226</v>
      </c>
      <c r="DW60" s="2275" t="n">
        <f aca="false">EE60-EA60</f>
        <v>2220.6</v>
      </c>
      <c r="DX60" s="2275" t="n">
        <f aca="false">EF60-EB60</f>
        <v>5328.4</v>
      </c>
      <c r="DY60" s="2275" t="n">
        <f aca="false">EA60+EB60</f>
        <v>837.1</v>
      </c>
      <c r="DZ60" s="2275" t="n">
        <v>242.7</v>
      </c>
      <c r="EA60" s="2275" t="n">
        <v>705.6</v>
      </c>
      <c r="EB60" s="2275" t="n">
        <v>131.5</v>
      </c>
      <c r="EC60" s="2275" t="n">
        <f aca="false">EE60+EF60</f>
        <v>8386.1</v>
      </c>
      <c r="ED60" s="2275" t="n">
        <v>2468.7</v>
      </c>
      <c r="EE60" s="2275" t="n">
        <f aca="false">2468.7-99.3-242.7+93.9+705.6</f>
        <v>2926.2</v>
      </c>
      <c r="EF60" s="2275" t="n">
        <f aca="false">5348.4-1046.7-51.4+1078.1+131.5</f>
        <v>5459.9</v>
      </c>
      <c r="EG60" s="2275" t="n">
        <f aca="false">EH60+EI60</f>
        <v>4250.8</v>
      </c>
      <c r="EH60" s="2355" t="n">
        <v>955.4</v>
      </c>
      <c r="EI60" s="2355" t="n">
        <v>3295.4</v>
      </c>
      <c r="EJ60" s="2275" t="n">
        <f aca="false">EK60+EL60</f>
        <v>4020.2</v>
      </c>
      <c r="EK60" s="2355" t="n">
        <v>1101.9</v>
      </c>
      <c r="EL60" s="2355" t="n">
        <v>2918.3</v>
      </c>
      <c r="EM60" s="2275" t="n">
        <f aca="false">EN60+EO60</f>
        <v>991.1</v>
      </c>
      <c r="EN60" s="2355" t="n">
        <v>597.5</v>
      </c>
      <c r="EO60" s="2355" t="n">
        <v>393.6</v>
      </c>
      <c r="EP60" s="2275"/>
      <c r="EQ60" s="2275" t="n">
        <f aca="false">1453.2-422.4-52.6+434.3+137.7</f>
        <v>1550.2</v>
      </c>
      <c r="ER60" s="2275" t="n">
        <f aca="false">2185.6-456.6-201.6+456.6+198.7</f>
        <v>2182.7</v>
      </c>
      <c r="ES60" s="2275" t="n">
        <f aca="false">EQ60-ER60</f>
        <v>-632.5</v>
      </c>
      <c r="ET60" s="2275" t="n">
        <v>757</v>
      </c>
      <c r="EU60" s="2275" t="n">
        <v>911</v>
      </c>
      <c r="EV60" s="2275" t="n">
        <f aca="false">ET60-EU60</f>
        <v>-154</v>
      </c>
      <c r="EW60" s="2275" t="n">
        <v>975.003</v>
      </c>
      <c r="EX60" s="2275" t="n">
        <v>743.746</v>
      </c>
      <c r="EY60" s="2275" t="n">
        <v>231.257</v>
      </c>
      <c r="EZ60" s="2330"/>
      <c r="FA60" s="2275"/>
      <c r="FB60" s="2275"/>
      <c r="FC60" s="2275"/>
      <c r="FD60" s="2275"/>
      <c r="FE60" s="2275"/>
      <c r="FF60" s="2275"/>
      <c r="FG60" s="2275"/>
      <c r="FH60" s="2275"/>
      <c r="FI60" s="2275"/>
      <c r="FJ60" s="2275"/>
      <c r="FK60" s="2252"/>
      <c r="FL60" s="2252"/>
      <c r="FM60" s="2252"/>
    </row>
    <row r="61" customFormat="false" ht="12" hidden="false" customHeight="true" outlineLevel="0" collapsed="false">
      <c r="A61" s="2252" t="n">
        <v>1993</v>
      </c>
      <c r="B61" s="2252"/>
      <c r="C61" s="2252"/>
      <c r="D61" s="2252"/>
      <c r="E61" s="2252"/>
      <c r="F61" s="2252"/>
      <c r="G61" s="2252"/>
      <c r="H61" s="2252"/>
      <c r="I61" s="2252"/>
      <c r="J61" s="2252"/>
      <c r="K61" s="2252"/>
      <c r="L61" s="2252"/>
      <c r="M61" s="2252"/>
      <c r="N61" s="2252"/>
      <c r="O61" s="2252"/>
      <c r="P61" s="2252"/>
      <c r="Q61" s="2252"/>
      <c r="R61" s="2252"/>
      <c r="S61" s="2260"/>
      <c r="T61" s="2252"/>
      <c r="U61" s="2260"/>
      <c r="V61" s="2260"/>
      <c r="W61" s="2260"/>
      <c r="X61" s="2275" t="n">
        <f aca="false">Y61+AB61+AC61</f>
        <v>2287.9</v>
      </c>
      <c r="Y61" s="2275" t="n">
        <v>404.1</v>
      </c>
      <c r="Z61" s="2275" t="n">
        <v>170.4</v>
      </c>
      <c r="AA61" s="2275" t="n">
        <v>233.7</v>
      </c>
      <c r="AB61" s="2275" t="n">
        <v>454.5</v>
      </c>
      <c r="AC61" s="2275" t="n">
        <v>1429.3</v>
      </c>
      <c r="AD61" s="2351" t="n">
        <v>985.1</v>
      </c>
      <c r="AE61" s="2275" t="n">
        <f aca="false">X61-AD61</f>
        <v>1302.8</v>
      </c>
      <c r="AF61" s="2349"/>
      <c r="AG61" s="2275"/>
      <c r="AH61" s="2275"/>
      <c r="AI61" s="2252"/>
      <c r="AJ61" s="2275"/>
      <c r="AK61" s="2275"/>
      <c r="AL61" s="2275" t="n">
        <f aca="false">AN61+AO61+AP61</f>
        <v>2289.3</v>
      </c>
      <c r="AM61" s="2275" t="n">
        <v>2289.17</v>
      </c>
      <c r="AN61" s="2275" t="n">
        <v>1868.8</v>
      </c>
      <c r="AO61" s="2275" t="n">
        <v>23.6</v>
      </c>
      <c r="AP61" s="2275" t="n">
        <f aca="false">AQ61+AR61</f>
        <v>396.9</v>
      </c>
      <c r="AQ61" s="2355" t="n">
        <v>380.8</v>
      </c>
      <c r="AR61" s="2355" t="n">
        <v>16.1</v>
      </c>
      <c r="AS61" s="2252"/>
      <c r="AT61" s="2252"/>
      <c r="AU61" s="2252"/>
      <c r="AV61" s="2275" t="n">
        <f aca="false">AW61+AX61+AY61</f>
        <v>1900.3</v>
      </c>
      <c r="AW61" s="2275" t="n">
        <v>264.6</v>
      </c>
      <c r="AX61" s="2275" t="n">
        <v>795.7</v>
      </c>
      <c r="AY61" s="2275" t="n">
        <f aca="false">AZ61+BA61</f>
        <v>840</v>
      </c>
      <c r="AZ61" s="2355" t="n">
        <v>748.7</v>
      </c>
      <c r="BA61" s="2355" t="n">
        <v>91.3</v>
      </c>
      <c r="BB61" s="2275"/>
      <c r="BC61" s="2275"/>
      <c r="BD61" s="2275" t="n">
        <f aca="false">BE61+BF61+BG61</f>
        <v>813.9</v>
      </c>
      <c r="BE61" s="2275" t="n">
        <v>129</v>
      </c>
      <c r="BF61" s="2275" t="n">
        <v>33.6</v>
      </c>
      <c r="BG61" s="2275" t="n">
        <f aca="false">BH61+BI61</f>
        <v>651.3</v>
      </c>
      <c r="BH61" s="2355" t="n">
        <v>634.2</v>
      </c>
      <c r="BI61" s="2355" t="n">
        <v>17.1</v>
      </c>
      <c r="BJ61" s="2275"/>
      <c r="BK61" s="2275"/>
      <c r="BL61" s="2275" t="n">
        <v>7.93</v>
      </c>
      <c r="BM61" s="2275" t="n">
        <v>4.76</v>
      </c>
      <c r="BN61" s="2275" t="n">
        <v>0</v>
      </c>
      <c r="BO61" s="2275" t="n">
        <f aca="false">BP61+BQ61</f>
        <v>3.17</v>
      </c>
      <c r="BP61" s="2275" t="n">
        <v>3.17</v>
      </c>
      <c r="BQ61" s="2275" t="n">
        <v>0</v>
      </c>
      <c r="BR61" s="2275"/>
      <c r="BS61" s="2275"/>
      <c r="BT61" s="2275" t="n">
        <f aca="false">BU61+BV61+BW61</f>
        <v>34.96</v>
      </c>
      <c r="BU61" s="2275" t="n">
        <v>5.3</v>
      </c>
      <c r="BV61" s="2275" t="n">
        <v>2.66</v>
      </c>
      <c r="BW61" s="2275" t="n">
        <f aca="false">BX61+BY61</f>
        <v>27</v>
      </c>
      <c r="BX61" s="2355" t="n">
        <v>24.8</v>
      </c>
      <c r="BY61" s="2355" t="n">
        <v>2.2</v>
      </c>
      <c r="BZ61" s="2275"/>
      <c r="CA61" s="2275" t="n">
        <v>1153.7</v>
      </c>
      <c r="CB61" s="2275" t="n">
        <v>776.8</v>
      </c>
      <c r="CC61" s="2275" t="n">
        <v>123.1</v>
      </c>
      <c r="CD61" s="2275" t="n">
        <f aca="false">CE61+CF61</f>
        <v>253.8</v>
      </c>
      <c r="CE61" s="2355" t="n">
        <v>234.2</v>
      </c>
      <c r="CF61" s="2355" t="n">
        <v>19.6</v>
      </c>
      <c r="CG61" s="2252"/>
      <c r="CH61" s="2252" t="n">
        <v>30.59</v>
      </c>
      <c r="CI61" s="2356" t="n">
        <v>49.06</v>
      </c>
      <c r="CJ61" s="2356"/>
      <c r="CK61" s="2275" t="n">
        <v>81338.093</v>
      </c>
      <c r="CL61" s="2275" t="n">
        <v>65739.665</v>
      </c>
      <c r="CM61" s="2275" t="n">
        <v>44232.219</v>
      </c>
      <c r="CN61" s="2252"/>
      <c r="CO61" s="2252" t="e">
        <f aca="false">NA()</f>
        <v>#N/A</v>
      </c>
      <c r="CP61" s="2252" t="e">
        <f aca="false">NA()</f>
        <v>#N/A</v>
      </c>
      <c r="CQ61" s="2252" t="e">
        <f aca="false">NA()</f>
        <v>#N/A</v>
      </c>
      <c r="CR61" s="2252" t="e">
        <f aca="false">NA()</f>
        <v>#N/A</v>
      </c>
      <c r="CS61" s="2252" t="e">
        <f aca="false">NA()</f>
        <v>#N/A</v>
      </c>
      <c r="CT61" s="2252" t="e">
        <f aca="false">NA()</f>
        <v>#N/A</v>
      </c>
      <c r="CU61" s="2252" t="e">
        <f aca="false">NA()</f>
        <v>#N/A</v>
      </c>
      <c r="CV61" s="2252" t="e">
        <f aca="false">NA()</f>
        <v>#N/A</v>
      </c>
      <c r="CW61" s="2252" t="e">
        <f aca="false">NA()</f>
        <v>#N/A</v>
      </c>
      <c r="CX61" s="2252" t="e">
        <f aca="false">NA()</f>
        <v>#N/A</v>
      </c>
      <c r="CY61" s="2252" t="e">
        <f aca="false">NA()</f>
        <v>#N/A</v>
      </c>
      <c r="CZ61" s="2252"/>
      <c r="DA61" s="2252"/>
      <c r="DB61" s="2252"/>
      <c r="DC61" s="2252"/>
      <c r="DD61" s="2252"/>
      <c r="DE61" s="2252"/>
      <c r="DF61" s="2252"/>
      <c r="DG61" s="2275" t="n">
        <v>474.3</v>
      </c>
      <c r="DH61" s="2275" t="n">
        <v>781.6</v>
      </c>
      <c r="DI61" s="2275" t="n">
        <f aca="false">DG61-DH61</f>
        <v>-307.3</v>
      </c>
      <c r="DJ61" s="2354"/>
      <c r="DK61" s="2342" t="n">
        <v>270.423</v>
      </c>
      <c r="DL61" s="2275"/>
      <c r="DM61" s="2275"/>
      <c r="DN61" s="2275"/>
      <c r="DO61" s="2275"/>
      <c r="DP61" s="2275"/>
      <c r="DQ61" s="2252"/>
      <c r="DR61" s="2252"/>
      <c r="DS61" s="2252"/>
      <c r="DT61" s="2252"/>
      <c r="DU61" s="2252"/>
      <c r="DV61" s="2252"/>
      <c r="DW61" s="2252"/>
      <c r="DX61" s="2252"/>
      <c r="DY61" s="2252"/>
      <c r="DZ61" s="2252"/>
      <c r="EA61" s="2252"/>
      <c r="EB61" s="2252"/>
      <c r="EC61" s="2252"/>
      <c r="ED61" s="2252"/>
      <c r="EE61" s="2252"/>
      <c r="EF61" s="2252"/>
      <c r="EG61" s="2275" t="n">
        <f aca="false">EH61+EI61</f>
        <v>4934.6</v>
      </c>
      <c r="EH61" s="2355" t="n">
        <v>1131.4</v>
      </c>
      <c r="EI61" s="2355" t="n">
        <v>3803.2</v>
      </c>
      <c r="EJ61" s="2275" t="n">
        <f aca="false">EK61+EL61</f>
        <v>4483.4</v>
      </c>
      <c r="EK61" s="2355" t="n">
        <v>1193.9</v>
      </c>
      <c r="EL61" s="2355" t="n">
        <v>3289.5</v>
      </c>
      <c r="EM61" s="2275" t="n">
        <f aca="false">EN61+EO61</f>
        <v>1315.1</v>
      </c>
      <c r="EN61" s="2355" t="n">
        <v>788.8</v>
      </c>
      <c r="EO61" s="2355" t="n">
        <v>526.3</v>
      </c>
      <c r="EP61" s="2275"/>
      <c r="EQ61" s="2275"/>
      <c r="ER61" s="2275"/>
      <c r="ES61" s="2275"/>
      <c r="ET61" s="2275" t="n">
        <v>954</v>
      </c>
      <c r="EU61" s="2275" t="n">
        <v>1079</v>
      </c>
      <c r="EV61" s="2275" t="n">
        <f aca="false">ET61-EU61</f>
        <v>-125</v>
      </c>
      <c r="EW61" s="2275" t="n">
        <v>1141.263</v>
      </c>
      <c r="EX61" s="2275" t="n">
        <v>946.443</v>
      </c>
      <c r="EY61" s="2275" t="n">
        <v>194.82</v>
      </c>
      <c r="EZ61" s="2330"/>
      <c r="FA61" s="2275"/>
      <c r="FB61" s="2275"/>
      <c r="FC61" s="2275"/>
      <c r="FD61" s="2275"/>
      <c r="FE61" s="2275"/>
      <c r="FF61" s="2275"/>
      <c r="FG61" s="2275"/>
      <c r="FH61" s="2275"/>
      <c r="FI61" s="2275"/>
      <c r="FJ61" s="2275"/>
      <c r="FK61" s="2252"/>
      <c r="FL61" s="2252"/>
      <c r="FM61" s="2252"/>
    </row>
    <row r="62" customFormat="false" ht="12" hidden="false" customHeight="true" outlineLevel="0" collapsed="false">
      <c r="A62" s="2252" t="n">
        <v>1994</v>
      </c>
      <c r="B62" s="2252"/>
      <c r="C62" s="2252"/>
      <c r="D62" s="2252"/>
      <c r="E62" s="2252"/>
      <c r="F62" s="2252"/>
      <c r="G62" s="2252"/>
      <c r="H62" s="2252"/>
      <c r="I62" s="2252"/>
      <c r="J62" s="2252"/>
      <c r="K62" s="2252"/>
      <c r="L62" s="2252"/>
      <c r="M62" s="2252"/>
      <c r="N62" s="2252"/>
      <c r="O62" s="2252"/>
      <c r="P62" s="2252"/>
      <c r="Q62" s="2252"/>
      <c r="R62" s="2252"/>
      <c r="S62" s="2260"/>
      <c r="T62" s="2252"/>
      <c r="U62" s="2260"/>
      <c r="V62" s="2260"/>
      <c r="W62" s="2277"/>
      <c r="X62" s="2275" t="n">
        <f aca="false">Y62+AB62+AC62</f>
        <v>2391</v>
      </c>
      <c r="Y62" s="2275" t="n">
        <v>450</v>
      </c>
      <c r="Z62" s="2275" t="n">
        <v>172.5</v>
      </c>
      <c r="AA62" s="2275" t="n">
        <v>277.5</v>
      </c>
      <c r="AB62" s="2275" t="n">
        <v>496.6</v>
      </c>
      <c r="AC62" s="2275" t="n">
        <v>1444.4</v>
      </c>
      <c r="AD62" s="2351" t="n">
        <v>1080.5</v>
      </c>
      <c r="AE62" s="2275" t="n">
        <f aca="false">X62-AD62</f>
        <v>1310.5</v>
      </c>
      <c r="AF62" s="2349"/>
      <c r="AG62" s="2275"/>
      <c r="AH62" s="2275"/>
      <c r="AI62" s="2252"/>
      <c r="AJ62" s="2275"/>
      <c r="AK62" s="2275"/>
      <c r="AL62" s="2275" t="n">
        <f aca="false">AN62+AO62+AP62</f>
        <v>2469.2</v>
      </c>
      <c r="AM62" s="2275" t="n">
        <v>2469.16</v>
      </c>
      <c r="AN62" s="2275" t="n">
        <v>2022.5</v>
      </c>
      <c r="AO62" s="2275" t="n">
        <v>25.4</v>
      </c>
      <c r="AP62" s="2275" t="n">
        <f aca="false">AQ62+AR62</f>
        <v>421.3</v>
      </c>
      <c r="AQ62" s="2355" t="n">
        <v>404</v>
      </c>
      <c r="AR62" s="2355" t="n">
        <v>17.3</v>
      </c>
      <c r="AS62" s="2252"/>
      <c r="AT62" s="2252"/>
      <c r="AU62" s="2252"/>
      <c r="AV62" s="2275" t="n">
        <f aca="false">AW62+AX62+AY62</f>
        <v>2011.3</v>
      </c>
      <c r="AW62" s="2275" t="n">
        <v>281.9</v>
      </c>
      <c r="AX62" s="2275" t="n">
        <v>832.2</v>
      </c>
      <c r="AY62" s="2275" t="n">
        <f aca="false">AZ62+BA62</f>
        <v>897.2</v>
      </c>
      <c r="AZ62" s="2355" t="n">
        <v>798.7</v>
      </c>
      <c r="BA62" s="2355" t="n">
        <v>98.5</v>
      </c>
      <c r="BB62" s="2275"/>
      <c r="BC62" s="2275"/>
      <c r="BD62" s="2275" t="n">
        <f aca="false">BE62+BF62+BG62</f>
        <v>839.6</v>
      </c>
      <c r="BE62" s="2275" t="n">
        <v>129.8</v>
      </c>
      <c r="BF62" s="2275" t="n">
        <v>34.9</v>
      </c>
      <c r="BG62" s="2275" t="n">
        <f aca="false">BH62+BI62</f>
        <v>674.9</v>
      </c>
      <c r="BH62" s="2355" t="n">
        <v>657.1</v>
      </c>
      <c r="BI62" s="2355" t="n">
        <v>17.8</v>
      </c>
      <c r="BJ62" s="2275"/>
      <c r="BK62" s="2275"/>
      <c r="BL62" s="2275" t="n">
        <v>8.28</v>
      </c>
      <c r="BM62" s="2275" t="n">
        <v>4.97</v>
      </c>
      <c r="BN62" s="2275" t="n">
        <v>0</v>
      </c>
      <c r="BO62" s="2275" t="n">
        <f aca="false">BP62+BQ62</f>
        <v>3.31</v>
      </c>
      <c r="BP62" s="2275" t="n">
        <v>3.31</v>
      </c>
      <c r="BQ62" s="2275" t="n">
        <v>0</v>
      </c>
      <c r="BR62" s="2275"/>
      <c r="BS62" s="2275"/>
      <c r="BT62" s="2275" t="n">
        <f aca="false">BU62+BV62+BW62</f>
        <v>35.83</v>
      </c>
      <c r="BU62" s="2275" t="n">
        <v>5.4</v>
      </c>
      <c r="BV62" s="2275" t="n">
        <v>2.83</v>
      </c>
      <c r="BW62" s="2275" t="n">
        <f aca="false">BX62+BY62</f>
        <v>27.6</v>
      </c>
      <c r="BX62" s="2355" t="n">
        <v>25.3</v>
      </c>
      <c r="BY62" s="2355" t="n">
        <v>2.3</v>
      </c>
      <c r="BZ62" s="2275"/>
      <c r="CA62" s="2275" t="n">
        <v>1158.7</v>
      </c>
      <c r="CB62" s="2275" t="n">
        <v>787.9</v>
      </c>
      <c r="CC62" s="2275" t="n">
        <v>119.2</v>
      </c>
      <c r="CD62" s="2275" t="n">
        <f aca="false">CE62+CF62</f>
        <v>251.6</v>
      </c>
      <c r="CE62" s="2355" t="n">
        <v>231.9</v>
      </c>
      <c r="CF62" s="2355" t="n">
        <v>19.7</v>
      </c>
      <c r="CG62" s="2252"/>
      <c r="CH62" s="2252" t="n">
        <v>35.58</v>
      </c>
      <c r="CI62" s="2356" t="n">
        <v>55.66</v>
      </c>
      <c r="CJ62" s="2356"/>
      <c r="CK62" s="2275" t="n">
        <v>81538.603</v>
      </c>
      <c r="CL62" s="2275" t="n">
        <v>66007.213</v>
      </c>
      <c r="CM62" s="2275" t="n">
        <v>44404.071</v>
      </c>
      <c r="CN62" s="2252"/>
      <c r="CO62" s="2252" t="e">
        <f aca="false">NA()</f>
        <v>#N/A</v>
      </c>
      <c r="CP62" s="2252" t="e">
        <f aca="false">NA()</f>
        <v>#N/A</v>
      </c>
      <c r="CQ62" s="2252" t="e">
        <f aca="false">NA()</f>
        <v>#N/A</v>
      </c>
      <c r="CR62" s="2252" t="e">
        <f aca="false">NA()</f>
        <v>#N/A</v>
      </c>
      <c r="CS62" s="2252" t="e">
        <f aca="false">NA()</f>
        <v>#N/A</v>
      </c>
      <c r="CT62" s="2252" t="e">
        <f aca="false">NA()</f>
        <v>#N/A</v>
      </c>
      <c r="CU62" s="2252" t="e">
        <f aca="false">NA()</f>
        <v>#N/A</v>
      </c>
      <c r="CV62" s="2252" t="e">
        <f aca="false">NA()</f>
        <v>#N/A</v>
      </c>
      <c r="CW62" s="2252" t="e">
        <f aca="false">NA()</f>
        <v>#N/A</v>
      </c>
      <c r="CX62" s="2252" t="e">
        <f aca="false">NA()</f>
        <v>#N/A</v>
      </c>
      <c r="CY62" s="2252" t="e">
        <f aca="false">NA()</f>
        <v>#N/A</v>
      </c>
      <c r="CZ62" s="2252"/>
      <c r="DA62" s="2252"/>
      <c r="DB62" s="2252"/>
      <c r="DC62" s="2252"/>
      <c r="DD62" s="2252"/>
      <c r="DE62" s="2252"/>
      <c r="DF62" s="2252"/>
      <c r="DG62" s="2275" t="n">
        <v>490.9</v>
      </c>
      <c r="DH62" s="2275" t="n">
        <v>828</v>
      </c>
      <c r="DI62" s="2275" t="n">
        <f aca="false">DG62-DH62</f>
        <v>-337.1</v>
      </c>
      <c r="DJ62" s="2354"/>
      <c r="DK62" s="2342" t="n">
        <v>244.007</v>
      </c>
      <c r="DL62" s="2275"/>
      <c r="DM62" s="2275"/>
      <c r="DN62" s="2275"/>
      <c r="DO62" s="2275"/>
      <c r="DP62" s="2275"/>
      <c r="DQ62" s="2252"/>
      <c r="DR62" s="2252"/>
      <c r="DS62" s="2252"/>
      <c r="DT62" s="2252"/>
      <c r="DU62" s="2252"/>
      <c r="DV62" s="2252"/>
      <c r="DW62" s="2252"/>
      <c r="DX62" s="2252"/>
      <c r="DY62" s="2252"/>
      <c r="DZ62" s="2252"/>
      <c r="EA62" s="2252"/>
      <c r="EB62" s="2252"/>
      <c r="EC62" s="2252"/>
      <c r="ED62" s="2252"/>
      <c r="EE62" s="2252"/>
      <c r="EF62" s="2252"/>
      <c r="EG62" s="2275" t="n">
        <f aca="false">EH62+EI62</f>
        <v>5183.2</v>
      </c>
      <c r="EH62" s="2355" t="n">
        <v>1210.3</v>
      </c>
      <c r="EI62" s="2355" t="n">
        <v>3972.9</v>
      </c>
      <c r="EJ62" s="2275" t="n">
        <f aca="false">EK62+EL62</f>
        <v>4650.1</v>
      </c>
      <c r="EK62" s="2355" t="n">
        <v>1226.2</v>
      </c>
      <c r="EL62" s="2355" t="n">
        <v>3423.9</v>
      </c>
      <c r="EM62" s="2275" t="n">
        <f aca="false">EN62+EO62</f>
        <v>1397.2</v>
      </c>
      <c r="EN62" s="2355" t="n">
        <v>841.3</v>
      </c>
      <c r="EO62" s="2355" t="n">
        <v>555.9</v>
      </c>
      <c r="EP62" s="2275"/>
      <c r="EQ62" s="2275"/>
      <c r="ER62" s="2275"/>
      <c r="ES62" s="2275"/>
      <c r="ET62" s="2275" t="n">
        <v>987</v>
      </c>
      <c r="EU62" s="2275" t="n">
        <v>1090</v>
      </c>
      <c r="EV62" s="2275" t="n">
        <f aca="false">ET62-EU62</f>
        <v>-103</v>
      </c>
      <c r="EW62" s="2275" t="n">
        <v>1141.736</v>
      </c>
      <c r="EX62" s="2275" t="n">
        <v>971.17</v>
      </c>
      <c r="EY62" s="2275" t="n">
        <v>170.566</v>
      </c>
      <c r="EZ62" s="2330"/>
      <c r="FA62" s="2275"/>
      <c r="FB62" s="2275"/>
      <c r="FC62" s="2275"/>
      <c r="FD62" s="2275"/>
      <c r="FE62" s="2275"/>
      <c r="FF62" s="2275"/>
      <c r="FG62" s="2275"/>
      <c r="FH62" s="2275"/>
      <c r="FI62" s="2275"/>
      <c r="FJ62" s="2275"/>
      <c r="FK62" s="2252"/>
      <c r="FL62" s="2252"/>
      <c r="FM62" s="2252"/>
    </row>
    <row r="63" customFormat="false" ht="12" hidden="false" customHeight="true" outlineLevel="0" collapsed="false">
      <c r="A63" s="2252" t="n">
        <v>1995</v>
      </c>
      <c r="B63" s="2252"/>
      <c r="C63" s="2252"/>
      <c r="D63" s="2252"/>
      <c r="E63" s="2252"/>
      <c r="F63" s="2252"/>
      <c r="G63" s="2252"/>
      <c r="H63" s="2275"/>
      <c r="I63" s="2252"/>
      <c r="J63" s="2252"/>
      <c r="K63" s="2252"/>
      <c r="L63" s="2252"/>
      <c r="M63" s="2252"/>
      <c r="N63" s="2252"/>
      <c r="O63" s="2252"/>
      <c r="P63" s="2252"/>
      <c r="Q63" s="2252"/>
      <c r="R63" s="2252"/>
      <c r="S63" s="2260"/>
      <c r="T63" s="2252"/>
      <c r="U63" s="2260"/>
      <c r="V63" s="2260"/>
      <c r="W63" s="2260"/>
      <c r="X63" s="2275" t="n">
        <f aca="false">Y63+AB63+AC63</f>
        <v>2563.7</v>
      </c>
      <c r="Y63" s="2275" t="n">
        <v>483.4</v>
      </c>
      <c r="Z63" s="2275" t="n">
        <v>191.2</v>
      </c>
      <c r="AA63" s="2275" t="n">
        <v>292.2</v>
      </c>
      <c r="AB63" s="2275" t="n">
        <v>544.1</v>
      </c>
      <c r="AC63" s="2275" t="n">
        <v>1536.2</v>
      </c>
      <c r="AD63" s="2351" t="n">
        <v>1155.2</v>
      </c>
      <c r="AE63" s="2275" t="n">
        <f aca="false">X63-AD63</f>
        <v>1408.5</v>
      </c>
      <c r="AF63" s="2349"/>
      <c r="AG63" s="2275"/>
      <c r="AH63" s="2275"/>
      <c r="AI63" s="2252"/>
      <c r="AJ63" s="2275"/>
      <c r="AK63" s="2275"/>
      <c r="AL63" s="2275" t="n">
        <f aca="false">AN63+AO63+AP63</f>
        <v>2611.1</v>
      </c>
      <c r="AM63" s="2275" t="n">
        <v>2611.05</v>
      </c>
      <c r="AN63" s="2275" t="n">
        <v>2150.6</v>
      </c>
      <c r="AO63" s="2275" t="n">
        <v>26.4</v>
      </c>
      <c r="AP63" s="2275" t="n">
        <f aca="false">AQ63+AR63</f>
        <v>434.1</v>
      </c>
      <c r="AQ63" s="2355" t="n">
        <v>416.2</v>
      </c>
      <c r="AR63" s="2355" t="n">
        <v>17.9</v>
      </c>
      <c r="AS63" s="2252"/>
      <c r="AT63" s="2252"/>
      <c r="AU63" s="2252"/>
      <c r="AV63" s="2275" t="n">
        <f aca="false">AW63+AX63+AY63</f>
        <v>2094.7</v>
      </c>
      <c r="AW63" s="2275" t="n">
        <v>296.1</v>
      </c>
      <c r="AX63" s="2275" t="n">
        <v>854.7</v>
      </c>
      <c r="AY63" s="2275" t="n">
        <f aca="false">AZ63+BA63</f>
        <v>943.9</v>
      </c>
      <c r="AZ63" s="2355" t="n">
        <v>840.2</v>
      </c>
      <c r="BA63" s="2355" t="n">
        <v>103.7</v>
      </c>
      <c r="BB63" s="2275"/>
      <c r="BC63" s="2275"/>
      <c r="BD63" s="2275" t="n">
        <f aca="false">BE63+BF63+BG63</f>
        <v>846</v>
      </c>
      <c r="BE63" s="2275" t="n">
        <v>128.4</v>
      </c>
      <c r="BF63" s="2275" t="n">
        <v>35</v>
      </c>
      <c r="BG63" s="2275" t="n">
        <f aca="false">BH63+BI63</f>
        <v>682.6</v>
      </c>
      <c r="BH63" s="2355" t="n">
        <v>664.3</v>
      </c>
      <c r="BI63" s="2355" t="n">
        <v>18.3</v>
      </c>
      <c r="BJ63" s="2275"/>
      <c r="BK63" s="2275"/>
      <c r="BL63" s="2275" t="n">
        <v>8.26</v>
      </c>
      <c r="BM63" s="2275" t="n">
        <v>4.96</v>
      </c>
      <c r="BN63" s="2275" t="n">
        <v>0</v>
      </c>
      <c r="BO63" s="2275" t="n">
        <f aca="false">BP63+BQ63</f>
        <v>3.3</v>
      </c>
      <c r="BP63" s="2275" t="n">
        <v>3.3</v>
      </c>
      <c r="BQ63" s="2275" t="n">
        <v>0</v>
      </c>
      <c r="BR63" s="2275"/>
      <c r="BS63" s="2275"/>
      <c r="BT63" s="2275" t="n">
        <f aca="false">BU63+BV63+BW63</f>
        <v>37.32</v>
      </c>
      <c r="BU63" s="2275" t="n">
        <v>5.7</v>
      </c>
      <c r="BV63" s="2275" t="n">
        <v>2.92</v>
      </c>
      <c r="BW63" s="2275" t="n">
        <f aca="false">BX63+BY63</f>
        <v>28.7</v>
      </c>
      <c r="BX63" s="2355" t="n">
        <v>26.3</v>
      </c>
      <c r="BY63" s="2355" t="n">
        <v>2.4</v>
      </c>
      <c r="BZ63" s="2275"/>
      <c r="CA63" s="2275" t="n">
        <v>1172.5</v>
      </c>
      <c r="CB63" s="2275" t="n">
        <v>801.9</v>
      </c>
      <c r="CC63" s="2275" t="n">
        <v>118.5</v>
      </c>
      <c r="CD63" s="2275" t="n">
        <f aca="false">CE63+CF63</f>
        <v>252</v>
      </c>
      <c r="CE63" s="2355" t="n">
        <v>232.2</v>
      </c>
      <c r="CF63" s="2355" t="n">
        <v>19.8</v>
      </c>
      <c r="CG63" s="2252"/>
      <c r="CH63" s="2252" t="n">
        <v>35.93</v>
      </c>
      <c r="CI63" s="2356" t="n">
        <v>58.02</v>
      </c>
      <c r="CJ63" s="2356"/>
      <c r="CK63" s="2275" t="n">
        <v>81817.499</v>
      </c>
      <c r="CL63" s="2275" t="n">
        <v>66341.95</v>
      </c>
      <c r="CM63" s="2275" t="n">
        <v>44618.987</v>
      </c>
      <c r="CN63" s="2252"/>
      <c r="CO63" s="2252" t="e">
        <f aca="false">NA()</f>
        <v>#N/A</v>
      </c>
      <c r="CP63" s="2252" t="e">
        <f aca="false">NA()</f>
        <v>#N/A</v>
      </c>
      <c r="CQ63" s="2252" t="e">
        <f aca="false">NA()</f>
        <v>#N/A</v>
      </c>
      <c r="CR63" s="2252" t="e">
        <f aca="false">NA()</f>
        <v>#N/A</v>
      </c>
      <c r="CS63" s="2252" t="e">
        <f aca="false">NA()</f>
        <v>#N/A</v>
      </c>
      <c r="CT63" s="2252" t="e">
        <f aca="false">NA()</f>
        <v>#N/A</v>
      </c>
      <c r="CU63" s="2252" t="e">
        <f aca="false">NA()</f>
        <v>#N/A</v>
      </c>
      <c r="CV63" s="2252" t="e">
        <f aca="false">NA()</f>
        <v>#N/A</v>
      </c>
      <c r="CW63" s="2252" t="e">
        <f aca="false">NA()</f>
        <v>#N/A</v>
      </c>
      <c r="CX63" s="2252" t="e">
        <f aca="false">NA()</f>
        <v>#N/A</v>
      </c>
      <c r="CY63" s="2252" t="e">
        <f aca="false">NA()</f>
        <v>#N/A</v>
      </c>
      <c r="CZ63" s="2252"/>
      <c r="DA63" s="2252"/>
      <c r="DB63" s="2252"/>
      <c r="DC63" s="2252"/>
      <c r="DD63" s="2252"/>
      <c r="DE63" s="2252"/>
      <c r="DF63" s="2252"/>
      <c r="DG63" s="2275" t="n">
        <v>497.9</v>
      </c>
      <c r="DH63" s="2275" t="n">
        <v>1029.6</v>
      </c>
      <c r="DI63" s="2275" t="n">
        <f aca="false">DG63-DH63</f>
        <v>-531.7</v>
      </c>
      <c r="DJ63" s="2354"/>
      <c r="DK63" s="2342" t="n">
        <v>302.199</v>
      </c>
      <c r="DL63" s="2275"/>
      <c r="DM63" s="2275"/>
      <c r="DN63" s="2275"/>
      <c r="DO63" s="2275"/>
      <c r="DP63" s="2275"/>
      <c r="DQ63" s="2252"/>
      <c r="DR63" s="2252"/>
      <c r="DS63" s="2252"/>
      <c r="DT63" s="2252"/>
      <c r="DU63" s="2252"/>
      <c r="DV63" s="2252"/>
      <c r="DW63" s="2252"/>
      <c r="DX63" s="2252"/>
      <c r="DY63" s="2252"/>
      <c r="DZ63" s="2252"/>
      <c r="EA63" s="2252"/>
      <c r="EB63" s="2252"/>
      <c r="EC63" s="2252"/>
      <c r="ED63" s="2252"/>
      <c r="EE63" s="2252"/>
      <c r="EF63" s="2252"/>
      <c r="EG63" s="2275" t="n">
        <f aca="false">EH63+EI63</f>
        <v>5696.3</v>
      </c>
      <c r="EH63" s="2355" t="n">
        <v>1320.8</v>
      </c>
      <c r="EI63" s="2355" t="n">
        <v>4375.5</v>
      </c>
      <c r="EJ63" s="2275" t="n">
        <f aca="false">EK63+EL63</f>
        <v>4988.3</v>
      </c>
      <c r="EK63" s="2355" t="n">
        <v>1222.7</v>
      </c>
      <c r="EL63" s="2355" t="n">
        <v>3765.6</v>
      </c>
      <c r="EM63" s="2275" t="n">
        <f aca="false">EN63+EO63</f>
        <v>1535</v>
      </c>
      <c r="EN63" s="2355" t="n">
        <v>896.5</v>
      </c>
      <c r="EO63" s="2355" t="n">
        <v>638.5</v>
      </c>
      <c r="EP63" s="2275"/>
      <c r="EQ63" s="2275"/>
      <c r="ER63" s="2275"/>
      <c r="ES63" s="2275"/>
      <c r="ET63" s="2275" t="n">
        <v>1134</v>
      </c>
      <c r="EU63" s="2275" t="n">
        <v>1177</v>
      </c>
      <c r="EV63" s="2275" t="n">
        <f aca="false">ET63-EU63</f>
        <v>-43</v>
      </c>
      <c r="EW63" s="2275" t="n">
        <v>1219.246</v>
      </c>
      <c r="EX63" s="2275" t="n">
        <v>1116.841</v>
      </c>
      <c r="EY63" s="2275" t="n">
        <v>102.405</v>
      </c>
      <c r="EZ63" s="2330"/>
      <c r="FA63" s="2305"/>
      <c r="FB63" s="2305"/>
      <c r="FC63" s="2275"/>
      <c r="FD63" s="2275"/>
      <c r="FE63" s="2275"/>
      <c r="FF63" s="2275"/>
      <c r="FG63" s="2275"/>
      <c r="FH63" s="2275"/>
      <c r="FI63" s="2275"/>
      <c r="FJ63" s="2275"/>
      <c r="FK63" s="2252"/>
      <c r="FL63" s="2252"/>
      <c r="FM63" s="2252"/>
    </row>
    <row r="64" customFormat="false" ht="12" hidden="false" customHeight="true" outlineLevel="0" collapsed="false">
      <c r="A64" s="2252" t="n">
        <v>1996</v>
      </c>
      <c r="B64" s="2252"/>
      <c r="C64" s="2252"/>
      <c r="D64" s="2252"/>
      <c r="E64" s="2252"/>
      <c r="F64" s="2252"/>
      <c r="G64" s="2252"/>
      <c r="H64" s="2275"/>
      <c r="I64" s="2252"/>
      <c r="J64" s="2252"/>
      <c r="K64" s="2252"/>
      <c r="L64" s="2252"/>
      <c r="M64" s="2252"/>
      <c r="N64" s="2252"/>
      <c r="O64" s="2252"/>
      <c r="P64" s="2252"/>
      <c r="Q64" s="2252"/>
      <c r="R64" s="2252"/>
      <c r="S64" s="2260"/>
      <c r="T64" s="2252"/>
      <c r="U64" s="2260"/>
      <c r="V64" s="2260"/>
      <c r="W64" s="2260"/>
      <c r="X64" s="2275" t="n">
        <f aca="false">Y64+AB64+AC64</f>
        <v>2745.8</v>
      </c>
      <c r="Y64" s="2275" t="n">
        <v>543.5</v>
      </c>
      <c r="Z64" s="2275" t="n">
        <v>224.8</v>
      </c>
      <c r="AA64" s="2275" t="n">
        <v>318.7</v>
      </c>
      <c r="AB64" s="2275" t="n">
        <v>595.8</v>
      </c>
      <c r="AC64" s="2275" t="n">
        <v>1606.5</v>
      </c>
      <c r="AD64" s="2351" t="n">
        <v>1233.4</v>
      </c>
      <c r="AE64" s="2275" t="n">
        <f aca="false">X64-AD64</f>
        <v>1512.4</v>
      </c>
      <c r="AF64" s="2349"/>
      <c r="AG64" s="2275"/>
      <c r="AH64" s="2275"/>
      <c r="AI64" s="2252"/>
      <c r="AJ64" s="2275"/>
      <c r="AK64" s="2275"/>
      <c r="AL64" s="2275" t="n">
        <f aca="false">AN64+AO64+AP64</f>
        <v>2763.1</v>
      </c>
      <c r="AM64" s="2275" t="n">
        <v>2763.05</v>
      </c>
      <c r="AN64" s="2275" t="n">
        <v>2282.7</v>
      </c>
      <c r="AO64" s="2275" t="n">
        <v>27.3</v>
      </c>
      <c r="AP64" s="2275" t="n">
        <f aca="false">AQ64+AR64</f>
        <v>453.1</v>
      </c>
      <c r="AQ64" s="2355" t="n">
        <v>434.1</v>
      </c>
      <c r="AR64" s="2355" t="n">
        <v>19</v>
      </c>
      <c r="AS64" s="2252"/>
      <c r="AT64" s="2252"/>
      <c r="AU64" s="2252"/>
      <c r="AV64" s="2275" t="n">
        <f aca="false">AW64+AX64+AY64</f>
        <v>2173.6</v>
      </c>
      <c r="AW64" s="2275" t="n">
        <v>310.2</v>
      </c>
      <c r="AX64" s="2275" t="n">
        <v>874.1</v>
      </c>
      <c r="AY64" s="2275" t="n">
        <f aca="false">AZ64+BA64</f>
        <v>989.3</v>
      </c>
      <c r="AZ64" s="2355" t="n">
        <v>880.2</v>
      </c>
      <c r="BA64" s="2355" t="n">
        <v>109.1</v>
      </c>
      <c r="BB64" s="2275"/>
      <c r="BC64" s="2275"/>
      <c r="BD64" s="2275" t="n">
        <f aca="false">BE64+BF64+BG64</f>
        <v>851.3</v>
      </c>
      <c r="BE64" s="2275" t="n">
        <v>127.1</v>
      </c>
      <c r="BF64" s="2275" t="n">
        <v>34.3</v>
      </c>
      <c r="BG64" s="2275" t="n">
        <f aca="false">BH64+BI64</f>
        <v>689.9</v>
      </c>
      <c r="BH64" s="2355" t="n">
        <v>671</v>
      </c>
      <c r="BI64" s="2355" t="n">
        <v>18.9</v>
      </c>
      <c r="BJ64" s="2275"/>
      <c r="BK64" s="2275"/>
      <c r="BL64" s="2275" t="n">
        <v>7.61</v>
      </c>
      <c r="BM64" s="2275" t="n">
        <v>4.57</v>
      </c>
      <c r="BN64" s="2275" t="n">
        <v>0</v>
      </c>
      <c r="BO64" s="2275" t="n">
        <f aca="false">BP64+BQ64</f>
        <v>3.04</v>
      </c>
      <c r="BP64" s="2275" t="n">
        <v>3.04</v>
      </c>
      <c r="BQ64" s="2275" t="n">
        <v>0</v>
      </c>
      <c r="BR64" s="2275"/>
      <c r="BS64" s="2275"/>
      <c r="BT64" s="2275" t="n">
        <f aca="false">BU64+BV64+BW64</f>
        <v>38.66</v>
      </c>
      <c r="BU64" s="2275" t="n">
        <v>5.9</v>
      </c>
      <c r="BV64" s="2275" t="n">
        <v>3.06</v>
      </c>
      <c r="BW64" s="2275" t="n">
        <f aca="false">BX64+BY64</f>
        <v>29.7</v>
      </c>
      <c r="BX64" s="2355" t="n">
        <v>27.3</v>
      </c>
      <c r="BY64" s="2355" t="n">
        <v>2.4</v>
      </c>
      <c r="BZ64" s="2275"/>
      <c r="CA64" s="2275" t="n">
        <v>1189.9</v>
      </c>
      <c r="CB64" s="2275" t="n">
        <v>815.9</v>
      </c>
      <c r="CC64" s="2275" t="n">
        <v>118.6</v>
      </c>
      <c r="CD64" s="2275" t="n">
        <f aca="false">CE64+CF64</f>
        <v>255.4</v>
      </c>
      <c r="CE64" s="2355" t="n">
        <v>235.1</v>
      </c>
      <c r="CF64" s="2355" t="n">
        <v>20.3</v>
      </c>
      <c r="CG64" s="2252"/>
      <c r="CH64" s="2252" t="n">
        <v>41.53</v>
      </c>
      <c r="CI64" s="2356" t="n">
        <v>61.37</v>
      </c>
      <c r="CJ64" s="2356"/>
      <c r="CK64" s="2275" t="n">
        <v>82012.162</v>
      </c>
      <c r="CL64" s="2275" t="n">
        <v>66583.419</v>
      </c>
      <c r="CM64" s="2275" t="n">
        <v>44869.739</v>
      </c>
      <c r="CN64" s="2252"/>
      <c r="CO64" s="2252" t="n">
        <v>357030</v>
      </c>
      <c r="CP64" s="2252" t="n">
        <v>21937</v>
      </c>
      <c r="CQ64" s="2252" t="s">
        <v>1572</v>
      </c>
      <c r="CR64" s="2252" t="s">
        <v>1572</v>
      </c>
      <c r="CS64" s="2252" t="n">
        <v>2514</v>
      </c>
      <c r="CT64" s="2252" t="n">
        <v>2374</v>
      </c>
      <c r="CU64" s="2252" t="n">
        <v>16786</v>
      </c>
      <c r="CV64" s="2252" t="n">
        <v>193075</v>
      </c>
      <c r="CW64" s="2252" t="n">
        <v>104908</v>
      </c>
      <c r="CX64" s="2252" t="n">
        <v>7940</v>
      </c>
      <c r="CY64" s="2252" t="n">
        <v>7497</v>
      </c>
      <c r="CZ64" s="2252"/>
      <c r="DA64" s="2252"/>
      <c r="DB64" s="2252"/>
      <c r="DC64" s="2252"/>
      <c r="DD64" s="2252"/>
      <c r="DE64" s="2252"/>
      <c r="DF64" s="2252"/>
      <c r="DG64" s="2275" t="n">
        <v>507.8</v>
      </c>
      <c r="DH64" s="2275" t="n">
        <v>1103.7</v>
      </c>
      <c r="DI64" s="2275" t="n">
        <f aca="false">DG64-DH64</f>
        <v>-595.9</v>
      </c>
      <c r="DJ64" s="2354"/>
      <c r="DK64" s="2342" t="n">
        <v>333.026</v>
      </c>
      <c r="DL64" s="2275"/>
      <c r="DM64" s="2275"/>
      <c r="DN64" s="2275"/>
      <c r="DO64" s="2275"/>
      <c r="DP64" s="2275"/>
      <c r="DQ64" s="2252"/>
      <c r="DR64" s="2252"/>
      <c r="DS64" s="2252"/>
      <c r="DT64" s="2252"/>
      <c r="DU64" s="2252"/>
      <c r="DV64" s="2252"/>
      <c r="DW64" s="2252"/>
      <c r="DX64" s="2252"/>
      <c r="DY64" s="2252"/>
      <c r="DZ64" s="2252"/>
      <c r="EA64" s="2252"/>
      <c r="EB64" s="2252"/>
      <c r="EC64" s="2252"/>
      <c r="ED64" s="2252"/>
      <c r="EE64" s="2252"/>
      <c r="EF64" s="2252"/>
      <c r="EG64" s="2275" t="n">
        <f aca="false">EH64+EI64</f>
        <v>6313</v>
      </c>
      <c r="EH64" s="2355" t="n">
        <v>1459</v>
      </c>
      <c r="EI64" s="2355" t="n">
        <v>4854</v>
      </c>
      <c r="EJ64" s="2275" t="n">
        <f aca="false">EK64+EL64</f>
        <v>5396.3</v>
      </c>
      <c r="EK64" s="2355" t="n">
        <v>1266.4</v>
      </c>
      <c r="EL64" s="2355" t="n">
        <v>4129.9</v>
      </c>
      <c r="EM64" s="2275" t="n">
        <f aca="false">EN64+EO64</f>
        <v>1797.3</v>
      </c>
      <c r="EN64" s="2355" t="n">
        <v>1064.4</v>
      </c>
      <c r="EO64" s="2355" t="n">
        <v>732.9</v>
      </c>
      <c r="EP64" s="2275"/>
      <c r="EQ64" s="2275"/>
      <c r="ER64" s="2275"/>
      <c r="ES64" s="2275"/>
      <c r="ET64" s="2275" t="n">
        <v>1289</v>
      </c>
      <c r="EU64" s="2275" t="n">
        <v>1317</v>
      </c>
      <c r="EV64" s="2275" t="n">
        <f aca="false">ET64-EU64</f>
        <v>-28</v>
      </c>
      <c r="EW64" s="2275" t="n">
        <v>1350.468</v>
      </c>
      <c r="EX64" s="2275" t="n">
        <v>1270.35</v>
      </c>
      <c r="EY64" s="2275" t="n">
        <v>80.118</v>
      </c>
      <c r="EZ64" s="2330"/>
      <c r="FA64" s="2305"/>
      <c r="FB64" s="2305"/>
      <c r="FC64" s="2275"/>
      <c r="FD64" s="2275"/>
      <c r="FE64" s="2275"/>
      <c r="FF64" s="2275"/>
      <c r="FG64" s="2275"/>
      <c r="FH64" s="2275"/>
      <c r="FI64" s="2275"/>
      <c r="FJ64" s="2275"/>
      <c r="FK64" s="2252"/>
      <c r="FL64" s="2252"/>
      <c r="FM64" s="2252"/>
    </row>
    <row r="65" customFormat="false" ht="12" hidden="false" customHeight="true" outlineLevel="0" collapsed="false">
      <c r="A65" s="2252" t="n">
        <v>1997</v>
      </c>
      <c r="B65" s="2252"/>
      <c r="C65" s="2252"/>
      <c r="D65" s="2252"/>
      <c r="E65" s="2252"/>
      <c r="F65" s="2252"/>
      <c r="G65" s="2252"/>
      <c r="H65" s="2275"/>
      <c r="I65" s="2252"/>
      <c r="J65" s="2252"/>
      <c r="K65" s="2252"/>
      <c r="L65" s="2252"/>
      <c r="M65" s="2252"/>
      <c r="N65" s="2252"/>
      <c r="O65" s="2252"/>
      <c r="P65" s="2252"/>
      <c r="Q65" s="2252"/>
      <c r="R65" s="2252"/>
      <c r="S65" s="2260"/>
      <c r="T65" s="2252"/>
      <c r="U65" s="2260"/>
      <c r="V65" s="2260"/>
      <c r="W65" s="2260"/>
      <c r="X65" s="2275" t="n">
        <f aca="false">Y65+AB65+AC65</f>
        <v>2961.9</v>
      </c>
      <c r="Y65" s="2275" t="n">
        <v>662.9</v>
      </c>
      <c r="Z65" s="2275" t="n">
        <v>299.3</v>
      </c>
      <c r="AA65" s="2275" t="n">
        <v>363.6</v>
      </c>
      <c r="AB65" s="2275" t="n">
        <v>649.3</v>
      </c>
      <c r="AC65" s="2275" t="n">
        <v>1649.7</v>
      </c>
      <c r="AD65" s="2351" t="n">
        <v>1295.9</v>
      </c>
      <c r="AE65" s="2275" t="n">
        <f aca="false">X65-AD65</f>
        <v>1666</v>
      </c>
      <c r="AF65" s="2349"/>
      <c r="AG65" s="2275"/>
      <c r="AH65" s="2275"/>
      <c r="AI65" s="2252"/>
      <c r="AJ65" s="2275"/>
      <c r="AK65" s="2275"/>
      <c r="AL65" s="2275" t="n">
        <f aca="false">AN65+AO65+AP65</f>
        <v>2843.1</v>
      </c>
      <c r="AM65" s="2275" t="n">
        <v>2843.04</v>
      </c>
      <c r="AN65" s="2275" t="n">
        <v>2353.5</v>
      </c>
      <c r="AO65" s="2275" t="n">
        <v>27.6</v>
      </c>
      <c r="AP65" s="2275" t="n">
        <f aca="false">AQ65+AR65</f>
        <v>462</v>
      </c>
      <c r="AQ65" s="2355" t="n">
        <v>442.4</v>
      </c>
      <c r="AR65" s="2355" t="n">
        <v>19.6</v>
      </c>
      <c r="AS65" s="2252"/>
      <c r="AT65" s="2252"/>
      <c r="AU65" s="2252"/>
      <c r="AV65" s="2275" t="n">
        <f aca="false">AW65+AX65+AY65</f>
        <v>2192.4</v>
      </c>
      <c r="AW65" s="2275" t="n">
        <v>314.9</v>
      </c>
      <c r="AX65" s="2275" t="n">
        <v>874</v>
      </c>
      <c r="AY65" s="2275" t="n">
        <f aca="false">AZ65+BA65</f>
        <v>1003.5</v>
      </c>
      <c r="AZ65" s="2355" t="n">
        <v>892.2</v>
      </c>
      <c r="BA65" s="2355" t="n">
        <v>111.3</v>
      </c>
      <c r="BB65" s="2275"/>
      <c r="BC65" s="2275"/>
      <c r="BD65" s="2275" t="n">
        <f aca="false">BE65+BF65+BG65</f>
        <v>856.7</v>
      </c>
      <c r="BE65" s="2275" t="n">
        <v>125.7</v>
      </c>
      <c r="BF65" s="2275" t="n">
        <v>33.5</v>
      </c>
      <c r="BG65" s="2275" t="n">
        <f aca="false">BH65+BI65</f>
        <v>697.5</v>
      </c>
      <c r="BH65" s="2355" t="n">
        <v>678.5</v>
      </c>
      <c r="BI65" s="2355" t="n">
        <v>19</v>
      </c>
      <c r="BJ65" s="2275"/>
      <c r="BK65" s="2275"/>
      <c r="BL65" s="2275" t="n">
        <v>7.39</v>
      </c>
      <c r="BM65" s="2275" t="n">
        <v>4.43</v>
      </c>
      <c r="BN65" s="2275" t="n">
        <v>0</v>
      </c>
      <c r="BO65" s="2275" t="n">
        <f aca="false">BP65+BQ65</f>
        <v>2.96</v>
      </c>
      <c r="BP65" s="2275" t="n">
        <v>2.96</v>
      </c>
      <c r="BQ65" s="2275" t="n">
        <v>0</v>
      </c>
      <c r="BR65" s="2275"/>
      <c r="BS65" s="2275"/>
      <c r="BT65" s="2275" t="n">
        <f aca="false">BU65+BV65+BW65</f>
        <v>40.46</v>
      </c>
      <c r="BU65" s="2275" t="n">
        <v>6.2</v>
      </c>
      <c r="BV65" s="2275" t="n">
        <v>3.16</v>
      </c>
      <c r="BW65" s="2275" t="n">
        <f aca="false">BX65+BY65</f>
        <v>31.1</v>
      </c>
      <c r="BX65" s="2355" t="n">
        <v>28.6</v>
      </c>
      <c r="BY65" s="2355" t="n">
        <v>2.5</v>
      </c>
      <c r="BZ65" s="2275"/>
      <c r="CA65" s="2275" t="n">
        <v>1241</v>
      </c>
      <c r="CB65" s="2275" t="n">
        <v>871.1</v>
      </c>
      <c r="CC65" s="2275" t="n">
        <v>112.2</v>
      </c>
      <c r="CD65" s="2275" t="n">
        <f aca="false">CE65+CF65</f>
        <v>257.7</v>
      </c>
      <c r="CE65" s="2355" t="n">
        <v>237.6</v>
      </c>
      <c r="CF65" s="2355" t="n">
        <v>20.1</v>
      </c>
      <c r="CG65" s="2252"/>
      <c r="CH65" s="2252" t="n">
        <v>44.47</v>
      </c>
      <c r="CI65" s="2356" t="n">
        <v>64.7</v>
      </c>
      <c r="CJ65" s="2356"/>
      <c r="CK65" s="2275" t="n">
        <v>82057.379</v>
      </c>
      <c r="CL65" s="2275" t="n">
        <v>66688.008</v>
      </c>
      <c r="CM65" s="2275" t="n">
        <v>45039.12</v>
      </c>
      <c r="CN65" s="2252"/>
      <c r="CO65" s="2252" t="e">
        <f aca="false">NA()</f>
        <v>#N/A</v>
      </c>
      <c r="CP65" s="2252" t="e">
        <f aca="false">NA()</f>
        <v>#N/A</v>
      </c>
      <c r="CQ65" s="2252" t="e">
        <f aca="false">NA()</f>
        <v>#N/A</v>
      </c>
      <c r="CR65" s="2252" t="e">
        <f aca="false">NA()</f>
        <v>#N/A</v>
      </c>
      <c r="CS65" s="2252" t="e">
        <f aca="false">NA()</f>
        <v>#N/A</v>
      </c>
      <c r="CT65" s="2252" t="e">
        <f aca="false">NA()</f>
        <v>#N/A</v>
      </c>
      <c r="CU65" s="2252" t="e">
        <f aca="false">NA()</f>
        <v>#N/A</v>
      </c>
      <c r="CV65" s="2252" t="e">
        <f aca="false">NA()</f>
        <v>#N/A</v>
      </c>
      <c r="CW65" s="2252" t="e">
        <f aca="false">NA()</f>
        <v>#N/A</v>
      </c>
      <c r="CX65" s="2252" t="e">
        <f aca="false">NA()</f>
        <v>#N/A</v>
      </c>
      <c r="CY65" s="2252" t="e">
        <f aca="false">NA()</f>
        <v>#N/A</v>
      </c>
      <c r="CZ65" s="2252"/>
      <c r="DA65" s="2252"/>
      <c r="DB65" s="2252"/>
      <c r="DC65" s="2252"/>
      <c r="DD65" s="2252"/>
      <c r="DE65" s="2252"/>
      <c r="DF65" s="2252"/>
      <c r="DG65" s="2275" t="n">
        <v>549.9</v>
      </c>
      <c r="DH65" s="2275" t="n">
        <v>1155.8</v>
      </c>
      <c r="DI65" s="2275" t="n">
        <f aca="false">DG65-DH65</f>
        <v>-605.9</v>
      </c>
      <c r="DJ65" s="2354"/>
      <c r="DK65" s="2342" t="n">
        <v>370.798</v>
      </c>
      <c r="DL65" s="2275"/>
      <c r="DM65" s="2275"/>
      <c r="DN65" s="2275"/>
      <c r="DO65" s="2275"/>
      <c r="DP65" s="2275"/>
      <c r="DQ65" s="2252"/>
      <c r="DR65" s="2252"/>
      <c r="DS65" s="2252"/>
      <c r="DT65" s="2252"/>
      <c r="DU65" s="2252"/>
      <c r="DV65" s="2252"/>
      <c r="DW65" s="2252"/>
      <c r="DX65" s="2252"/>
      <c r="DY65" s="2252"/>
      <c r="DZ65" s="2252"/>
      <c r="EA65" s="2252"/>
      <c r="EB65" s="2252"/>
      <c r="EC65" s="2252"/>
      <c r="ED65" s="2252"/>
      <c r="EE65" s="2252"/>
      <c r="EF65" s="2252"/>
      <c r="EG65" s="2275" t="n">
        <f aca="false">EH65+EI65</f>
        <v>7109.2</v>
      </c>
      <c r="EH65" s="2355" t="n">
        <v>1629.3</v>
      </c>
      <c r="EI65" s="2355" t="n">
        <v>5479.9</v>
      </c>
      <c r="EJ65" s="2275" t="n">
        <f aca="false">EK65+EL65</f>
        <v>5831.3</v>
      </c>
      <c r="EK65" s="2355" t="n">
        <v>1324.3</v>
      </c>
      <c r="EL65" s="2355" t="n">
        <v>4507</v>
      </c>
      <c r="EM65" s="2275" t="n">
        <f aca="false">EN65+EO65</f>
        <v>2315.6</v>
      </c>
      <c r="EN65" s="2355" t="n">
        <v>1288.7</v>
      </c>
      <c r="EO65" s="2355" t="n">
        <v>1026.9</v>
      </c>
      <c r="EP65" s="2275"/>
      <c r="EQ65" s="2275"/>
      <c r="ER65" s="2275"/>
      <c r="ES65" s="2275"/>
      <c r="ET65" s="2275" t="n">
        <v>1577</v>
      </c>
      <c r="EU65" s="2275" t="n">
        <v>1592</v>
      </c>
      <c r="EV65" s="2275" t="n">
        <f aca="false">ET65-EU65</f>
        <v>-15</v>
      </c>
      <c r="EW65" s="2275" t="n">
        <v>1631.498</v>
      </c>
      <c r="EX65" s="2275" t="n">
        <v>1552.84</v>
      </c>
      <c r="EY65" s="2275" t="n">
        <v>78.658</v>
      </c>
      <c r="EZ65" s="2330"/>
      <c r="FA65" s="2305"/>
      <c r="FB65" s="2305"/>
      <c r="FC65" s="2275"/>
      <c r="FD65" s="2275"/>
      <c r="FE65" s="2275"/>
      <c r="FF65" s="2275"/>
      <c r="FG65" s="2275"/>
      <c r="FH65" s="2275"/>
      <c r="FI65" s="2275"/>
      <c r="FJ65" s="2275"/>
      <c r="FK65" s="2252"/>
      <c r="FL65" s="2252"/>
      <c r="FM65" s="2252"/>
    </row>
    <row r="66" customFormat="false" ht="12" hidden="false" customHeight="true" outlineLevel="0" collapsed="false">
      <c r="A66" s="2252" t="n">
        <v>1998</v>
      </c>
      <c r="B66" s="2252"/>
      <c r="C66" s="2252"/>
      <c r="D66" s="2252"/>
      <c r="E66" s="2252"/>
      <c r="F66" s="2252"/>
      <c r="G66" s="2252"/>
      <c r="H66" s="2275"/>
      <c r="I66" s="2252"/>
      <c r="J66" s="2252"/>
      <c r="K66" s="2252"/>
      <c r="L66" s="2252"/>
      <c r="M66" s="2252"/>
      <c r="N66" s="2252"/>
      <c r="O66" s="2252"/>
      <c r="P66" s="2252"/>
      <c r="Q66" s="2252"/>
      <c r="R66" s="2252"/>
      <c r="S66" s="2260"/>
      <c r="T66" s="2252"/>
      <c r="U66" s="2260"/>
      <c r="V66" s="2260"/>
      <c r="W66" s="2260"/>
      <c r="X66" s="2275" t="n">
        <f aca="false">Y66+AB66+AC66</f>
        <v>3167</v>
      </c>
      <c r="Y66" s="2275" t="n">
        <v>765.9</v>
      </c>
      <c r="Z66" s="2275" t="n">
        <v>359.4</v>
      </c>
      <c r="AA66" s="2275" t="n">
        <v>406.5</v>
      </c>
      <c r="AB66" s="2275" t="n">
        <v>703.5</v>
      </c>
      <c r="AC66" s="2275" t="n">
        <v>1697.6</v>
      </c>
      <c r="AD66" s="2351" t="n">
        <v>1371.1</v>
      </c>
      <c r="AE66" s="2275" t="n">
        <f aca="false">X66-AD66</f>
        <v>1795.9</v>
      </c>
      <c r="AF66" s="2349"/>
      <c r="AG66" s="2275"/>
      <c r="AH66" s="2275"/>
      <c r="AI66" s="2252"/>
      <c r="AJ66" s="2275"/>
      <c r="AK66" s="2275"/>
      <c r="AL66" s="2275" t="n">
        <f aca="false">AN66+AO66+AP66</f>
        <v>2924.2</v>
      </c>
      <c r="AM66" s="2275" t="n">
        <v>2924.18</v>
      </c>
      <c r="AN66" s="2275" t="n">
        <v>2424.8</v>
      </c>
      <c r="AO66" s="2275" t="n">
        <v>27.9</v>
      </c>
      <c r="AP66" s="2275" t="n">
        <f aca="false">AQ66+AR66</f>
        <v>471.5</v>
      </c>
      <c r="AQ66" s="2355" t="n">
        <v>451.4</v>
      </c>
      <c r="AR66" s="2355" t="n">
        <v>20.1</v>
      </c>
      <c r="AS66" s="2252"/>
      <c r="AT66" s="2252"/>
      <c r="AU66" s="2252"/>
      <c r="AV66" s="2275" t="n">
        <f aca="false">AW66+AX66+AY66</f>
        <v>2217.6</v>
      </c>
      <c r="AW66" s="2275" t="n">
        <v>320.8</v>
      </c>
      <c r="AX66" s="2275" t="n">
        <v>872.6</v>
      </c>
      <c r="AY66" s="2275" t="n">
        <f aca="false">AZ66+BA66</f>
        <v>1024.2</v>
      </c>
      <c r="AZ66" s="2355" t="n">
        <v>908.9</v>
      </c>
      <c r="BA66" s="2355" t="n">
        <v>115.3</v>
      </c>
      <c r="BB66" s="2275"/>
      <c r="BC66" s="2275"/>
      <c r="BD66" s="2275" t="n">
        <f aca="false">BE66+BF66+BG66</f>
        <v>865.4</v>
      </c>
      <c r="BE66" s="2275" t="n">
        <v>124.5</v>
      </c>
      <c r="BF66" s="2275" t="n">
        <v>32.4</v>
      </c>
      <c r="BG66" s="2275" t="n">
        <f aca="false">BH66+BI66</f>
        <v>708.5</v>
      </c>
      <c r="BH66" s="2355" t="n">
        <v>689.4</v>
      </c>
      <c r="BI66" s="2355" t="n">
        <v>19.1</v>
      </c>
      <c r="BJ66" s="2275"/>
      <c r="BK66" s="2275"/>
      <c r="BL66" s="2275" t="n">
        <v>7.57</v>
      </c>
      <c r="BM66" s="2275" t="n">
        <v>4.54</v>
      </c>
      <c r="BN66" s="2275" t="n">
        <v>0</v>
      </c>
      <c r="BO66" s="2275" t="n">
        <f aca="false">BP66+BQ66</f>
        <v>3.03</v>
      </c>
      <c r="BP66" s="2275" t="n">
        <v>3.03</v>
      </c>
      <c r="BQ66" s="2275" t="n">
        <v>0</v>
      </c>
      <c r="BR66" s="2275"/>
      <c r="BS66" s="2275"/>
      <c r="BT66" s="2275" t="n">
        <f aca="false">BU66+BV66+BW66</f>
        <v>42.73</v>
      </c>
      <c r="BU66" s="2275" t="n">
        <v>6.5</v>
      </c>
      <c r="BV66" s="2275" t="n">
        <v>3.23</v>
      </c>
      <c r="BW66" s="2275" t="n">
        <f aca="false">BX66+BY66</f>
        <v>33</v>
      </c>
      <c r="BX66" s="2355" t="n">
        <v>30.4</v>
      </c>
      <c r="BY66" s="2355" t="n">
        <v>2.6</v>
      </c>
      <c r="BZ66" s="2275"/>
      <c r="CA66" s="2275" t="n">
        <v>1309.9</v>
      </c>
      <c r="CB66" s="2275" t="n">
        <v>920.2</v>
      </c>
      <c r="CC66" s="2275" t="n">
        <v>116.8</v>
      </c>
      <c r="CD66" s="2275" t="n">
        <f aca="false">CE66+CF66</f>
        <v>272.9</v>
      </c>
      <c r="CE66" s="2355" t="n">
        <v>251.4</v>
      </c>
      <c r="CF66" s="2355" t="n">
        <v>21.5</v>
      </c>
      <c r="CG66" s="2252"/>
      <c r="CH66" s="2252" t="n">
        <v>48.25</v>
      </c>
      <c r="CI66" s="2356" t="n">
        <v>69.69</v>
      </c>
      <c r="CJ66" s="2356"/>
      <c r="CK66" s="2275" t="n">
        <v>82037.011</v>
      </c>
      <c r="CL66" s="2275" t="n">
        <v>66747.264</v>
      </c>
      <c r="CM66" s="2275" t="n">
        <v>45172.545</v>
      </c>
      <c r="CN66" s="2252"/>
      <c r="CO66" s="2252" t="e">
        <f aca="false">NA()</f>
        <v>#N/A</v>
      </c>
      <c r="CP66" s="2252" t="e">
        <f aca="false">NA()</f>
        <v>#N/A</v>
      </c>
      <c r="CQ66" s="2252" t="e">
        <f aca="false">NA()</f>
        <v>#N/A</v>
      </c>
      <c r="CR66" s="2252" t="e">
        <f aca="false">NA()</f>
        <v>#N/A</v>
      </c>
      <c r="CS66" s="2252" t="e">
        <f aca="false">NA()</f>
        <v>#N/A</v>
      </c>
      <c r="CT66" s="2252" t="e">
        <f aca="false">NA()</f>
        <v>#N/A</v>
      </c>
      <c r="CU66" s="2252" t="e">
        <f aca="false">NA()</f>
        <v>#N/A</v>
      </c>
      <c r="CV66" s="2252" t="e">
        <f aca="false">NA()</f>
        <v>#N/A</v>
      </c>
      <c r="CW66" s="2252" t="e">
        <f aca="false">NA()</f>
        <v>#N/A</v>
      </c>
      <c r="CX66" s="2252" t="e">
        <f aca="false">NA()</f>
        <v>#N/A</v>
      </c>
      <c r="CY66" s="2252" t="e">
        <f aca="false">NA()</f>
        <v>#N/A</v>
      </c>
      <c r="CZ66" s="2252"/>
      <c r="DA66" s="2252"/>
      <c r="DB66" s="2252"/>
      <c r="DC66" s="2252"/>
      <c r="DD66" s="2252"/>
      <c r="DE66" s="2252"/>
      <c r="DF66" s="2252"/>
      <c r="DG66" s="2275" t="n">
        <v>521.5</v>
      </c>
      <c r="DH66" s="2275" t="n">
        <v>1220.3</v>
      </c>
      <c r="DI66" s="2275" t="n">
        <f aca="false">DG66-DH66</f>
        <v>-698.8</v>
      </c>
      <c r="DJ66" s="2354"/>
      <c r="DK66" s="2342" t="n">
        <v>424.982</v>
      </c>
      <c r="DL66" s="2275"/>
      <c r="DM66" s="2275"/>
      <c r="DN66" s="2275"/>
      <c r="DO66" s="2275"/>
      <c r="DP66" s="2275"/>
      <c r="DQ66" s="2252"/>
      <c r="DR66" s="2252"/>
      <c r="DS66" s="2252"/>
      <c r="DT66" s="2252"/>
      <c r="DU66" s="2252"/>
      <c r="DV66" s="2252"/>
      <c r="DW66" s="2252"/>
      <c r="DX66" s="2252"/>
      <c r="DY66" s="2252"/>
      <c r="DZ66" s="2252"/>
      <c r="EA66" s="2252"/>
      <c r="EB66" s="2252"/>
      <c r="EC66" s="2252"/>
      <c r="ED66" s="2252"/>
      <c r="EE66" s="2252"/>
      <c r="EF66" s="2252"/>
      <c r="EG66" s="2275" t="n">
        <f aca="false">EH66+EI66</f>
        <v>8020</v>
      </c>
      <c r="EH66" s="2355" t="n">
        <v>1852</v>
      </c>
      <c r="EI66" s="2355" t="n">
        <v>6168</v>
      </c>
      <c r="EJ66" s="2275" t="n">
        <f aca="false">EK66+EL66</f>
        <v>6400.9</v>
      </c>
      <c r="EK66" s="2355" t="n">
        <v>1385.6</v>
      </c>
      <c r="EL66" s="2355" t="n">
        <v>5015.3</v>
      </c>
      <c r="EM66" s="2275" t="n">
        <f aca="false">EN66+EO66</f>
        <v>2750.3</v>
      </c>
      <c r="EN66" s="2355" t="n">
        <v>1555</v>
      </c>
      <c r="EO66" s="2355" t="n">
        <v>1195.3</v>
      </c>
      <c r="EP66" s="2275"/>
      <c r="EQ66" s="2275"/>
      <c r="ER66" s="2275"/>
      <c r="ES66" s="2275"/>
      <c r="ET66" s="2275" t="n">
        <v>1944</v>
      </c>
      <c r="EU66" s="2275" t="n">
        <v>1903</v>
      </c>
      <c r="EV66" s="2275" t="n">
        <f aca="false">ET66-EU66</f>
        <v>41</v>
      </c>
      <c r="EW66" s="2275" t="n">
        <v>1889.501</v>
      </c>
      <c r="EX66" s="2275" t="n">
        <v>1882.086</v>
      </c>
      <c r="EY66" s="2275" t="n">
        <v>7.414</v>
      </c>
      <c r="EZ66" s="2330"/>
      <c r="FA66" s="2305"/>
      <c r="FB66" s="2305"/>
      <c r="FC66" s="2275"/>
      <c r="FD66" s="2275"/>
      <c r="FE66" s="2275"/>
      <c r="FF66" s="2275"/>
      <c r="FG66" s="2275"/>
      <c r="FH66" s="2275"/>
      <c r="FI66" s="2275"/>
      <c r="FJ66" s="2275"/>
      <c r="FK66" s="2252"/>
      <c r="FL66" s="2252"/>
      <c r="FM66" s="2252"/>
    </row>
    <row r="67" customFormat="false" ht="12" hidden="false" customHeight="true" outlineLevel="0" collapsed="false">
      <c r="A67" s="2252" t="n">
        <v>1999</v>
      </c>
      <c r="B67" s="2252"/>
      <c r="C67" s="2252"/>
      <c r="D67" s="2252"/>
      <c r="E67" s="2252"/>
      <c r="F67" s="2252"/>
      <c r="G67" s="2252"/>
      <c r="H67" s="2252"/>
      <c r="I67" s="2252"/>
      <c r="J67" s="2252"/>
      <c r="K67" s="2252"/>
      <c r="L67" s="2252"/>
      <c r="M67" s="2252"/>
      <c r="N67" s="2252"/>
      <c r="O67" s="2252"/>
      <c r="P67" s="2252"/>
      <c r="Q67" s="2252"/>
      <c r="R67" s="2252"/>
      <c r="S67" s="2260"/>
      <c r="T67" s="2252"/>
      <c r="U67" s="2260"/>
      <c r="V67" s="2260"/>
      <c r="W67" s="2260"/>
      <c r="X67" s="2275" t="n">
        <f aca="false">Y67+AB67+AC67</f>
        <v>3440</v>
      </c>
      <c r="Y67" s="2275" t="n">
        <v>957.1</v>
      </c>
      <c r="Z67" s="2275" t="n">
        <v>483.4</v>
      </c>
      <c r="AA67" s="2275" t="n">
        <v>473.7</v>
      </c>
      <c r="AB67" s="2275" t="n">
        <v>764.3</v>
      </c>
      <c r="AC67" s="2275" t="n">
        <v>1718.6</v>
      </c>
      <c r="AD67" s="2351" t="n">
        <v>1468.1</v>
      </c>
      <c r="AE67" s="2275" t="n">
        <f aca="false">X67-AD67</f>
        <v>1971.9</v>
      </c>
      <c r="AF67" s="2349"/>
      <c r="AG67" s="2275"/>
      <c r="AH67" s="2275"/>
      <c r="AI67" s="2252"/>
      <c r="AJ67" s="2275"/>
      <c r="AK67" s="2275"/>
      <c r="AL67" s="2275" t="n">
        <f aca="false">AN67+AO67+AP67</f>
        <v>3000.1</v>
      </c>
      <c r="AM67" s="2275" t="n">
        <v>3000.14</v>
      </c>
      <c r="AN67" s="2275" t="n">
        <v>2494.8</v>
      </c>
      <c r="AO67" s="2275" t="n">
        <v>28.1</v>
      </c>
      <c r="AP67" s="2275" t="n">
        <f aca="false">AQ67+AR67</f>
        <v>477.2</v>
      </c>
      <c r="AQ67" s="2355" t="n">
        <v>456.8</v>
      </c>
      <c r="AR67" s="2355" t="n">
        <v>20.4</v>
      </c>
      <c r="AS67" s="2252"/>
      <c r="AT67" s="2252"/>
      <c r="AU67" s="2252"/>
      <c r="AV67" s="2275" t="n">
        <f aca="false">AW67+AX67+AY67</f>
        <v>2237.2</v>
      </c>
      <c r="AW67" s="2275" t="n">
        <v>324.8</v>
      </c>
      <c r="AX67" s="2275" t="n">
        <v>874</v>
      </c>
      <c r="AY67" s="2275" t="n">
        <f aca="false">AZ67+BA67</f>
        <v>1038.4</v>
      </c>
      <c r="AZ67" s="2355" t="n">
        <v>920</v>
      </c>
      <c r="BA67" s="2355" t="n">
        <v>118.4</v>
      </c>
      <c r="BB67" s="2275"/>
      <c r="BC67" s="2275"/>
      <c r="BD67" s="2275" t="n">
        <f aca="false">BE67+BF67+BG67</f>
        <v>885.4</v>
      </c>
      <c r="BE67" s="2275" t="n">
        <v>124.7</v>
      </c>
      <c r="BF67" s="2275" t="n">
        <v>31.8</v>
      </c>
      <c r="BG67" s="2275" t="n">
        <f aca="false">BH67+BI67</f>
        <v>728.9</v>
      </c>
      <c r="BH67" s="2355" t="n">
        <v>710.5</v>
      </c>
      <c r="BI67" s="2355" t="n">
        <v>18.4</v>
      </c>
      <c r="BJ67" s="2275"/>
      <c r="BK67" s="2275"/>
      <c r="BL67" s="2275" t="n">
        <v>6.88</v>
      </c>
      <c r="BM67" s="2275" t="n">
        <v>4.13</v>
      </c>
      <c r="BN67" s="2275" t="n">
        <v>0</v>
      </c>
      <c r="BO67" s="2275" t="n">
        <f aca="false">BP67+BQ67</f>
        <v>2.75</v>
      </c>
      <c r="BP67" s="2275" t="n">
        <v>2.75</v>
      </c>
      <c r="BQ67" s="2275" t="n">
        <v>0</v>
      </c>
      <c r="BR67" s="2275"/>
      <c r="BS67" s="2275"/>
      <c r="BT67" s="2275" t="n">
        <f aca="false">BU67+BV67+BW67</f>
        <v>45.08</v>
      </c>
      <c r="BU67" s="2275" t="n">
        <v>6.7</v>
      </c>
      <c r="BV67" s="2275" t="n">
        <v>3.28</v>
      </c>
      <c r="BW67" s="2275" t="n">
        <f aca="false">BX67+BY67</f>
        <v>35.1</v>
      </c>
      <c r="BX67" s="2355" t="n">
        <v>32.3</v>
      </c>
      <c r="BY67" s="2355" t="n">
        <v>2.8</v>
      </c>
      <c r="BZ67" s="2275"/>
      <c r="CA67" s="2275" t="n">
        <v>1398.2</v>
      </c>
      <c r="CB67" s="2275" t="n">
        <v>983.1</v>
      </c>
      <c r="CC67" s="2275" t="n">
        <v>124.2</v>
      </c>
      <c r="CD67" s="2275" t="n">
        <f aca="false">CE67+CF67</f>
        <v>290.9</v>
      </c>
      <c r="CE67" s="2355" t="n">
        <v>267.8</v>
      </c>
      <c r="CF67" s="2355" t="n">
        <v>23.1</v>
      </c>
      <c r="CG67" s="2252"/>
      <c r="CH67" s="2252" t="n">
        <v>49.6</v>
      </c>
      <c r="CI67" s="2356" t="n">
        <v>70.65</v>
      </c>
      <c r="CJ67" s="2356"/>
      <c r="CK67" s="2275" t="n">
        <v>82163.475</v>
      </c>
      <c r="CL67" s="2275" t="n">
        <v>66946.15</v>
      </c>
      <c r="CM67" s="2275" t="n">
        <v>45242.181</v>
      </c>
      <c r="CN67" s="2252"/>
      <c r="CO67" s="2252" t="e">
        <f aca="false">NA()</f>
        <v>#N/A</v>
      </c>
      <c r="CP67" s="2252" t="e">
        <f aca="false">NA()</f>
        <v>#N/A</v>
      </c>
      <c r="CQ67" s="2252" t="e">
        <f aca="false">NA()</f>
        <v>#N/A</v>
      </c>
      <c r="CR67" s="2252" t="e">
        <f aca="false">NA()</f>
        <v>#N/A</v>
      </c>
      <c r="CS67" s="2252" t="e">
        <f aca="false">NA()</f>
        <v>#N/A</v>
      </c>
      <c r="CT67" s="2252" t="e">
        <f aca="false">NA()</f>
        <v>#N/A</v>
      </c>
      <c r="CU67" s="2252" t="e">
        <f aca="false">NA()</f>
        <v>#N/A</v>
      </c>
      <c r="CV67" s="2252" t="e">
        <f aca="false">NA()</f>
        <v>#N/A</v>
      </c>
      <c r="CW67" s="2252" t="e">
        <f aca="false">NA()</f>
        <v>#N/A</v>
      </c>
      <c r="CX67" s="2252" t="e">
        <f aca="false">NA()</f>
        <v>#N/A</v>
      </c>
      <c r="CY67" s="2252" t="e">
        <f aca="false">NA()</f>
        <v>#N/A</v>
      </c>
      <c r="CZ67" s="2252"/>
      <c r="DA67" s="2252"/>
      <c r="DB67" s="2252"/>
      <c r="DC67" s="2252"/>
      <c r="DD67" s="2252"/>
      <c r="DE67" s="2252"/>
      <c r="DF67" s="2252"/>
      <c r="DG67" s="2275" t="n">
        <v>546.5</v>
      </c>
      <c r="DH67" s="2275" t="n">
        <v>1234.1</v>
      </c>
      <c r="DI67" s="2275" t="n">
        <f aca="false">DG67-DH67</f>
        <v>-687.6</v>
      </c>
      <c r="DJ67" s="2354"/>
      <c r="DK67" s="2342" t="n">
        <v>401.129</v>
      </c>
      <c r="DL67" s="2275"/>
      <c r="DM67" s="2275"/>
      <c r="DN67" s="2275"/>
      <c r="DO67" s="2275"/>
      <c r="DP67" s="2275"/>
      <c r="DQ67" s="2252"/>
      <c r="DR67" s="2252"/>
      <c r="DS67" s="2252"/>
      <c r="DT67" s="2252"/>
      <c r="DU67" s="2252"/>
      <c r="DV67" s="2252"/>
      <c r="DW67" s="2252"/>
      <c r="DX67" s="2252"/>
      <c r="DY67" s="2252"/>
      <c r="DZ67" s="2252"/>
      <c r="EA67" s="2252"/>
      <c r="EB67" s="2252"/>
      <c r="EC67" s="2252"/>
      <c r="ED67" s="2252"/>
      <c r="EE67" s="2252"/>
      <c r="EF67" s="2252"/>
      <c r="EG67" s="2275" t="n">
        <f aca="false">EH67+EI67</f>
        <v>9112.5</v>
      </c>
      <c r="EH67" s="2355" t="n">
        <v>2187.2</v>
      </c>
      <c r="EI67" s="2355" t="n">
        <v>6925.3</v>
      </c>
      <c r="EJ67" s="2275" t="n">
        <f aca="false">EK67+EL67</f>
        <v>6916.6</v>
      </c>
      <c r="EK67" s="2355" t="n">
        <v>1485</v>
      </c>
      <c r="EL67" s="2355" t="n">
        <v>5431.6</v>
      </c>
      <c r="EM67" s="2275" t="n">
        <f aca="false">EN67+EO67</f>
        <v>3446.6</v>
      </c>
      <c r="EN67" s="2355" t="n">
        <v>1955.6</v>
      </c>
      <c r="EO67" s="2355" t="n">
        <v>1491</v>
      </c>
      <c r="EP67" s="2275"/>
      <c r="EQ67" s="2275"/>
      <c r="ER67" s="2275"/>
      <c r="ES67" s="2275"/>
      <c r="ET67" s="2275" t="n">
        <v>2370</v>
      </c>
      <c r="EU67" s="2275" t="n">
        <v>2368</v>
      </c>
      <c r="EV67" s="2275" t="n">
        <f aca="false">ET67-EU67</f>
        <v>2</v>
      </c>
      <c r="EW67" s="2275" t="n">
        <v>2443.751</v>
      </c>
      <c r="EX67" s="2275" t="n">
        <v>2353.489</v>
      </c>
      <c r="EY67" s="2275" t="n">
        <v>90.262</v>
      </c>
      <c r="EZ67" s="2330"/>
      <c r="FA67" s="2305"/>
      <c r="FB67" s="2305"/>
      <c r="FC67" s="2275"/>
      <c r="FD67" s="2275"/>
      <c r="FE67" s="2275"/>
      <c r="FF67" s="2275"/>
      <c r="FG67" s="2275"/>
      <c r="FH67" s="2275"/>
      <c r="FI67" s="2275"/>
      <c r="FJ67" s="2275"/>
      <c r="FK67" s="2252"/>
      <c r="FL67" s="2252"/>
      <c r="FM67" s="2252"/>
    </row>
    <row r="68" customFormat="false" ht="12" hidden="false" customHeight="true" outlineLevel="0" collapsed="false">
      <c r="A68" s="2252" t="n">
        <v>2000</v>
      </c>
      <c r="B68" s="2252"/>
      <c r="C68" s="2252"/>
      <c r="D68" s="2252"/>
      <c r="E68" s="2252"/>
      <c r="F68" s="2252"/>
      <c r="G68" s="2252"/>
      <c r="H68" s="2252"/>
      <c r="I68" s="2252"/>
      <c r="J68" s="2252"/>
      <c r="K68" s="2252"/>
      <c r="L68" s="2252"/>
      <c r="M68" s="2252"/>
      <c r="N68" s="2252"/>
      <c r="O68" s="2252"/>
      <c r="P68" s="2252"/>
      <c r="Q68" s="2252"/>
      <c r="R68" s="2252"/>
      <c r="S68" s="2260"/>
      <c r="T68" s="2252"/>
      <c r="U68" s="2260"/>
      <c r="V68" s="2260"/>
      <c r="W68" s="2260"/>
      <c r="X68" s="2275" t="n">
        <f aca="false">Y68+AB68+AC68</f>
        <v>3515.9</v>
      </c>
      <c r="Y68" s="2275" t="n">
        <v>993.9</v>
      </c>
      <c r="Z68" s="2275" t="n">
        <v>452.5</v>
      </c>
      <c r="AA68" s="2275" t="n">
        <v>541.4</v>
      </c>
      <c r="AB68" s="2275" t="n">
        <v>820.2</v>
      </c>
      <c r="AC68" s="2275" t="n">
        <v>1701.8</v>
      </c>
      <c r="AD68" s="2351" t="n">
        <v>1514.3</v>
      </c>
      <c r="AE68" s="2275" t="n">
        <f aca="false">X68-AD68</f>
        <v>2001.6</v>
      </c>
      <c r="AF68" s="2349"/>
      <c r="AG68" s="2275"/>
      <c r="AH68" s="2275"/>
      <c r="AI68" s="2252"/>
      <c r="AJ68" s="2275"/>
      <c r="AK68" s="2275"/>
      <c r="AL68" s="2275" t="n">
        <f aca="false">AN68+AO68+AP68</f>
        <v>3068.2</v>
      </c>
      <c r="AM68" s="2275" t="n">
        <v>3068.2</v>
      </c>
      <c r="AN68" s="2275" t="n">
        <v>2558.9</v>
      </c>
      <c r="AO68" s="2275" t="n">
        <v>28.1</v>
      </c>
      <c r="AP68" s="2275" t="n">
        <f aca="false">AQ68+AR68</f>
        <v>481.2</v>
      </c>
      <c r="AQ68" s="2355" t="n">
        <v>460.5</v>
      </c>
      <c r="AR68" s="2355" t="n">
        <v>20.7</v>
      </c>
      <c r="AS68" s="2252"/>
      <c r="AT68" s="2252"/>
      <c r="AU68" s="2252"/>
      <c r="AV68" s="2275" t="n">
        <f aca="false">AW68+AX68+AY68</f>
        <v>2246.4</v>
      </c>
      <c r="AW68" s="2275" t="n">
        <v>325.1</v>
      </c>
      <c r="AX68" s="2275" t="n">
        <v>876.7</v>
      </c>
      <c r="AY68" s="2275" t="n">
        <f aca="false">AZ68+BA68</f>
        <v>1044.6</v>
      </c>
      <c r="AZ68" s="2355" t="n">
        <v>926.1</v>
      </c>
      <c r="BA68" s="2355" t="n">
        <v>118.5</v>
      </c>
      <c r="BB68" s="2275"/>
      <c r="BC68" s="2275"/>
      <c r="BD68" s="2275" t="n">
        <f aca="false">BE68+BF68+BG68</f>
        <v>907.3</v>
      </c>
      <c r="BE68" s="2275" t="n">
        <v>124.8</v>
      </c>
      <c r="BF68" s="2275" t="n">
        <v>31.6</v>
      </c>
      <c r="BG68" s="2275" t="n">
        <f aca="false">BH68+BI68</f>
        <v>750.9</v>
      </c>
      <c r="BH68" s="2355" t="n">
        <v>732.2</v>
      </c>
      <c r="BI68" s="2355" t="n">
        <v>18.7</v>
      </c>
      <c r="BJ68" s="2275"/>
      <c r="BK68" s="2275"/>
      <c r="BL68" s="2275" t="n">
        <v>7.01</v>
      </c>
      <c r="BM68" s="2275" t="n">
        <v>4.21</v>
      </c>
      <c r="BN68" s="2275" t="n">
        <v>0</v>
      </c>
      <c r="BO68" s="2275" t="n">
        <f aca="false">BP68+BQ68</f>
        <v>2.8</v>
      </c>
      <c r="BP68" s="2275" t="n">
        <v>2.8</v>
      </c>
      <c r="BQ68" s="2275" t="n">
        <v>0</v>
      </c>
      <c r="BR68" s="2275"/>
      <c r="BS68" s="2275"/>
      <c r="BT68" s="2275" t="n">
        <f aca="false">BU68+BV68+BW68</f>
        <v>47.95</v>
      </c>
      <c r="BU68" s="2275" t="n">
        <v>7</v>
      </c>
      <c r="BV68" s="2275" t="n">
        <v>3.35</v>
      </c>
      <c r="BW68" s="2275" t="n">
        <f aca="false">BX68+BY68</f>
        <v>37.6</v>
      </c>
      <c r="BX68" s="2355" t="n">
        <v>34.7</v>
      </c>
      <c r="BY68" s="2355" t="n">
        <v>2.9</v>
      </c>
      <c r="BZ68" s="2275"/>
      <c r="CA68" s="2275" t="n">
        <v>1469.4</v>
      </c>
      <c r="CB68" s="2275" t="n">
        <v>1035.4</v>
      </c>
      <c r="CC68" s="2275" t="n">
        <v>129.3</v>
      </c>
      <c r="CD68" s="2275" t="n">
        <f aca="false">CE68+CF68</f>
        <v>304.6</v>
      </c>
      <c r="CE68" s="2355" t="n">
        <v>280.5</v>
      </c>
      <c r="CF68" s="2355" t="n">
        <v>24.1</v>
      </c>
      <c r="CG68" s="2252"/>
      <c r="CH68" s="2252" t="n">
        <v>51.79</v>
      </c>
      <c r="CI68" s="2356" t="n">
        <v>76.21</v>
      </c>
      <c r="CJ68" s="2356"/>
      <c r="CK68" s="2275" t="n">
        <v>82259.53</v>
      </c>
      <c r="CL68" s="2275" t="n">
        <v>67140</v>
      </c>
      <c r="CM68" s="2275" t="n">
        <v>45295.078</v>
      </c>
      <c r="CN68" s="2252"/>
      <c r="CO68" s="2252" t="n">
        <v>357031</v>
      </c>
      <c r="CP68" s="2252" t="n">
        <v>23081</v>
      </c>
      <c r="CQ68" s="2252" t="s">
        <v>1572</v>
      </c>
      <c r="CR68" s="2252" t="s">
        <v>1572</v>
      </c>
      <c r="CS68" s="2252" t="n">
        <v>2528</v>
      </c>
      <c r="CT68" s="2252" t="n">
        <v>2659</v>
      </c>
      <c r="CU68" s="2252" t="n">
        <v>17118</v>
      </c>
      <c r="CV68" s="2252" t="n">
        <v>191028</v>
      </c>
      <c r="CW68" s="2252" t="n">
        <v>105314</v>
      </c>
      <c r="CX68" s="2252" t="n">
        <v>8085</v>
      </c>
      <c r="CY68" s="2252" t="n">
        <v>7219</v>
      </c>
      <c r="CZ68" s="2252"/>
      <c r="DA68" s="2252"/>
      <c r="DB68" s="2252"/>
      <c r="DC68" s="2252"/>
      <c r="DD68" s="2252"/>
      <c r="DE68" s="2252"/>
      <c r="DF68" s="2252"/>
      <c r="DG68" s="2275" t="n">
        <v>553.1</v>
      </c>
      <c r="DH68" s="2275" t="n">
        <v>1246.1</v>
      </c>
      <c r="DI68" s="2275" t="n">
        <f aca="false">DG68-DH68</f>
        <v>-693</v>
      </c>
      <c r="DJ68" s="2354"/>
      <c r="DK68" s="2342" t="n">
        <v>433.32</v>
      </c>
      <c r="DL68" s="2275"/>
      <c r="DM68" s="2275"/>
      <c r="DN68" s="2275"/>
      <c r="DO68" s="2275"/>
      <c r="DP68" s="2275"/>
      <c r="DQ68" s="2252"/>
      <c r="DR68" s="2252"/>
      <c r="DS68" s="2252"/>
      <c r="DT68" s="2252"/>
      <c r="DU68" s="2252"/>
      <c r="DV68" s="2252"/>
      <c r="DW68" s="2252"/>
      <c r="DX68" s="2252"/>
      <c r="DY68" s="2252"/>
      <c r="DZ68" s="2252"/>
      <c r="EA68" s="2252"/>
      <c r="EB68" s="2252"/>
      <c r="EC68" s="2252"/>
      <c r="ED68" s="2252"/>
      <c r="EE68" s="2252"/>
      <c r="EF68" s="2252"/>
      <c r="EG68" s="2275" t="n">
        <f aca="false">EH68+EI68</f>
        <v>9655.4</v>
      </c>
      <c r="EH68" s="2355" t="n">
        <v>2369.3</v>
      </c>
      <c r="EI68" s="2355" t="n">
        <v>7286.1</v>
      </c>
      <c r="EJ68" s="2275" t="n">
        <f aca="false">EK68+EL68</f>
        <v>7554.1</v>
      </c>
      <c r="EK68" s="2355" t="n">
        <v>1613.4</v>
      </c>
      <c r="EL68" s="2355" t="n">
        <v>5940.7</v>
      </c>
      <c r="EM68" s="2275" t="n">
        <f aca="false">EN68+EO68</f>
        <v>3384.8</v>
      </c>
      <c r="EN68" s="2355" t="n">
        <v>1868.2</v>
      </c>
      <c r="EO68" s="2355" t="n">
        <v>1516.6</v>
      </c>
      <c r="EP68" s="2275"/>
      <c r="EQ68" s="2275"/>
      <c r="ER68" s="2275"/>
      <c r="ES68" s="2275"/>
      <c r="ET68" s="2275" t="n">
        <v>2828</v>
      </c>
      <c r="EU68" s="2275" t="n">
        <v>2812</v>
      </c>
      <c r="EV68" s="2275" t="n">
        <f aca="false">ET68-EU68</f>
        <v>16</v>
      </c>
      <c r="EW68" s="2275" t="n">
        <v>2840.704</v>
      </c>
      <c r="EX68" s="2275" t="n">
        <v>2773.741</v>
      </c>
      <c r="EY68" s="2275" t="n">
        <v>66.963</v>
      </c>
      <c r="EZ68" s="2330"/>
      <c r="FA68" s="2305"/>
      <c r="FB68" s="2305"/>
      <c r="FC68" s="2275"/>
      <c r="FD68" s="2275"/>
      <c r="FE68" s="2275"/>
      <c r="FF68" s="2275"/>
      <c r="FG68" s="2275"/>
      <c r="FH68" s="2275"/>
      <c r="FI68" s="2275"/>
      <c r="FJ68" s="2275"/>
      <c r="FK68" s="2252"/>
      <c r="FL68" s="2252"/>
      <c r="FM68" s="2252"/>
    </row>
    <row r="69" customFormat="false" ht="12" hidden="false" customHeight="true" outlineLevel="0" collapsed="false">
      <c r="A69" s="2252" t="n">
        <v>2001</v>
      </c>
      <c r="B69" s="2252"/>
      <c r="C69" s="2252"/>
      <c r="D69" s="2252"/>
      <c r="E69" s="2252"/>
      <c r="F69" s="2252"/>
      <c r="G69" s="2252"/>
      <c r="H69" s="2252"/>
      <c r="I69" s="2252"/>
      <c r="J69" s="2252"/>
      <c r="K69" s="2252"/>
      <c r="L69" s="2252"/>
      <c r="M69" s="2252"/>
      <c r="N69" s="2252"/>
      <c r="O69" s="2252"/>
      <c r="P69" s="2252"/>
      <c r="Q69" s="2252"/>
      <c r="R69" s="2252"/>
      <c r="S69" s="2260"/>
      <c r="T69" s="2252"/>
      <c r="U69" s="2260"/>
      <c r="V69" s="2260"/>
      <c r="W69" s="2260"/>
      <c r="X69" s="2275" t="n">
        <f aca="false">Y69+AB69+AC69</f>
        <v>3609.3</v>
      </c>
      <c r="Y69" s="2275" t="n">
        <v>979.8</v>
      </c>
      <c r="Z69" s="2275" t="n">
        <v>368.1</v>
      </c>
      <c r="AA69" s="2275" t="n">
        <v>611.7</v>
      </c>
      <c r="AB69" s="2275" t="n">
        <v>866.6</v>
      </c>
      <c r="AC69" s="2275" t="n">
        <v>1762.9</v>
      </c>
      <c r="AD69" s="2351" t="n">
        <v>1535.9</v>
      </c>
      <c r="AE69" s="2275" t="n">
        <f aca="false">X69-AD69</f>
        <v>2073.4</v>
      </c>
      <c r="AF69" s="2349"/>
      <c r="AG69" s="2275"/>
      <c r="AH69" s="2275"/>
      <c r="AI69" s="2252"/>
      <c r="AJ69" s="2275"/>
      <c r="AK69" s="2275"/>
      <c r="AL69" s="2275" t="n">
        <f aca="false">AN69+AO69+AP69</f>
        <v>3149.2</v>
      </c>
      <c r="AM69" s="2275" t="n">
        <v>3149.24</v>
      </c>
      <c r="AN69" s="2275" t="n">
        <v>2634.1</v>
      </c>
      <c r="AO69" s="2275" t="n">
        <v>28.3</v>
      </c>
      <c r="AP69" s="2275" t="n">
        <f aca="false">AQ69+AR69</f>
        <v>486.8</v>
      </c>
      <c r="AQ69" s="2355" t="n">
        <v>465.8</v>
      </c>
      <c r="AR69" s="2355" t="n">
        <v>21</v>
      </c>
      <c r="AS69" s="2252"/>
      <c r="AT69" s="2252"/>
      <c r="AU69" s="2252"/>
      <c r="AV69" s="2275" t="n">
        <f aca="false">AW69+AX69+AY69</f>
        <v>2291.1</v>
      </c>
      <c r="AW69" s="2275" t="n">
        <v>330.7</v>
      </c>
      <c r="AX69" s="2275" t="n">
        <v>889</v>
      </c>
      <c r="AY69" s="2275" t="n">
        <f aca="false">AZ69+BA69</f>
        <v>1071.4</v>
      </c>
      <c r="AZ69" s="2355" t="n">
        <v>949.7</v>
      </c>
      <c r="BA69" s="2355" t="n">
        <v>121.7</v>
      </c>
      <c r="BB69" s="2275"/>
      <c r="BC69" s="2275"/>
      <c r="BD69" s="2275" t="n">
        <f aca="false">BE69+BF69+BG69</f>
        <v>948.7</v>
      </c>
      <c r="BE69" s="2275" t="n">
        <v>128</v>
      </c>
      <c r="BF69" s="2275" t="n">
        <v>31.8</v>
      </c>
      <c r="BG69" s="2275" t="n">
        <f aca="false">BH69+BI69</f>
        <v>788.9</v>
      </c>
      <c r="BH69" s="2355" t="n">
        <v>770.2</v>
      </c>
      <c r="BI69" s="2355" t="n">
        <v>18.7</v>
      </c>
      <c r="BJ69" s="2275"/>
      <c r="BK69" s="2275"/>
      <c r="BL69" s="2275" t="n">
        <v>5.69</v>
      </c>
      <c r="BM69" s="2275" t="n">
        <v>3.41</v>
      </c>
      <c r="BN69" s="2275" t="n">
        <v>0</v>
      </c>
      <c r="BO69" s="2275" t="n">
        <f aca="false">BP69+BQ69</f>
        <v>2.28</v>
      </c>
      <c r="BP69" s="2275" t="n">
        <v>2.28</v>
      </c>
      <c r="BQ69" s="2275" t="n">
        <v>0</v>
      </c>
      <c r="BR69" s="2275"/>
      <c r="BS69" s="2275"/>
      <c r="BT69" s="2275" t="n">
        <f aca="false">BU69+BV69+BW69</f>
        <v>52.16</v>
      </c>
      <c r="BU69" s="2275" t="n">
        <v>7.4</v>
      </c>
      <c r="BV69" s="2275" t="n">
        <v>3.56</v>
      </c>
      <c r="BW69" s="2275" t="n">
        <f aca="false">BX69+BY69</f>
        <v>41.2</v>
      </c>
      <c r="BX69" s="2355" t="n">
        <v>38.1</v>
      </c>
      <c r="BY69" s="2355" t="n">
        <v>3.1</v>
      </c>
      <c r="BZ69" s="2275"/>
      <c r="CA69" s="2275" t="n">
        <v>1588</v>
      </c>
      <c r="CB69" s="2275" t="n">
        <v>1093.9</v>
      </c>
      <c r="CC69" s="2275" t="n">
        <v>152.2</v>
      </c>
      <c r="CD69" s="2275" t="n">
        <f aca="false">CE69+CF69</f>
        <v>341.8</v>
      </c>
      <c r="CE69" s="2355" t="n">
        <v>314.1</v>
      </c>
      <c r="CF69" s="2355" t="n">
        <v>27.7</v>
      </c>
      <c r="CG69" s="2252"/>
      <c r="CH69" s="2252" t="n">
        <v>50.18</v>
      </c>
      <c r="CI69" s="2356" t="n">
        <v>75.2</v>
      </c>
      <c r="CJ69" s="2356"/>
      <c r="CK69" s="2275" t="n">
        <v>82440.3</v>
      </c>
      <c r="CL69" s="2275" t="n">
        <v>65322.8</v>
      </c>
      <c r="CM69" s="2275" t="n">
        <v>46260.193</v>
      </c>
      <c r="CN69" s="2252"/>
      <c r="CO69" s="2252" t="n">
        <v>357033</v>
      </c>
      <c r="CP69" s="2252" t="n">
        <v>23312</v>
      </c>
      <c r="CQ69" s="2252" t="e">
        <f aca="false">NA()</f>
        <v>#N/A</v>
      </c>
      <c r="CR69" s="2252" t="e">
        <f aca="false">NA()</f>
        <v>#N/A</v>
      </c>
      <c r="CS69" s="2252" t="e">
        <f aca="false">NA()</f>
        <v>#N/A</v>
      </c>
      <c r="CT69" s="2252" t="n">
        <v>2762</v>
      </c>
      <c r="CU69" s="2252" t="n">
        <v>17200</v>
      </c>
      <c r="CV69" s="2252" t="e">
        <f aca="false">NA()</f>
        <v>#N/A</v>
      </c>
      <c r="CW69" s="2252" t="e">
        <f aca="false">NA()</f>
        <v>#N/A</v>
      </c>
      <c r="CX69" s="2252" t="e">
        <f aca="false">NA()</f>
        <v>#N/A</v>
      </c>
      <c r="CY69" s="2252" t="e">
        <f aca="false">NA()</f>
        <v>#N/A</v>
      </c>
      <c r="CZ69" s="2252"/>
      <c r="DA69" s="2252"/>
      <c r="DB69" s="2252"/>
      <c r="DC69" s="2252"/>
      <c r="DD69" s="2252"/>
      <c r="DE69" s="2252"/>
      <c r="DF69" s="2252"/>
      <c r="DG69" s="2275" t="n">
        <v>504.2</v>
      </c>
      <c r="DH69" s="2275" t="n">
        <v>1265.1</v>
      </c>
      <c r="DI69" s="2275" t="n">
        <f aca="false">DG69-DH69</f>
        <v>-760.9</v>
      </c>
      <c r="DJ69" s="2354"/>
      <c r="DK69" s="2342" t="n">
        <v>446.917</v>
      </c>
      <c r="DL69" s="2275"/>
      <c r="DM69" s="2275"/>
      <c r="DN69" s="2275"/>
      <c r="DO69" s="2275"/>
      <c r="DP69" s="2275"/>
      <c r="DQ69" s="2252"/>
      <c r="DR69" s="2252"/>
      <c r="DS69" s="2252"/>
      <c r="DT69" s="2252"/>
      <c r="DU69" s="2252"/>
      <c r="DV69" s="2252"/>
      <c r="DW69" s="2252"/>
      <c r="DX69" s="2252"/>
      <c r="DY69" s="2252"/>
      <c r="DZ69" s="2252"/>
      <c r="EA69" s="2252"/>
      <c r="EB69" s="2252"/>
      <c r="EC69" s="2252"/>
      <c r="ED69" s="2252"/>
      <c r="EE69" s="2252"/>
      <c r="EF69" s="2252"/>
      <c r="EG69" s="2275" t="n">
        <f aca="false">EH69+EI69</f>
        <v>9977.7</v>
      </c>
      <c r="EH69" s="2355" t="n">
        <v>2463.6</v>
      </c>
      <c r="EI69" s="2355" t="n">
        <v>7514.1</v>
      </c>
      <c r="EJ69" s="2275" t="n">
        <f aca="false">EK69+EL69</f>
        <v>7931.9</v>
      </c>
      <c r="EK69" s="2355" t="n">
        <v>1680</v>
      </c>
      <c r="EL69" s="2355" t="n">
        <v>6251.9</v>
      </c>
      <c r="EM69" s="2275" t="n">
        <f aca="false">EN69+EO69</f>
        <v>3241.9</v>
      </c>
      <c r="EN69" s="2355" t="n">
        <v>1812.1</v>
      </c>
      <c r="EO69" s="2355" t="n">
        <v>1429.8</v>
      </c>
      <c r="EP69" s="2275"/>
      <c r="EQ69" s="2275"/>
      <c r="ER69" s="2275"/>
      <c r="ES69" s="2275"/>
      <c r="ET69" s="2275" t="n">
        <v>3000</v>
      </c>
      <c r="EU69" s="2275" t="n">
        <v>3073</v>
      </c>
      <c r="EV69" s="2275" t="n">
        <f aca="false">ET69-EU69</f>
        <v>-73</v>
      </c>
      <c r="EW69" s="2275" t="n">
        <v>3117.857</v>
      </c>
      <c r="EX69" s="2275" t="n">
        <v>2934.502</v>
      </c>
      <c r="EY69" s="2275" t="n">
        <v>183.355</v>
      </c>
      <c r="EZ69" s="2330"/>
      <c r="FA69" s="2305"/>
      <c r="FB69" s="2305"/>
      <c r="FC69" s="2275"/>
      <c r="FD69" s="2275"/>
      <c r="FE69" s="2275"/>
      <c r="FF69" s="2275"/>
      <c r="FG69" s="2275"/>
      <c r="FH69" s="2275"/>
      <c r="FI69" s="2275"/>
      <c r="FJ69" s="2275"/>
      <c r="FK69" s="2252"/>
      <c r="FL69" s="2252"/>
      <c r="FM69" s="2252"/>
    </row>
    <row r="70" customFormat="false" ht="12" hidden="false" customHeight="true" outlineLevel="0" collapsed="false">
      <c r="A70" s="2252" t="n">
        <v>2002</v>
      </c>
      <c r="B70" s="2252"/>
      <c r="C70" s="2252"/>
      <c r="D70" s="2252"/>
      <c r="E70" s="2252"/>
      <c r="F70" s="2252"/>
      <c r="G70" s="2252"/>
      <c r="H70" s="2252"/>
      <c r="I70" s="2252"/>
      <c r="J70" s="2252"/>
      <c r="K70" s="2252"/>
      <c r="L70" s="2252"/>
      <c r="M70" s="2252"/>
      <c r="N70" s="2252"/>
      <c r="O70" s="2252"/>
      <c r="P70" s="2252"/>
      <c r="Q70" s="2252"/>
      <c r="R70" s="2252"/>
      <c r="S70" s="2260"/>
      <c r="T70" s="2252"/>
      <c r="U70" s="2260"/>
      <c r="V70" s="2260"/>
      <c r="W70" s="2260"/>
      <c r="X70" s="2275" t="n">
        <f aca="false">Y70+AB70+AC70</f>
        <v>3576.5</v>
      </c>
      <c r="Y70" s="2275" t="n">
        <v>795.1</v>
      </c>
      <c r="Z70" s="2275" t="n">
        <v>205.3</v>
      </c>
      <c r="AA70" s="2275" t="n">
        <v>589.8</v>
      </c>
      <c r="AB70" s="2275" t="n">
        <v>900.5</v>
      </c>
      <c r="AC70" s="2275" t="n">
        <v>1880.9</v>
      </c>
      <c r="AD70" s="2351" t="n">
        <v>1552.6</v>
      </c>
      <c r="AE70" s="2275" t="n">
        <f aca="false">X70-AD70</f>
        <v>2023.9</v>
      </c>
      <c r="AF70" s="2349"/>
      <c r="AG70" s="2275"/>
      <c r="AH70" s="2275"/>
      <c r="AI70" s="2252"/>
      <c r="AJ70" s="2275"/>
      <c r="AK70" s="2275"/>
      <c r="AL70" s="2275" t="n">
        <f aca="false">AN70+AO70+AP70</f>
        <v>3210</v>
      </c>
      <c r="AM70" s="2275" t="n">
        <v>3210</v>
      </c>
      <c r="AN70" s="2275" t="n">
        <v>2692</v>
      </c>
      <c r="AO70" s="2275" t="n">
        <v>28.4</v>
      </c>
      <c r="AP70" s="2275" t="n">
        <f aca="false">AQ70+AR70</f>
        <v>489.6</v>
      </c>
      <c r="AQ70" s="2355" t="n">
        <v>468.3</v>
      </c>
      <c r="AR70" s="2355" t="n">
        <v>21.3</v>
      </c>
      <c r="AS70" s="2252"/>
      <c r="AT70" s="2252"/>
      <c r="AU70" s="2252"/>
      <c r="AV70" s="2275" t="n">
        <f aca="false">AW70+AX70+AY70</f>
        <v>2311.3</v>
      </c>
      <c r="AW70" s="2275" t="n">
        <v>332.1</v>
      </c>
      <c r="AX70" s="2275" t="n">
        <v>895.2</v>
      </c>
      <c r="AY70" s="2275" t="n">
        <f aca="false">AZ70+BA70</f>
        <v>1084</v>
      </c>
      <c r="AZ70" s="2355" t="n">
        <v>962.1</v>
      </c>
      <c r="BA70" s="2355" t="n">
        <v>121.9</v>
      </c>
      <c r="BB70" s="2275"/>
      <c r="BC70" s="2275"/>
      <c r="BD70" s="2275" t="n">
        <f aca="false">BE70+BF70+BG70</f>
        <v>971.1</v>
      </c>
      <c r="BE70" s="2275" t="n">
        <v>127.9</v>
      </c>
      <c r="BF70" s="2275" t="n">
        <v>31.8</v>
      </c>
      <c r="BG70" s="2275" t="n">
        <f aca="false">BH70+BI70</f>
        <v>811.4</v>
      </c>
      <c r="BH70" s="2355" t="n">
        <v>793.5</v>
      </c>
      <c r="BI70" s="2355" t="n">
        <v>17.9</v>
      </c>
      <c r="BJ70" s="2275"/>
      <c r="BK70" s="2275"/>
      <c r="BL70" s="2275" t="n">
        <v>6.06</v>
      </c>
      <c r="BM70" s="2275" t="n">
        <v>3.64</v>
      </c>
      <c r="BN70" s="2275" t="n">
        <v>0</v>
      </c>
      <c r="BO70" s="2275" t="n">
        <f aca="false">BP70+BQ70</f>
        <v>2.42</v>
      </c>
      <c r="BP70" s="2275" t="n">
        <v>2.42</v>
      </c>
      <c r="BQ70" s="2275" t="n">
        <v>0</v>
      </c>
      <c r="BR70" s="2275"/>
      <c r="BS70" s="2275"/>
      <c r="BT70" s="2275" t="n">
        <f aca="false">BU70+BV70+BW70</f>
        <v>55.05</v>
      </c>
      <c r="BU70" s="2275" t="n">
        <v>7.6</v>
      </c>
      <c r="BV70" s="2275" t="n">
        <v>3.65</v>
      </c>
      <c r="BW70" s="2275" t="n">
        <f aca="false">BX70+BY70</f>
        <v>43.8</v>
      </c>
      <c r="BX70" s="2355" t="n">
        <v>40.7</v>
      </c>
      <c r="BY70" s="2355" t="n">
        <v>3.1</v>
      </c>
      <c r="BZ70" s="2275"/>
      <c r="CA70" s="2275" t="n">
        <v>1696.1</v>
      </c>
      <c r="CB70" s="2275" t="n">
        <v>1173.1</v>
      </c>
      <c r="CC70" s="2275" t="n">
        <v>160.2</v>
      </c>
      <c r="CD70" s="2275" t="n">
        <f aca="false">CE70+CF70</f>
        <v>362.7</v>
      </c>
      <c r="CE70" s="2355" t="n">
        <v>333.6</v>
      </c>
      <c r="CF70" s="2355" t="n">
        <v>29.1</v>
      </c>
      <c r="CG70" s="2252"/>
      <c r="CH70" s="2252" t="n">
        <v>58.43</v>
      </c>
      <c r="CI70" s="2356" t="n">
        <v>80.44</v>
      </c>
      <c r="CJ70" s="2356"/>
      <c r="CK70" s="2275" t="n">
        <v>82536.68</v>
      </c>
      <c r="CL70" s="2275" t="n">
        <v>65527.242</v>
      </c>
      <c r="CM70" s="2275" t="n">
        <v>46314.623</v>
      </c>
      <c r="CN70" s="2252"/>
      <c r="CO70" s="2252" t="n">
        <v>357037</v>
      </c>
      <c r="CP70" s="2252" t="n">
        <v>23530</v>
      </c>
      <c r="CQ70" s="2252" t="e">
        <f aca="false">NA()</f>
        <v>#N/A</v>
      </c>
      <c r="CR70" s="2252" t="e">
        <f aca="false">NA()</f>
        <v>#N/A</v>
      </c>
      <c r="CS70" s="2252" t="e">
        <f aca="false">NA()</f>
        <v>#N/A</v>
      </c>
      <c r="CT70" s="2252" t="n">
        <v>2838</v>
      </c>
      <c r="CU70" s="2252" t="n">
        <v>17282</v>
      </c>
      <c r="CV70" s="2252" t="e">
        <f aca="false">NA()</f>
        <v>#N/A</v>
      </c>
      <c r="CW70" s="2252" t="e">
        <f aca="false">NA()</f>
        <v>#N/A</v>
      </c>
      <c r="CX70" s="2252" t="e">
        <f aca="false">NA()</f>
        <v>#N/A</v>
      </c>
      <c r="CY70" s="2252" t="e">
        <f aca="false">NA()</f>
        <v>#N/A</v>
      </c>
      <c r="CZ70" s="2252"/>
      <c r="DA70" s="2252"/>
      <c r="DB70" s="2252"/>
      <c r="DC70" s="2252"/>
      <c r="DD70" s="2252"/>
      <c r="DE70" s="2252"/>
      <c r="DF70" s="2252"/>
      <c r="DG70" s="2275" t="n">
        <v>472.9</v>
      </c>
      <c r="DH70" s="2275" t="n">
        <v>1334.7</v>
      </c>
      <c r="DI70" s="2275" t="n">
        <f aca="false">DG70-DH70</f>
        <v>-861.8</v>
      </c>
      <c r="DJ70" s="2354"/>
      <c r="DK70" s="2342" t="n">
        <v>520.378</v>
      </c>
      <c r="DL70" s="2275"/>
      <c r="DM70" s="2275"/>
      <c r="DN70" s="2275"/>
      <c r="DO70" s="2275"/>
      <c r="DP70" s="2275"/>
      <c r="DQ70" s="2252"/>
      <c r="DR70" s="2252"/>
      <c r="DS70" s="2252"/>
      <c r="DT70" s="2252"/>
      <c r="DU70" s="2252"/>
      <c r="DV70" s="2252"/>
      <c r="DW70" s="2252"/>
      <c r="DX70" s="2252"/>
      <c r="DY70" s="2252"/>
      <c r="DZ70" s="2252"/>
      <c r="EA70" s="2252"/>
      <c r="EB70" s="2252"/>
      <c r="EC70" s="2252"/>
      <c r="ED70" s="2252"/>
      <c r="EE70" s="2252"/>
      <c r="EF70" s="2252"/>
      <c r="EG70" s="2275" t="n">
        <f aca="false">EH70+EI70</f>
        <v>9404.6</v>
      </c>
      <c r="EH70" s="2355" t="n">
        <v>1915.8</v>
      </c>
      <c r="EI70" s="2355" t="n">
        <v>7488.8</v>
      </c>
      <c r="EJ70" s="2275" t="n">
        <f aca="false">EK70+EL70</f>
        <v>8164.4</v>
      </c>
      <c r="EK70" s="2355" t="n">
        <v>1696.7</v>
      </c>
      <c r="EL70" s="2355" t="n">
        <v>6467.7</v>
      </c>
      <c r="EM70" s="2275" t="n">
        <f aca="false">EN70+EO70</f>
        <v>2417.9</v>
      </c>
      <c r="EN70" s="2355" t="n">
        <v>1286</v>
      </c>
      <c r="EO70" s="2355" t="n">
        <v>1131.9</v>
      </c>
      <c r="EP70" s="2275"/>
      <c r="EQ70" s="2275"/>
      <c r="ER70" s="2275"/>
      <c r="ES70" s="2275"/>
      <c r="ET70" s="2275" t="n">
        <v>3085</v>
      </c>
      <c r="EU70" s="2275" t="n">
        <v>3030</v>
      </c>
      <c r="EV70" s="2275" t="n">
        <f aca="false">ET70-EU70</f>
        <v>55</v>
      </c>
      <c r="EW70" s="2275" t="n">
        <v>3055.676</v>
      </c>
      <c r="EX70" s="2275" t="n">
        <v>2947.292</v>
      </c>
      <c r="EY70" s="2275" t="n">
        <v>108.384</v>
      </c>
      <c r="EZ70" s="2330"/>
      <c r="FA70" s="2305"/>
      <c r="FB70" s="2305"/>
      <c r="FC70" s="2275"/>
      <c r="FD70" s="2275"/>
      <c r="FE70" s="2275"/>
      <c r="FF70" s="2275"/>
      <c r="FG70" s="2275"/>
      <c r="FH70" s="2275"/>
      <c r="FI70" s="2275"/>
      <c r="FJ70" s="2275"/>
      <c r="FK70" s="2252"/>
      <c r="FL70" s="2252"/>
      <c r="FM70" s="2252"/>
    </row>
    <row r="71" customFormat="false" ht="12" hidden="false" customHeight="true" outlineLevel="0" collapsed="false">
      <c r="A71" s="2252" t="n">
        <v>2003</v>
      </c>
      <c r="B71" s="2252"/>
      <c r="C71" s="2252"/>
      <c r="D71" s="2252"/>
      <c r="E71" s="2252"/>
      <c r="F71" s="2252"/>
      <c r="G71" s="2252"/>
      <c r="H71" s="2252"/>
      <c r="I71" s="2252"/>
      <c r="J71" s="2252"/>
      <c r="K71" s="2252"/>
      <c r="L71" s="2252"/>
      <c r="M71" s="2252"/>
      <c r="N71" s="2252"/>
      <c r="O71" s="2252"/>
      <c r="P71" s="2252"/>
      <c r="Q71" s="2252"/>
      <c r="R71" s="2252"/>
      <c r="S71" s="2260"/>
      <c r="T71" s="2252"/>
      <c r="U71" s="2260"/>
      <c r="V71" s="2260"/>
      <c r="W71" s="2260"/>
      <c r="X71" s="2275" t="n">
        <f aca="false">Y71+AB71+AC71</f>
        <v>3808.8</v>
      </c>
      <c r="Y71" s="2275" t="n">
        <v>894.6</v>
      </c>
      <c r="Z71" s="2275" t="n">
        <v>263.5</v>
      </c>
      <c r="AA71" s="2275" t="n">
        <v>631.1</v>
      </c>
      <c r="AB71" s="2275" t="n">
        <v>946.4</v>
      </c>
      <c r="AC71" s="2275" t="n">
        <v>1967.8</v>
      </c>
      <c r="AD71" s="2351" t="n">
        <v>1569</v>
      </c>
      <c r="AE71" s="2275" t="n">
        <f aca="false">X71-AD71</f>
        <v>2239.8</v>
      </c>
      <c r="AF71" s="2349"/>
      <c r="AG71" s="2275"/>
      <c r="AH71" s="2275"/>
      <c r="AI71" s="2252"/>
      <c r="AJ71" s="2275"/>
      <c r="AK71" s="2275"/>
      <c r="AL71" s="2275" t="n">
        <f aca="false">AN71+AO71+AP71</f>
        <v>3261</v>
      </c>
      <c r="AM71" s="2275" t="n">
        <v>3260.92</v>
      </c>
      <c r="AN71" s="2275" t="n">
        <v>2742.4</v>
      </c>
      <c r="AO71" s="2275" t="n">
        <v>28.3</v>
      </c>
      <c r="AP71" s="2275" t="n">
        <f aca="false">AQ71+AR71</f>
        <v>490.3</v>
      </c>
      <c r="AQ71" s="2355" t="n">
        <v>468.9</v>
      </c>
      <c r="AR71" s="2355" t="n">
        <v>21.4</v>
      </c>
      <c r="AS71" s="2252"/>
      <c r="AT71" s="2252"/>
      <c r="AU71" s="2252"/>
      <c r="AV71" s="2275" t="n">
        <f aca="false">AW71+AX71+AY71</f>
        <v>2309.9</v>
      </c>
      <c r="AW71" s="2275" t="n">
        <v>331.3</v>
      </c>
      <c r="AX71" s="2275" t="n">
        <v>892.7</v>
      </c>
      <c r="AY71" s="2275" t="n">
        <f aca="false">AZ71+BA71</f>
        <v>1085.9</v>
      </c>
      <c r="AZ71" s="2355" t="n">
        <v>965.8</v>
      </c>
      <c r="BA71" s="2355" t="n">
        <v>120.1</v>
      </c>
      <c r="BB71" s="2275"/>
      <c r="BC71" s="2275"/>
      <c r="BD71" s="2275" t="n">
        <f aca="false">BE71+BF71+BG71</f>
        <v>971.6</v>
      </c>
      <c r="BE71" s="2275" t="n">
        <v>125.3</v>
      </c>
      <c r="BF71" s="2275" t="n">
        <v>31.6</v>
      </c>
      <c r="BG71" s="2275" t="n">
        <f aca="false">BH71+BI71</f>
        <v>814.7</v>
      </c>
      <c r="BH71" s="2355" t="n">
        <v>797.4</v>
      </c>
      <c r="BI71" s="2355" t="n">
        <v>17.3</v>
      </c>
      <c r="BJ71" s="2275"/>
      <c r="BK71" s="2275"/>
      <c r="BL71" s="2275" t="n">
        <v>6.46</v>
      </c>
      <c r="BM71" s="2275" t="n">
        <v>3.88</v>
      </c>
      <c r="BN71" s="2275" t="n">
        <v>0</v>
      </c>
      <c r="BO71" s="2275" t="n">
        <f aca="false">BP71+BQ71</f>
        <v>2.58</v>
      </c>
      <c r="BP71" s="2275" t="n">
        <v>2.58</v>
      </c>
      <c r="BQ71" s="2275" t="n">
        <v>0</v>
      </c>
      <c r="BR71" s="2275"/>
      <c r="BS71" s="2275"/>
      <c r="BT71" s="2275" t="n">
        <f aca="false">BU71+BV71+BW71</f>
        <v>56.1</v>
      </c>
      <c r="BU71" s="2275" t="n">
        <v>7.6</v>
      </c>
      <c r="BV71" s="2275" t="n">
        <v>3.7</v>
      </c>
      <c r="BW71" s="2275" t="n">
        <f aca="false">BX71+BY71</f>
        <v>44.8</v>
      </c>
      <c r="BX71" s="2355" t="n">
        <v>41.6</v>
      </c>
      <c r="BY71" s="2355" t="n">
        <v>3.2</v>
      </c>
      <c r="BZ71" s="2275"/>
      <c r="CA71" s="2275" t="n">
        <v>1816.2</v>
      </c>
      <c r="CB71" s="2275" t="n">
        <v>1265.4</v>
      </c>
      <c r="CC71" s="2275" t="n">
        <v>166.6</v>
      </c>
      <c r="CD71" s="2275" t="n">
        <f aca="false">CE71+CF71</f>
        <v>384.2</v>
      </c>
      <c r="CE71" s="2355" t="n">
        <v>353.8</v>
      </c>
      <c r="CF71" s="2355" t="n">
        <v>30.4</v>
      </c>
      <c r="CG71" s="2252"/>
      <c r="CH71" s="2252" t="n">
        <v>76.9</v>
      </c>
      <c r="CI71" s="2356" t="n">
        <v>99.89</v>
      </c>
      <c r="CJ71" s="2356"/>
      <c r="CK71" s="2275" t="n">
        <v>82531.671</v>
      </c>
      <c r="CL71" s="2275" t="n">
        <v>65618.912</v>
      </c>
      <c r="CM71" s="2275" t="n">
        <v>46311.633</v>
      </c>
      <c r="CN71" s="2252"/>
      <c r="CO71" s="2252" t="n">
        <v>357041</v>
      </c>
      <c r="CP71" s="2252" t="n">
        <v>23684</v>
      </c>
      <c r="CQ71" s="2252" t="e">
        <f aca="false">NA()</f>
        <v>#N/A</v>
      </c>
      <c r="CR71" s="2252" t="e">
        <f aca="false">NA()</f>
        <v>#N/A</v>
      </c>
      <c r="CS71" s="2252" t="e">
        <f aca="false">NA()</f>
        <v>#N/A</v>
      </c>
      <c r="CT71" s="2252" t="n">
        <v>2960</v>
      </c>
      <c r="CU71" s="2252" t="n">
        <v>17356</v>
      </c>
      <c r="CV71" s="2252" t="e">
        <f aca="false">NA()</f>
        <v>#N/A</v>
      </c>
      <c r="CW71" s="2252" t="e">
        <f aca="false">NA()</f>
        <v>#N/A</v>
      </c>
      <c r="CX71" s="2252" t="e">
        <f aca="false">NA()</f>
        <v>#N/A</v>
      </c>
      <c r="CY71" s="2252" t="e">
        <f aca="false">NA()</f>
        <v>#N/A</v>
      </c>
      <c r="CZ71" s="2252"/>
      <c r="DA71" s="2252"/>
      <c r="DB71" s="2252"/>
      <c r="DC71" s="2252"/>
      <c r="DD71" s="2252"/>
      <c r="DE71" s="2252"/>
      <c r="DF71" s="2252"/>
      <c r="DG71" s="2275" t="n">
        <v>484.2</v>
      </c>
      <c r="DH71" s="2275" t="n">
        <v>1417.2</v>
      </c>
      <c r="DI71" s="2275" t="n">
        <f aca="false">DG71-DH71</f>
        <v>-933</v>
      </c>
      <c r="DJ71" s="2354"/>
      <c r="DK71" s="2342" t="n">
        <v>534.677</v>
      </c>
      <c r="DL71" s="2275"/>
      <c r="DM71" s="2275"/>
      <c r="DN71" s="2275"/>
      <c r="DO71" s="2275"/>
      <c r="DP71" s="2275"/>
      <c r="DQ71" s="2252"/>
      <c r="DR71" s="2252"/>
      <c r="DS71" s="2252"/>
      <c r="DT71" s="2252"/>
      <c r="DU71" s="2252"/>
      <c r="DV71" s="2252"/>
      <c r="DW71" s="2252"/>
      <c r="DX71" s="2252"/>
      <c r="DY71" s="2252"/>
      <c r="DZ71" s="2252"/>
      <c r="EA71" s="2252"/>
      <c r="EB71" s="2252"/>
      <c r="EC71" s="2252"/>
      <c r="ED71" s="2252"/>
      <c r="EE71" s="2252"/>
      <c r="EF71" s="2252"/>
      <c r="EG71" s="2275" t="n">
        <f aca="false">EH71+EI71</f>
        <v>9769.7</v>
      </c>
      <c r="EH71" s="2355" t="n">
        <v>2015.7</v>
      </c>
      <c r="EI71" s="2355" t="n">
        <v>7754</v>
      </c>
      <c r="EJ71" s="2275" t="n">
        <f aca="false">EK71+EL71</f>
        <v>8304.2</v>
      </c>
      <c r="EK71" s="2355" t="n">
        <v>1696.4</v>
      </c>
      <c r="EL71" s="2355" t="n">
        <v>6607.8</v>
      </c>
      <c r="EM71" s="2275" t="n">
        <f aca="false">EN71+EO71</f>
        <v>2809.8</v>
      </c>
      <c r="EN71" s="2355" t="n">
        <v>1497.4</v>
      </c>
      <c r="EO71" s="2355" t="n">
        <v>1312.4</v>
      </c>
      <c r="EP71" s="2275"/>
      <c r="EQ71" s="2275"/>
      <c r="ER71" s="2275"/>
      <c r="ES71" s="2275"/>
      <c r="ET71" s="2275" t="n">
        <v>3263</v>
      </c>
      <c r="EU71" s="2275" t="n">
        <v>3186</v>
      </c>
      <c r="EV71" s="2275" t="n">
        <f aca="false">ET71-EU71</f>
        <v>77</v>
      </c>
      <c r="EW71" s="2275" t="n">
        <v>3215.792</v>
      </c>
      <c r="EX71" s="2275" t="n">
        <v>3073.902</v>
      </c>
      <c r="EY71" s="2275" t="n">
        <v>141.89</v>
      </c>
      <c r="EZ71" s="2330"/>
      <c r="FA71" s="2305"/>
      <c r="FB71" s="2305"/>
      <c r="FC71" s="2275"/>
      <c r="FD71" s="2275"/>
      <c r="FE71" s="2275"/>
      <c r="FF71" s="2275"/>
      <c r="FG71" s="2275"/>
      <c r="FH71" s="2275"/>
      <c r="FI71" s="2275"/>
      <c r="FJ71" s="2275"/>
      <c r="FK71" s="2252"/>
      <c r="FL71" s="2252"/>
      <c r="FM71" s="2252"/>
    </row>
    <row r="72" customFormat="false" ht="12" hidden="false" customHeight="true" outlineLevel="0" collapsed="false">
      <c r="A72" s="2252" t="n">
        <v>2004</v>
      </c>
      <c r="B72" s="2252"/>
      <c r="C72" s="2252"/>
      <c r="D72" s="2252"/>
      <c r="E72" s="2252"/>
      <c r="F72" s="2252"/>
      <c r="G72" s="2252"/>
      <c r="H72" s="2252"/>
      <c r="I72" s="2252"/>
      <c r="J72" s="2252"/>
      <c r="K72" s="2252"/>
      <c r="L72" s="2252"/>
      <c r="M72" s="2252"/>
      <c r="N72" s="2252"/>
      <c r="O72" s="2252"/>
      <c r="P72" s="2252"/>
      <c r="Q72" s="2252"/>
      <c r="R72" s="2252"/>
      <c r="S72" s="2260"/>
      <c r="T72" s="2252"/>
      <c r="U72" s="2260"/>
      <c r="V72" s="2260"/>
      <c r="W72" s="2260"/>
      <c r="X72" s="2275" t="n">
        <f aca="false">Y72+AB72+AC72</f>
        <v>3972.1</v>
      </c>
      <c r="Y72" s="2275" t="n">
        <v>912</v>
      </c>
      <c r="Z72" s="2275" t="n">
        <v>282.2</v>
      </c>
      <c r="AA72" s="2275" t="n">
        <v>629.8</v>
      </c>
      <c r="AB72" s="2275" t="n">
        <v>994.2</v>
      </c>
      <c r="AC72" s="2275" t="n">
        <v>2065.9</v>
      </c>
      <c r="AD72" s="2351" t="n">
        <v>1574.5</v>
      </c>
      <c r="AE72" s="2275" t="n">
        <f aca="false">X72-AD72</f>
        <v>2397.6</v>
      </c>
      <c r="AF72" s="2349"/>
      <c r="AG72" s="2252"/>
      <c r="AH72" s="2252"/>
      <c r="AI72" s="2252"/>
      <c r="AJ72" s="2252"/>
      <c r="AK72" s="2252"/>
      <c r="AL72" s="2275" t="n">
        <f aca="false">AN72+AO72+AP72</f>
        <v>3312.2</v>
      </c>
      <c r="AM72" s="2275" t="n">
        <v>3312.22</v>
      </c>
      <c r="AN72" s="2275" t="n">
        <v>2793.3</v>
      </c>
      <c r="AO72" s="2275" t="n">
        <v>28.3</v>
      </c>
      <c r="AP72" s="2275" t="n">
        <f aca="false">AQ72+AR72</f>
        <v>490.6</v>
      </c>
      <c r="AQ72" s="2355" t="n">
        <v>469.1</v>
      </c>
      <c r="AR72" s="2355" t="n">
        <v>21.5</v>
      </c>
      <c r="AS72" s="2252"/>
      <c r="AT72" s="2252"/>
      <c r="AU72" s="2252"/>
      <c r="AV72" s="2275" t="n">
        <f aca="false">AW72+AX72+AY72</f>
        <v>2319.9</v>
      </c>
      <c r="AW72" s="2275" t="n">
        <v>333</v>
      </c>
      <c r="AX72" s="2275" t="n">
        <v>892.5</v>
      </c>
      <c r="AY72" s="2275" t="n">
        <f aca="false">AZ72+BA72</f>
        <v>1094.4</v>
      </c>
      <c r="AZ72" s="2355" t="n">
        <v>975.6</v>
      </c>
      <c r="BA72" s="2355" t="n">
        <v>118.8</v>
      </c>
      <c r="BB72" s="2275"/>
      <c r="BC72" s="2275"/>
      <c r="BD72" s="2275" t="n">
        <f aca="false">BE72+BF72+BG72</f>
        <v>958.9</v>
      </c>
      <c r="BE72" s="2275" t="n">
        <v>121.2</v>
      </c>
      <c r="BF72" s="2275" t="n">
        <v>30.5</v>
      </c>
      <c r="BG72" s="2275" t="n">
        <f aca="false">BH72+BI72</f>
        <v>807.2</v>
      </c>
      <c r="BH72" s="2355" t="n">
        <v>791.1</v>
      </c>
      <c r="BI72" s="2355" t="n">
        <v>16.1</v>
      </c>
      <c r="BJ72" s="2275"/>
      <c r="BK72" s="2275"/>
      <c r="BL72" s="2275" t="n">
        <v>5.98</v>
      </c>
      <c r="BM72" s="2275" t="n">
        <v>3.59</v>
      </c>
      <c r="BN72" s="2275" t="n">
        <v>0</v>
      </c>
      <c r="BO72" s="2275" t="n">
        <f aca="false">BP72+BQ72</f>
        <v>2.39</v>
      </c>
      <c r="BP72" s="2275" t="n">
        <v>2.39</v>
      </c>
      <c r="BQ72" s="2275" t="n">
        <v>0</v>
      </c>
      <c r="BR72" s="2275"/>
      <c r="BS72" s="2275"/>
      <c r="BT72" s="2275" t="n">
        <f aca="false">BU72+BV72+BW72</f>
        <v>56.13</v>
      </c>
      <c r="BU72" s="2275" t="n">
        <v>7.6</v>
      </c>
      <c r="BV72" s="2275" t="n">
        <v>3.83</v>
      </c>
      <c r="BW72" s="2275" t="n">
        <f aca="false">BX72+BY72</f>
        <v>44.7</v>
      </c>
      <c r="BX72" s="2355" t="n">
        <v>41.5</v>
      </c>
      <c r="BY72" s="2355" t="n">
        <v>3.2</v>
      </c>
      <c r="BZ72" s="2275"/>
      <c r="CA72" s="2275" t="n">
        <v>1942.2</v>
      </c>
      <c r="CB72" s="2275" t="n">
        <v>1359.4</v>
      </c>
      <c r="CC72" s="2275" t="n">
        <v>174.8</v>
      </c>
      <c r="CD72" s="2275" t="n">
        <f aca="false">CE72+CF72</f>
        <v>408</v>
      </c>
      <c r="CE72" s="2355" t="n">
        <v>376.5</v>
      </c>
      <c r="CF72" s="2355" t="n">
        <v>31.5</v>
      </c>
      <c r="CG72" s="2252"/>
      <c r="CH72" s="2252" t="n">
        <v>76.93</v>
      </c>
      <c r="CI72" s="2356" t="n">
        <v>103.47</v>
      </c>
      <c r="CJ72" s="2356"/>
      <c r="CK72" s="2275" t="n">
        <v>82500.849</v>
      </c>
      <c r="CL72" s="2275" t="n">
        <v>65679.663</v>
      </c>
      <c r="CM72" s="2275" t="n">
        <v>47301.464</v>
      </c>
      <c r="CN72" s="2252"/>
      <c r="CO72" s="2252" t="n">
        <v>357050</v>
      </c>
      <c r="CP72" s="2252" t="n">
        <v>23938</v>
      </c>
      <c r="CQ72" s="2252" t="n">
        <v>11295</v>
      </c>
      <c r="CR72" s="2252" t="n">
        <v>3164</v>
      </c>
      <c r="CS72" s="2252" t="n">
        <v>2518</v>
      </c>
      <c r="CT72" s="2252" t="n">
        <v>3131</v>
      </c>
      <c r="CU72" s="2252" t="n">
        <v>17446</v>
      </c>
      <c r="CV72" s="2252" t="n">
        <v>189324</v>
      </c>
      <c r="CW72" s="2252" t="n">
        <v>106488</v>
      </c>
      <c r="CX72" s="2252" t="n">
        <v>8279</v>
      </c>
      <c r="CY72" s="2252" t="n">
        <v>5925</v>
      </c>
      <c r="CZ72" s="2252"/>
      <c r="DA72" s="2252"/>
      <c r="DB72" s="2252"/>
      <c r="DC72" s="2252"/>
      <c r="DD72" s="2252"/>
      <c r="DE72" s="2252"/>
      <c r="DF72" s="2252"/>
      <c r="DG72" s="2275" t="n">
        <v>478.1</v>
      </c>
      <c r="DH72" s="2275" t="n">
        <v>1517.2</v>
      </c>
      <c r="DI72" s="2275" t="n">
        <f aca="false">DG72-DH72</f>
        <v>-1039.1</v>
      </c>
      <c r="DJ72" s="2354"/>
      <c r="DK72" s="2342" t="n">
        <v>603.877</v>
      </c>
      <c r="DL72" s="2275"/>
      <c r="DM72" s="2275"/>
      <c r="DN72" s="2275"/>
      <c r="DO72" s="2275"/>
      <c r="DP72" s="2275"/>
      <c r="DQ72" s="2252"/>
      <c r="DR72" s="2252"/>
      <c r="DS72" s="2252"/>
      <c r="DT72" s="2252"/>
      <c r="DU72" s="2252"/>
      <c r="DV72" s="2252"/>
      <c r="DW72" s="2252"/>
      <c r="DX72" s="2252"/>
      <c r="DY72" s="2252"/>
      <c r="DZ72" s="2252"/>
      <c r="EA72" s="2252"/>
      <c r="EB72" s="2252"/>
      <c r="EC72" s="2252"/>
      <c r="ED72" s="2252"/>
      <c r="EE72" s="2252"/>
      <c r="EF72" s="2252"/>
      <c r="EG72" s="2275" t="n">
        <f aca="false">EH72+EI72</f>
        <v>10171.9</v>
      </c>
      <c r="EH72" s="2355" t="n">
        <v>2059.9</v>
      </c>
      <c r="EI72" s="2355" t="n">
        <v>8112</v>
      </c>
      <c r="EJ72" s="2275" t="n">
        <f aca="false">EK72+EL72</f>
        <v>8562.9</v>
      </c>
      <c r="EK72" s="2355" t="n">
        <v>1694.6</v>
      </c>
      <c r="EL72" s="2355" t="n">
        <v>6868.3</v>
      </c>
      <c r="EM72" s="2275" t="n">
        <f aca="false">EN72+EO72</f>
        <v>2928.3</v>
      </c>
      <c r="EN72" s="2355" t="n">
        <v>1578.6</v>
      </c>
      <c r="EO72" s="2355" t="n">
        <v>1349.7</v>
      </c>
      <c r="EP72" s="2275"/>
      <c r="EQ72" s="2275"/>
      <c r="ER72" s="2275"/>
      <c r="ES72" s="2275"/>
      <c r="ET72" s="2275" t="n">
        <v>3458</v>
      </c>
      <c r="EU72" s="2275" t="n">
        <v>3458</v>
      </c>
      <c r="EV72" s="2275" t="n">
        <f aca="false">ET72-EU72</f>
        <v>0</v>
      </c>
      <c r="EW72" s="2275" t="n">
        <v>3487.516</v>
      </c>
      <c r="EX72" s="2275" t="n">
        <v>3253.14</v>
      </c>
      <c r="EY72" s="2275" t="n">
        <v>234.376</v>
      </c>
      <c r="EZ72" s="2330"/>
      <c r="FA72" s="2305"/>
      <c r="FB72" s="2305"/>
      <c r="FC72" s="2275"/>
      <c r="FD72" s="2275"/>
      <c r="FE72" s="2275"/>
      <c r="FF72" s="2275"/>
      <c r="FG72" s="2275"/>
      <c r="FH72" s="2275"/>
      <c r="FI72" s="2275"/>
      <c r="FJ72" s="2275"/>
      <c r="FK72" s="2252"/>
      <c r="FL72" s="2252"/>
      <c r="FM72" s="2252"/>
    </row>
    <row r="73" customFormat="false" ht="12" hidden="false" customHeight="true" outlineLevel="0" collapsed="false">
      <c r="A73" s="2252" t="n">
        <v>2005</v>
      </c>
      <c r="B73" s="2252"/>
      <c r="C73" s="2252"/>
      <c r="D73" s="2252"/>
      <c r="E73" s="2252"/>
      <c r="F73" s="2252"/>
      <c r="G73" s="2252"/>
      <c r="H73" s="2252"/>
      <c r="I73" s="2252"/>
      <c r="J73" s="2252"/>
      <c r="K73" s="2252"/>
      <c r="L73" s="2252"/>
      <c r="M73" s="2252"/>
      <c r="N73" s="2252"/>
      <c r="O73" s="2252"/>
      <c r="P73" s="2252"/>
      <c r="Q73" s="2252"/>
      <c r="R73" s="2252"/>
      <c r="S73" s="2260"/>
      <c r="T73" s="2252"/>
      <c r="U73" s="2260"/>
      <c r="V73" s="2260"/>
      <c r="W73" s="2260"/>
      <c r="X73" s="2275" t="n">
        <f aca="false">Y73+AB73+AC73</f>
        <v>4202</v>
      </c>
      <c r="Y73" s="2275" t="n">
        <v>1036.7</v>
      </c>
      <c r="Z73" s="2275" t="n">
        <v>327.1</v>
      </c>
      <c r="AA73" s="2275" t="n">
        <v>709.6</v>
      </c>
      <c r="AB73" s="2275" t="n">
        <v>1057.2</v>
      </c>
      <c r="AC73" s="2275" t="n">
        <v>2108.1</v>
      </c>
      <c r="AD73" s="2351" t="n">
        <v>1568.6</v>
      </c>
      <c r="AE73" s="2275" t="n">
        <f aca="false">X73-AD73</f>
        <v>2633.4</v>
      </c>
      <c r="AF73" s="2349"/>
      <c r="AG73" s="2275"/>
      <c r="AH73" s="2275"/>
      <c r="AI73" s="2252"/>
      <c r="AJ73" s="2275"/>
      <c r="AK73" s="2275"/>
      <c r="AL73" s="2275" t="n">
        <f aca="false">AN73+AO73+AP73</f>
        <v>3397.8</v>
      </c>
      <c r="AM73" s="2275" t="n">
        <v>3397.8</v>
      </c>
      <c r="AN73" s="2275" t="n">
        <v>2874</v>
      </c>
      <c r="AO73" s="2275" t="n">
        <v>28.5</v>
      </c>
      <c r="AP73" s="2275" t="n">
        <f aca="false">AQ73+AR73</f>
        <v>495.3</v>
      </c>
      <c r="AQ73" s="2355" t="n">
        <v>473.5</v>
      </c>
      <c r="AR73" s="2355" t="n">
        <v>21.8</v>
      </c>
      <c r="AS73" s="2252"/>
      <c r="AT73" s="2252"/>
      <c r="AU73" s="2252"/>
      <c r="AV73" s="2275" t="n">
        <f aca="false">AW73+AX73+AY73</f>
        <v>2360</v>
      </c>
      <c r="AW73" s="2275" t="n">
        <v>339.4</v>
      </c>
      <c r="AX73" s="2275" t="n">
        <v>897.8</v>
      </c>
      <c r="AY73" s="2275" t="n">
        <f aca="false">AZ73+BA73</f>
        <v>1122.8</v>
      </c>
      <c r="AZ73" s="2355" t="n">
        <v>1002.6</v>
      </c>
      <c r="BA73" s="2355" t="n">
        <v>120.2</v>
      </c>
      <c r="BB73" s="2275"/>
      <c r="BC73" s="2275"/>
      <c r="BD73" s="2275" t="n">
        <f aca="false">BE73+BF73+BG73</f>
        <v>960.9</v>
      </c>
      <c r="BE73" s="2275" t="n">
        <v>119.1</v>
      </c>
      <c r="BF73" s="2275" t="n">
        <v>29.9</v>
      </c>
      <c r="BG73" s="2275" t="n">
        <f aca="false">BH73+BI73</f>
        <v>811.9</v>
      </c>
      <c r="BH73" s="2355" t="n">
        <v>796.4</v>
      </c>
      <c r="BI73" s="2355" t="n">
        <v>15.5</v>
      </c>
      <c r="BJ73" s="2275"/>
      <c r="BK73" s="2275"/>
      <c r="BL73" s="2275" t="n">
        <v>6.75</v>
      </c>
      <c r="BM73" s="2275" t="n">
        <v>4.05</v>
      </c>
      <c r="BN73" s="2275" t="n">
        <v>0</v>
      </c>
      <c r="BO73" s="2275" t="n">
        <f aca="false">BP73+BQ73</f>
        <v>2.7</v>
      </c>
      <c r="BP73" s="2275" t="n">
        <v>2.7</v>
      </c>
      <c r="BQ73" s="2275" t="n">
        <v>0</v>
      </c>
      <c r="BR73" s="2275"/>
      <c r="BS73" s="2275"/>
      <c r="BT73" s="2275" t="n">
        <f aca="false">BU73+BV73+BW73</f>
        <v>57.06</v>
      </c>
      <c r="BU73" s="2275" t="n">
        <v>7.6</v>
      </c>
      <c r="BV73" s="2275" t="n">
        <v>4.06</v>
      </c>
      <c r="BW73" s="2275" t="n">
        <f aca="false">BX73+BY73</f>
        <v>45.4</v>
      </c>
      <c r="BX73" s="2355" t="n">
        <v>42</v>
      </c>
      <c r="BY73" s="2355" t="n">
        <v>3.4</v>
      </c>
      <c r="BZ73" s="2275"/>
      <c r="CA73" s="2275" t="n">
        <v>2027</v>
      </c>
      <c r="CB73" s="2275" t="n">
        <v>1415.7</v>
      </c>
      <c r="CC73" s="2275" t="n">
        <v>182</v>
      </c>
      <c r="CD73" s="2275" t="n">
        <f aca="false">CE73+CF73</f>
        <v>429.4</v>
      </c>
      <c r="CE73" s="2355" t="n">
        <v>396.7</v>
      </c>
      <c r="CF73" s="2355" t="n">
        <v>32.7</v>
      </c>
      <c r="CG73" s="2252"/>
      <c r="CH73" s="2252" t="n">
        <v>85.97</v>
      </c>
      <c r="CI73" s="2356" t="n">
        <v>115.8</v>
      </c>
      <c r="CJ73" s="2356"/>
      <c r="CK73" s="2275" t="n">
        <v>82437.995</v>
      </c>
      <c r="CL73" s="2275" t="n">
        <v>65698.012</v>
      </c>
      <c r="CM73" s="2275" t="n">
        <v>47620.791</v>
      </c>
      <c r="CN73" s="2252"/>
      <c r="CO73" s="2252" t="n">
        <v>357093</v>
      </c>
      <c r="CP73" s="2252" t="n">
        <v>24047</v>
      </c>
      <c r="CQ73" s="2252" t="e">
        <f aca="false">NA()</f>
        <v>#N/A</v>
      </c>
      <c r="CR73" s="2252" t="e">
        <f aca="false">NA()</f>
        <v>#N/A</v>
      </c>
      <c r="CS73" s="2252" t="e">
        <f aca="false">NA()</f>
        <v>#N/A</v>
      </c>
      <c r="CT73" s="2252" t="n">
        <v>3338</v>
      </c>
      <c r="CU73" s="2252" t="n">
        <v>17538</v>
      </c>
      <c r="CV73" s="2252" t="e">
        <f aca="false">NA()</f>
        <v>#N/A</v>
      </c>
      <c r="CW73" s="2252" t="e">
        <f aca="false">NA()</f>
        <v>#N/A</v>
      </c>
      <c r="CX73" s="2252" t="e">
        <f aca="false">NA()</f>
        <v>#N/A</v>
      </c>
      <c r="CY73" s="2252" t="e">
        <f aca="false">NA()</f>
        <v>#N/A</v>
      </c>
      <c r="CZ73" s="2252"/>
      <c r="DA73" s="2252"/>
      <c r="DB73" s="2252"/>
      <c r="DC73" s="2252"/>
      <c r="DD73" s="2252"/>
      <c r="DE73" s="2252"/>
      <c r="DF73" s="2252"/>
      <c r="DG73" s="2275" t="n">
        <v>491.2</v>
      </c>
      <c r="DH73" s="2275" t="n">
        <v>1596.3</v>
      </c>
      <c r="DI73" s="2275" t="n">
        <f aca="false">DG73-DH73</f>
        <v>-1105.1</v>
      </c>
      <c r="DJ73" s="2354"/>
      <c r="DK73" s="2342" t="n">
        <v>694.106</v>
      </c>
      <c r="DL73" s="2275"/>
      <c r="DM73" s="2275"/>
      <c r="DN73" s="2275"/>
      <c r="DO73" s="2275"/>
      <c r="DP73" s="2275"/>
      <c r="DQ73" s="2252"/>
      <c r="DR73" s="2252"/>
      <c r="DS73" s="2252"/>
      <c r="DT73" s="2252"/>
      <c r="DU73" s="2252"/>
      <c r="DV73" s="2252"/>
      <c r="DW73" s="2252"/>
      <c r="DX73" s="2252"/>
      <c r="DY73" s="2252"/>
      <c r="DZ73" s="2252"/>
      <c r="EA73" s="2252"/>
      <c r="EB73" s="2252"/>
      <c r="EC73" s="2252"/>
      <c r="ED73" s="2252"/>
      <c r="EE73" s="2252"/>
      <c r="EF73" s="2252"/>
      <c r="EG73" s="2275" t="n">
        <f aca="false">EH73+EI73</f>
        <v>10950.2</v>
      </c>
      <c r="EH73" s="2355" t="n">
        <v>2253.2</v>
      </c>
      <c r="EI73" s="2355" t="n">
        <v>8697</v>
      </c>
      <c r="EJ73" s="2275" t="n">
        <f aca="false">EK73+EL73</f>
        <v>8861.2</v>
      </c>
      <c r="EK73" s="2355" t="n">
        <v>1697.5</v>
      </c>
      <c r="EL73" s="2355" t="n">
        <v>7163.7</v>
      </c>
      <c r="EM73" s="2275" t="n">
        <f aca="false">EN73+EO73</f>
        <v>3312.4</v>
      </c>
      <c r="EN73" s="2355" t="n">
        <v>1741.3</v>
      </c>
      <c r="EO73" s="2355" t="n">
        <v>1571.1</v>
      </c>
      <c r="EP73" s="2275"/>
      <c r="EQ73" s="2275"/>
      <c r="ER73" s="2275"/>
      <c r="ES73" s="2275"/>
      <c r="ET73" s="2275" t="n">
        <v>3864</v>
      </c>
      <c r="EU73" s="2275" t="n">
        <v>4118</v>
      </c>
      <c r="EV73" s="2275" t="n">
        <f aca="false">ET73-EU73</f>
        <v>-254</v>
      </c>
      <c r="EW73" s="2275" t="n">
        <v>4078.861</v>
      </c>
      <c r="EX73" s="2275" t="n">
        <v>3610.926</v>
      </c>
      <c r="EY73" s="2275" t="n">
        <v>467.936</v>
      </c>
      <c r="EZ73" s="2330"/>
      <c r="FA73" s="2305"/>
      <c r="FB73" s="2305"/>
      <c r="FC73" s="2275"/>
      <c r="FD73" s="2275"/>
      <c r="FE73" s="2275"/>
      <c r="FF73" s="2275"/>
      <c r="FG73" s="2275"/>
      <c r="FH73" s="2275"/>
      <c r="FI73" s="2275"/>
      <c r="FJ73" s="2275"/>
      <c r="FK73" s="2252"/>
      <c r="FL73" s="2252"/>
      <c r="FM73" s="2252"/>
    </row>
    <row r="74" customFormat="false" ht="12" hidden="false" customHeight="true" outlineLevel="0" collapsed="false">
      <c r="A74" s="2252" t="n">
        <v>2006</v>
      </c>
      <c r="B74" s="2252"/>
      <c r="C74" s="2252"/>
      <c r="D74" s="2252"/>
      <c r="E74" s="2252"/>
      <c r="F74" s="2252"/>
      <c r="G74" s="2252"/>
      <c r="H74" s="2252"/>
      <c r="I74" s="2252"/>
      <c r="J74" s="2252"/>
      <c r="K74" s="2252"/>
      <c r="L74" s="2252"/>
      <c r="M74" s="2252"/>
      <c r="N74" s="2252"/>
      <c r="O74" s="2252"/>
      <c r="P74" s="2252"/>
      <c r="Q74" s="2252"/>
      <c r="R74" s="2252"/>
      <c r="S74" s="2260"/>
      <c r="T74" s="2252"/>
      <c r="U74" s="2260"/>
      <c r="V74" s="2260"/>
      <c r="W74" s="2260"/>
      <c r="X74" s="2275" t="n">
        <f aca="false">Y74+AB74+AC74</f>
        <v>4229.1</v>
      </c>
      <c r="Y74" s="2275" t="n">
        <v>999.1</v>
      </c>
      <c r="Z74" s="2275" t="n">
        <v>327.6</v>
      </c>
      <c r="AA74" s="2275" t="n">
        <v>671.5</v>
      </c>
      <c r="AB74" s="2275" t="n">
        <v>1118.9</v>
      </c>
      <c r="AC74" s="2275" t="n">
        <v>2111.1</v>
      </c>
      <c r="AD74" s="2351" t="n">
        <v>1567.6</v>
      </c>
      <c r="AE74" s="2275" t="n">
        <f aca="false">X74-AD74</f>
        <v>2661.5</v>
      </c>
      <c r="AF74" s="2349"/>
      <c r="AG74" s="2275"/>
      <c r="AH74" s="2275"/>
      <c r="AI74" s="2252"/>
      <c r="AJ74" s="2275"/>
      <c r="AK74" s="2275"/>
      <c r="AL74" s="2275" t="n">
        <f aca="false">AN74+AO74+AP74</f>
        <v>3467.4</v>
      </c>
      <c r="AM74" s="2275" t="n">
        <v>3467.35</v>
      </c>
      <c r="AN74" s="2275" t="n">
        <v>2941.1</v>
      </c>
      <c r="AO74" s="2275" t="n">
        <v>28.5</v>
      </c>
      <c r="AP74" s="2275" t="n">
        <f aca="false">AQ74+AR74</f>
        <v>497.8</v>
      </c>
      <c r="AQ74" s="2355" t="n">
        <v>475.7</v>
      </c>
      <c r="AR74" s="2355" t="n">
        <v>22.1</v>
      </c>
      <c r="AS74" s="2252"/>
      <c r="AT74" s="2252"/>
      <c r="AU74" s="2252"/>
      <c r="AV74" s="2275" t="n">
        <f aca="false">AW74+AX74+AY74</f>
        <v>2384.7</v>
      </c>
      <c r="AW74" s="2275" t="n">
        <v>342.5</v>
      </c>
      <c r="AX74" s="2275" t="n">
        <v>902</v>
      </c>
      <c r="AY74" s="2275" t="n">
        <f aca="false">AZ74+BA74</f>
        <v>1140.2</v>
      </c>
      <c r="AZ74" s="2355" t="n">
        <v>1019</v>
      </c>
      <c r="BA74" s="2355" t="n">
        <v>121.2</v>
      </c>
      <c r="BB74" s="2275"/>
      <c r="BC74" s="2275"/>
      <c r="BD74" s="2275" t="n">
        <f aca="false">BE74+BF74+BG74</f>
        <v>974.6</v>
      </c>
      <c r="BE74" s="2275" t="n">
        <v>119.4</v>
      </c>
      <c r="BF74" s="2275" t="n">
        <v>29.5</v>
      </c>
      <c r="BG74" s="2275" t="n">
        <f aca="false">BH74+BI74</f>
        <v>825.7</v>
      </c>
      <c r="BH74" s="2355" t="n">
        <v>811.9</v>
      </c>
      <c r="BI74" s="2355" t="n">
        <v>13.8</v>
      </c>
      <c r="BJ74" s="2275"/>
      <c r="BK74" s="2275"/>
      <c r="BL74" s="2275" t="n">
        <v>7.02</v>
      </c>
      <c r="BM74" s="2275" t="n">
        <v>4.21</v>
      </c>
      <c r="BN74" s="2275" t="n">
        <v>0</v>
      </c>
      <c r="BO74" s="2275" t="n">
        <f aca="false">BP74+BQ74</f>
        <v>2.81</v>
      </c>
      <c r="BP74" s="2275" t="n">
        <v>2.81</v>
      </c>
      <c r="BQ74" s="2275" t="n">
        <v>0</v>
      </c>
      <c r="BR74" s="2275"/>
      <c r="BS74" s="2275"/>
      <c r="BT74" s="2275" t="n">
        <f aca="false">BU74+BV74+BW74</f>
        <v>58.16</v>
      </c>
      <c r="BU74" s="2275" t="n">
        <v>7.8</v>
      </c>
      <c r="BV74" s="2275" t="n">
        <v>4.06</v>
      </c>
      <c r="BW74" s="2275" t="n">
        <f aca="false">BX74+BY74</f>
        <v>46.3</v>
      </c>
      <c r="BX74" s="2355" t="n">
        <v>42.9</v>
      </c>
      <c r="BY74" s="2355" t="n">
        <v>3.4</v>
      </c>
      <c r="BZ74" s="2275"/>
      <c r="CA74" s="2275" t="n">
        <v>2062.1</v>
      </c>
      <c r="CB74" s="2275" t="n">
        <v>1466.2</v>
      </c>
      <c r="CC74" s="2275" t="n">
        <v>173.4</v>
      </c>
      <c r="CD74" s="2275" t="n">
        <f aca="false">CE74+CF74</f>
        <v>422.6</v>
      </c>
      <c r="CE74" s="2355" t="n">
        <v>391.3</v>
      </c>
      <c r="CF74" s="2355" t="n">
        <v>31.3</v>
      </c>
      <c r="CG74" s="2252"/>
      <c r="CH74" s="2252" t="n">
        <v>81.93</v>
      </c>
      <c r="CI74" s="2356" t="n">
        <v>122.85</v>
      </c>
      <c r="CJ74" s="2356"/>
      <c r="CK74" s="2275" t="n">
        <v>82314.906</v>
      </c>
      <c r="CL74" s="2275" t="n">
        <v>65666.642</v>
      </c>
      <c r="CM74" s="2275" t="n">
        <v>47633.252</v>
      </c>
      <c r="CN74" s="2252"/>
      <c r="CO74" s="2252" t="n">
        <v>357099</v>
      </c>
      <c r="CP74" s="2252" t="n">
        <v>24156</v>
      </c>
      <c r="CQ74" s="2252" t="e">
        <f aca="false">NA()</f>
        <v>#N/A</v>
      </c>
      <c r="CR74" s="2252" t="e">
        <f aca="false">NA()</f>
        <v>#N/A</v>
      </c>
      <c r="CS74" s="2252" t="e">
        <f aca="false">NA()</f>
        <v>#N/A</v>
      </c>
      <c r="CT74" s="2252" t="n">
        <v>3526</v>
      </c>
      <c r="CU74" s="2252" t="n">
        <v>17626</v>
      </c>
      <c r="CV74" s="2252" t="e">
        <f aca="false">NA()</f>
        <v>#N/A</v>
      </c>
      <c r="CW74" s="2252" t="e">
        <f aca="false">NA()</f>
        <v>#N/A</v>
      </c>
      <c r="CX74" s="2252" t="e">
        <f aca="false">NA()</f>
        <v>#N/A</v>
      </c>
      <c r="CY74" s="2252" t="e">
        <f aca="false">NA()</f>
        <v>#N/A</v>
      </c>
      <c r="CZ74" s="2252"/>
      <c r="DA74" s="2252"/>
      <c r="DB74" s="2252"/>
      <c r="DC74" s="2252"/>
      <c r="DD74" s="2252"/>
      <c r="DE74" s="2252"/>
      <c r="DF74" s="2252"/>
      <c r="DG74" s="2275" t="n">
        <v>508.6</v>
      </c>
      <c r="DH74" s="2275" t="n">
        <v>1616.1</v>
      </c>
      <c r="DI74" s="2275" t="n">
        <f aca="false">DG74-DH74</f>
        <v>-1107.5</v>
      </c>
      <c r="DJ74" s="2354"/>
      <c r="DK74" s="2342" t="n">
        <v>706.641</v>
      </c>
      <c r="DL74" s="2275"/>
      <c r="DM74" s="2275"/>
      <c r="DN74" s="2275"/>
      <c r="DO74" s="2275"/>
      <c r="DP74" s="2275"/>
      <c r="DQ74" s="2252"/>
      <c r="DR74" s="2252"/>
      <c r="DS74" s="2252"/>
      <c r="DT74" s="2252"/>
      <c r="DU74" s="2252"/>
      <c r="DV74" s="2252"/>
      <c r="DW74" s="2252"/>
      <c r="DX74" s="2252"/>
      <c r="DY74" s="2252"/>
      <c r="DZ74" s="2252"/>
      <c r="EA74" s="2252"/>
      <c r="EB74" s="2252"/>
      <c r="EC74" s="2252"/>
      <c r="ED74" s="2252"/>
      <c r="EE74" s="2252"/>
      <c r="EF74" s="2252"/>
      <c r="EG74" s="2275" t="n">
        <f aca="false">EH74+EI74</f>
        <v>11400.7</v>
      </c>
      <c r="EH74" s="2355" t="n">
        <v>2340.9</v>
      </c>
      <c r="EI74" s="2355" t="n">
        <v>9059.8</v>
      </c>
      <c r="EJ74" s="2275" t="n">
        <f aca="false">EK74+EL74</f>
        <v>9220.5</v>
      </c>
      <c r="EK74" s="2355" t="n">
        <v>1770.9</v>
      </c>
      <c r="EL74" s="2355" t="n">
        <v>7449.6</v>
      </c>
      <c r="EM74" s="2275" t="n">
        <f aca="false">EN74+EO74</f>
        <v>3703.6</v>
      </c>
      <c r="EN74" s="2355" t="n">
        <v>1972.2</v>
      </c>
      <c r="EO74" s="2355" t="n">
        <v>1731.4</v>
      </c>
      <c r="EP74" s="2275"/>
      <c r="EQ74" s="2275"/>
      <c r="ER74" s="2275"/>
      <c r="ES74" s="2275"/>
      <c r="ET74" s="2275" t="n">
        <v>4562</v>
      </c>
      <c r="EU74" s="2275" t="n">
        <v>4536</v>
      </c>
      <c r="EV74" s="2275" t="n">
        <f aca="false">ET74-EU74</f>
        <v>26</v>
      </c>
      <c r="EW74" s="2275" t="n">
        <v>4566.147</v>
      </c>
      <c r="EX74" s="2275" t="n">
        <v>3919.422</v>
      </c>
      <c r="EY74" s="2275" t="n">
        <v>646.726</v>
      </c>
      <c r="EZ74" s="2330"/>
      <c r="FA74" s="2305"/>
      <c r="FB74" s="2305"/>
      <c r="FC74" s="2275"/>
      <c r="FD74" s="2275"/>
      <c r="FE74" s="2275"/>
      <c r="FF74" s="2275"/>
      <c r="FG74" s="2275"/>
      <c r="FH74" s="2275"/>
      <c r="FI74" s="2275"/>
      <c r="FJ74" s="2275"/>
      <c r="FK74" s="2252"/>
      <c r="FL74" s="2252"/>
      <c r="FM74" s="2252"/>
    </row>
    <row r="75" customFormat="false" ht="12" hidden="false" customHeight="true" outlineLevel="0" collapsed="false">
      <c r="A75" s="2252" t="n">
        <v>2007</v>
      </c>
      <c r="B75" s="2252"/>
      <c r="C75" s="2252"/>
      <c r="D75" s="2252"/>
      <c r="E75" s="2252"/>
      <c r="F75" s="2252"/>
      <c r="G75" s="2252"/>
      <c r="H75" s="2252"/>
      <c r="I75" s="2252"/>
      <c r="J75" s="2252"/>
      <c r="K75" s="2252"/>
      <c r="L75" s="2252"/>
      <c r="M75" s="2252"/>
      <c r="N75" s="2252"/>
      <c r="O75" s="2252"/>
      <c r="P75" s="2252"/>
      <c r="Q75" s="2252"/>
      <c r="R75" s="2252"/>
      <c r="S75" s="2260"/>
      <c r="T75" s="2252"/>
      <c r="U75" s="2260"/>
      <c r="V75" s="2260"/>
      <c r="W75" s="2260"/>
      <c r="X75" s="2275" t="n">
        <f aca="false">Y75+AB75+AC75</f>
        <v>4471.9</v>
      </c>
      <c r="Y75" s="2275" t="n">
        <v>1058.6</v>
      </c>
      <c r="Z75" s="2275" t="n">
        <v>370.6</v>
      </c>
      <c r="AA75" s="2275" t="n">
        <v>688</v>
      </c>
      <c r="AB75" s="2275" t="n">
        <v>1193.6</v>
      </c>
      <c r="AC75" s="2275" t="n">
        <v>2219.7</v>
      </c>
      <c r="AD75" s="2351" t="n">
        <v>1546.9</v>
      </c>
      <c r="AE75" s="2275" t="n">
        <f aca="false">X75-AD75</f>
        <v>2925</v>
      </c>
      <c r="AF75" s="2349"/>
      <c r="AG75" s="2275"/>
      <c r="AH75" s="2275"/>
      <c r="AI75" s="2252"/>
      <c r="AJ75" s="2275"/>
      <c r="AK75" s="2275"/>
      <c r="AL75" s="2275" t="n">
        <f aca="false">AN75+AO75+AP75</f>
        <v>3587.9</v>
      </c>
      <c r="AM75" s="2275" t="n">
        <v>3587.88</v>
      </c>
      <c r="AN75" s="2275" t="n">
        <v>3051.2</v>
      </c>
      <c r="AO75" s="2275" t="n">
        <v>29</v>
      </c>
      <c r="AP75" s="2275" t="n">
        <f aca="false">AQ75+AR75</f>
        <v>507.7</v>
      </c>
      <c r="AQ75" s="2355" t="n">
        <v>485</v>
      </c>
      <c r="AR75" s="2355" t="n">
        <v>22.7</v>
      </c>
      <c r="AS75" s="2252"/>
      <c r="AT75" s="2252"/>
      <c r="AU75" s="2252"/>
      <c r="AV75" s="2275" t="n">
        <f aca="false">AW75+AX75+AY75</f>
        <v>2443.3</v>
      </c>
      <c r="AW75" s="2275" t="n">
        <v>350.3</v>
      </c>
      <c r="AX75" s="2275" t="n">
        <v>924.4</v>
      </c>
      <c r="AY75" s="2275" t="n">
        <f aca="false">AZ75+BA75</f>
        <v>1168.6</v>
      </c>
      <c r="AZ75" s="2355" t="n">
        <v>1047.8</v>
      </c>
      <c r="BA75" s="2355" t="n">
        <v>120.8</v>
      </c>
      <c r="BB75" s="2275"/>
      <c r="BC75" s="2275"/>
      <c r="BD75" s="2275" t="n">
        <f aca="false">BE75+BF75+BG75</f>
        <v>1005.6</v>
      </c>
      <c r="BE75" s="2275" t="n">
        <v>122</v>
      </c>
      <c r="BF75" s="2275" t="n">
        <v>29.3</v>
      </c>
      <c r="BG75" s="2275" t="n">
        <f aca="false">BH75+BI75</f>
        <v>854.3</v>
      </c>
      <c r="BH75" s="2355" t="n">
        <v>842.6</v>
      </c>
      <c r="BI75" s="2355" t="n">
        <v>11.7</v>
      </c>
      <c r="BJ75" s="2275"/>
      <c r="BK75" s="2275"/>
      <c r="BL75" s="2275" t="n">
        <v>7.87</v>
      </c>
      <c r="BM75" s="2275" t="n">
        <v>4.72</v>
      </c>
      <c r="BN75" s="2275" t="n">
        <v>0</v>
      </c>
      <c r="BO75" s="2275" t="n">
        <f aca="false">BP75+BQ75</f>
        <v>3.15</v>
      </c>
      <c r="BP75" s="2275" t="n">
        <v>3.15</v>
      </c>
      <c r="BQ75" s="2275" t="n">
        <v>0</v>
      </c>
      <c r="BR75" s="2275"/>
      <c r="BS75" s="2275"/>
      <c r="BT75" s="2275" t="n">
        <f aca="false">BU75+BV75+BW75</f>
        <v>59.77</v>
      </c>
      <c r="BU75" s="2275" t="n">
        <v>7.8</v>
      </c>
      <c r="BV75" s="2275" t="n">
        <v>4.27</v>
      </c>
      <c r="BW75" s="2275" t="n">
        <f aca="false">BX75+BY75</f>
        <v>47.7</v>
      </c>
      <c r="BX75" s="2355" t="n">
        <v>44.2</v>
      </c>
      <c r="BY75" s="2355" t="n">
        <v>3.5</v>
      </c>
      <c r="BZ75" s="2275"/>
      <c r="CA75" s="2275" t="n">
        <v>2123.1</v>
      </c>
      <c r="CB75" s="2275" t="n">
        <v>1509.5</v>
      </c>
      <c r="CC75" s="2275" t="n">
        <v>178.5</v>
      </c>
      <c r="CD75" s="2275" t="n">
        <f aca="false">CE75+CF75</f>
        <v>435.1</v>
      </c>
      <c r="CE75" s="2355" t="n">
        <v>402.9</v>
      </c>
      <c r="CF75" s="2355" t="n">
        <v>32.2</v>
      </c>
      <c r="CG75" s="2252"/>
      <c r="CH75" s="2252" t="n">
        <v>83.64</v>
      </c>
      <c r="CI75" s="2356" t="n">
        <v>134.29</v>
      </c>
      <c r="CJ75" s="2356"/>
      <c r="CK75" s="2275" t="n">
        <v>82217.837</v>
      </c>
      <c r="CL75" s="2275" t="n">
        <v>65664.272</v>
      </c>
      <c r="CM75" s="2275" t="n">
        <v>48302.804</v>
      </c>
      <c r="CN75" s="2252"/>
      <c r="CO75" s="2252" t="n">
        <v>357104</v>
      </c>
      <c r="CP75" s="2252" t="n">
        <v>24294</v>
      </c>
      <c r="CQ75" s="2252" t="e">
        <f aca="false">NA()</f>
        <v>#N/A</v>
      </c>
      <c r="CR75" s="2252" t="e">
        <f aca="false">NA()</f>
        <v>#N/A</v>
      </c>
      <c r="CS75" s="2252" t="e">
        <f aca="false">NA()</f>
        <v>#N/A</v>
      </c>
      <c r="CT75" s="2252" t="n">
        <v>3644</v>
      </c>
      <c r="CU75" s="2252" t="n">
        <v>17715</v>
      </c>
      <c r="CV75" s="2252" t="e">
        <f aca="false">NA()</f>
        <v>#N/A</v>
      </c>
      <c r="CW75" s="2252" t="e">
        <f aca="false">NA()</f>
        <v>#N/A</v>
      </c>
      <c r="CX75" s="2252" t="e">
        <f aca="false">NA()</f>
        <v>#N/A</v>
      </c>
      <c r="CY75" s="2252" t="e">
        <f aca="false">NA()</f>
        <v>#N/A</v>
      </c>
      <c r="CZ75" s="2252"/>
      <c r="DA75" s="2252"/>
      <c r="DB75" s="2252"/>
      <c r="DC75" s="2252"/>
      <c r="DD75" s="2252"/>
      <c r="DE75" s="2252"/>
      <c r="DF75" s="2252"/>
      <c r="DG75" s="2275" t="n">
        <v>558.2</v>
      </c>
      <c r="DH75" s="2275" t="n">
        <v>1594.5</v>
      </c>
      <c r="DI75" s="2275" t="n">
        <f aca="false">DG75-DH75</f>
        <v>-1036.3</v>
      </c>
      <c r="DJ75" s="2354"/>
      <c r="DK75" s="2342" t="n">
        <v>737.425</v>
      </c>
      <c r="DL75" s="2275"/>
      <c r="DM75" s="2275"/>
      <c r="DN75" s="2275"/>
      <c r="DO75" s="2275"/>
      <c r="DP75" s="2275"/>
      <c r="DQ75" s="2252"/>
      <c r="DR75" s="2252"/>
      <c r="DS75" s="2252"/>
      <c r="DT75" s="2252"/>
      <c r="DU75" s="2252"/>
      <c r="DV75" s="2252"/>
      <c r="DW75" s="2252"/>
      <c r="DX75" s="2252"/>
      <c r="DY75" s="2252"/>
      <c r="DZ75" s="2252"/>
      <c r="EA75" s="2252"/>
      <c r="EB75" s="2252"/>
      <c r="EC75" s="2252"/>
      <c r="ED75" s="2252"/>
      <c r="EE75" s="2252"/>
      <c r="EF75" s="2252"/>
      <c r="EG75" s="2275" t="n">
        <f aca="false">EH75+EI75</f>
        <v>12006.7</v>
      </c>
      <c r="EH75" s="2355" t="n">
        <v>2566.4</v>
      </c>
      <c r="EI75" s="2355" t="n">
        <v>9440.3</v>
      </c>
      <c r="EJ75" s="2275" t="n">
        <f aca="false">EK75+EL75</f>
        <v>9714.5</v>
      </c>
      <c r="EK75" s="2355" t="n">
        <v>1887.4</v>
      </c>
      <c r="EL75" s="2355" t="n">
        <v>7827.1</v>
      </c>
      <c r="EM75" s="2275" t="n">
        <f aca="false">EN75+EO75</f>
        <v>4039.7</v>
      </c>
      <c r="EN75" s="2355" t="n">
        <v>2234.4</v>
      </c>
      <c r="EO75" s="2355" t="n">
        <v>1805.3</v>
      </c>
      <c r="EP75" s="2275"/>
      <c r="EQ75" s="2275"/>
      <c r="ER75" s="2275"/>
      <c r="ES75" s="2275"/>
      <c r="ET75" s="2275" t="n">
        <v>4905</v>
      </c>
      <c r="EU75" s="2275" t="n">
        <v>4981</v>
      </c>
      <c r="EV75" s="2275" t="n">
        <f aca="false">ET75-EU75</f>
        <v>-76</v>
      </c>
      <c r="EW75" s="2275" t="n">
        <v>5018.122</v>
      </c>
      <c r="EX75" s="2275" t="n">
        <v>4374.6</v>
      </c>
      <c r="EY75" s="2275" t="n">
        <v>643.522</v>
      </c>
      <c r="EZ75" s="2330"/>
      <c r="FA75" s="2305"/>
      <c r="FB75" s="2305"/>
      <c r="FC75" s="2275"/>
      <c r="FD75" s="2275"/>
      <c r="FE75" s="2275"/>
      <c r="FF75" s="2275"/>
      <c r="FG75" s="2275"/>
      <c r="FH75" s="2275"/>
      <c r="FI75" s="2275"/>
      <c r="FJ75" s="2275"/>
      <c r="FK75" s="2252"/>
      <c r="FL75" s="2252"/>
      <c r="FM75" s="2252"/>
    </row>
    <row r="76" customFormat="false" ht="12" hidden="false" customHeight="true" outlineLevel="0" collapsed="false">
      <c r="A76" s="2252" t="n">
        <v>2008</v>
      </c>
      <c r="B76" s="2252"/>
      <c r="C76" s="2252"/>
      <c r="D76" s="2252"/>
      <c r="E76" s="2252"/>
      <c r="F76" s="2252"/>
      <c r="G76" s="2252"/>
      <c r="H76" s="2252"/>
      <c r="I76" s="2252"/>
      <c r="J76" s="2252"/>
      <c r="K76" s="2252"/>
      <c r="L76" s="2252"/>
      <c r="M76" s="2252"/>
      <c r="N76" s="2252"/>
      <c r="O76" s="2252"/>
      <c r="P76" s="2252"/>
      <c r="Q76" s="2252"/>
      <c r="R76" s="2252"/>
      <c r="S76" s="2260"/>
      <c r="T76" s="2252"/>
      <c r="U76" s="2260"/>
      <c r="V76" s="2260"/>
      <c r="W76" s="2260"/>
      <c r="X76" s="2275" t="n">
        <f aca="false">Y76+AB76+AC76</f>
        <v>4304.6</v>
      </c>
      <c r="Y76" s="2275" t="n">
        <v>777.1</v>
      </c>
      <c r="Z76" s="2275" t="n">
        <v>181.9</v>
      </c>
      <c r="AA76" s="2275" t="n">
        <v>595.2</v>
      </c>
      <c r="AB76" s="2275" t="n">
        <v>1216.6</v>
      </c>
      <c r="AC76" s="2275" t="n">
        <v>2310.9</v>
      </c>
      <c r="AD76" s="2351" t="n">
        <v>1532.3</v>
      </c>
      <c r="AE76" s="2275" t="n">
        <f aca="false">X76-AD76</f>
        <v>2772.3</v>
      </c>
      <c r="AF76" s="2349"/>
      <c r="AG76" s="2275"/>
      <c r="AH76" s="2275"/>
      <c r="AI76" s="2252"/>
      <c r="AJ76" s="2275"/>
      <c r="AK76" s="2275"/>
      <c r="AL76" s="2275" t="n">
        <f aca="false">AN76+AO76+AP76</f>
        <v>3845.4</v>
      </c>
      <c r="AM76" s="2275" t="n">
        <v>3845.32</v>
      </c>
      <c r="AN76" s="2275" t="n">
        <v>3278.2</v>
      </c>
      <c r="AO76" s="2275" t="n">
        <v>30.5</v>
      </c>
      <c r="AP76" s="2275" t="n">
        <f aca="false">AQ76+AR76</f>
        <v>536.7</v>
      </c>
      <c r="AQ76" s="2355" t="n">
        <v>512.6</v>
      </c>
      <c r="AR76" s="2355" t="n">
        <v>24.1</v>
      </c>
      <c r="AS76" s="2252"/>
      <c r="AT76" s="2252"/>
      <c r="AU76" s="2252"/>
      <c r="AV76" s="2275" t="n">
        <f aca="false">AW76+AX76+AY76</f>
        <v>2586.1</v>
      </c>
      <c r="AW76" s="2275" t="n">
        <v>371.4</v>
      </c>
      <c r="AX76" s="2275" t="n">
        <v>975.7</v>
      </c>
      <c r="AY76" s="2275" t="n">
        <f aca="false">AZ76+BA76</f>
        <v>1239</v>
      </c>
      <c r="AZ76" s="2355" t="n">
        <v>1115.6</v>
      </c>
      <c r="BA76" s="2355" t="n">
        <v>123.4</v>
      </c>
      <c r="BB76" s="2275"/>
      <c r="BC76" s="2275"/>
      <c r="BD76" s="2275" t="n">
        <f aca="false">BE76+BF76+BG76</f>
        <v>1051.2</v>
      </c>
      <c r="BE76" s="2275" t="n">
        <v>126.5</v>
      </c>
      <c r="BF76" s="2275" t="n">
        <v>28.5</v>
      </c>
      <c r="BG76" s="2275" t="n">
        <f aca="false">BH76+BI76</f>
        <v>896.2</v>
      </c>
      <c r="BH76" s="2355" t="n">
        <v>885.5</v>
      </c>
      <c r="BI76" s="2355" t="n">
        <v>10.7</v>
      </c>
      <c r="BJ76" s="2275"/>
      <c r="BK76" s="2275"/>
      <c r="BL76" s="2275" t="n">
        <v>7.5</v>
      </c>
      <c r="BM76" s="2275" t="n">
        <v>4.5</v>
      </c>
      <c r="BN76" s="2275" t="n">
        <v>0</v>
      </c>
      <c r="BO76" s="2275" t="n">
        <f aca="false">BP76+BQ76</f>
        <v>3</v>
      </c>
      <c r="BP76" s="2275" t="n">
        <v>3</v>
      </c>
      <c r="BQ76" s="2275" t="n">
        <v>0</v>
      </c>
      <c r="BR76" s="2275"/>
      <c r="BS76" s="2275"/>
      <c r="BT76" s="2275" t="n">
        <f aca="false">BU76+BV76+BW76</f>
        <v>61.61</v>
      </c>
      <c r="BU76" s="2275" t="n">
        <v>7.9</v>
      </c>
      <c r="BV76" s="2275" t="n">
        <v>4.41</v>
      </c>
      <c r="BW76" s="2275" t="n">
        <f aca="false">BX76+BY76</f>
        <v>49.3</v>
      </c>
      <c r="BX76" s="2355" t="n">
        <v>45.6</v>
      </c>
      <c r="BY76" s="2355" t="n">
        <v>3.7</v>
      </c>
      <c r="BZ76" s="2275"/>
      <c r="CA76" s="2275" t="n">
        <v>2184.1</v>
      </c>
      <c r="CB76" s="2275" t="n">
        <v>1553</v>
      </c>
      <c r="CC76" s="2275" t="n">
        <v>183.7</v>
      </c>
      <c r="CD76" s="2275" t="n">
        <f aca="false">CE76+CF76</f>
        <v>447.7</v>
      </c>
      <c r="CE76" s="2355" t="n">
        <v>414.5</v>
      </c>
      <c r="CF76" s="2355" t="n">
        <v>33.2</v>
      </c>
      <c r="CG76" s="2252"/>
      <c r="CH76" s="2252" t="n">
        <v>80.38</v>
      </c>
      <c r="CI76" s="2356" t="n">
        <v>126.58</v>
      </c>
      <c r="CJ76" s="2356"/>
      <c r="CK76" s="2275" t="n">
        <v>82002.356</v>
      </c>
      <c r="CL76" s="2275" t="n">
        <v>65541.396</v>
      </c>
      <c r="CM76" s="2275"/>
      <c r="CN76" s="2252"/>
      <c r="CO76" s="2252" t="n">
        <v>357111</v>
      </c>
      <c r="CP76" s="2252" t="n">
        <v>24416</v>
      </c>
      <c r="CQ76" s="2252" t="n">
        <v>11732</v>
      </c>
      <c r="CR76" s="2252" t="n">
        <v>3229</v>
      </c>
      <c r="CS76" s="2252" t="n">
        <v>2456</v>
      </c>
      <c r="CT76" s="2252" t="n">
        <v>3787</v>
      </c>
      <c r="CU76" s="2252" t="n">
        <v>17790</v>
      </c>
      <c r="CV76" s="2252" t="n">
        <v>187646</v>
      </c>
      <c r="CW76" s="2252" t="n">
        <v>107349</v>
      </c>
      <c r="CX76" s="2252" t="n">
        <v>8482</v>
      </c>
      <c r="CY76" s="2252" t="n">
        <v>5185</v>
      </c>
      <c r="CZ76" s="2252"/>
      <c r="DA76" s="2252"/>
      <c r="DB76" s="2252"/>
      <c r="DC76" s="2252"/>
      <c r="DD76" s="2252"/>
      <c r="DE76" s="2252"/>
      <c r="DF76" s="2252"/>
      <c r="DG76" s="2275" t="n">
        <v>618.4</v>
      </c>
      <c r="DH76" s="2275" t="n">
        <v>1723.4</v>
      </c>
      <c r="DI76" s="2275" t="n">
        <f aca="false">DG76-DH76</f>
        <v>-1105</v>
      </c>
      <c r="DJ76" s="2354"/>
      <c r="DK76" s="2342" t="n">
        <v>857.983</v>
      </c>
      <c r="DL76" s="2275"/>
      <c r="DM76" s="2275"/>
      <c r="DN76" s="2275"/>
      <c r="DO76" s="2275"/>
      <c r="DP76" s="2275"/>
      <c r="DQ76" s="2252"/>
      <c r="DR76" s="2252"/>
      <c r="DS76" s="2252"/>
      <c r="DT76" s="2252"/>
      <c r="DU76" s="2252"/>
      <c r="DV76" s="2252"/>
      <c r="DW76" s="2252"/>
      <c r="DX76" s="2252"/>
      <c r="DY76" s="2252"/>
      <c r="DZ76" s="2252"/>
      <c r="EA76" s="2252"/>
      <c r="EB76" s="2252"/>
      <c r="EC76" s="2252"/>
      <c r="ED76" s="2252"/>
      <c r="EE76" s="2252"/>
      <c r="EF76" s="2252"/>
      <c r="EG76" s="2275" t="n">
        <f aca="false">EH76+EI76</f>
        <v>12047.1</v>
      </c>
      <c r="EH76" s="2355" t="n">
        <v>2411.3</v>
      </c>
      <c r="EI76" s="2355" t="n">
        <v>9635.8</v>
      </c>
      <c r="EJ76" s="2275" t="n">
        <f aca="false">EK76+EL76</f>
        <v>10288.7</v>
      </c>
      <c r="EK76" s="2355" t="n">
        <v>1986.1</v>
      </c>
      <c r="EL76" s="2355" t="n">
        <v>8302.6</v>
      </c>
      <c r="EM76" s="2275" t="n">
        <f aca="false">EN76+EO76</f>
        <v>3012.9</v>
      </c>
      <c r="EN76" s="2355" t="n">
        <v>1655.4</v>
      </c>
      <c r="EO76" s="2355" t="n">
        <v>1357.5</v>
      </c>
      <c r="EP76" s="2275"/>
      <c r="EQ76" s="2275"/>
      <c r="ER76" s="2275"/>
      <c r="ES76" s="2275"/>
      <c r="ET76" s="2275" t="n">
        <v>4503</v>
      </c>
      <c r="EU76" s="2275" t="n">
        <v>4848</v>
      </c>
      <c r="EV76" s="2275" t="n">
        <f aca="false">ET76-EU76</f>
        <v>-345</v>
      </c>
      <c r="EW76" s="2275" t="n">
        <v>4911.898</v>
      </c>
      <c r="EX76" s="2275" t="n">
        <v>4282.382</v>
      </c>
      <c r="EY76" s="2275" t="n">
        <v>629.517</v>
      </c>
      <c r="EZ76" s="2330"/>
      <c r="FA76" s="2305"/>
      <c r="FB76" s="2305"/>
      <c r="FC76" s="2275"/>
      <c r="FD76" s="2275"/>
      <c r="FE76" s="2275"/>
      <c r="FF76" s="2275"/>
      <c r="FG76" s="2275"/>
      <c r="FH76" s="2275"/>
      <c r="FI76" s="2275"/>
      <c r="FJ76" s="2275"/>
      <c r="FK76" s="2252"/>
      <c r="FL76" s="2252"/>
      <c r="FM76" s="2252"/>
    </row>
    <row r="77" customFormat="false" ht="12" hidden="false" customHeight="true" outlineLevel="0" collapsed="false">
      <c r="A77" s="2252" t="n">
        <v>2009</v>
      </c>
      <c r="B77" s="2252"/>
      <c r="C77" s="2252"/>
      <c r="D77" s="2252"/>
      <c r="E77" s="2252"/>
      <c r="F77" s="2252"/>
      <c r="G77" s="2252"/>
      <c r="H77" s="2252"/>
      <c r="I77" s="2252"/>
      <c r="J77" s="2252"/>
      <c r="K77" s="2252"/>
      <c r="L77" s="2252"/>
      <c r="M77" s="2252"/>
      <c r="N77" s="2252"/>
      <c r="O77" s="2252"/>
      <c r="P77" s="2252"/>
      <c r="Q77" s="2252"/>
      <c r="R77" s="2252"/>
      <c r="S77" s="2260"/>
      <c r="T77" s="2252"/>
      <c r="U77" s="2260"/>
      <c r="V77" s="2260"/>
      <c r="W77" s="2260"/>
      <c r="X77" s="2275" t="n">
        <f aca="false">Y77+AB77+AC77</f>
        <v>4475.5</v>
      </c>
      <c r="Y77" s="2275" t="n">
        <v>820.4</v>
      </c>
      <c r="Z77" s="2275" t="n">
        <v>201.7</v>
      </c>
      <c r="AA77" s="2275" t="n">
        <v>618.7</v>
      </c>
      <c r="AB77" s="2275" t="n">
        <v>1286.4</v>
      </c>
      <c r="AC77" s="2275" t="n">
        <v>2368.7</v>
      </c>
      <c r="AD77" s="2351" t="n">
        <v>1529.7</v>
      </c>
      <c r="AE77" s="2275" t="n">
        <f aca="false">X77-AD77</f>
        <v>2945.8</v>
      </c>
      <c r="AF77" s="2349"/>
      <c r="AG77" s="2275"/>
      <c r="AH77" s="2275"/>
      <c r="AI77" s="2252"/>
      <c r="AJ77" s="2275"/>
      <c r="AK77" s="2275"/>
      <c r="AL77" s="2275" t="n">
        <f aca="false">AN77+AO77+AP77</f>
        <v>4004.6</v>
      </c>
      <c r="AM77" s="2275" t="n">
        <v>4004.56</v>
      </c>
      <c r="AN77" s="2275" t="n">
        <v>3420.2</v>
      </c>
      <c r="AO77" s="2275" t="n">
        <v>31.4</v>
      </c>
      <c r="AP77" s="2275" t="n">
        <f aca="false">AQ77+AR77</f>
        <v>553</v>
      </c>
      <c r="AQ77" s="2355" t="n">
        <v>528</v>
      </c>
      <c r="AR77" s="2355" t="n">
        <v>25</v>
      </c>
      <c r="AS77" s="2252"/>
      <c r="AT77" s="2252"/>
      <c r="AU77" s="2252"/>
      <c r="AV77" s="2275" t="n">
        <f aca="false">AW77+AX77+AY77</f>
        <v>2690.9</v>
      </c>
      <c r="AW77" s="2275" t="n">
        <v>385.5</v>
      </c>
      <c r="AX77" s="2275" t="n">
        <v>1010.8</v>
      </c>
      <c r="AY77" s="2275" t="n">
        <f aca="false">AZ77+BA77</f>
        <v>1294.6</v>
      </c>
      <c r="AZ77" s="2355" t="n">
        <v>1168.8</v>
      </c>
      <c r="BA77" s="2355" t="n">
        <v>125.8</v>
      </c>
      <c r="BB77" s="2275"/>
      <c r="BC77" s="2275"/>
      <c r="BD77" s="2275" t="n">
        <f aca="false">BE77+BF77+BG77</f>
        <v>1096.9</v>
      </c>
      <c r="BE77" s="2275" t="n">
        <v>130.7</v>
      </c>
      <c r="BF77" s="2275" t="n">
        <v>28.7</v>
      </c>
      <c r="BG77" s="2275" t="n">
        <f aca="false">BH77+BI77</f>
        <v>937.5</v>
      </c>
      <c r="BH77" s="2355" t="n">
        <v>927.4</v>
      </c>
      <c r="BI77" s="2355" t="n">
        <v>10.1</v>
      </c>
      <c r="BJ77" s="2275"/>
      <c r="BK77" s="2275"/>
      <c r="BL77" s="2275" t="n">
        <v>8.31</v>
      </c>
      <c r="BM77" s="2275" t="n">
        <v>4.99</v>
      </c>
      <c r="BN77" s="2275" t="n">
        <v>0</v>
      </c>
      <c r="BO77" s="2275" t="n">
        <f aca="false">BP77+BQ77</f>
        <v>3.32</v>
      </c>
      <c r="BP77" s="2275" t="n">
        <v>3.32</v>
      </c>
      <c r="BQ77" s="2275" t="n">
        <v>0</v>
      </c>
      <c r="BR77" s="2275"/>
      <c r="BS77" s="2275"/>
      <c r="BT77" s="2275" t="n">
        <f aca="false">BU77+BV77+BW77</f>
        <v>64.17</v>
      </c>
      <c r="BU77" s="2275" t="n">
        <v>8.1</v>
      </c>
      <c r="BV77" s="2275" t="n">
        <v>4.47</v>
      </c>
      <c r="BW77" s="2275" t="n">
        <f aca="false">BX77+BY77</f>
        <v>51.6</v>
      </c>
      <c r="BX77" s="2355" t="n">
        <v>47.9</v>
      </c>
      <c r="BY77" s="2355" t="n">
        <v>3.7</v>
      </c>
      <c r="BZ77" s="2275"/>
      <c r="CA77" s="2275" t="n">
        <v>2248.8</v>
      </c>
      <c r="CB77" s="2275" t="n">
        <v>1598.9</v>
      </c>
      <c r="CC77" s="2275" t="n">
        <v>189.1</v>
      </c>
      <c r="CD77" s="2275" t="n">
        <f aca="false">CE77+CF77</f>
        <v>460.8</v>
      </c>
      <c r="CE77" s="2355" t="n">
        <v>426.7</v>
      </c>
      <c r="CF77" s="2355" t="n">
        <v>34.1</v>
      </c>
      <c r="CG77" s="2252"/>
      <c r="CH77" s="2252" t="n">
        <v>81.78</v>
      </c>
      <c r="CI77" s="2356" t="n">
        <v>122.05</v>
      </c>
      <c r="CJ77" s="2356"/>
      <c r="CK77" s="2275" t="n">
        <v>81802.3</v>
      </c>
      <c r="CL77" s="2275" t="n">
        <v>65422</v>
      </c>
      <c r="CM77" s="2275"/>
      <c r="CN77" s="2252"/>
      <c r="CO77" s="2252" t="n">
        <v>357125</v>
      </c>
      <c r="CP77" s="2252" t="n">
        <v>24512</v>
      </c>
      <c r="CQ77" s="2252" t="n">
        <v>11853</v>
      </c>
      <c r="CR77" s="2252" t="n">
        <v>3257</v>
      </c>
      <c r="CS77" s="2252" t="n">
        <v>2449</v>
      </c>
      <c r="CT77" s="2252" t="n">
        <v>3905</v>
      </c>
      <c r="CU77" s="2252" t="n">
        <v>17856</v>
      </c>
      <c r="CV77" s="2252" t="n">
        <v>187291</v>
      </c>
      <c r="CW77" s="2252" t="n">
        <v>107534</v>
      </c>
      <c r="CX77" s="2252" t="n">
        <v>8513</v>
      </c>
      <c r="CY77" s="2252" t="n">
        <v>5066</v>
      </c>
      <c r="CZ77" s="2252"/>
      <c r="DA77" s="2252"/>
      <c r="DB77" s="2252"/>
      <c r="DC77" s="2252"/>
      <c r="DD77" s="2252"/>
      <c r="DE77" s="2252"/>
      <c r="DF77" s="2252"/>
      <c r="DG77" s="2275" t="n">
        <v>665.8</v>
      </c>
      <c r="DH77" s="2275" t="n">
        <v>1836.7</v>
      </c>
      <c r="DI77" s="2275" t="n">
        <f aca="false">DG77-DH77</f>
        <v>-1170.9</v>
      </c>
      <c r="DJ77" s="2354"/>
      <c r="DK77" s="2342" t="n">
        <v>916.522</v>
      </c>
      <c r="DL77" s="2275"/>
      <c r="DM77" s="2275"/>
      <c r="DN77" s="2275"/>
      <c r="DO77" s="2275"/>
      <c r="DP77" s="2275"/>
      <c r="DQ77" s="2252"/>
      <c r="DR77" s="2252"/>
      <c r="DS77" s="2252"/>
      <c r="DT77" s="2252"/>
      <c r="DU77" s="2252"/>
      <c r="DV77" s="2252"/>
      <c r="DW77" s="2252"/>
      <c r="DX77" s="2252"/>
      <c r="DY77" s="2252"/>
      <c r="DZ77" s="2252"/>
      <c r="EA77" s="2252"/>
      <c r="EB77" s="2252"/>
      <c r="EC77" s="2252"/>
      <c r="ED77" s="2252"/>
      <c r="EE77" s="2252"/>
      <c r="EF77" s="2252"/>
      <c r="EG77" s="2275" t="n">
        <f aca="false">EH77+EI77</f>
        <v>12247</v>
      </c>
      <c r="EH77" s="2355" t="n">
        <v>2475.1</v>
      </c>
      <c r="EI77" s="2355" t="n">
        <v>9771.9</v>
      </c>
      <c r="EJ77" s="2275" t="n">
        <f aca="false">EK77+EL77</f>
        <v>10257.5</v>
      </c>
      <c r="EK77" s="2355" t="n">
        <v>1938.7</v>
      </c>
      <c r="EL77" s="2355" t="n">
        <v>8318.8</v>
      </c>
      <c r="EM77" s="2275" t="n">
        <f aca="false">EN77+EO77</f>
        <v>3314.9</v>
      </c>
      <c r="EN77" s="2355" t="n">
        <v>1783.6</v>
      </c>
      <c r="EO77" s="2355" t="n">
        <v>1531.3</v>
      </c>
      <c r="EP77" s="2275"/>
      <c r="EQ77" s="2275"/>
      <c r="ER77" s="2275"/>
      <c r="ES77" s="2275"/>
      <c r="ET77" s="2275" t="n">
        <v>4664</v>
      </c>
      <c r="EU77" s="2275" t="n">
        <v>5024</v>
      </c>
      <c r="EV77" s="2275" t="n">
        <f aca="false">ET77-EU77</f>
        <v>-360</v>
      </c>
      <c r="EW77" s="2275" t="n">
        <v>5046.526</v>
      </c>
      <c r="EX77" s="2275" t="n">
        <v>4244.004</v>
      </c>
      <c r="EY77" s="2275" t="n">
        <v>802.522</v>
      </c>
      <c r="EZ77" s="2330"/>
      <c r="FA77" s="2305"/>
      <c r="FB77" s="2305"/>
      <c r="FC77" s="2275"/>
      <c r="FD77" s="2275"/>
      <c r="FE77" s="2275"/>
      <c r="FF77" s="2275"/>
      <c r="FG77" s="2275"/>
      <c r="FH77" s="2275"/>
      <c r="FI77" s="2275"/>
      <c r="FJ77" s="2275"/>
      <c r="FK77" s="2252"/>
      <c r="FL77" s="2252"/>
      <c r="FM77" s="2252"/>
    </row>
    <row r="78" customFormat="false" ht="12" hidden="false" customHeight="true" outlineLevel="0" collapsed="false">
      <c r="A78" s="2252" t="n">
        <v>2010</v>
      </c>
      <c r="B78" s="2252"/>
      <c r="C78" s="2252"/>
      <c r="D78" s="2252"/>
      <c r="E78" s="2252"/>
      <c r="F78" s="2252"/>
      <c r="G78" s="2252"/>
      <c r="H78" s="2252"/>
      <c r="I78" s="2252"/>
      <c r="J78" s="2252"/>
      <c r="K78" s="2252"/>
      <c r="L78" s="2252"/>
      <c r="M78" s="2252"/>
      <c r="N78" s="2252"/>
      <c r="O78" s="2252"/>
      <c r="P78" s="2252"/>
      <c r="Q78" s="2252"/>
      <c r="R78" s="2252"/>
      <c r="S78" s="2260"/>
      <c r="T78" s="2252"/>
      <c r="U78" s="2260"/>
      <c r="V78" s="2260"/>
      <c r="W78" s="2260"/>
      <c r="X78" s="2275" t="n">
        <f aca="false">Y78+AB78+AC78</f>
        <v>4650.3</v>
      </c>
      <c r="Y78" s="2275" t="n">
        <v>861.2</v>
      </c>
      <c r="Z78" s="2275" t="n">
        <v>243.5</v>
      </c>
      <c r="AA78" s="2275" t="n">
        <v>617.7</v>
      </c>
      <c r="AB78" s="2275" t="n">
        <v>1350.9</v>
      </c>
      <c r="AC78" s="2275" t="n">
        <v>2438.2</v>
      </c>
      <c r="AD78" s="2351" t="n">
        <v>1534.6</v>
      </c>
      <c r="AE78" s="2275" t="n">
        <f aca="false">X78-AD78</f>
        <v>3115.7</v>
      </c>
      <c r="AF78" s="2349"/>
      <c r="AG78" s="2275"/>
      <c r="AH78" s="2275"/>
      <c r="AI78" s="2252"/>
      <c r="AJ78" s="2275"/>
      <c r="AK78" s="2275"/>
      <c r="AL78" s="2275" t="n">
        <f aca="false">AN78+AO78+AP78</f>
        <v>4084.9</v>
      </c>
      <c r="AM78" s="2275" t="n">
        <v>4085.38</v>
      </c>
      <c r="AN78" s="2275" t="n">
        <v>3494.3</v>
      </c>
      <c r="AO78" s="2275" t="n">
        <v>31.7</v>
      </c>
      <c r="AP78" s="2275" t="n">
        <f aca="false">AQ78+AR78</f>
        <v>558.9</v>
      </c>
      <c r="AQ78" s="2355" t="n">
        <v>533.5</v>
      </c>
      <c r="AR78" s="2355" t="n">
        <v>25.4</v>
      </c>
      <c r="AS78" s="2252"/>
      <c r="AT78" s="2252"/>
      <c r="AU78" s="2252"/>
      <c r="AV78" s="2275" t="n">
        <f aca="false">AW78+AX78+AY78</f>
        <v>2729.8</v>
      </c>
      <c r="AW78" s="2275" t="n">
        <v>389.5</v>
      </c>
      <c r="AX78" s="2275" t="n">
        <v>1023.1</v>
      </c>
      <c r="AY78" s="2275" t="n">
        <f aca="false">AZ78+BA78</f>
        <v>1317.2</v>
      </c>
      <c r="AZ78" s="2275" t="n">
        <v>1191.1</v>
      </c>
      <c r="BA78" s="2275" t="n">
        <v>126.1</v>
      </c>
      <c r="BB78" s="2275"/>
      <c r="BC78" s="2275"/>
      <c r="BD78" s="2275" t="n">
        <f aca="false">BE78+BF78+BG78</f>
        <v>1091.6</v>
      </c>
      <c r="BE78" s="2275" t="n">
        <v>129.1</v>
      </c>
      <c r="BF78" s="2275" t="n">
        <v>30.4</v>
      </c>
      <c r="BG78" s="2275" t="n">
        <f aca="false">BH78+BI78</f>
        <v>932.1</v>
      </c>
      <c r="BH78" s="2275" t="n">
        <v>921.7</v>
      </c>
      <c r="BI78" s="2275" t="n">
        <v>10.4</v>
      </c>
      <c r="BJ78" s="2275"/>
      <c r="BK78" s="2275"/>
      <c r="BL78" s="2275" t="n">
        <v>8.17</v>
      </c>
      <c r="BM78" s="2352" t="n">
        <f aca="false">BM77</f>
        <v>4.99</v>
      </c>
      <c r="BN78" s="2275" t="n">
        <v>0</v>
      </c>
      <c r="BO78" s="2275" t="n">
        <f aca="false">BP78+BQ78</f>
        <v>3.32</v>
      </c>
      <c r="BP78" s="2352" t="n">
        <f aca="false">BP77</f>
        <v>3.32</v>
      </c>
      <c r="BQ78" s="2352" t="n">
        <f aca="false">BQ77</f>
        <v>0</v>
      </c>
      <c r="BR78" s="2275"/>
      <c r="BS78" s="2275"/>
      <c r="BT78" s="2275" t="n">
        <f aca="false">BU78+BV78+BW78</f>
        <v>66.2</v>
      </c>
      <c r="BU78" s="2275" t="n">
        <v>8.1</v>
      </c>
      <c r="BV78" s="2275" t="n">
        <v>4.6</v>
      </c>
      <c r="BW78" s="2275" t="n">
        <f aca="false">BX78+BY78</f>
        <v>53.5</v>
      </c>
      <c r="BX78" s="2275" t="n">
        <v>49.8</v>
      </c>
      <c r="BY78" s="2275" t="n">
        <v>3.7</v>
      </c>
      <c r="BZ78" s="2275"/>
      <c r="CA78" s="2275" t="n">
        <v>2323.4</v>
      </c>
      <c r="CB78" s="2275" t="n">
        <v>1652</v>
      </c>
      <c r="CC78" s="2275" t="n">
        <v>195.4</v>
      </c>
      <c r="CD78" s="2275" t="n">
        <f aca="false">CE78+CF78</f>
        <v>476.2</v>
      </c>
      <c r="CE78" s="2355" t="n">
        <v>440.9</v>
      </c>
      <c r="CF78" s="2355" t="n">
        <v>35.3</v>
      </c>
      <c r="CG78" s="2252"/>
      <c r="CH78" s="2252" t="n">
        <v>90.76</v>
      </c>
      <c r="CI78" s="2356" t="n">
        <v>129.67</v>
      </c>
      <c r="CJ78" s="2356"/>
      <c r="CK78" s="2275" t="n">
        <v>81751.602</v>
      </c>
      <c r="CL78" s="2275" t="n">
        <v>65425.769</v>
      </c>
      <c r="CM78" s="2275"/>
      <c r="CN78" s="2252"/>
      <c r="CO78" s="2252" t="n">
        <v>357127</v>
      </c>
      <c r="CP78" s="2252" t="n">
        <v>24589</v>
      </c>
      <c r="CQ78" s="2252" t="n">
        <v>12060</v>
      </c>
      <c r="CR78" s="2252" t="n">
        <v>3260</v>
      </c>
      <c r="CS78" s="2252" t="n">
        <v>2459</v>
      </c>
      <c r="CT78" s="2252" t="n">
        <v>3985</v>
      </c>
      <c r="CU78" s="2252" t="n">
        <v>17931</v>
      </c>
      <c r="CV78" s="2252" t="n">
        <v>186934</v>
      </c>
      <c r="CW78" s="2252" t="n">
        <v>107664</v>
      </c>
      <c r="CX78" s="2252" t="n">
        <v>8557</v>
      </c>
      <c r="CY78" s="2252" t="n">
        <v>5008</v>
      </c>
      <c r="CZ78" s="2252"/>
      <c r="DA78" s="2252"/>
      <c r="DB78" s="2252"/>
      <c r="DC78" s="2252"/>
      <c r="DD78" s="2252"/>
      <c r="DE78" s="2252"/>
      <c r="DF78" s="2252"/>
      <c r="DG78" s="2252" t="n">
        <v>898.2</v>
      </c>
      <c r="DH78" s="2252" t="n">
        <v>2146.6</v>
      </c>
      <c r="DI78" s="2275" t="n">
        <f aca="false">DG78-DH78</f>
        <v>-1248.4</v>
      </c>
      <c r="DJ78" s="2354"/>
      <c r="DK78" s="2342" t="n">
        <v>1089.788</v>
      </c>
      <c r="DL78" s="2252"/>
      <c r="DM78" s="2252"/>
      <c r="DN78" s="2252"/>
      <c r="DO78" s="2252"/>
      <c r="DP78" s="2252"/>
      <c r="DQ78" s="2252"/>
      <c r="DR78" s="2252"/>
      <c r="DS78" s="2252"/>
      <c r="DT78" s="2252"/>
      <c r="DU78" s="2252"/>
      <c r="DV78" s="2252"/>
      <c r="DW78" s="2252"/>
      <c r="DX78" s="2252"/>
      <c r="DY78" s="2252"/>
      <c r="DZ78" s="2252"/>
      <c r="EA78" s="2252"/>
      <c r="EB78" s="2252"/>
      <c r="EC78" s="2252"/>
      <c r="ED78" s="2252"/>
      <c r="EE78" s="2252"/>
      <c r="EF78" s="2252"/>
      <c r="EG78" s="2275" t="n">
        <f aca="false">EH78+EI78</f>
        <v>12474.9</v>
      </c>
      <c r="EH78" s="2355" t="n">
        <v>2409.4</v>
      </c>
      <c r="EI78" s="2355" t="n">
        <v>10065.5</v>
      </c>
      <c r="EJ78" s="2275" t="n">
        <f aca="false">EK78+EL78</f>
        <v>10217.8</v>
      </c>
      <c r="EK78" s="2355" t="n">
        <v>1881.6</v>
      </c>
      <c r="EL78" s="2355" t="n">
        <v>8336.2</v>
      </c>
      <c r="EM78" s="2275" t="n">
        <f aca="false">EN78+EO78</f>
        <v>3635.6</v>
      </c>
      <c r="EN78" s="2275" t="n">
        <v>2009.8</v>
      </c>
      <c r="EO78" s="2275" t="n">
        <v>1625.8</v>
      </c>
      <c r="EP78" s="2275"/>
      <c r="EQ78" s="2275"/>
      <c r="ER78" s="2275"/>
      <c r="ES78" s="2275"/>
      <c r="ET78" s="2275" t="n">
        <v>5274</v>
      </c>
      <c r="EU78" s="2275" t="n">
        <v>5655</v>
      </c>
      <c r="EV78" s="2275" t="n">
        <f aca="false">ET78-EU78</f>
        <v>-381</v>
      </c>
      <c r="EW78" s="2275" t="n">
        <v>6308.368</v>
      </c>
      <c r="EX78" s="2275" t="n">
        <v>5437.488</v>
      </c>
      <c r="EY78" s="2275" t="n">
        <v>870.879</v>
      </c>
      <c r="EZ78" s="2330"/>
      <c r="FA78" s="2305"/>
      <c r="FB78" s="2305"/>
      <c r="FC78" s="2275"/>
      <c r="FD78" s="2275"/>
      <c r="FE78" s="2275"/>
      <c r="FF78" s="2275"/>
      <c r="FG78" s="2275"/>
      <c r="FH78" s="2275"/>
      <c r="FI78" s="2275"/>
      <c r="FJ78" s="2275"/>
      <c r="FK78" s="2252"/>
      <c r="FL78" s="2252"/>
      <c r="FM78" s="2252"/>
    </row>
    <row r="79" customFormat="false" ht="12" hidden="false" customHeight="true" outlineLevel="0" collapsed="false">
      <c r="A79" s="2252" t="n">
        <v>2011</v>
      </c>
      <c r="B79" s="2252"/>
      <c r="C79" s="2252"/>
      <c r="D79" s="2252"/>
      <c r="E79" s="2252"/>
      <c r="F79" s="2252"/>
      <c r="G79" s="2252"/>
      <c r="H79" s="2252"/>
      <c r="I79" s="2252"/>
      <c r="J79" s="2252"/>
      <c r="K79" s="2252"/>
      <c r="L79" s="2252"/>
      <c r="M79" s="2252"/>
      <c r="N79" s="2252"/>
      <c r="O79" s="2252"/>
      <c r="P79" s="2252"/>
      <c r="Q79" s="2252"/>
      <c r="R79" s="2252"/>
      <c r="S79" s="2260"/>
      <c r="T79" s="2252"/>
      <c r="U79" s="2260"/>
      <c r="V79" s="2260"/>
      <c r="W79" s="2260"/>
      <c r="X79" s="2275" t="n">
        <f aca="false">Y79+AB79+AC79</f>
        <v>4710.7</v>
      </c>
      <c r="Y79" s="2275" t="n">
        <v>804.9</v>
      </c>
      <c r="Z79" s="2275" t="n">
        <v>221.5</v>
      </c>
      <c r="AA79" s="2275" t="n">
        <v>583.4</v>
      </c>
      <c r="AB79" s="2275" t="n">
        <v>1396.8</v>
      </c>
      <c r="AC79" s="2275" t="n">
        <v>2509</v>
      </c>
      <c r="AD79" s="2351" t="n">
        <v>1549.6</v>
      </c>
      <c r="AE79" s="2275" t="n">
        <f aca="false">X79-AD79</f>
        <v>3161.1</v>
      </c>
      <c r="AF79" s="2252"/>
      <c r="AG79" s="2275"/>
      <c r="AH79" s="2275"/>
      <c r="AI79" s="2252"/>
      <c r="AJ79" s="2275"/>
      <c r="AK79" s="2275"/>
      <c r="AL79" s="2275" t="n">
        <f aca="false">AN79+AO79+AP79</f>
        <v>4182.1</v>
      </c>
      <c r="AM79" s="2275" t="n">
        <v>4189.18</v>
      </c>
      <c r="AN79" s="2275" t="n">
        <v>3584</v>
      </c>
      <c r="AO79" s="2348" t="n">
        <v>31.9</v>
      </c>
      <c r="AP79" s="2275" t="n">
        <f aca="false">AQ79+AR79</f>
        <v>566.2</v>
      </c>
      <c r="AQ79" s="2252" t="n">
        <v>540.3</v>
      </c>
      <c r="AR79" s="2252" t="n">
        <v>25.9</v>
      </c>
      <c r="AS79" s="2252"/>
      <c r="AT79" s="2252"/>
      <c r="AU79" s="2252"/>
      <c r="AV79" s="2275" t="n">
        <f aca="false">AW79+AX79+AY79</f>
        <v>2757.1</v>
      </c>
      <c r="AW79" s="2275" t="n">
        <v>392.9</v>
      </c>
      <c r="AX79" s="2252" t="n">
        <v>1027.9</v>
      </c>
      <c r="AY79" s="2275" t="n">
        <f aca="false">AZ79+BA79</f>
        <v>1336.3</v>
      </c>
      <c r="AZ79" s="2252" t="n">
        <v>1209.8</v>
      </c>
      <c r="BA79" s="2252" t="n">
        <v>126.5</v>
      </c>
      <c r="BB79" s="2252"/>
      <c r="BC79" s="2252"/>
      <c r="BD79" s="2275" t="n">
        <f aca="false">BE79+BF79+BG79</f>
        <v>1101.3</v>
      </c>
      <c r="BE79" s="2348" t="n">
        <v>128.9</v>
      </c>
      <c r="BF79" s="2348" t="n">
        <v>31.8</v>
      </c>
      <c r="BG79" s="2275" t="n">
        <f aca="false">BH79+BI79</f>
        <v>940.6</v>
      </c>
      <c r="BH79" s="2275" t="n">
        <v>929.8</v>
      </c>
      <c r="BI79" s="2275" t="n">
        <v>10.8</v>
      </c>
      <c r="BJ79" s="2252"/>
      <c r="BK79" s="2252"/>
      <c r="BL79" s="2252"/>
      <c r="BM79" s="2352" t="n">
        <f aca="false">BM78</f>
        <v>4.99</v>
      </c>
      <c r="BN79" s="2275" t="n">
        <v>0</v>
      </c>
      <c r="BO79" s="2275" t="n">
        <f aca="false">BP79+BQ79</f>
        <v>3.32</v>
      </c>
      <c r="BP79" s="2352" t="n">
        <f aca="false">BP78</f>
        <v>3.32</v>
      </c>
      <c r="BQ79" s="2352" t="n">
        <f aca="false">BQ78</f>
        <v>0</v>
      </c>
      <c r="BR79" s="2252"/>
      <c r="BS79" s="2252"/>
      <c r="BT79" s="2275" t="n">
        <f aca="false">BU79+BV79+BW79</f>
        <v>68.1</v>
      </c>
      <c r="BU79" s="2275" t="n">
        <v>8.1</v>
      </c>
      <c r="BV79" s="2275" t="n">
        <v>4.7</v>
      </c>
      <c r="BW79" s="2275" t="n">
        <f aca="false">BX79+BY79</f>
        <v>55.3</v>
      </c>
      <c r="BX79" s="2275" t="n">
        <v>51.6</v>
      </c>
      <c r="BY79" s="2275" t="n">
        <v>3.7</v>
      </c>
      <c r="BZ79" s="2252"/>
      <c r="CA79" s="2252" t="n">
        <v>2423.6</v>
      </c>
      <c r="CB79" s="2252" t="n">
        <v>1723.3</v>
      </c>
      <c r="CC79" s="2252" t="n">
        <v>203.8</v>
      </c>
      <c r="CD79" s="2275" t="n">
        <f aca="false">CE79+CF79</f>
        <v>496.7</v>
      </c>
      <c r="CE79" s="2348" t="n">
        <v>459.9</v>
      </c>
      <c r="CF79" s="2348" t="n">
        <v>36.8</v>
      </c>
      <c r="CG79" s="2252"/>
      <c r="CH79" s="2252"/>
      <c r="CI79" s="2252"/>
      <c r="CJ79" s="2252"/>
      <c r="CK79" s="2252"/>
      <c r="CL79" s="2252"/>
      <c r="CM79" s="2252"/>
      <c r="CN79" s="2252"/>
      <c r="CO79" s="2252"/>
      <c r="CP79" s="2252"/>
      <c r="CQ79" s="2252"/>
      <c r="CR79" s="2252"/>
      <c r="CS79" s="2252"/>
      <c r="CT79" s="2252"/>
      <c r="CU79" s="2252"/>
      <c r="CV79" s="2252"/>
      <c r="CW79" s="2252"/>
      <c r="CX79" s="2252"/>
      <c r="CY79" s="2252"/>
      <c r="CZ79" s="2252"/>
      <c r="DA79" s="2252"/>
      <c r="DB79" s="2252"/>
      <c r="DC79" s="2252"/>
      <c r="DD79" s="2252"/>
      <c r="DE79" s="2252"/>
      <c r="DF79" s="2252"/>
      <c r="DG79" s="2252" t="n">
        <v>903.6</v>
      </c>
      <c r="DH79" s="2252" t="n">
        <v>2237.7</v>
      </c>
      <c r="DI79" s="2275" t="n">
        <f aca="false">DG79-DH79</f>
        <v>-1334.1</v>
      </c>
      <c r="DJ79" s="2354"/>
      <c r="DK79" s="2342" t="n">
        <v>1273.932</v>
      </c>
      <c r="DL79" s="2252"/>
      <c r="DM79" s="2252"/>
      <c r="DN79" s="2252"/>
      <c r="DO79" s="2252"/>
      <c r="DP79" s="2252"/>
      <c r="DQ79" s="2252"/>
      <c r="DR79" s="2252"/>
      <c r="DS79" s="2252"/>
      <c r="DT79" s="2252"/>
      <c r="DU79" s="2252"/>
      <c r="DV79" s="2252"/>
      <c r="DW79" s="2252"/>
      <c r="DX79" s="2252"/>
      <c r="DY79" s="2252"/>
      <c r="DZ79" s="2252"/>
      <c r="EA79" s="2252"/>
      <c r="EB79" s="2252"/>
      <c r="EC79" s="2252"/>
      <c r="ED79" s="2252"/>
      <c r="EE79" s="2252"/>
      <c r="EF79" s="2252"/>
      <c r="EG79" s="2275" t="n">
        <f aca="false">EH79+EI79</f>
        <v>12606.9</v>
      </c>
      <c r="EH79" s="2355" t="n">
        <v>2386.6</v>
      </c>
      <c r="EI79" s="2355" t="n">
        <v>10220.3</v>
      </c>
      <c r="EJ79" s="2275" t="n">
        <f aca="false">EK79+EL79</f>
        <v>10455.1</v>
      </c>
      <c r="EK79" s="2355" t="n">
        <v>1912.1</v>
      </c>
      <c r="EL79" s="2355" t="n">
        <v>8543</v>
      </c>
      <c r="EM79" s="2275" t="n">
        <f aca="false">EN79+EO79</f>
        <v>3412</v>
      </c>
      <c r="EN79" s="2275" t="n">
        <v>1830.4</v>
      </c>
      <c r="EO79" s="2275" t="n">
        <v>1581.6</v>
      </c>
      <c r="EP79" s="2275"/>
      <c r="EQ79" s="2275"/>
      <c r="ER79" s="2275"/>
      <c r="ES79" s="2275"/>
      <c r="ET79" s="2275" t="n">
        <v>5420</v>
      </c>
      <c r="EU79" s="2275" t="n">
        <v>5858</v>
      </c>
      <c r="EV79" s="2275" t="n">
        <f aca="false">ET79-EU79</f>
        <v>-438</v>
      </c>
      <c r="EW79" s="2275" t="n">
        <v>6554.583</v>
      </c>
      <c r="EX79" s="2275" t="n">
        <v>5709.862</v>
      </c>
      <c r="EY79" s="2275" t="n">
        <v>844.721</v>
      </c>
      <c r="EZ79" s="2275"/>
      <c r="FA79" s="2305"/>
      <c r="FB79" s="2305"/>
      <c r="FC79" s="2275"/>
      <c r="FD79" s="2275"/>
      <c r="FE79" s="2275"/>
      <c r="FF79" s="2275"/>
      <c r="FG79" s="2275"/>
      <c r="FH79" s="2275"/>
      <c r="FI79" s="2275"/>
      <c r="FJ79" s="2275"/>
      <c r="FK79" s="2252"/>
      <c r="FL79" s="2252"/>
      <c r="FM79" s="2252"/>
    </row>
    <row r="80" customFormat="false" ht="12" hidden="false" customHeight="false" outlineLevel="0" collapsed="false">
      <c r="A80" s="2252" t="n">
        <v>2012</v>
      </c>
      <c r="B80" s="2252"/>
      <c r="C80" s="2252"/>
      <c r="D80" s="2252"/>
      <c r="E80" s="2252"/>
      <c r="F80" s="2252"/>
      <c r="G80" s="2252"/>
      <c r="H80" s="2252"/>
      <c r="I80" s="2252"/>
      <c r="J80" s="2252"/>
      <c r="K80" s="2252"/>
      <c r="L80" s="2252"/>
      <c r="M80" s="2252"/>
      <c r="N80" s="2252"/>
      <c r="O80" s="2252"/>
      <c r="P80" s="2252"/>
      <c r="Q80" s="2252"/>
      <c r="R80" s="2252"/>
      <c r="S80" s="2260"/>
      <c r="T80" s="2252"/>
      <c r="U80" s="2260"/>
      <c r="V80" s="2260"/>
      <c r="W80" s="2260"/>
      <c r="X80" s="2252"/>
      <c r="Y80" s="2252"/>
      <c r="Z80" s="2252"/>
      <c r="AA80" s="2252"/>
      <c r="AB80" s="2252"/>
      <c r="AC80" s="2252"/>
      <c r="AD80" s="2260"/>
      <c r="AE80" s="2252"/>
      <c r="AF80" s="2252"/>
      <c r="AG80" s="2252"/>
      <c r="AH80" s="2252"/>
      <c r="AI80" s="2252"/>
      <c r="AJ80" s="2252"/>
      <c r="AK80" s="2252"/>
      <c r="AL80" s="2275" t="n">
        <f aca="false">AN80+AO80+AP80</f>
        <v>4353.6</v>
      </c>
      <c r="AM80" s="2275" t="n">
        <v>4359.62</v>
      </c>
      <c r="AN80" s="2275" t="n">
        <v>3736.7</v>
      </c>
      <c r="AO80" s="2348" t="n">
        <v>32.7</v>
      </c>
      <c r="AP80" s="2275" t="n">
        <f aca="false">AQ80+AR80</f>
        <v>584.2</v>
      </c>
      <c r="AQ80" s="2252" t="n">
        <v>557.4</v>
      </c>
      <c r="AR80" s="2252" t="n">
        <v>26.8</v>
      </c>
      <c r="AS80" s="2252"/>
      <c r="AT80" s="2252"/>
      <c r="AU80" s="2252"/>
      <c r="AV80" s="2275" t="n">
        <f aca="false">AW80+AX80+AY80</f>
        <v>2846.5</v>
      </c>
      <c r="AW80" s="2275" t="n">
        <v>403.7</v>
      </c>
      <c r="AX80" s="2252" t="n">
        <v>1055.7</v>
      </c>
      <c r="AY80" s="2275" t="n">
        <f aca="false">AZ80+BA80</f>
        <v>1387.1</v>
      </c>
      <c r="AZ80" s="2252" t="n">
        <v>1256.3</v>
      </c>
      <c r="BA80" s="2252" t="n">
        <v>130.8</v>
      </c>
      <c r="BB80" s="2252"/>
      <c r="BC80" s="2252"/>
      <c r="BD80" s="2275" t="n">
        <f aca="false">BE80+BF80+BG80</f>
        <v>1124.6</v>
      </c>
      <c r="BE80" s="2348" t="n">
        <v>130.5</v>
      </c>
      <c r="BF80" s="2348" t="n">
        <v>33</v>
      </c>
      <c r="BG80" s="2275" t="n">
        <f aca="false">BH80+BI80</f>
        <v>961.1</v>
      </c>
      <c r="BH80" s="2275" t="n">
        <v>950</v>
      </c>
      <c r="BI80" s="2275" t="n">
        <v>11.1</v>
      </c>
      <c r="BJ80" s="2252"/>
      <c r="BK80" s="2252"/>
      <c r="BL80" s="2252"/>
      <c r="BM80" s="2352" t="n">
        <f aca="false">BM79</f>
        <v>4.99</v>
      </c>
      <c r="BN80" s="2275" t="n">
        <v>0</v>
      </c>
      <c r="BO80" s="2275" t="n">
        <f aca="false">BP80+BQ80</f>
        <v>3.32</v>
      </c>
      <c r="BP80" s="2352" t="n">
        <f aca="false">BP79</f>
        <v>3.32</v>
      </c>
      <c r="BQ80" s="2352" t="n">
        <f aca="false">BQ79</f>
        <v>0</v>
      </c>
      <c r="BR80" s="2252"/>
      <c r="BS80" s="2252"/>
      <c r="BT80" s="2275" t="n">
        <f aca="false">BU80+BV80+BW80</f>
        <v>69.8</v>
      </c>
      <c r="BU80" s="2275" t="n">
        <v>8.3</v>
      </c>
      <c r="BV80" s="2275" t="n">
        <v>4.8</v>
      </c>
      <c r="BW80" s="2275" t="n">
        <f aca="false">BX80+BY80</f>
        <v>56.7</v>
      </c>
      <c r="BX80" s="2275" t="n">
        <v>52.9</v>
      </c>
      <c r="BY80" s="2275" t="n">
        <v>3.8</v>
      </c>
      <c r="BZ80" s="2252"/>
      <c r="CA80" s="2252" t="n">
        <v>2607.7</v>
      </c>
      <c r="CB80" s="2252" t="n">
        <v>1854.1</v>
      </c>
      <c r="CC80" s="2252" t="n">
        <v>219.3</v>
      </c>
      <c r="CD80" s="2275" t="n">
        <f aca="false">CE80+CF80</f>
        <v>534.4</v>
      </c>
      <c r="CE80" s="2348" t="n">
        <v>494.8</v>
      </c>
      <c r="CF80" s="2348" t="n">
        <v>39.6</v>
      </c>
      <c r="CG80" s="2252"/>
      <c r="CH80" s="2317"/>
      <c r="CI80" s="2317"/>
      <c r="CJ80" s="2252"/>
      <c r="CK80" s="2252"/>
      <c r="CL80" s="2252"/>
      <c r="CM80" s="2252"/>
      <c r="CN80" s="2252"/>
      <c r="CO80" s="2252"/>
      <c r="CP80" s="2252"/>
      <c r="CQ80" s="2252"/>
      <c r="CR80" s="2252"/>
      <c r="CS80" s="2252"/>
      <c r="CT80" s="2252"/>
      <c r="CU80" s="2252"/>
      <c r="CV80" s="2252"/>
      <c r="CW80" s="2252"/>
      <c r="CX80" s="2252"/>
      <c r="CY80" s="2252"/>
      <c r="CZ80" s="2252"/>
      <c r="DA80" s="2252"/>
      <c r="DB80" s="2252"/>
      <c r="DC80" s="2252"/>
      <c r="DD80" s="2252"/>
      <c r="DE80" s="2252"/>
      <c r="DF80" s="2252"/>
      <c r="DG80" s="2252"/>
      <c r="DH80" s="2252"/>
      <c r="DI80" s="2252"/>
      <c r="DJ80" s="2252"/>
      <c r="DK80" s="2252"/>
      <c r="DL80" s="2252"/>
      <c r="DM80" s="2252"/>
      <c r="DN80" s="2252"/>
      <c r="DO80" s="2252"/>
      <c r="DP80" s="2252"/>
      <c r="DQ80" s="2252"/>
      <c r="DR80" s="2252"/>
      <c r="DS80" s="2252"/>
      <c r="DT80" s="2252"/>
      <c r="DU80" s="2252"/>
      <c r="DV80" s="2252"/>
      <c r="DW80" s="2252"/>
      <c r="DX80" s="2252"/>
      <c r="DY80" s="2252"/>
      <c r="DZ80" s="2252"/>
      <c r="EA80" s="2252"/>
      <c r="EB80" s="2252"/>
      <c r="EC80" s="2252"/>
      <c r="ED80" s="2252"/>
      <c r="EE80" s="2252"/>
      <c r="EF80" s="2252"/>
      <c r="EG80" s="2275"/>
      <c r="EH80" s="2275"/>
      <c r="EI80" s="2275"/>
      <c r="EJ80" s="2275"/>
      <c r="EK80" s="2275"/>
      <c r="EL80" s="2275"/>
      <c r="EM80" s="2275"/>
      <c r="EN80" s="2275"/>
      <c r="EO80" s="2275"/>
      <c r="EP80" s="2275"/>
      <c r="EQ80" s="2275"/>
      <c r="ER80" s="2275"/>
      <c r="ES80" s="2275"/>
      <c r="ET80" s="2275"/>
      <c r="EU80" s="2275"/>
      <c r="EV80" s="2275"/>
      <c r="EW80" s="2275"/>
      <c r="EX80" s="2275"/>
      <c r="EY80" s="2275"/>
      <c r="EZ80" s="2275"/>
      <c r="FA80" s="2275"/>
      <c r="FB80" s="2275"/>
      <c r="FC80" s="2275"/>
      <c r="FD80" s="2275"/>
      <c r="FE80" s="2275"/>
      <c r="FF80" s="2275"/>
      <c r="FG80" s="2275"/>
      <c r="FH80" s="2275"/>
      <c r="FI80" s="2275"/>
      <c r="FJ80" s="2275"/>
      <c r="FK80" s="2252"/>
      <c r="FL80" s="2252"/>
      <c r="FM80" s="2252"/>
    </row>
    <row r="81" customFormat="false" ht="12" hidden="false" customHeight="false" outlineLevel="0" collapsed="false">
      <c r="A81" s="2252"/>
      <c r="B81" s="2252"/>
      <c r="C81" s="2252"/>
      <c r="D81" s="2252"/>
      <c r="E81" s="2252"/>
      <c r="F81" s="2252"/>
      <c r="G81" s="2252"/>
      <c r="H81" s="2252"/>
      <c r="I81" s="2252"/>
      <c r="J81" s="2252"/>
      <c r="K81" s="2252"/>
      <c r="L81" s="2252"/>
      <c r="M81" s="2252"/>
      <c r="N81" s="2252"/>
      <c r="O81" s="2252"/>
      <c r="P81" s="2252"/>
      <c r="Q81" s="2252"/>
      <c r="R81" s="2252"/>
      <c r="S81" s="2260"/>
      <c r="T81" s="2252"/>
      <c r="U81" s="2260"/>
      <c r="V81" s="2260"/>
      <c r="W81" s="2260"/>
      <c r="X81" s="2252"/>
      <c r="Y81" s="2252"/>
      <c r="Z81" s="2252"/>
      <c r="AA81" s="2252"/>
      <c r="AB81" s="2252"/>
      <c r="AC81" s="2252"/>
      <c r="AD81" s="2260"/>
      <c r="AE81" s="2252"/>
      <c r="AF81" s="2252"/>
      <c r="AG81" s="2252"/>
      <c r="AH81" s="2252"/>
      <c r="AI81" s="2252"/>
      <c r="AJ81" s="2252"/>
      <c r="AK81" s="2252"/>
      <c r="AL81" s="2275"/>
      <c r="AM81" s="2252"/>
      <c r="AN81" s="2252"/>
      <c r="AO81" s="2252"/>
      <c r="AP81" s="2252"/>
      <c r="AQ81" s="2252"/>
      <c r="AR81" s="2252"/>
      <c r="AS81" s="2252"/>
      <c r="AT81" s="2252"/>
      <c r="AU81" s="2252"/>
      <c r="AV81" s="2252"/>
      <c r="AW81" s="2252"/>
      <c r="AX81" s="2252"/>
      <c r="AY81" s="2252"/>
      <c r="AZ81" s="2252"/>
      <c r="BA81" s="2252"/>
      <c r="BB81" s="2252"/>
      <c r="BC81" s="2252"/>
      <c r="BD81" s="2252"/>
      <c r="BE81" s="2252"/>
      <c r="BF81" s="2252"/>
      <c r="BG81" s="2252"/>
      <c r="BH81" s="2252"/>
      <c r="BI81" s="2252"/>
      <c r="BJ81" s="2252"/>
      <c r="BK81" s="2252"/>
      <c r="BL81" s="2252"/>
      <c r="BM81" s="2252"/>
      <c r="BN81" s="2252"/>
      <c r="BO81" s="2252"/>
      <c r="BP81" s="2252"/>
      <c r="BQ81" s="2252"/>
      <c r="BR81" s="2252"/>
      <c r="BS81" s="2252"/>
      <c r="BT81" s="2252"/>
      <c r="BU81" s="2252"/>
      <c r="BV81" s="2252"/>
      <c r="BW81" s="2252"/>
      <c r="BX81" s="2252"/>
      <c r="BY81" s="2252"/>
      <c r="BZ81" s="2252"/>
      <c r="CA81" s="2252"/>
      <c r="CB81" s="2252"/>
      <c r="CC81" s="2252"/>
      <c r="CD81" s="2252"/>
      <c r="CE81" s="2252"/>
      <c r="CF81" s="2252"/>
      <c r="CG81" s="2252"/>
      <c r="CH81" s="2252"/>
      <c r="CI81" s="2252"/>
      <c r="CJ81" s="2252"/>
      <c r="CK81" s="2252"/>
      <c r="CL81" s="2252"/>
      <c r="CM81" s="2252"/>
      <c r="CN81" s="2252"/>
      <c r="CO81" s="2252"/>
      <c r="CP81" s="2252"/>
      <c r="CQ81" s="2252"/>
      <c r="CR81" s="2252"/>
      <c r="CS81" s="2252"/>
      <c r="CT81" s="2252"/>
      <c r="CU81" s="2252"/>
      <c r="CV81" s="2252"/>
      <c r="CW81" s="2252"/>
      <c r="CX81" s="2252"/>
      <c r="CY81" s="2252"/>
      <c r="CZ81" s="2252"/>
      <c r="DA81" s="2252"/>
      <c r="DB81" s="2252"/>
      <c r="DC81" s="2252"/>
      <c r="DD81" s="2252"/>
      <c r="DE81" s="2252"/>
      <c r="DF81" s="2252"/>
      <c r="DG81" s="2252"/>
      <c r="DH81" s="2252"/>
      <c r="DI81" s="2252"/>
      <c r="DJ81" s="2252"/>
      <c r="DK81" s="2252"/>
      <c r="DL81" s="2252"/>
      <c r="DM81" s="2252"/>
      <c r="DN81" s="2252"/>
      <c r="DO81" s="2252"/>
      <c r="DP81" s="2252"/>
      <c r="DQ81" s="2252"/>
      <c r="DR81" s="2252"/>
      <c r="DS81" s="2252"/>
      <c r="DT81" s="2252"/>
      <c r="DU81" s="2252"/>
      <c r="DV81" s="2252"/>
      <c r="DW81" s="2252"/>
      <c r="DX81" s="2252"/>
      <c r="DY81" s="2252"/>
      <c r="DZ81" s="2252"/>
      <c r="EA81" s="2252"/>
      <c r="EB81" s="2252"/>
      <c r="EC81" s="2252"/>
      <c r="ED81" s="2252"/>
      <c r="EE81" s="2252"/>
      <c r="EF81" s="2252"/>
      <c r="EG81" s="2252"/>
      <c r="EH81" s="2252"/>
      <c r="EI81" s="2252"/>
      <c r="EJ81" s="2252"/>
      <c r="EK81" s="2252"/>
      <c r="EL81" s="2252"/>
      <c r="EM81" s="2252"/>
      <c r="EN81" s="2252"/>
      <c r="EO81" s="2252"/>
      <c r="EP81" s="2252"/>
      <c r="EQ81" s="2252"/>
      <c r="ER81" s="2252"/>
      <c r="ES81" s="2252"/>
      <c r="ET81" s="2252"/>
      <c r="EU81" s="2252"/>
      <c r="EV81" s="2252"/>
      <c r="EW81" s="2252"/>
      <c r="EX81" s="2252"/>
      <c r="EY81" s="2252"/>
      <c r="EZ81" s="2252"/>
      <c r="FA81" s="2252"/>
      <c r="FB81" s="2252"/>
      <c r="FC81" s="2252"/>
      <c r="FD81" s="2252"/>
      <c r="FE81" s="2252"/>
      <c r="FF81" s="2252"/>
      <c r="FG81" s="2252"/>
      <c r="FH81" s="2252"/>
      <c r="FI81" s="2252"/>
      <c r="FJ81" s="2252"/>
      <c r="FK81" s="2252"/>
      <c r="FL81" s="2252"/>
      <c r="FM81" s="2252"/>
    </row>
    <row r="82" customFormat="false" ht="12" hidden="false" customHeight="false" outlineLevel="0" collapsed="false">
      <c r="A82" s="2252"/>
      <c r="B82" s="2252"/>
      <c r="C82" s="2252"/>
      <c r="D82" s="2252"/>
      <c r="E82" s="2252"/>
      <c r="F82" s="2252"/>
      <c r="G82" s="2252"/>
      <c r="H82" s="2252"/>
      <c r="I82" s="2252"/>
      <c r="J82" s="2252"/>
      <c r="K82" s="2252"/>
      <c r="L82" s="2252"/>
      <c r="M82" s="2252"/>
      <c r="N82" s="2252"/>
      <c r="O82" s="2252"/>
      <c r="P82" s="2252"/>
      <c r="Q82" s="2252"/>
      <c r="R82" s="2252"/>
      <c r="S82" s="2260"/>
      <c r="T82" s="2252"/>
      <c r="U82" s="2260"/>
      <c r="V82" s="2260"/>
      <c r="W82" s="2260"/>
      <c r="X82" s="2252"/>
      <c r="Y82" s="2252"/>
      <c r="Z82" s="2252"/>
      <c r="AA82" s="2252"/>
      <c r="AB82" s="2252"/>
      <c r="AC82" s="2252"/>
      <c r="AD82" s="2260"/>
      <c r="AE82" s="2252"/>
      <c r="AF82" s="2252"/>
      <c r="AG82" s="2252"/>
      <c r="AH82" s="2252"/>
      <c r="AI82" s="2252"/>
      <c r="AJ82" s="2252"/>
      <c r="AK82" s="2252"/>
      <c r="AL82" s="2252"/>
      <c r="AM82" s="2252"/>
      <c r="AN82" s="2252"/>
      <c r="AO82" s="2252"/>
      <c r="AP82" s="2252"/>
      <c r="AQ82" s="2252"/>
      <c r="AR82" s="2252"/>
      <c r="AS82" s="2252"/>
      <c r="AT82" s="2252"/>
      <c r="AU82" s="2252"/>
      <c r="AV82" s="2252"/>
      <c r="AW82" s="2252"/>
      <c r="AX82" s="2252"/>
      <c r="AY82" s="2252"/>
      <c r="AZ82" s="2252"/>
      <c r="BA82" s="2252"/>
      <c r="BB82" s="2252"/>
      <c r="BC82" s="2252"/>
      <c r="BD82" s="2252"/>
      <c r="BE82" s="2252"/>
      <c r="BF82" s="2252"/>
      <c r="BG82" s="2252"/>
      <c r="BH82" s="2252"/>
      <c r="BI82" s="2252"/>
      <c r="BJ82" s="2252"/>
      <c r="BK82" s="2252"/>
      <c r="BL82" s="2252"/>
      <c r="BM82" s="2252"/>
      <c r="BN82" s="2252"/>
      <c r="BO82" s="2252"/>
      <c r="BP82" s="2252"/>
      <c r="BQ82" s="2252"/>
      <c r="BR82" s="2252"/>
      <c r="BS82" s="2252"/>
      <c r="BT82" s="2252"/>
      <c r="BU82" s="2252"/>
      <c r="BV82" s="2252"/>
      <c r="BW82" s="2252"/>
      <c r="BX82" s="2252"/>
      <c r="BY82" s="2252"/>
      <c r="BZ82" s="2252"/>
      <c r="CA82" s="2252"/>
      <c r="CB82" s="2252"/>
      <c r="CC82" s="2252"/>
      <c r="CD82" s="2252"/>
      <c r="CE82" s="2252"/>
      <c r="CF82" s="2252"/>
      <c r="CG82" s="2252"/>
      <c r="CH82" s="2252"/>
      <c r="CI82" s="2252"/>
      <c r="CJ82" s="2252"/>
      <c r="CK82" s="2252"/>
      <c r="CL82" s="2252"/>
      <c r="CM82" s="2252"/>
      <c r="CN82" s="2252"/>
      <c r="CO82" s="2252"/>
      <c r="CP82" s="2252"/>
      <c r="CQ82" s="2252"/>
      <c r="CR82" s="2252"/>
      <c r="CS82" s="2252"/>
      <c r="CT82" s="2252"/>
      <c r="CU82" s="2252"/>
      <c r="CV82" s="2252"/>
      <c r="CW82" s="2252"/>
      <c r="CX82" s="2252"/>
      <c r="CY82" s="2252"/>
      <c r="CZ82" s="2252"/>
      <c r="DA82" s="2252"/>
      <c r="DB82" s="2252"/>
      <c r="DC82" s="2252"/>
      <c r="DD82" s="2252"/>
      <c r="DE82" s="2252"/>
      <c r="DF82" s="2252"/>
      <c r="DG82" s="2252"/>
      <c r="DH82" s="2252"/>
      <c r="DI82" s="2252"/>
      <c r="DJ82" s="2252"/>
      <c r="DK82" s="2252"/>
      <c r="DL82" s="2252"/>
      <c r="DM82" s="2252"/>
      <c r="DN82" s="2252"/>
      <c r="DO82" s="2252"/>
      <c r="DP82" s="2252"/>
      <c r="DQ82" s="2252"/>
      <c r="DR82" s="2252"/>
      <c r="DS82" s="2252"/>
      <c r="DT82" s="2252"/>
      <c r="DU82" s="2252"/>
      <c r="DV82" s="2252"/>
      <c r="DW82" s="2252"/>
      <c r="DX82" s="2252"/>
      <c r="DY82" s="2252"/>
      <c r="DZ82" s="2252"/>
      <c r="EA82" s="2252"/>
      <c r="EB82" s="2252"/>
      <c r="EC82" s="2252"/>
      <c r="ED82" s="2252"/>
      <c r="EE82" s="2252"/>
      <c r="EF82" s="2252"/>
      <c r="EG82" s="2252"/>
      <c r="EH82" s="2252"/>
      <c r="EI82" s="2252"/>
      <c r="EJ82" s="2252"/>
      <c r="EK82" s="2252"/>
      <c r="EL82" s="2252"/>
      <c r="EM82" s="2252"/>
      <c r="EN82" s="2252"/>
      <c r="EO82" s="2252"/>
      <c r="EP82" s="2252"/>
      <c r="EQ82" s="2252"/>
      <c r="ER82" s="2252"/>
      <c r="ES82" s="2252"/>
      <c r="ET82" s="2252"/>
      <c r="EU82" s="2252"/>
      <c r="EV82" s="2252"/>
      <c r="EW82" s="2252"/>
      <c r="EX82" s="2252"/>
      <c r="EY82" s="2252"/>
      <c r="EZ82" s="2252"/>
      <c r="FA82" s="2252"/>
      <c r="FB82" s="2252"/>
      <c r="FC82" s="2252"/>
      <c r="FD82" s="2252"/>
      <c r="FE82" s="2252"/>
      <c r="FF82" s="2252"/>
      <c r="FG82" s="2252"/>
      <c r="FH82" s="2252"/>
      <c r="FI82" s="2252"/>
      <c r="FJ82" s="2252"/>
      <c r="FK82" s="2252"/>
      <c r="FL82" s="2252"/>
      <c r="FM82" s="2252"/>
    </row>
    <row r="83" customFormat="false" ht="12" hidden="false" customHeight="false" outlineLevel="0" collapsed="false">
      <c r="A83" s="2252"/>
      <c r="B83" s="2252"/>
      <c r="C83" s="2252"/>
      <c r="D83" s="2252"/>
      <c r="E83" s="2252"/>
      <c r="F83" s="2252"/>
      <c r="G83" s="2252"/>
      <c r="H83" s="2252"/>
      <c r="I83" s="2252"/>
      <c r="J83" s="2252"/>
      <c r="K83" s="2252"/>
      <c r="L83" s="2252"/>
      <c r="M83" s="2252"/>
      <c r="N83" s="2252"/>
      <c r="O83" s="2252"/>
      <c r="P83" s="2252"/>
      <c r="Q83" s="2252"/>
      <c r="R83" s="2252"/>
      <c r="S83" s="2260"/>
      <c r="T83" s="2252"/>
      <c r="U83" s="2260"/>
      <c r="V83" s="2260"/>
      <c r="W83" s="2260"/>
      <c r="X83" s="2252"/>
      <c r="Y83" s="2252"/>
      <c r="Z83" s="2252"/>
      <c r="AA83" s="2252"/>
      <c r="AB83" s="2252"/>
      <c r="AC83" s="2252"/>
      <c r="AD83" s="2260"/>
      <c r="AE83" s="2252"/>
      <c r="AF83" s="2252"/>
      <c r="AG83" s="2252"/>
      <c r="AH83" s="2252"/>
      <c r="AI83" s="2252"/>
      <c r="AJ83" s="2252"/>
      <c r="AK83" s="2252"/>
      <c r="AL83" s="2252"/>
      <c r="AM83" s="2252"/>
      <c r="AN83" s="2252"/>
      <c r="AO83" s="2252"/>
      <c r="AP83" s="2252"/>
      <c r="AQ83" s="2252"/>
      <c r="AR83" s="2252"/>
      <c r="AS83" s="2252"/>
      <c r="AT83" s="2252"/>
      <c r="AU83" s="2252"/>
      <c r="AV83" s="2252"/>
      <c r="AW83" s="2252"/>
      <c r="AX83" s="2252"/>
      <c r="AY83" s="2252"/>
      <c r="AZ83" s="2252"/>
      <c r="BA83" s="2252"/>
      <c r="BB83" s="2252"/>
      <c r="BC83" s="2252"/>
      <c r="BD83" s="2252"/>
      <c r="BE83" s="2252"/>
      <c r="BF83" s="2252"/>
      <c r="BG83" s="2252"/>
      <c r="BH83" s="2252"/>
      <c r="BI83" s="2252"/>
      <c r="BJ83" s="2252"/>
      <c r="BK83" s="2252"/>
      <c r="BL83" s="2252"/>
      <c r="BM83" s="2252"/>
      <c r="BN83" s="2252"/>
      <c r="BO83" s="2252"/>
      <c r="BP83" s="2252"/>
      <c r="BQ83" s="2252"/>
      <c r="BR83" s="2252"/>
      <c r="BS83" s="2252"/>
      <c r="BT83" s="2252"/>
      <c r="BU83" s="2252"/>
      <c r="BV83" s="2252"/>
      <c r="BW83" s="2252"/>
      <c r="BX83" s="2252"/>
      <c r="BY83" s="2252"/>
      <c r="BZ83" s="2252"/>
      <c r="CA83" s="2252"/>
      <c r="CB83" s="2252"/>
      <c r="CC83" s="2252"/>
      <c r="CD83" s="2252"/>
      <c r="CE83" s="2252"/>
      <c r="CF83" s="2252"/>
      <c r="CG83" s="2252"/>
      <c r="CH83" s="2252"/>
      <c r="CI83" s="2252"/>
      <c r="CJ83" s="2252"/>
      <c r="CK83" s="2252"/>
      <c r="CL83" s="2252"/>
      <c r="CM83" s="2252"/>
      <c r="CN83" s="2252"/>
      <c r="CO83" s="2252"/>
      <c r="CP83" s="2252"/>
      <c r="CQ83" s="2252"/>
      <c r="CR83" s="2252"/>
      <c r="CS83" s="2252"/>
      <c r="CT83" s="2252"/>
      <c r="CU83" s="2252"/>
      <c r="CV83" s="2252"/>
      <c r="CW83" s="2252"/>
      <c r="CX83" s="2252"/>
      <c r="CY83" s="2252"/>
      <c r="CZ83" s="2252"/>
      <c r="DA83" s="2252"/>
      <c r="DB83" s="2252"/>
      <c r="DC83" s="2252"/>
      <c r="DD83" s="2252"/>
      <c r="DE83" s="2252"/>
      <c r="DF83" s="2252"/>
      <c r="DG83" s="2252"/>
      <c r="DH83" s="2252"/>
      <c r="DI83" s="2252"/>
      <c r="DJ83" s="2252"/>
      <c r="DK83" s="2252"/>
      <c r="DL83" s="2252"/>
      <c r="DM83" s="2252"/>
      <c r="DN83" s="2252"/>
      <c r="DO83" s="2252"/>
      <c r="DP83" s="2252"/>
      <c r="DQ83" s="2252"/>
      <c r="DR83" s="2252"/>
      <c r="DS83" s="2252"/>
      <c r="DT83" s="2252"/>
      <c r="DU83" s="2252"/>
      <c r="DV83" s="2252"/>
      <c r="DW83" s="2252"/>
      <c r="DX83" s="2252"/>
      <c r="DY83" s="2252"/>
      <c r="DZ83" s="2252"/>
      <c r="EA83" s="2252"/>
      <c r="EB83" s="2252"/>
      <c r="EC83" s="2252"/>
      <c r="ED83" s="2252"/>
      <c r="EE83" s="2252"/>
      <c r="EF83" s="2252"/>
      <c r="EG83" s="2252"/>
      <c r="EH83" s="2252"/>
      <c r="EI83" s="2252"/>
      <c r="EJ83" s="2252"/>
      <c r="EK83" s="2252"/>
      <c r="EL83" s="2252"/>
      <c r="EM83" s="2252"/>
      <c r="EN83" s="2252"/>
      <c r="EO83" s="2252"/>
      <c r="EP83" s="2252"/>
      <c r="EQ83" s="2252"/>
      <c r="ER83" s="2252"/>
      <c r="ES83" s="2252"/>
      <c r="ET83" s="2252"/>
      <c r="EU83" s="2252"/>
      <c r="EV83" s="2252"/>
      <c r="EW83" s="2252"/>
      <c r="EX83" s="2252"/>
      <c r="EY83" s="2252"/>
      <c r="EZ83" s="2252"/>
      <c r="FA83" s="2252"/>
      <c r="FB83" s="2252"/>
      <c r="FC83" s="2252"/>
      <c r="FD83" s="2252"/>
      <c r="FE83" s="2252"/>
      <c r="FF83" s="2252"/>
      <c r="FG83" s="2252"/>
      <c r="FH83" s="2252"/>
      <c r="FI83" s="2252"/>
      <c r="FJ83" s="2252"/>
      <c r="FK83" s="2252"/>
      <c r="FL83" s="2252"/>
      <c r="FM83" s="2252"/>
    </row>
    <row r="84" customFormat="false" ht="12" hidden="false" customHeight="false" outlineLevel="0" collapsed="false">
      <c r="A84" s="2252"/>
      <c r="B84" s="2252"/>
      <c r="C84" s="2252"/>
      <c r="D84" s="2252"/>
      <c r="E84" s="2252"/>
      <c r="F84" s="2252"/>
      <c r="G84" s="2252"/>
      <c r="H84" s="2252"/>
      <c r="I84" s="2252"/>
      <c r="J84" s="2252"/>
      <c r="K84" s="2252"/>
      <c r="L84" s="2252"/>
      <c r="M84" s="2252"/>
      <c r="N84" s="2252"/>
      <c r="O84" s="2252"/>
      <c r="P84" s="2252"/>
      <c r="Q84" s="2252"/>
      <c r="R84" s="2252"/>
      <c r="S84" s="2260"/>
      <c r="T84" s="2252"/>
      <c r="U84" s="2260"/>
      <c r="V84" s="2260"/>
      <c r="W84" s="2260"/>
      <c r="X84" s="2252"/>
      <c r="Y84" s="2252"/>
      <c r="Z84" s="2252"/>
      <c r="AA84" s="2252"/>
      <c r="AB84" s="2252"/>
      <c r="AC84" s="2252"/>
      <c r="AD84" s="2260"/>
      <c r="AE84" s="2252"/>
      <c r="AF84" s="2252"/>
      <c r="AG84" s="2252"/>
      <c r="AH84" s="2252"/>
      <c r="AI84" s="2252"/>
      <c r="AJ84" s="2252"/>
      <c r="AK84" s="2252"/>
      <c r="AL84" s="2252"/>
      <c r="AM84" s="2252"/>
      <c r="AN84" s="2252"/>
      <c r="AO84" s="2252"/>
      <c r="AP84" s="2252"/>
      <c r="AQ84" s="2252"/>
      <c r="AR84" s="2252"/>
      <c r="AS84" s="2252"/>
      <c r="AT84" s="2252"/>
      <c r="AU84" s="2252"/>
      <c r="AV84" s="2252"/>
      <c r="AW84" s="2252"/>
      <c r="AX84" s="2252"/>
      <c r="AY84" s="2252"/>
      <c r="AZ84" s="2252"/>
      <c r="BA84" s="2252"/>
      <c r="BB84" s="2252"/>
      <c r="BC84" s="2252"/>
      <c r="BD84" s="2252"/>
      <c r="BE84" s="2252"/>
      <c r="BF84" s="2252"/>
      <c r="BG84" s="2252"/>
      <c r="BH84" s="2252"/>
      <c r="BI84" s="2252"/>
      <c r="BJ84" s="2252"/>
      <c r="BK84" s="2252"/>
      <c r="BL84" s="2252"/>
      <c r="BM84" s="2252"/>
      <c r="BN84" s="2252"/>
      <c r="BO84" s="2252"/>
      <c r="BP84" s="2252"/>
      <c r="BQ84" s="2252"/>
      <c r="BR84" s="2252"/>
      <c r="BS84" s="2252"/>
      <c r="BT84" s="2252"/>
      <c r="BU84" s="2252"/>
      <c r="BV84" s="2252"/>
      <c r="BW84" s="2252"/>
      <c r="BX84" s="2252"/>
      <c r="BY84" s="2252"/>
      <c r="BZ84" s="2252"/>
      <c r="CA84" s="2252"/>
      <c r="CB84" s="2252"/>
      <c r="CC84" s="2252"/>
      <c r="CD84" s="2252"/>
      <c r="CE84" s="2252"/>
      <c r="CF84" s="2252"/>
      <c r="CG84" s="2252"/>
      <c r="CH84" s="2252"/>
      <c r="CI84" s="2252"/>
      <c r="CJ84" s="2252"/>
      <c r="CK84" s="2252"/>
      <c r="CL84" s="2252"/>
      <c r="CM84" s="2252"/>
      <c r="CN84" s="2252"/>
      <c r="CO84" s="2252"/>
      <c r="CP84" s="2252"/>
      <c r="CQ84" s="2252"/>
      <c r="CR84" s="2252"/>
      <c r="CS84" s="2252"/>
      <c r="CT84" s="2252"/>
      <c r="CU84" s="2252"/>
      <c r="CV84" s="2252"/>
      <c r="CW84" s="2252"/>
      <c r="CX84" s="2252"/>
      <c r="CY84" s="2252"/>
      <c r="CZ84" s="2252"/>
      <c r="DA84" s="2252"/>
      <c r="DB84" s="2252"/>
      <c r="DC84" s="2252"/>
      <c r="DD84" s="2252"/>
      <c r="DE84" s="2252"/>
      <c r="DF84" s="2252"/>
      <c r="DG84" s="2252"/>
      <c r="DH84" s="2252"/>
      <c r="DI84" s="2252"/>
      <c r="DJ84" s="2252"/>
      <c r="DK84" s="2252"/>
      <c r="DL84" s="2252"/>
      <c r="DM84" s="2252"/>
      <c r="DN84" s="2252"/>
      <c r="DO84" s="2252"/>
      <c r="DP84" s="2252"/>
      <c r="DQ84" s="2252"/>
      <c r="DR84" s="2252"/>
      <c r="DS84" s="2252"/>
      <c r="DT84" s="2252"/>
      <c r="DU84" s="2252"/>
      <c r="DV84" s="2252"/>
      <c r="DW84" s="2252"/>
      <c r="DX84" s="2252"/>
      <c r="DY84" s="2252"/>
      <c r="DZ84" s="2252"/>
      <c r="EA84" s="2252"/>
      <c r="EB84" s="2252"/>
      <c r="EC84" s="2252"/>
      <c r="ED84" s="2252"/>
      <c r="EE84" s="2252"/>
      <c r="EF84" s="2252"/>
      <c r="EG84" s="2252"/>
      <c r="EH84" s="2252"/>
      <c r="EI84" s="2252"/>
      <c r="EJ84" s="2252"/>
      <c r="EK84" s="2252"/>
      <c r="EL84" s="2252"/>
      <c r="EM84" s="2252"/>
      <c r="EN84" s="2252"/>
      <c r="EO84" s="2252"/>
      <c r="EP84" s="2252"/>
      <c r="EQ84" s="2252"/>
      <c r="ER84" s="2252"/>
      <c r="ES84" s="2252"/>
      <c r="ET84" s="2252"/>
      <c r="EU84" s="2252"/>
      <c r="EV84" s="2252"/>
      <c r="EW84" s="2252"/>
      <c r="EX84" s="2252"/>
      <c r="EY84" s="2252"/>
      <c r="EZ84" s="2252"/>
      <c r="FA84" s="2252"/>
      <c r="FB84" s="2252"/>
      <c r="FC84" s="2252"/>
      <c r="FD84" s="2252"/>
      <c r="FE84" s="2252"/>
      <c r="FF84" s="2252"/>
      <c r="FG84" s="2252"/>
      <c r="FH84" s="2252"/>
      <c r="FI84" s="2252"/>
      <c r="FJ84" s="2252"/>
      <c r="FK84" s="2252"/>
      <c r="FL84" s="2252"/>
      <c r="FM84" s="2252"/>
    </row>
    <row r="85" customFormat="false" ht="12" hidden="false" customHeight="false" outlineLevel="0" collapsed="false">
      <c r="A85" s="2252"/>
      <c r="B85" s="2252"/>
      <c r="C85" s="2252"/>
      <c r="D85" s="2252"/>
      <c r="E85" s="2252"/>
      <c r="F85" s="2252"/>
      <c r="G85" s="2252"/>
      <c r="H85" s="2252"/>
      <c r="I85" s="2252"/>
      <c r="J85" s="2252"/>
      <c r="K85" s="2252"/>
      <c r="L85" s="2252"/>
      <c r="M85" s="2252"/>
      <c r="N85" s="2252"/>
      <c r="O85" s="2252"/>
      <c r="P85" s="2252"/>
      <c r="Q85" s="2252"/>
      <c r="R85" s="2252"/>
      <c r="S85" s="2260"/>
      <c r="T85" s="2252"/>
      <c r="U85" s="2260"/>
      <c r="V85" s="2260"/>
      <c r="W85" s="2260"/>
      <c r="X85" s="2252"/>
      <c r="Y85" s="2252"/>
      <c r="Z85" s="2252"/>
      <c r="AA85" s="2252"/>
      <c r="AB85" s="2252"/>
      <c r="AC85" s="2252"/>
      <c r="AD85" s="2260"/>
      <c r="AE85" s="2252"/>
      <c r="AF85" s="2252"/>
      <c r="AG85" s="2252"/>
      <c r="AH85" s="2252"/>
      <c r="AI85" s="2252"/>
      <c r="AJ85" s="2252"/>
      <c r="AK85" s="2252"/>
      <c r="AL85" s="2252"/>
      <c r="AM85" s="2252"/>
      <c r="AN85" s="2252"/>
      <c r="AO85" s="2252"/>
      <c r="AP85" s="2252"/>
      <c r="AQ85" s="2252"/>
      <c r="AR85" s="2252"/>
      <c r="AS85" s="2252"/>
      <c r="AT85" s="2252"/>
      <c r="AU85" s="2252"/>
      <c r="AV85" s="2252"/>
      <c r="AW85" s="2252"/>
      <c r="AX85" s="2252"/>
      <c r="AY85" s="2252"/>
      <c r="AZ85" s="2252"/>
      <c r="BA85" s="2252"/>
      <c r="BB85" s="2252"/>
      <c r="BC85" s="2252"/>
      <c r="BD85" s="2252"/>
      <c r="BE85" s="2252"/>
      <c r="BF85" s="2252"/>
      <c r="BG85" s="2252"/>
      <c r="BH85" s="2252"/>
      <c r="BI85" s="2252"/>
      <c r="BJ85" s="2252"/>
      <c r="BK85" s="2252"/>
      <c r="BL85" s="2252"/>
      <c r="BM85" s="2252"/>
      <c r="BN85" s="2252"/>
      <c r="BO85" s="2252"/>
      <c r="BP85" s="2252"/>
      <c r="BQ85" s="2252"/>
      <c r="BR85" s="2252"/>
      <c r="BS85" s="2252"/>
      <c r="BT85" s="2252"/>
      <c r="BU85" s="2252"/>
      <c r="BV85" s="2252"/>
      <c r="BW85" s="2252"/>
      <c r="BX85" s="2252"/>
      <c r="BY85" s="2252"/>
      <c r="BZ85" s="2252"/>
      <c r="CA85" s="2252"/>
      <c r="CB85" s="2252"/>
      <c r="CC85" s="2252"/>
      <c r="CD85" s="2252"/>
      <c r="CE85" s="2252"/>
      <c r="CF85" s="2252"/>
      <c r="CG85" s="2252"/>
      <c r="CH85" s="2252"/>
      <c r="CI85" s="2252"/>
      <c r="CJ85" s="2252"/>
      <c r="CK85" s="2252"/>
      <c r="CL85" s="2252"/>
      <c r="CM85" s="2252"/>
      <c r="CN85" s="2252"/>
      <c r="CO85" s="2252"/>
      <c r="CP85" s="2252"/>
      <c r="CQ85" s="2252"/>
      <c r="CR85" s="2252"/>
      <c r="CS85" s="2252"/>
      <c r="CT85" s="2252"/>
      <c r="CU85" s="2252"/>
      <c r="CV85" s="2252"/>
      <c r="CW85" s="2252"/>
      <c r="CX85" s="2252"/>
      <c r="CY85" s="2252"/>
      <c r="CZ85" s="2252"/>
      <c r="DA85" s="2252"/>
      <c r="DB85" s="2252"/>
      <c r="DC85" s="2252"/>
      <c r="DD85" s="2252"/>
      <c r="DE85" s="2252"/>
      <c r="DF85" s="2252"/>
      <c r="DG85" s="2252"/>
      <c r="DH85" s="2252"/>
      <c r="DI85" s="2252"/>
      <c r="DJ85" s="2252"/>
      <c r="DK85" s="2252"/>
      <c r="DL85" s="2252"/>
      <c r="DM85" s="2252"/>
      <c r="DN85" s="2252"/>
      <c r="DO85" s="2252"/>
      <c r="DP85" s="2252"/>
      <c r="DQ85" s="2252"/>
      <c r="DR85" s="2252"/>
      <c r="DS85" s="2252"/>
      <c r="DT85" s="2252"/>
      <c r="DU85" s="2252"/>
      <c r="DV85" s="2252"/>
      <c r="DW85" s="2252"/>
      <c r="DX85" s="2252"/>
      <c r="DY85" s="2252"/>
      <c r="DZ85" s="2252"/>
      <c r="EA85" s="2252"/>
      <c r="EB85" s="2252"/>
      <c r="EC85" s="2252"/>
      <c r="ED85" s="2252"/>
      <c r="EE85" s="2252"/>
      <c r="EF85" s="2252"/>
      <c r="EG85" s="2252"/>
      <c r="EH85" s="2252"/>
      <c r="EI85" s="2252"/>
      <c r="EJ85" s="2252"/>
      <c r="EK85" s="2252"/>
      <c r="EL85" s="2252"/>
      <c r="EM85" s="2252"/>
      <c r="EN85" s="2252"/>
      <c r="EO85" s="2252"/>
      <c r="EP85" s="2252"/>
      <c r="EQ85" s="2252"/>
      <c r="ER85" s="2252"/>
      <c r="ES85" s="2252"/>
      <c r="ET85" s="2252"/>
      <c r="EU85" s="2252"/>
      <c r="EV85" s="2252"/>
      <c r="EW85" s="2252"/>
      <c r="EX85" s="2252"/>
      <c r="EY85" s="2252"/>
      <c r="EZ85" s="2252"/>
      <c r="FA85" s="2252"/>
      <c r="FB85" s="2252"/>
      <c r="FC85" s="2252"/>
      <c r="FD85" s="2252"/>
      <c r="FE85" s="2252"/>
      <c r="FF85" s="2252"/>
      <c r="FG85" s="2252"/>
      <c r="FH85" s="2252"/>
      <c r="FI85" s="2252"/>
      <c r="FJ85" s="2252"/>
      <c r="FK85" s="2252"/>
      <c r="FL85" s="2252"/>
      <c r="FM85" s="2252"/>
    </row>
    <row r="86" customFormat="false" ht="12" hidden="false" customHeight="false" outlineLevel="0" collapsed="false">
      <c r="A86" s="2252"/>
      <c r="B86" s="2252"/>
      <c r="C86" s="2252"/>
      <c r="D86" s="2252"/>
      <c r="E86" s="2252"/>
      <c r="F86" s="2252"/>
      <c r="G86" s="2252"/>
      <c r="H86" s="2252"/>
      <c r="I86" s="2252"/>
      <c r="J86" s="2252"/>
      <c r="K86" s="2252"/>
      <c r="L86" s="2252"/>
      <c r="M86" s="2252"/>
      <c r="N86" s="2252"/>
      <c r="O86" s="2252"/>
      <c r="P86" s="2252"/>
      <c r="Q86" s="2252"/>
      <c r="R86" s="2252"/>
      <c r="S86" s="2260"/>
      <c r="T86" s="2252"/>
      <c r="U86" s="2260"/>
      <c r="V86" s="2260"/>
      <c r="W86" s="2260"/>
      <c r="X86" s="2252"/>
      <c r="Y86" s="2252"/>
      <c r="Z86" s="2252"/>
      <c r="AA86" s="2252"/>
      <c r="AB86" s="2252"/>
      <c r="AC86" s="2252"/>
      <c r="AD86" s="2260"/>
      <c r="AE86" s="2252"/>
      <c r="AF86" s="2252"/>
      <c r="AG86" s="2252"/>
      <c r="AH86" s="2252"/>
      <c r="AI86" s="2252"/>
      <c r="AJ86" s="2252"/>
      <c r="AK86" s="2252"/>
      <c r="AL86" s="2252"/>
      <c r="AM86" s="2252"/>
      <c r="AN86" s="2252"/>
      <c r="AO86" s="2252"/>
      <c r="AP86" s="2252"/>
      <c r="AQ86" s="2252"/>
      <c r="AR86" s="2252"/>
      <c r="AS86" s="2252"/>
      <c r="AT86" s="2252"/>
      <c r="AU86" s="2252"/>
      <c r="AV86" s="2252"/>
      <c r="AW86" s="2252"/>
      <c r="AX86" s="2252"/>
      <c r="AY86" s="2252"/>
      <c r="AZ86" s="2252"/>
      <c r="BA86" s="2252"/>
      <c r="BB86" s="2252"/>
      <c r="BC86" s="2252"/>
      <c r="BD86" s="2252"/>
      <c r="BE86" s="2252"/>
      <c r="BF86" s="2252"/>
      <c r="BG86" s="2252"/>
      <c r="BH86" s="2252"/>
      <c r="BI86" s="2252"/>
      <c r="BJ86" s="2252"/>
      <c r="BK86" s="2252"/>
      <c r="BL86" s="2252"/>
      <c r="BM86" s="2252"/>
      <c r="BN86" s="2252"/>
      <c r="BO86" s="2252"/>
      <c r="BP86" s="2252"/>
      <c r="BQ86" s="2252"/>
      <c r="BR86" s="2252"/>
      <c r="BS86" s="2252"/>
      <c r="BT86" s="2252"/>
      <c r="BU86" s="2252"/>
      <c r="BV86" s="2252"/>
      <c r="BW86" s="2252"/>
      <c r="BX86" s="2252"/>
      <c r="BY86" s="2252"/>
      <c r="BZ86" s="2252"/>
      <c r="CA86" s="2252"/>
      <c r="CB86" s="2252"/>
      <c r="CC86" s="2252"/>
      <c r="CD86" s="2252"/>
      <c r="CE86" s="2252"/>
      <c r="CF86" s="2252"/>
      <c r="CG86" s="2252"/>
      <c r="CH86" s="2252"/>
      <c r="CI86" s="2252"/>
      <c r="CJ86" s="2252"/>
      <c r="CK86" s="2252"/>
      <c r="CL86" s="2252"/>
      <c r="CM86" s="2252"/>
      <c r="CN86" s="2252"/>
      <c r="CO86" s="2252"/>
      <c r="CP86" s="2252"/>
      <c r="CQ86" s="2252"/>
      <c r="CR86" s="2252"/>
      <c r="CS86" s="2252"/>
      <c r="CT86" s="2252"/>
      <c r="CU86" s="2252"/>
      <c r="CV86" s="2252"/>
      <c r="CW86" s="2252"/>
      <c r="CX86" s="2252"/>
      <c r="CY86" s="2252"/>
      <c r="CZ86" s="2252"/>
      <c r="DA86" s="2252"/>
      <c r="DB86" s="2252"/>
      <c r="DC86" s="2252"/>
      <c r="DD86" s="2252"/>
      <c r="DE86" s="2252"/>
      <c r="DF86" s="2252"/>
      <c r="DG86" s="2252"/>
      <c r="DH86" s="2252"/>
      <c r="DI86" s="2252"/>
      <c r="DJ86" s="2252"/>
      <c r="DK86" s="2252"/>
      <c r="DL86" s="2252"/>
      <c r="DM86" s="2252"/>
      <c r="DN86" s="2252"/>
      <c r="DO86" s="2252"/>
      <c r="DP86" s="2252"/>
      <c r="DQ86" s="2252"/>
      <c r="DR86" s="2252"/>
      <c r="DS86" s="2252"/>
      <c r="DT86" s="2252"/>
      <c r="DU86" s="2252"/>
      <c r="DV86" s="2252"/>
      <c r="DW86" s="2252"/>
      <c r="DX86" s="2252"/>
      <c r="DY86" s="2252"/>
      <c r="DZ86" s="2252"/>
      <c r="EA86" s="2252"/>
      <c r="EB86" s="2252"/>
      <c r="EC86" s="2252"/>
      <c r="ED86" s="2252"/>
      <c r="EE86" s="2252"/>
      <c r="EF86" s="2252"/>
      <c r="EG86" s="2252"/>
      <c r="EH86" s="2252"/>
      <c r="EI86" s="2252"/>
      <c r="EJ86" s="2252"/>
      <c r="EK86" s="2252"/>
      <c r="EL86" s="2252"/>
      <c r="EM86" s="2252"/>
      <c r="EN86" s="2252"/>
      <c r="EO86" s="2252"/>
      <c r="EP86" s="2252"/>
      <c r="EQ86" s="2252"/>
      <c r="ER86" s="2252"/>
      <c r="ES86" s="2252"/>
      <c r="ET86" s="2252"/>
      <c r="EU86" s="2252"/>
      <c r="EV86" s="2252"/>
      <c r="EW86" s="2252"/>
      <c r="EX86" s="2252"/>
      <c r="EY86" s="2252"/>
      <c r="EZ86" s="2252"/>
      <c r="FA86" s="2252"/>
      <c r="FB86" s="2252"/>
      <c r="FC86" s="2252"/>
      <c r="FD86" s="2252"/>
      <c r="FE86" s="2252"/>
      <c r="FF86" s="2252"/>
      <c r="FG86" s="2252"/>
      <c r="FH86" s="2252"/>
      <c r="FI86" s="2252"/>
      <c r="FJ86" s="2252"/>
      <c r="FK86" s="2252"/>
      <c r="FL86" s="2252"/>
      <c r="FM86" s="2252"/>
    </row>
    <row r="87" customFormat="false" ht="12" hidden="false" customHeight="false" outlineLevel="0" collapsed="false">
      <c r="A87" s="2252"/>
      <c r="B87" s="2252"/>
      <c r="C87" s="2252"/>
      <c r="D87" s="2252"/>
      <c r="E87" s="2252"/>
      <c r="F87" s="2252"/>
      <c r="G87" s="2252"/>
      <c r="H87" s="2252"/>
      <c r="I87" s="2252"/>
      <c r="J87" s="2252"/>
      <c r="K87" s="2252"/>
      <c r="L87" s="2252"/>
      <c r="M87" s="2252"/>
      <c r="N87" s="2252"/>
      <c r="O87" s="2252"/>
      <c r="P87" s="2252"/>
      <c r="Q87" s="2252"/>
      <c r="R87" s="2252"/>
      <c r="S87" s="2260"/>
      <c r="T87" s="2252"/>
      <c r="U87" s="2260"/>
      <c r="V87" s="2260"/>
      <c r="W87" s="2260"/>
      <c r="X87" s="2252"/>
      <c r="Y87" s="2252"/>
      <c r="Z87" s="2252"/>
      <c r="AA87" s="2252"/>
      <c r="AB87" s="2252"/>
      <c r="AC87" s="2252"/>
      <c r="AD87" s="2260"/>
      <c r="AE87" s="2252"/>
      <c r="AF87" s="2252"/>
      <c r="AG87" s="2252"/>
      <c r="AH87" s="2252"/>
      <c r="AI87" s="2252"/>
      <c r="AJ87" s="2252"/>
      <c r="AK87" s="2252"/>
      <c r="AL87" s="2252"/>
      <c r="AM87" s="2252"/>
      <c r="AN87" s="2252"/>
      <c r="AO87" s="2252"/>
      <c r="AP87" s="2252"/>
      <c r="AQ87" s="2252"/>
      <c r="AR87" s="2252"/>
      <c r="AS87" s="2252"/>
      <c r="AT87" s="2252"/>
      <c r="AU87" s="2252"/>
      <c r="AV87" s="2252"/>
      <c r="AW87" s="2252"/>
      <c r="AX87" s="2252"/>
      <c r="AY87" s="2252"/>
      <c r="AZ87" s="2252"/>
      <c r="BA87" s="2252"/>
      <c r="BB87" s="2252"/>
      <c r="BC87" s="2252"/>
      <c r="BD87" s="2252"/>
      <c r="BE87" s="2252"/>
      <c r="BF87" s="2252"/>
      <c r="BG87" s="2252"/>
      <c r="BH87" s="2252"/>
      <c r="BI87" s="2252"/>
      <c r="BJ87" s="2252"/>
      <c r="BK87" s="2252"/>
      <c r="BL87" s="2252"/>
      <c r="BM87" s="2252"/>
      <c r="BN87" s="2252"/>
      <c r="BO87" s="2252"/>
      <c r="BP87" s="2252"/>
      <c r="BQ87" s="2252"/>
      <c r="BR87" s="2252"/>
      <c r="BS87" s="2252"/>
      <c r="BT87" s="2252"/>
      <c r="BU87" s="2252"/>
      <c r="BV87" s="2252"/>
      <c r="BW87" s="2252"/>
      <c r="BX87" s="2252"/>
      <c r="BY87" s="2252"/>
      <c r="BZ87" s="2252"/>
      <c r="CA87" s="2252"/>
      <c r="CB87" s="2252"/>
      <c r="CC87" s="2252"/>
      <c r="CD87" s="2252"/>
      <c r="CE87" s="2252"/>
      <c r="CF87" s="2252"/>
      <c r="CG87" s="2252"/>
      <c r="CH87" s="2252"/>
      <c r="CI87" s="2252"/>
      <c r="CJ87" s="2252"/>
      <c r="CK87" s="2252"/>
      <c r="CL87" s="2252"/>
      <c r="CM87" s="2252"/>
      <c r="CN87" s="2252"/>
      <c r="CO87" s="2252"/>
      <c r="CP87" s="2252"/>
      <c r="CQ87" s="2252"/>
      <c r="CR87" s="2252"/>
      <c r="CS87" s="2252"/>
      <c r="CT87" s="2252"/>
      <c r="CU87" s="2252"/>
      <c r="CV87" s="2252"/>
      <c r="CW87" s="2252"/>
      <c r="CX87" s="2252"/>
      <c r="CY87" s="2252"/>
      <c r="CZ87" s="2252"/>
      <c r="DA87" s="2252"/>
      <c r="DB87" s="2252"/>
      <c r="DC87" s="2252"/>
      <c r="DD87" s="2252"/>
      <c r="DE87" s="2252"/>
      <c r="DF87" s="2252"/>
      <c r="DG87" s="2252"/>
      <c r="DH87" s="2252"/>
      <c r="DI87" s="2252"/>
      <c r="DJ87" s="2252"/>
      <c r="DK87" s="2252"/>
      <c r="DL87" s="2252"/>
      <c r="DM87" s="2252"/>
      <c r="DN87" s="2252"/>
      <c r="DO87" s="2252"/>
      <c r="DP87" s="2252"/>
      <c r="DQ87" s="2252"/>
      <c r="DR87" s="2252"/>
      <c r="DS87" s="2252"/>
      <c r="DT87" s="2252"/>
      <c r="DU87" s="2252"/>
      <c r="DV87" s="2252"/>
      <c r="DW87" s="2252"/>
      <c r="DX87" s="2252"/>
      <c r="DY87" s="2252"/>
      <c r="DZ87" s="2252"/>
      <c r="EA87" s="2252"/>
      <c r="EB87" s="2252"/>
      <c r="EC87" s="2252"/>
      <c r="ED87" s="2252"/>
      <c r="EE87" s="2252"/>
      <c r="EF87" s="2252"/>
      <c r="EG87" s="2252"/>
      <c r="EH87" s="2252"/>
      <c r="EI87" s="2252"/>
      <c r="EJ87" s="2252"/>
      <c r="EK87" s="2252"/>
      <c r="EL87" s="2252"/>
      <c r="EM87" s="2252"/>
      <c r="EN87" s="2252"/>
      <c r="EO87" s="2252"/>
      <c r="EP87" s="2252"/>
      <c r="EQ87" s="2252"/>
      <c r="ER87" s="2252"/>
      <c r="ES87" s="2252"/>
      <c r="ET87" s="2252"/>
      <c r="EU87" s="2252"/>
      <c r="EV87" s="2252"/>
      <c r="EW87" s="2252"/>
      <c r="EX87" s="2252"/>
      <c r="EY87" s="2252"/>
      <c r="EZ87" s="2252"/>
      <c r="FA87" s="2252"/>
      <c r="FB87" s="2252"/>
      <c r="FC87" s="2252"/>
      <c r="FD87" s="2252"/>
      <c r="FE87" s="2252"/>
      <c r="FF87" s="2252"/>
      <c r="FG87" s="2252"/>
      <c r="FH87" s="2252"/>
      <c r="FI87" s="2252"/>
      <c r="FJ87" s="2252"/>
      <c r="FK87" s="2252"/>
      <c r="FL87" s="2252"/>
      <c r="FM87" s="2252"/>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1" activeCellId="0" sqref="B1"/>
    </sheetView>
  </sheetViews>
  <sheetFormatPr defaultColWidth="10.82421875" defaultRowHeight="15" zeroHeight="false" outlineLevelRow="0" outlineLevelCol="0"/>
  <cols>
    <col collapsed="false" customWidth="true" hidden="false" outlineLevel="0" max="1" min="1" style="2357" width="18.49"/>
    <col collapsed="false" customWidth="true" hidden="false" outlineLevel="0" max="2" min="2" style="2357" width="38.66"/>
    <col collapsed="false" customWidth="true" hidden="false" outlineLevel="0" max="3" min="3" style="2357" width="56.66"/>
    <col collapsed="false" customWidth="true" hidden="false" outlineLevel="0" max="4" min="4" style="2357" width="14.66"/>
    <col collapsed="false" customWidth="true" hidden="false" outlineLevel="0" max="5" min="5" style="2357" width="12.82"/>
    <col collapsed="false" customWidth="true" hidden="false" outlineLevel="0" max="6" min="6" style="2357" width="36.82"/>
    <col collapsed="false" customWidth="true" hidden="false" outlineLevel="0" max="7" min="7" style="2357" width="174.66"/>
    <col collapsed="false" customWidth="false" hidden="false" outlineLevel="0" max="257" min="8" style="2357" width="10.82"/>
  </cols>
  <sheetData>
    <row r="1" customFormat="false" ht="15" hidden="false" customHeight="false" outlineLevel="0" collapsed="false">
      <c r="B1" s="2358" t="s">
        <v>1573</v>
      </c>
    </row>
    <row r="3" customFormat="false" ht="16" hidden="false" customHeight="false" outlineLevel="0" collapsed="false">
      <c r="A3" s="2359"/>
      <c r="B3" s="2359"/>
      <c r="C3" s="2359"/>
      <c r="D3" s="2359"/>
      <c r="E3" s="2359"/>
      <c r="F3" s="2359"/>
      <c r="G3" s="2359"/>
    </row>
    <row r="4" s="2361" customFormat="true" ht="16" hidden="false" customHeight="false" outlineLevel="0" collapsed="false">
      <c r="A4" s="2360" t="s">
        <v>1574</v>
      </c>
      <c r="B4" s="2360" t="s">
        <v>1575</v>
      </c>
      <c r="C4" s="2360" t="s">
        <v>1055</v>
      </c>
      <c r="D4" s="2360" t="s">
        <v>1576</v>
      </c>
      <c r="E4" s="2360" t="s">
        <v>1577</v>
      </c>
      <c r="F4" s="2360" t="s">
        <v>1578</v>
      </c>
      <c r="G4" s="2360" t="s">
        <v>1579</v>
      </c>
    </row>
    <row r="5" s="2361" customFormat="true" ht="39" hidden="false" customHeight="true" outlineLevel="0" collapsed="false">
      <c r="A5" s="2362" t="s">
        <v>1580</v>
      </c>
      <c r="B5" s="2363" t="s">
        <v>1581</v>
      </c>
      <c r="C5" s="2364" t="s">
        <v>1582</v>
      </c>
      <c r="D5" s="2363" t="s">
        <v>1583</v>
      </c>
      <c r="E5" s="2363" t="s">
        <v>1584</v>
      </c>
      <c r="F5" s="2364" t="s">
        <v>1585</v>
      </c>
      <c r="G5" s="2365" t="s">
        <v>1586</v>
      </c>
    </row>
    <row r="6" s="2361" customFormat="true" ht="39" hidden="false" customHeight="true" outlineLevel="0" collapsed="false">
      <c r="A6" s="2366" t="s">
        <v>1587</v>
      </c>
      <c r="B6" s="2366" t="s">
        <v>1588</v>
      </c>
      <c r="C6" s="2366" t="s">
        <v>1589</v>
      </c>
      <c r="D6" s="2366" t="s">
        <v>1583</v>
      </c>
      <c r="E6" s="2366" t="s">
        <v>1584</v>
      </c>
      <c r="F6" s="2366" t="s">
        <v>1590</v>
      </c>
      <c r="G6" s="2365" t="s">
        <v>1586</v>
      </c>
    </row>
    <row r="7" s="2361" customFormat="true" ht="39" hidden="false" customHeight="true" outlineLevel="0" collapsed="false">
      <c r="A7" s="2366" t="s">
        <v>1506</v>
      </c>
      <c r="B7" s="2366" t="s">
        <v>1591</v>
      </c>
      <c r="C7" s="2366"/>
      <c r="D7" s="2366" t="s">
        <v>1592</v>
      </c>
      <c r="E7" s="2366" t="s">
        <v>1584</v>
      </c>
      <c r="F7" s="2366"/>
      <c r="G7" s="2365" t="s">
        <v>1593</v>
      </c>
    </row>
    <row r="8" customFormat="false" ht="33" hidden="false" customHeight="true" outlineLevel="0" collapsed="false">
      <c r="A8" s="2367" t="s">
        <v>1594</v>
      </c>
      <c r="B8" s="2368" t="s">
        <v>1595</v>
      </c>
      <c r="C8" s="2368" t="s">
        <v>1596</v>
      </c>
      <c r="D8" s="2368" t="s">
        <v>1592</v>
      </c>
      <c r="E8" s="2368" t="s">
        <v>418</v>
      </c>
      <c r="F8" s="2368"/>
      <c r="G8" s="2367" t="s">
        <v>1597</v>
      </c>
    </row>
    <row r="9" s="2361" customFormat="true" ht="33" hidden="false" customHeight="true" outlineLevel="0" collapsed="false">
      <c r="A9" s="2368" t="s">
        <v>1598</v>
      </c>
      <c r="B9" s="2368" t="s">
        <v>1599</v>
      </c>
      <c r="C9" s="2368" t="s">
        <v>1600</v>
      </c>
      <c r="D9" s="2368" t="s">
        <v>1583</v>
      </c>
      <c r="E9" s="2368" t="s">
        <v>418</v>
      </c>
      <c r="F9" s="2368"/>
      <c r="G9" s="2368" t="s">
        <v>1601</v>
      </c>
    </row>
    <row r="10" s="2361" customFormat="true" ht="33" hidden="false" customHeight="true" outlineLevel="0" collapsed="false">
      <c r="A10" s="2368" t="s">
        <v>1602</v>
      </c>
      <c r="B10" s="2368" t="s">
        <v>1603</v>
      </c>
      <c r="C10" s="2368" t="s">
        <v>1604</v>
      </c>
      <c r="D10" s="2368" t="s">
        <v>1592</v>
      </c>
      <c r="E10" s="2368" t="s">
        <v>418</v>
      </c>
      <c r="F10" s="2368"/>
      <c r="G10" s="2368" t="s">
        <v>1605</v>
      </c>
    </row>
    <row r="11" customFormat="false" ht="33" hidden="false" customHeight="true" outlineLevel="0" collapsed="false">
      <c r="A11" s="2368" t="s">
        <v>1511</v>
      </c>
      <c r="B11" s="2368" t="s">
        <v>1606</v>
      </c>
      <c r="C11" s="2368" t="s">
        <v>1607</v>
      </c>
      <c r="D11" s="2368" t="s">
        <v>1592</v>
      </c>
      <c r="E11" s="2368" t="s">
        <v>418</v>
      </c>
      <c r="F11" s="2368"/>
      <c r="G11" s="2367" t="s">
        <v>1608</v>
      </c>
    </row>
    <row r="12" customFormat="false" ht="33" hidden="false" customHeight="true" outlineLevel="0" collapsed="false">
      <c r="A12" s="2369" t="s">
        <v>1609</v>
      </c>
      <c r="B12" s="2369" t="s">
        <v>1610</v>
      </c>
      <c r="C12" s="2365" t="s">
        <v>1611</v>
      </c>
      <c r="D12" s="2369" t="s">
        <v>1583</v>
      </c>
      <c r="E12" s="2369" t="s">
        <v>418</v>
      </c>
      <c r="F12" s="2369" t="s">
        <v>1612</v>
      </c>
      <c r="G12" s="2370" t="s">
        <v>1613</v>
      </c>
    </row>
    <row r="13" customFormat="false" ht="33" hidden="false" customHeight="true" outlineLevel="0" collapsed="false">
      <c r="A13" s="2368" t="s">
        <v>1614</v>
      </c>
      <c r="B13" s="2368" t="s">
        <v>1615</v>
      </c>
      <c r="C13" s="2367" t="s">
        <v>1616</v>
      </c>
      <c r="D13" s="2368" t="s">
        <v>1592</v>
      </c>
      <c r="E13" s="2368" t="s">
        <v>418</v>
      </c>
      <c r="F13" s="2368"/>
      <c r="G13" s="2367" t="s">
        <v>1617</v>
      </c>
    </row>
    <row r="14" customFormat="false" ht="56" hidden="false" customHeight="true" outlineLevel="0" collapsed="false">
      <c r="A14" s="2369" t="s">
        <v>1618</v>
      </c>
      <c r="B14" s="2369" t="s">
        <v>1619</v>
      </c>
      <c r="C14" s="2368" t="s">
        <v>1620</v>
      </c>
      <c r="D14" s="2368" t="s">
        <v>1621</v>
      </c>
      <c r="E14" s="2368" t="s">
        <v>418</v>
      </c>
      <c r="F14" s="2368" t="s">
        <v>1622</v>
      </c>
      <c r="G14" s="2368" t="s">
        <v>1623</v>
      </c>
    </row>
    <row r="15" customFormat="false" ht="33" hidden="false" customHeight="true" outlineLevel="0" collapsed="false">
      <c r="A15" s="2368" t="s">
        <v>1624</v>
      </c>
      <c r="B15" s="2368" t="s">
        <v>1625</v>
      </c>
      <c r="C15" s="2368" t="s">
        <v>1626</v>
      </c>
      <c r="D15" s="2368" t="s">
        <v>1592</v>
      </c>
      <c r="E15" s="2368" t="s">
        <v>418</v>
      </c>
      <c r="F15" s="2368"/>
      <c r="G15" s="2367" t="s">
        <v>1627</v>
      </c>
    </row>
    <row r="16" s="2373" customFormat="true" ht="35" hidden="false" customHeight="true" outlineLevel="0" collapsed="false">
      <c r="A16" s="2366" t="s">
        <v>1513</v>
      </c>
      <c r="B16" s="2366" t="s">
        <v>1628</v>
      </c>
      <c r="C16" s="2371" t="s">
        <v>1629</v>
      </c>
      <c r="D16" s="2366" t="s">
        <v>1592</v>
      </c>
      <c r="E16" s="2366" t="s">
        <v>418</v>
      </c>
      <c r="F16" s="2366"/>
      <c r="G16" s="2372" t="s">
        <v>1627</v>
      </c>
    </row>
    <row r="17" s="2375" customFormat="true" ht="35" hidden="false" customHeight="true" outlineLevel="0" collapsed="false">
      <c r="A17" s="2365" t="s">
        <v>1630</v>
      </c>
      <c r="B17" s="2365"/>
      <c r="C17" s="2374" t="s">
        <v>1631</v>
      </c>
      <c r="D17" s="2365" t="s">
        <v>1583</v>
      </c>
      <c r="E17" s="2365" t="s">
        <v>1584</v>
      </c>
      <c r="G17" s="2376" t="s">
        <v>1632</v>
      </c>
    </row>
    <row r="18" s="2375" customFormat="true" ht="41" hidden="false" customHeight="true" outlineLevel="0" collapsed="false">
      <c r="A18" s="2365" t="s">
        <v>1633</v>
      </c>
      <c r="B18" s="2365"/>
      <c r="C18" s="2374" t="s">
        <v>1634</v>
      </c>
      <c r="D18" s="2365" t="s">
        <v>1583</v>
      </c>
      <c r="E18" s="2365" t="s">
        <v>1584</v>
      </c>
      <c r="G18" s="2376" t="s">
        <v>1632</v>
      </c>
    </row>
    <row r="19" customFormat="false" ht="41" hidden="false" customHeight="true" outlineLevel="0" collapsed="false">
      <c r="A19" s="2365" t="s">
        <v>1635</v>
      </c>
      <c r="B19" s="2365" t="s">
        <v>1636</v>
      </c>
      <c r="C19" s="2371" t="s">
        <v>1637</v>
      </c>
      <c r="D19" s="2366" t="s">
        <v>1592</v>
      </c>
      <c r="E19" s="2366" t="s">
        <v>1584</v>
      </c>
      <c r="F19" s="2366" t="s">
        <v>1638</v>
      </c>
      <c r="G19" s="2357" t="s">
        <v>1639</v>
      </c>
    </row>
    <row r="20" s="2373" customFormat="true" ht="42" hidden="false" customHeight="true" outlineLevel="0" collapsed="false">
      <c r="A20" s="2366" t="s">
        <v>1640</v>
      </c>
      <c r="B20" s="2366" t="s">
        <v>1641</v>
      </c>
      <c r="C20" s="2371" t="s">
        <v>1642</v>
      </c>
      <c r="D20" s="2366" t="s">
        <v>1592</v>
      </c>
      <c r="E20" s="2366" t="s">
        <v>1584</v>
      </c>
      <c r="F20" s="2366" t="s">
        <v>1643</v>
      </c>
      <c r="G20" s="2357" t="s">
        <v>1639</v>
      </c>
    </row>
    <row r="21" s="2373" customFormat="true" ht="54" hidden="false" customHeight="true" outlineLevel="0" collapsed="false">
      <c r="A21" s="2366" t="s">
        <v>1644</v>
      </c>
      <c r="B21" s="2366" t="s">
        <v>1645</v>
      </c>
      <c r="C21" s="2371" t="s">
        <v>1646</v>
      </c>
      <c r="D21" s="2366" t="s">
        <v>1592</v>
      </c>
      <c r="E21" s="2366" t="s">
        <v>1584</v>
      </c>
      <c r="F21" s="2366" t="s">
        <v>1647</v>
      </c>
      <c r="G21" s="2373" t="s">
        <v>1639</v>
      </c>
    </row>
    <row r="22" s="2373" customFormat="true" ht="54" hidden="false" customHeight="true" outlineLevel="0" collapsed="false">
      <c r="A22" s="2366" t="s">
        <v>1648</v>
      </c>
      <c r="B22" s="2365" t="s">
        <v>1649</v>
      </c>
      <c r="C22" s="2366" t="s">
        <v>1650</v>
      </c>
      <c r="D22" s="2366" t="s">
        <v>1583</v>
      </c>
      <c r="E22" s="2366" t="s">
        <v>1651</v>
      </c>
      <c r="F22" s="2366" t="s">
        <v>1652</v>
      </c>
      <c r="G22" s="2365" t="s">
        <v>1653</v>
      </c>
    </row>
    <row r="23" customFormat="false" ht="15" hidden="false" customHeight="false" outlineLevel="0" collapsed="false">
      <c r="A23" s="2377" t="s">
        <v>95</v>
      </c>
    </row>
    <row r="24" customFormat="false" ht="40" hidden="false" customHeight="false" outlineLevel="0" collapsed="false">
      <c r="A24" s="2377"/>
      <c r="B24" s="2366" t="s">
        <v>1654</v>
      </c>
      <c r="C24" s="2374" t="s">
        <v>1655</v>
      </c>
      <c r="D24" s="2365" t="s">
        <v>295</v>
      </c>
      <c r="E24" s="2365" t="s">
        <v>1656</v>
      </c>
      <c r="F24" s="2365" t="s">
        <v>1657</v>
      </c>
    </row>
    <row r="25" customFormat="false" ht="35" hidden="false" customHeight="true" outlineLevel="0" collapsed="false">
      <c r="A25" s="2373"/>
      <c r="B25" s="2365" t="s">
        <v>1658</v>
      </c>
      <c r="C25" s="2373" t="s">
        <v>1659</v>
      </c>
      <c r="D25" s="2366" t="s">
        <v>1592</v>
      </c>
      <c r="E25" s="2366" t="s">
        <v>1584</v>
      </c>
      <c r="F25" s="2373"/>
      <c r="G25" s="2373" t="s">
        <v>1660</v>
      </c>
    </row>
    <row r="26" s="2378" customFormat="true" ht="35" hidden="false" customHeight="true" outlineLevel="0" collapsed="false">
      <c r="A26" s="2378" t="s">
        <v>1661</v>
      </c>
      <c r="B26" s="2365" t="s">
        <v>1662</v>
      </c>
      <c r="C26" s="2378" t="s">
        <v>1663</v>
      </c>
      <c r="D26" s="2365" t="s">
        <v>295</v>
      </c>
      <c r="E26" s="2365"/>
      <c r="F26" s="2365" t="s">
        <v>1664</v>
      </c>
    </row>
    <row r="27" s="2375" customFormat="true" ht="35" hidden="false" customHeight="true" outlineLevel="0" collapsed="false">
      <c r="A27" s="2378" t="s">
        <v>1665</v>
      </c>
      <c r="B27" s="2365" t="s">
        <v>1666</v>
      </c>
      <c r="C27" s="2374" t="s">
        <v>1667</v>
      </c>
      <c r="D27" s="2365" t="s">
        <v>1583</v>
      </c>
      <c r="E27" s="2365" t="s">
        <v>418</v>
      </c>
      <c r="F27" s="2378"/>
      <c r="G27" s="2378" t="s">
        <v>1668</v>
      </c>
    </row>
    <row r="28" customFormat="false" ht="35" hidden="false" customHeight="true" outlineLevel="0" collapsed="false">
      <c r="A28" s="2373"/>
      <c r="B28" s="2365"/>
      <c r="C28" s="2373"/>
      <c r="D28" s="2366"/>
      <c r="E28" s="2366"/>
      <c r="F28" s="2373"/>
      <c r="G28" s="2373"/>
    </row>
    <row r="29" customFormat="false" ht="35"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2007-12-28T17:48:22Z</dcterms:created>
  <dc:creator>piketty</dc:creator>
  <dc:description/>
  <dc:language>de-DE</dc:language>
  <cp:lastModifiedBy>Gabriel Zucman</cp:lastModifiedBy>
  <cp:lastPrinted>2013-06-12T17:14:52Z</cp:lastPrinted>
  <dcterms:modified xsi:type="dcterms:W3CDTF">2013-06-12T17:15:08Z</dcterms:modified>
  <cp:revision>0</cp:revision>
  <dc:subject/>
  <dc:title/>
</cp:coreProperties>
</file>